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725"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C:\Users\carlos.nava_creditar\Desktop\Santander\"/>
    </mc:Choice>
  </mc:AlternateContent>
  <xr:revisionPtr revIDLastSave="0" documentId="8_{1BFAE61F-BF17-4298-824B-E45549A45145}" xr6:coauthVersionLast="47" xr6:coauthVersionMax="47" xr10:uidLastSave="{00000000-0000-0000-0000-000000000000}"/>
  <workbookProtection workbookAlgorithmName="SHA-512" workbookHashValue="uEa+sV18YuX9NBhvDtNKYSRx/DFNSnMRh5P0Gzt8umZKrZgxGxboUBHH/ptwY9h+roTrY2Fp8LMBUZbSOoImgA==" workbookSaltValue="7alCsP+wLP4bPQKjtRq9QQ==" workbookSpinCount="100000" lockStructure="1"/>
  <bookViews>
    <workbookView showSheetTabs="0" xWindow="-108" yWindow="-108" windowWidth="23256" windowHeight="12456" tabRatio="525" firstSheet="2" activeTab="2" xr2:uid="{00000000-000D-0000-FFFF-FFFF00000000}"/>
  </bookViews>
  <sheets>
    <sheet name="Adm" sheetId="4" state="hidden" r:id="rId1"/>
    <sheet name="Cal" sheetId="2" state="hidden" r:id="rId2"/>
    <sheet name="inicio" sheetId="15" r:id="rId3"/>
    <sheet name="Captura" sheetId="1" r:id="rId4"/>
    <sheet name="Liquidez" sheetId="7" r:id="rId5"/>
    <sheet name="Sustitución" sheetId="18" r:id="rId6"/>
    <sheet name="Free" sheetId="17" r:id="rId7"/>
    <sheet name="Liquidezfree" sheetId="20" r:id="rId8"/>
    <sheet name="Plus" sheetId="22" r:id="rId9"/>
    <sheet name="CAT" sheetId="8" state="hidden" r:id="rId10"/>
    <sheet name="pasos" sheetId="10" r:id="rId11"/>
    <sheet name="Guía" sheetId="14" r:id="rId12"/>
  </sheets>
  <externalReferences>
    <externalReference r:id="rId13"/>
    <externalReference r:id="rId14"/>
  </externalReferences>
  <definedNames>
    <definedName name="_xleta.AND" hidden="1" xlm="1">#NAME?</definedName>
    <definedName name="_xleta.HLOOKUP" hidden="1" xlm="1">#NAME?</definedName>
    <definedName name="_xleta.N" hidden="1" xlm="1">#NAME?</definedName>
    <definedName name="_xleta.NOT" hidden="1" xlm="1">#NAME?</definedName>
    <definedName name="_xleta.OR" hidden="1" xlm="1">#NAME?</definedName>
    <definedName name="_xleta.T" hidden="1" xlm="1">#NAME?</definedName>
    <definedName name="_xleta.VALUE" hidden="1" xlm="1">#NAME?</definedName>
    <definedName name="Aforodestino">Adm!$EF$4:$FT$9</definedName>
    <definedName name="Aforodestinofree">Adm!$KP$5:$LO$9</definedName>
    <definedName name="aforodestinofreeNO">Adm!$KP$13:$LO$17</definedName>
    <definedName name="AforodestinoNO">Adm!$EF$12:$FQ$17</definedName>
    <definedName name="anticipado">Captura!$AI$87:$AI$387</definedName>
    <definedName name="anticipadofree">Free!$AK$70:$AK$310</definedName>
    <definedName name="anticipafreeliq">Liquidezfree!$AH$15:$AH$255</definedName>
    <definedName name="anticipaplus">Plus!$BG$65:$BG$365</definedName>
    <definedName name="_xlnm.Print_Area" localSheetId="3">Captura!$C$1:$O$404</definedName>
    <definedName name="_xlnm.Print_Area" localSheetId="6">Free!$C$1:$N$329</definedName>
    <definedName name="_xlnm.Print_Area" localSheetId="4">Liquidez!$B$1:$L$269</definedName>
    <definedName name="_xlnm.Print_Area" localSheetId="7">Liquidezfree!$B$1:$L$266</definedName>
    <definedName name="_xlnm.Print_Area" localSheetId="8">Plus!$C$1:$O$381</definedName>
    <definedName name="_xlnm.Print_Area" localSheetId="5">Sustitución!$B$1:$L$268</definedName>
    <definedName name="basetasasfree">Adm!$JJ$5:$KI$9</definedName>
    <definedName name="Basetasassantander">Adm!$BZ$4:$DX$9</definedName>
    <definedName name="colectivosfree">Adm!$II$8:$II$15</definedName>
    <definedName name="colectivossantander">Adm!#REF!</definedName>
    <definedName name="construcción">Adm!$E$6:$E$7</definedName>
    <definedName name="crecientes">Adm!$B$30:$O$37</definedName>
    <definedName name="DestinosFree">Adm!$GG$6:$GG$11</definedName>
    <definedName name="DestinosSantander">Adm!$B$6:$B$15</definedName>
    <definedName name="edad">Plus!$BH$5:$BH$49</definedName>
    <definedName name="eje">Adm!#REF!,Adm!#REF!,Adm!#REF!,Adm!#REF!,Adm!#REF!,Adm!#REF!</definedName>
    <definedName name="embajadores">Adm!$AR$4:$AR$5</definedName>
    <definedName name="escogeofertafree">Adm!$IQ$4:$JB$9</definedName>
    <definedName name="escogeofertasan">Adm!$BA$4:$BL$12</definedName>
    <definedName name="freeajuste">Adm!$IA$6:$IG$7</definedName>
    <definedName name="freeConge">Adm!$HK$6:$HQ$7</definedName>
    <definedName name="freeProgra">Adm!$HS$6:$HY$7</definedName>
    <definedName name="gastos">Adm!$AB$7:$AB$11</definedName>
    <definedName name="gastosfree">Adm!$HA$6:$HA$8</definedName>
    <definedName name="Glosario">[1]Políticas!$AG$1:$AG$75</definedName>
    <definedName name="Intervinientes">Adm!$T$7:$T$10</definedName>
    <definedName name="liquidez">Liquidez!$AJ$17:$AJ$257</definedName>
    <definedName name="lista">Adm!$A$112:$H$121</definedName>
    <definedName name="ListaFree">Adm!$GF$112:$GN$117</definedName>
    <definedName name="mil_15">Adm!$AG$7:$AI$55</definedName>
    <definedName name="mil_20">Adm!$AJ$7:$AL$55</definedName>
    <definedName name="mil_30">Adm!$AM$7:$AO$9</definedName>
    <definedName name="milplus_15">Plus!$BS$4:$BU$32</definedName>
    <definedName name="milplus_20">Plus!$BV$4:$BX$32</definedName>
    <definedName name="milplus_30">Plus!$BY$5:$CA$7</definedName>
    <definedName name="ofertaplus" localSheetId="8">Plus!$CE$1:$CE$15</definedName>
    <definedName name="Ofertasfree">Adm!$IV$18:$IV$20</definedName>
    <definedName name="ofertassantander">Adm!$BF$23:$BF$28</definedName>
    <definedName name="origen">Adm!$AC$7:$AC$9</definedName>
    <definedName name="origenfree">Adm!$HB$6:$HB$7</definedName>
    <definedName name="pla" localSheetId="8">Plus!$AI$2:$AI$15</definedName>
    <definedName name="plafree">Adm!$GK$10:$GK$15</definedName>
    <definedName name="Plan">Adm!$BN$7:$BN$9</definedName>
    <definedName name="PlanesPlus">Plus!$AU$10:$AU$11</definedName>
    <definedName name="plazo">Adm!$H$7:$H$8</definedName>
    <definedName name="plazosdestino">Plus!$DC$2:$DQ$14</definedName>
    <definedName name="PLUS" localSheetId="8">Plus!$BN$2:$BQ$54</definedName>
    <definedName name="Pregunta">[1]Políticas!$AK$1:$AK$30</definedName>
    <definedName name="recompensa" localSheetId="8">Plus!$BH$2:$BL$49</definedName>
    <definedName name="SBC">'[2]MONTOS MAX CRED '!$C$3:$E$145</definedName>
    <definedName name="SEG">Adm!#REF!</definedName>
    <definedName name="Seguros">Adm!#REF!</definedName>
    <definedName name="Sustitución" localSheetId="5">Sustitución!$AJ$17:$AJ$257</definedName>
    <definedName name="tasas">Adm!$BW$5:$BW$9</definedName>
    <definedName name="tasasplus" localSheetId="8">Plus!$CF$1:$CR$15</definedName>
    <definedName name="_xlnm.Print_Titles" localSheetId="3">Captura!$86:$86</definedName>
    <definedName name="_xlnm.Print_Titles" localSheetId="6">Free!$65:$69</definedName>
    <definedName name="_xlnm.Print_Titles" localSheetId="4">Liquidez!$16:$16</definedName>
    <definedName name="_xlnm.Print_Titles" localSheetId="7">Liquidezfree!$14:$14</definedName>
    <definedName name="_xlnm.Print_Titles" localSheetId="10">pasos!$1:$2</definedName>
    <definedName name="_xlnm.Print_Titles" localSheetId="8">Plus!$63:$63</definedName>
    <definedName name="_xlnm.Print_Titles" localSheetId="5">Sustitución!$16:$16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W4" i="22" l="1"/>
  <c r="DE14" i="22"/>
  <c r="DF14" i="22" s="1"/>
  <c r="DG14" i="22" s="1"/>
  <c r="DH14" i="22" s="1"/>
  <c r="DI14" i="22" s="1"/>
  <c r="DJ14" i="22" s="1"/>
  <c r="DK14" i="22" s="1"/>
  <c r="DL14" i="22" s="1"/>
  <c r="IU18" i="4" l="1"/>
  <c r="BE23" i="4"/>
  <c r="J63" i="22"/>
  <c r="L13" i="22"/>
  <c r="R323" i="8" l="1"/>
  <c r="S323" i="8"/>
  <c r="R324" i="8"/>
  <c r="S324" i="8"/>
  <c r="R309" i="8"/>
  <c r="R310" i="8" s="1"/>
  <c r="S309" i="8"/>
  <c r="R265" i="8"/>
  <c r="R266" i="8"/>
  <c r="S266" i="8"/>
  <c r="R267" i="8"/>
  <c r="S267" i="8"/>
  <c r="R268" i="8"/>
  <c r="S268" i="8"/>
  <c r="R269" i="8"/>
  <c r="S269" i="8"/>
  <c r="R270" i="8"/>
  <c r="S270" i="8"/>
  <c r="R271" i="8"/>
  <c r="S271" i="8"/>
  <c r="R272" i="8"/>
  <c r="S272" i="8"/>
  <c r="R273" i="8"/>
  <c r="S273" i="8"/>
  <c r="R274" i="8"/>
  <c r="S274" i="8"/>
  <c r="R275" i="8"/>
  <c r="S275" i="8"/>
  <c r="R276" i="8"/>
  <c r="S276" i="8"/>
  <c r="R277" i="8"/>
  <c r="R278" i="8"/>
  <c r="S278" i="8"/>
  <c r="R279" i="8"/>
  <c r="S279" i="8"/>
  <c r="R280" i="8"/>
  <c r="S280" i="8"/>
  <c r="R281" i="8"/>
  <c r="S281" i="8"/>
  <c r="R282" i="8"/>
  <c r="S282" i="8"/>
  <c r="R283" i="8"/>
  <c r="S283" i="8"/>
  <c r="R284" i="8"/>
  <c r="S284" i="8"/>
  <c r="R285" i="8"/>
  <c r="S285" i="8"/>
  <c r="R286" i="8"/>
  <c r="S286" i="8"/>
  <c r="R287" i="8"/>
  <c r="S287" i="8"/>
  <c r="R288" i="8"/>
  <c r="S288" i="8"/>
  <c r="R289" i="8"/>
  <c r="R290" i="8"/>
  <c r="S290" i="8"/>
  <c r="R291" i="8"/>
  <c r="S291" i="8"/>
  <c r="R292" i="8"/>
  <c r="S292" i="8"/>
  <c r="R293" i="8"/>
  <c r="S293" i="8"/>
  <c r="R294" i="8"/>
  <c r="S294" i="8"/>
  <c r="R295" i="8"/>
  <c r="S295" i="8"/>
  <c r="R296" i="8"/>
  <c r="S296" i="8"/>
  <c r="R297" i="8"/>
  <c r="S297" i="8"/>
  <c r="R298" i="8"/>
  <c r="S298" i="8"/>
  <c r="R299" i="8"/>
  <c r="S299" i="8"/>
  <c r="R300" i="8"/>
  <c r="S300" i="8"/>
  <c r="R301" i="8"/>
  <c r="R302" i="8"/>
  <c r="S302" i="8"/>
  <c r="R303" i="8"/>
  <c r="S303" i="8"/>
  <c r="R304" i="8"/>
  <c r="S304" i="8" s="1"/>
  <c r="DE11" i="22"/>
  <c r="DF11" i="22" s="1"/>
  <c r="DG11" i="22" s="1"/>
  <c r="DH11" i="22" s="1"/>
  <c r="DI11" i="22" s="1"/>
  <c r="DJ11" i="22" s="1"/>
  <c r="DK11" i="22" s="1"/>
  <c r="DL11" i="22" s="1"/>
  <c r="DE10" i="22"/>
  <c r="DF10" i="22" s="1"/>
  <c r="DG10" i="22" s="1"/>
  <c r="DH10" i="22" s="1"/>
  <c r="DI10" i="22" s="1"/>
  <c r="DJ10" i="22" s="1"/>
  <c r="DK10" i="22" s="1"/>
  <c r="DL10" i="22" s="1"/>
  <c r="DE9" i="22"/>
  <c r="DF9" i="22" s="1"/>
  <c r="DG9" i="22" s="1"/>
  <c r="DH9" i="22" s="1"/>
  <c r="DI9" i="22" s="1"/>
  <c r="DJ9" i="22" s="1"/>
  <c r="DK9" i="22" s="1"/>
  <c r="DL9" i="22" s="1"/>
  <c r="DM9" i="22" s="1"/>
  <c r="DN9" i="22" s="1"/>
  <c r="DO9" i="22" s="1"/>
  <c r="DP9" i="22" s="1"/>
  <c r="DQ9" i="22" s="1"/>
  <c r="DE8" i="22"/>
  <c r="DF8" i="22" s="1"/>
  <c r="DG8" i="22" s="1"/>
  <c r="DH8" i="22" s="1"/>
  <c r="DI8" i="22" s="1"/>
  <c r="DJ8" i="22" s="1"/>
  <c r="DK8" i="22" s="1"/>
  <c r="DL8" i="22" s="1"/>
  <c r="DM8" i="22" s="1"/>
  <c r="DN8" i="22" s="1"/>
  <c r="DO8" i="22" s="1"/>
  <c r="DP8" i="22" s="1"/>
  <c r="DQ8" i="22" s="1"/>
  <c r="DE7" i="22"/>
  <c r="DF7" i="22" s="1"/>
  <c r="DG7" i="22" s="1"/>
  <c r="DH7" i="22" s="1"/>
  <c r="DI7" i="22" s="1"/>
  <c r="DJ7" i="22" s="1"/>
  <c r="DK7" i="22" s="1"/>
  <c r="DL7" i="22" s="1"/>
  <c r="DM7" i="22" s="1"/>
  <c r="DN7" i="22" s="1"/>
  <c r="DO7" i="22" s="1"/>
  <c r="DP7" i="22" s="1"/>
  <c r="DQ7" i="22" s="1"/>
  <c r="DE6" i="22"/>
  <c r="DF6" i="22" s="1"/>
  <c r="DG6" i="22" s="1"/>
  <c r="DH6" i="22" s="1"/>
  <c r="DI6" i="22" s="1"/>
  <c r="DJ6" i="22" s="1"/>
  <c r="DK6" i="22" s="1"/>
  <c r="DL6" i="22" s="1"/>
  <c r="DM6" i="22" s="1"/>
  <c r="DN6" i="22" s="1"/>
  <c r="DO6" i="22" s="1"/>
  <c r="DP6" i="22" s="1"/>
  <c r="DQ6" i="22" s="1"/>
  <c r="DE5" i="22"/>
  <c r="DF5" i="22" s="1"/>
  <c r="DG5" i="22" s="1"/>
  <c r="DH5" i="22" s="1"/>
  <c r="DI5" i="22" s="1"/>
  <c r="DJ5" i="22" s="1"/>
  <c r="DK5" i="22" s="1"/>
  <c r="DL5" i="22" s="1"/>
  <c r="DM5" i="22" s="1"/>
  <c r="DN5" i="22" s="1"/>
  <c r="DO5" i="22" s="1"/>
  <c r="DP5" i="22" s="1"/>
  <c r="DQ5" i="22" s="1"/>
  <c r="DE4" i="22"/>
  <c r="DF4" i="22" s="1"/>
  <c r="DG4" i="22" s="1"/>
  <c r="DH4" i="22" s="1"/>
  <c r="DI4" i="22" s="1"/>
  <c r="DJ4" i="22" s="1"/>
  <c r="DK4" i="22" s="1"/>
  <c r="DL4" i="22" s="1"/>
  <c r="DE3" i="22"/>
  <c r="DF3" i="22" s="1"/>
  <c r="DG3" i="22" s="1"/>
  <c r="DH3" i="22" s="1"/>
  <c r="DI3" i="22" s="1"/>
  <c r="DJ3" i="22" s="1"/>
  <c r="DK3" i="22" s="1"/>
  <c r="DL3" i="22" s="1"/>
  <c r="DE2" i="22"/>
  <c r="DF2" i="22" s="1"/>
  <c r="DG2" i="22" s="1"/>
  <c r="DH2" i="22" s="1"/>
  <c r="DI2" i="22" s="1"/>
  <c r="DJ2" i="22" s="1"/>
  <c r="DK2" i="22" s="1"/>
  <c r="DL2" i="22" s="1"/>
  <c r="R311" i="8" l="1"/>
  <c r="S310" i="8"/>
  <c r="R305" i="8"/>
  <c r="V328" i="1"/>
  <c r="FR9" i="4"/>
  <c r="FR8" i="4"/>
  <c r="FR7" i="4"/>
  <c r="FR6" i="4"/>
  <c r="FO6" i="4"/>
  <c r="X20" i="7"/>
  <c r="X21" i="7"/>
  <c r="X22" i="7"/>
  <c r="X23" i="7"/>
  <c r="X24" i="7"/>
  <c r="X25" i="7"/>
  <c r="X26" i="7"/>
  <c r="X27" i="7"/>
  <c r="X28" i="7"/>
  <c r="X29" i="7"/>
  <c r="X31" i="7"/>
  <c r="X32" i="7"/>
  <c r="X33" i="7"/>
  <c r="X34" i="7"/>
  <c r="X35" i="7"/>
  <c r="X36" i="7"/>
  <c r="X37" i="7"/>
  <c r="X38" i="7"/>
  <c r="X39" i="7"/>
  <c r="X40" i="7"/>
  <c r="X41" i="7"/>
  <c r="X43" i="7"/>
  <c r="X44" i="7"/>
  <c r="X45" i="7"/>
  <c r="X46" i="7"/>
  <c r="X47" i="7"/>
  <c r="X48" i="7"/>
  <c r="X49" i="7"/>
  <c r="X50" i="7"/>
  <c r="X51" i="7"/>
  <c r="X52" i="7"/>
  <c r="X53" i="7"/>
  <c r="X55" i="7"/>
  <c r="X56" i="7"/>
  <c r="X57" i="7"/>
  <c r="X58" i="7"/>
  <c r="X59" i="7"/>
  <c r="X60" i="7"/>
  <c r="X61" i="7"/>
  <c r="X62" i="7"/>
  <c r="X63" i="7"/>
  <c r="X64" i="7"/>
  <c r="X65" i="7"/>
  <c r="X67" i="7"/>
  <c r="X68" i="7"/>
  <c r="X69" i="7"/>
  <c r="X70" i="7"/>
  <c r="X71" i="7"/>
  <c r="X72" i="7"/>
  <c r="X73" i="7"/>
  <c r="X74" i="7"/>
  <c r="X75" i="7"/>
  <c r="X76" i="7"/>
  <c r="X77" i="7"/>
  <c r="X79" i="7"/>
  <c r="X80" i="7"/>
  <c r="X81" i="7"/>
  <c r="X82" i="7"/>
  <c r="X83" i="7"/>
  <c r="X84" i="7"/>
  <c r="X85" i="7"/>
  <c r="X86" i="7"/>
  <c r="X87" i="7"/>
  <c r="X88" i="7"/>
  <c r="X89" i="7"/>
  <c r="X91" i="7"/>
  <c r="X92" i="7"/>
  <c r="X93" i="7"/>
  <c r="X94" i="7"/>
  <c r="X95" i="7"/>
  <c r="X96" i="7"/>
  <c r="X97" i="7"/>
  <c r="X98" i="7"/>
  <c r="X99" i="7"/>
  <c r="X100" i="7"/>
  <c r="X101" i="7"/>
  <c r="X103" i="7"/>
  <c r="X104" i="7"/>
  <c r="X105" i="7"/>
  <c r="X106" i="7"/>
  <c r="X107" i="7"/>
  <c r="X108" i="7"/>
  <c r="X109" i="7"/>
  <c r="X110" i="7"/>
  <c r="X111" i="7"/>
  <c r="X112" i="7"/>
  <c r="X113" i="7"/>
  <c r="X115" i="7"/>
  <c r="X116" i="7"/>
  <c r="X117" i="7"/>
  <c r="X118" i="7"/>
  <c r="X119" i="7"/>
  <c r="X120" i="7"/>
  <c r="X121" i="7"/>
  <c r="X122" i="7"/>
  <c r="X123" i="7"/>
  <c r="X124" i="7"/>
  <c r="X125" i="7"/>
  <c r="X127" i="7"/>
  <c r="X128" i="7"/>
  <c r="X129" i="7"/>
  <c r="X130" i="7"/>
  <c r="X131" i="7"/>
  <c r="X132" i="7"/>
  <c r="X133" i="7"/>
  <c r="X134" i="7"/>
  <c r="X135" i="7"/>
  <c r="X136" i="7"/>
  <c r="X137" i="7"/>
  <c r="X139" i="7"/>
  <c r="X140" i="7"/>
  <c r="X141" i="7"/>
  <c r="X142" i="7"/>
  <c r="X143" i="7"/>
  <c r="X144" i="7"/>
  <c r="X145" i="7"/>
  <c r="X146" i="7"/>
  <c r="X147" i="7"/>
  <c r="X148" i="7"/>
  <c r="X149" i="7"/>
  <c r="X151" i="7"/>
  <c r="X152" i="7"/>
  <c r="X153" i="7"/>
  <c r="X154" i="7"/>
  <c r="X155" i="7"/>
  <c r="X156" i="7"/>
  <c r="X157" i="7"/>
  <c r="X158" i="7"/>
  <c r="X159" i="7"/>
  <c r="X160" i="7"/>
  <c r="X161" i="7"/>
  <c r="X163" i="7"/>
  <c r="X164" i="7"/>
  <c r="X165" i="7"/>
  <c r="X166" i="7"/>
  <c r="X167" i="7"/>
  <c r="X168" i="7"/>
  <c r="X169" i="7"/>
  <c r="X170" i="7"/>
  <c r="X171" i="7"/>
  <c r="X172" i="7"/>
  <c r="X173" i="7"/>
  <c r="X175" i="7"/>
  <c r="X176" i="7"/>
  <c r="X177" i="7"/>
  <c r="X178" i="7"/>
  <c r="X179" i="7"/>
  <c r="X180" i="7"/>
  <c r="X181" i="7"/>
  <c r="X182" i="7"/>
  <c r="X183" i="7"/>
  <c r="X184" i="7"/>
  <c r="X185" i="7"/>
  <c r="X187" i="7"/>
  <c r="X188" i="7"/>
  <c r="X189" i="7"/>
  <c r="X190" i="7"/>
  <c r="X191" i="7"/>
  <c r="X192" i="7"/>
  <c r="X193" i="7"/>
  <c r="X194" i="7"/>
  <c r="X195" i="7"/>
  <c r="X196" i="7"/>
  <c r="X197" i="7"/>
  <c r="X199" i="7"/>
  <c r="X200" i="7"/>
  <c r="X201" i="7"/>
  <c r="X202" i="7"/>
  <c r="X203" i="7"/>
  <c r="X204" i="7"/>
  <c r="X205" i="7"/>
  <c r="X206" i="7"/>
  <c r="X207" i="7"/>
  <c r="X208" i="7"/>
  <c r="X209" i="7"/>
  <c r="X211" i="7"/>
  <c r="X212" i="7"/>
  <c r="X213" i="7"/>
  <c r="X214" i="7"/>
  <c r="X215" i="7"/>
  <c r="X216" i="7"/>
  <c r="X217" i="7"/>
  <c r="X218" i="7"/>
  <c r="X219" i="7"/>
  <c r="X220" i="7"/>
  <c r="X221" i="7"/>
  <c r="X223" i="7"/>
  <c r="X224" i="7"/>
  <c r="X225" i="7"/>
  <c r="X226" i="7"/>
  <c r="X227" i="7"/>
  <c r="X228" i="7"/>
  <c r="X229" i="7"/>
  <c r="X230" i="7"/>
  <c r="X231" i="7"/>
  <c r="X232" i="7"/>
  <c r="X233" i="7"/>
  <c r="X235" i="7"/>
  <c r="X236" i="7"/>
  <c r="X237" i="7"/>
  <c r="X238" i="7"/>
  <c r="X239" i="7"/>
  <c r="X240" i="7"/>
  <c r="X241" i="7"/>
  <c r="X242" i="7"/>
  <c r="X243" i="7"/>
  <c r="X244" i="7"/>
  <c r="X245" i="7"/>
  <c r="X247" i="7"/>
  <c r="X248" i="7"/>
  <c r="X249" i="7"/>
  <c r="X250" i="7"/>
  <c r="X251" i="7"/>
  <c r="X252" i="7"/>
  <c r="X253" i="7"/>
  <c r="X254" i="7"/>
  <c r="X255" i="7"/>
  <c r="X256" i="7"/>
  <c r="X257" i="7"/>
  <c r="X19" i="7"/>
  <c r="IK5" i="4"/>
  <c r="LC17" i="4" s="1"/>
  <c r="N12" i="22"/>
  <c r="R312" i="8" l="1"/>
  <c r="S311" i="8"/>
  <c r="S305" i="8"/>
  <c r="R306" i="8"/>
  <c r="V329" i="1"/>
  <c r="LC7" i="4"/>
  <c r="LC8" i="4"/>
  <c r="LC9" i="4"/>
  <c r="LC13" i="4"/>
  <c r="LC14" i="4"/>
  <c r="LC15" i="4"/>
  <c r="LC5" i="4"/>
  <c r="LC16" i="4"/>
  <c r="LC6" i="4"/>
  <c r="AY2" i="22"/>
  <c r="R313" i="8" l="1"/>
  <c r="S312" i="8"/>
  <c r="S306" i="8"/>
  <c r="R307" i="8"/>
  <c r="V330" i="1"/>
  <c r="W329" i="1"/>
  <c r="A12" i="2"/>
  <c r="B9" i="2"/>
  <c r="R314" i="8" l="1"/>
  <c r="R308" i="8"/>
  <c r="S308" i="8" s="1"/>
  <c r="S307" i="8"/>
  <c r="W330" i="1"/>
  <c r="V331" i="1"/>
  <c r="GB18" i="8"/>
  <c r="GB17" i="8"/>
  <c r="GB19" i="8"/>
  <c r="EJ18" i="8"/>
  <c r="EJ19" i="8"/>
  <c r="EJ17" i="8"/>
  <c r="CR17" i="8"/>
  <c r="CR18" i="8"/>
  <c r="CR19" i="8"/>
  <c r="H10" i="22"/>
  <c r="R315" i="8" l="1"/>
  <c r="S314" i="8"/>
  <c r="V332" i="1"/>
  <c r="W331" i="1"/>
  <c r="AE18" i="20"/>
  <c r="AE19" i="20"/>
  <c r="AE20" i="20"/>
  <c r="AE22" i="20"/>
  <c r="AE23" i="20"/>
  <c r="AE24" i="20"/>
  <c r="AE25" i="20"/>
  <c r="AE26" i="20"/>
  <c r="AE27" i="20"/>
  <c r="AE28" i="20"/>
  <c r="AE29" i="20"/>
  <c r="AE30" i="20"/>
  <c r="AE31" i="20"/>
  <c r="AE32" i="20"/>
  <c r="AE33" i="20"/>
  <c r="AE34" i="20"/>
  <c r="AE35" i="20"/>
  <c r="AE36" i="20"/>
  <c r="AE37" i="20"/>
  <c r="AE38" i="20"/>
  <c r="AE40" i="20"/>
  <c r="AE41" i="20"/>
  <c r="AE42" i="20"/>
  <c r="AE43" i="20"/>
  <c r="AE44" i="20"/>
  <c r="AE45" i="20"/>
  <c r="AE46" i="20"/>
  <c r="AE47" i="20"/>
  <c r="AE48" i="20"/>
  <c r="AE49" i="20"/>
  <c r="AE50" i="20"/>
  <c r="AE51" i="20"/>
  <c r="AE52" i="20"/>
  <c r="AE53" i="20"/>
  <c r="AE54" i="20"/>
  <c r="AE55" i="20"/>
  <c r="AE56" i="20"/>
  <c r="AE57" i="20"/>
  <c r="AE58" i="20"/>
  <c r="AE59" i="20"/>
  <c r="AE60" i="20"/>
  <c r="AE61" i="20"/>
  <c r="AE62" i="20"/>
  <c r="AE63" i="20"/>
  <c r="AE64" i="20"/>
  <c r="AE65" i="20"/>
  <c r="AE66" i="20"/>
  <c r="AE67" i="20"/>
  <c r="AE68" i="20"/>
  <c r="AE69" i="20"/>
  <c r="AE70" i="20"/>
  <c r="AE71" i="20"/>
  <c r="AE72" i="20"/>
  <c r="AE73" i="20"/>
  <c r="AE74" i="20"/>
  <c r="AE75" i="20"/>
  <c r="AE76" i="20"/>
  <c r="AE77" i="20"/>
  <c r="AE78" i="20"/>
  <c r="AE79" i="20"/>
  <c r="AE80" i="20"/>
  <c r="AE81" i="20"/>
  <c r="AE82" i="20"/>
  <c r="AE83" i="20"/>
  <c r="AE84" i="20"/>
  <c r="AE85" i="20"/>
  <c r="AE86" i="20"/>
  <c r="AE87" i="20"/>
  <c r="AE88" i="20"/>
  <c r="AE89" i="20"/>
  <c r="AE90" i="20"/>
  <c r="AE91" i="20"/>
  <c r="AE92" i="20"/>
  <c r="AE93" i="20"/>
  <c r="AE94" i="20"/>
  <c r="AE95" i="20"/>
  <c r="AE96" i="20"/>
  <c r="AE97" i="20"/>
  <c r="AE98" i="20"/>
  <c r="AE99" i="20"/>
  <c r="AE100" i="20"/>
  <c r="AE101" i="20"/>
  <c r="AE102" i="20"/>
  <c r="AE103" i="20"/>
  <c r="AE104" i="20"/>
  <c r="AE105" i="20"/>
  <c r="AE106" i="20"/>
  <c r="AE107" i="20"/>
  <c r="AE108" i="20"/>
  <c r="AE109" i="20"/>
  <c r="AE110" i="20"/>
  <c r="AE111" i="20"/>
  <c r="AE112" i="20"/>
  <c r="AE113" i="20"/>
  <c r="AE114" i="20"/>
  <c r="AE115" i="20"/>
  <c r="AE116" i="20"/>
  <c r="AE117" i="20"/>
  <c r="AE118" i="20"/>
  <c r="AE119" i="20"/>
  <c r="AE120" i="20"/>
  <c r="AE121" i="20"/>
  <c r="AE122" i="20"/>
  <c r="AE123" i="20"/>
  <c r="AE124" i="20"/>
  <c r="AE125" i="20"/>
  <c r="AE126" i="20"/>
  <c r="AE127" i="20"/>
  <c r="AE128" i="20"/>
  <c r="AE129" i="20"/>
  <c r="AE130" i="20"/>
  <c r="AE131" i="20"/>
  <c r="AE132" i="20"/>
  <c r="AE133" i="20"/>
  <c r="AE134" i="20"/>
  <c r="AE135" i="20"/>
  <c r="AE136" i="20"/>
  <c r="AE137" i="20"/>
  <c r="AE138" i="20"/>
  <c r="AE139" i="20"/>
  <c r="AE140" i="20"/>
  <c r="AE141" i="20"/>
  <c r="AE142" i="20"/>
  <c r="AE143" i="20"/>
  <c r="AE144" i="20"/>
  <c r="AE145" i="20"/>
  <c r="AE146" i="20"/>
  <c r="AE147" i="20"/>
  <c r="AE148" i="20"/>
  <c r="AE149" i="20"/>
  <c r="AE150" i="20"/>
  <c r="AE151" i="20"/>
  <c r="AE152" i="20"/>
  <c r="AE153" i="20"/>
  <c r="AE154" i="20"/>
  <c r="AE155" i="20"/>
  <c r="AE156" i="20"/>
  <c r="AE157" i="20"/>
  <c r="AE158" i="20"/>
  <c r="AE159" i="20"/>
  <c r="AE160" i="20"/>
  <c r="AE161" i="20"/>
  <c r="AE162" i="20"/>
  <c r="AE163" i="20"/>
  <c r="AE164" i="20"/>
  <c r="AE165" i="20"/>
  <c r="AE166" i="20"/>
  <c r="AE167" i="20"/>
  <c r="AE168" i="20"/>
  <c r="AE169" i="20"/>
  <c r="AE170" i="20"/>
  <c r="AE171" i="20"/>
  <c r="AE172" i="20"/>
  <c r="AE173" i="20"/>
  <c r="AE174" i="20"/>
  <c r="AE175" i="20"/>
  <c r="AE176" i="20"/>
  <c r="AE177" i="20"/>
  <c r="AE178" i="20"/>
  <c r="AE179" i="20"/>
  <c r="AE180" i="20"/>
  <c r="AE181" i="20"/>
  <c r="AE182" i="20"/>
  <c r="AE183" i="20"/>
  <c r="AE184" i="20"/>
  <c r="AE185" i="20"/>
  <c r="AE186" i="20"/>
  <c r="AE187" i="20"/>
  <c r="AE188" i="20"/>
  <c r="AE189" i="20"/>
  <c r="AE190" i="20"/>
  <c r="AE191" i="20"/>
  <c r="AE192" i="20"/>
  <c r="AE193" i="20"/>
  <c r="AE194" i="20"/>
  <c r="AE195" i="20"/>
  <c r="AE196" i="20"/>
  <c r="AE197" i="20"/>
  <c r="AE198" i="20"/>
  <c r="AE199" i="20"/>
  <c r="AE200" i="20"/>
  <c r="AE201" i="20"/>
  <c r="AE202" i="20"/>
  <c r="AE203" i="20"/>
  <c r="AE204" i="20"/>
  <c r="AE205" i="20"/>
  <c r="AE206" i="20"/>
  <c r="AE207" i="20"/>
  <c r="AE208" i="20"/>
  <c r="AE209" i="20"/>
  <c r="AE210" i="20"/>
  <c r="AE211" i="20"/>
  <c r="AE212" i="20"/>
  <c r="AE213" i="20"/>
  <c r="AE214" i="20"/>
  <c r="AE215" i="20"/>
  <c r="AE216" i="20"/>
  <c r="AE217" i="20"/>
  <c r="AE218" i="20"/>
  <c r="AE219" i="20"/>
  <c r="AE220" i="20"/>
  <c r="AE221" i="20"/>
  <c r="AE222" i="20"/>
  <c r="AE223" i="20"/>
  <c r="AE224" i="20"/>
  <c r="AE225" i="20"/>
  <c r="AE226" i="20"/>
  <c r="AE227" i="20"/>
  <c r="AE228" i="20"/>
  <c r="AE229" i="20"/>
  <c r="AE230" i="20"/>
  <c r="AE231" i="20"/>
  <c r="AE232" i="20"/>
  <c r="AE233" i="20"/>
  <c r="AE234" i="20"/>
  <c r="AE235" i="20"/>
  <c r="AE236" i="20"/>
  <c r="AE237" i="20"/>
  <c r="AE238" i="20"/>
  <c r="AE239" i="20"/>
  <c r="AE240" i="20"/>
  <c r="AE241" i="20"/>
  <c r="AE242" i="20"/>
  <c r="AE243" i="20"/>
  <c r="AE244" i="20"/>
  <c r="AE245" i="20"/>
  <c r="AE246" i="20"/>
  <c r="AE247" i="20"/>
  <c r="AE248" i="20"/>
  <c r="AE249" i="20"/>
  <c r="AE250" i="20"/>
  <c r="AE251" i="20"/>
  <c r="AE252" i="20"/>
  <c r="AE253" i="20"/>
  <c r="AE254" i="20"/>
  <c r="AE255" i="20"/>
  <c r="AE17" i="20"/>
  <c r="AC10" i="20"/>
  <c r="W18" i="20"/>
  <c r="W19" i="20"/>
  <c r="W20" i="20"/>
  <c r="W21" i="20"/>
  <c r="W22" i="20"/>
  <c r="W23" i="20"/>
  <c r="W24" i="20"/>
  <c r="W25" i="20"/>
  <c r="W26" i="20"/>
  <c r="W27" i="20"/>
  <c r="W29" i="20"/>
  <c r="W30" i="20"/>
  <c r="W31" i="20"/>
  <c r="W32" i="20"/>
  <c r="W33" i="20"/>
  <c r="W34" i="20"/>
  <c r="W35" i="20"/>
  <c r="W36" i="20"/>
  <c r="W37" i="20"/>
  <c r="W38" i="20"/>
  <c r="W39" i="20"/>
  <c r="W41" i="20"/>
  <c r="W42" i="20"/>
  <c r="W43" i="20"/>
  <c r="W44" i="20"/>
  <c r="W45" i="20"/>
  <c r="W46" i="20"/>
  <c r="W47" i="20"/>
  <c r="W48" i="20"/>
  <c r="W49" i="20"/>
  <c r="W50" i="20"/>
  <c r="W51" i="20"/>
  <c r="W53" i="20"/>
  <c r="W54" i="20"/>
  <c r="W55" i="20"/>
  <c r="W56" i="20"/>
  <c r="W57" i="20"/>
  <c r="W58" i="20"/>
  <c r="W59" i="20"/>
  <c r="W60" i="20"/>
  <c r="W61" i="20"/>
  <c r="W62" i="20"/>
  <c r="W63" i="20"/>
  <c r="W65" i="20"/>
  <c r="W66" i="20"/>
  <c r="W67" i="20"/>
  <c r="W68" i="20"/>
  <c r="W69" i="20"/>
  <c r="W70" i="20"/>
  <c r="W71" i="20"/>
  <c r="W72" i="20"/>
  <c r="W73" i="20"/>
  <c r="W74" i="20"/>
  <c r="W75" i="20"/>
  <c r="W77" i="20"/>
  <c r="W78" i="20"/>
  <c r="W79" i="20"/>
  <c r="W80" i="20"/>
  <c r="W81" i="20"/>
  <c r="W82" i="20"/>
  <c r="W83" i="20"/>
  <c r="W84" i="20"/>
  <c r="W85" i="20"/>
  <c r="W86" i="20"/>
  <c r="W87" i="20"/>
  <c r="W89" i="20"/>
  <c r="W90" i="20"/>
  <c r="W91" i="20"/>
  <c r="W92" i="20"/>
  <c r="W93" i="20"/>
  <c r="W94" i="20"/>
  <c r="W95" i="20"/>
  <c r="W96" i="20"/>
  <c r="W97" i="20"/>
  <c r="W98" i="20"/>
  <c r="W99" i="20"/>
  <c r="W101" i="20"/>
  <c r="W102" i="20"/>
  <c r="W103" i="20"/>
  <c r="W104" i="20"/>
  <c r="W105" i="20"/>
  <c r="W106" i="20"/>
  <c r="W107" i="20"/>
  <c r="W108" i="20"/>
  <c r="W109" i="20"/>
  <c r="W110" i="20"/>
  <c r="W111" i="20"/>
  <c r="W113" i="20"/>
  <c r="W114" i="20"/>
  <c r="W115" i="20"/>
  <c r="W116" i="20"/>
  <c r="W117" i="20"/>
  <c r="W118" i="20"/>
  <c r="W119" i="20"/>
  <c r="W120" i="20"/>
  <c r="W121" i="20"/>
  <c r="W122" i="20"/>
  <c r="W123" i="20"/>
  <c r="W125" i="20"/>
  <c r="W126" i="20"/>
  <c r="W127" i="20"/>
  <c r="W128" i="20"/>
  <c r="W129" i="20"/>
  <c r="W130" i="20"/>
  <c r="W131" i="20"/>
  <c r="W132" i="20"/>
  <c r="W133" i="20"/>
  <c r="W134" i="20"/>
  <c r="W135" i="20"/>
  <c r="W137" i="20"/>
  <c r="W138" i="20"/>
  <c r="W139" i="20"/>
  <c r="W140" i="20"/>
  <c r="W141" i="20"/>
  <c r="W142" i="20"/>
  <c r="W143" i="20"/>
  <c r="W144" i="20"/>
  <c r="W145" i="20"/>
  <c r="W146" i="20"/>
  <c r="W147" i="20"/>
  <c r="W149" i="20"/>
  <c r="W150" i="20"/>
  <c r="W151" i="20"/>
  <c r="W152" i="20"/>
  <c r="W153" i="20"/>
  <c r="W154" i="20"/>
  <c r="W155" i="20"/>
  <c r="W156" i="20"/>
  <c r="W157" i="20"/>
  <c r="W158" i="20"/>
  <c r="W159" i="20"/>
  <c r="W161" i="20"/>
  <c r="W162" i="20"/>
  <c r="W163" i="20"/>
  <c r="W164" i="20"/>
  <c r="W165" i="20"/>
  <c r="W166" i="20"/>
  <c r="W167" i="20"/>
  <c r="W168" i="20"/>
  <c r="W169" i="20"/>
  <c r="W170" i="20"/>
  <c r="W171" i="20"/>
  <c r="W173" i="20"/>
  <c r="W174" i="20"/>
  <c r="W175" i="20"/>
  <c r="W176" i="20"/>
  <c r="W177" i="20"/>
  <c r="W178" i="20"/>
  <c r="W179" i="20"/>
  <c r="W180" i="20"/>
  <c r="W181" i="20"/>
  <c r="W182" i="20"/>
  <c r="W183" i="20"/>
  <c r="W185" i="20"/>
  <c r="W186" i="20"/>
  <c r="W187" i="20"/>
  <c r="W188" i="20"/>
  <c r="W189" i="20"/>
  <c r="W190" i="20"/>
  <c r="W191" i="20"/>
  <c r="W192" i="20"/>
  <c r="W193" i="20"/>
  <c r="W194" i="20"/>
  <c r="W195" i="20"/>
  <c r="W197" i="20"/>
  <c r="W198" i="20"/>
  <c r="W199" i="20"/>
  <c r="W200" i="20"/>
  <c r="W201" i="20"/>
  <c r="W202" i="20"/>
  <c r="W203" i="20"/>
  <c r="W204" i="20"/>
  <c r="W205" i="20"/>
  <c r="W206" i="20"/>
  <c r="W207" i="20"/>
  <c r="W209" i="20"/>
  <c r="W210" i="20"/>
  <c r="W211" i="20"/>
  <c r="W212" i="20"/>
  <c r="W213" i="20"/>
  <c r="W214" i="20"/>
  <c r="W215" i="20"/>
  <c r="W216" i="20"/>
  <c r="W217" i="20"/>
  <c r="W218" i="20"/>
  <c r="W219" i="20"/>
  <c r="W221" i="20"/>
  <c r="W222" i="20"/>
  <c r="W223" i="20"/>
  <c r="W224" i="20"/>
  <c r="W225" i="20"/>
  <c r="W226" i="20"/>
  <c r="W227" i="20"/>
  <c r="W228" i="20"/>
  <c r="W229" i="20"/>
  <c r="W230" i="20"/>
  <c r="W231" i="20"/>
  <c r="W233" i="20"/>
  <c r="W234" i="20"/>
  <c r="W235" i="20"/>
  <c r="W236" i="20"/>
  <c r="W237" i="20"/>
  <c r="W238" i="20"/>
  <c r="W239" i="20"/>
  <c r="W240" i="20"/>
  <c r="W241" i="20"/>
  <c r="W242" i="20"/>
  <c r="W243" i="20"/>
  <c r="W245" i="20"/>
  <c r="W246" i="20"/>
  <c r="W247" i="20"/>
  <c r="W248" i="20"/>
  <c r="W249" i="20"/>
  <c r="W250" i="20"/>
  <c r="W251" i="20"/>
  <c r="W252" i="20"/>
  <c r="W253" i="20"/>
  <c r="W254" i="20"/>
  <c r="W255" i="20"/>
  <c r="W17" i="20"/>
  <c r="X53" i="20"/>
  <c r="X54" i="20"/>
  <c r="X55" i="20"/>
  <c r="X56" i="20"/>
  <c r="X57" i="20"/>
  <c r="X58" i="20"/>
  <c r="X59" i="20"/>
  <c r="X60" i="20"/>
  <c r="X61" i="20"/>
  <c r="X62" i="20"/>
  <c r="X63" i="20"/>
  <c r="X64" i="20"/>
  <c r="X65" i="20"/>
  <c r="X66" i="20"/>
  <c r="X67" i="20"/>
  <c r="X68" i="20"/>
  <c r="X69" i="20"/>
  <c r="X70" i="20"/>
  <c r="X71" i="20"/>
  <c r="X72" i="20"/>
  <c r="X73" i="20"/>
  <c r="X74" i="20"/>
  <c r="X75" i="20"/>
  <c r="X76" i="20"/>
  <c r="X77" i="20"/>
  <c r="X78" i="20"/>
  <c r="X79" i="20"/>
  <c r="X80" i="20"/>
  <c r="X81" i="20"/>
  <c r="X82" i="20"/>
  <c r="X83" i="20"/>
  <c r="X84" i="20"/>
  <c r="X85" i="20"/>
  <c r="X86" i="20"/>
  <c r="X87" i="20"/>
  <c r="X88" i="20"/>
  <c r="X89" i="20"/>
  <c r="X90" i="20"/>
  <c r="X91" i="20"/>
  <c r="X92" i="20"/>
  <c r="X93" i="20"/>
  <c r="X94" i="20"/>
  <c r="X95" i="20"/>
  <c r="X96" i="20"/>
  <c r="X97" i="20"/>
  <c r="X98" i="20"/>
  <c r="X99" i="20"/>
  <c r="X100" i="20"/>
  <c r="X101" i="20"/>
  <c r="X102" i="20"/>
  <c r="X103" i="20"/>
  <c r="X104" i="20"/>
  <c r="X105" i="20"/>
  <c r="X106" i="20"/>
  <c r="X107" i="20"/>
  <c r="X108" i="20"/>
  <c r="X109" i="20"/>
  <c r="X110" i="20"/>
  <c r="X111" i="20"/>
  <c r="X112" i="20"/>
  <c r="X113" i="20"/>
  <c r="X114" i="20"/>
  <c r="X115" i="20"/>
  <c r="X116" i="20"/>
  <c r="X117" i="20"/>
  <c r="X118" i="20"/>
  <c r="X119" i="20"/>
  <c r="X120" i="20"/>
  <c r="X121" i="20"/>
  <c r="X122" i="20"/>
  <c r="X123" i="20"/>
  <c r="X124" i="20"/>
  <c r="X125" i="20"/>
  <c r="X126" i="20"/>
  <c r="X127" i="20"/>
  <c r="X128" i="20"/>
  <c r="X129" i="20"/>
  <c r="X130" i="20"/>
  <c r="X131" i="20"/>
  <c r="X132" i="20"/>
  <c r="X133" i="20"/>
  <c r="X134" i="20"/>
  <c r="X135" i="20"/>
  <c r="X136" i="20"/>
  <c r="X137" i="20"/>
  <c r="X138" i="20"/>
  <c r="X139" i="20"/>
  <c r="X140" i="20"/>
  <c r="X141" i="20"/>
  <c r="X142" i="20"/>
  <c r="X143" i="20"/>
  <c r="X144" i="20"/>
  <c r="X145" i="20"/>
  <c r="X146" i="20"/>
  <c r="X147" i="20"/>
  <c r="X148" i="20"/>
  <c r="X149" i="20"/>
  <c r="X150" i="20"/>
  <c r="X151" i="20"/>
  <c r="X152" i="20"/>
  <c r="X153" i="20"/>
  <c r="X154" i="20"/>
  <c r="X155" i="20"/>
  <c r="X156" i="20"/>
  <c r="X157" i="20"/>
  <c r="X158" i="20"/>
  <c r="X159" i="20"/>
  <c r="X160" i="20"/>
  <c r="X161" i="20"/>
  <c r="X162" i="20"/>
  <c r="X163" i="20"/>
  <c r="X164" i="20"/>
  <c r="X165" i="20"/>
  <c r="X166" i="20"/>
  <c r="X167" i="20"/>
  <c r="X168" i="20"/>
  <c r="X169" i="20"/>
  <c r="X170" i="20"/>
  <c r="X171" i="20"/>
  <c r="X172" i="20"/>
  <c r="X173" i="20"/>
  <c r="X174" i="20"/>
  <c r="X175" i="20"/>
  <c r="X176" i="20"/>
  <c r="X177" i="20"/>
  <c r="X178" i="20"/>
  <c r="X179" i="20"/>
  <c r="X180" i="20"/>
  <c r="X181" i="20"/>
  <c r="X182" i="20"/>
  <c r="X183" i="20"/>
  <c r="X184" i="20"/>
  <c r="X185" i="20"/>
  <c r="X186" i="20"/>
  <c r="X187" i="20"/>
  <c r="X188" i="20"/>
  <c r="X189" i="20"/>
  <c r="X190" i="20"/>
  <c r="X191" i="20"/>
  <c r="X192" i="20"/>
  <c r="X193" i="20"/>
  <c r="X194" i="20"/>
  <c r="X195" i="20"/>
  <c r="X196" i="20"/>
  <c r="X197" i="20"/>
  <c r="X198" i="20"/>
  <c r="X199" i="20"/>
  <c r="X200" i="20"/>
  <c r="X201" i="20"/>
  <c r="X202" i="20"/>
  <c r="X203" i="20"/>
  <c r="X204" i="20"/>
  <c r="X205" i="20"/>
  <c r="X206" i="20"/>
  <c r="X207" i="20"/>
  <c r="X208" i="20"/>
  <c r="X209" i="20"/>
  <c r="X210" i="20"/>
  <c r="X211" i="20"/>
  <c r="X212" i="20"/>
  <c r="X213" i="20"/>
  <c r="X214" i="20"/>
  <c r="X215" i="20"/>
  <c r="X216" i="20"/>
  <c r="X217" i="20"/>
  <c r="X218" i="20"/>
  <c r="X219" i="20"/>
  <c r="X220" i="20"/>
  <c r="X221" i="20"/>
  <c r="X222" i="20"/>
  <c r="X223" i="20"/>
  <c r="X224" i="20"/>
  <c r="X225" i="20"/>
  <c r="X226" i="20"/>
  <c r="X227" i="20"/>
  <c r="X228" i="20"/>
  <c r="X229" i="20"/>
  <c r="X230" i="20"/>
  <c r="X231" i="20"/>
  <c r="X232" i="20"/>
  <c r="X233" i="20"/>
  <c r="X234" i="20"/>
  <c r="X235" i="20"/>
  <c r="X236" i="20"/>
  <c r="X237" i="20"/>
  <c r="X238" i="20"/>
  <c r="X239" i="20"/>
  <c r="X240" i="20"/>
  <c r="X241" i="20"/>
  <c r="X242" i="20"/>
  <c r="X243" i="20"/>
  <c r="X244" i="20"/>
  <c r="X245" i="20"/>
  <c r="X246" i="20"/>
  <c r="X247" i="20"/>
  <c r="X248" i="20"/>
  <c r="X249" i="20"/>
  <c r="X250" i="20"/>
  <c r="X251" i="20"/>
  <c r="X252" i="20"/>
  <c r="X253" i="20"/>
  <c r="X254" i="20"/>
  <c r="X255" i="20"/>
  <c r="X52" i="20"/>
  <c r="R316" i="8" l="1"/>
  <c r="S315" i="8"/>
  <c r="W332" i="1"/>
  <c r="V333" i="1"/>
  <c r="AD250" i="20"/>
  <c r="AC250" i="20" s="1"/>
  <c r="AD242" i="20"/>
  <c r="AC242" i="20" s="1"/>
  <c r="AD234" i="20"/>
  <c r="AC234" i="20" s="1"/>
  <c r="AD226" i="20"/>
  <c r="AC226" i="20" s="1"/>
  <c r="AD218" i="20"/>
  <c r="AC218" i="20" s="1"/>
  <c r="AD210" i="20"/>
  <c r="AC210" i="20" s="1"/>
  <c r="AD202" i="20"/>
  <c r="AC202" i="20" s="1"/>
  <c r="AD194" i="20"/>
  <c r="AC194" i="20" s="1"/>
  <c r="AD186" i="20"/>
  <c r="AC186" i="20" s="1"/>
  <c r="AD178" i="20"/>
  <c r="AC178" i="20" s="1"/>
  <c r="AD170" i="20"/>
  <c r="AC170" i="20" s="1"/>
  <c r="AD162" i="20"/>
  <c r="AC162" i="20" s="1"/>
  <c r="AD154" i="20"/>
  <c r="AC154" i="20" s="1"/>
  <c r="AD146" i="20"/>
  <c r="AC146" i="20" s="1"/>
  <c r="AD138" i="20"/>
  <c r="AC138" i="20" s="1"/>
  <c r="AD130" i="20"/>
  <c r="AC130" i="20" s="1"/>
  <c r="AD122" i="20"/>
  <c r="AC122" i="20" s="1"/>
  <c r="AD114" i="20"/>
  <c r="AC114" i="20" s="1"/>
  <c r="AD106" i="20"/>
  <c r="AC106" i="20" s="1"/>
  <c r="AD98" i="20"/>
  <c r="AC98" i="20" s="1"/>
  <c r="AD90" i="20"/>
  <c r="AC90" i="20" s="1"/>
  <c r="AD82" i="20"/>
  <c r="AC82" i="20" s="1"/>
  <c r="AD74" i="20"/>
  <c r="AC74" i="20" s="1"/>
  <c r="AD66" i="20"/>
  <c r="AC66" i="20" s="1"/>
  <c r="AD58" i="20"/>
  <c r="AC58" i="20" s="1"/>
  <c r="AD50" i="20"/>
  <c r="AC50" i="20" s="1"/>
  <c r="AD42" i="20"/>
  <c r="AC42" i="20" s="1"/>
  <c r="AD33" i="20"/>
  <c r="AC33" i="20" s="1"/>
  <c r="AD25" i="20"/>
  <c r="AC25" i="20" s="1"/>
  <c r="AD251" i="20"/>
  <c r="AC251" i="20" s="1"/>
  <c r="AD243" i="20"/>
  <c r="AC243" i="20" s="1"/>
  <c r="AD235" i="20"/>
  <c r="AC235" i="20" s="1"/>
  <c r="AD227" i="20"/>
  <c r="AC227" i="20" s="1"/>
  <c r="AD219" i="20"/>
  <c r="AC219" i="20" s="1"/>
  <c r="AD211" i="20"/>
  <c r="AC211" i="20" s="1"/>
  <c r="AD203" i="20"/>
  <c r="AC203" i="20" s="1"/>
  <c r="AD195" i="20"/>
  <c r="AC195" i="20" s="1"/>
  <c r="AD187" i="20"/>
  <c r="AC187" i="20" s="1"/>
  <c r="AD179" i="20"/>
  <c r="AC179" i="20" s="1"/>
  <c r="AD171" i="20"/>
  <c r="AC171" i="20" s="1"/>
  <c r="AD163" i="20"/>
  <c r="AC163" i="20" s="1"/>
  <c r="AD155" i="20"/>
  <c r="AC155" i="20" s="1"/>
  <c r="AD147" i="20"/>
  <c r="AC147" i="20" s="1"/>
  <c r="AD139" i="20"/>
  <c r="AC139" i="20" s="1"/>
  <c r="AD131" i="20"/>
  <c r="AC131" i="20" s="1"/>
  <c r="AD123" i="20"/>
  <c r="AC123" i="20" s="1"/>
  <c r="AD115" i="20"/>
  <c r="AC115" i="20" s="1"/>
  <c r="AD107" i="20"/>
  <c r="AC107" i="20" s="1"/>
  <c r="AD99" i="20"/>
  <c r="AC99" i="20" s="1"/>
  <c r="AD91" i="20"/>
  <c r="AC91" i="20" s="1"/>
  <c r="AD83" i="20"/>
  <c r="AC83" i="20" s="1"/>
  <c r="AD75" i="20"/>
  <c r="AC75" i="20" s="1"/>
  <c r="AD67" i="20"/>
  <c r="AC67" i="20" s="1"/>
  <c r="AD59" i="20"/>
  <c r="AC59" i="20" s="1"/>
  <c r="AD51" i="20"/>
  <c r="AC51" i="20" s="1"/>
  <c r="AD43" i="20"/>
  <c r="AC43" i="20" s="1"/>
  <c r="AD34" i="20"/>
  <c r="AC34" i="20" s="1"/>
  <c r="AD26" i="20"/>
  <c r="AC26" i="20" s="1"/>
  <c r="AD249" i="20"/>
  <c r="AC249" i="20" s="1"/>
  <c r="AD241" i="20"/>
  <c r="AC241" i="20" s="1"/>
  <c r="AD233" i="20"/>
  <c r="AC233" i="20" s="1"/>
  <c r="AD225" i="20"/>
  <c r="AC225" i="20" s="1"/>
  <c r="AD217" i="20"/>
  <c r="AC217" i="20" s="1"/>
  <c r="AD209" i="20"/>
  <c r="AC209" i="20" s="1"/>
  <c r="AD201" i="20"/>
  <c r="AC201" i="20" s="1"/>
  <c r="AD193" i="20"/>
  <c r="AC193" i="20" s="1"/>
  <c r="AD185" i="20"/>
  <c r="AC185" i="20" s="1"/>
  <c r="AD177" i="20"/>
  <c r="AC177" i="20" s="1"/>
  <c r="AD169" i="20"/>
  <c r="AC169" i="20" s="1"/>
  <c r="AD161" i="20"/>
  <c r="AC161" i="20" s="1"/>
  <c r="AD153" i="20"/>
  <c r="AC153" i="20" s="1"/>
  <c r="AD145" i="20"/>
  <c r="AC145" i="20" s="1"/>
  <c r="AD137" i="20"/>
  <c r="AC137" i="20" s="1"/>
  <c r="AD129" i="20"/>
  <c r="AC129" i="20" s="1"/>
  <c r="AD121" i="20"/>
  <c r="AC121" i="20" s="1"/>
  <c r="AD113" i="20"/>
  <c r="AC113" i="20" s="1"/>
  <c r="AD105" i="20"/>
  <c r="AC105" i="20" s="1"/>
  <c r="AD97" i="20"/>
  <c r="AC97" i="20" s="1"/>
  <c r="AD89" i="20"/>
  <c r="AC89" i="20" s="1"/>
  <c r="AD81" i="20"/>
  <c r="AC81" i="20" s="1"/>
  <c r="AD73" i="20"/>
  <c r="AC73" i="20" s="1"/>
  <c r="AD65" i="20"/>
  <c r="AC65" i="20" s="1"/>
  <c r="AD57" i="20"/>
  <c r="AC57" i="20" s="1"/>
  <c r="AD49" i="20"/>
  <c r="AC49" i="20" s="1"/>
  <c r="AD41" i="20"/>
  <c r="AC41" i="20" s="1"/>
  <c r="AD32" i="20"/>
  <c r="AC32" i="20" s="1"/>
  <c r="AD24" i="20"/>
  <c r="AC24" i="20" s="1"/>
  <c r="AD248" i="20"/>
  <c r="AC248" i="20" s="1"/>
  <c r="AD240" i="20"/>
  <c r="AC240" i="20" s="1"/>
  <c r="AD232" i="20"/>
  <c r="AC232" i="20" s="1"/>
  <c r="AD224" i="20"/>
  <c r="AC224" i="20" s="1"/>
  <c r="AD216" i="20"/>
  <c r="AC216" i="20" s="1"/>
  <c r="AD208" i="20"/>
  <c r="AC208" i="20" s="1"/>
  <c r="AD200" i="20"/>
  <c r="AC200" i="20" s="1"/>
  <c r="AD192" i="20"/>
  <c r="AC192" i="20" s="1"/>
  <c r="AD184" i="20"/>
  <c r="AC184" i="20" s="1"/>
  <c r="AD176" i="20"/>
  <c r="AC176" i="20" s="1"/>
  <c r="AD168" i="20"/>
  <c r="AC168" i="20" s="1"/>
  <c r="AD160" i="20"/>
  <c r="AC160" i="20" s="1"/>
  <c r="AD152" i="20"/>
  <c r="AC152" i="20" s="1"/>
  <c r="AD144" i="20"/>
  <c r="AC144" i="20" s="1"/>
  <c r="AD136" i="20"/>
  <c r="AC136" i="20" s="1"/>
  <c r="AD128" i="20"/>
  <c r="AC128" i="20" s="1"/>
  <c r="AD120" i="20"/>
  <c r="AC120" i="20" s="1"/>
  <c r="AD112" i="20"/>
  <c r="AC112" i="20" s="1"/>
  <c r="AD104" i="20"/>
  <c r="AC104" i="20" s="1"/>
  <c r="AD96" i="20"/>
  <c r="AC96" i="20" s="1"/>
  <c r="AD88" i="20"/>
  <c r="AC88" i="20" s="1"/>
  <c r="AD80" i="20"/>
  <c r="AC80" i="20" s="1"/>
  <c r="AD72" i="20"/>
  <c r="AC72" i="20" s="1"/>
  <c r="AD64" i="20"/>
  <c r="AC64" i="20" s="1"/>
  <c r="AD56" i="20"/>
  <c r="AC56" i="20" s="1"/>
  <c r="AD48" i="20"/>
  <c r="AC48" i="20" s="1"/>
  <c r="AD40" i="20"/>
  <c r="AC40" i="20" s="1"/>
  <c r="AD31" i="20"/>
  <c r="AC31" i="20" s="1"/>
  <c r="AD23" i="20"/>
  <c r="AC23" i="20" s="1"/>
  <c r="AD255" i="20"/>
  <c r="AC255" i="20" s="1"/>
  <c r="AD247" i="20"/>
  <c r="AC247" i="20" s="1"/>
  <c r="AD239" i="20"/>
  <c r="AC239" i="20" s="1"/>
  <c r="AD231" i="20"/>
  <c r="AC231" i="20" s="1"/>
  <c r="AD223" i="20"/>
  <c r="AC223" i="20" s="1"/>
  <c r="AD215" i="20"/>
  <c r="AC215" i="20" s="1"/>
  <c r="AD207" i="20"/>
  <c r="AC207" i="20" s="1"/>
  <c r="AD199" i="20"/>
  <c r="AC199" i="20" s="1"/>
  <c r="AD191" i="20"/>
  <c r="AC191" i="20" s="1"/>
  <c r="AD183" i="20"/>
  <c r="AC183" i="20" s="1"/>
  <c r="AD175" i="20"/>
  <c r="AC175" i="20" s="1"/>
  <c r="AD167" i="20"/>
  <c r="AC167" i="20" s="1"/>
  <c r="AD159" i="20"/>
  <c r="AC159" i="20" s="1"/>
  <c r="AD151" i="20"/>
  <c r="AC151" i="20" s="1"/>
  <c r="AD143" i="20"/>
  <c r="AC143" i="20" s="1"/>
  <c r="AD135" i="20"/>
  <c r="AC135" i="20" s="1"/>
  <c r="AD127" i="20"/>
  <c r="AC127" i="20" s="1"/>
  <c r="AD119" i="20"/>
  <c r="AC119" i="20" s="1"/>
  <c r="AD111" i="20"/>
  <c r="AC111" i="20" s="1"/>
  <c r="AD103" i="20"/>
  <c r="AC103" i="20" s="1"/>
  <c r="AD95" i="20"/>
  <c r="AC95" i="20" s="1"/>
  <c r="AD87" i="20"/>
  <c r="AC87" i="20" s="1"/>
  <c r="AD79" i="20"/>
  <c r="AC79" i="20" s="1"/>
  <c r="AD71" i="20"/>
  <c r="AC71" i="20" s="1"/>
  <c r="AD63" i="20"/>
  <c r="AC63" i="20" s="1"/>
  <c r="AD55" i="20"/>
  <c r="AC55" i="20" s="1"/>
  <c r="AD47" i="20"/>
  <c r="AC47" i="20" s="1"/>
  <c r="AD38" i="20"/>
  <c r="AC38" i="20" s="1"/>
  <c r="AD30" i="20"/>
  <c r="AC30" i="20" s="1"/>
  <c r="AD22" i="20"/>
  <c r="AC22" i="20" s="1"/>
  <c r="AD254" i="20"/>
  <c r="AC254" i="20" s="1"/>
  <c r="AD246" i="20"/>
  <c r="AC246" i="20" s="1"/>
  <c r="AD238" i="20"/>
  <c r="AC238" i="20" s="1"/>
  <c r="AD230" i="20"/>
  <c r="AC230" i="20" s="1"/>
  <c r="AD222" i="20"/>
  <c r="AC222" i="20" s="1"/>
  <c r="AD214" i="20"/>
  <c r="AC214" i="20" s="1"/>
  <c r="AD206" i="20"/>
  <c r="AC206" i="20" s="1"/>
  <c r="AD198" i="20"/>
  <c r="AC198" i="20" s="1"/>
  <c r="AD190" i="20"/>
  <c r="AC190" i="20" s="1"/>
  <c r="AD182" i="20"/>
  <c r="AC182" i="20" s="1"/>
  <c r="AD174" i="20"/>
  <c r="AC174" i="20" s="1"/>
  <c r="AD166" i="20"/>
  <c r="AC166" i="20" s="1"/>
  <c r="AD158" i="20"/>
  <c r="AC158" i="20" s="1"/>
  <c r="AD150" i="20"/>
  <c r="AC150" i="20" s="1"/>
  <c r="AD142" i="20"/>
  <c r="AC142" i="20" s="1"/>
  <c r="AD134" i="20"/>
  <c r="AC134" i="20" s="1"/>
  <c r="AD126" i="20"/>
  <c r="AC126" i="20" s="1"/>
  <c r="AD118" i="20"/>
  <c r="AC118" i="20" s="1"/>
  <c r="AD110" i="20"/>
  <c r="AC110" i="20" s="1"/>
  <c r="AD102" i="20"/>
  <c r="AC102" i="20" s="1"/>
  <c r="AD94" i="20"/>
  <c r="AC94" i="20" s="1"/>
  <c r="AD86" i="20"/>
  <c r="AC86" i="20" s="1"/>
  <c r="AD78" i="20"/>
  <c r="AC78" i="20" s="1"/>
  <c r="AD70" i="20"/>
  <c r="AC70" i="20" s="1"/>
  <c r="AD62" i="20"/>
  <c r="AC62" i="20" s="1"/>
  <c r="AD54" i="20"/>
  <c r="AC54" i="20" s="1"/>
  <c r="AD46" i="20"/>
  <c r="AC46" i="20" s="1"/>
  <c r="AD37" i="20"/>
  <c r="AC37" i="20" s="1"/>
  <c r="AD29" i="20"/>
  <c r="AC29" i="20" s="1"/>
  <c r="AD20" i="20"/>
  <c r="AC20" i="20" s="1"/>
  <c r="AD253" i="20"/>
  <c r="AC253" i="20" s="1"/>
  <c r="AD245" i="20"/>
  <c r="AC245" i="20" s="1"/>
  <c r="AD237" i="20"/>
  <c r="AC237" i="20" s="1"/>
  <c r="AD229" i="20"/>
  <c r="AC229" i="20" s="1"/>
  <c r="AD221" i="20"/>
  <c r="AC221" i="20" s="1"/>
  <c r="AD213" i="20"/>
  <c r="AC213" i="20" s="1"/>
  <c r="AD205" i="20"/>
  <c r="AC205" i="20" s="1"/>
  <c r="AD197" i="20"/>
  <c r="AC197" i="20" s="1"/>
  <c r="AD189" i="20"/>
  <c r="AC189" i="20" s="1"/>
  <c r="AD181" i="20"/>
  <c r="AC181" i="20" s="1"/>
  <c r="AD173" i="20"/>
  <c r="AC173" i="20" s="1"/>
  <c r="AD165" i="20"/>
  <c r="AC165" i="20" s="1"/>
  <c r="AD157" i="20"/>
  <c r="AC157" i="20" s="1"/>
  <c r="AD149" i="20"/>
  <c r="AC149" i="20" s="1"/>
  <c r="AD141" i="20"/>
  <c r="AC141" i="20" s="1"/>
  <c r="AD133" i="20"/>
  <c r="AC133" i="20" s="1"/>
  <c r="AD125" i="20"/>
  <c r="AC125" i="20" s="1"/>
  <c r="AD117" i="20"/>
  <c r="AC117" i="20" s="1"/>
  <c r="AD109" i="20"/>
  <c r="AC109" i="20" s="1"/>
  <c r="AD101" i="20"/>
  <c r="AC101" i="20" s="1"/>
  <c r="AD93" i="20"/>
  <c r="AC93" i="20" s="1"/>
  <c r="AD85" i="20"/>
  <c r="AC85" i="20" s="1"/>
  <c r="AD77" i="20"/>
  <c r="AC77" i="20" s="1"/>
  <c r="AD69" i="20"/>
  <c r="AC69" i="20" s="1"/>
  <c r="AD61" i="20"/>
  <c r="AC61" i="20" s="1"/>
  <c r="AD53" i="20"/>
  <c r="AC53" i="20" s="1"/>
  <c r="AD45" i="20"/>
  <c r="AC45" i="20" s="1"/>
  <c r="AD36" i="20"/>
  <c r="AC36" i="20" s="1"/>
  <c r="AD28" i="20"/>
  <c r="AC28" i="20" s="1"/>
  <c r="AD19" i="20"/>
  <c r="AC19" i="20" s="1"/>
  <c r="AD252" i="20"/>
  <c r="AC252" i="20" s="1"/>
  <c r="AD244" i="20"/>
  <c r="AC244" i="20" s="1"/>
  <c r="AD236" i="20"/>
  <c r="AC236" i="20" s="1"/>
  <c r="AD228" i="20"/>
  <c r="AC228" i="20" s="1"/>
  <c r="AD220" i="20"/>
  <c r="AC220" i="20" s="1"/>
  <c r="AD212" i="20"/>
  <c r="AC212" i="20" s="1"/>
  <c r="AD204" i="20"/>
  <c r="AC204" i="20" s="1"/>
  <c r="AD196" i="20"/>
  <c r="AC196" i="20" s="1"/>
  <c r="AD188" i="20"/>
  <c r="AC188" i="20" s="1"/>
  <c r="AD180" i="20"/>
  <c r="AC180" i="20" s="1"/>
  <c r="AD172" i="20"/>
  <c r="AC172" i="20" s="1"/>
  <c r="AD164" i="20"/>
  <c r="AC164" i="20" s="1"/>
  <c r="AD156" i="20"/>
  <c r="AC156" i="20" s="1"/>
  <c r="AD148" i="20"/>
  <c r="AC148" i="20" s="1"/>
  <c r="AD140" i="20"/>
  <c r="AC140" i="20" s="1"/>
  <c r="AD132" i="20"/>
  <c r="AC132" i="20" s="1"/>
  <c r="AD124" i="20"/>
  <c r="AC124" i="20" s="1"/>
  <c r="AD116" i="20"/>
  <c r="AC116" i="20" s="1"/>
  <c r="AD108" i="20"/>
  <c r="AC108" i="20" s="1"/>
  <c r="AD100" i="20"/>
  <c r="AC100" i="20" s="1"/>
  <c r="AD92" i="20"/>
  <c r="AC92" i="20" s="1"/>
  <c r="AD84" i="20"/>
  <c r="AC84" i="20" s="1"/>
  <c r="AD76" i="20"/>
  <c r="AC76" i="20" s="1"/>
  <c r="AD68" i="20"/>
  <c r="AC68" i="20" s="1"/>
  <c r="AD60" i="20"/>
  <c r="AC60" i="20" s="1"/>
  <c r="AD52" i="20"/>
  <c r="AC52" i="20" s="1"/>
  <c r="AD44" i="20"/>
  <c r="AC44" i="20" s="1"/>
  <c r="AD35" i="20"/>
  <c r="AC35" i="20" s="1"/>
  <c r="AD27" i="20"/>
  <c r="AC27" i="20" s="1"/>
  <c r="AD18" i="20"/>
  <c r="AC18" i="20" s="1"/>
  <c r="S316" i="8" l="1"/>
  <c r="R317" i="8"/>
  <c r="V334" i="1"/>
  <c r="W333" i="1"/>
  <c r="AO51" i="2"/>
  <c r="AH73" i="17"/>
  <c r="AH75" i="17"/>
  <c r="AH77" i="17"/>
  <c r="AH78" i="17"/>
  <c r="AH79" i="17"/>
  <c r="AH80" i="17"/>
  <c r="AH82" i="17"/>
  <c r="AH83" i="17"/>
  <c r="AH84" i="17"/>
  <c r="AH85" i="17"/>
  <c r="AH87" i="17"/>
  <c r="AH88" i="17"/>
  <c r="AH89" i="17"/>
  <c r="AH90" i="17"/>
  <c r="AH91" i="17"/>
  <c r="AH92" i="17"/>
  <c r="AH93" i="17"/>
  <c r="AH94" i="17"/>
  <c r="AH95" i="17"/>
  <c r="AH96" i="17"/>
  <c r="AH97" i="17"/>
  <c r="AH98" i="17"/>
  <c r="AH99" i="17"/>
  <c r="AH100" i="17"/>
  <c r="AH101" i="17"/>
  <c r="AH102" i="17"/>
  <c r="AH103" i="17"/>
  <c r="AH104" i="17"/>
  <c r="AH105" i="17"/>
  <c r="AH106" i="17"/>
  <c r="AH107" i="17"/>
  <c r="AH108" i="17"/>
  <c r="AH109" i="17"/>
  <c r="AH110" i="17"/>
  <c r="AH111" i="17"/>
  <c r="AH112" i="17"/>
  <c r="AH113" i="17"/>
  <c r="AH114" i="17"/>
  <c r="AH115" i="17"/>
  <c r="AH116" i="17"/>
  <c r="AH117" i="17"/>
  <c r="AH118" i="17"/>
  <c r="AH119" i="17"/>
  <c r="AH120" i="17"/>
  <c r="AH121" i="17"/>
  <c r="AH122" i="17"/>
  <c r="AH123" i="17"/>
  <c r="AH124" i="17"/>
  <c r="AH125" i="17"/>
  <c r="AH126" i="17"/>
  <c r="AH127" i="17"/>
  <c r="AH128" i="17"/>
  <c r="AH129" i="17"/>
  <c r="AH130" i="17"/>
  <c r="AH131" i="17"/>
  <c r="AH132" i="17"/>
  <c r="AH133" i="17"/>
  <c r="AH134" i="17"/>
  <c r="AH135" i="17"/>
  <c r="AH136" i="17"/>
  <c r="AH137" i="17"/>
  <c r="AH138" i="17"/>
  <c r="AH139" i="17"/>
  <c r="AH140" i="17"/>
  <c r="AH141" i="17"/>
  <c r="AH142" i="17"/>
  <c r="AH143" i="17"/>
  <c r="AH144" i="17"/>
  <c r="AH145" i="17"/>
  <c r="AH146" i="17"/>
  <c r="AH147" i="17"/>
  <c r="AH148" i="17"/>
  <c r="AH149" i="17"/>
  <c r="AH150" i="17"/>
  <c r="AH151" i="17"/>
  <c r="AH152" i="17"/>
  <c r="AH153" i="17"/>
  <c r="AH154" i="17"/>
  <c r="AH155" i="17"/>
  <c r="AH156" i="17"/>
  <c r="AH157" i="17"/>
  <c r="AH158" i="17"/>
  <c r="AH159" i="17"/>
  <c r="AH160" i="17"/>
  <c r="AH161" i="17"/>
  <c r="AH162" i="17"/>
  <c r="AH163" i="17"/>
  <c r="AH164" i="17"/>
  <c r="AH165" i="17"/>
  <c r="AH166" i="17"/>
  <c r="AH167" i="17"/>
  <c r="AH168" i="17"/>
  <c r="AH169" i="17"/>
  <c r="AH170" i="17"/>
  <c r="AH171" i="17"/>
  <c r="AH172" i="17"/>
  <c r="AH173" i="17"/>
  <c r="AH174" i="17"/>
  <c r="AH175" i="17"/>
  <c r="AH176" i="17"/>
  <c r="AH177" i="17"/>
  <c r="AH178" i="17"/>
  <c r="AH179" i="17"/>
  <c r="AH180" i="17"/>
  <c r="AH181" i="17"/>
  <c r="AH182" i="17"/>
  <c r="AH183" i="17"/>
  <c r="AH184" i="17"/>
  <c r="AH185" i="17"/>
  <c r="AH186" i="17"/>
  <c r="AH187" i="17"/>
  <c r="AH188" i="17"/>
  <c r="AH189" i="17"/>
  <c r="AH190" i="17"/>
  <c r="AH191" i="17"/>
  <c r="AH192" i="17"/>
  <c r="AH193" i="17"/>
  <c r="AH194" i="17"/>
  <c r="AH195" i="17"/>
  <c r="AH196" i="17"/>
  <c r="AH197" i="17"/>
  <c r="AH198" i="17"/>
  <c r="AH199" i="17"/>
  <c r="AH200" i="17"/>
  <c r="AH201" i="17"/>
  <c r="AH202" i="17"/>
  <c r="AH203" i="17"/>
  <c r="AH204" i="17"/>
  <c r="AH205" i="17"/>
  <c r="AH206" i="17"/>
  <c r="AH207" i="17"/>
  <c r="AH208" i="17"/>
  <c r="AH209" i="17"/>
  <c r="AH210" i="17"/>
  <c r="AH211" i="17"/>
  <c r="AH212" i="17"/>
  <c r="AH213" i="17"/>
  <c r="AH214" i="17"/>
  <c r="AH215" i="17"/>
  <c r="AH216" i="17"/>
  <c r="AH217" i="17"/>
  <c r="AH218" i="17"/>
  <c r="AH219" i="17"/>
  <c r="AH220" i="17"/>
  <c r="AH221" i="17"/>
  <c r="AH222" i="17"/>
  <c r="AH223" i="17"/>
  <c r="AH224" i="17"/>
  <c r="AH225" i="17"/>
  <c r="AH226" i="17"/>
  <c r="AH227" i="17"/>
  <c r="AH228" i="17"/>
  <c r="AH229" i="17"/>
  <c r="AH230" i="17"/>
  <c r="AH231" i="17"/>
  <c r="AH232" i="17"/>
  <c r="AH233" i="17"/>
  <c r="AH234" i="17"/>
  <c r="AH235" i="17"/>
  <c r="AH236" i="17"/>
  <c r="AH237" i="17"/>
  <c r="AH238" i="17"/>
  <c r="AH239" i="17"/>
  <c r="AH240" i="17"/>
  <c r="AH241" i="17"/>
  <c r="AH242" i="17"/>
  <c r="AH243" i="17"/>
  <c r="AH244" i="17"/>
  <c r="AH245" i="17"/>
  <c r="AH246" i="17"/>
  <c r="AH247" i="17"/>
  <c r="AH248" i="17"/>
  <c r="AH249" i="17"/>
  <c r="AH250" i="17"/>
  <c r="AH251" i="17"/>
  <c r="AH252" i="17"/>
  <c r="AH253" i="17"/>
  <c r="AH254" i="17"/>
  <c r="AH255" i="17"/>
  <c r="AH256" i="17"/>
  <c r="AH257" i="17"/>
  <c r="AH258" i="17"/>
  <c r="AH259" i="17"/>
  <c r="AH260" i="17"/>
  <c r="AH261" i="17"/>
  <c r="AH262" i="17"/>
  <c r="AH263" i="17"/>
  <c r="AH264" i="17"/>
  <c r="AH265" i="17"/>
  <c r="AH266" i="17"/>
  <c r="AH267" i="17"/>
  <c r="AH268" i="17"/>
  <c r="AH269" i="17"/>
  <c r="AH270" i="17"/>
  <c r="AH271" i="17"/>
  <c r="AH272" i="17"/>
  <c r="AH273" i="17"/>
  <c r="AH274" i="17"/>
  <c r="AH275" i="17"/>
  <c r="AH276" i="17"/>
  <c r="AH277" i="17"/>
  <c r="AH278" i="17"/>
  <c r="AH279" i="17"/>
  <c r="AH280" i="17"/>
  <c r="AH281" i="17"/>
  <c r="AH282" i="17"/>
  <c r="AH283" i="17"/>
  <c r="AH284" i="17"/>
  <c r="AH285" i="17"/>
  <c r="AH286" i="17"/>
  <c r="AH287" i="17"/>
  <c r="AH288" i="17"/>
  <c r="AH289" i="17"/>
  <c r="AH290" i="17"/>
  <c r="AH291" i="17"/>
  <c r="AH292" i="17"/>
  <c r="AH293" i="17"/>
  <c r="AH294" i="17"/>
  <c r="AH295" i="17"/>
  <c r="AH296" i="17"/>
  <c r="AH297" i="17"/>
  <c r="AH298" i="17"/>
  <c r="AH299" i="17"/>
  <c r="AH300" i="17"/>
  <c r="AH301" i="17"/>
  <c r="AH302" i="17"/>
  <c r="AH303" i="17"/>
  <c r="AH304" i="17"/>
  <c r="AH305" i="17"/>
  <c r="AH306" i="17"/>
  <c r="AH307" i="17"/>
  <c r="AH308" i="17"/>
  <c r="AH309" i="17"/>
  <c r="AH310" i="17"/>
  <c r="AN68" i="17"/>
  <c r="AF65" i="17"/>
  <c r="AQ70" i="17"/>
  <c r="R318" i="8" l="1"/>
  <c r="S317" i="8"/>
  <c r="W334" i="1"/>
  <c r="V335" i="1"/>
  <c r="AG290" i="17"/>
  <c r="AF290" i="17" s="1"/>
  <c r="AG298" i="17"/>
  <c r="AF298" i="17" s="1"/>
  <c r="AG306" i="17"/>
  <c r="AF306" i="17" s="1"/>
  <c r="AG282" i="17"/>
  <c r="AF282" i="17" s="1"/>
  <c r="AG234" i="17"/>
  <c r="AF234" i="17" s="1"/>
  <c r="AG226" i="17"/>
  <c r="AF226" i="17" s="1"/>
  <c r="AG218" i="17"/>
  <c r="AF218" i="17" s="1"/>
  <c r="AG210" i="17"/>
  <c r="AF210" i="17" s="1"/>
  <c r="AG202" i="17"/>
  <c r="AF202" i="17" s="1"/>
  <c r="AG194" i="17"/>
  <c r="AF194" i="17" s="1"/>
  <c r="AG186" i="17"/>
  <c r="AF186" i="17" s="1"/>
  <c r="AG178" i="17"/>
  <c r="AF178" i="17" s="1"/>
  <c r="AG170" i="17"/>
  <c r="AF170" i="17" s="1"/>
  <c r="AG162" i="17"/>
  <c r="AF162" i="17" s="1"/>
  <c r="AG154" i="17"/>
  <c r="AF154" i="17" s="1"/>
  <c r="AG146" i="17"/>
  <c r="AF146" i="17" s="1"/>
  <c r="AG138" i="17"/>
  <c r="AF138" i="17" s="1"/>
  <c r="AG130" i="17"/>
  <c r="AF130" i="17" s="1"/>
  <c r="AG122" i="17"/>
  <c r="AF122" i="17" s="1"/>
  <c r="AG114" i="17"/>
  <c r="AF114" i="17" s="1"/>
  <c r="AG106" i="17"/>
  <c r="AF106" i="17" s="1"/>
  <c r="AG98" i="17"/>
  <c r="AF98" i="17" s="1"/>
  <c r="AG90" i="17"/>
  <c r="AF90" i="17" s="1"/>
  <c r="AG80" i="17"/>
  <c r="AF80" i="17" s="1"/>
  <c r="AG274" i="17"/>
  <c r="AF274" i="17" s="1"/>
  <c r="AG305" i="17"/>
  <c r="AF305" i="17" s="1"/>
  <c r="AG297" i="17"/>
  <c r="AF297" i="17" s="1"/>
  <c r="AG258" i="17"/>
  <c r="AF258" i="17" s="1"/>
  <c r="AG242" i="17"/>
  <c r="AF242" i="17" s="1"/>
  <c r="AG250" i="17"/>
  <c r="AF250" i="17" s="1"/>
  <c r="AG266" i="17"/>
  <c r="AF266" i="17" s="1"/>
  <c r="AG249" i="17"/>
  <c r="AF249" i="17" s="1"/>
  <c r="AG289" i="17"/>
  <c r="AF289" i="17" s="1"/>
  <c r="AG241" i="17"/>
  <c r="AF241" i="17" s="1"/>
  <c r="AG233" i="17"/>
  <c r="AF233" i="17" s="1"/>
  <c r="AG225" i="17"/>
  <c r="AF225" i="17" s="1"/>
  <c r="AG217" i="17"/>
  <c r="AF217" i="17" s="1"/>
  <c r="AG209" i="17"/>
  <c r="AF209" i="17" s="1"/>
  <c r="AG201" i="17"/>
  <c r="AF201" i="17" s="1"/>
  <c r="AG193" i="17"/>
  <c r="AF193" i="17" s="1"/>
  <c r="AG185" i="17"/>
  <c r="AF185" i="17" s="1"/>
  <c r="AG177" i="17"/>
  <c r="AF177" i="17" s="1"/>
  <c r="AG169" i="17"/>
  <c r="AF169" i="17" s="1"/>
  <c r="AG161" i="17"/>
  <c r="AF161" i="17" s="1"/>
  <c r="AG153" i="17"/>
  <c r="AF153" i="17" s="1"/>
  <c r="AG145" i="17"/>
  <c r="AF145" i="17" s="1"/>
  <c r="AG137" i="17"/>
  <c r="AF137" i="17" s="1"/>
  <c r="AG129" i="17"/>
  <c r="AF129" i="17" s="1"/>
  <c r="AG121" i="17"/>
  <c r="AF121" i="17" s="1"/>
  <c r="AG113" i="17"/>
  <c r="AF113" i="17" s="1"/>
  <c r="AG257" i="17"/>
  <c r="AF257" i="17" s="1"/>
  <c r="AG265" i="17"/>
  <c r="AF265" i="17" s="1"/>
  <c r="AG281" i="17"/>
  <c r="AF281" i="17" s="1"/>
  <c r="AG273" i="17"/>
  <c r="AF273" i="17" s="1"/>
  <c r="AG105" i="17"/>
  <c r="AF105" i="17" s="1"/>
  <c r="AG97" i="17"/>
  <c r="AF97" i="17" s="1"/>
  <c r="AG89" i="17"/>
  <c r="AF89" i="17" s="1"/>
  <c r="AG79" i="17"/>
  <c r="AF79" i="17" s="1"/>
  <c r="AG303" i="17"/>
  <c r="AF303" i="17" s="1"/>
  <c r="AG295" i="17"/>
  <c r="AF295" i="17" s="1"/>
  <c r="AG287" i="17"/>
  <c r="AF287" i="17" s="1"/>
  <c r="AG279" i="17"/>
  <c r="AF279" i="17" s="1"/>
  <c r="AG271" i="17"/>
  <c r="AF271" i="17" s="1"/>
  <c r="AG263" i="17"/>
  <c r="AF263" i="17" s="1"/>
  <c r="AG304" i="17"/>
  <c r="AF304" i="17" s="1"/>
  <c r="AG296" i="17"/>
  <c r="AF296" i="17" s="1"/>
  <c r="AG288" i="17"/>
  <c r="AF288" i="17" s="1"/>
  <c r="AG280" i="17"/>
  <c r="AF280" i="17" s="1"/>
  <c r="AG272" i="17"/>
  <c r="AF272" i="17" s="1"/>
  <c r="AG264" i="17"/>
  <c r="AF264" i="17" s="1"/>
  <c r="AG256" i="17"/>
  <c r="AF256" i="17" s="1"/>
  <c r="AG248" i="17"/>
  <c r="AF248" i="17" s="1"/>
  <c r="AG240" i="17"/>
  <c r="AF240" i="17" s="1"/>
  <c r="AG232" i="17"/>
  <c r="AF232" i="17" s="1"/>
  <c r="AG224" i="17"/>
  <c r="AF224" i="17" s="1"/>
  <c r="AG216" i="17"/>
  <c r="AF216" i="17" s="1"/>
  <c r="AG208" i="17"/>
  <c r="AF208" i="17" s="1"/>
  <c r="AG200" i="17"/>
  <c r="AF200" i="17" s="1"/>
  <c r="AG192" i="17"/>
  <c r="AF192" i="17" s="1"/>
  <c r="AG184" i="17"/>
  <c r="AF184" i="17" s="1"/>
  <c r="AG176" i="17"/>
  <c r="AF176" i="17" s="1"/>
  <c r="AG168" i="17"/>
  <c r="AF168" i="17" s="1"/>
  <c r="AG160" i="17"/>
  <c r="AF160" i="17" s="1"/>
  <c r="AG152" i="17"/>
  <c r="AF152" i="17" s="1"/>
  <c r="AG144" i="17"/>
  <c r="AF144" i="17" s="1"/>
  <c r="AG136" i="17"/>
  <c r="AF136" i="17" s="1"/>
  <c r="AG128" i="17"/>
  <c r="AF128" i="17" s="1"/>
  <c r="AG120" i="17"/>
  <c r="AF120" i="17" s="1"/>
  <c r="AG112" i="17"/>
  <c r="AF112" i="17" s="1"/>
  <c r="AG104" i="17"/>
  <c r="AF104" i="17" s="1"/>
  <c r="AG96" i="17"/>
  <c r="AF96" i="17" s="1"/>
  <c r="AG88" i="17"/>
  <c r="AF88" i="17" s="1"/>
  <c r="AG78" i="17"/>
  <c r="AF78" i="17" s="1"/>
  <c r="AG231" i="17"/>
  <c r="AF231" i="17" s="1"/>
  <c r="AG199" i="17"/>
  <c r="AF199" i="17" s="1"/>
  <c r="AG159" i="17"/>
  <c r="AF159" i="17" s="1"/>
  <c r="AG127" i="17"/>
  <c r="AF127" i="17" s="1"/>
  <c r="AG87" i="17"/>
  <c r="AF87" i="17" s="1"/>
  <c r="AG310" i="17"/>
  <c r="AF310" i="17" s="1"/>
  <c r="AG302" i="17"/>
  <c r="AF302" i="17" s="1"/>
  <c r="AG294" i="17"/>
  <c r="AF294" i="17" s="1"/>
  <c r="AG286" i="17"/>
  <c r="AF286" i="17" s="1"/>
  <c r="AG278" i="17"/>
  <c r="AF278" i="17" s="1"/>
  <c r="AG270" i="17"/>
  <c r="AF270" i="17" s="1"/>
  <c r="AG262" i="17"/>
  <c r="AF262" i="17" s="1"/>
  <c r="AG254" i="17"/>
  <c r="AF254" i="17" s="1"/>
  <c r="AG246" i="17"/>
  <c r="AF246" i="17" s="1"/>
  <c r="AG238" i="17"/>
  <c r="AF238" i="17" s="1"/>
  <c r="AG230" i="17"/>
  <c r="AF230" i="17" s="1"/>
  <c r="AG222" i="17"/>
  <c r="AF222" i="17" s="1"/>
  <c r="AG214" i="17"/>
  <c r="AF214" i="17" s="1"/>
  <c r="AG206" i="17"/>
  <c r="AF206" i="17" s="1"/>
  <c r="AG198" i="17"/>
  <c r="AF198" i="17" s="1"/>
  <c r="AG190" i="17"/>
  <c r="AF190" i="17" s="1"/>
  <c r="AG182" i="17"/>
  <c r="AF182" i="17" s="1"/>
  <c r="AG174" i="17"/>
  <c r="AF174" i="17" s="1"/>
  <c r="AG166" i="17"/>
  <c r="AF166" i="17" s="1"/>
  <c r="AG158" i="17"/>
  <c r="AF158" i="17" s="1"/>
  <c r="AG150" i="17"/>
  <c r="AF150" i="17" s="1"/>
  <c r="AG142" i="17"/>
  <c r="AF142" i="17" s="1"/>
  <c r="AG134" i="17"/>
  <c r="AF134" i="17" s="1"/>
  <c r="AG126" i="17"/>
  <c r="AF126" i="17" s="1"/>
  <c r="AG118" i="17"/>
  <c r="AF118" i="17" s="1"/>
  <c r="AG110" i="17"/>
  <c r="AF110" i="17" s="1"/>
  <c r="AG102" i="17"/>
  <c r="AF102" i="17" s="1"/>
  <c r="AG94" i="17"/>
  <c r="AF94" i="17" s="1"/>
  <c r="AG85" i="17"/>
  <c r="AF85" i="17" s="1"/>
  <c r="AG239" i="17"/>
  <c r="AF239" i="17" s="1"/>
  <c r="AG207" i="17"/>
  <c r="AF207" i="17" s="1"/>
  <c r="AG175" i="17"/>
  <c r="AF175" i="17" s="1"/>
  <c r="AG143" i="17"/>
  <c r="AF143" i="17" s="1"/>
  <c r="AG77" i="17"/>
  <c r="AF77" i="17" s="1"/>
  <c r="AG309" i="17"/>
  <c r="AF309" i="17" s="1"/>
  <c r="AG301" i="17"/>
  <c r="AF301" i="17" s="1"/>
  <c r="AG293" i="17"/>
  <c r="AF293" i="17" s="1"/>
  <c r="AG285" i="17"/>
  <c r="AF285" i="17" s="1"/>
  <c r="AG277" i="17"/>
  <c r="AF277" i="17" s="1"/>
  <c r="AG269" i="17"/>
  <c r="AF269" i="17" s="1"/>
  <c r="AG261" i="17"/>
  <c r="AF261" i="17" s="1"/>
  <c r="AG253" i="17"/>
  <c r="AF253" i="17" s="1"/>
  <c r="AG245" i="17"/>
  <c r="AF245" i="17" s="1"/>
  <c r="AG237" i="17"/>
  <c r="AF237" i="17" s="1"/>
  <c r="AG229" i="17"/>
  <c r="AF229" i="17" s="1"/>
  <c r="AG221" i="17"/>
  <c r="AF221" i="17" s="1"/>
  <c r="AG213" i="17"/>
  <c r="AF213" i="17" s="1"/>
  <c r="AG205" i="17"/>
  <c r="AF205" i="17" s="1"/>
  <c r="AG197" i="17"/>
  <c r="AF197" i="17" s="1"/>
  <c r="AG189" i="17"/>
  <c r="AF189" i="17" s="1"/>
  <c r="AG181" i="17"/>
  <c r="AF181" i="17" s="1"/>
  <c r="AG173" i="17"/>
  <c r="AF173" i="17" s="1"/>
  <c r="AG165" i="17"/>
  <c r="AF165" i="17" s="1"/>
  <c r="AG157" i="17"/>
  <c r="AF157" i="17" s="1"/>
  <c r="AG149" i="17"/>
  <c r="AF149" i="17" s="1"/>
  <c r="AG141" i="17"/>
  <c r="AF141" i="17" s="1"/>
  <c r="AG133" i="17"/>
  <c r="AF133" i="17" s="1"/>
  <c r="AG125" i="17"/>
  <c r="AF125" i="17" s="1"/>
  <c r="AG117" i="17"/>
  <c r="AF117" i="17" s="1"/>
  <c r="AG109" i="17"/>
  <c r="AF109" i="17" s="1"/>
  <c r="AG101" i="17"/>
  <c r="AF101" i="17" s="1"/>
  <c r="AG93" i="17"/>
  <c r="AF93" i="17" s="1"/>
  <c r="AG84" i="17"/>
  <c r="AF84" i="17" s="1"/>
  <c r="AG75" i="17"/>
  <c r="AF75" i="17" s="1"/>
  <c r="AG255" i="17"/>
  <c r="AF255" i="17" s="1"/>
  <c r="AG223" i="17"/>
  <c r="AF223" i="17" s="1"/>
  <c r="AG191" i="17"/>
  <c r="AF191" i="17" s="1"/>
  <c r="AG167" i="17"/>
  <c r="AF167" i="17" s="1"/>
  <c r="AG135" i="17"/>
  <c r="AF135" i="17" s="1"/>
  <c r="AG95" i="17"/>
  <c r="AF95" i="17" s="1"/>
  <c r="AG308" i="17"/>
  <c r="AF308" i="17" s="1"/>
  <c r="AG300" i="17"/>
  <c r="AF300" i="17" s="1"/>
  <c r="AG292" i="17"/>
  <c r="AF292" i="17" s="1"/>
  <c r="AG284" i="17"/>
  <c r="AF284" i="17" s="1"/>
  <c r="AG276" i="17"/>
  <c r="AF276" i="17" s="1"/>
  <c r="AG268" i="17"/>
  <c r="AF268" i="17" s="1"/>
  <c r="AG260" i="17"/>
  <c r="AF260" i="17" s="1"/>
  <c r="AG252" i="17"/>
  <c r="AF252" i="17" s="1"/>
  <c r="AG244" i="17"/>
  <c r="AF244" i="17" s="1"/>
  <c r="AG236" i="17"/>
  <c r="AF236" i="17" s="1"/>
  <c r="AG228" i="17"/>
  <c r="AF228" i="17" s="1"/>
  <c r="AG220" i="17"/>
  <c r="AF220" i="17" s="1"/>
  <c r="AG212" i="17"/>
  <c r="AF212" i="17" s="1"/>
  <c r="AG204" i="17"/>
  <c r="AF204" i="17" s="1"/>
  <c r="AG196" i="17"/>
  <c r="AF196" i="17" s="1"/>
  <c r="AG188" i="17"/>
  <c r="AF188" i="17" s="1"/>
  <c r="AG180" i="17"/>
  <c r="AF180" i="17" s="1"/>
  <c r="AG172" i="17"/>
  <c r="AF172" i="17" s="1"/>
  <c r="AG164" i="17"/>
  <c r="AF164" i="17" s="1"/>
  <c r="AG156" i="17"/>
  <c r="AF156" i="17" s="1"/>
  <c r="AG148" i="17"/>
  <c r="AF148" i="17" s="1"/>
  <c r="AG140" i="17"/>
  <c r="AF140" i="17" s="1"/>
  <c r="AG132" i="17"/>
  <c r="AF132" i="17" s="1"/>
  <c r="AG124" i="17"/>
  <c r="AF124" i="17" s="1"/>
  <c r="AG116" i="17"/>
  <c r="AF116" i="17" s="1"/>
  <c r="AG108" i="17"/>
  <c r="AF108" i="17" s="1"/>
  <c r="AG100" i="17"/>
  <c r="AF100" i="17" s="1"/>
  <c r="AG92" i="17"/>
  <c r="AF92" i="17" s="1"/>
  <c r="AG83" i="17"/>
  <c r="AF83" i="17" s="1"/>
  <c r="AG73" i="17"/>
  <c r="AF73" i="17" s="1"/>
  <c r="AG247" i="17"/>
  <c r="AF247" i="17" s="1"/>
  <c r="AG215" i="17"/>
  <c r="AF215" i="17" s="1"/>
  <c r="AG183" i="17"/>
  <c r="AF183" i="17" s="1"/>
  <c r="AG151" i="17"/>
  <c r="AF151" i="17" s="1"/>
  <c r="AG119" i="17"/>
  <c r="AF119" i="17" s="1"/>
  <c r="AG111" i="17"/>
  <c r="AF111" i="17" s="1"/>
  <c r="AG103" i="17"/>
  <c r="AF103" i="17" s="1"/>
  <c r="AG307" i="17"/>
  <c r="AF307" i="17" s="1"/>
  <c r="AG299" i="17"/>
  <c r="AF299" i="17" s="1"/>
  <c r="AG291" i="17"/>
  <c r="AF291" i="17" s="1"/>
  <c r="AG283" i="17"/>
  <c r="AF283" i="17" s="1"/>
  <c r="AG275" i="17"/>
  <c r="AF275" i="17" s="1"/>
  <c r="AG267" i="17"/>
  <c r="AF267" i="17" s="1"/>
  <c r="AG259" i="17"/>
  <c r="AF259" i="17" s="1"/>
  <c r="AG251" i="17"/>
  <c r="AF251" i="17" s="1"/>
  <c r="AG243" i="17"/>
  <c r="AF243" i="17" s="1"/>
  <c r="AG235" i="17"/>
  <c r="AF235" i="17" s="1"/>
  <c r="AG227" i="17"/>
  <c r="AF227" i="17" s="1"/>
  <c r="AG219" i="17"/>
  <c r="AF219" i="17" s="1"/>
  <c r="AG211" i="17"/>
  <c r="AF211" i="17" s="1"/>
  <c r="AG203" i="17"/>
  <c r="AF203" i="17" s="1"/>
  <c r="AG195" i="17"/>
  <c r="AF195" i="17" s="1"/>
  <c r="AG187" i="17"/>
  <c r="AF187" i="17" s="1"/>
  <c r="AG179" i="17"/>
  <c r="AF179" i="17" s="1"/>
  <c r="AG171" i="17"/>
  <c r="AF171" i="17" s="1"/>
  <c r="AG163" i="17"/>
  <c r="AF163" i="17" s="1"/>
  <c r="AG155" i="17"/>
  <c r="AF155" i="17" s="1"/>
  <c r="AG147" i="17"/>
  <c r="AF147" i="17" s="1"/>
  <c r="AG139" i="17"/>
  <c r="AF139" i="17" s="1"/>
  <c r="AG131" i="17"/>
  <c r="AF131" i="17" s="1"/>
  <c r="AG123" i="17"/>
  <c r="AF123" i="17" s="1"/>
  <c r="AG115" i="17"/>
  <c r="AF115" i="17" s="1"/>
  <c r="AG107" i="17"/>
  <c r="AF107" i="17" s="1"/>
  <c r="AG99" i="17"/>
  <c r="AF99" i="17" s="1"/>
  <c r="AG91" i="17"/>
  <c r="AF91" i="17" s="1"/>
  <c r="AG82" i="17"/>
  <c r="AF82" i="17" s="1"/>
  <c r="JC27" i="8"/>
  <c r="JC28" i="8"/>
  <c r="JC29" i="8"/>
  <c r="JC30" i="8"/>
  <c r="JC31" i="8"/>
  <c r="JC32" i="8"/>
  <c r="JC33" i="8"/>
  <c r="JC34" i="8"/>
  <c r="JC35" i="8"/>
  <c r="JC36" i="8"/>
  <c r="JC38" i="8"/>
  <c r="JC39" i="8"/>
  <c r="JC40" i="8"/>
  <c r="JC41" i="8"/>
  <c r="JC42" i="8"/>
  <c r="JC43" i="8"/>
  <c r="JC44" i="8"/>
  <c r="JC45" i="8"/>
  <c r="JC46" i="8"/>
  <c r="JC47" i="8"/>
  <c r="JC48" i="8"/>
  <c r="JC50" i="8"/>
  <c r="JC51" i="8"/>
  <c r="JC52" i="8"/>
  <c r="JC53" i="8"/>
  <c r="JC54" i="8"/>
  <c r="JC55" i="8"/>
  <c r="JC56" i="8"/>
  <c r="JC57" i="8"/>
  <c r="JC58" i="8"/>
  <c r="JC59" i="8"/>
  <c r="JC60" i="8"/>
  <c r="JC62" i="8"/>
  <c r="JC63" i="8"/>
  <c r="JC64" i="8"/>
  <c r="JC65" i="8"/>
  <c r="JC66" i="8"/>
  <c r="JC67" i="8"/>
  <c r="JC68" i="8"/>
  <c r="JC69" i="8"/>
  <c r="JC70" i="8"/>
  <c r="JC71" i="8"/>
  <c r="JC72" i="8"/>
  <c r="JC74" i="8"/>
  <c r="JC75" i="8"/>
  <c r="JC76" i="8"/>
  <c r="JC77" i="8"/>
  <c r="JC78" i="8"/>
  <c r="JC79" i="8"/>
  <c r="JC80" i="8"/>
  <c r="JC81" i="8"/>
  <c r="JC82" i="8"/>
  <c r="JC83" i="8"/>
  <c r="JC84" i="8"/>
  <c r="JC86" i="8"/>
  <c r="JC87" i="8"/>
  <c r="JC88" i="8"/>
  <c r="JC89" i="8"/>
  <c r="JC90" i="8"/>
  <c r="JC91" i="8"/>
  <c r="JC92" i="8"/>
  <c r="JC93" i="8"/>
  <c r="JC94" i="8"/>
  <c r="JC95" i="8"/>
  <c r="JC96" i="8"/>
  <c r="JC98" i="8"/>
  <c r="JC99" i="8"/>
  <c r="JC100" i="8"/>
  <c r="JC101" i="8"/>
  <c r="JC102" i="8"/>
  <c r="JC103" i="8"/>
  <c r="JC104" i="8"/>
  <c r="JC105" i="8"/>
  <c r="JC106" i="8"/>
  <c r="JC107" i="8"/>
  <c r="JC108" i="8"/>
  <c r="JC110" i="8"/>
  <c r="JC111" i="8"/>
  <c r="JC112" i="8"/>
  <c r="JC113" i="8"/>
  <c r="JC114" i="8"/>
  <c r="JC115" i="8"/>
  <c r="JC116" i="8"/>
  <c r="JC117" i="8"/>
  <c r="JC118" i="8"/>
  <c r="JC119" i="8"/>
  <c r="JC120" i="8"/>
  <c r="JC122" i="8"/>
  <c r="JC123" i="8"/>
  <c r="JC124" i="8"/>
  <c r="JC125" i="8"/>
  <c r="JC126" i="8"/>
  <c r="JC127" i="8"/>
  <c r="JC128" i="8"/>
  <c r="JC129" i="8"/>
  <c r="JC130" i="8"/>
  <c r="JC131" i="8"/>
  <c r="JC132" i="8"/>
  <c r="JC134" i="8"/>
  <c r="JC135" i="8"/>
  <c r="JC136" i="8"/>
  <c r="JC137" i="8"/>
  <c r="JC138" i="8"/>
  <c r="JC139" i="8"/>
  <c r="JC140" i="8"/>
  <c r="JC141" i="8"/>
  <c r="JC142" i="8"/>
  <c r="JC143" i="8"/>
  <c r="JC144" i="8"/>
  <c r="JC146" i="8"/>
  <c r="JC147" i="8"/>
  <c r="JC148" i="8"/>
  <c r="JC149" i="8"/>
  <c r="JC150" i="8"/>
  <c r="JC151" i="8"/>
  <c r="JC152" i="8"/>
  <c r="JC153" i="8"/>
  <c r="JC154" i="8"/>
  <c r="JC155" i="8"/>
  <c r="JC156" i="8"/>
  <c r="JC158" i="8"/>
  <c r="JC159" i="8"/>
  <c r="JC160" i="8"/>
  <c r="JC161" i="8"/>
  <c r="JC162" i="8"/>
  <c r="JC163" i="8"/>
  <c r="JC164" i="8"/>
  <c r="JC165" i="8"/>
  <c r="JC166" i="8"/>
  <c r="JC167" i="8"/>
  <c r="JC168" i="8"/>
  <c r="JC170" i="8"/>
  <c r="JC171" i="8"/>
  <c r="JC172" i="8"/>
  <c r="JC173" i="8"/>
  <c r="JC174" i="8"/>
  <c r="JC175" i="8"/>
  <c r="JC176" i="8"/>
  <c r="JC177" i="8"/>
  <c r="JC178" i="8"/>
  <c r="JC179" i="8"/>
  <c r="JC180" i="8"/>
  <c r="JC182" i="8"/>
  <c r="JC183" i="8"/>
  <c r="JC184" i="8"/>
  <c r="JC185" i="8"/>
  <c r="JC186" i="8"/>
  <c r="JC187" i="8"/>
  <c r="JC188" i="8"/>
  <c r="JC189" i="8"/>
  <c r="JC190" i="8"/>
  <c r="JC191" i="8"/>
  <c r="JC192" i="8"/>
  <c r="JC194" i="8"/>
  <c r="JC195" i="8"/>
  <c r="JC196" i="8"/>
  <c r="JC197" i="8"/>
  <c r="JC198" i="8"/>
  <c r="JC199" i="8"/>
  <c r="JC200" i="8"/>
  <c r="JC201" i="8"/>
  <c r="JC202" i="8"/>
  <c r="JC203" i="8"/>
  <c r="JC204" i="8"/>
  <c r="JC206" i="8"/>
  <c r="JC207" i="8"/>
  <c r="JC208" i="8"/>
  <c r="JC209" i="8"/>
  <c r="JC210" i="8"/>
  <c r="JC211" i="8"/>
  <c r="JC212" i="8"/>
  <c r="JC213" i="8"/>
  <c r="JC214" i="8"/>
  <c r="JC215" i="8"/>
  <c r="JC216" i="8"/>
  <c r="JC218" i="8"/>
  <c r="JC219" i="8"/>
  <c r="JC220" i="8"/>
  <c r="JC221" i="8"/>
  <c r="JC222" i="8"/>
  <c r="JC223" i="8"/>
  <c r="JC224" i="8"/>
  <c r="JC225" i="8"/>
  <c r="JC226" i="8"/>
  <c r="JC227" i="8"/>
  <c r="JC228" i="8"/>
  <c r="JC230" i="8"/>
  <c r="JC231" i="8"/>
  <c r="JC232" i="8"/>
  <c r="JC233" i="8"/>
  <c r="JC234" i="8"/>
  <c r="JC235" i="8"/>
  <c r="JC236" i="8"/>
  <c r="JC237" i="8"/>
  <c r="JC238" i="8"/>
  <c r="JC239" i="8"/>
  <c r="JC240" i="8"/>
  <c r="JC242" i="8"/>
  <c r="JC243" i="8"/>
  <c r="JC244" i="8"/>
  <c r="JC245" i="8"/>
  <c r="JC246" i="8"/>
  <c r="JC247" i="8"/>
  <c r="JC248" i="8"/>
  <c r="JC249" i="8"/>
  <c r="JC250" i="8"/>
  <c r="JC251" i="8"/>
  <c r="JC252" i="8"/>
  <c r="JC254" i="8"/>
  <c r="JC255" i="8"/>
  <c r="JC256" i="8"/>
  <c r="JC257" i="8"/>
  <c r="JC258" i="8"/>
  <c r="JC259" i="8"/>
  <c r="JC260" i="8"/>
  <c r="JC261" i="8"/>
  <c r="JC262" i="8"/>
  <c r="JC263" i="8"/>
  <c r="JC264" i="8"/>
  <c r="JC26" i="8"/>
  <c r="JD62" i="8"/>
  <c r="JD63" i="8"/>
  <c r="JD64" i="8"/>
  <c r="JD65" i="8"/>
  <c r="JD66" i="8"/>
  <c r="JD67" i="8"/>
  <c r="JD68" i="8"/>
  <c r="JD69" i="8"/>
  <c r="JD70" i="8"/>
  <c r="JD71" i="8"/>
  <c r="JD72" i="8"/>
  <c r="JD73" i="8"/>
  <c r="JD74" i="8"/>
  <c r="JD75" i="8"/>
  <c r="JD76" i="8"/>
  <c r="JD77" i="8"/>
  <c r="JD78" i="8"/>
  <c r="JD79" i="8"/>
  <c r="JD80" i="8"/>
  <c r="JD81" i="8"/>
  <c r="JD82" i="8"/>
  <c r="JD83" i="8"/>
  <c r="JD84" i="8"/>
  <c r="JD85" i="8"/>
  <c r="JD86" i="8"/>
  <c r="JD87" i="8"/>
  <c r="JD88" i="8"/>
  <c r="JD89" i="8"/>
  <c r="JD90" i="8"/>
  <c r="JD91" i="8"/>
  <c r="JD92" i="8"/>
  <c r="JD93" i="8"/>
  <c r="JD94" i="8"/>
  <c r="JD95" i="8"/>
  <c r="JD96" i="8"/>
  <c r="JD97" i="8"/>
  <c r="JD98" i="8"/>
  <c r="JD99" i="8"/>
  <c r="JD100" i="8"/>
  <c r="JD101" i="8"/>
  <c r="JD102" i="8"/>
  <c r="JD103" i="8"/>
  <c r="JD104" i="8"/>
  <c r="JD105" i="8"/>
  <c r="JD106" i="8"/>
  <c r="JD107" i="8"/>
  <c r="JD108" i="8"/>
  <c r="JD109" i="8"/>
  <c r="JD110" i="8"/>
  <c r="JD111" i="8"/>
  <c r="JD112" i="8"/>
  <c r="JD113" i="8"/>
  <c r="JD114" i="8"/>
  <c r="JD115" i="8"/>
  <c r="JD116" i="8"/>
  <c r="JD117" i="8"/>
  <c r="JD118" i="8"/>
  <c r="JD119" i="8"/>
  <c r="JD120" i="8"/>
  <c r="JD121" i="8"/>
  <c r="JD122" i="8"/>
  <c r="JD123" i="8"/>
  <c r="JD124" i="8"/>
  <c r="JD125" i="8"/>
  <c r="JD126" i="8"/>
  <c r="JD127" i="8"/>
  <c r="JD128" i="8"/>
  <c r="JD129" i="8"/>
  <c r="JD130" i="8"/>
  <c r="JD131" i="8"/>
  <c r="JD132" i="8"/>
  <c r="JD133" i="8"/>
  <c r="JD134" i="8"/>
  <c r="JD135" i="8"/>
  <c r="JD136" i="8"/>
  <c r="JD137" i="8"/>
  <c r="JD138" i="8"/>
  <c r="JD139" i="8"/>
  <c r="JD140" i="8"/>
  <c r="JD141" i="8"/>
  <c r="JD142" i="8"/>
  <c r="JD143" i="8"/>
  <c r="JD144" i="8"/>
  <c r="JD145" i="8"/>
  <c r="JD146" i="8"/>
  <c r="JD147" i="8"/>
  <c r="JD148" i="8"/>
  <c r="JD149" i="8"/>
  <c r="JD150" i="8"/>
  <c r="JD151" i="8"/>
  <c r="JD152" i="8"/>
  <c r="JD153" i="8"/>
  <c r="JD154" i="8"/>
  <c r="JD155" i="8"/>
  <c r="JD156" i="8"/>
  <c r="JD157" i="8"/>
  <c r="JD158" i="8"/>
  <c r="JD159" i="8"/>
  <c r="JD160" i="8"/>
  <c r="JD161" i="8"/>
  <c r="JD162" i="8"/>
  <c r="JD163" i="8"/>
  <c r="JD164" i="8"/>
  <c r="JD165" i="8"/>
  <c r="JD166" i="8"/>
  <c r="JD167" i="8"/>
  <c r="JD168" i="8"/>
  <c r="JD169" i="8"/>
  <c r="JD170" i="8"/>
  <c r="JD171" i="8"/>
  <c r="JD172" i="8"/>
  <c r="JD173" i="8"/>
  <c r="JD174" i="8"/>
  <c r="JD175" i="8"/>
  <c r="JD176" i="8"/>
  <c r="JD177" i="8"/>
  <c r="JD178" i="8"/>
  <c r="JD179" i="8"/>
  <c r="JD180" i="8"/>
  <c r="JD181" i="8"/>
  <c r="JD182" i="8"/>
  <c r="JD183" i="8"/>
  <c r="JD184" i="8"/>
  <c r="JD185" i="8"/>
  <c r="JD186" i="8"/>
  <c r="JD187" i="8"/>
  <c r="JD188" i="8"/>
  <c r="JD189" i="8"/>
  <c r="JD190" i="8"/>
  <c r="JD191" i="8"/>
  <c r="JD192" i="8"/>
  <c r="JD193" i="8"/>
  <c r="JD194" i="8"/>
  <c r="JD195" i="8"/>
  <c r="JD196" i="8"/>
  <c r="JD197" i="8"/>
  <c r="JD198" i="8"/>
  <c r="JD199" i="8"/>
  <c r="JD200" i="8"/>
  <c r="JD201" i="8"/>
  <c r="JD202" i="8"/>
  <c r="JD203" i="8"/>
  <c r="JD204" i="8"/>
  <c r="JD205" i="8"/>
  <c r="JD206" i="8"/>
  <c r="JD207" i="8"/>
  <c r="JD208" i="8"/>
  <c r="JD209" i="8"/>
  <c r="JD210" i="8"/>
  <c r="JD211" i="8"/>
  <c r="JD212" i="8"/>
  <c r="JD213" i="8"/>
  <c r="JD214" i="8"/>
  <c r="JD215" i="8"/>
  <c r="JD216" i="8"/>
  <c r="JD217" i="8"/>
  <c r="JD218" i="8"/>
  <c r="JD219" i="8"/>
  <c r="JD220" i="8"/>
  <c r="JD221" i="8"/>
  <c r="JD222" i="8"/>
  <c r="JD223" i="8"/>
  <c r="JD224" i="8"/>
  <c r="JD225" i="8"/>
  <c r="JD226" i="8"/>
  <c r="JD227" i="8"/>
  <c r="JD228" i="8"/>
  <c r="JD229" i="8"/>
  <c r="JD230" i="8"/>
  <c r="JD231" i="8"/>
  <c r="JD232" i="8"/>
  <c r="JD233" i="8"/>
  <c r="JD234" i="8"/>
  <c r="JD235" i="8"/>
  <c r="JD236" i="8"/>
  <c r="JD237" i="8"/>
  <c r="JD238" i="8"/>
  <c r="JD239" i="8"/>
  <c r="JD240" i="8"/>
  <c r="JD241" i="8"/>
  <c r="JD242" i="8"/>
  <c r="JD243" i="8"/>
  <c r="JD244" i="8"/>
  <c r="JD245" i="8"/>
  <c r="JD246" i="8"/>
  <c r="JD247" i="8"/>
  <c r="JD248" i="8"/>
  <c r="JD249" i="8"/>
  <c r="JD250" i="8"/>
  <c r="JD251" i="8"/>
  <c r="JD252" i="8"/>
  <c r="JD253" i="8"/>
  <c r="JD254" i="8"/>
  <c r="JD255" i="8"/>
  <c r="JD256" i="8"/>
  <c r="JD257" i="8"/>
  <c r="JD258" i="8"/>
  <c r="JD259" i="8"/>
  <c r="JD260" i="8"/>
  <c r="JD261" i="8"/>
  <c r="JD262" i="8"/>
  <c r="JD263" i="8"/>
  <c r="JD264" i="8"/>
  <c r="JD61" i="8"/>
  <c r="IE61" i="8"/>
  <c r="ID27" i="8"/>
  <c r="ID28" i="8"/>
  <c r="ID29" i="8"/>
  <c r="ID30" i="8"/>
  <c r="ID31" i="8"/>
  <c r="ID32" i="8"/>
  <c r="ID33" i="8"/>
  <c r="ID34" i="8"/>
  <c r="ID35" i="8"/>
  <c r="ID36" i="8"/>
  <c r="ID38" i="8"/>
  <c r="ID39" i="8"/>
  <c r="ID40" i="8"/>
  <c r="ID41" i="8"/>
  <c r="ID42" i="8"/>
  <c r="ID43" i="8"/>
  <c r="ID44" i="8"/>
  <c r="ID45" i="8"/>
  <c r="ID46" i="8"/>
  <c r="ID47" i="8"/>
  <c r="ID48" i="8"/>
  <c r="ID50" i="8"/>
  <c r="ID51" i="8"/>
  <c r="ID52" i="8"/>
  <c r="ID53" i="8"/>
  <c r="ID54" i="8"/>
  <c r="ID55" i="8"/>
  <c r="ID56" i="8"/>
  <c r="ID57" i="8"/>
  <c r="ID58" i="8"/>
  <c r="ID59" i="8"/>
  <c r="ID60" i="8"/>
  <c r="ID62" i="8"/>
  <c r="ID63" i="8"/>
  <c r="ID64" i="8"/>
  <c r="ID65" i="8"/>
  <c r="ID66" i="8"/>
  <c r="ID67" i="8"/>
  <c r="ID68" i="8"/>
  <c r="ID69" i="8"/>
  <c r="ID70" i="8"/>
  <c r="ID71" i="8"/>
  <c r="ID72" i="8"/>
  <c r="ID74" i="8"/>
  <c r="ID75" i="8"/>
  <c r="ID76" i="8"/>
  <c r="ID77" i="8"/>
  <c r="ID78" i="8"/>
  <c r="ID79" i="8"/>
  <c r="ID80" i="8"/>
  <c r="ID81" i="8"/>
  <c r="ID82" i="8"/>
  <c r="ID83" i="8"/>
  <c r="ID84" i="8"/>
  <c r="ID86" i="8"/>
  <c r="ID87" i="8"/>
  <c r="ID88" i="8"/>
  <c r="ID89" i="8"/>
  <c r="ID90" i="8"/>
  <c r="ID91" i="8"/>
  <c r="ID92" i="8"/>
  <c r="ID93" i="8"/>
  <c r="ID94" i="8"/>
  <c r="ID95" i="8"/>
  <c r="ID96" i="8"/>
  <c r="ID98" i="8"/>
  <c r="ID99" i="8"/>
  <c r="ID100" i="8"/>
  <c r="ID101" i="8"/>
  <c r="ID102" i="8"/>
  <c r="ID103" i="8"/>
  <c r="ID104" i="8"/>
  <c r="ID105" i="8"/>
  <c r="ID106" i="8"/>
  <c r="ID107" i="8"/>
  <c r="ID108" i="8"/>
  <c r="ID110" i="8"/>
  <c r="ID111" i="8"/>
  <c r="ID112" i="8"/>
  <c r="ID113" i="8"/>
  <c r="ID114" i="8"/>
  <c r="ID115" i="8"/>
  <c r="ID116" i="8"/>
  <c r="ID117" i="8"/>
  <c r="ID118" i="8"/>
  <c r="ID119" i="8"/>
  <c r="ID120" i="8"/>
  <c r="ID122" i="8"/>
  <c r="ID123" i="8"/>
  <c r="ID124" i="8"/>
  <c r="ID125" i="8"/>
  <c r="ID126" i="8"/>
  <c r="ID127" i="8"/>
  <c r="ID128" i="8"/>
  <c r="ID129" i="8"/>
  <c r="ID130" i="8"/>
  <c r="ID131" i="8"/>
  <c r="ID132" i="8"/>
  <c r="ID134" i="8"/>
  <c r="ID135" i="8"/>
  <c r="ID136" i="8"/>
  <c r="ID137" i="8"/>
  <c r="ID138" i="8"/>
  <c r="ID139" i="8"/>
  <c r="ID140" i="8"/>
  <c r="ID141" i="8"/>
  <c r="ID142" i="8"/>
  <c r="ID143" i="8"/>
  <c r="ID144" i="8"/>
  <c r="ID146" i="8"/>
  <c r="ID147" i="8"/>
  <c r="ID148" i="8"/>
  <c r="ID149" i="8"/>
  <c r="ID150" i="8"/>
  <c r="ID151" i="8"/>
  <c r="ID152" i="8"/>
  <c r="ID153" i="8"/>
  <c r="ID154" i="8"/>
  <c r="ID155" i="8"/>
  <c r="ID156" i="8"/>
  <c r="ID158" i="8"/>
  <c r="ID159" i="8"/>
  <c r="ID160" i="8"/>
  <c r="ID161" i="8"/>
  <c r="ID162" i="8"/>
  <c r="ID163" i="8"/>
  <c r="ID164" i="8"/>
  <c r="ID165" i="8"/>
  <c r="ID166" i="8"/>
  <c r="ID167" i="8"/>
  <c r="ID168" i="8"/>
  <c r="ID170" i="8"/>
  <c r="ID171" i="8"/>
  <c r="ID172" i="8"/>
  <c r="ID173" i="8"/>
  <c r="ID174" i="8"/>
  <c r="ID175" i="8"/>
  <c r="ID176" i="8"/>
  <c r="ID177" i="8"/>
  <c r="ID178" i="8"/>
  <c r="ID179" i="8"/>
  <c r="ID180" i="8"/>
  <c r="ID182" i="8"/>
  <c r="ID183" i="8"/>
  <c r="ID184" i="8"/>
  <c r="ID185" i="8"/>
  <c r="ID186" i="8"/>
  <c r="ID187" i="8"/>
  <c r="ID188" i="8"/>
  <c r="ID189" i="8"/>
  <c r="ID190" i="8"/>
  <c r="ID191" i="8"/>
  <c r="ID192" i="8"/>
  <c r="ID194" i="8"/>
  <c r="ID195" i="8"/>
  <c r="ID196" i="8"/>
  <c r="ID197" i="8"/>
  <c r="ID198" i="8"/>
  <c r="ID199" i="8"/>
  <c r="ID200" i="8"/>
  <c r="ID201" i="8"/>
  <c r="ID202" i="8"/>
  <c r="ID203" i="8"/>
  <c r="ID204" i="8"/>
  <c r="ID206" i="8"/>
  <c r="ID207" i="8"/>
  <c r="ID208" i="8"/>
  <c r="ID209" i="8"/>
  <c r="ID210" i="8"/>
  <c r="ID211" i="8"/>
  <c r="ID212" i="8"/>
  <c r="ID213" i="8"/>
  <c r="ID214" i="8"/>
  <c r="ID215" i="8"/>
  <c r="ID216" i="8"/>
  <c r="ID218" i="8"/>
  <c r="ID219" i="8"/>
  <c r="ID220" i="8"/>
  <c r="ID221" i="8"/>
  <c r="ID222" i="8"/>
  <c r="ID223" i="8"/>
  <c r="ID224" i="8"/>
  <c r="ID225" i="8"/>
  <c r="ID226" i="8"/>
  <c r="ID227" i="8"/>
  <c r="ID228" i="8"/>
  <c r="ID230" i="8"/>
  <c r="ID231" i="8"/>
  <c r="ID232" i="8"/>
  <c r="ID233" i="8"/>
  <c r="ID234" i="8"/>
  <c r="ID235" i="8"/>
  <c r="ID236" i="8"/>
  <c r="ID237" i="8"/>
  <c r="ID238" i="8"/>
  <c r="ID239" i="8"/>
  <c r="ID240" i="8"/>
  <c r="ID242" i="8"/>
  <c r="ID243" i="8"/>
  <c r="ID244" i="8"/>
  <c r="ID245" i="8"/>
  <c r="ID246" i="8"/>
  <c r="ID247" i="8"/>
  <c r="ID248" i="8"/>
  <c r="ID249" i="8"/>
  <c r="ID250" i="8"/>
  <c r="ID251" i="8"/>
  <c r="ID252" i="8"/>
  <c r="ID254" i="8"/>
  <c r="ID255" i="8"/>
  <c r="ID256" i="8"/>
  <c r="ID257" i="8"/>
  <c r="ID258" i="8"/>
  <c r="ID259" i="8"/>
  <c r="ID260" i="8"/>
  <c r="ID261" i="8"/>
  <c r="ID262" i="8"/>
  <c r="ID263" i="8"/>
  <c r="ID264" i="8"/>
  <c r="ID26" i="8"/>
  <c r="IE62" i="8"/>
  <c r="IE63" i="8"/>
  <c r="IE64" i="8"/>
  <c r="IE65" i="8"/>
  <c r="IE66" i="8"/>
  <c r="IE67" i="8"/>
  <c r="IE68" i="8"/>
  <c r="IE69" i="8"/>
  <c r="IE70" i="8"/>
  <c r="IE71" i="8"/>
  <c r="IE72" i="8"/>
  <c r="IE73" i="8"/>
  <c r="IE74" i="8"/>
  <c r="IE75" i="8"/>
  <c r="IE76" i="8"/>
  <c r="IE77" i="8"/>
  <c r="IE78" i="8"/>
  <c r="IE79" i="8"/>
  <c r="IE80" i="8"/>
  <c r="IE81" i="8"/>
  <c r="IE82" i="8"/>
  <c r="IE83" i="8"/>
  <c r="IE84" i="8"/>
  <c r="IE85" i="8"/>
  <c r="IE86" i="8"/>
  <c r="IE87" i="8"/>
  <c r="IE88" i="8"/>
  <c r="IE89" i="8"/>
  <c r="IE90" i="8"/>
  <c r="IE91" i="8"/>
  <c r="IE92" i="8"/>
  <c r="IE93" i="8"/>
  <c r="IE94" i="8"/>
  <c r="IE95" i="8"/>
  <c r="IE96" i="8"/>
  <c r="IE97" i="8"/>
  <c r="IE98" i="8"/>
  <c r="IE99" i="8"/>
  <c r="IE100" i="8"/>
  <c r="IE101" i="8"/>
  <c r="IE102" i="8"/>
  <c r="IE103" i="8"/>
  <c r="IE104" i="8"/>
  <c r="IE105" i="8"/>
  <c r="IE106" i="8"/>
  <c r="IE107" i="8"/>
  <c r="IE108" i="8"/>
  <c r="IE109" i="8"/>
  <c r="IE110" i="8"/>
  <c r="IE111" i="8"/>
  <c r="IE112" i="8"/>
  <c r="IE113" i="8"/>
  <c r="IE114" i="8"/>
  <c r="IE115" i="8"/>
  <c r="IE116" i="8"/>
  <c r="IE117" i="8"/>
  <c r="IE118" i="8"/>
  <c r="IE119" i="8"/>
  <c r="IE120" i="8"/>
  <c r="IE121" i="8"/>
  <c r="IE122" i="8"/>
  <c r="IE123" i="8"/>
  <c r="IE124" i="8"/>
  <c r="IE125" i="8"/>
  <c r="IE126" i="8"/>
  <c r="IE127" i="8"/>
  <c r="IE128" i="8"/>
  <c r="IE129" i="8"/>
  <c r="IE130" i="8"/>
  <c r="IE131" i="8"/>
  <c r="IE132" i="8"/>
  <c r="IE133" i="8"/>
  <c r="IE134" i="8"/>
  <c r="IE135" i="8"/>
  <c r="IE136" i="8"/>
  <c r="IE137" i="8"/>
  <c r="IE138" i="8"/>
  <c r="IE139" i="8"/>
  <c r="IE140" i="8"/>
  <c r="IE141" i="8"/>
  <c r="IE142" i="8"/>
  <c r="IE143" i="8"/>
  <c r="IE144" i="8"/>
  <c r="IE145" i="8"/>
  <c r="IE146" i="8"/>
  <c r="IE147" i="8"/>
  <c r="IE148" i="8"/>
  <c r="IE149" i="8"/>
  <c r="IE150" i="8"/>
  <c r="IE151" i="8"/>
  <c r="IE152" i="8"/>
  <c r="IE153" i="8"/>
  <c r="IE154" i="8"/>
  <c r="IE155" i="8"/>
  <c r="IE156" i="8"/>
  <c r="IE157" i="8"/>
  <c r="IE158" i="8"/>
  <c r="IE159" i="8"/>
  <c r="IE160" i="8"/>
  <c r="IE161" i="8"/>
  <c r="IE162" i="8"/>
  <c r="IE163" i="8"/>
  <c r="IE164" i="8"/>
  <c r="IE165" i="8"/>
  <c r="IE166" i="8"/>
  <c r="IE167" i="8"/>
  <c r="IE168" i="8"/>
  <c r="IE169" i="8"/>
  <c r="IE170" i="8"/>
  <c r="IE171" i="8"/>
  <c r="IE172" i="8"/>
  <c r="IE173" i="8"/>
  <c r="IE174" i="8"/>
  <c r="IE175" i="8"/>
  <c r="IE176" i="8"/>
  <c r="IE177" i="8"/>
  <c r="IE178" i="8"/>
  <c r="IE179" i="8"/>
  <c r="IE180" i="8"/>
  <c r="IE181" i="8"/>
  <c r="IE182" i="8"/>
  <c r="IE183" i="8"/>
  <c r="IE184" i="8"/>
  <c r="IE185" i="8"/>
  <c r="IE186" i="8"/>
  <c r="IE187" i="8"/>
  <c r="IE188" i="8"/>
  <c r="IE189" i="8"/>
  <c r="IE190" i="8"/>
  <c r="IE191" i="8"/>
  <c r="IE192" i="8"/>
  <c r="IE193" i="8"/>
  <c r="IE194" i="8"/>
  <c r="IE195" i="8"/>
  <c r="IE196" i="8"/>
  <c r="IE197" i="8"/>
  <c r="IE198" i="8"/>
  <c r="IE199" i="8"/>
  <c r="IE200" i="8"/>
  <c r="IE201" i="8"/>
  <c r="IE202" i="8"/>
  <c r="IE203" i="8"/>
  <c r="IE204" i="8"/>
  <c r="IE205" i="8"/>
  <c r="IE206" i="8"/>
  <c r="IE207" i="8"/>
  <c r="IE208" i="8"/>
  <c r="IE209" i="8"/>
  <c r="IE210" i="8"/>
  <c r="IE211" i="8"/>
  <c r="IE212" i="8"/>
  <c r="IE213" i="8"/>
  <c r="IE214" i="8"/>
  <c r="IE215" i="8"/>
  <c r="IE216" i="8"/>
  <c r="IE217" i="8"/>
  <c r="IE218" i="8"/>
  <c r="IE219" i="8"/>
  <c r="IE220" i="8"/>
  <c r="IE221" i="8"/>
  <c r="IE222" i="8"/>
  <c r="IE223" i="8"/>
  <c r="IE224" i="8"/>
  <c r="IE225" i="8"/>
  <c r="IE226" i="8"/>
  <c r="IE227" i="8"/>
  <c r="IE228" i="8"/>
  <c r="IE229" i="8"/>
  <c r="IE230" i="8"/>
  <c r="IE231" i="8"/>
  <c r="IE232" i="8"/>
  <c r="IE233" i="8"/>
  <c r="IE234" i="8"/>
  <c r="IE235" i="8"/>
  <c r="IE236" i="8"/>
  <c r="IE237" i="8"/>
  <c r="IE238" i="8"/>
  <c r="IE239" i="8"/>
  <c r="IE240" i="8"/>
  <c r="IE241" i="8"/>
  <c r="IE242" i="8"/>
  <c r="IE243" i="8"/>
  <c r="IE244" i="8"/>
  <c r="IE245" i="8"/>
  <c r="IE246" i="8"/>
  <c r="IE247" i="8"/>
  <c r="IE248" i="8"/>
  <c r="IE249" i="8"/>
  <c r="IE250" i="8"/>
  <c r="IE251" i="8"/>
  <c r="IE252" i="8"/>
  <c r="IE253" i="8"/>
  <c r="IE254" i="8"/>
  <c r="IE255" i="8"/>
  <c r="IE256" i="8"/>
  <c r="IE257" i="8"/>
  <c r="IE258" i="8"/>
  <c r="IE259" i="8"/>
  <c r="IE260" i="8"/>
  <c r="IE261" i="8"/>
  <c r="IE262" i="8"/>
  <c r="IE263" i="8"/>
  <c r="IE264" i="8"/>
  <c r="R319" i="8" l="1"/>
  <c r="S318" i="8"/>
  <c r="V336" i="1"/>
  <c r="W335" i="1"/>
  <c r="BI27" i="8"/>
  <c r="BI28" i="8"/>
  <c r="BI29" i="8"/>
  <c r="BI30" i="8"/>
  <c r="BI31" i="8"/>
  <c r="BI32" i="8"/>
  <c r="BI33" i="8"/>
  <c r="BI34" i="8"/>
  <c r="BI35" i="8"/>
  <c r="BI36" i="8"/>
  <c r="BI38" i="8"/>
  <c r="BI39" i="8"/>
  <c r="BI40" i="8"/>
  <c r="BI41" i="8"/>
  <c r="BI42" i="8"/>
  <c r="BI43" i="8"/>
  <c r="BI44" i="8"/>
  <c r="BI45" i="8"/>
  <c r="BI46" i="8"/>
  <c r="BI47" i="8"/>
  <c r="BI48" i="8"/>
  <c r="BI50" i="8"/>
  <c r="BI51" i="8"/>
  <c r="BI52" i="8"/>
  <c r="BI53" i="8"/>
  <c r="BI54" i="8"/>
  <c r="BI55" i="8"/>
  <c r="BI56" i="8"/>
  <c r="BI57" i="8"/>
  <c r="BI58" i="8"/>
  <c r="BI59" i="8"/>
  <c r="BI60" i="8"/>
  <c r="BI62" i="8"/>
  <c r="BI63" i="8"/>
  <c r="BI64" i="8"/>
  <c r="BI65" i="8"/>
  <c r="BI66" i="8"/>
  <c r="BI67" i="8"/>
  <c r="BI68" i="8"/>
  <c r="BI69" i="8"/>
  <c r="BI70" i="8"/>
  <c r="BI71" i="8"/>
  <c r="BI72" i="8"/>
  <c r="BI74" i="8"/>
  <c r="BI75" i="8"/>
  <c r="BI76" i="8"/>
  <c r="BI77" i="8"/>
  <c r="BI78" i="8"/>
  <c r="BI79" i="8"/>
  <c r="BI80" i="8"/>
  <c r="BI81" i="8"/>
  <c r="BI82" i="8"/>
  <c r="BI83" i="8"/>
  <c r="BI84" i="8"/>
  <c r="BI86" i="8"/>
  <c r="BI87" i="8"/>
  <c r="BI88" i="8"/>
  <c r="BI89" i="8"/>
  <c r="BI90" i="8"/>
  <c r="BI91" i="8"/>
  <c r="BI92" i="8"/>
  <c r="BI93" i="8"/>
  <c r="BI94" i="8"/>
  <c r="BI95" i="8"/>
  <c r="BI96" i="8"/>
  <c r="BI98" i="8"/>
  <c r="BI99" i="8"/>
  <c r="BI100" i="8"/>
  <c r="BI101" i="8"/>
  <c r="BI102" i="8"/>
  <c r="BI103" i="8"/>
  <c r="BI104" i="8"/>
  <c r="BI105" i="8"/>
  <c r="BI106" i="8"/>
  <c r="BI107" i="8"/>
  <c r="BI108" i="8"/>
  <c r="BI110" i="8"/>
  <c r="BI111" i="8"/>
  <c r="BI112" i="8"/>
  <c r="BI113" i="8"/>
  <c r="BI114" i="8"/>
  <c r="BI115" i="8"/>
  <c r="BI116" i="8"/>
  <c r="BI117" i="8"/>
  <c r="BI118" i="8"/>
  <c r="BI119" i="8"/>
  <c r="BI120" i="8"/>
  <c r="BI122" i="8"/>
  <c r="BI123" i="8"/>
  <c r="BI124" i="8"/>
  <c r="BI125" i="8"/>
  <c r="BI126" i="8"/>
  <c r="BI127" i="8"/>
  <c r="BI128" i="8"/>
  <c r="BI129" i="8"/>
  <c r="BI130" i="8"/>
  <c r="BI131" i="8"/>
  <c r="BI132" i="8"/>
  <c r="BI134" i="8"/>
  <c r="BI135" i="8"/>
  <c r="BI136" i="8"/>
  <c r="BI137" i="8"/>
  <c r="BI138" i="8"/>
  <c r="BI139" i="8"/>
  <c r="BI140" i="8"/>
  <c r="BI141" i="8"/>
  <c r="BI142" i="8"/>
  <c r="BI143" i="8"/>
  <c r="BI144" i="8"/>
  <c r="BI146" i="8"/>
  <c r="BI147" i="8"/>
  <c r="BI148" i="8"/>
  <c r="BI149" i="8"/>
  <c r="BI150" i="8"/>
  <c r="BI151" i="8"/>
  <c r="BI152" i="8"/>
  <c r="BI153" i="8"/>
  <c r="BI154" i="8"/>
  <c r="BI155" i="8"/>
  <c r="BI156" i="8"/>
  <c r="BI158" i="8"/>
  <c r="BI159" i="8"/>
  <c r="BI160" i="8"/>
  <c r="BI161" i="8"/>
  <c r="BI162" i="8"/>
  <c r="BI163" i="8"/>
  <c r="BI164" i="8"/>
  <c r="BI165" i="8"/>
  <c r="BI166" i="8"/>
  <c r="BI167" i="8"/>
  <c r="BI168" i="8"/>
  <c r="BI170" i="8"/>
  <c r="BI171" i="8"/>
  <c r="BI172" i="8"/>
  <c r="BI173" i="8"/>
  <c r="BI174" i="8"/>
  <c r="BI175" i="8"/>
  <c r="BI176" i="8"/>
  <c r="BI177" i="8"/>
  <c r="BI178" i="8"/>
  <c r="BI179" i="8"/>
  <c r="BI180" i="8"/>
  <c r="BI182" i="8"/>
  <c r="BI183" i="8"/>
  <c r="BI184" i="8"/>
  <c r="BI185" i="8"/>
  <c r="BI186" i="8"/>
  <c r="BI187" i="8"/>
  <c r="BI188" i="8"/>
  <c r="BI189" i="8"/>
  <c r="BI190" i="8"/>
  <c r="BI191" i="8"/>
  <c r="BI192" i="8"/>
  <c r="BI194" i="8"/>
  <c r="BI195" i="8"/>
  <c r="BI196" i="8"/>
  <c r="BI197" i="8"/>
  <c r="BI198" i="8"/>
  <c r="BI199" i="8"/>
  <c r="BI200" i="8"/>
  <c r="BI201" i="8"/>
  <c r="BI202" i="8"/>
  <c r="BI203" i="8"/>
  <c r="BI204" i="8"/>
  <c r="BI206" i="8"/>
  <c r="BI207" i="8"/>
  <c r="BI208" i="8"/>
  <c r="BI209" i="8"/>
  <c r="BI210" i="8"/>
  <c r="BI211" i="8"/>
  <c r="BI212" i="8"/>
  <c r="BI213" i="8"/>
  <c r="BI214" i="8"/>
  <c r="BI215" i="8"/>
  <c r="BI216" i="8"/>
  <c r="BI218" i="8"/>
  <c r="BI219" i="8"/>
  <c r="BI220" i="8"/>
  <c r="BI221" i="8"/>
  <c r="BI222" i="8"/>
  <c r="BI223" i="8"/>
  <c r="BI224" i="8"/>
  <c r="BI225" i="8"/>
  <c r="BI226" i="8"/>
  <c r="BI227" i="8"/>
  <c r="BI228" i="8"/>
  <c r="BI230" i="8"/>
  <c r="BI231" i="8"/>
  <c r="BI232" i="8"/>
  <c r="BI233" i="8"/>
  <c r="BI234" i="8"/>
  <c r="BI235" i="8"/>
  <c r="BI236" i="8"/>
  <c r="BI237" i="8"/>
  <c r="BI238" i="8"/>
  <c r="BI239" i="8"/>
  <c r="BI240" i="8"/>
  <c r="BI242" i="8"/>
  <c r="BI243" i="8"/>
  <c r="BI244" i="8"/>
  <c r="BI245" i="8"/>
  <c r="BI246" i="8"/>
  <c r="BI247" i="8"/>
  <c r="BI248" i="8"/>
  <c r="BI249" i="8"/>
  <c r="BI250" i="8"/>
  <c r="BI251" i="8"/>
  <c r="BI252" i="8"/>
  <c r="BI254" i="8"/>
  <c r="BI255" i="8"/>
  <c r="BI256" i="8"/>
  <c r="BI257" i="8"/>
  <c r="BI258" i="8"/>
  <c r="BI259" i="8"/>
  <c r="BI260" i="8"/>
  <c r="BI261" i="8"/>
  <c r="BI262" i="8"/>
  <c r="BI263" i="8"/>
  <c r="BI264" i="8"/>
  <c r="BI26" i="8"/>
  <c r="BC9" i="8"/>
  <c r="AO27" i="8"/>
  <c r="AO28" i="8"/>
  <c r="AO29" i="8"/>
  <c r="AO30" i="8"/>
  <c r="AO31" i="8"/>
  <c r="AO32" i="8"/>
  <c r="AO33" i="8"/>
  <c r="AO34" i="8"/>
  <c r="AO35" i="8"/>
  <c r="AO36" i="8"/>
  <c r="AO38" i="8"/>
  <c r="AO39" i="8"/>
  <c r="AO40" i="8"/>
  <c r="AO41" i="8"/>
  <c r="AO42" i="8"/>
  <c r="AO43" i="8"/>
  <c r="AO44" i="8"/>
  <c r="AO45" i="8"/>
  <c r="AO46" i="8"/>
  <c r="AO47" i="8"/>
  <c r="AO48" i="8"/>
  <c r="AO50" i="8"/>
  <c r="AO51" i="8"/>
  <c r="AO52" i="8"/>
  <c r="AO53" i="8"/>
  <c r="AO54" i="8"/>
  <c r="AO55" i="8"/>
  <c r="AO56" i="8"/>
  <c r="AO57" i="8"/>
  <c r="AO58" i="8"/>
  <c r="AO59" i="8"/>
  <c r="AO60" i="8"/>
  <c r="AO62" i="8"/>
  <c r="AO63" i="8"/>
  <c r="AO64" i="8"/>
  <c r="AO65" i="8"/>
  <c r="AO66" i="8"/>
  <c r="AO67" i="8"/>
  <c r="AO68" i="8"/>
  <c r="AO69" i="8"/>
  <c r="AO70" i="8"/>
  <c r="AO71" i="8"/>
  <c r="AO72" i="8"/>
  <c r="AO74" i="8"/>
  <c r="AO75" i="8"/>
  <c r="AO76" i="8"/>
  <c r="AO77" i="8"/>
  <c r="AO78" i="8"/>
  <c r="AO79" i="8"/>
  <c r="AO80" i="8"/>
  <c r="AO81" i="8"/>
  <c r="AO82" i="8"/>
  <c r="AO83" i="8"/>
  <c r="AO84" i="8"/>
  <c r="AO86" i="8"/>
  <c r="AO87" i="8"/>
  <c r="AO88" i="8"/>
  <c r="AO89" i="8"/>
  <c r="AO90" i="8"/>
  <c r="AO91" i="8"/>
  <c r="AO92" i="8"/>
  <c r="AO93" i="8"/>
  <c r="AO94" i="8"/>
  <c r="AO95" i="8"/>
  <c r="AO96" i="8"/>
  <c r="AO98" i="8"/>
  <c r="AO99" i="8"/>
  <c r="AO100" i="8"/>
  <c r="AO101" i="8"/>
  <c r="AO102" i="8"/>
  <c r="AO103" i="8"/>
  <c r="AO104" i="8"/>
  <c r="AO105" i="8"/>
  <c r="AO106" i="8"/>
  <c r="AO107" i="8"/>
  <c r="AO108" i="8"/>
  <c r="AO110" i="8"/>
  <c r="AO111" i="8"/>
  <c r="AO112" i="8"/>
  <c r="AO113" i="8"/>
  <c r="AO114" i="8"/>
  <c r="AO115" i="8"/>
  <c r="AO116" i="8"/>
  <c r="AO117" i="8"/>
  <c r="AO118" i="8"/>
  <c r="AO119" i="8"/>
  <c r="AO120" i="8"/>
  <c r="AO122" i="8"/>
  <c r="AO123" i="8"/>
  <c r="AO124" i="8"/>
  <c r="AO125" i="8"/>
  <c r="AO126" i="8"/>
  <c r="AO127" i="8"/>
  <c r="AO128" i="8"/>
  <c r="AO129" i="8"/>
  <c r="AO130" i="8"/>
  <c r="AO131" i="8"/>
  <c r="AO132" i="8"/>
  <c r="AO134" i="8"/>
  <c r="AO135" i="8"/>
  <c r="AO136" i="8"/>
  <c r="AO137" i="8"/>
  <c r="AO138" i="8"/>
  <c r="AO139" i="8"/>
  <c r="AO140" i="8"/>
  <c r="AO141" i="8"/>
  <c r="AO142" i="8"/>
  <c r="AO143" i="8"/>
  <c r="AO144" i="8"/>
  <c r="AO146" i="8"/>
  <c r="AO147" i="8"/>
  <c r="AO148" i="8"/>
  <c r="AO149" i="8"/>
  <c r="AO150" i="8"/>
  <c r="AO151" i="8"/>
  <c r="AO152" i="8"/>
  <c r="AO153" i="8"/>
  <c r="AO154" i="8"/>
  <c r="AO155" i="8"/>
  <c r="AO156" i="8"/>
  <c r="AO158" i="8"/>
  <c r="AO159" i="8"/>
  <c r="AO160" i="8"/>
  <c r="AO161" i="8"/>
  <c r="AO162" i="8"/>
  <c r="AO163" i="8"/>
  <c r="AO164" i="8"/>
  <c r="AO165" i="8"/>
  <c r="AO166" i="8"/>
  <c r="AO167" i="8"/>
  <c r="AO168" i="8"/>
  <c r="AO170" i="8"/>
  <c r="AO171" i="8"/>
  <c r="AO172" i="8"/>
  <c r="AO173" i="8"/>
  <c r="AO174" i="8"/>
  <c r="AO175" i="8"/>
  <c r="AO176" i="8"/>
  <c r="AO177" i="8"/>
  <c r="AO178" i="8"/>
  <c r="AO179" i="8"/>
  <c r="AO180" i="8"/>
  <c r="AO182" i="8"/>
  <c r="AO183" i="8"/>
  <c r="AO184" i="8"/>
  <c r="AO185" i="8"/>
  <c r="AO186" i="8"/>
  <c r="AO187" i="8"/>
  <c r="AO188" i="8"/>
  <c r="AO189" i="8"/>
  <c r="AO190" i="8"/>
  <c r="AO191" i="8"/>
  <c r="AO192" i="8"/>
  <c r="AO194" i="8"/>
  <c r="AO195" i="8"/>
  <c r="AO196" i="8"/>
  <c r="AO197" i="8"/>
  <c r="AO198" i="8"/>
  <c r="AO199" i="8"/>
  <c r="AO200" i="8"/>
  <c r="AO201" i="8"/>
  <c r="AO202" i="8"/>
  <c r="AO203" i="8"/>
  <c r="AO204" i="8"/>
  <c r="AO206" i="8"/>
  <c r="AO207" i="8"/>
  <c r="AO208" i="8"/>
  <c r="AO209" i="8"/>
  <c r="AO210" i="8"/>
  <c r="AO211" i="8"/>
  <c r="AO212" i="8"/>
  <c r="AO213" i="8"/>
  <c r="AO214" i="8"/>
  <c r="AO215" i="8"/>
  <c r="AO216" i="8"/>
  <c r="AO218" i="8"/>
  <c r="AO219" i="8"/>
  <c r="AO220" i="8"/>
  <c r="AO221" i="8"/>
  <c r="AO222" i="8"/>
  <c r="AO223" i="8"/>
  <c r="AO224" i="8"/>
  <c r="AO225" i="8"/>
  <c r="AO226" i="8"/>
  <c r="AO227" i="8"/>
  <c r="AO228" i="8"/>
  <c r="AO230" i="8"/>
  <c r="AO231" i="8"/>
  <c r="AO232" i="8"/>
  <c r="AO233" i="8"/>
  <c r="AO234" i="8"/>
  <c r="AO235" i="8"/>
  <c r="AO236" i="8"/>
  <c r="AO237" i="8"/>
  <c r="AO238" i="8"/>
  <c r="AO239" i="8"/>
  <c r="AO240" i="8"/>
  <c r="AO242" i="8"/>
  <c r="AO243" i="8"/>
  <c r="AO244" i="8"/>
  <c r="AO245" i="8"/>
  <c r="AO246" i="8"/>
  <c r="AO247" i="8"/>
  <c r="AO248" i="8"/>
  <c r="AO249" i="8"/>
  <c r="AO250" i="8"/>
  <c r="AO251" i="8"/>
  <c r="AO252" i="8"/>
  <c r="AO254" i="8"/>
  <c r="AO255" i="8"/>
  <c r="AO256" i="8"/>
  <c r="AO257" i="8"/>
  <c r="AO258" i="8"/>
  <c r="AO259" i="8"/>
  <c r="AO260" i="8"/>
  <c r="AO261" i="8"/>
  <c r="AO262" i="8"/>
  <c r="AO263" i="8"/>
  <c r="AO264" i="8"/>
  <c r="AO26" i="8"/>
  <c r="AI7" i="8"/>
  <c r="AI9" i="8" s="1"/>
  <c r="R320" i="8" l="1"/>
  <c r="S319" i="8"/>
  <c r="W336" i="1"/>
  <c r="V337" i="1"/>
  <c r="L16" i="8"/>
  <c r="R321" i="8" l="1"/>
  <c r="S320" i="8"/>
  <c r="V338" i="1"/>
  <c r="W337" i="1"/>
  <c r="FO16" i="4"/>
  <c r="FO15" i="4"/>
  <c r="FO14" i="4"/>
  <c r="FO9" i="4"/>
  <c r="FO8" i="4"/>
  <c r="FO7" i="4"/>
  <c r="FL6" i="4"/>
  <c r="FL16" i="4"/>
  <c r="FL15" i="4"/>
  <c r="FL14" i="4"/>
  <c r="FI16" i="4"/>
  <c r="FI15" i="4"/>
  <c r="FI14" i="4"/>
  <c r="FF16" i="4"/>
  <c r="FF15" i="4"/>
  <c r="FF14" i="4"/>
  <c r="FL9" i="4"/>
  <c r="FL8" i="4"/>
  <c r="FL7" i="4"/>
  <c r="FI9" i="4"/>
  <c r="FI8" i="4"/>
  <c r="FI7" i="4"/>
  <c r="FI6" i="4"/>
  <c r="FF9" i="4"/>
  <c r="FF8" i="4"/>
  <c r="FF7" i="4"/>
  <c r="FF6" i="4"/>
  <c r="FC16" i="4"/>
  <c r="FC15" i="4"/>
  <c r="FC14" i="4"/>
  <c r="FC9" i="4"/>
  <c r="FC8" i="4"/>
  <c r="FC7" i="4"/>
  <c r="FC6" i="4"/>
  <c r="EY17" i="4"/>
  <c r="EY16" i="4"/>
  <c r="EY15" i="4"/>
  <c r="EY14" i="4"/>
  <c r="EY9" i="4"/>
  <c r="EY8" i="4"/>
  <c r="EY7" i="4"/>
  <c r="EY6" i="4"/>
  <c r="EX17" i="4"/>
  <c r="EX16" i="4"/>
  <c r="EX15" i="4"/>
  <c r="EX14" i="4"/>
  <c r="EV16" i="4"/>
  <c r="EV15" i="4"/>
  <c r="EV14" i="4"/>
  <c r="EV13" i="4"/>
  <c r="EL16" i="4"/>
  <c r="EL15" i="4"/>
  <c r="EL14" i="4"/>
  <c r="EL13" i="4"/>
  <c r="EU17" i="4"/>
  <c r="EU16" i="4"/>
  <c r="EU15" i="4"/>
  <c r="EU14" i="4"/>
  <c r="EQ17" i="4"/>
  <c r="EQ16" i="4"/>
  <c r="EQ15" i="4"/>
  <c r="EQ14" i="4"/>
  <c r="EX9" i="4"/>
  <c r="EX8" i="4"/>
  <c r="EX7" i="4"/>
  <c r="EX6" i="4"/>
  <c r="EV8" i="4"/>
  <c r="EV7" i="4"/>
  <c r="EV6" i="4"/>
  <c r="EV5" i="4"/>
  <c r="EU9" i="4"/>
  <c r="EU8" i="4"/>
  <c r="EU7" i="4"/>
  <c r="EU6" i="4"/>
  <c r="EQ9" i="4"/>
  <c r="EQ8" i="4"/>
  <c r="EQ7" i="4"/>
  <c r="EQ6" i="4"/>
  <c r="EL8" i="4"/>
  <c r="EL7" i="4"/>
  <c r="EL6" i="4"/>
  <c r="EL5" i="4"/>
  <c r="EK17" i="4"/>
  <c r="EK16" i="4"/>
  <c r="EK15" i="4"/>
  <c r="EK14" i="4"/>
  <c r="EK9" i="4"/>
  <c r="EK8" i="4"/>
  <c r="EK7" i="4"/>
  <c r="EK6" i="4"/>
  <c r="EN17" i="4"/>
  <c r="EN16" i="4"/>
  <c r="EN15" i="4"/>
  <c r="EN14" i="4"/>
  <c r="EN9" i="4"/>
  <c r="EN8" i="4"/>
  <c r="EN7" i="4"/>
  <c r="EN6" i="4"/>
  <c r="EG17" i="4"/>
  <c r="EG16" i="4"/>
  <c r="EG15" i="4"/>
  <c r="EG14" i="4"/>
  <c r="EG9" i="4"/>
  <c r="EG8" i="4"/>
  <c r="EG7" i="4"/>
  <c r="EG6" i="4"/>
  <c r="R322" i="8" l="1"/>
  <c r="S322" i="8" s="1"/>
  <c r="S321" i="8"/>
  <c r="W338" i="1"/>
  <c r="V339" i="1"/>
  <c r="AB106" i="2"/>
  <c r="AC106" i="2"/>
  <c r="V340" i="1" l="1"/>
  <c r="W339" i="1"/>
  <c r="AD128" i="2"/>
  <c r="V341" i="1" l="1"/>
  <c r="HH4" i="4"/>
  <c r="HG4" i="4"/>
  <c r="HH5" i="4"/>
  <c r="HG5" i="4"/>
  <c r="BP106" i="2"/>
  <c r="BO106" i="2"/>
  <c r="AU104" i="2"/>
  <c r="V342" i="1" l="1"/>
  <c r="W341" i="1"/>
  <c r="AU131" i="2"/>
  <c r="AU112" i="2"/>
  <c r="AU111" i="2"/>
  <c r="AU108" i="2"/>
  <c r="AU126" i="2"/>
  <c r="AU107" i="2"/>
  <c r="AU113" i="2"/>
  <c r="AU130" i="2"/>
  <c r="AU109" i="2"/>
  <c r="AU115" i="2"/>
  <c r="AU125" i="2"/>
  <c r="AU118" i="2"/>
  <c r="AU128" i="2"/>
  <c r="AU114" i="2"/>
  <c r="BP107" i="2"/>
  <c r="BP125" i="2"/>
  <c r="BP108" i="2"/>
  <c r="BP115" i="2"/>
  <c r="BP131" i="2"/>
  <c r="BP122" i="2"/>
  <c r="BP114" i="2"/>
  <c r="BO121" i="2"/>
  <c r="BO113" i="2"/>
  <c r="BP130" i="2"/>
  <c r="BP121" i="2"/>
  <c r="BP113" i="2"/>
  <c r="BO122" i="2"/>
  <c r="BO120" i="2"/>
  <c r="BP128" i="2"/>
  <c r="BP111" i="2"/>
  <c r="BP120" i="2"/>
  <c r="BP118" i="2"/>
  <c r="BP112" i="2"/>
  <c r="BP126" i="2"/>
  <c r="AT122" i="2"/>
  <c r="AT121" i="2"/>
  <c r="AT120" i="2"/>
  <c r="AT113" i="2"/>
  <c r="W342" i="1" l="1"/>
  <c r="V343" i="1"/>
  <c r="BJ111" i="2"/>
  <c r="BF111" i="2"/>
  <c r="BB111" i="2"/>
  <c r="AX111" i="2"/>
  <c r="AT111" i="2" s="1"/>
  <c r="AU106" i="2"/>
  <c r="AT106" i="2"/>
  <c r="AP111" i="2"/>
  <c r="V344" i="1" l="1"/>
  <c r="W343" i="1"/>
  <c r="BO111" i="2"/>
  <c r="HY5" i="8" s="1"/>
  <c r="AO43" i="2"/>
  <c r="AO39" i="2"/>
  <c r="AP39" i="2" s="1"/>
  <c r="AO27" i="2"/>
  <c r="AO20" i="2"/>
  <c r="AO9" i="2"/>
  <c r="AO5" i="2"/>
  <c r="W344" i="1" l="1"/>
  <c r="V345" i="1"/>
  <c r="M60" i="17"/>
  <c r="BF107" i="2"/>
  <c r="BJ107" i="2"/>
  <c r="AX107" i="2"/>
  <c r="BB107" i="2"/>
  <c r="AP107" i="2"/>
  <c r="D34" i="17" s="1"/>
  <c r="AQ39" i="2"/>
  <c r="AP5" i="2"/>
  <c r="V346" i="1" l="1"/>
  <c r="W345" i="1"/>
  <c r="BO107" i="2"/>
  <c r="HS5" i="8" s="1"/>
  <c r="AT107" i="2"/>
  <c r="AP108" i="2"/>
  <c r="D35" i="17" s="1"/>
  <c r="BB108" i="2"/>
  <c r="AX108" i="2"/>
  <c r="BJ108" i="2"/>
  <c r="BF108" i="2"/>
  <c r="AR39" i="2"/>
  <c r="AQ5" i="2"/>
  <c r="W346" i="1" l="1"/>
  <c r="V347" i="1"/>
  <c r="BO108" i="2"/>
  <c r="J60" i="17" s="1"/>
  <c r="J59" i="17"/>
  <c r="AT108" i="2"/>
  <c r="AS39" i="2"/>
  <c r="AR5" i="2"/>
  <c r="V348" i="1" l="1"/>
  <c r="W347" i="1"/>
  <c r="AT39" i="2"/>
  <c r="AS5" i="2"/>
  <c r="W348" i="1" l="1"/>
  <c r="V349" i="1"/>
  <c r="AT5" i="2"/>
  <c r="V350" i="1" l="1"/>
  <c r="W349" i="1"/>
  <c r="IH3" i="4"/>
  <c r="GZ7" i="4"/>
  <c r="GZ9" i="4" s="1"/>
  <c r="GW6" i="4"/>
  <c r="W350" i="1" l="1"/>
  <c r="V351" i="1"/>
  <c r="JB4" i="4"/>
  <c r="JB5" i="4"/>
  <c r="HY16" i="8"/>
  <c r="IX16" i="8"/>
  <c r="IJ3" i="4"/>
  <c r="IK3" i="4"/>
  <c r="L9" i="17" s="1"/>
  <c r="GT4" i="4"/>
  <c r="GS12" i="4"/>
  <c r="GS5" i="4"/>
  <c r="GS4" i="4"/>
  <c r="GV4" i="4" s="1"/>
  <c r="GR4" i="4"/>
  <c r="GL4" i="4"/>
  <c r="GK4" i="4"/>
  <c r="GI4" i="4"/>
  <c r="GG4" i="4"/>
  <c r="V352" i="1" l="1"/>
  <c r="W351" i="1"/>
  <c r="BJ130" i="2"/>
  <c r="AP130" i="2"/>
  <c r="AP114" i="2" s="1"/>
  <c r="BF131" i="2"/>
  <c r="AX131" i="2"/>
  <c r="BF130" i="2"/>
  <c r="BB130" i="2"/>
  <c r="BJ131" i="2"/>
  <c r="BB131" i="2"/>
  <c r="AX130" i="2"/>
  <c r="AP131" i="2"/>
  <c r="HB7" i="4"/>
  <c r="I11" i="17"/>
  <c r="GW4" i="4"/>
  <c r="H21" i="17"/>
  <c r="H69" i="17"/>
  <c r="I69" i="17"/>
  <c r="GJ117" i="4"/>
  <c r="AX109" i="2"/>
  <c r="BB109" i="2"/>
  <c r="BJ109" i="2"/>
  <c r="AP109" i="2"/>
  <c r="D36" i="17" s="1"/>
  <c r="BF109" i="2"/>
  <c r="BF112" i="2"/>
  <c r="BB112" i="2"/>
  <c r="BJ112" i="2"/>
  <c r="AX112" i="2"/>
  <c r="AP112" i="2"/>
  <c r="AN105" i="2"/>
  <c r="HB4" i="4"/>
  <c r="HA8" i="4" s="1"/>
  <c r="HA4" i="4"/>
  <c r="JF3" i="4"/>
  <c r="JG7" i="4" s="1"/>
  <c r="AO22" i="2"/>
  <c r="I13" i="17"/>
  <c r="AO21" i="2"/>
  <c r="I15" i="17"/>
  <c r="IR20" i="4"/>
  <c r="IR19" i="4"/>
  <c r="I19" i="17"/>
  <c r="I21" i="17"/>
  <c r="HC3" i="4"/>
  <c r="I23" i="17" s="1"/>
  <c r="HC5" i="4"/>
  <c r="HC4" i="4"/>
  <c r="HA7" i="4"/>
  <c r="HA6" i="4"/>
  <c r="HB6" i="4"/>
  <c r="GQ4" i="4"/>
  <c r="GP4" i="4"/>
  <c r="GJ116" i="4"/>
  <c r="GJ112" i="4"/>
  <c r="GJ113" i="4"/>
  <c r="GJ114" i="4"/>
  <c r="GJ115" i="4"/>
  <c r="V353" i="1" l="1"/>
  <c r="GO4" i="4"/>
  <c r="J27" i="17"/>
  <c r="I25" i="17"/>
  <c r="GJ15" i="4"/>
  <c r="GJ16" i="4"/>
  <c r="GJ4" i="4" s="1"/>
  <c r="BO112" i="2"/>
  <c r="M61" i="17" s="1"/>
  <c r="BO109" i="2"/>
  <c r="KM5" i="4"/>
  <c r="AT7" i="2" s="1"/>
  <c r="AT8" i="2" s="1"/>
  <c r="AT9" i="2" s="1"/>
  <c r="AT10" i="2" s="1"/>
  <c r="AT11" i="2" s="1"/>
  <c r="AT112" i="2"/>
  <c r="AT109" i="2"/>
  <c r="GK6" i="4"/>
  <c r="JG6" i="4"/>
  <c r="BF127" i="2" s="1"/>
  <c r="BG127" i="2" s="1"/>
  <c r="KM8" i="4"/>
  <c r="AQ41" i="2" s="1"/>
  <c r="KM7" i="4"/>
  <c r="AR41" i="2" s="1"/>
  <c r="KM6" i="4"/>
  <c r="AS41" i="2" s="1"/>
  <c r="BB117" i="2"/>
  <c r="BB127" i="2"/>
  <c r="BJ126" i="2"/>
  <c r="AX126" i="2"/>
  <c r="AP126" i="2"/>
  <c r="BB126" i="2"/>
  <c r="BF126" i="2"/>
  <c r="JG5" i="4"/>
  <c r="JG9" i="4"/>
  <c r="KM9" i="4"/>
  <c r="AP41" i="2" s="1"/>
  <c r="JG8" i="4"/>
  <c r="AQ28" i="2"/>
  <c r="AQ29" i="2" s="1"/>
  <c r="AQ30" i="2" s="1"/>
  <c r="AP28" i="2"/>
  <c r="AP29" i="2" s="1"/>
  <c r="AP30" i="2" s="1"/>
  <c r="AT28" i="2"/>
  <c r="AT29" i="2" s="1"/>
  <c r="AT30" i="2" s="1"/>
  <c r="AS28" i="2"/>
  <c r="AS29" i="2" s="1"/>
  <c r="AS30" i="2" s="1"/>
  <c r="AR28" i="2"/>
  <c r="AR29" i="2" s="1"/>
  <c r="AR30" i="2" s="1"/>
  <c r="H104" i="2"/>
  <c r="V354" i="1" l="1"/>
  <c r="W353" i="1"/>
  <c r="J67" i="17"/>
  <c r="L69" i="17"/>
  <c r="AT41" i="2"/>
  <c r="AT42" i="2" s="1"/>
  <c r="AT43" i="2" s="1"/>
  <c r="AT44" i="2" s="1"/>
  <c r="BP109" i="2"/>
  <c r="IR8" i="8" s="1"/>
  <c r="AN67" i="17"/>
  <c r="HS8" i="8"/>
  <c r="J61" i="17"/>
  <c r="BO126" i="2"/>
  <c r="BQ109" i="2"/>
  <c r="AP7" i="2"/>
  <c r="AP8" i="2" s="1"/>
  <c r="AP9" i="2" s="1"/>
  <c r="AP10" i="2" s="1"/>
  <c r="AP11" i="2" s="1"/>
  <c r="AS42" i="2"/>
  <c r="AS43" i="2" s="1"/>
  <c r="AR26" i="2"/>
  <c r="AQ26" i="2"/>
  <c r="AQ42" i="2"/>
  <c r="AQ43" i="2" s="1"/>
  <c r="BC117" i="2"/>
  <c r="BC127" i="2"/>
  <c r="AT126" i="2"/>
  <c r="BF117" i="2"/>
  <c r="BG117" i="2" s="1"/>
  <c r="AQ7" i="2"/>
  <c r="AQ8" i="2" s="1"/>
  <c r="AQ9" i="2" s="1"/>
  <c r="AQ10" i="2" s="1"/>
  <c r="AQ11" i="2" s="1"/>
  <c r="AR42" i="2"/>
  <c r="AR43" i="2" s="1"/>
  <c r="AR7" i="2"/>
  <c r="AR8" i="2" s="1"/>
  <c r="AR9" i="2" s="1"/>
  <c r="AR10" i="2" s="1"/>
  <c r="AR11" i="2" s="1"/>
  <c r="AS26" i="2"/>
  <c r="AT26" i="2"/>
  <c r="AS7" i="2"/>
  <c r="AS8" i="2" s="1"/>
  <c r="AS9" i="2" s="1"/>
  <c r="AS10" i="2" s="1"/>
  <c r="AS11" i="2" s="1"/>
  <c r="I106" i="2"/>
  <c r="AP26" i="2"/>
  <c r="AP42" i="2"/>
  <c r="AP43" i="2" s="1"/>
  <c r="AP44" i="2" s="1"/>
  <c r="BF116" i="2"/>
  <c r="BG116" i="2" s="1"/>
  <c r="BJ116" i="2"/>
  <c r="BK116" i="2" s="1"/>
  <c r="BB116" i="2"/>
  <c r="AP116" i="2"/>
  <c r="AP117" i="2"/>
  <c r="AQ117" i="2" s="1"/>
  <c r="AP127" i="2"/>
  <c r="BJ127" i="2"/>
  <c r="BK127" i="2" s="1"/>
  <c r="BJ117" i="2"/>
  <c r="BK117" i="2" s="1"/>
  <c r="AX116" i="2"/>
  <c r="AX117" i="2"/>
  <c r="AX127" i="2"/>
  <c r="G106" i="2"/>
  <c r="H106" i="2"/>
  <c r="W354" i="1" l="1"/>
  <c r="V355" i="1"/>
  <c r="AP47" i="2"/>
  <c r="AP48" i="2"/>
  <c r="AT47" i="2"/>
  <c r="AT48" i="2"/>
  <c r="AR44" i="2"/>
  <c r="AQ44" i="2"/>
  <c r="AS44" i="2"/>
  <c r="BO127" i="2"/>
  <c r="ID109" i="8" s="1"/>
  <c r="BJ119" i="2"/>
  <c r="AP119" i="2"/>
  <c r="BO117" i="2"/>
  <c r="BC116" i="2"/>
  <c r="BO116" i="2"/>
  <c r="AY127" i="2"/>
  <c r="AU127" i="2" s="1"/>
  <c r="AT127" i="2"/>
  <c r="AY117" i="2"/>
  <c r="AU117" i="2" s="1"/>
  <c r="AT117" i="2"/>
  <c r="AY116" i="2"/>
  <c r="AT116" i="2"/>
  <c r="AQ127" i="2"/>
  <c r="AQ116" i="2"/>
  <c r="B76" i="2"/>
  <c r="B20" i="2"/>
  <c r="B5" i="2"/>
  <c r="B27" i="2"/>
  <c r="V356" i="1" l="1"/>
  <c r="W355" i="1"/>
  <c r="AU116" i="2"/>
  <c r="AS47" i="2"/>
  <c r="AS48" i="2"/>
  <c r="AQ47" i="2"/>
  <c r="AQ48" i="2"/>
  <c r="AR47" i="2"/>
  <c r="AR48" i="2"/>
  <c r="BP117" i="2"/>
  <c r="IR11" i="8" s="1"/>
  <c r="BB119" i="2"/>
  <c r="AX119" i="2"/>
  <c r="HS12" i="8"/>
  <c r="ID253" i="8"/>
  <c r="ID49" i="8"/>
  <c r="ID229" i="8"/>
  <c r="BF119" i="2"/>
  <c r="HT10" i="8"/>
  <c r="AN64" i="17"/>
  <c r="AM71" i="17" s="1"/>
  <c r="ID73" i="8"/>
  <c r="AN66" i="17"/>
  <c r="HS11" i="8"/>
  <c r="AN65" i="17"/>
  <c r="AP71" i="17" s="1"/>
  <c r="ID85" i="8"/>
  <c r="ID61" i="8"/>
  <c r="ID97" i="8"/>
  <c r="ID37" i="8"/>
  <c r="ID181" i="8"/>
  <c r="ID145" i="8"/>
  <c r="ID193" i="8"/>
  <c r="ID169" i="8"/>
  <c r="ID157" i="8"/>
  <c r="ID217" i="8"/>
  <c r="ID133" i="8"/>
  <c r="ID121" i="8"/>
  <c r="BP116" i="2"/>
  <c r="IS10" i="8" s="1"/>
  <c r="ID205" i="8"/>
  <c r="ID241" i="8"/>
  <c r="HD4" i="4"/>
  <c r="J63" i="17"/>
  <c r="HS9" i="8"/>
  <c r="BP127" i="2"/>
  <c r="B51" i="2"/>
  <c r="B39" i="2"/>
  <c r="C39" i="2" s="1"/>
  <c r="W356" i="1" l="1"/>
  <c r="V357" i="1"/>
  <c r="AT119" i="2"/>
  <c r="W28" i="20"/>
  <c r="W52" i="20"/>
  <c r="W76" i="20"/>
  <c r="W100" i="20"/>
  <c r="W124" i="20"/>
  <c r="W148" i="20"/>
  <c r="W172" i="20"/>
  <c r="W196" i="20"/>
  <c r="W220" i="20"/>
  <c r="W40" i="20"/>
  <c r="W64" i="20"/>
  <c r="W88" i="20"/>
  <c r="W112" i="20"/>
  <c r="W136" i="20"/>
  <c r="W160" i="20"/>
  <c r="W184" i="20"/>
  <c r="W208" i="20"/>
  <c r="W232" i="20"/>
  <c r="W244" i="20"/>
  <c r="BO119" i="2"/>
  <c r="M70" i="17" s="1"/>
  <c r="D39" i="2"/>
  <c r="E39" i="2" s="1"/>
  <c r="F39" i="2" s="1"/>
  <c r="G39" i="2" s="1"/>
  <c r="AN71" i="17"/>
  <c r="AO71" i="17" s="1"/>
  <c r="AM72" i="17"/>
  <c r="AM73" i="17" s="1"/>
  <c r="AM74" i="17" s="1"/>
  <c r="AM75" i="17" s="1"/>
  <c r="AM76" i="17" s="1"/>
  <c r="AM77" i="17" s="1"/>
  <c r="AM78" i="17" s="1"/>
  <c r="AM79" i="17" s="1"/>
  <c r="AM80" i="17" s="1"/>
  <c r="AM81" i="17" s="1"/>
  <c r="AM82" i="17" s="1"/>
  <c r="AM83" i="17" s="1"/>
  <c r="AM84" i="17" s="1"/>
  <c r="AM85" i="17" s="1"/>
  <c r="AM86" i="17" s="1"/>
  <c r="AM87" i="17" s="1"/>
  <c r="AM88" i="17" s="1"/>
  <c r="AM89" i="17" s="1"/>
  <c r="AM90" i="17" s="1"/>
  <c r="AM91" i="17" s="1"/>
  <c r="AM92" i="17" s="1"/>
  <c r="AM93" i="17" s="1"/>
  <c r="AM94" i="17" s="1"/>
  <c r="AM95" i="17" s="1"/>
  <c r="AM96" i="17" s="1"/>
  <c r="AM97" i="17" s="1"/>
  <c r="AM98" i="17" s="1"/>
  <c r="AM99" i="17" s="1"/>
  <c r="AM100" i="17" s="1"/>
  <c r="AM101" i="17" s="1"/>
  <c r="AM102" i="17" s="1"/>
  <c r="AM103" i="17" s="1"/>
  <c r="AM104" i="17" s="1"/>
  <c r="AM105" i="17" s="1"/>
  <c r="AM106" i="17" s="1"/>
  <c r="IR9" i="8"/>
  <c r="X12" i="20"/>
  <c r="X10" i="20"/>
  <c r="Y72" i="17"/>
  <c r="IB3" i="4"/>
  <c r="JC97" i="8"/>
  <c r="JC121" i="8"/>
  <c r="JC145" i="8"/>
  <c r="JC193" i="8"/>
  <c r="JC217" i="8"/>
  <c r="JC73" i="8"/>
  <c r="JC169" i="8"/>
  <c r="JC241" i="8"/>
  <c r="JC37" i="8"/>
  <c r="JC61" i="8"/>
  <c r="JC85" i="8"/>
  <c r="JC109" i="8"/>
  <c r="JC133" i="8"/>
  <c r="JC157" i="8"/>
  <c r="JC181" i="8"/>
  <c r="JC205" i="8"/>
  <c r="JC229" i="8"/>
  <c r="JC253" i="8"/>
  <c r="IR12" i="8"/>
  <c r="JC49" i="8"/>
  <c r="Y74" i="17"/>
  <c r="HT3" i="4"/>
  <c r="HL3" i="4"/>
  <c r="I4" i="4"/>
  <c r="V358" i="1" l="1"/>
  <c r="W357" i="1"/>
  <c r="HE3" i="4"/>
  <c r="J64" i="17"/>
  <c r="G71" i="17"/>
  <c r="D71" i="17"/>
  <c r="AG67" i="17" s="1"/>
  <c r="HS14" i="8"/>
  <c r="AQ71" i="17"/>
  <c r="AN72" i="17" s="1"/>
  <c r="AK71" i="17"/>
  <c r="AM107" i="17"/>
  <c r="AM108" i="17" s="1"/>
  <c r="AM109" i="17" s="1"/>
  <c r="AM110" i="17" s="1"/>
  <c r="AM111" i="17" s="1"/>
  <c r="AM112" i="17" s="1"/>
  <c r="AM113" i="17" s="1"/>
  <c r="AM114" i="17" s="1"/>
  <c r="AM115" i="17" s="1"/>
  <c r="AM116" i="17" s="1"/>
  <c r="AM117" i="17" s="1"/>
  <c r="AM118" i="17" s="1"/>
  <c r="I71" i="17"/>
  <c r="HY24" i="8"/>
  <c r="AS5" i="4"/>
  <c r="W358" i="1" l="1"/>
  <c r="V359" i="1"/>
  <c r="FB8" i="4"/>
  <c r="FB15" i="4"/>
  <c r="FB7" i="4"/>
  <c r="FB17" i="4"/>
  <c r="FB6" i="4"/>
  <c r="FB9" i="4"/>
  <c r="FB16" i="4"/>
  <c r="FB5" i="4"/>
  <c r="FB14" i="4"/>
  <c r="FB13" i="4"/>
  <c r="AI71" i="17"/>
  <c r="AH16" i="20"/>
  <c r="AF16" i="20" s="1"/>
  <c r="AP72" i="17"/>
  <c r="AO72" i="17" s="1"/>
  <c r="AK72" i="17" s="1"/>
  <c r="AL72" i="17"/>
  <c r="AM119" i="17"/>
  <c r="AM120" i="17" s="1"/>
  <c r="AM121" i="17" s="1"/>
  <c r="AM122" i="17" s="1"/>
  <c r="AM123" i="17" s="1"/>
  <c r="AM124" i="17" s="1"/>
  <c r="AM125" i="17" s="1"/>
  <c r="AM126" i="17" s="1"/>
  <c r="AM127" i="17" s="1"/>
  <c r="AM128" i="17" s="1"/>
  <c r="AM129" i="17" s="1"/>
  <c r="AM130" i="17" s="1"/>
  <c r="AM131" i="17" s="1"/>
  <c r="AM132" i="17" s="1"/>
  <c r="AM133" i="17" s="1"/>
  <c r="AM134" i="17" s="1"/>
  <c r="AM135" i="17" s="1"/>
  <c r="AM136" i="17" s="1"/>
  <c r="AM137" i="17" s="1"/>
  <c r="AM138" i="17" s="1"/>
  <c r="AM139" i="17" s="1"/>
  <c r="AM140" i="17" s="1"/>
  <c r="AM141" i="17" s="1"/>
  <c r="AM142" i="17" s="1"/>
  <c r="HU25" i="8"/>
  <c r="AQ3" i="4"/>
  <c r="BL12" i="4" s="1"/>
  <c r="AB4" i="4"/>
  <c r="AC4" i="4"/>
  <c r="B4" i="4"/>
  <c r="L80" i="1" s="1"/>
  <c r="BB24" i="4" l="1"/>
  <c r="BB25" i="4"/>
  <c r="V360" i="1"/>
  <c r="W359" i="1"/>
  <c r="BB26" i="4"/>
  <c r="BB27" i="4"/>
  <c r="BB28" i="4"/>
  <c r="BD28" i="4" s="1"/>
  <c r="BE28" i="4" s="1"/>
  <c r="C21" i="1"/>
  <c r="BL11" i="4"/>
  <c r="BL6" i="4"/>
  <c r="BL5" i="4"/>
  <c r="BL4" i="4"/>
  <c r="K27" i="1"/>
  <c r="AT3" i="4"/>
  <c r="B22" i="2"/>
  <c r="C131" i="2" s="1"/>
  <c r="B21" i="2"/>
  <c r="S130" i="2" s="1"/>
  <c r="S114" i="2" s="1"/>
  <c r="BN5" i="4"/>
  <c r="AI72" i="17"/>
  <c r="AH17" i="20"/>
  <c r="AF17" i="20" s="1"/>
  <c r="C16" i="4"/>
  <c r="AQ72" i="17"/>
  <c r="AL73" i="17" s="1"/>
  <c r="AM143" i="17"/>
  <c r="AM144" i="17" s="1"/>
  <c r="AM145" i="17" s="1"/>
  <c r="AM146" i="17" s="1"/>
  <c r="AM147" i="17" s="1"/>
  <c r="AM148" i="17" s="1"/>
  <c r="AM149" i="17" s="1"/>
  <c r="AM150" i="17" s="1"/>
  <c r="AM151" i="17" s="1"/>
  <c r="AM152" i="17" s="1"/>
  <c r="AM153" i="17" s="1"/>
  <c r="AM154" i="17" s="1"/>
  <c r="AM155" i="17" s="1"/>
  <c r="AM156" i="17" s="1"/>
  <c r="AM157" i="17" s="1"/>
  <c r="AM158" i="17" s="1"/>
  <c r="AM159" i="17" s="1"/>
  <c r="AM160" i="17" s="1"/>
  <c r="AM161" i="17" s="1"/>
  <c r="AM162" i="17" s="1"/>
  <c r="AM163" i="17" s="1"/>
  <c r="AM164" i="17" s="1"/>
  <c r="AM165" i="17" s="1"/>
  <c r="AM166" i="17" s="1"/>
  <c r="AM167" i="17" s="1"/>
  <c r="AM168" i="17" s="1"/>
  <c r="AM169" i="17" s="1"/>
  <c r="AM170" i="17" s="1"/>
  <c r="AM171" i="17" s="1"/>
  <c r="AM172" i="17" s="1"/>
  <c r="AM173" i="17" s="1"/>
  <c r="AM174" i="17" s="1"/>
  <c r="AM175" i="17" s="1"/>
  <c r="AM176" i="17" s="1"/>
  <c r="AM177" i="17" s="1"/>
  <c r="AM178" i="17" s="1"/>
  <c r="AM179" i="17" s="1"/>
  <c r="AM180" i="17" s="1"/>
  <c r="AM181" i="17" s="1"/>
  <c r="AM182" i="17" s="1"/>
  <c r="AM183" i="17" s="1"/>
  <c r="AM184" i="17" s="1"/>
  <c r="AM185" i="17" s="1"/>
  <c r="AM186" i="17" s="1"/>
  <c r="AM187" i="17" s="1"/>
  <c r="AM188" i="17" s="1"/>
  <c r="AM189" i="17" s="1"/>
  <c r="AM190" i="17" s="1"/>
  <c r="AM191" i="17" s="1"/>
  <c r="AM192" i="17" s="1"/>
  <c r="AM193" i="17" s="1"/>
  <c r="AM194" i="17" s="1"/>
  <c r="AM195" i="17" s="1"/>
  <c r="AM196" i="17" s="1"/>
  <c r="AM197" i="17" s="1"/>
  <c r="AM198" i="17" s="1"/>
  <c r="AM199" i="17" s="1"/>
  <c r="AM200" i="17" s="1"/>
  <c r="AM201" i="17" s="1"/>
  <c r="AM202" i="17" s="1"/>
  <c r="AM203" i="17" s="1"/>
  <c r="AM204" i="17" s="1"/>
  <c r="AM205" i="17" s="1"/>
  <c r="AM206" i="17" s="1"/>
  <c r="AM207" i="17" s="1"/>
  <c r="AM208" i="17" s="1"/>
  <c r="AM209" i="17" s="1"/>
  <c r="AM210" i="17" s="1"/>
  <c r="AM211" i="17" s="1"/>
  <c r="AM212" i="17" s="1"/>
  <c r="AM213" i="17" s="1"/>
  <c r="AM214" i="17" s="1"/>
  <c r="AM215" i="17" s="1"/>
  <c r="AM216" i="17" s="1"/>
  <c r="AM217" i="17" s="1"/>
  <c r="AM218" i="17" s="1"/>
  <c r="AM219" i="17" s="1"/>
  <c r="AM220" i="17" s="1"/>
  <c r="AM221" i="17" s="1"/>
  <c r="AM222" i="17" s="1"/>
  <c r="AM223" i="17" s="1"/>
  <c r="AM224" i="17" s="1"/>
  <c r="AM225" i="17" s="1"/>
  <c r="AM226" i="17" s="1"/>
  <c r="AM227" i="17" s="1"/>
  <c r="AM228" i="17" s="1"/>
  <c r="AM229" i="17" s="1"/>
  <c r="AM230" i="17" s="1"/>
  <c r="AM231" i="17" s="1"/>
  <c r="AM232" i="17" s="1"/>
  <c r="AM233" i="17" s="1"/>
  <c r="AM234" i="17" s="1"/>
  <c r="AM235" i="17" s="1"/>
  <c r="AM236" i="17" s="1"/>
  <c r="AM237" i="17" s="1"/>
  <c r="AM238" i="17" s="1"/>
  <c r="AM239" i="17" s="1"/>
  <c r="AM240" i="17" s="1"/>
  <c r="AM241" i="17" s="1"/>
  <c r="AM242" i="17" s="1"/>
  <c r="AM243" i="17" s="1"/>
  <c r="AM244" i="17" s="1"/>
  <c r="AM245" i="17" s="1"/>
  <c r="AM246" i="17" s="1"/>
  <c r="AM247" i="17" s="1"/>
  <c r="AM248" i="17" s="1"/>
  <c r="AM249" i="17" s="1"/>
  <c r="AM250" i="17" s="1"/>
  <c r="AM251" i="17" s="1"/>
  <c r="AM252" i="17" s="1"/>
  <c r="AM253" i="17" s="1"/>
  <c r="AM254" i="17" s="1"/>
  <c r="AM255" i="17" s="1"/>
  <c r="AM256" i="17" s="1"/>
  <c r="AM257" i="17" s="1"/>
  <c r="AM258" i="17" s="1"/>
  <c r="AM259" i="17" s="1"/>
  <c r="AM260" i="17" s="1"/>
  <c r="AM261" i="17" s="1"/>
  <c r="AM262" i="17" s="1"/>
  <c r="AM263" i="17" s="1"/>
  <c r="AM264" i="17" s="1"/>
  <c r="AM265" i="17" s="1"/>
  <c r="AM266" i="17" s="1"/>
  <c r="AM267" i="17" s="1"/>
  <c r="AM268" i="17" s="1"/>
  <c r="AM269" i="17" s="1"/>
  <c r="AM270" i="17" s="1"/>
  <c r="AM271" i="17" s="1"/>
  <c r="AM272" i="17" s="1"/>
  <c r="AM273" i="17" s="1"/>
  <c r="AM274" i="17" s="1"/>
  <c r="AM275" i="17" s="1"/>
  <c r="AM276" i="17" s="1"/>
  <c r="AM277" i="17" s="1"/>
  <c r="AM278" i="17" s="1"/>
  <c r="AM279" i="17" s="1"/>
  <c r="AM280" i="17" s="1"/>
  <c r="AM281" i="17" s="1"/>
  <c r="AM282" i="17" s="1"/>
  <c r="AM283" i="17" s="1"/>
  <c r="AM284" i="17" s="1"/>
  <c r="AM285" i="17" s="1"/>
  <c r="AM286" i="17" s="1"/>
  <c r="AM287" i="17" s="1"/>
  <c r="AM288" i="17" s="1"/>
  <c r="AM289" i="17" s="1"/>
  <c r="AM290" i="17" s="1"/>
  <c r="AM291" i="17" s="1"/>
  <c r="AM292" i="17" s="1"/>
  <c r="AM293" i="17" s="1"/>
  <c r="AM294" i="17" s="1"/>
  <c r="AM295" i="17" s="1"/>
  <c r="AM296" i="17" s="1"/>
  <c r="AM297" i="17" s="1"/>
  <c r="AM298" i="17" s="1"/>
  <c r="AM299" i="17" s="1"/>
  <c r="AM300" i="17" s="1"/>
  <c r="AM301" i="17" s="1"/>
  <c r="AM302" i="17" s="1"/>
  <c r="AM303" i="17" s="1"/>
  <c r="AM304" i="17" s="1"/>
  <c r="AM305" i="17" s="1"/>
  <c r="AM306" i="17" s="1"/>
  <c r="AM307" i="17" s="1"/>
  <c r="AM308" i="17" s="1"/>
  <c r="AM309" i="17" s="1"/>
  <c r="AM310" i="17" s="1"/>
  <c r="C31" i="17"/>
  <c r="C42" i="1"/>
  <c r="Y105" i="2"/>
  <c r="U105" i="2"/>
  <c r="Q105" i="2"/>
  <c r="M105" i="2"/>
  <c r="L79" i="1"/>
  <c r="S21" i="1"/>
  <c r="AN47" i="2"/>
  <c r="J23" i="1"/>
  <c r="D7" i="4"/>
  <c r="E105" i="2"/>
  <c r="A47" i="2"/>
  <c r="M25" i="1"/>
  <c r="P4" i="4"/>
  <c r="Q4" i="4"/>
  <c r="K35" i="1"/>
  <c r="E6" i="4"/>
  <c r="L17" i="1"/>
  <c r="K13" i="1"/>
  <c r="K15" i="1"/>
  <c r="BV3" i="4"/>
  <c r="AY3" i="4"/>
  <c r="AB8" i="4"/>
  <c r="AB7" i="4"/>
  <c r="BN8" i="4" l="1"/>
  <c r="BN7" i="4"/>
  <c r="W360" i="1"/>
  <c r="V361" i="1"/>
  <c r="BW8" i="4"/>
  <c r="K116" i="2" s="1"/>
  <c r="BW6" i="4"/>
  <c r="S116" i="2" s="1"/>
  <c r="BW7" i="4"/>
  <c r="O116" i="2" s="1"/>
  <c r="BW9" i="4"/>
  <c r="C116" i="2" s="1"/>
  <c r="BW5" i="4"/>
  <c r="W116" i="2" s="1"/>
  <c r="EC6" i="4"/>
  <c r="F41" i="2" s="1"/>
  <c r="EC7" i="4"/>
  <c r="E41" i="2" s="1"/>
  <c r="EC5" i="4"/>
  <c r="G41" i="2" s="1"/>
  <c r="EC8" i="4"/>
  <c r="D41" i="2" s="1"/>
  <c r="EC9" i="4"/>
  <c r="C41" i="2" s="1"/>
  <c r="W130" i="2"/>
  <c r="W114" i="2" s="1"/>
  <c r="C130" i="2"/>
  <c r="C114" i="2" s="1"/>
  <c r="W131" i="2"/>
  <c r="O131" i="2"/>
  <c r="S131" i="2"/>
  <c r="K131" i="2"/>
  <c r="O130" i="2"/>
  <c r="O114" i="2" s="1"/>
  <c r="K130" i="2"/>
  <c r="K114" i="2" s="1"/>
  <c r="I105" i="2"/>
  <c r="AT130" i="2"/>
  <c r="BJ114" i="2"/>
  <c r="BF115" i="2"/>
  <c r="AN73" i="17"/>
  <c r="AP73" i="17" s="1"/>
  <c r="AO73" i="17" s="1"/>
  <c r="AK73" i="17" s="1"/>
  <c r="AD105" i="2"/>
  <c r="F80" i="1" s="1"/>
  <c r="BO131" i="2"/>
  <c r="BF114" i="2"/>
  <c r="AX114" i="2"/>
  <c r="AX115" i="2"/>
  <c r="E126" i="2"/>
  <c r="AT131" i="2"/>
  <c r="Y126" i="2"/>
  <c r="O126" i="2"/>
  <c r="S126" i="2"/>
  <c r="U126" i="2"/>
  <c r="W126" i="2"/>
  <c r="K126" i="2"/>
  <c r="D28" i="2"/>
  <c r="D29" i="2" s="1"/>
  <c r="G28" i="2"/>
  <c r="G29" i="2" s="1"/>
  <c r="F28" i="2"/>
  <c r="F29" i="2" s="1"/>
  <c r="E28" i="2"/>
  <c r="E29" i="2" s="1"/>
  <c r="C28" i="2"/>
  <c r="C29" i="2" s="1"/>
  <c r="T4" i="4"/>
  <c r="L15" i="8" s="1"/>
  <c r="R4" i="4"/>
  <c r="S5" i="4"/>
  <c r="S4" i="4"/>
  <c r="V362" i="1" l="1"/>
  <c r="W361" i="1"/>
  <c r="AB114" i="2"/>
  <c r="G131" i="2"/>
  <c r="AB131" i="2"/>
  <c r="BJ115" i="2"/>
  <c r="BB115" i="2"/>
  <c r="BB114" i="2"/>
  <c r="AP115" i="2"/>
  <c r="BO130" i="2"/>
  <c r="AB130" i="2"/>
  <c r="G114" i="2"/>
  <c r="AI73" i="17"/>
  <c r="AH18" i="20"/>
  <c r="AF18" i="20" s="1"/>
  <c r="G130" i="2"/>
  <c r="BO114" i="2"/>
  <c r="M63" i="17" s="1"/>
  <c r="AQ73" i="17"/>
  <c r="AL74" i="17" s="1"/>
  <c r="AT114" i="2"/>
  <c r="AB116" i="2"/>
  <c r="E116" i="2"/>
  <c r="G116" i="2"/>
  <c r="G126" i="2"/>
  <c r="X4" i="4"/>
  <c r="T116" i="2"/>
  <c r="U116" i="2"/>
  <c r="X116" i="2"/>
  <c r="Y116" i="2"/>
  <c r="C70" i="2"/>
  <c r="C42" i="2"/>
  <c r="D70" i="2"/>
  <c r="D42" i="2"/>
  <c r="F70" i="2"/>
  <c r="F42" i="2"/>
  <c r="E70" i="2"/>
  <c r="E42" i="2"/>
  <c r="G70" i="2"/>
  <c r="G42" i="2"/>
  <c r="C7" i="2"/>
  <c r="C26" i="2"/>
  <c r="D7" i="2"/>
  <c r="D26" i="2"/>
  <c r="F7" i="2"/>
  <c r="F26" i="2"/>
  <c r="E7" i="2"/>
  <c r="E26" i="2"/>
  <c r="G26" i="2"/>
  <c r="G7" i="2"/>
  <c r="H4" i="4"/>
  <c r="E121" i="4" s="1"/>
  <c r="W362" i="1" l="1"/>
  <c r="V363" i="1"/>
  <c r="E114" i="4"/>
  <c r="E113" i="4"/>
  <c r="E112" i="4"/>
  <c r="BO115" i="2"/>
  <c r="M62" i="17" s="1"/>
  <c r="AT115" i="2"/>
  <c r="AN74" i="17"/>
  <c r="AP74" i="17" s="1"/>
  <c r="AO74" i="17" s="1"/>
  <c r="AK74" i="17" s="1"/>
  <c r="J80" i="1"/>
  <c r="AE4" i="4"/>
  <c r="W109" i="2"/>
  <c r="C109" i="2"/>
  <c r="S109" i="2"/>
  <c r="K109" i="2"/>
  <c r="O109" i="2"/>
  <c r="D4" i="4"/>
  <c r="O127" i="2" l="1"/>
  <c r="K127" i="2"/>
  <c r="C127" i="2"/>
  <c r="W127" i="2"/>
  <c r="S127" i="2"/>
  <c r="AP3" i="4"/>
  <c r="AC12" i="8" s="1"/>
  <c r="V364" i="1"/>
  <c r="W363" i="1"/>
  <c r="AI74" i="17"/>
  <c r="AH19" i="20"/>
  <c r="AF19" i="20" s="1"/>
  <c r="AQ74" i="17"/>
  <c r="AL75" i="17" s="1"/>
  <c r="G109" i="2"/>
  <c r="F10" i="8"/>
  <c r="AB109" i="2"/>
  <c r="IT18" i="4"/>
  <c r="GJ7" i="4"/>
  <c r="GJ9" i="4" s="1"/>
  <c r="GK13" i="4"/>
  <c r="BF4" i="22"/>
  <c r="BG4" i="22" s="1"/>
  <c r="J20" i="22"/>
  <c r="C266" i="7"/>
  <c r="C400" i="1"/>
  <c r="C270" i="7" s="1"/>
  <c r="C326" i="17"/>
  <c r="C270" i="20" s="1"/>
  <c r="V365" i="1" l="1"/>
  <c r="AX12" i="8"/>
  <c r="F12" i="8"/>
  <c r="AN75" i="17"/>
  <c r="AP75" i="17" s="1"/>
  <c r="AO75" i="17" s="1"/>
  <c r="AK75" i="17" s="1"/>
  <c r="AR84" i="1"/>
  <c r="AK84" i="1"/>
  <c r="F8" i="8"/>
  <c r="AD109" i="2"/>
  <c r="AX8" i="8" s="1"/>
  <c r="AC109" i="2"/>
  <c r="AC8" i="8" s="1"/>
  <c r="AB127" i="2"/>
  <c r="E127" i="2"/>
  <c r="G127" i="2"/>
  <c r="X127" i="2"/>
  <c r="T127" i="2"/>
  <c r="U127" i="2" s="1"/>
  <c r="GH12" i="4"/>
  <c r="GH6" i="4"/>
  <c r="GK10" i="4"/>
  <c r="GK11" i="4"/>
  <c r="GU4" i="4"/>
  <c r="GH8" i="4"/>
  <c r="GH10" i="4"/>
  <c r="GK14" i="4"/>
  <c r="GJ13" i="4"/>
  <c r="GK15" i="4"/>
  <c r="GK12" i="4"/>
  <c r="GI8" i="4"/>
  <c r="C269" i="18"/>
  <c r="W364" i="1" l="1"/>
  <c r="S277" i="8"/>
  <c r="S301" i="8"/>
  <c r="S265" i="8"/>
  <c r="S289" i="8"/>
  <c r="S313" i="8"/>
  <c r="W328" i="1"/>
  <c r="W340" i="1"/>
  <c r="W352" i="1"/>
  <c r="V366" i="1"/>
  <c r="W365" i="1"/>
  <c r="AI75" i="17"/>
  <c r="AH20" i="20"/>
  <c r="AF20" i="20" s="1"/>
  <c r="AQ75" i="17"/>
  <c r="AL76" i="17" s="1"/>
  <c r="Y127" i="2"/>
  <c r="GO6" i="4"/>
  <c r="GM116" i="4"/>
  <c r="IK8" i="4"/>
  <c r="IK7" i="4"/>
  <c r="W366" i="1" l="1"/>
  <c r="V367" i="1"/>
  <c r="AN76" i="17"/>
  <c r="AP76" i="17" s="1"/>
  <c r="AO76" i="17" s="1"/>
  <c r="AK76" i="17" s="1"/>
  <c r="J69" i="17"/>
  <c r="AO40" i="2"/>
  <c r="AO6" i="2"/>
  <c r="V368" i="1" l="1"/>
  <c r="W367" i="1"/>
  <c r="AI76" i="17"/>
  <c r="AH21" i="20"/>
  <c r="AF21" i="20" s="1"/>
  <c r="AQ76" i="17"/>
  <c r="AN77" i="17" s="1"/>
  <c r="AP77" i="17" s="1"/>
  <c r="AO77" i="17" s="1"/>
  <c r="AK77" i="17" s="1"/>
  <c r="AP49" i="2"/>
  <c r="AP51" i="2" s="1"/>
  <c r="HD6" i="4"/>
  <c r="W368" i="1" l="1"/>
  <c r="V369" i="1"/>
  <c r="AI77" i="17"/>
  <c r="AH22" i="20"/>
  <c r="AF22" i="20" s="1"/>
  <c r="AQ105" i="2"/>
  <c r="AP52" i="2"/>
  <c r="AP118" i="2" s="1"/>
  <c r="AL77" i="17"/>
  <c r="AQ119" i="2"/>
  <c r="AQ123" i="2" s="1"/>
  <c r="AQ77" i="17"/>
  <c r="AT49" i="2"/>
  <c r="AT51" i="2" s="1"/>
  <c r="AS49" i="2"/>
  <c r="AS51" i="2" s="1"/>
  <c r="AR49" i="2"/>
  <c r="AR51" i="2" s="1"/>
  <c r="AQ49" i="2"/>
  <c r="AQ51" i="2" s="1"/>
  <c r="BB110" i="2"/>
  <c r="BB129" i="2"/>
  <c r="BB123" i="2"/>
  <c r="BJ110" i="2"/>
  <c r="BJ129" i="2"/>
  <c r="BJ123" i="2"/>
  <c r="AX110" i="2"/>
  <c r="AX129" i="2"/>
  <c r="AX123" i="2"/>
  <c r="AP129" i="2"/>
  <c r="AP110" i="2"/>
  <c r="AP123" i="2"/>
  <c r="BF129" i="2"/>
  <c r="BF110" i="2"/>
  <c r="BF123" i="2"/>
  <c r="AR3" i="4"/>
  <c r="AS3" i="4"/>
  <c r="C19" i="1" s="1"/>
  <c r="I63" i="22"/>
  <c r="CZ5" i="8"/>
  <c r="C380" i="22"/>
  <c r="H63" i="22"/>
  <c r="C379" i="22"/>
  <c r="M63" i="22"/>
  <c r="V370" i="1" l="1"/>
  <c r="W369" i="1"/>
  <c r="X1" i="17"/>
  <c r="BG105" i="2"/>
  <c r="AS52" i="2"/>
  <c r="BF118" i="2" s="1"/>
  <c r="BK105" i="2"/>
  <c r="AT52" i="2"/>
  <c r="BJ118" i="2" s="1"/>
  <c r="AY105" i="2"/>
  <c r="AQ52" i="2"/>
  <c r="AX118" i="2" s="1"/>
  <c r="BC105" i="2"/>
  <c r="AR52" i="2"/>
  <c r="BB118" i="2" s="1"/>
  <c r="AQ129" i="2"/>
  <c r="AQ110" i="2"/>
  <c r="BK119" i="2"/>
  <c r="AY119" i="2"/>
  <c r="AY123" i="2" s="1"/>
  <c r="BC119" i="2"/>
  <c r="BG119" i="2"/>
  <c r="BG123" i="2" s="1"/>
  <c r="AN78" i="17"/>
  <c r="AP78" i="17" s="1"/>
  <c r="AO78" i="17" s="1"/>
  <c r="AL78" i="17"/>
  <c r="BO123" i="2"/>
  <c r="C399" i="1"/>
  <c r="C325" i="17"/>
  <c r="AT129" i="2"/>
  <c r="U4" i="4"/>
  <c r="BO129" i="2"/>
  <c r="BO110" i="2"/>
  <c r="AT123" i="2"/>
  <c r="AT110" i="2"/>
  <c r="C25" i="1"/>
  <c r="C260" i="20"/>
  <c r="C261" i="20"/>
  <c r="C262" i="20"/>
  <c r="C263" i="20"/>
  <c r="C264" i="20"/>
  <c r="C265" i="20"/>
  <c r="C267" i="20"/>
  <c r="C268" i="20"/>
  <c r="C259" i="20"/>
  <c r="C258" i="20"/>
  <c r="AH1" i="8"/>
  <c r="W370" i="1" l="1"/>
  <c r="V371" i="1"/>
  <c r="BK110" i="2"/>
  <c r="AU119" i="2"/>
  <c r="AU105" i="2"/>
  <c r="AT118" i="2"/>
  <c r="BP105" i="2"/>
  <c r="F62" i="17" s="1"/>
  <c r="BO118" i="2"/>
  <c r="J62" i="17" s="1"/>
  <c r="BP119" i="2"/>
  <c r="IR14" i="8" s="1"/>
  <c r="AY129" i="2"/>
  <c r="AY110" i="2"/>
  <c r="BK123" i="2"/>
  <c r="BK129" i="2"/>
  <c r="BC123" i="2"/>
  <c r="BC129" i="2"/>
  <c r="BC110" i="2"/>
  <c r="BG110" i="2"/>
  <c r="BG129" i="2"/>
  <c r="AK78" i="17"/>
  <c r="AQ78" i="17"/>
  <c r="M59" i="17"/>
  <c r="M64" i="17" s="1"/>
  <c r="HY7" i="8"/>
  <c r="HY10" i="8" s="1"/>
  <c r="GY21" i="8"/>
  <c r="FG21" i="8"/>
  <c r="DP21" i="8"/>
  <c r="GW21" i="8"/>
  <c r="FE21" i="8"/>
  <c r="DN21" i="8"/>
  <c r="DR85" i="8" s="1"/>
  <c r="HF21" i="8"/>
  <c r="FN21" i="8"/>
  <c r="DW21" i="8"/>
  <c r="HI24" i="8"/>
  <c r="ES26" i="8"/>
  <c r="ES27" i="8"/>
  <c r="ES28" i="8"/>
  <c r="ES29" i="8"/>
  <c r="ES30" i="8"/>
  <c r="ES31" i="8"/>
  <c r="ES32" i="8"/>
  <c r="ES33" i="8"/>
  <c r="ES34" i="8"/>
  <c r="ES35" i="8"/>
  <c r="ES36" i="8"/>
  <c r="ES37" i="8"/>
  <c r="ES38" i="8"/>
  <c r="ES39" i="8"/>
  <c r="ES40" i="8"/>
  <c r="ES41" i="8"/>
  <c r="ES42" i="8"/>
  <c r="ES43" i="8"/>
  <c r="ES44" i="8"/>
  <c r="ES45" i="8"/>
  <c r="ES46" i="8"/>
  <c r="ES47" i="8"/>
  <c r="ES48" i="8"/>
  <c r="ES49" i="8"/>
  <c r="ES50" i="8"/>
  <c r="ES51" i="8"/>
  <c r="ES52" i="8"/>
  <c r="ES53" i="8"/>
  <c r="ES54" i="8"/>
  <c r="ES55" i="8"/>
  <c r="ES56" i="8"/>
  <c r="ES57" i="8"/>
  <c r="ES58" i="8"/>
  <c r="ES59" i="8"/>
  <c r="ES60" i="8"/>
  <c r="ES61" i="8"/>
  <c r="ES62" i="8"/>
  <c r="ES63" i="8"/>
  <c r="ES64" i="8"/>
  <c r="ES65" i="8"/>
  <c r="ES66" i="8"/>
  <c r="ES67" i="8"/>
  <c r="ES68" i="8"/>
  <c r="ES69" i="8"/>
  <c r="ES70" i="8"/>
  <c r="ES71" i="8"/>
  <c r="ES72" i="8"/>
  <c r="ES73" i="8"/>
  <c r="ES74" i="8"/>
  <c r="ES75" i="8"/>
  <c r="ES76" i="8"/>
  <c r="ES77" i="8"/>
  <c r="ES78" i="8"/>
  <c r="ES79" i="8"/>
  <c r="ES80" i="8"/>
  <c r="ES81" i="8"/>
  <c r="ES82" i="8"/>
  <c r="ES83" i="8"/>
  <c r="ES85" i="8"/>
  <c r="ES86" i="8"/>
  <c r="ES87" i="8"/>
  <c r="ES88" i="8"/>
  <c r="ES89" i="8"/>
  <c r="ES90" i="8"/>
  <c r="ES91" i="8"/>
  <c r="ES92" i="8"/>
  <c r="ES93" i="8"/>
  <c r="ES94" i="8"/>
  <c r="ES95" i="8"/>
  <c r="ES96" i="8"/>
  <c r="ES97" i="8"/>
  <c r="ES98" i="8"/>
  <c r="ES99" i="8"/>
  <c r="ES100" i="8"/>
  <c r="ES101" i="8"/>
  <c r="ES102" i="8"/>
  <c r="ES103" i="8"/>
  <c r="ES104" i="8"/>
  <c r="ES105" i="8"/>
  <c r="ES106" i="8"/>
  <c r="ES107" i="8"/>
  <c r="ES108" i="8"/>
  <c r="ES109" i="8"/>
  <c r="ES110" i="8"/>
  <c r="ES111" i="8"/>
  <c r="ES112" i="8"/>
  <c r="ES113" i="8"/>
  <c r="ES114" i="8"/>
  <c r="ES115" i="8"/>
  <c r="ES116" i="8"/>
  <c r="ES117" i="8"/>
  <c r="ES118" i="8"/>
  <c r="ES119" i="8"/>
  <c r="ES120" i="8"/>
  <c r="ES121" i="8"/>
  <c r="ES122" i="8"/>
  <c r="ES123" i="8"/>
  <c r="ES124" i="8"/>
  <c r="ES125" i="8"/>
  <c r="ES126" i="8"/>
  <c r="ES127" i="8"/>
  <c r="ES128" i="8"/>
  <c r="ES129" i="8"/>
  <c r="ES130" i="8"/>
  <c r="ES131" i="8"/>
  <c r="ES132" i="8"/>
  <c r="ES133" i="8"/>
  <c r="ES134" i="8"/>
  <c r="ES135" i="8"/>
  <c r="ES136" i="8"/>
  <c r="ES137" i="8"/>
  <c r="ES138" i="8"/>
  <c r="ES139" i="8"/>
  <c r="ES140" i="8"/>
  <c r="ES141" i="8"/>
  <c r="ES142" i="8"/>
  <c r="ES143" i="8"/>
  <c r="ES144" i="8"/>
  <c r="ES145" i="8"/>
  <c r="ES146" i="8"/>
  <c r="ES147" i="8"/>
  <c r="ES148" i="8"/>
  <c r="ES149" i="8"/>
  <c r="ES150" i="8"/>
  <c r="ES151" i="8"/>
  <c r="ES152" i="8"/>
  <c r="ES153" i="8"/>
  <c r="ES154" i="8"/>
  <c r="ES155" i="8"/>
  <c r="ES156" i="8"/>
  <c r="ES157" i="8"/>
  <c r="ES158" i="8"/>
  <c r="ES159" i="8"/>
  <c r="ES160" i="8"/>
  <c r="ES161" i="8"/>
  <c r="ES162" i="8"/>
  <c r="ES163" i="8"/>
  <c r="ES164" i="8"/>
  <c r="ES165" i="8"/>
  <c r="ES166" i="8"/>
  <c r="ES167" i="8"/>
  <c r="ES168" i="8"/>
  <c r="ES169" i="8"/>
  <c r="ES170" i="8"/>
  <c r="ES171" i="8"/>
  <c r="ES172" i="8"/>
  <c r="ES173" i="8"/>
  <c r="ES174" i="8"/>
  <c r="ES175" i="8"/>
  <c r="ES176" i="8"/>
  <c r="ES177" i="8"/>
  <c r="ES178" i="8"/>
  <c r="ES179" i="8"/>
  <c r="ES180" i="8"/>
  <c r="ES181" i="8"/>
  <c r="ES182" i="8"/>
  <c r="ES183" i="8"/>
  <c r="ES184" i="8"/>
  <c r="ES185" i="8"/>
  <c r="ES186" i="8"/>
  <c r="ES187" i="8"/>
  <c r="ES188" i="8"/>
  <c r="ES189" i="8"/>
  <c r="ES190" i="8"/>
  <c r="ES191" i="8"/>
  <c r="ES192" i="8"/>
  <c r="ES193" i="8"/>
  <c r="ES194" i="8"/>
  <c r="ES195" i="8"/>
  <c r="ES196" i="8"/>
  <c r="ES197" i="8"/>
  <c r="ES198" i="8"/>
  <c r="ES199" i="8"/>
  <c r="ES200" i="8"/>
  <c r="ES201" i="8"/>
  <c r="ES202" i="8"/>
  <c r="ES203" i="8"/>
  <c r="ES204" i="8"/>
  <c r="ES205" i="8"/>
  <c r="ES206" i="8"/>
  <c r="ES207" i="8"/>
  <c r="ES208" i="8"/>
  <c r="ES209" i="8"/>
  <c r="ES210" i="8"/>
  <c r="ES211" i="8"/>
  <c r="ES212" i="8"/>
  <c r="ES213" i="8"/>
  <c r="ES214" i="8"/>
  <c r="ES215" i="8"/>
  <c r="ES216" i="8"/>
  <c r="ES217" i="8"/>
  <c r="ES218" i="8"/>
  <c r="ES219" i="8"/>
  <c r="ES220" i="8"/>
  <c r="ES221" i="8"/>
  <c r="ES222" i="8"/>
  <c r="ES223" i="8"/>
  <c r="ES224" i="8"/>
  <c r="ES225" i="8"/>
  <c r="ES226" i="8"/>
  <c r="ES227" i="8"/>
  <c r="ES228" i="8"/>
  <c r="ES229" i="8"/>
  <c r="ES230" i="8"/>
  <c r="ES231" i="8"/>
  <c r="ES232" i="8"/>
  <c r="ES233" i="8"/>
  <c r="ES234" i="8"/>
  <c r="ES235" i="8"/>
  <c r="ES236" i="8"/>
  <c r="ES237" i="8"/>
  <c r="ES238" i="8"/>
  <c r="ES239" i="8"/>
  <c r="ES240" i="8"/>
  <c r="ES241" i="8"/>
  <c r="ES242" i="8"/>
  <c r="ES243" i="8"/>
  <c r="ES244" i="8"/>
  <c r="ES245" i="8"/>
  <c r="ES246" i="8"/>
  <c r="ES247" i="8"/>
  <c r="ES248" i="8"/>
  <c r="ES249" i="8"/>
  <c r="ES250" i="8"/>
  <c r="ES251" i="8"/>
  <c r="ES252" i="8"/>
  <c r="ES253" i="8"/>
  <c r="ES254" i="8"/>
  <c r="ES255" i="8"/>
  <c r="ES256" i="8"/>
  <c r="ES257" i="8"/>
  <c r="ES258" i="8"/>
  <c r="ES259" i="8"/>
  <c r="ES260" i="8"/>
  <c r="ES261" i="8"/>
  <c r="ES262" i="8"/>
  <c r="ES263" i="8"/>
  <c r="ES264" i="8"/>
  <c r="ES25" i="8"/>
  <c r="GK26" i="8"/>
  <c r="GK27" i="8"/>
  <c r="GK28" i="8"/>
  <c r="GK29" i="8"/>
  <c r="GK30" i="8"/>
  <c r="GK31" i="8"/>
  <c r="GK32" i="8"/>
  <c r="GK33" i="8"/>
  <c r="GK34" i="8"/>
  <c r="GK35" i="8"/>
  <c r="GK36" i="8"/>
  <c r="GK37" i="8"/>
  <c r="GK38" i="8"/>
  <c r="GK39" i="8"/>
  <c r="GK40" i="8"/>
  <c r="GK41" i="8"/>
  <c r="GK42" i="8"/>
  <c r="GK43" i="8"/>
  <c r="GK44" i="8"/>
  <c r="GK45" i="8"/>
  <c r="GK46" i="8"/>
  <c r="GK47" i="8"/>
  <c r="GK48" i="8"/>
  <c r="GK49" i="8"/>
  <c r="GK50" i="8"/>
  <c r="GK51" i="8"/>
  <c r="GK52" i="8"/>
  <c r="GK53" i="8"/>
  <c r="GK54" i="8"/>
  <c r="GK55" i="8"/>
  <c r="GK56" i="8"/>
  <c r="GK57" i="8"/>
  <c r="GK58" i="8"/>
  <c r="GK59" i="8"/>
  <c r="GK60" i="8"/>
  <c r="GK61" i="8"/>
  <c r="GK62" i="8"/>
  <c r="GK63" i="8"/>
  <c r="GK64" i="8"/>
  <c r="GK65" i="8"/>
  <c r="GK66" i="8"/>
  <c r="GK67" i="8"/>
  <c r="GK68" i="8"/>
  <c r="GK69" i="8"/>
  <c r="GK70" i="8"/>
  <c r="GK71" i="8"/>
  <c r="GK72" i="8"/>
  <c r="GK73" i="8"/>
  <c r="GK74" i="8"/>
  <c r="GK75" i="8"/>
  <c r="GK76" i="8"/>
  <c r="GK77" i="8"/>
  <c r="GK78" i="8"/>
  <c r="GK79" i="8"/>
  <c r="GK80" i="8"/>
  <c r="GK81" i="8"/>
  <c r="GK82" i="8"/>
  <c r="GK83" i="8"/>
  <c r="GK85" i="8"/>
  <c r="GK86" i="8"/>
  <c r="GK87" i="8"/>
  <c r="GK88" i="8"/>
  <c r="GK89" i="8"/>
  <c r="GK90" i="8"/>
  <c r="GK91" i="8"/>
  <c r="GK92" i="8"/>
  <c r="GK93" i="8"/>
  <c r="GK94" i="8"/>
  <c r="GK95" i="8"/>
  <c r="GK96" i="8"/>
  <c r="GK97" i="8"/>
  <c r="GK98" i="8"/>
  <c r="GK99" i="8"/>
  <c r="GK100" i="8"/>
  <c r="GK101" i="8"/>
  <c r="GK102" i="8"/>
  <c r="GK103" i="8"/>
  <c r="GK104" i="8"/>
  <c r="GK105" i="8"/>
  <c r="GK106" i="8"/>
  <c r="GK107" i="8"/>
  <c r="GK108" i="8"/>
  <c r="GK109" i="8"/>
  <c r="GK110" i="8"/>
  <c r="GK111" i="8"/>
  <c r="GK112" i="8"/>
  <c r="GK113" i="8"/>
  <c r="GK114" i="8"/>
  <c r="GK115" i="8"/>
  <c r="GK116" i="8"/>
  <c r="GK117" i="8"/>
  <c r="GK118" i="8"/>
  <c r="GK119" i="8"/>
  <c r="GK120" i="8"/>
  <c r="GK121" i="8"/>
  <c r="GK122" i="8"/>
  <c r="GK123" i="8"/>
  <c r="GK124" i="8"/>
  <c r="GK125" i="8"/>
  <c r="GK126" i="8"/>
  <c r="GK127" i="8"/>
  <c r="GK128" i="8"/>
  <c r="GK129" i="8"/>
  <c r="GK130" i="8"/>
  <c r="GK131" i="8"/>
  <c r="GK132" i="8"/>
  <c r="GK133" i="8"/>
  <c r="GK134" i="8"/>
  <c r="GK135" i="8"/>
  <c r="GK136" i="8"/>
  <c r="GK137" i="8"/>
  <c r="GK138" i="8"/>
  <c r="GK139" i="8"/>
  <c r="GK140" i="8"/>
  <c r="GK141" i="8"/>
  <c r="GK142" i="8"/>
  <c r="GK143" i="8"/>
  <c r="GK144" i="8"/>
  <c r="GK145" i="8"/>
  <c r="GK146" i="8"/>
  <c r="GK147" i="8"/>
  <c r="GK148" i="8"/>
  <c r="GK149" i="8"/>
  <c r="GK150" i="8"/>
  <c r="GK151" i="8"/>
  <c r="GK152" i="8"/>
  <c r="GK153" i="8"/>
  <c r="GK154" i="8"/>
  <c r="GK155" i="8"/>
  <c r="GK156" i="8"/>
  <c r="GK157" i="8"/>
  <c r="GK158" i="8"/>
  <c r="GK159" i="8"/>
  <c r="GK160" i="8"/>
  <c r="GK161" i="8"/>
  <c r="GK162" i="8"/>
  <c r="GK163" i="8"/>
  <c r="GK164" i="8"/>
  <c r="GK165" i="8"/>
  <c r="GK166" i="8"/>
  <c r="GK167" i="8"/>
  <c r="GK168" i="8"/>
  <c r="GK169" i="8"/>
  <c r="GK170" i="8"/>
  <c r="GK171" i="8"/>
  <c r="GK172" i="8"/>
  <c r="GK173" i="8"/>
  <c r="GK174" i="8"/>
  <c r="GK175" i="8"/>
  <c r="GK176" i="8"/>
  <c r="GK177" i="8"/>
  <c r="GK178" i="8"/>
  <c r="GK179" i="8"/>
  <c r="GK180" i="8"/>
  <c r="GK181" i="8"/>
  <c r="GK182" i="8"/>
  <c r="GK183" i="8"/>
  <c r="GK184" i="8"/>
  <c r="GK185" i="8"/>
  <c r="GK186" i="8"/>
  <c r="GK187" i="8"/>
  <c r="GK188" i="8"/>
  <c r="GK189" i="8"/>
  <c r="GK190" i="8"/>
  <c r="GK191" i="8"/>
  <c r="GK192" i="8"/>
  <c r="GK193" i="8"/>
  <c r="GK194" i="8"/>
  <c r="GK195" i="8"/>
  <c r="GK196" i="8"/>
  <c r="GK197" i="8"/>
  <c r="GK198" i="8"/>
  <c r="GK199" i="8"/>
  <c r="GK200" i="8"/>
  <c r="GK201" i="8"/>
  <c r="GK202" i="8"/>
  <c r="GK203" i="8"/>
  <c r="GK204" i="8"/>
  <c r="GK205" i="8"/>
  <c r="GK206" i="8"/>
  <c r="GK207" i="8"/>
  <c r="GK208" i="8"/>
  <c r="GK209" i="8"/>
  <c r="GK210" i="8"/>
  <c r="GK211" i="8"/>
  <c r="GK212" i="8"/>
  <c r="GK213" i="8"/>
  <c r="GK214" i="8"/>
  <c r="GK215" i="8"/>
  <c r="GK216" i="8"/>
  <c r="GK217" i="8"/>
  <c r="GK218" i="8"/>
  <c r="GK219" i="8"/>
  <c r="GK220" i="8"/>
  <c r="GK221" i="8"/>
  <c r="GK222" i="8"/>
  <c r="GK223" i="8"/>
  <c r="GK224" i="8"/>
  <c r="GK225" i="8"/>
  <c r="GK226" i="8"/>
  <c r="GK227" i="8"/>
  <c r="GK228" i="8"/>
  <c r="GK229" i="8"/>
  <c r="GK230" i="8"/>
  <c r="GK231" i="8"/>
  <c r="GK232" i="8"/>
  <c r="GK233" i="8"/>
  <c r="GK234" i="8"/>
  <c r="GK235" i="8"/>
  <c r="GK236" i="8"/>
  <c r="GK237" i="8"/>
  <c r="GK238" i="8"/>
  <c r="GK239" i="8"/>
  <c r="GK240" i="8"/>
  <c r="GK241" i="8"/>
  <c r="GK242" i="8"/>
  <c r="GK243" i="8"/>
  <c r="GK244" i="8"/>
  <c r="GK245" i="8"/>
  <c r="GK246" i="8"/>
  <c r="GK247" i="8"/>
  <c r="GK248" i="8"/>
  <c r="GK249" i="8"/>
  <c r="GK250" i="8"/>
  <c r="GK251" i="8"/>
  <c r="GK252" i="8"/>
  <c r="GK253" i="8"/>
  <c r="GK254" i="8"/>
  <c r="GK255" i="8"/>
  <c r="GK256" i="8"/>
  <c r="GK257" i="8"/>
  <c r="GK258" i="8"/>
  <c r="GK259" i="8"/>
  <c r="GK260" i="8"/>
  <c r="GK261" i="8"/>
  <c r="GK262" i="8"/>
  <c r="GK263" i="8"/>
  <c r="GK264" i="8"/>
  <c r="GK25" i="8"/>
  <c r="FQ24" i="8"/>
  <c r="DZ24" i="8"/>
  <c r="V372" i="1" l="1"/>
  <c r="W371" i="1"/>
  <c r="AU129" i="2"/>
  <c r="AU123" i="2"/>
  <c r="AU110" i="2"/>
  <c r="AI78" i="17"/>
  <c r="AH23" i="20"/>
  <c r="AF23" i="20" s="1"/>
  <c r="BP110" i="2"/>
  <c r="IX7" i="8" s="1"/>
  <c r="IX10" i="8" s="1"/>
  <c r="BP129" i="2"/>
  <c r="BP123" i="2"/>
  <c r="AN79" i="17"/>
  <c r="AP79" i="17" s="1"/>
  <c r="AO79" i="17" s="1"/>
  <c r="AK79" i="17" s="1"/>
  <c r="AL79" i="17"/>
  <c r="DR25" i="8"/>
  <c r="DA26" i="8"/>
  <c r="DR27" i="8" s="1"/>
  <c r="DA27" i="8"/>
  <c r="DA28" i="8"/>
  <c r="DA29" i="8"/>
  <c r="DR30" i="8" s="1"/>
  <c r="DA30" i="8"/>
  <c r="DR31" i="8" s="1"/>
  <c r="DA31" i="8"/>
  <c r="DA32" i="8"/>
  <c r="DA33" i="8"/>
  <c r="DR34" i="8" s="1"/>
  <c r="DA34" i="8"/>
  <c r="DR35" i="8" s="1"/>
  <c r="DA35" i="8"/>
  <c r="DR36" i="8" s="1"/>
  <c r="DA36" i="8"/>
  <c r="DA37" i="8"/>
  <c r="DR38" i="8" s="1"/>
  <c r="DA38" i="8"/>
  <c r="DA39" i="8"/>
  <c r="DR40" i="8" s="1"/>
  <c r="DA40" i="8"/>
  <c r="DR41" i="8" s="1"/>
  <c r="DA41" i="8"/>
  <c r="DR42" i="8" s="1"/>
  <c r="DA42" i="8"/>
  <c r="DR43" i="8" s="1"/>
  <c r="DA43" i="8"/>
  <c r="DA44" i="8"/>
  <c r="DR45" i="8" s="1"/>
  <c r="DA45" i="8"/>
  <c r="DR46" i="8" s="1"/>
  <c r="DA46" i="8"/>
  <c r="DR47" i="8" s="1"/>
  <c r="DA47" i="8"/>
  <c r="DR48" i="8" s="1"/>
  <c r="DA48" i="8"/>
  <c r="DR49" i="8" s="1"/>
  <c r="DA49" i="8"/>
  <c r="DR50" i="8" s="1"/>
  <c r="DA50" i="8"/>
  <c r="DR51" i="8" s="1"/>
  <c r="DA51" i="8"/>
  <c r="DA52" i="8"/>
  <c r="DR53" i="8" s="1"/>
  <c r="DA53" i="8"/>
  <c r="DA54" i="8"/>
  <c r="DR55" i="8" s="1"/>
  <c r="DA55" i="8"/>
  <c r="DR56" i="8" s="1"/>
  <c r="DA56" i="8"/>
  <c r="DR57" i="8" s="1"/>
  <c r="DA57" i="8"/>
  <c r="DR58" i="8" s="1"/>
  <c r="DA58" i="8"/>
  <c r="DR59" i="8" s="1"/>
  <c r="DA59" i="8"/>
  <c r="DR60" i="8" s="1"/>
  <c r="DA60" i="8"/>
  <c r="DR61" i="8" s="1"/>
  <c r="DA61" i="8"/>
  <c r="DR62" i="8" s="1"/>
  <c r="DA62" i="8"/>
  <c r="DR63" i="8" s="1"/>
  <c r="DA63" i="8"/>
  <c r="DR64" i="8" s="1"/>
  <c r="DA64" i="8"/>
  <c r="DR65" i="8" s="1"/>
  <c r="DA65" i="8"/>
  <c r="DR66" i="8" s="1"/>
  <c r="DA66" i="8"/>
  <c r="DR67" i="8" s="1"/>
  <c r="DA67" i="8"/>
  <c r="DR68" i="8" s="1"/>
  <c r="DA68" i="8"/>
  <c r="DR69" i="8" s="1"/>
  <c r="DA69" i="8"/>
  <c r="DR70" i="8" s="1"/>
  <c r="DA70" i="8"/>
  <c r="DR71" i="8" s="1"/>
  <c r="DA71" i="8"/>
  <c r="DR72" i="8" s="1"/>
  <c r="DA72" i="8"/>
  <c r="DR73" i="8" s="1"/>
  <c r="DA73" i="8"/>
  <c r="DR74" i="8" s="1"/>
  <c r="DA74" i="8"/>
  <c r="DR75" i="8" s="1"/>
  <c r="DA75" i="8"/>
  <c r="DR76" i="8" s="1"/>
  <c r="DA76" i="8"/>
  <c r="DR77" i="8" s="1"/>
  <c r="DA77" i="8"/>
  <c r="DR78" i="8" s="1"/>
  <c r="DA78" i="8"/>
  <c r="DR79" i="8" s="1"/>
  <c r="DA79" i="8"/>
  <c r="DR80" i="8" s="1"/>
  <c r="DA80" i="8"/>
  <c r="DR81" i="8" s="1"/>
  <c r="DA81" i="8"/>
  <c r="DR82" i="8" s="1"/>
  <c r="DA82" i="8"/>
  <c r="DR83" i="8" s="1"/>
  <c r="DA83" i="8"/>
  <c r="DR84" i="8" s="1"/>
  <c r="DA85" i="8"/>
  <c r="DR86" i="8" s="1"/>
  <c r="DA86" i="8"/>
  <c r="DR87" i="8" s="1"/>
  <c r="DA87" i="8"/>
  <c r="DR88" i="8" s="1"/>
  <c r="DA88" i="8"/>
  <c r="DR89" i="8" s="1"/>
  <c r="DA89" i="8"/>
  <c r="DR90" i="8" s="1"/>
  <c r="DA90" i="8"/>
  <c r="DR91" i="8" s="1"/>
  <c r="DA91" i="8"/>
  <c r="DR92" i="8" s="1"/>
  <c r="DA92" i="8"/>
  <c r="DR93" i="8" s="1"/>
  <c r="DA93" i="8"/>
  <c r="DR94" i="8" s="1"/>
  <c r="DA94" i="8"/>
  <c r="DR95" i="8" s="1"/>
  <c r="DA95" i="8"/>
  <c r="DR96" i="8" s="1"/>
  <c r="DA96" i="8"/>
  <c r="DR97" i="8" s="1"/>
  <c r="DA97" i="8"/>
  <c r="DR98" i="8" s="1"/>
  <c r="DA98" i="8"/>
  <c r="DR99" i="8" s="1"/>
  <c r="DA99" i="8"/>
  <c r="DR100" i="8" s="1"/>
  <c r="DA100" i="8"/>
  <c r="DR101" i="8" s="1"/>
  <c r="DA101" i="8"/>
  <c r="DR102" i="8" s="1"/>
  <c r="DA102" i="8"/>
  <c r="DR103" i="8" s="1"/>
  <c r="DA103" i="8"/>
  <c r="DR104" i="8" s="1"/>
  <c r="DA104" i="8"/>
  <c r="DR105" i="8" s="1"/>
  <c r="DA105" i="8"/>
  <c r="DR106" i="8" s="1"/>
  <c r="DA106" i="8"/>
  <c r="DR107" i="8" s="1"/>
  <c r="DA107" i="8"/>
  <c r="DR108" i="8" s="1"/>
  <c r="DA108" i="8"/>
  <c r="DR109" i="8" s="1"/>
  <c r="DA109" i="8"/>
  <c r="DR110" i="8" s="1"/>
  <c r="DA110" i="8"/>
  <c r="DR111" i="8" s="1"/>
  <c r="DA111" i="8"/>
  <c r="DR112" i="8" s="1"/>
  <c r="DA112" i="8"/>
  <c r="DR113" i="8" s="1"/>
  <c r="DA113" i="8"/>
  <c r="DR114" i="8" s="1"/>
  <c r="DA114" i="8"/>
  <c r="DR115" i="8" s="1"/>
  <c r="DA115" i="8"/>
  <c r="DR116" i="8" s="1"/>
  <c r="DA116" i="8"/>
  <c r="DR117" i="8" s="1"/>
  <c r="DA117" i="8"/>
  <c r="DR118" i="8" s="1"/>
  <c r="DA118" i="8"/>
  <c r="DR119" i="8" s="1"/>
  <c r="DA119" i="8"/>
  <c r="DR120" i="8" s="1"/>
  <c r="DA120" i="8"/>
  <c r="DR121" i="8" s="1"/>
  <c r="DA121" i="8"/>
  <c r="DR122" i="8" s="1"/>
  <c r="DA122" i="8"/>
  <c r="DR123" i="8" s="1"/>
  <c r="DA123" i="8"/>
  <c r="DR124" i="8" s="1"/>
  <c r="DA124" i="8"/>
  <c r="DR125" i="8" s="1"/>
  <c r="DA125" i="8"/>
  <c r="DR126" i="8" s="1"/>
  <c r="DA126" i="8"/>
  <c r="DR127" i="8" s="1"/>
  <c r="DA127" i="8"/>
  <c r="DR128" i="8" s="1"/>
  <c r="DA128" i="8"/>
  <c r="DR129" i="8" s="1"/>
  <c r="DA129" i="8"/>
  <c r="DR130" i="8" s="1"/>
  <c r="DA130" i="8"/>
  <c r="DR131" i="8" s="1"/>
  <c r="DA131" i="8"/>
  <c r="DR132" i="8" s="1"/>
  <c r="DA132" i="8"/>
  <c r="DR133" i="8" s="1"/>
  <c r="DA133" i="8"/>
  <c r="DR134" i="8" s="1"/>
  <c r="DA134" i="8"/>
  <c r="DR135" i="8" s="1"/>
  <c r="DA135" i="8"/>
  <c r="DR136" i="8" s="1"/>
  <c r="DA136" i="8"/>
  <c r="DR137" i="8" s="1"/>
  <c r="DA137" i="8"/>
  <c r="DR138" i="8" s="1"/>
  <c r="DA138" i="8"/>
  <c r="DR139" i="8" s="1"/>
  <c r="DA139" i="8"/>
  <c r="DR140" i="8" s="1"/>
  <c r="DA140" i="8"/>
  <c r="DR141" i="8" s="1"/>
  <c r="DA141" i="8"/>
  <c r="DR142" i="8" s="1"/>
  <c r="DA142" i="8"/>
  <c r="DR143" i="8" s="1"/>
  <c r="DA143" i="8"/>
  <c r="DR144" i="8" s="1"/>
  <c r="DA144" i="8"/>
  <c r="DR145" i="8" s="1"/>
  <c r="DA145" i="8"/>
  <c r="DR146" i="8" s="1"/>
  <c r="DA146" i="8"/>
  <c r="DR147" i="8" s="1"/>
  <c r="DA147" i="8"/>
  <c r="DR148" i="8" s="1"/>
  <c r="DA148" i="8"/>
  <c r="DR149" i="8" s="1"/>
  <c r="DA149" i="8"/>
  <c r="DR150" i="8" s="1"/>
  <c r="DA150" i="8"/>
  <c r="DR151" i="8" s="1"/>
  <c r="DA151" i="8"/>
  <c r="DR152" i="8" s="1"/>
  <c r="DA152" i="8"/>
  <c r="DR153" i="8" s="1"/>
  <c r="DA153" i="8"/>
  <c r="DR154" i="8" s="1"/>
  <c r="DA154" i="8"/>
  <c r="DR155" i="8" s="1"/>
  <c r="DA155" i="8"/>
  <c r="DR156" i="8" s="1"/>
  <c r="DA156" i="8"/>
  <c r="DR157" i="8" s="1"/>
  <c r="DA157" i="8"/>
  <c r="DR158" i="8" s="1"/>
  <c r="DA158" i="8"/>
  <c r="DR159" i="8" s="1"/>
  <c r="DA159" i="8"/>
  <c r="DR160" i="8" s="1"/>
  <c r="DA160" i="8"/>
  <c r="DR161" i="8" s="1"/>
  <c r="DA161" i="8"/>
  <c r="DR162" i="8" s="1"/>
  <c r="DA162" i="8"/>
  <c r="DR163" i="8" s="1"/>
  <c r="DA163" i="8"/>
  <c r="DR164" i="8" s="1"/>
  <c r="DA164" i="8"/>
  <c r="DR165" i="8" s="1"/>
  <c r="DA165" i="8"/>
  <c r="DR166" i="8" s="1"/>
  <c r="DA166" i="8"/>
  <c r="DR167" i="8" s="1"/>
  <c r="DA167" i="8"/>
  <c r="DR168" i="8" s="1"/>
  <c r="DA168" i="8"/>
  <c r="DR169" i="8" s="1"/>
  <c r="DA169" i="8"/>
  <c r="DR170" i="8" s="1"/>
  <c r="DA170" i="8"/>
  <c r="DR171" i="8" s="1"/>
  <c r="DA171" i="8"/>
  <c r="DR172" i="8" s="1"/>
  <c r="DA172" i="8"/>
  <c r="DR173" i="8" s="1"/>
  <c r="DA173" i="8"/>
  <c r="DR174" i="8" s="1"/>
  <c r="DA174" i="8"/>
  <c r="DR175" i="8" s="1"/>
  <c r="DA175" i="8"/>
  <c r="DR176" i="8" s="1"/>
  <c r="DA176" i="8"/>
  <c r="DR177" i="8" s="1"/>
  <c r="DA177" i="8"/>
  <c r="DR178" i="8" s="1"/>
  <c r="DA178" i="8"/>
  <c r="DR179" i="8" s="1"/>
  <c r="DA179" i="8"/>
  <c r="DR180" i="8" s="1"/>
  <c r="DA180" i="8"/>
  <c r="DR181" i="8" s="1"/>
  <c r="DA181" i="8"/>
  <c r="DR182" i="8" s="1"/>
  <c r="DA182" i="8"/>
  <c r="DR183" i="8" s="1"/>
  <c r="DA183" i="8"/>
  <c r="DR184" i="8" s="1"/>
  <c r="DA184" i="8"/>
  <c r="DR185" i="8" s="1"/>
  <c r="DA185" i="8"/>
  <c r="DR186" i="8" s="1"/>
  <c r="DA186" i="8"/>
  <c r="DR187" i="8" s="1"/>
  <c r="DA187" i="8"/>
  <c r="DR188" i="8" s="1"/>
  <c r="DA188" i="8"/>
  <c r="DR189" i="8" s="1"/>
  <c r="DA189" i="8"/>
  <c r="DR190" i="8" s="1"/>
  <c r="DA190" i="8"/>
  <c r="DR191" i="8" s="1"/>
  <c r="DA191" i="8"/>
  <c r="DR192" i="8" s="1"/>
  <c r="DA192" i="8"/>
  <c r="DR193" i="8" s="1"/>
  <c r="DA193" i="8"/>
  <c r="DR194" i="8" s="1"/>
  <c r="DA194" i="8"/>
  <c r="DR195" i="8" s="1"/>
  <c r="DA195" i="8"/>
  <c r="DR196" i="8" s="1"/>
  <c r="DA196" i="8"/>
  <c r="DR197" i="8" s="1"/>
  <c r="DA197" i="8"/>
  <c r="DR198" i="8" s="1"/>
  <c r="DA198" i="8"/>
  <c r="DR199" i="8" s="1"/>
  <c r="DA199" i="8"/>
  <c r="DR200" i="8" s="1"/>
  <c r="DA200" i="8"/>
  <c r="DR201" i="8" s="1"/>
  <c r="DA201" i="8"/>
  <c r="DR202" i="8" s="1"/>
  <c r="DA202" i="8"/>
  <c r="DR203" i="8" s="1"/>
  <c r="DA203" i="8"/>
  <c r="DR204" i="8" s="1"/>
  <c r="DA204" i="8"/>
  <c r="DR205" i="8" s="1"/>
  <c r="DA205" i="8"/>
  <c r="DR206" i="8" s="1"/>
  <c r="DA206" i="8"/>
  <c r="DR207" i="8" s="1"/>
  <c r="DA207" i="8"/>
  <c r="DR208" i="8" s="1"/>
  <c r="DA208" i="8"/>
  <c r="DR209" i="8" s="1"/>
  <c r="DA209" i="8"/>
  <c r="DR210" i="8" s="1"/>
  <c r="DA210" i="8"/>
  <c r="DR211" i="8" s="1"/>
  <c r="DA211" i="8"/>
  <c r="DR212" i="8" s="1"/>
  <c r="DA212" i="8"/>
  <c r="DR213" i="8" s="1"/>
  <c r="DA213" i="8"/>
  <c r="DR214" i="8" s="1"/>
  <c r="DA214" i="8"/>
  <c r="DR215" i="8" s="1"/>
  <c r="DA215" i="8"/>
  <c r="DR216" i="8" s="1"/>
  <c r="DA216" i="8"/>
  <c r="DR217" i="8" s="1"/>
  <c r="DA217" i="8"/>
  <c r="DR218" i="8" s="1"/>
  <c r="DA218" i="8"/>
  <c r="DR219" i="8" s="1"/>
  <c r="DA219" i="8"/>
  <c r="DR220" i="8" s="1"/>
  <c r="DA220" i="8"/>
  <c r="DR221" i="8" s="1"/>
  <c r="DA221" i="8"/>
  <c r="DR222" i="8" s="1"/>
  <c r="DA222" i="8"/>
  <c r="DR223" i="8" s="1"/>
  <c r="DA223" i="8"/>
  <c r="DR224" i="8" s="1"/>
  <c r="DA224" i="8"/>
  <c r="DR225" i="8" s="1"/>
  <c r="DA225" i="8"/>
  <c r="DR226" i="8" s="1"/>
  <c r="DA226" i="8"/>
  <c r="DR227" i="8" s="1"/>
  <c r="DA227" i="8"/>
  <c r="DR228" i="8" s="1"/>
  <c r="DA228" i="8"/>
  <c r="DR229" i="8" s="1"/>
  <c r="DA229" i="8"/>
  <c r="DR230" i="8" s="1"/>
  <c r="DA230" i="8"/>
  <c r="DR231" i="8" s="1"/>
  <c r="DA231" i="8"/>
  <c r="DR232" i="8" s="1"/>
  <c r="DA232" i="8"/>
  <c r="DR233" i="8" s="1"/>
  <c r="DA233" i="8"/>
  <c r="DR234" i="8" s="1"/>
  <c r="DA234" i="8"/>
  <c r="DR235" i="8" s="1"/>
  <c r="DA235" i="8"/>
  <c r="DR236" i="8" s="1"/>
  <c r="DA236" i="8"/>
  <c r="DR237" i="8" s="1"/>
  <c r="DA237" i="8"/>
  <c r="DR238" i="8" s="1"/>
  <c r="DA238" i="8"/>
  <c r="DR239" i="8" s="1"/>
  <c r="DA239" i="8"/>
  <c r="DR240" i="8" s="1"/>
  <c r="DA240" i="8"/>
  <c r="DR241" i="8" s="1"/>
  <c r="DA241" i="8"/>
  <c r="DR242" i="8" s="1"/>
  <c r="DA242" i="8"/>
  <c r="DR243" i="8" s="1"/>
  <c r="DA243" i="8"/>
  <c r="DR244" i="8" s="1"/>
  <c r="DA244" i="8"/>
  <c r="DR245" i="8" s="1"/>
  <c r="DA245" i="8"/>
  <c r="DR246" i="8" s="1"/>
  <c r="DA246" i="8"/>
  <c r="DR247" i="8" s="1"/>
  <c r="DA247" i="8"/>
  <c r="DR248" i="8" s="1"/>
  <c r="DA248" i="8"/>
  <c r="DR249" i="8" s="1"/>
  <c r="DA249" i="8"/>
  <c r="DR250" i="8" s="1"/>
  <c r="DA250" i="8"/>
  <c r="DR251" i="8" s="1"/>
  <c r="DA251" i="8"/>
  <c r="DR252" i="8" s="1"/>
  <c r="DA252" i="8"/>
  <c r="DR253" i="8" s="1"/>
  <c r="DA253" i="8"/>
  <c r="DR254" i="8" s="1"/>
  <c r="DA254" i="8"/>
  <c r="DR255" i="8" s="1"/>
  <c r="DA255" i="8"/>
  <c r="DR256" i="8" s="1"/>
  <c r="DA256" i="8"/>
  <c r="DR257" i="8" s="1"/>
  <c r="DA257" i="8"/>
  <c r="DA258" i="8"/>
  <c r="DR259" i="8" s="1"/>
  <c r="DA259" i="8"/>
  <c r="DR260" i="8" s="1"/>
  <c r="DA260" i="8"/>
  <c r="DR261" i="8" s="1"/>
  <c r="DA261" i="8"/>
  <c r="DR262" i="8" s="1"/>
  <c r="DA262" i="8"/>
  <c r="DR263" i="8" s="1"/>
  <c r="DA263" i="8"/>
  <c r="DR264" i="8" s="1"/>
  <c r="DA264" i="8"/>
  <c r="DA25" i="8"/>
  <c r="DR26" i="8" s="1"/>
  <c r="BW266" i="8"/>
  <c r="BZ16" i="8"/>
  <c r="W372" i="1" l="1"/>
  <c r="V373" i="1"/>
  <c r="AI79" i="17"/>
  <c r="AH24" i="20"/>
  <c r="AF24" i="20" s="1"/>
  <c r="AQ79" i="17"/>
  <c r="BQ60" i="22"/>
  <c r="BO62" i="22"/>
  <c r="BI62" i="22"/>
  <c r="BR65" i="22"/>
  <c r="AT82" i="1"/>
  <c r="V374" i="1" l="1"/>
  <c r="W373" i="1"/>
  <c r="AN80" i="17"/>
  <c r="AP80" i="17" s="1"/>
  <c r="AO80" i="17" s="1"/>
  <c r="AL80" i="17"/>
  <c r="BQ66" i="22"/>
  <c r="AU87" i="1"/>
  <c r="AT88" i="1" s="1"/>
  <c r="W374" i="1" l="1"/>
  <c r="V375" i="1"/>
  <c r="AK80" i="17"/>
  <c r="AQ80" i="17"/>
  <c r="AT2" i="22"/>
  <c r="CS12" i="8" l="1"/>
  <c r="V376" i="1"/>
  <c r="W375" i="1"/>
  <c r="AI80" i="17"/>
  <c r="AH25" i="20"/>
  <c r="AF25" i="20" s="1"/>
  <c r="AN81" i="17"/>
  <c r="AP81" i="17" s="1"/>
  <c r="AO81" i="17" s="1"/>
  <c r="AK81" i="17" s="1"/>
  <c r="AL81" i="17"/>
  <c r="AW62" i="22"/>
  <c r="AS2" i="22"/>
  <c r="BZ7" i="8" s="1"/>
  <c r="BZ10" i="8"/>
  <c r="BZ8" i="8"/>
  <c r="BS16" i="8"/>
  <c r="BS14" i="8"/>
  <c r="BS10" i="8"/>
  <c r="BS8" i="8"/>
  <c r="BS7" i="8"/>
  <c r="BS6" i="8"/>
  <c r="BS5" i="8"/>
  <c r="GC14" i="8"/>
  <c r="GC10" i="8"/>
  <c r="GC8" i="8"/>
  <c r="GC6" i="8"/>
  <c r="GC5" i="8"/>
  <c r="EK14" i="8"/>
  <c r="EK10" i="8"/>
  <c r="EK8" i="8"/>
  <c r="EK7" i="8"/>
  <c r="EK6" i="8"/>
  <c r="EK5" i="8"/>
  <c r="CZ10" i="8"/>
  <c r="CZ8" i="8"/>
  <c r="CS14" i="8"/>
  <c r="CS10" i="8"/>
  <c r="CS8" i="8"/>
  <c r="CS7" i="8"/>
  <c r="CS6" i="8"/>
  <c r="CS5" i="8"/>
  <c r="BL65" i="22"/>
  <c r="I55" i="22"/>
  <c r="AV312" i="22" l="1"/>
  <c r="AV320" i="22"/>
  <c r="AV328" i="22"/>
  <c r="AV336" i="22"/>
  <c r="AV344" i="22"/>
  <c r="AV352" i="22"/>
  <c r="AV360" i="22"/>
  <c r="AV323" i="22"/>
  <c r="AV308" i="22"/>
  <c r="AV340" i="22"/>
  <c r="AV356" i="22"/>
  <c r="AV317" i="22"/>
  <c r="AV333" i="22"/>
  <c r="AV357" i="22"/>
  <c r="AV318" i="22"/>
  <c r="AV334" i="22"/>
  <c r="AV358" i="22"/>
  <c r="AV327" i="22"/>
  <c r="AV351" i="22"/>
  <c r="AV313" i="22"/>
  <c r="AV321" i="22"/>
  <c r="AV329" i="22"/>
  <c r="AV337" i="22"/>
  <c r="AV345" i="22"/>
  <c r="AV353" i="22"/>
  <c r="AV361" i="22"/>
  <c r="AV324" i="22"/>
  <c r="AV341" i="22"/>
  <c r="AV342" i="22"/>
  <c r="AV311" i="22"/>
  <c r="AV335" i="22"/>
  <c r="AV359" i="22"/>
  <c r="AV306" i="22"/>
  <c r="AV314" i="22"/>
  <c r="AV322" i="22"/>
  <c r="AV330" i="22"/>
  <c r="AV338" i="22"/>
  <c r="AV346" i="22"/>
  <c r="AV354" i="22"/>
  <c r="AV362" i="22"/>
  <c r="AV307" i="22"/>
  <c r="AV315" i="22"/>
  <c r="AV331" i="22"/>
  <c r="AV339" i="22"/>
  <c r="AV347" i="22"/>
  <c r="AV355" i="22"/>
  <c r="AV363" i="22"/>
  <c r="AV316" i="22"/>
  <c r="AV332" i="22"/>
  <c r="AV348" i="22"/>
  <c r="AV364" i="22"/>
  <c r="AV309" i="22"/>
  <c r="AV325" i="22"/>
  <c r="AV349" i="22"/>
  <c r="AV365" i="22"/>
  <c r="AV310" i="22"/>
  <c r="AV326" i="22"/>
  <c r="AV350" i="22"/>
  <c r="AV319" i="22"/>
  <c r="AV343" i="22"/>
  <c r="W376" i="1"/>
  <c r="V377" i="1"/>
  <c r="AI81" i="17"/>
  <c r="AH26" i="20"/>
  <c r="AF26" i="20" s="1"/>
  <c r="AQ81" i="17"/>
  <c r="AN82" i="17" s="1"/>
  <c r="AP82" i="17" s="1"/>
  <c r="AO82" i="17" s="1"/>
  <c r="AK82" i="17" s="1"/>
  <c r="AJ66" i="22"/>
  <c r="AJ67" i="22" s="1"/>
  <c r="AK67" i="22" s="1"/>
  <c r="C66" i="22"/>
  <c r="B65" i="22"/>
  <c r="P63" i="22"/>
  <c r="AU62" i="22"/>
  <c r="AN60" i="22"/>
  <c r="G58" i="22"/>
  <c r="I54" i="22"/>
  <c r="K46" i="22"/>
  <c r="L37" i="22"/>
  <c r="L36" i="22"/>
  <c r="L35" i="22"/>
  <c r="L34" i="22"/>
  <c r="L32" i="22"/>
  <c r="H22" i="22"/>
  <c r="AM2" i="22"/>
  <c r="I17" i="22"/>
  <c r="N13" i="22"/>
  <c r="C14" i="22"/>
  <c r="D12" i="22"/>
  <c r="AU4" i="22"/>
  <c r="AR4" i="22"/>
  <c r="AV3" i="22"/>
  <c r="BT2" i="22" s="1"/>
  <c r="BE2" i="22"/>
  <c r="BB2" i="22"/>
  <c r="G47" i="22" s="1"/>
  <c r="G48" i="22" s="1"/>
  <c r="AW2" i="22"/>
  <c r="M1" i="22"/>
  <c r="A65" i="22" s="1"/>
  <c r="A66" i="22" s="1"/>
  <c r="A67" i="22" s="1"/>
  <c r="BC308" i="22" l="1"/>
  <c r="BB308" i="22" s="1"/>
  <c r="AU308" i="22" s="1"/>
  <c r="BC316" i="22"/>
  <c r="BB316" i="22" s="1"/>
  <c r="AU316" i="22" s="1"/>
  <c r="BC324" i="22"/>
  <c r="BB324" i="22" s="1"/>
  <c r="AU324" i="22" s="1"/>
  <c r="BC332" i="22"/>
  <c r="BB332" i="22" s="1"/>
  <c r="AU332" i="22" s="1"/>
  <c r="BC340" i="22"/>
  <c r="BB340" i="22" s="1"/>
  <c r="AU340" i="22" s="1"/>
  <c r="BC348" i="22"/>
  <c r="BB348" i="22" s="1"/>
  <c r="AU348" i="22" s="1"/>
  <c r="BC356" i="22"/>
  <c r="BB356" i="22" s="1"/>
  <c r="AU356" i="22" s="1"/>
  <c r="BC364" i="22"/>
  <c r="BB364" i="22" s="1"/>
  <c r="AU364" i="22" s="1"/>
  <c r="BC335" i="22"/>
  <c r="BB335" i="22" s="1"/>
  <c r="AU335" i="22" s="1"/>
  <c r="BC351" i="22"/>
  <c r="BB351" i="22" s="1"/>
  <c r="AU351" i="22" s="1"/>
  <c r="BC359" i="22"/>
  <c r="BB359" i="22" s="1"/>
  <c r="AU359" i="22" s="1"/>
  <c r="BC354" i="22"/>
  <c r="BB354" i="22" s="1"/>
  <c r="AU354" i="22" s="1"/>
  <c r="BC326" i="22"/>
  <c r="BB326" i="22" s="1"/>
  <c r="AU326" i="22" s="1"/>
  <c r="BC334" i="22"/>
  <c r="BB334" i="22" s="1"/>
  <c r="AU334" i="22" s="1"/>
  <c r="BC342" i="22"/>
  <c r="BB342" i="22" s="1"/>
  <c r="AU342" i="22" s="1"/>
  <c r="BC321" i="22"/>
  <c r="BB321" i="22" s="1"/>
  <c r="AU321" i="22" s="1"/>
  <c r="BC329" i="22"/>
  <c r="BB329" i="22" s="1"/>
  <c r="AU329" i="22" s="1"/>
  <c r="BC345" i="22"/>
  <c r="BB345" i="22" s="1"/>
  <c r="AU345" i="22" s="1"/>
  <c r="BC353" i="22"/>
  <c r="BB353" i="22" s="1"/>
  <c r="AU353" i="22" s="1"/>
  <c r="BC361" i="22"/>
  <c r="BB361" i="22" s="1"/>
  <c r="AU361" i="22" s="1"/>
  <c r="BC311" i="22"/>
  <c r="BB311" i="22" s="1"/>
  <c r="AU311" i="22" s="1"/>
  <c r="BC319" i="22"/>
  <c r="BB319" i="22" s="1"/>
  <c r="AU319" i="22" s="1"/>
  <c r="BC327" i="22"/>
  <c r="BB327" i="22" s="1"/>
  <c r="AU327" i="22" s="1"/>
  <c r="BC343" i="22"/>
  <c r="BB343" i="22" s="1"/>
  <c r="AU343" i="22" s="1"/>
  <c r="BC318" i="22"/>
  <c r="BB318" i="22" s="1"/>
  <c r="AU318" i="22" s="1"/>
  <c r="BC306" i="22"/>
  <c r="BB306" i="22" s="1"/>
  <c r="AU306" i="22" s="1"/>
  <c r="BC314" i="22"/>
  <c r="BB314" i="22" s="1"/>
  <c r="AU314" i="22" s="1"/>
  <c r="BC322" i="22"/>
  <c r="BB322" i="22" s="1"/>
  <c r="AU322" i="22" s="1"/>
  <c r="BC330" i="22"/>
  <c r="BB330" i="22" s="1"/>
  <c r="AU330" i="22" s="1"/>
  <c r="BC338" i="22"/>
  <c r="BB338" i="22" s="1"/>
  <c r="AU338" i="22" s="1"/>
  <c r="BC346" i="22"/>
  <c r="BB346" i="22" s="1"/>
  <c r="AU346" i="22" s="1"/>
  <c r="BC362" i="22"/>
  <c r="BB362" i="22" s="1"/>
  <c r="AU362" i="22" s="1"/>
  <c r="BC347" i="22"/>
  <c r="BB347" i="22" s="1"/>
  <c r="AU347" i="22" s="1"/>
  <c r="BC309" i="22"/>
  <c r="BB309" i="22" s="1"/>
  <c r="AU309" i="22" s="1"/>
  <c r="BC317" i="22"/>
  <c r="BB317" i="22" s="1"/>
  <c r="AU317" i="22" s="1"/>
  <c r="BC325" i="22"/>
  <c r="BB325" i="22" s="1"/>
  <c r="AU325" i="22" s="1"/>
  <c r="BC333" i="22"/>
  <c r="BB333" i="22" s="1"/>
  <c r="AU333" i="22" s="1"/>
  <c r="BC341" i="22"/>
  <c r="BB341" i="22" s="1"/>
  <c r="AU341" i="22" s="1"/>
  <c r="BC349" i="22"/>
  <c r="BB349" i="22" s="1"/>
  <c r="AU349" i="22" s="1"/>
  <c r="BC357" i="22"/>
  <c r="BB357" i="22" s="1"/>
  <c r="AU357" i="22" s="1"/>
  <c r="BC365" i="22"/>
  <c r="BB365" i="22" s="1"/>
  <c r="AU365" i="22" s="1"/>
  <c r="BC350" i="22"/>
  <c r="BB350" i="22" s="1"/>
  <c r="AU350" i="22" s="1"/>
  <c r="BC358" i="22"/>
  <c r="BB358" i="22" s="1"/>
  <c r="AU358" i="22" s="1"/>
  <c r="BC337" i="22"/>
  <c r="BB337" i="22" s="1"/>
  <c r="AU337" i="22" s="1"/>
  <c r="BC312" i="22"/>
  <c r="BB312" i="22" s="1"/>
  <c r="AU312" i="22" s="1"/>
  <c r="BC320" i="22"/>
  <c r="BB320" i="22" s="1"/>
  <c r="AU320" i="22" s="1"/>
  <c r="BC328" i="22"/>
  <c r="BB328" i="22" s="1"/>
  <c r="AU328" i="22" s="1"/>
  <c r="BC336" i="22"/>
  <c r="BB336" i="22" s="1"/>
  <c r="AU336" i="22" s="1"/>
  <c r="BC344" i="22"/>
  <c r="BB344" i="22" s="1"/>
  <c r="AU344" i="22" s="1"/>
  <c r="BC352" i="22"/>
  <c r="BB352" i="22" s="1"/>
  <c r="AU352" i="22" s="1"/>
  <c r="BC360" i="22"/>
  <c r="BB360" i="22" s="1"/>
  <c r="AU360" i="22" s="1"/>
  <c r="BC315" i="22"/>
  <c r="BB315" i="22" s="1"/>
  <c r="AU315" i="22" s="1"/>
  <c r="BC331" i="22"/>
  <c r="BB331" i="22" s="1"/>
  <c r="AU331" i="22" s="1"/>
  <c r="BC363" i="22"/>
  <c r="BB363" i="22" s="1"/>
  <c r="AU363" i="22" s="1"/>
  <c r="BC310" i="22"/>
  <c r="BB310" i="22" s="1"/>
  <c r="AU310" i="22" s="1"/>
  <c r="BC313" i="22"/>
  <c r="BB313" i="22" s="1"/>
  <c r="AU313" i="22" s="1"/>
  <c r="BC307" i="22"/>
  <c r="BB307" i="22" s="1"/>
  <c r="AU307" i="22" s="1"/>
  <c r="BC323" i="22"/>
  <c r="BB323" i="22" s="1"/>
  <c r="AU323" i="22" s="1"/>
  <c r="BC339" i="22"/>
  <c r="BB339" i="22" s="1"/>
  <c r="AU339" i="22" s="1"/>
  <c r="BC355" i="22"/>
  <c r="BB355" i="22" s="1"/>
  <c r="AU355" i="22" s="1"/>
  <c r="AV5" i="22"/>
  <c r="BS2" i="22" s="1"/>
  <c r="AI15" i="22"/>
  <c r="AU11" i="22"/>
  <c r="AU15" i="22" s="1" a="1"/>
  <c r="AU15" i="22" s="1"/>
  <c r="AI14" i="22"/>
  <c r="AI6" i="22"/>
  <c r="AI13" i="22"/>
  <c r="AI5" i="22"/>
  <c r="AI12" i="22"/>
  <c r="AI4" i="22"/>
  <c r="AI11" i="22"/>
  <c r="AI3" i="22"/>
  <c r="AI10" i="22"/>
  <c r="AI2" i="22"/>
  <c r="AI9" i="22"/>
  <c r="AI8" i="22"/>
  <c r="AI7" i="22"/>
  <c r="V378" i="1"/>
  <c r="W377" i="1"/>
  <c r="BF5" i="22"/>
  <c r="BD7" i="22"/>
  <c r="AQ7" i="22"/>
  <c r="AQ15" i="22"/>
  <c r="AQ16" i="22"/>
  <c r="L20" i="22"/>
  <c r="CE1" i="22"/>
  <c r="CE2" i="22" s="1"/>
  <c r="AI82" i="17"/>
  <c r="AH27" i="20"/>
  <c r="AF27" i="20" s="1"/>
  <c r="AL82" i="17"/>
  <c r="AQ82" i="17"/>
  <c r="CS9" i="8"/>
  <c r="CS11" i="8" s="1"/>
  <c r="DW18" i="8"/>
  <c r="AT12" i="22"/>
  <c r="BD63" i="22"/>
  <c r="EK16" i="8"/>
  <c r="GC16" i="8"/>
  <c r="CS16" i="8"/>
  <c r="CZ7" i="8"/>
  <c r="D14" i="22"/>
  <c r="BC76" i="22"/>
  <c r="BB76" i="22" s="1"/>
  <c r="BC82" i="22"/>
  <c r="BB82" i="22" s="1"/>
  <c r="BC66" i="22"/>
  <c r="BB66" i="22" s="1"/>
  <c r="BC75" i="22"/>
  <c r="BB75" i="22" s="1"/>
  <c r="BC81" i="22"/>
  <c r="BB81" i="22" s="1"/>
  <c r="BC83" i="22"/>
  <c r="BB83" i="22" s="1"/>
  <c r="BC67" i="22"/>
  <c r="BB67" i="22" s="1"/>
  <c r="AH2" i="22"/>
  <c r="D61" i="22" s="1"/>
  <c r="AJ68" i="22"/>
  <c r="AK68" i="22" s="1"/>
  <c r="G49" i="22"/>
  <c r="G50" i="22" s="1"/>
  <c r="G51" i="22" s="1"/>
  <c r="G52" i="22" s="1"/>
  <c r="A68" i="22"/>
  <c r="K63" i="22"/>
  <c r="F47" i="22"/>
  <c r="F48" i="22" s="1"/>
  <c r="N47" i="22" s="1"/>
  <c r="BC71" i="22"/>
  <c r="BB71" i="22" s="1"/>
  <c r="BC72" i="22"/>
  <c r="BB72" i="22" s="1"/>
  <c r="BC305" i="22"/>
  <c r="BB305" i="22" s="1"/>
  <c r="BC304" i="22"/>
  <c r="BB304" i="22" s="1"/>
  <c r="BC303" i="22"/>
  <c r="BB303" i="22" s="1"/>
  <c r="BC302" i="22"/>
  <c r="BB302" i="22" s="1"/>
  <c r="BC301" i="22"/>
  <c r="BB301" i="22" s="1"/>
  <c r="BC300" i="22"/>
  <c r="BB300" i="22" s="1"/>
  <c r="BC298" i="22"/>
  <c r="BB298" i="22" s="1"/>
  <c r="BC297" i="22"/>
  <c r="BB297" i="22" s="1"/>
  <c r="BC296" i="22"/>
  <c r="BB296" i="22" s="1"/>
  <c r="BC295" i="22"/>
  <c r="BB295" i="22" s="1"/>
  <c r="BC294" i="22"/>
  <c r="BB294" i="22" s="1"/>
  <c r="BC293" i="22"/>
  <c r="BB293" i="22" s="1"/>
  <c r="BC292" i="22"/>
  <c r="BB292" i="22" s="1"/>
  <c r="BC291" i="22"/>
  <c r="BB291" i="22" s="1"/>
  <c r="BC290" i="22"/>
  <c r="BB290" i="22" s="1"/>
  <c r="BC289" i="22"/>
  <c r="BB289" i="22" s="1"/>
  <c r="BC288" i="22"/>
  <c r="BB288" i="22" s="1"/>
  <c r="BC287" i="22"/>
  <c r="BB287" i="22" s="1"/>
  <c r="BC286" i="22"/>
  <c r="BB286" i="22" s="1"/>
  <c r="BC285" i="22"/>
  <c r="BB285" i="22" s="1"/>
  <c r="BC284" i="22"/>
  <c r="BB284" i="22" s="1"/>
  <c r="BC283" i="22"/>
  <c r="BB283" i="22" s="1"/>
  <c r="BC282" i="22"/>
  <c r="BB282" i="22" s="1"/>
  <c r="BC281" i="22"/>
  <c r="BB281" i="22" s="1"/>
  <c r="BC280" i="22"/>
  <c r="BB280" i="22" s="1"/>
  <c r="BC279" i="22"/>
  <c r="BB279" i="22" s="1"/>
  <c r="BC278" i="22"/>
  <c r="BB278" i="22" s="1"/>
  <c r="BC273" i="22"/>
  <c r="BB273" i="22" s="1"/>
  <c r="BC272" i="22"/>
  <c r="BB272" i="22" s="1"/>
  <c r="BC264" i="22"/>
  <c r="BB264" i="22" s="1"/>
  <c r="BC271" i="22"/>
  <c r="BB271" i="22" s="1"/>
  <c r="BC263" i="22"/>
  <c r="BB263" i="22" s="1"/>
  <c r="BC260" i="22"/>
  <c r="BB260" i="22" s="1"/>
  <c r="BC270" i="22"/>
  <c r="BB270" i="22" s="1"/>
  <c r="BC262" i="22"/>
  <c r="BB262" i="22" s="1"/>
  <c r="BC277" i="22"/>
  <c r="BB277" i="22" s="1"/>
  <c r="BC269" i="22"/>
  <c r="BB269" i="22" s="1"/>
  <c r="BC258" i="22"/>
  <c r="BB258" i="22" s="1"/>
  <c r="BC257" i="22"/>
  <c r="BB257" i="22" s="1"/>
  <c r="BC256" i="22"/>
  <c r="BB256" i="22" s="1"/>
  <c r="BC255" i="22"/>
  <c r="BB255" i="22" s="1"/>
  <c r="BC254" i="22"/>
  <c r="BB254" i="22" s="1"/>
  <c r="BC253" i="22"/>
  <c r="BB253" i="22" s="1"/>
  <c r="BC252" i="22"/>
  <c r="BB252" i="22" s="1"/>
  <c r="BC251" i="22"/>
  <c r="BB251" i="22" s="1"/>
  <c r="BC268" i="22"/>
  <c r="BB268" i="22" s="1"/>
  <c r="BC267" i="22"/>
  <c r="BB267" i="22" s="1"/>
  <c r="BC266" i="22"/>
  <c r="BB266" i="22" s="1"/>
  <c r="BC250" i="22"/>
  <c r="BB250" i="22" s="1"/>
  <c r="BC249" i="22"/>
  <c r="BB249" i="22" s="1"/>
  <c r="BC248" i="22"/>
  <c r="BB248" i="22" s="1"/>
  <c r="BC247" i="22"/>
  <c r="BB247" i="22" s="1"/>
  <c r="BC246" i="22"/>
  <c r="BB246" i="22" s="1"/>
  <c r="BC245" i="22"/>
  <c r="BB245" i="22" s="1"/>
  <c r="BC244" i="22"/>
  <c r="BB244" i="22" s="1"/>
  <c r="BC243" i="22"/>
  <c r="BB243" i="22" s="1"/>
  <c r="BC242" i="22"/>
  <c r="BB242" i="22" s="1"/>
  <c r="BC241" i="22"/>
  <c r="BB241" i="22" s="1"/>
  <c r="BC240" i="22"/>
  <c r="BB240" i="22" s="1"/>
  <c r="BC239" i="22"/>
  <c r="BB239" i="22" s="1"/>
  <c r="BC238" i="22"/>
  <c r="BB238" i="22" s="1"/>
  <c r="BC237" i="22"/>
  <c r="BB237" i="22" s="1"/>
  <c r="BC236" i="22"/>
  <c r="BB236" i="22" s="1"/>
  <c r="BC235" i="22"/>
  <c r="BB235" i="22" s="1"/>
  <c r="BC234" i="22"/>
  <c r="BB234" i="22" s="1"/>
  <c r="BC233" i="22"/>
  <c r="BB233" i="22" s="1"/>
  <c r="BC265" i="22"/>
  <c r="BB265" i="22" s="1"/>
  <c r="BC259" i="22"/>
  <c r="BB259" i="22" s="1"/>
  <c r="BC261" i="22"/>
  <c r="BB261" i="22" s="1"/>
  <c r="BC276" i="22"/>
  <c r="BB276" i="22" s="1"/>
  <c r="BC275" i="22"/>
  <c r="BB275" i="22" s="1"/>
  <c r="BC274" i="22"/>
  <c r="BB274" i="22" s="1"/>
  <c r="BC231" i="22"/>
  <c r="BB231" i="22" s="1"/>
  <c r="BC230" i="22"/>
  <c r="BB230" i="22" s="1"/>
  <c r="BC229" i="22"/>
  <c r="BB229" i="22" s="1"/>
  <c r="BC228" i="22"/>
  <c r="BB228" i="22" s="1"/>
  <c r="BC227" i="22"/>
  <c r="BB227" i="22" s="1"/>
  <c r="BC226" i="22"/>
  <c r="BB226" i="22" s="1"/>
  <c r="BC225" i="22"/>
  <c r="BB225" i="22" s="1"/>
  <c r="BC224" i="22"/>
  <c r="BB224" i="22" s="1"/>
  <c r="BC223" i="22"/>
  <c r="BB223" i="22" s="1"/>
  <c r="BC222" i="22"/>
  <c r="BB222" i="22" s="1"/>
  <c r="BC221" i="22"/>
  <c r="BB221" i="22" s="1"/>
  <c r="BC220" i="22"/>
  <c r="BB220" i="22" s="1"/>
  <c r="BC219" i="22"/>
  <c r="BB219" i="22" s="1"/>
  <c r="BC218" i="22"/>
  <c r="BB218" i="22" s="1"/>
  <c r="BC217" i="22"/>
  <c r="BB217" i="22" s="1"/>
  <c r="BC216" i="22"/>
  <c r="BB216" i="22" s="1"/>
  <c r="BC215" i="22"/>
  <c r="BB215" i="22" s="1"/>
  <c r="BC214" i="22"/>
  <c r="BB214" i="22" s="1"/>
  <c r="BC232" i="22"/>
  <c r="BB232" i="22" s="1"/>
  <c r="BC213" i="22"/>
  <c r="BB213" i="22" s="1"/>
  <c r="BC212" i="22"/>
  <c r="BB212" i="22" s="1"/>
  <c r="BC211" i="22"/>
  <c r="BB211" i="22" s="1"/>
  <c r="BC210" i="22"/>
  <c r="BB210" i="22" s="1"/>
  <c r="BC209" i="22"/>
  <c r="BB209" i="22" s="1"/>
  <c r="BC208" i="22"/>
  <c r="BB208" i="22" s="1"/>
  <c r="BC207" i="22"/>
  <c r="BB207" i="22" s="1"/>
  <c r="BC206" i="22"/>
  <c r="BB206" i="22" s="1"/>
  <c r="BC205" i="22"/>
  <c r="BB205" i="22" s="1"/>
  <c r="BC204" i="22"/>
  <c r="BB204" i="22" s="1"/>
  <c r="BC203" i="22"/>
  <c r="BB203" i="22" s="1"/>
  <c r="BC202" i="22"/>
  <c r="BB202" i="22" s="1"/>
  <c r="BC201" i="22"/>
  <c r="BB201" i="22" s="1"/>
  <c r="BC200" i="22"/>
  <c r="BB200" i="22" s="1"/>
  <c r="BC199" i="22"/>
  <c r="BB199" i="22" s="1"/>
  <c r="BC198" i="22"/>
  <c r="BB198" i="22" s="1"/>
  <c r="BC197" i="22"/>
  <c r="BB197" i="22" s="1"/>
  <c r="BC193" i="22"/>
  <c r="BB193" i="22" s="1"/>
  <c r="BC191" i="22"/>
  <c r="BB191" i="22" s="1"/>
  <c r="BC190" i="22"/>
  <c r="BB190" i="22" s="1"/>
  <c r="BC189" i="22"/>
  <c r="BB189" i="22" s="1"/>
  <c r="BC188" i="22"/>
  <c r="BB188" i="22" s="1"/>
  <c r="BC187" i="22"/>
  <c r="BB187" i="22" s="1"/>
  <c r="BC186" i="22"/>
  <c r="BB186" i="22" s="1"/>
  <c r="BC185" i="22"/>
  <c r="BB185" i="22" s="1"/>
  <c r="BC184" i="22"/>
  <c r="BB184" i="22" s="1"/>
  <c r="BC183" i="22"/>
  <c r="BB183" i="22" s="1"/>
  <c r="BC182" i="22"/>
  <c r="BB182" i="22" s="1"/>
  <c r="BC181" i="22"/>
  <c r="BB181" i="22" s="1"/>
  <c r="BC180" i="22"/>
  <c r="BB180" i="22" s="1"/>
  <c r="BC179" i="22"/>
  <c r="BB179" i="22" s="1"/>
  <c r="BC178" i="22"/>
  <c r="BB178" i="22" s="1"/>
  <c r="BC177" i="22"/>
  <c r="BB177" i="22" s="1"/>
  <c r="BC176" i="22"/>
  <c r="BB176" i="22" s="1"/>
  <c r="BC175" i="22"/>
  <c r="BB175" i="22" s="1"/>
  <c r="BC174" i="22"/>
  <c r="BB174" i="22" s="1"/>
  <c r="BC173" i="22"/>
  <c r="BB173" i="22" s="1"/>
  <c r="BC172" i="22"/>
  <c r="BB172" i="22" s="1"/>
  <c r="BC171" i="22"/>
  <c r="BB171" i="22" s="1"/>
  <c r="BC170" i="22"/>
  <c r="BB170" i="22" s="1"/>
  <c r="BC169" i="22"/>
  <c r="BB169" i="22" s="1"/>
  <c r="BC168" i="22"/>
  <c r="BB168" i="22" s="1"/>
  <c r="BC167" i="22"/>
  <c r="BB167" i="22" s="1"/>
  <c r="BC166" i="22"/>
  <c r="BB166" i="22" s="1"/>
  <c r="BC165" i="22"/>
  <c r="BB165" i="22" s="1"/>
  <c r="BC164" i="22"/>
  <c r="BB164" i="22" s="1"/>
  <c r="BC163" i="22"/>
  <c r="BB163" i="22" s="1"/>
  <c r="BC162" i="22"/>
  <c r="BB162" i="22" s="1"/>
  <c r="BC161" i="22"/>
  <c r="BB161" i="22" s="1"/>
  <c r="BC160" i="22"/>
  <c r="BB160" i="22" s="1"/>
  <c r="BC159" i="22"/>
  <c r="BB159" i="22" s="1"/>
  <c r="BC158" i="22"/>
  <c r="BB158" i="22" s="1"/>
  <c r="BC157" i="22"/>
  <c r="BB157" i="22" s="1"/>
  <c r="BC156" i="22"/>
  <c r="BB156" i="22" s="1"/>
  <c r="BC155" i="22"/>
  <c r="BB155" i="22" s="1"/>
  <c r="BC154" i="22"/>
  <c r="BB154" i="22" s="1"/>
  <c r="BC153" i="22"/>
  <c r="BB153" i="22" s="1"/>
  <c r="BC196" i="22"/>
  <c r="BB196" i="22" s="1"/>
  <c r="BC194" i="22"/>
  <c r="BB194" i="22" s="1"/>
  <c r="BC192" i="22"/>
  <c r="BB192" i="22" s="1"/>
  <c r="BC195" i="22"/>
  <c r="BB195" i="22" s="1"/>
  <c r="BC151" i="22"/>
  <c r="BB151" i="22" s="1"/>
  <c r="BC146" i="22"/>
  <c r="BB146" i="22" s="1"/>
  <c r="BC145" i="22"/>
  <c r="BB145" i="22" s="1"/>
  <c r="BC144" i="22"/>
  <c r="BB144" i="22" s="1"/>
  <c r="BC143" i="22"/>
  <c r="BB143" i="22" s="1"/>
  <c r="BC142" i="22"/>
  <c r="BB142" i="22" s="1"/>
  <c r="BC141" i="22"/>
  <c r="BB141" i="22" s="1"/>
  <c r="BC140" i="22"/>
  <c r="BB140" i="22" s="1"/>
  <c r="BC139" i="22"/>
  <c r="BB139" i="22" s="1"/>
  <c r="BC138" i="22"/>
  <c r="BB138" i="22" s="1"/>
  <c r="BC137" i="22"/>
  <c r="BB137" i="22" s="1"/>
  <c r="BC136" i="22"/>
  <c r="BB136" i="22" s="1"/>
  <c r="BC135" i="22"/>
  <c r="BB135" i="22" s="1"/>
  <c r="BC134" i="22"/>
  <c r="BB134" i="22" s="1"/>
  <c r="BC133" i="22"/>
  <c r="BB133" i="22" s="1"/>
  <c r="BC132" i="22"/>
  <c r="BB132" i="22" s="1"/>
  <c r="BC131" i="22"/>
  <c r="BB131" i="22" s="1"/>
  <c r="BC130" i="22"/>
  <c r="BB130" i="22" s="1"/>
  <c r="BC129" i="22"/>
  <c r="BB129" i="22" s="1"/>
  <c r="BC128" i="22"/>
  <c r="BB128" i="22" s="1"/>
  <c r="BC127" i="22"/>
  <c r="BB127" i="22" s="1"/>
  <c r="BC125" i="22"/>
  <c r="BB125" i="22" s="1"/>
  <c r="BC152" i="22"/>
  <c r="BB152" i="22" s="1"/>
  <c r="BC124" i="22"/>
  <c r="BB124" i="22" s="1"/>
  <c r="BC123" i="22"/>
  <c r="BB123" i="22" s="1"/>
  <c r="BC122" i="22"/>
  <c r="BB122" i="22" s="1"/>
  <c r="BC121" i="22"/>
  <c r="BB121" i="22" s="1"/>
  <c r="BC120" i="22"/>
  <c r="BB120" i="22" s="1"/>
  <c r="BC119" i="22"/>
  <c r="BB119" i="22" s="1"/>
  <c r="BC118" i="22"/>
  <c r="BB118" i="22" s="1"/>
  <c r="BC117" i="22"/>
  <c r="BB117" i="22" s="1"/>
  <c r="BC116" i="22"/>
  <c r="BB116" i="22" s="1"/>
  <c r="BC115" i="22"/>
  <c r="BB115" i="22" s="1"/>
  <c r="BC114" i="22"/>
  <c r="BB114" i="22" s="1"/>
  <c r="BC113" i="22"/>
  <c r="BB113" i="22" s="1"/>
  <c r="BC112" i="22"/>
  <c r="BB112" i="22" s="1"/>
  <c r="BC111" i="22"/>
  <c r="BB111" i="22" s="1"/>
  <c r="BC110" i="22"/>
  <c r="BB110" i="22" s="1"/>
  <c r="BC109" i="22"/>
  <c r="BB109" i="22" s="1"/>
  <c r="BC108" i="22"/>
  <c r="BB108" i="22" s="1"/>
  <c r="BC107" i="22"/>
  <c r="BB107" i="22" s="1"/>
  <c r="BC106" i="22"/>
  <c r="BB106" i="22" s="1"/>
  <c r="BC105" i="22"/>
  <c r="BB105" i="22" s="1"/>
  <c r="BC104" i="22"/>
  <c r="BB104" i="22" s="1"/>
  <c r="BC103" i="22"/>
  <c r="BB103" i="22" s="1"/>
  <c r="BC101" i="22"/>
  <c r="BB101" i="22" s="1"/>
  <c r="BC150" i="22"/>
  <c r="BB150" i="22" s="1"/>
  <c r="BC149" i="22"/>
  <c r="BB149" i="22" s="1"/>
  <c r="BC148" i="22"/>
  <c r="BB148" i="22" s="1"/>
  <c r="BC147" i="22"/>
  <c r="BB147" i="22" s="1"/>
  <c r="BC77" i="22"/>
  <c r="BB77" i="22" s="1"/>
  <c r="BC68" i="22"/>
  <c r="BB68" i="22" s="1"/>
  <c r="BC84" i="22"/>
  <c r="BB84" i="22" s="1"/>
  <c r="BC86" i="22"/>
  <c r="BB86" i="22" s="1"/>
  <c r="BC87" i="22"/>
  <c r="BB87" i="22" s="1"/>
  <c r="BC88" i="22"/>
  <c r="BB88" i="22" s="1"/>
  <c r="BC89" i="22"/>
  <c r="BB89" i="22" s="1"/>
  <c r="BC91" i="22"/>
  <c r="BB91" i="22" s="1"/>
  <c r="BC92" i="22"/>
  <c r="BB92" i="22" s="1"/>
  <c r="BC94" i="22"/>
  <c r="BB94" i="22" s="1"/>
  <c r="BC96" i="22"/>
  <c r="BB96" i="22" s="1"/>
  <c r="BC97" i="22"/>
  <c r="BB97" i="22" s="1"/>
  <c r="BC98" i="22"/>
  <c r="BB98" i="22" s="1"/>
  <c r="BC99" i="22"/>
  <c r="BB99" i="22" s="1"/>
  <c r="BC100" i="22"/>
  <c r="BB100" i="22" s="1"/>
  <c r="L46" i="22" l="1"/>
  <c r="AI16" i="22"/>
  <c r="W378" i="1"/>
  <c r="V379" i="1"/>
  <c r="EK17" i="8"/>
  <c r="GC17" i="8"/>
  <c r="CS17" i="8"/>
  <c r="BF6" i="22"/>
  <c r="BF7" i="22" s="1"/>
  <c r="CS19" i="8" s="1"/>
  <c r="AQ4" i="22"/>
  <c r="AQ5" i="22"/>
  <c r="AQ2" i="22"/>
  <c r="BZ15" i="8" s="1"/>
  <c r="AQ3" i="22"/>
  <c r="AL83" i="17"/>
  <c r="AN83" i="17"/>
  <c r="AP83" i="17" s="1"/>
  <c r="AO83" i="17" s="1"/>
  <c r="AK83" i="17" s="1"/>
  <c r="DW19" i="8"/>
  <c r="DY25" i="8" s="1"/>
  <c r="DW25" i="8"/>
  <c r="DW20" i="8"/>
  <c r="GC12" i="8"/>
  <c r="GC9" i="8"/>
  <c r="EK9" i="8"/>
  <c r="HF18" i="8"/>
  <c r="HF20" i="8" s="1"/>
  <c r="FN18" i="8"/>
  <c r="N46" i="22"/>
  <c r="BS9" i="8"/>
  <c r="I36" i="22"/>
  <c r="I37" i="22"/>
  <c r="BO59" i="22"/>
  <c r="BI59" i="22"/>
  <c r="BI66" i="22" s="1"/>
  <c r="AV124" i="22"/>
  <c r="AU124" i="22" s="1"/>
  <c r="AV120" i="22"/>
  <c r="AU120" i="22" s="1"/>
  <c r="AV116" i="22"/>
  <c r="AU116" i="22" s="1"/>
  <c r="AV112" i="22"/>
  <c r="AU112" i="22" s="1"/>
  <c r="AV108" i="22"/>
  <c r="AU108" i="22" s="1"/>
  <c r="AV104" i="22"/>
  <c r="AU104" i="22" s="1"/>
  <c r="AV100" i="22"/>
  <c r="AU100" i="22" s="1"/>
  <c r="AV96" i="22"/>
  <c r="AU96" i="22" s="1"/>
  <c r="AV92" i="22"/>
  <c r="AU92" i="22" s="1"/>
  <c r="AV88" i="22"/>
  <c r="AU88" i="22" s="1"/>
  <c r="AV84" i="22"/>
  <c r="AU84" i="22" s="1"/>
  <c r="AV101" i="22"/>
  <c r="AU101" i="22" s="1"/>
  <c r="AV304" i="22"/>
  <c r="AU304" i="22" s="1"/>
  <c r="AV300" i="22"/>
  <c r="AU300" i="22" s="1"/>
  <c r="AV296" i="22"/>
  <c r="AU296" i="22" s="1"/>
  <c r="AV292" i="22"/>
  <c r="AU292" i="22" s="1"/>
  <c r="AV288" i="22"/>
  <c r="AU288" i="22" s="1"/>
  <c r="AV284" i="22"/>
  <c r="AU284" i="22" s="1"/>
  <c r="AV280" i="22"/>
  <c r="AU280" i="22" s="1"/>
  <c r="AV276" i="22"/>
  <c r="AU276" i="22" s="1"/>
  <c r="AV272" i="22"/>
  <c r="AU272" i="22" s="1"/>
  <c r="AV268" i="22"/>
  <c r="AU268" i="22" s="1"/>
  <c r="AV264" i="22"/>
  <c r="AU264" i="22" s="1"/>
  <c r="AV260" i="22"/>
  <c r="AU260" i="22" s="1"/>
  <c r="AV256" i="22"/>
  <c r="AU256" i="22" s="1"/>
  <c r="AV252" i="22"/>
  <c r="AU252" i="22" s="1"/>
  <c r="AV248" i="22"/>
  <c r="AU248" i="22" s="1"/>
  <c r="AV244" i="22"/>
  <c r="AU244" i="22" s="1"/>
  <c r="AV240" i="22"/>
  <c r="AU240" i="22" s="1"/>
  <c r="AV236" i="22"/>
  <c r="AU236" i="22" s="1"/>
  <c r="AV232" i="22"/>
  <c r="AU232" i="22" s="1"/>
  <c r="AV228" i="22"/>
  <c r="AU228" i="22" s="1"/>
  <c r="AV224" i="22"/>
  <c r="AU224" i="22" s="1"/>
  <c r="AV220" i="22"/>
  <c r="AU220" i="22" s="1"/>
  <c r="AV216" i="22"/>
  <c r="AU216" i="22" s="1"/>
  <c r="AV212" i="22"/>
  <c r="AU212" i="22" s="1"/>
  <c r="AV208" i="22"/>
  <c r="AU208" i="22" s="1"/>
  <c r="AV204" i="22"/>
  <c r="AU204" i="22" s="1"/>
  <c r="AV200" i="22"/>
  <c r="AU200" i="22" s="1"/>
  <c r="AV196" i="22"/>
  <c r="AU196" i="22" s="1"/>
  <c r="AV192" i="22"/>
  <c r="AU192" i="22" s="1"/>
  <c r="AV188" i="22"/>
  <c r="AU188" i="22" s="1"/>
  <c r="AV184" i="22"/>
  <c r="AU184" i="22" s="1"/>
  <c r="AV180" i="22"/>
  <c r="AU180" i="22" s="1"/>
  <c r="AV176" i="22"/>
  <c r="AU176" i="22" s="1"/>
  <c r="AV172" i="22"/>
  <c r="AU172" i="22" s="1"/>
  <c r="AV168" i="22"/>
  <c r="AU168" i="22" s="1"/>
  <c r="AV164" i="22"/>
  <c r="AU164" i="22" s="1"/>
  <c r="AV160" i="22"/>
  <c r="AU160" i="22" s="1"/>
  <c r="AV156" i="22"/>
  <c r="AU156" i="22" s="1"/>
  <c r="AV152" i="22"/>
  <c r="AU152" i="22" s="1"/>
  <c r="AV148" i="22"/>
  <c r="AU148" i="22" s="1"/>
  <c r="AV144" i="22"/>
  <c r="AU144" i="22" s="1"/>
  <c r="AV140" i="22"/>
  <c r="AU140" i="22" s="1"/>
  <c r="AV136" i="22"/>
  <c r="AU136" i="22" s="1"/>
  <c r="AV132" i="22"/>
  <c r="AU132" i="22" s="1"/>
  <c r="AV128" i="22"/>
  <c r="AU128" i="22" s="1"/>
  <c r="AV79" i="22"/>
  <c r="AV75" i="22"/>
  <c r="AU75" i="22" s="1"/>
  <c r="AV71" i="22"/>
  <c r="AU71" i="22" s="1"/>
  <c r="AV67" i="22"/>
  <c r="AU67" i="22" s="1"/>
  <c r="AV117" i="22"/>
  <c r="AU117" i="22" s="1"/>
  <c r="AV81" i="22"/>
  <c r="AU81" i="22" s="1"/>
  <c r="AV123" i="22"/>
  <c r="AU123" i="22" s="1"/>
  <c r="AV119" i="22"/>
  <c r="AU119" i="22" s="1"/>
  <c r="AV115" i="22"/>
  <c r="AU115" i="22" s="1"/>
  <c r="AV111" i="22"/>
  <c r="AU111" i="22" s="1"/>
  <c r="AV107" i="22"/>
  <c r="AU107" i="22" s="1"/>
  <c r="AV103" i="22"/>
  <c r="AU103" i="22" s="1"/>
  <c r="AV99" i="22"/>
  <c r="AU99" i="22" s="1"/>
  <c r="AV95" i="22"/>
  <c r="AV91" i="22"/>
  <c r="AU91" i="22" s="1"/>
  <c r="AV87" i="22"/>
  <c r="AU87" i="22" s="1"/>
  <c r="AV83" i="22"/>
  <c r="AU83" i="22" s="1"/>
  <c r="AV97" i="22"/>
  <c r="AU97" i="22" s="1"/>
  <c r="AV303" i="22"/>
  <c r="AU303" i="22" s="1"/>
  <c r="AV295" i="22"/>
  <c r="AU295" i="22" s="1"/>
  <c r="AV291" i="22"/>
  <c r="AU291" i="22" s="1"/>
  <c r="AV287" i="22"/>
  <c r="AU287" i="22" s="1"/>
  <c r="AV283" i="22"/>
  <c r="AU283" i="22" s="1"/>
  <c r="AV279" i="22"/>
  <c r="AU279" i="22" s="1"/>
  <c r="AV275" i="22"/>
  <c r="AU275" i="22" s="1"/>
  <c r="AV271" i="22"/>
  <c r="AU271" i="22" s="1"/>
  <c r="AV267" i="22"/>
  <c r="AU267" i="22" s="1"/>
  <c r="AV263" i="22"/>
  <c r="AU263" i="22" s="1"/>
  <c r="AV259" i="22"/>
  <c r="AU259" i="22" s="1"/>
  <c r="AV255" i="22"/>
  <c r="AU255" i="22" s="1"/>
  <c r="AV251" i="22"/>
  <c r="AU251" i="22" s="1"/>
  <c r="AV247" i="22"/>
  <c r="AU247" i="22" s="1"/>
  <c r="AV243" i="22"/>
  <c r="AU243" i="22" s="1"/>
  <c r="AV239" i="22"/>
  <c r="AU239" i="22" s="1"/>
  <c r="AV235" i="22"/>
  <c r="AU235" i="22" s="1"/>
  <c r="AV231" i="22"/>
  <c r="AU231" i="22" s="1"/>
  <c r="AV227" i="22"/>
  <c r="AU227" i="22" s="1"/>
  <c r="AV223" i="22"/>
  <c r="AU223" i="22" s="1"/>
  <c r="AV219" i="22"/>
  <c r="AU219" i="22" s="1"/>
  <c r="AV215" i="22"/>
  <c r="AU215" i="22" s="1"/>
  <c r="AV211" i="22"/>
  <c r="AU211" i="22" s="1"/>
  <c r="AV207" i="22"/>
  <c r="AU207" i="22" s="1"/>
  <c r="AV203" i="22"/>
  <c r="AU203" i="22" s="1"/>
  <c r="AV199" i="22"/>
  <c r="AU199" i="22" s="1"/>
  <c r="AV195" i="22"/>
  <c r="AU195" i="22" s="1"/>
  <c r="AV191" i="22"/>
  <c r="AU191" i="22" s="1"/>
  <c r="AV187" i="22"/>
  <c r="AU187" i="22" s="1"/>
  <c r="AV183" i="22"/>
  <c r="AU183" i="22" s="1"/>
  <c r="AV179" i="22"/>
  <c r="AU179" i="22" s="1"/>
  <c r="AV175" i="22"/>
  <c r="AU175" i="22" s="1"/>
  <c r="AV171" i="22"/>
  <c r="AU171" i="22" s="1"/>
  <c r="AV167" i="22"/>
  <c r="AU167" i="22" s="1"/>
  <c r="AV163" i="22"/>
  <c r="AU163" i="22" s="1"/>
  <c r="AV159" i="22"/>
  <c r="AU159" i="22" s="1"/>
  <c r="AV155" i="22"/>
  <c r="AU155" i="22" s="1"/>
  <c r="AV151" i="22"/>
  <c r="AU151" i="22" s="1"/>
  <c r="AV147" i="22"/>
  <c r="AU147" i="22" s="1"/>
  <c r="AV143" i="22"/>
  <c r="AU143" i="22" s="1"/>
  <c r="AV139" i="22"/>
  <c r="AU139" i="22" s="1"/>
  <c r="AV135" i="22"/>
  <c r="AU135" i="22" s="1"/>
  <c r="AV131" i="22"/>
  <c r="AU131" i="22" s="1"/>
  <c r="AV127" i="22"/>
  <c r="AU127" i="22" s="1"/>
  <c r="AV78" i="22"/>
  <c r="AV113" i="22"/>
  <c r="AU113" i="22" s="1"/>
  <c r="AV122" i="22"/>
  <c r="AU122" i="22" s="1"/>
  <c r="AV118" i="22"/>
  <c r="AU118" i="22" s="1"/>
  <c r="AV114" i="22"/>
  <c r="AU114" i="22" s="1"/>
  <c r="AV110" i="22"/>
  <c r="AU110" i="22" s="1"/>
  <c r="AV106" i="22"/>
  <c r="AU106" i="22" s="1"/>
  <c r="AV102" i="22"/>
  <c r="AV98" i="22"/>
  <c r="AU98" i="22" s="1"/>
  <c r="AV94" i="22"/>
  <c r="AU94" i="22" s="1"/>
  <c r="AV90" i="22"/>
  <c r="AV86" i="22"/>
  <c r="AU86" i="22" s="1"/>
  <c r="AV82" i="22"/>
  <c r="AU82" i="22" s="1"/>
  <c r="AV125" i="22"/>
  <c r="AU125" i="22" s="1"/>
  <c r="AV105" i="22"/>
  <c r="AU105" i="22" s="1"/>
  <c r="AV89" i="22"/>
  <c r="AU89" i="22" s="1"/>
  <c r="AV302" i="22"/>
  <c r="AU302" i="22" s="1"/>
  <c r="AV298" i="22"/>
  <c r="AU298" i="22" s="1"/>
  <c r="AV294" i="22"/>
  <c r="AU294" i="22" s="1"/>
  <c r="AV290" i="22"/>
  <c r="AU290" i="22" s="1"/>
  <c r="AV286" i="22"/>
  <c r="AU286" i="22" s="1"/>
  <c r="AV282" i="22"/>
  <c r="AU282" i="22" s="1"/>
  <c r="AV278" i="22"/>
  <c r="AU278" i="22" s="1"/>
  <c r="AV274" i="22"/>
  <c r="AU274" i="22" s="1"/>
  <c r="AV270" i="22"/>
  <c r="AU270" i="22" s="1"/>
  <c r="AV266" i="22"/>
  <c r="AU266" i="22" s="1"/>
  <c r="AV262" i="22"/>
  <c r="AU262" i="22" s="1"/>
  <c r="AV258" i="22"/>
  <c r="AU258" i="22" s="1"/>
  <c r="AV254" i="22"/>
  <c r="AU254" i="22" s="1"/>
  <c r="AV250" i="22"/>
  <c r="AU250" i="22" s="1"/>
  <c r="AV246" i="22"/>
  <c r="AU246" i="22" s="1"/>
  <c r="AV242" i="22"/>
  <c r="AU242" i="22" s="1"/>
  <c r="AV238" i="22"/>
  <c r="AU238" i="22" s="1"/>
  <c r="AV234" i="22"/>
  <c r="AU234" i="22" s="1"/>
  <c r="AV230" i="22"/>
  <c r="AU230" i="22" s="1"/>
  <c r="AV226" i="22"/>
  <c r="AU226" i="22" s="1"/>
  <c r="AV222" i="22"/>
  <c r="AU222" i="22" s="1"/>
  <c r="AV218" i="22"/>
  <c r="AU218" i="22" s="1"/>
  <c r="AV214" i="22"/>
  <c r="AU214" i="22" s="1"/>
  <c r="AV210" i="22"/>
  <c r="AU210" i="22" s="1"/>
  <c r="AV206" i="22"/>
  <c r="AU206" i="22" s="1"/>
  <c r="AV202" i="22"/>
  <c r="AU202" i="22" s="1"/>
  <c r="AV198" i="22"/>
  <c r="AU198" i="22" s="1"/>
  <c r="AV194" i="22"/>
  <c r="AU194" i="22" s="1"/>
  <c r="AV190" i="22"/>
  <c r="AU190" i="22" s="1"/>
  <c r="AV186" i="22"/>
  <c r="AU186" i="22" s="1"/>
  <c r="AV182" i="22"/>
  <c r="AU182" i="22" s="1"/>
  <c r="AV178" i="22"/>
  <c r="AU178" i="22" s="1"/>
  <c r="AV174" i="22"/>
  <c r="AU174" i="22" s="1"/>
  <c r="AV170" i="22"/>
  <c r="AU170" i="22" s="1"/>
  <c r="AV166" i="22"/>
  <c r="AU166" i="22" s="1"/>
  <c r="AV162" i="22"/>
  <c r="AU162" i="22" s="1"/>
  <c r="AV158" i="22"/>
  <c r="AU158" i="22" s="1"/>
  <c r="AV154" i="22"/>
  <c r="AU154" i="22" s="1"/>
  <c r="AV150" i="22"/>
  <c r="AU150" i="22" s="1"/>
  <c r="AV146" i="22"/>
  <c r="AU146" i="22" s="1"/>
  <c r="AV142" i="22"/>
  <c r="AU142" i="22" s="1"/>
  <c r="AV138" i="22"/>
  <c r="AU138" i="22" s="1"/>
  <c r="AV134" i="22"/>
  <c r="AU134" i="22" s="1"/>
  <c r="AV130" i="22"/>
  <c r="AU130" i="22" s="1"/>
  <c r="AV77" i="22"/>
  <c r="AU77" i="22" s="1"/>
  <c r="AV73" i="22"/>
  <c r="AV121" i="22"/>
  <c r="AU121" i="22" s="1"/>
  <c r="AV85" i="22"/>
  <c r="AV305" i="22"/>
  <c r="AU305" i="22" s="1"/>
  <c r="AV301" i="22"/>
  <c r="AU301" i="22" s="1"/>
  <c r="AV297" i="22"/>
  <c r="AU297" i="22" s="1"/>
  <c r="AV293" i="22"/>
  <c r="AU293" i="22" s="1"/>
  <c r="AV289" i="22"/>
  <c r="AU289" i="22" s="1"/>
  <c r="AV285" i="22"/>
  <c r="AU285" i="22" s="1"/>
  <c r="AV281" i="22"/>
  <c r="AU281" i="22" s="1"/>
  <c r="AV277" i="22"/>
  <c r="AU277" i="22" s="1"/>
  <c r="AV273" i="22"/>
  <c r="AU273" i="22" s="1"/>
  <c r="AV269" i="22"/>
  <c r="AU269" i="22" s="1"/>
  <c r="AV265" i="22"/>
  <c r="AU265" i="22" s="1"/>
  <c r="AV261" i="22"/>
  <c r="AU261" i="22" s="1"/>
  <c r="AV257" i="22"/>
  <c r="AU257" i="22" s="1"/>
  <c r="AV253" i="22"/>
  <c r="AU253" i="22" s="1"/>
  <c r="AV249" i="22"/>
  <c r="AU249" i="22" s="1"/>
  <c r="AV245" i="22"/>
  <c r="AU245" i="22" s="1"/>
  <c r="AV241" i="22"/>
  <c r="AU241" i="22" s="1"/>
  <c r="AV237" i="22"/>
  <c r="AU237" i="22" s="1"/>
  <c r="AV233" i="22"/>
  <c r="AU233" i="22" s="1"/>
  <c r="AV229" i="22"/>
  <c r="AU229" i="22" s="1"/>
  <c r="AV225" i="22"/>
  <c r="AU225" i="22" s="1"/>
  <c r="AV221" i="22"/>
  <c r="AU221" i="22" s="1"/>
  <c r="AV217" i="22"/>
  <c r="AU217" i="22" s="1"/>
  <c r="AV213" i="22"/>
  <c r="AU213" i="22" s="1"/>
  <c r="AV209" i="22"/>
  <c r="AU209" i="22" s="1"/>
  <c r="AV205" i="22"/>
  <c r="AU205" i="22" s="1"/>
  <c r="AV201" i="22"/>
  <c r="AU201" i="22" s="1"/>
  <c r="AV197" i="22"/>
  <c r="AU197" i="22" s="1"/>
  <c r="AV193" i="22"/>
  <c r="AU193" i="22" s="1"/>
  <c r="AV189" i="22"/>
  <c r="AU189" i="22" s="1"/>
  <c r="AV185" i="22"/>
  <c r="AU185" i="22" s="1"/>
  <c r="AV181" i="22"/>
  <c r="AU181" i="22" s="1"/>
  <c r="AV177" i="22"/>
  <c r="AU177" i="22" s="1"/>
  <c r="AV173" i="22"/>
  <c r="AU173" i="22" s="1"/>
  <c r="AV169" i="22"/>
  <c r="AU169" i="22" s="1"/>
  <c r="AV165" i="22"/>
  <c r="AU165" i="22" s="1"/>
  <c r="AV161" i="22"/>
  <c r="AU161" i="22" s="1"/>
  <c r="AV157" i="22"/>
  <c r="AU157" i="22" s="1"/>
  <c r="AV153" i="22"/>
  <c r="AU153" i="22" s="1"/>
  <c r="AV149" i="22"/>
  <c r="AU149" i="22" s="1"/>
  <c r="AV145" i="22"/>
  <c r="AU145" i="22" s="1"/>
  <c r="AV141" i="22"/>
  <c r="AU141" i="22" s="1"/>
  <c r="AV137" i="22"/>
  <c r="AU137" i="22" s="1"/>
  <c r="AV133" i="22"/>
  <c r="AU133" i="22" s="1"/>
  <c r="AV129" i="22"/>
  <c r="AU129" i="22" s="1"/>
  <c r="AV76" i="22"/>
  <c r="AU76" i="22" s="1"/>
  <c r="AV72" i="22"/>
  <c r="AU72" i="22" s="1"/>
  <c r="AV68" i="22"/>
  <c r="AU68" i="22" s="1"/>
  <c r="AV109" i="22"/>
  <c r="AU109" i="22" s="1"/>
  <c r="AV93" i="22"/>
  <c r="AJ69" i="22"/>
  <c r="AK69" i="22" s="1"/>
  <c r="A69" i="22"/>
  <c r="F49" i="22"/>
  <c r="V380" i="1" l="1"/>
  <c r="W379" i="1"/>
  <c r="BF2" i="22"/>
  <c r="GC19" i="8"/>
  <c r="EK19" i="8"/>
  <c r="EK18" i="8"/>
  <c r="GC18" i="8"/>
  <c r="CS18" i="8"/>
  <c r="AI83" i="17"/>
  <c r="AH28" i="20"/>
  <c r="AF28" i="20" s="1"/>
  <c r="AQ83" i="17"/>
  <c r="DX25" i="8"/>
  <c r="DZ25" i="8" s="1"/>
  <c r="DW26" i="8" s="1"/>
  <c r="HF25" i="8"/>
  <c r="FN25" i="8"/>
  <c r="BO66" i="22"/>
  <c r="BP66" i="22" s="1"/>
  <c r="BR66" i="22" s="1"/>
  <c r="BO61" i="22"/>
  <c r="EK12" i="8"/>
  <c r="FN19" i="8"/>
  <c r="FP25" i="8" s="1"/>
  <c r="HF19" i="8"/>
  <c r="HH25" i="8" s="1"/>
  <c r="BS12" i="8"/>
  <c r="FN20" i="8"/>
  <c r="BI61" i="22"/>
  <c r="EK11" i="8"/>
  <c r="GC11" i="8"/>
  <c r="BS11" i="8"/>
  <c r="BI60" i="22"/>
  <c r="BK66" i="22" s="1"/>
  <c r="BJ66" i="22" s="1"/>
  <c r="F50" i="22"/>
  <c r="F51" i="22" s="1"/>
  <c r="F52" i="22" s="1"/>
  <c r="N48" i="22"/>
  <c r="O125" i="22" s="1"/>
  <c r="A70" i="22"/>
  <c r="AJ70" i="22"/>
  <c r="AK70" i="22" s="1"/>
  <c r="W380" i="1" l="1"/>
  <c r="V381" i="1"/>
  <c r="AN84" i="17"/>
  <c r="AP84" i="17" s="1"/>
  <c r="AO84" i="17" s="1"/>
  <c r="AK84" i="17" s="1"/>
  <c r="AL84" i="17"/>
  <c r="DU25" i="8"/>
  <c r="DS25" i="8" s="1"/>
  <c r="GK84" i="8"/>
  <c r="O367" i="22"/>
  <c r="C381" i="22" s="1"/>
  <c r="BO67" i="22"/>
  <c r="BQ67" i="22" s="1"/>
  <c r="BP67" i="22" s="1"/>
  <c r="BR67" i="22" s="1"/>
  <c r="BO68" i="22" s="1"/>
  <c r="BN67" i="22"/>
  <c r="DY26" i="8"/>
  <c r="DX26" i="8" s="1"/>
  <c r="DV26" i="8"/>
  <c r="HG25" i="8"/>
  <c r="FO25" i="8"/>
  <c r="BL66" i="22"/>
  <c r="BG66" i="22"/>
  <c r="BD66" i="22" s="1"/>
  <c r="A71" i="22"/>
  <c r="AJ71" i="22"/>
  <c r="AK71" i="22" s="1"/>
  <c r="E10" i="4"/>
  <c r="V382" i="1" l="1"/>
  <c r="W381" i="1"/>
  <c r="AI84" i="17"/>
  <c r="AH29" i="20"/>
  <c r="AF29" i="20" s="1"/>
  <c r="AQ84" i="17"/>
  <c r="E13" i="4"/>
  <c r="BN68" i="22"/>
  <c r="BQ68" i="22"/>
  <c r="BP68" i="22" s="1"/>
  <c r="BR68" i="22" s="1"/>
  <c r="BO69" i="22" s="1"/>
  <c r="BI67" i="22"/>
  <c r="BK67" i="22" s="1"/>
  <c r="BJ67" i="22" s="1"/>
  <c r="BG67" i="22" s="1"/>
  <c r="BD67" i="22" s="1"/>
  <c r="DU26" i="8"/>
  <c r="DS26" i="8" s="1"/>
  <c r="DZ26" i="8"/>
  <c r="DW27" i="8" s="1"/>
  <c r="FL25" i="8"/>
  <c r="FJ25" i="8" s="1"/>
  <c r="FQ25" i="8"/>
  <c r="FN26" i="8" s="1"/>
  <c r="HD25" i="8"/>
  <c r="HB25" i="8" s="1"/>
  <c r="HI25" i="8"/>
  <c r="HF26" i="8" s="1"/>
  <c r="BH67" i="22"/>
  <c r="AJ72" i="22"/>
  <c r="AK72" i="22" s="1"/>
  <c r="A72" i="22"/>
  <c r="B61" i="2"/>
  <c r="B62" i="2" s="1"/>
  <c r="E88" i="2" s="1"/>
  <c r="W382" i="1" l="1"/>
  <c r="V383" i="1"/>
  <c r="AN85" i="17"/>
  <c r="AP85" i="17" s="1"/>
  <c r="AO85" i="17" s="1"/>
  <c r="AK85" i="17" s="1"/>
  <c r="AL85" i="17"/>
  <c r="BN69" i="22"/>
  <c r="BQ69" i="22"/>
  <c r="BP69" i="22" s="1"/>
  <c r="BR69" i="22" s="1"/>
  <c r="BO70" i="22" s="1"/>
  <c r="BL67" i="22"/>
  <c r="BI68" i="22" s="1"/>
  <c r="BK68" i="22" s="1"/>
  <c r="BJ68" i="22" s="1"/>
  <c r="BG68" i="22" s="1"/>
  <c r="BD68" i="22" s="1"/>
  <c r="DV27" i="8"/>
  <c r="DY27" i="8"/>
  <c r="DX27" i="8" s="1"/>
  <c r="DU27" i="8" s="1"/>
  <c r="DS27" i="8" s="1"/>
  <c r="HH26" i="8"/>
  <c r="HG26" i="8" s="1"/>
  <c r="HD26" i="8" s="1"/>
  <c r="HB26" i="8" s="1"/>
  <c r="HE26" i="8"/>
  <c r="FM26" i="8"/>
  <c r="FP26" i="8"/>
  <c r="FO26" i="8" s="1"/>
  <c r="FL26" i="8" s="1"/>
  <c r="FJ26" i="8" s="1"/>
  <c r="A73" i="22"/>
  <c r="AJ73" i="22"/>
  <c r="AK73" i="22" s="1"/>
  <c r="V384" i="1" l="1"/>
  <c r="W383" i="1"/>
  <c r="AI85" i="17"/>
  <c r="AH30" i="20"/>
  <c r="AF30" i="20" s="1"/>
  <c r="AQ85" i="17"/>
  <c r="BH68" i="22"/>
  <c r="BN70" i="22"/>
  <c r="BQ70" i="22"/>
  <c r="BP70" i="22" s="1"/>
  <c r="BR70" i="22" s="1"/>
  <c r="BO71" i="22" s="1"/>
  <c r="BL68" i="22"/>
  <c r="BI69" i="22" s="1"/>
  <c r="DZ27" i="8"/>
  <c r="HI26" i="8"/>
  <c r="FQ26" i="8"/>
  <c r="A74" i="22"/>
  <c r="AJ74" i="22"/>
  <c r="AK74" i="22" s="1"/>
  <c r="W384" i="1" l="1"/>
  <c r="V385" i="1"/>
  <c r="AN86" i="17"/>
  <c r="AP86" i="17" s="1"/>
  <c r="AO86" i="17" s="1"/>
  <c r="AK86" i="17" s="1"/>
  <c r="AL86" i="17"/>
  <c r="HF27" i="8"/>
  <c r="HH27" i="8" s="1"/>
  <c r="HG27" i="8" s="1"/>
  <c r="FM27" i="8"/>
  <c r="FN27" i="8"/>
  <c r="FP27" i="8" s="1"/>
  <c r="FO27" i="8" s="1"/>
  <c r="FL27" i="8" s="1"/>
  <c r="FJ27" i="8" s="1"/>
  <c r="DW28" i="8"/>
  <c r="DY28" i="8" s="1"/>
  <c r="DX28" i="8" s="1"/>
  <c r="BN71" i="22"/>
  <c r="BQ71" i="22"/>
  <c r="BP71" i="22" s="1"/>
  <c r="BR71" i="22" s="1"/>
  <c r="BO72" i="22" s="1"/>
  <c r="BK69" i="22"/>
  <c r="BJ69" i="22" s="1"/>
  <c r="BG69" i="22" s="1"/>
  <c r="BD69" i="22" s="1"/>
  <c r="BH69" i="22"/>
  <c r="DV28" i="8"/>
  <c r="HE27" i="8"/>
  <c r="AJ75" i="22"/>
  <c r="AK75" i="22" s="1"/>
  <c r="A75" i="22"/>
  <c r="W385" i="1" l="1"/>
  <c r="V386" i="1"/>
  <c r="AI86" i="17"/>
  <c r="AH31" i="20"/>
  <c r="AF31" i="20" s="1"/>
  <c r="AQ86" i="17"/>
  <c r="HI27" i="8"/>
  <c r="HE28" i="8" s="1"/>
  <c r="HD27" i="8"/>
  <c r="HB27" i="8" s="1"/>
  <c r="DU28" i="8"/>
  <c r="DS28" i="8" s="1"/>
  <c r="DZ28" i="8"/>
  <c r="DV29" i="8" s="1"/>
  <c r="BQ72" i="22"/>
  <c r="BP72" i="22" s="1"/>
  <c r="BR72" i="22" s="1"/>
  <c r="BO73" i="22" s="1"/>
  <c r="BN72" i="22"/>
  <c r="BL69" i="22"/>
  <c r="BI70" i="22" s="1"/>
  <c r="FQ27" i="8"/>
  <c r="A76" i="22"/>
  <c r="AJ76" i="22"/>
  <c r="AK76" i="22" s="1"/>
  <c r="W386" i="1" l="1"/>
  <c r="V387" i="1"/>
  <c r="W387" i="1" s="1"/>
  <c r="AN87" i="17"/>
  <c r="AP87" i="17" s="1"/>
  <c r="AO87" i="17" s="1"/>
  <c r="AK87" i="17" s="1"/>
  <c r="AL87" i="17"/>
  <c r="HF28" i="8"/>
  <c r="HH28" i="8" s="1"/>
  <c r="HG28" i="8" s="1"/>
  <c r="FN28" i="8"/>
  <c r="FP28" i="8" s="1"/>
  <c r="FO28" i="8" s="1"/>
  <c r="DW29" i="8"/>
  <c r="DY29" i="8" s="1"/>
  <c r="DX29" i="8" s="1"/>
  <c r="BN73" i="22"/>
  <c r="BQ73" i="22"/>
  <c r="BP73" i="22" s="1"/>
  <c r="BR73" i="22" s="1"/>
  <c r="BO74" i="22" s="1"/>
  <c r="BK70" i="22"/>
  <c r="BJ70" i="22" s="1"/>
  <c r="BG70" i="22" s="1"/>
  <c r="BD70" i="22" s="1"/>
  <c r="BH70" i="22"/>
  <c r="FM28" i="8"/>
  <c r="A77" i="22"/>
  <c r="AJ77" i="22"/>
  <c r="AK77" i="22" s="1"/>
  <c r="AI87" i="17" l="1"/>
  <c r="AH32" i="20"/>
  <c r="AF32" i="20" s="1"/>
  <c r="AQ87" i="17"/>
  <c r="HD28" i="8"/>
  <c r="HB28" i="8" s="1"/>
  <c r="HI28" i="8"/>
  <c r="FL28" i="8"/>
  <c r="FJ28" i="8" s="1"/>
  <c r="FQ28" i="8"/>
  <c r="FN29" i="8" s="1"/>
  <c r="FP29" i="8" s="1"/>
  <c r="FO29" i="8" s="1"/>
  <c r="FL29" i="8" s="1"/>
  <c r="FJ29" i="8" s="1"/>
  <c r="DU29" i="8"/>
  <c r="DS29" i="8" s="1"/>
  <c r="DZ29" i="8"/>
  <c r="BN74" i="22"/>
  <c r="BQ74" i="22"/>
  <c r="BP74" i="22" s="1"/>
  <c r="BR74" i="22" s="1"/>
  <c r="BO75" i="22" s="1"/>
  <c r="BL70" i="22"/>
  <c r="BI71" i="22" s="1"/>
  <c r="BK71" i="22" s="1"/>
  <c r="BJ71" i="22" s="1"/>
  <c r="BG71" i="22" s="1"/>
  <c r="BD71" i="22" s="1"/>
  <c r="A78" i="22"/>
  <c r="AJ78" i="22"/>
  <c r="AK78" i="22" s="1"/>
  <c r="AL88" i="17" l="1"/>
  <c r="AN88" i="17"/>
  <c r="AP88" i="17" s="1"/>
  <c r="AO88" i="17" s="1"/>
  <c r="AK88" i="17" s="1"/>
  <c r="FM29" i="8"/>
  <c r="HF29" i="8"/>
  <c r="HH29" i="8" s="1"/>
  <c r="HG29" i="8" s="1"/>
  <c r="HD29" i="8" s="1"/>
  <c r="HB29" i="8" s="1"/>
  <c r="HE29" i="8"/>
  <c r="DW30" i="8"/>
  <c r="DY30" i="8" s="1"/>
  <c r="DX30" i="8" s="1"/>
  <c r="DV30" i="8"/>
  <c r="BN75" i="22"/>
  <c r="BQ75" i="22"/>
  <c r="BP75" i="22" s="1"/>
  <c r="BR75" i="22" s="1"/>
  <c r="BO76" i="22" s="1"/>
  <c r="BH71" i="22"/>
  <c r="FQ29" i="8"/>
  <c r="FN30" i="8" s="1"/>
  <c r="BL71" i="22"/>
  <c r="BI72" i="22" s="1"/>
  <c r="AJ79" i="22"/>
  <c r="AK79" i="22" s="1"/>
  <c r="A79" i="22"/>
  <c r="AI88" i="17" l="1"/>
  <c r="AH33" i="20"/>
  <c r="AF33" i="20" s="1"/>
  <c r="AQ88" i="17"/>
  <c r="HI29" i="8"/>
  <c r="DU30" i="8"/>
  <c r="DS30" i="8" s="1"/>
  <c r="DZ30" i="8"/>
  <c r="BN76" i="22"/>
  <c r="BQ76" i="22"/>
  <c r="BP76" i="22" s="1"/>
  <c r="BR76" i="22" s="1"/>
  <c r="BO77" i="22" s="1"/>
  <c r="AV69" i="22"/>
  <c r="FP30" i="8"/>
  <c r="FO30" i="8" s="1"/>
  <c r="FL30" i="8" s="1"/>
  <c r="FJ30" i="8" s="1"/>
  <c r="FM30" i="8"/>
  <c r="BK72" i="22"/>
  <c r="BJ72" i="22" s="1"/>
  <c r="BG72" i="22" s="1"/>
  <c r="BD72" i="22" s="1"/>
  <c r="BH72" i="22"/>
  <c r="A80" i="22"/>
  <c r="AJ80" i="22"/>
  <c r="AK80" i="22" s="1"/>
  <c r="AL89" i="17" l="1"/>
  <c r="AN89" i="17"/>
  <c r="AP89" i="17" s="1"/>
  <c r="AO89" i="17" s="1"/>
  <c r="AK89" i="17" s="1"/>
  <c r="HF30" i="8"/>
  <c r="HH30" i="8" s="1"/>
  <c r="HG30" i="8" s="1"/>
  <c r="HE30" i="8"/>
  <c r="DW31" i="8"/>
  <c r="DY31" i="8" s="1"/>
  <c r="DX31" i="8" s="1"/>
  <c r="DV31" i="8"/>
  <c r="BN77" i="22"/>
  <c r="BQ77" i="22"/>
  <c r="BP77" i="22" s="1"/>
  <c r="BR77" i="22" s="1"/>
  <c r="BO78" i="22" s="1"/>
  <c r="BC69" i="22"/>
  <c r="BB69" i="22" s="1"/>
  <c r="AU69" i="22" s="1"/>
  <c r="FQ30" i="8"/>
  <c r="BL72" i="22"/>
  <c r="AJ81" i="22"/>
  <c r="AK81" i="22" s="1"/>
  <c r="A81" i="22"/>
  <c r="V4" i="4"/>
  <c r="AI89" i="17" l="1"/>
  <c r="AH34" i="20"/>
  <c r="AF34" i="20" s="1"/>
  <c r="AQ89" i="17"/>
  <c r="HD30" i="8"/>
  <c r="HB30" i="8" s="1"/>
  <c r="HI30" i="8"/>
  <c r="FM31" i="8"/>
  <c r="FN31" i="8"/>
  <c r="FP31" i="8" s="1"/>
  <c r="FO31" i="8" s="1"/>
  <c r="FL31" i="8" s="1"/>
  <c r="FJ31" i="8" s="1"/>
  <c r="DU31" i="8"/>
  <c r="DS31" i="8" s="1"/>
  <c r="DZ31" i="8"/>
  <c r="BQ78" i="22"/>
  <c r="BP78" i="22" s="1"/>
  <c r="BR78" i="22" s="1"/>
  <c r="BO79" i="22" s="1"/>
  <c r="BN78" i="22"/>
  <c r="BI73" i="22"/>
  <c r="BK73" i="22" s="1"/>
  <c r="BJ73" i="22" s="1"/>
  <c r="BH73" i="22"/>
  <c r="A82" i="22"/>
  <c r="AJ82" i="22"/>
  <c r="AK82" i="22" s="1"/>
  <c r="BD23" i="4"/>
  <c r="AL90" i="17" l="1"/>
  <c r="AN90" i="17"/>
  <c r="AP90" i="17" s="1"/>
  <c r="AO90" i="17" s="1"/>
  <c r="AK90" i="17" s="1"/>
  <c r="C269" i="20"/>
  <c r="BN79" i="22"/>
  <c r="HF31" i="8"/>
  <c r="HH31" i="8" s="1"/>
  <c r="HG31" i="8" s="1"/>
  <c r="HE31" i="8"/>
  <c r="DW32" i="8"/>
  <c r="DY32" i="8" s="1"/>
  <c r="DX32" i="8" s="1"/>
  <c r="DV32" i="8"/>
  <c r="BQ79" i="22"/>
  <c r="BP79" i="22" s="1"/>
  <c r="BR79" i="22" s="1"/>
  <c r="BO80" i="22" s="1"/>
  <c r="BG73" i="22"/>
  <c r="BD73" i="22" s="1"/>
  <c r="BL73" i="22"/>
  <c r="BI74" i="22" s="1"/>
  <c r="AS8" i="4"/>
  <c r="AS7" i="4"/>
  <c r="FQ31" i="8"/>
  <c r="AJ83" i="22"/>
  <c r="AK83" i="22" s="1"/>
  <c r="A83" i="22"/>
  <c r="AI90" i="17" l="1"/>
  <c r="AH35" i="20"/>
  <c r="AF35" i="20" s="1"/>
  <c r="AQ90" i="17"/>
  <c r="HD31" i="8"/>
  <c r="HB31" i="8" s="1"/>
  <c r="HI31" i="8"/>
  <c r="FN32" i="8"/>
  <c r="FP32" i="8" s="1"/>
  <c r="FO32" i="8" s="1"/>
  <c r="FL32" i="8" s="1"/>
  <c r="FJ32" i="8" s="1"/>
  <c r="DU32" i="8"/>
  <c r="DS32" i="8" s="1"/>
  <c r="DZ32" i="8"/>
  <c r="BN80" i="22"/>
  <c r="BH74" i="22"/>
  <c r="BQ80" i="22"/>
  <c r="BP80" i="22" s="1"/>
  <c r="BR80" i="22" s="1"/>
  <c r="BO81" i="22" s="1"/>
  <c r="BK74" i="22"/>
  <c r="BJ74" i="22" s="1"/>
  <c r="BG74" i="22" s="1"/>
  <c r="BD74" i="22" s="1"/>
  <c r="FM32" i="8"/>
  <c r="A84" i="22"/>
  <c r="AJ84" i="22"/>
  <c r="AK84" i="22" s="1"/>
  <c r="JB25" i="8"/>
  <c r="JB26" i="8" s="1"/>
  <c r="IT23" i="8"/>
  <c r="IS23" i="8"/>
  <c r="IT18" i="8"/>
  <c r="IW1" i="8"/>
  <c r="IL24" i="8" s="1"/>
  <c r="IL25" i="8" s="1"/>
  <c r="IL26" i="8" s="1"/>
  <c r="IL27" i="8" s="1"/>
  <c r="IL28" i="8" s="1"/>
  <c r="IL29" i="8" s="1"/>
  <c r="IL30" i="8" s="1"/>
  <c r="IL31" i="8" s="1"/>
  <c r="IL32" i="8" s="1"/>
  <c r="IL33" i="8" s="1"/>
  <c r="IL34" i="8" s="1"/>
  <c r="IL35" i="8" s="1"/>
  <c r="IL36" i="8" s="1"/>
  <c r="IL37" i="8" s="1"/>
  <c r="IL38" i="8" s="1"/>
  <c r="IL39" i="8" s="1"/>
  <c r="IL40" i="8" s="1"/>
  <c r="IL41" i="8" s="1"/>
  <c r="IL42" i="8" s="1"/>
  <c r="IL43" i="8" s="1"/>
  <c r="IL44" i="8" s="1"/>
  <c r="IL45" i="8" s="1"/>
  <c r="IL46" i="8" s="1"/>
  <c r="IL47" i="8" s="1"/>
  <c r="IL48" i="8" s="1"/>
  <c r="IL49" i="8" s="1"/>
  <c r="IL50" i="8" s="1"/>
  <c r="IL51" i="8" s="1"/>
  <c r="IL52" i="8" s="1"/>
  <c r="IL53" i="8" s="1"/>
  <c r="IL54" i="8" s="1"/>
  <c r="IL55" i="8" s="1"/>
  <c r="IL56" i="8" s="1"/>
  <c r="IL57" i="8" s="1"/>
  <c r="IL58" i="8" s="1"/>
  <c r="IL59" i="8" s="1"/>
  <c r="IL60" i="8" s="1"/>
  <c r="IL61" i="8" s="1"/>
  <c r="IL62" i="8" s="1"/>
  <c r="IL63" i="8" s="1"/>
  <c r="IL64" i="8" s="1"/>
  <c r="IL65" i="8" s="1"/>
  <c r="IL66" i="8" s="1"/>
  <c r="IL67" i="8" s="1"/>
  <c r="IL68" i="8" s="1"/>
  <c r="IL69" i="8" s="1"/>
  <c r="IL70" i="8" s="1"/>
  <c r="IL71" i="8" s="1"/>
  <c r="IL72" i="8" s="1"/>
  <c r="IL73" i="8" s="1"/>
  <c r="IL74" i="8" s="1"/>
  <c r="IL75" i="8" s="1"/>
  <c r="IL76" i="8" s="1"/>
  <c r="IL77" i="8" s="1"/>
  <c r="IL78" i="8" s="1"/>
  <c r="IL79" i="8" s="1"/>
  <c r="IL80" i="8" s="1"/>
  <c r="IL81" i="8" s="1"/>
  <c r="IL82" i="8" s="1"/>
  <c r="IL83" i="8" s="1"/>
  <c r="IL84" i="8" s="1"/>
  <c r="IL85" i="8" s="1"/>
  <c r="IL86" i="8" s="1"/>
  <c r="IL87" i="8" s="1"/>
  <c r="IL88" i="8" s="1"/>
  <c r="IL89" i="8" s="1"/>
  <c r="IL90" i="8" s="1"/>
  <c r="IL91" i="8" s="1"/>
  <c r="IL92" i="8" s="1"/>
  <c r="IL93" i="8" s="1"/>
  <c r="IL94" i="8" s="1"/>
  <c r="IL95" i="8" s="1"/>
  <c r="IL96" i="8" s="1"/>
  <c r="IL97" i="8" s="1"/>
  <c r="IL98" i="8" s="1"/>
  <c r="IL99" i="8" s="1"/>
  <c r="IL100" i="8" s="1"/>
  <c r="IL101" i="8" s="1"/>
  <c r="IL102" i="8" s="1"/>
  <c r="IL103" i="8" s="1"/>
  <c r="IL104" i="8" s="1"/>
  <c r="IL105" i="8" s="1"/>
  <c r="IL106" i="8" s="1"/>
  <c r="IL107" i="8" s="1"/>
  <c r="IL108" i="8" s="1"/>
  <c r="IL109" i="8" s="1"/>
  <c r="IL110" i="8" s="1"/>
  <c r="IL111" i="8" s="1"/>
  <c r="IL112" i="8" s="1"/>
  <c r="IL113" i="8" s="1"/>
  <c r="IL114" i="8" s="1"/>
  <c r="IL115" i="8" s="1"/>
  <c r="IL116" i="8" s="1"/>
  <c r="IL117" i="8" s="1"/>
  <c r="IL118" i="8" s="1"/>
  <c r="IL119" i="8" s="1"/>
  <c r="IL120" i="8" s="1"/>
  <c r="IL121" i="8" s="1"/>
  <c r="IL122" i="8" s="1"/>
  <c r="IL123" i="8" s="1"/>
  <c r="IL124" i="8" s="1"/>
  <c r="IL125" i="8" s="1"/>
  <c r="IL126" i="8" s="1"/>
  <c r="IL127" i="8" s="1"/>
  <c r="IL128" i="8" s="1"/>
  <c r="IL129" i="8" s="1"/>
  <c r="IL130" i="8" s="1"/>
  <c r="IL131" i="8" s="1"/>
  <c r="IL132" i="8" s="1"/>
  <c r="IL133" i="8" s="1"/>
  <c r="IL134" i="8" s="1"/>
  <c r="IL135" i="8" s="1"/>
  <c r="IL136" i="8" s="1"/>
  <c r="IL137" i="8" s="1"/>
  <c r="IL138" i="8" s="1"/>
  <c r="IL139" i="8" s="1"/>
  <c r="IL140" i="8" s="1"/>
  <c r="IL141" i="8" s="1"/>
  <c r="IL142" i="8" s="1"/>
  <c r="IL143" i="8" s="1"/>
  <c r="IL144" i="8" s="1"/>
  <c r="IL145" i="8" s="1"/>
  <c r="IL146" i="8" s="1"/>
  <c r="IL147" i="8" s="1"/>
  <c r="IL148" i="8" s="1"/>
  <c r="IL149" i="8" s="1"/>
  <c r="IL150" i="8" s="1"/>
  <c r="IL151" i="8" s="1"/>
  <c r="IL152" i="8" s="1"/>
  <c r="IL153" i="8" s="1"/>
  <c r="IL154" i="8" s="1"/>
  <c r="IL155" i="8" s="1"/>
  <c r="IL156" i="8" s="1"/>
  <c r="IL157" i="8" s="1"/>
  <c r="IL158" i="8" s="1"/>
  <c r="IL159" i="8" s="1"/>
  <c r="IL160" i="8" s="1"/>
  <c r="IL161" i="8" s="1"/>
  <c r="IL162" i="8" s="1"/>
  <c r="IL163" i="8" s="1"/>
  <c r="IL164" i="8" s="1"/>
  <c r="IL165" i="8" s="1"/>
  <c r="IL166" i="8" s="1"/>
  <c r="IL167" i="8" s="1"/>
  <c r="IL168" i="8" s="1"/>
  <c r="IL169" i="8" s="1"/>
  <c r="IL170" i="8" s="1"/>
  <c r="IL171" i="8" s="1"/>
  <c r="IL172" i="8" s="1"/>
  <c r="IL173" i="8" s="1"/>
  <c r="IL174" i="8" s="1"/>
  <c r="IL175" i="8" s="1"/>
  <c r="IL176" i="8" s="1"/>
  <c r="IL177" i="8" s="1"/>
  <c r="IL178" i="8" s="1"/>
  <c r="IL179" i="8" s="1"/>
  <c r="IL180" i="8" s="1"/>
  <c r="IL181" i="8" s="1"/>
  <c r="IL182" i="8" s="1"/>
  <c r="IL183" i="8" s="1"/>
  <c r="IL184" i="8" s="1"/>
  <c r="IL185" i="8" s="1"/>
  <c r="IL186" i="8" s="1"/>
  <c r="IL187" i="8" s="1"/>
  <c r="IL188" i="8" s="1"/>
  <c r="IL189" i="8" s="1"/>
  <c r="IL190" i="8" s="1"/>
  <c r="IL191" i="8" s="1"/>
  <c r="IL192" i="8" s="1"/>
  <c r="IL193" i="8" s="1"/>
  <c r="IL194" i="8" s="1"/>
  <c r="IL195" i="8" s="1"/>
  <c r="IL196" i="8" s="1"/>
  <c r="IL197" i="8" s="1"/>
  <c r="IL198" i="8" s="1"/>
  <c r="IL199" i="8" s="1"/>
  <c r="IL200" i="8" s="1"/>
  <c r="IL201" i="8" s="1"/>
  <c r="IL202" i="8" s="1"/>
  <c r="IL203" i="8" s="1"/>
  <c r="IL204" i="8" s="1"/>
  <c r="IL205" i="8" s="1"/>
  <c r="IL206" i="8" s="1"/>
  <c r="IL207" i="8" s="1"/>
  <c r="IL208" i="8" s="1"/>
  <c r="IL209" i="8" s="1"/>
  <c r="IL210" i="8" s="1"/>
  <c r="IL211" i="8" s="1"/>
  <c r="IL212" i="8" s="1"/>
  <c r="IL213" i="8" s="1"/>
  <c r="IL214" i="8" s="1"/>
  <c r="IL215" i="8" s="1"/>
  <c r="IL216" i="8" s="1"/>
  <c r="IL217" i="8" s="1"/>
  <c r="IL218" i="8" s="1"/>
  <c r="IL219" i="8" s="1"/>
  <c r="IL220" i="8" s="1"/>
  <c r="IL221" i="8" s="1"/>
  <c r="IL222" i="8" s="1"/>
  <c r="IL223" i="8" s="1"/>
  <c r="IL224" i="8" s="1"/>
  <c r="IL225" i="8" s="1"/>
  <c r="IL226" i="8" s="1"/>
  <c r="IL227" i="8" s="1"/>
  <c r="IL228" i="8" s="1"/>
  <c r="IL229" i="8" s="1"/>
  <c r="IL230" i="8" s="1"/>
  <c r="IL231" i="8" s="1"/>
  <c r="IL232" i="8" s="1"/>
  <c r="IL233" i="8" s="1"/>
  <c r="IL234" i="8" s="1"/>
  <c r="IL235" i="8" s="1"/>
  <c r="IL236" i="8" s="1"/>
  <c r="IL237" i="8" s="1"/>
  <c r="IL238" i="8" s="1"/>
  <c r="IL239" i="8" s="1"/>
  <c r="IL240" i="8" s="1"/>
  <c r="IL241" i="8" s="1"/>
  <c r="IL242" i="8" s="1"/>
  <c r="IL243" i="8" s="1"/>
  <c r="IL244" i="8" s="1"/>
  <c r="IL245" i="8" s="1"/>
  <c r="IL246" i="8" s="1"/>
  <c r="IL247" i="8" s="1"/>
  <c r="IL248" i="8" s="1"/>
  <c r="IL249" i="8" s="1"/>
  <c r="IL250" i="8" s="1"/>
  <c r="IL251" i="8" s="1"/>
  <c r="IL252" i="8" s="1"/>
  <c r="IL253" i="8" s="1"/>
  <c r="IL254" i="8" s="1"/>
  <c r="IL255" i="8" s="1"/>
  <c r="IL256" i="8" s="1"/>
  <c r="IL257" i="8" s="1"/>
  <c r="IL258" i="8" s="1"/>
  <c r="IL259" i="8" s="1"/>
  <c r="IL260" i="8" s="1"/>
  <c r="IL261" i="8" s="1"/>
  <c r="IL262" i="8" s="1"/>
  <c r="IL263" i="8" s="1"/>
  <c r="IL264" i="8" s="1"/>
  <c r="E5" i="20"/>
  <c r="L274" i="20"/>
  <c r="C274" i="20"/>
  <c r="L257" i="20"/>
  <c r="V16" i="20"/>
  <c r="V17" i="20" s="1"/>
  <c r="K1" i="20"/>
  <c r="A15" i="20" s="1"/>
  <c r="A16" i="20" s="1"/>
  <c r="A17" i="20" l="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A98" i="20" s="1"/>
  <c r="A99" i="20" s="1"/>
  <c r="A100" i="20" s="1"/>
  <c r="A101" i="20" s="1"/>
  <c r="A102" i="20" s="1"/>
  <c r="A103" i="20" s="1"/>
  <c r="A104" i="20" s="1"/>
  <c r="A105" i="20" s="1"/>
  <c r="A106" i="20" s="1"/>
  <c r="A107" i="20" s="1"/>
  <c r="A108" i="20" s="1"/>
  <c r="A109" i="20" s="1"/>
  <c r="A110" i="20" s="1"/>
  <c r="A111" i="20" s="1"/>
  <c r="A112" i="20" s="1"/>
  <c r="A113" i="20" s="1"/>
  <c r="A114" i="20" s="1"/>
  <c r="A115" i="20" s="1"/>
  <c r="A116" i="20" s="1"/>
  <c r="A117" i="20" s="1"/>
  <c r="A118" i="20" s="1"/>
  <c r="A119" i="20" s="1"/>
  <c r="A120" i="20" s="1"/>
  <c r="A121" i="20" s="1"/>
  <c r="A122" i="20" s="1"/>
  <c r="A123" i="20" s="1"/>
  <c r="A124" i="20" s="1"/>
  <c r="A125" i="20" s="1"/>
  <c r="A126" i="20" s="1"/>
  <c r="A127" i="20" s="1"/>
  <c r="A128" i="20" s="1"/>
  <c r="A129" i="20" s="1"/>
  <c r="A130" i="20" s="1"/>
  <c r="A131" i="20" s="1"/>
  <c r="A132" i="20" s="1"/>
  <c r="A133" i="20" s="1"/>
  <c r="A134" i="20" s="1"/>
  <c r="A135" i="20" s="1"/>
  <c r="A136" i="20" s="1"/>
  <c r="A137" i="20" s="1"/>
  <c r="A138" i="20" s="1"/>
  <c r="A139" i="20" s="1"/>
  <c r="A140" i="20" s="1"/>
  <c r="A141" i="20" s="1"/>
  <c r="A142" i="20" s="1"/>
  <c r="A143" i="20" s="1"/>
  <c r="A144" i="20" s="1"/>
  <c r="A145" i="20" s="1"/>
  <c r="A146" i="20" s="1"/>
  <c r="A147" i="20" s="1"/>
  <c r="A148" i="20" s="1"/>
  <c r="A149" i="20" s="1"/>
  <c r="A150" i="20" s="1"/>
  <c r="A151" i="20" s="1"/>
  <c r="A152" i="20" s="1"/>
  <c r="A153" i="20" s="1"/>
  <c r="A154" i="20" s="1"/>
  <c r="A155" i="20" s="1"/>
  <c r="A156" i="20" s="1"/>
  <c r="A157" i="20" s="1"/>
  <c r="A158" i="20" s="1"/>
  <c r="A159" i="20" s="1"/>
  <c r="A160" i="20" s="1"/>
  <c r="A161" i="20" s="1"/>
  <c r="A162" i="20" s="1"/>
  <c r="A163" i="20" s="1"/>
  <c r="A164" i="20" s="1"/>
  <c r="A165" i="20" s="1"/>
  <c r="A166" i="20" s="1"/>
  <c r="A167" i="20" s="1"/>
  <c r="A168" i="20" s="1"/>
  <c r="A169" i="20" s="1"/>
  <c r="A170" i="20" s="1"/>
  <c r="A171" i="20" s="1"/>
  <c r="A172" i="20" s="1"/>
  <c r="A173" i="20" s="1"/>
  <c r="A174" i="20" s="1"/>
  <c r="A175" i="20" s="1"/>
  <c r="A176" i="20" s="1"/>
  <c r="A177" i="20" s="1"/>
  <c r="A178" i="20" s="1"/>
  <c r="A179" i="20" s="1"/>
  <c r="A180" i="20" s="1"/>
  <c r="A181" i="20" s="1"/>
  <c r="A182" i="20" s="1"/>
  <c r="A183" i="20" s="1"/>
  <c r="A184" i="20" s="1"/>
  <c r="A185" i="20" s="1"/>
  <c r="A186" i="20" s="1"/>
  <c r="A187" i="20" s="1"/>
  <c r="A188" i="20" s="1"/>
  <c r="A189" i="20" s="1"/>
  <c r="A190" i="20" s="1"/>
  <c r="A191" i="20" s="1"/>
  <c r="A192" i="20" s="1"/>
  <c r="A193" i="20" s="1"/>
  <c r="A194" i="20" s="1"/>
  <c r="A195" i="20" s="1"/>
  <c r="A196" i="20" s="1"/>
  <c r="A197" i="20" s="1"/>
  <c r="A198" i="20" s="1"/>
  <c r="A199" i="20" s="1"/>
  <c r="A200" i="20" s="1"/>
  <c r="A201" i="20" s="1"/>
  <c r="A202" i="20" s="1"/>
  <c r="A203" i="20" s="1"/>
  <c r="A204" i="20" s="1"/>
  <c r="A205" i="20" s="1"/>
  <c r="A206" i="20" s="1"/>
  <c r="A207" i="20" s="1"/>
  <c r="A208" i="20" s="1"/>
  <c r="A209" i="20" s="1"/>
  <c r="A210" i="20" s="1"/>
  <c r="A211" i="20" s="1"/>
  <c r="A212" i="20" s="1"/>
  <c r="A213" i="20" s="1"/>
  <c r="A214" i="20" s="1"/>
  <c r="A215" i="20" s="1"/>
  <c r="A216" i="20" s="1"/>
  <c r="A217" i="20" s="1"/>
  <c r="A218" i="20" s="1"/>
  <c r="A219" i="20" s="1"/>
  <c r="A220" i="20" s="1"/>
  <c r="A221" i="20" s="1"/>
  <c r="A222" i="20" s="1"/>
  <c r="A223" i="20" s="1"/>
  <c r="A224" i="20" s="1"/>
  <c r="A225" i="20" s="1"/>
  <c r="A226" i="20" s="1"/>
  <c r="A227" i="20" s="1"/>
  <c r="A228" i="20" s="1"/>
  <c r="A229" i="20" s="1"/>
  <c r="A230" i="20" s="1"/>
  <c r="A231" i="20" s="1"/>
  <c r="A232" i="20" s="1"/>
  <c r="A233" i="20" s="1"/>
  <c r="A234" i="20" s="1"/>
  <c r="A235" i="20" s="1"/>
  <c r="A236" i="20" s="1"/>
  <c r="A237" i="20" s="1"/>
  <c r="A238" i="20" s="1"/>
  <c r="A239" i="20" s="1"/>
  <c r="A240" i="20" s="1"/>
  <c r="A241" i="20" s="1"/>
  <c r="A242" i="20" s="1"/>
  <c r="A243" i="20" s="1"/>
  <c r="A244" i="20" s="1"/>
  <c r="A245" i="20" s="1"/>
  <c r="A246" i="20" s="1"/>
  <c r="A247" i="20" s="1"/>
  <c r="A248" i="20" s="1"/>
  <c r="A249" i="20" s="1"/>
  <c r="A250" i="20" s="1"/>
  <c r="A251" i="20" s="1"/>
  <c r="A252" i="20" s="1"/>
  <c r="A253" i="20" s="1"/>
  <c r="A254" i="20" s="1"/>
  <c r="A255" i="20" s="1"/>
  <c r="AN91" i="17"/>
  <c r="AP91" i="17" s="1"/>
  <c r="AO91" i="17" s="1"/>
  <c r="AK91" i="17" s="1"/>
  <c r="AL91" i="17"/>
  <c r="HF32" i="8"/>
  <c r="HH32" i="8" s="1"/>
  <c r="HG32" i="8" s="1"/>
  <c r="HE32" i="8"/>
  <c r="FQ32" i="8"/>
  <c r="FN33" i="8" s="1"/>
  <c r="DW33" i="8"/>
  <c r="DY33" i="8" s="1"/>
  <c r="DX33" i="8" s="1"/>
  <c r="DU33" i="8" s="1"/>
  <c r="DS33" i="8" s="1"/>
  <c r="DV33" i="8"/>
  <c r="BL74" i="22"/>
  <c r="BI75" i="22" s="1"/>
  <c r="BN81" i="22"/>
  <c r="BQ81" i="22"/>
  <c r="BP81" i="22" s="1"/>
  <c r="BR81" i="22" s="1"/>
  <c r="BO82" i="22" s="1"/>
  <c r="BQ82" i="22" s="1"/>
  <c r="BP82" i="22" s="1"/>
  <c r="BR82" i="22" s="1"/>
  <c r="BO83" i="22" s="1"/>
  <c r="AJ85" i="22"/>
  <c r="AK85" i="22" s="1"/>
  <c r="A85" i="22"/>
  <c r="JB27" i="8"/>
  <c r="V18" i="20"/>
  <c r="AI91" i="17" l="1"/>
  <c r="AH36" i="20"/>
  <c r="AF36" i="20" s="1"/>
  <c r="AQ91" i="17"/>
  <c r="HD32" i="8"/>
  <c r="HB32" i="8" s="1"/>
  <c r="HI32" i="8"/>
  <c r="FM33" i="8"/>
  <c r="FP33" i="8"/>
  <c r="FO33" i="8" s="1"/>
  <c r="FL33" i="8" s="1"/>
  <c r="FJ33" i="8" s="1"/>
  <c r="DZ33" i="8"/>
  <c r="BN82" i="22"/>
  <c r="BN83" i="22" s="1"/>
  <c r="BK75" i="22"/>
  <c r="BJ75" i="22" s="1"/>
  <c r="BL75" i="22" s="1"/>
  <c r="BI76" i="22" s="1"/>
  <c r="BH75" i="22"/>
  <c r="BQ83" i="22"/>
  <c r="BP83" i="22" s="1"/>
  <c r="BR83" i="22" s="1"/>
  <c r="BO84" i="22" s="1"/>
  <c r="A86" i="22"/>
  <c r="AJ86" i="22"/>
  <c r="AK86" i="22" s="1"/>
  <c r="V19" i="20"/>
  <c r="JB28" i="8"/>
  <c r="AN92" i="17" l="1"/>
  <c r="AP92" i="17" s="1"/>
  <c r="AO92" i="17" s="1"/>
  <c r="AK92" i="17" s="1"/>
  <c r="AL92" i="17"/>
  <c r="BG75" i="22"/>
  <c r="BD75" i="22" s="1"/>
  <c r="HF33" i="8"/>
  <c r="HH33" i="8" s="1"/>
  <c r="HG33" i="8" s="1"/>
  <c r="HD33" i="8" s="1"/>
  <c r="HB33" i="8" s="1"/>
  <c r="HE33" i="8"/>
  <c r="FQ33" i="8"/>
  <c r="FM34" i="8" s="1"/>
  <c r="DW34" i="8"/>
  <c r="DY34" i="8" s="1"/>
  <c r="DX34" i="8" s="1"/>
  <c r="DV34" i="8"/>
  <c r="BQ84" i="22"/>
  <c r="BP84" i="22" s="1"/>
  <c r="BR84" i="22" s="1"/>
  <c r="BO85" i="22" s="1"/>
  <c r="BN84" i="22"/>
  <c r="BH76" i="22"/>
  <c r="BK76" i="22"/>
  <c r="BJ76" i="22" s="1"/>
  <c r="AJ87" i="22"/>
  <c r="AK87" i="22" s="1"/>
  <c r="A87" i="22"/>
  <c r="V20" i="20"/>
  <c r="JB29" i="8"/>
  <c r="AI92" i="17" l="1"/>
  <c r="AH37" i="20"/>
  <c r="AF37" i="20" s="1"/>
  <c r="AQ92" i="17"/>
  <c r="HI33" i="8"/>
  <c r="FN34" i="8"/>
  <c r="FP34" i="8" s="1"/>
  <c r="FO34" i="8" s="1"/>
  <c r="DU34" i="8"/>
  <c r="DS34" i="8" s="1"/>
  <c r="DZ34" i="8"/>
  <c r="BQ85" i="22"/>
  <c r="BP85" i="22" s="1"/>
  <c r="BR85" i="22" s="1"/>
  <c r="BO86" i="22" s="1"/>
  <c r="BN85" i="22"/>
  <c r="BG76" i="22"/>
  <c r="BD76" i="22" s="1"/>
  <c r="BL76" i="22"/>
  <c r="BI77" i="22" s="1"/>
  <c r="A88" i="22"/>
  <c r="AJ88" i="22"/>
  <c r="AK88" i="22" s="1"/>
  <c r="V21" i="20"/>
  <c r="JB30" i="8"/>
  <c r="AN93" i="17" l="1"/>
  <c r="AP93" i="17" s="1"/>
  <c r="AO93" i="17" s="1"/>
  <c r="AK93" i="17" s="1"/>
  <c r="AL93" i="17"/>
  <c r="HF34" i="8"/>
  <c r="HH34" i="8" s="1"/>
  <c r="HG34" i="8" s="1"/>
  <c r="HE34" i="8"/>
  <c r="FL34" i="8"/>
  <c r="FJ34" i="8" s="1"/>
  <c r="FQ34" i="8"/>
  <c r="DV35" i="8"/>
  <c r="DW35" i="8"/>
  <c r="DY35" i="8" s="1"/>
  <c r="DX35" i="8" s="1"/>
  <c r="BQ86" i="22"/>
  <c r="BP86" i="22" s="1"/>
  <c r="BR86" i="22" s="1"/>
  <c r="BO87" i="22" s="1"/>
  <c r="BN86" i="22"/>
  <c r="BK77" i="22"/>
  <c r="BJ77" i="22" s="1"/>
  <c r="BH77" i="22"/>
  <c r="AJ89" i="22"/>
  <c r="AK89" i="22" s="1"/>
  <c r="A89" i="22"/>
  <c r="V22" i="20"/>
  <c r="JB31" i="8"/>
  <c r="V23" i="20"/>
  <c r="AI93" i="17" l="1"/>
  <c r="AH38" i="20"/>
  <c r="AF38" i="20" s="1"/>
  <c r="AQ93" i="17"/>
  <c r="HD34" i="8"/>
  <c r="HB34" i="8" s="1"/>
  <c r="HI34" i="8"/>
  <c r="FN35" i="8"/>
  <c r="FP35" i="8" s="1"/>
  <c r="FO35" i="8" s="1"/>
  <c r="FM35" i="8"/>
  <c r="DU35" i="8"/>
  <c r="DS35" i="8" s="1"/>
  <c r="DZ35" i="8"/>
  <c r="BQ87" i="22"/>
  <c r="BP87" i="22" s="1"/>
  <c r="BR87" i="22" s="1"/>
  <c r="BO88" i="22" s="1"/>
  <c r="BN87" i="22"/>
  <c r="BG77" i="22"/>
  <c r="BD77" i="22" s="1"/>
  <c r="BL77" i="22"/>
  <c r="BI78" i="22" s="1"/>
  <c r="A90" i="22"/>
  <c r="AJ90" i="22"/>
  <c r="AK90" i="22" s="1"/>
  <c r="JB32" i="8"/>
  <c r="V24" i="20"/>
  <c r="AN94" i="17" l="1"/>
  <c r="AP94" i="17" s="1"/>
  <c r="AO94" i="17" s="1"/>
  <c r="AL94" i="17"/>
  <c r="HF35" i="8"/>
  <c r="HH35" i="8" s="1"/>
  <c r="HG35" i="8" s="1"/>
  <c r="HD35" i="8" s="1"/>
  <c r="HB35" i="8" s="1"/>
  <c r="HE35" i="8"/>
  <c r="FL35" i="8"/>
  <c r="FJ35" i="8" s="1"/>
  <c r="FQ35" i="8"/>
  <c r="DW36" i="8"/>
  <c r="DY36" i="8" s="1"/>
  <c r="DX36" i="8" s="1"/>
  <c r="DV36" i="8"/>
  <c r="BQ88" i="22"/>
  <c r="BP88" i="22" s="1"/>
  <c r="BR88" i="22" s="1"/>
  <c r="BO89" i="22" s="1"/>
  <c r="BN88" i="22"/>
  <c r="BK78" i="22"/>
  <c r="BJ78" i="22" s="1"/>
  <c r="BG78" i="22" s="1"/>
  <c r="BD78" i="22" s="1"/>
  <c r="BH78" i="22"/>
  <c r="A91" i="22"/>
  <c r="AJ91" i="22"/>
  <c r="AK91" i="22" s="1"/>
  <c r="JB33" i="8"/>
  <c r="V25" i="20"/>
  <c r="AK94" i="17" l="1"/>
  <c r="AQ94" i="17"/>
  <c r="HI35" i="8"/>
  <c r="FN36" i="8"/>
  <c r="FP36" i="8" s="1"/>
  <c r="FO36" i="8" s="1"/>
  <c r="FM36" i="8"/>
  <c r="DU36" i="8"/>
  <c r="DS36" i="8" s="1"/>
  <c r="DZ36" i="8"/>
  <c r="BQ89" i="22"/>
  <c r="BP89" i="22" s="1"/>
  <c r="BR89" i="22" s="1"/>
  <c r="BO90" i="22" s="1"/>
  <c r="BN89" i="22"/>
  <c r="BL78" i="22"/>
  <c r="BI79" i="22" s="1"/>
  <c r="AJ92" i="22"/>
  <c r="AK92" i="22" s="1"/>
  <c r="A92" i="22"/>
  <c r="JB34" i="8"/>
  <c r="V26" i="20"/>
  <c r="AI94" i="17" l="1"/>
  <c r="AH39" i="20"/>
  <c r="AF39" i="20" s="1"/>
  <c r="AN95" i="17"/>
  <c r="AP95" i="17" s="1"/>
  <c r="AO95" i="17" s="1"/>
  <c r="AL95" i="17"/>
  <c r="HF36" i="8"/>
  <c r="HH36" i="8" s="1"/>
  <c r="HG36" i="8" s="1"/>
  <c r="HE36" i="8"/>
  <c r="FL36" i="8"/>
  <c r="FJ36" i="8" s="1"/>
  <c r="FQ36" i="8"/>
  <c r="DW37" i="8"/>
  <c r="DY37" i="8" s="1"/>
  <c r="DX37" i="8" s="1"/>
  <c r="DU37" i="8" s="1"/>
  <c r="DS37" i="8" s="1"/>
  <c r="DV37" i="8"/>
  <c r="BQ90" i="22"/>
  <c r="BP90" i="22" s="1"/>
  <c r="BR90" i="22" s="1"/>
  <c r="BO91" i="22" s="1"/>
  <c r="BN90" i="22"/>
  <c r="BH79" i="22"/>
  <c r="BK79" i="22"/>
  <c r="BJ79" i="22" s="1"/>
  <c r="A93" i="22"/>
  <c r="AJ93" i="22"/>
  <c r="AK93" i="22" s="1"/>
  <c r="JB35" i="8"/>
  <c r="V27" i="20"/>
  <c r="AK95" i="17" l="1"/>
  <c r="AQ95" i="17"/>
  <c r="DZ37" i="8"/>
  <c r="DW38" i="8" s="1"/>
  <c r="DY38" i="8" s="1"/>
  <c r="DX38" i="8" s="1"/>
  <c r="HD36" i="8"/>
  <c r="HB36" i="8" s="1"/>
  <c r="HI36" i="8"/>
  <c r="FN37" i="8"/>
  <c r="FP37" i="8" s="1"/>
  <c r="FO37" i="8" s="1"/>
  <c r="FL37" i="8" s="1"/>
  <c r="FJ37" i="8" s="1"/>
  <c r="FM37" i="8"/>
  <c r="BQ91" i="22"/>
  <c r="BP91" i="22" s="1"/>
  <c r="BR91" i="22" s="1"/>
  <c r="BO92" i="22" s="1"/>
  <c r="BN91" i="22"/>
  <c r="BG79" i="22"/>
  <c r="BD79" i="22" s="1"/>
  <c r="BL79" i="22"/>
  <c r="BI80" i="22" s="1"/>
  <c r="AJ94" i="22"/>
  <c r="AK94" i="22" s="1"/>
  <c r="A94" i="22"/>
  <c r="JB36" i="8"/>
  <c r="V28" i="20"/>
  <c r="AI95" i="17" l="1"/>
  <c r="AH40" i="20"/>
  <c r="AF40" i="20" s="1"/>
  <c r="AN96" i="17"/>
  <c r="AP96" i="17" s="1"/>
  <c r="AO96" i="17" s="1"/>
  <c r="AK96" i="17" s="1"/>
  <c r="AL96" i="17"/>
  <c r="DV38" i="8"/>
  <c r="HF37" i="8"/>
  <c r="HH37" i="8" s="1"/>
  <c r="HG37" i="8" s="1"/>
  <c r="HE37" i="8"/>
  <c r="FQ37" i="8"/>
  <c r="DU38" i="8"/>
  <c r="DS38" i="8" s="1"/>
  <c r="DZ38" i="8"/>
  <c r="BC78" i="22"/>
  <c r="BB78" i="22" s="1"/>
  <c r="AU78" i="22" s="1"/>
  <c r="BQ92" i="22"/>
  <c r="BP92" i="22" s="1"/>
  <c r="BR92" i="22" s="1"/>
  <c r="BO93" i="22" s="1"/>
  <c r="BN92" i="22"/>
  <c r="BK80" i="22"/>
  <c r="BJ80" i="22" s="1"/>
  <c r="BG80" i="22" s="1"/>
  <c r="BD80" i="22" s="1"/>
  <c r="BH80" i="22"/>
  <c r="AJ95" i="22"/>
  <c r="AK95" i="22" s="1"/>
  <c r="A95" i="22"/>
  <c r="JB37" i="8"/>
  <c r="V29" i="20"/>
  <c r="AI96" i="17" l="1"/>
  <c r="AH41" i="20"/>
  <c r="AF41" i="20" s="1"/>
  <c r="AQ96" i="17"/>
  <c r="HD37" i="8"/>
  <c r="HB37" i="8" s="1"/>
  <c r="HI37" i="8"/>
  <c r="FN38" i="8"/>
  <c r="FP38" i="8" s="1"/>
  <c r="FO38" i="8" s="1"/>
  <c r="FL38" i="8" s="1"/>
  <c r="FJ38" i="8" s="1"/>
  <c r="FM38" i="8"/>
  <c r="DW39" i="8"/>
  <c r="DY39" i="8" s="1"/>
  <c r="DX39" i="8" s="1"/>
  <c r="DV39" i="8"/>
  <c r="BQ93" i="22"/>
  <c r="BP93" i="22" s="1"/>
  <c r="BR93" i="22" s="1"/>
  <c r="BO94" i="22" s="1"/>
  <c r="BN93" i="22"/>
  <c r="BC79" i="22"/>
  <c r="BB79" i="22" s="1"/>
  <c r="AU79" i="22" s="1"/>
  <c r="BL80" i="22"/>
  <c r="BI81" i="22" s="1"/>
  <c r="AJ96" i="22"/>
  <c r="AK96" i="22" s="1"/>
  <c r="A96" i="22"/>
  <c r="JB38" i="8"/>
  <c r="V30" i="20"/>
  <c r="AN97" i="17" l="1"/>
  <c r="AP97" i="17" s="1"/>
  <c r="AO97" i="17" s="1"/>
  <c r="AK97" i="17" s="1"/>
  <c r="AL97" i="17"/>
  <c r="FQ38" i="8"/>
  <c r="FM39" i="8" s="1"/>
  <c r="HF38" i="8"/>
  <c r="HH38" i="8" s="1"/>
  <c r="HG38" i="8" s="1"/>
  <c r="HD38" i="8" s="1"/>
  <c r="HB38" i="8" s="1"/>
  <c r="HE38" i="8"/>
  <c r="DU39" i="8"/>
  <c r="DS39" i="8" s="1"/>
  <c r="DZ39" i="8"/>
  <c r="BQ94" i="22"/>
  <c r="BP94" i="22" s="1"/>
  <c r="BR94" i="22" s="1"/>
  <c r="BO95" i="22" s="1"/>
  <c r="BN94" i="22"/>
  <c r="BK81" i="22"/>
  <c r="BJ81" i="22" s="1"/>
  <c r="BH81" i="22"/>
  <c r="A97" i="22"/>
  <c r="AJ97" i="22"/>
  <c r="AK97" i="22" s="1"/>
  <c r="JB39" i="8"/>
  <c r="V31" i="20"/>
  <c r="AI97" i="17" l="1"/>
  <c r="AH42" i="20"/>
  <c r="AF42" i="20" s="1"/>
  <c r="AQ97" i="17"/>
  <c r="AL98" i="17" s="1"/>
  <c r="FN39" i="8"/>
  <c r="FP39" i="8" s="1"/>
  <c r="FO39" i="8" s="1"/>
  <c r="FL39" i="8" s="1"/>
  <c r="FJ39" i="8" s="1"/>
  <c r="HI38" i="8"/>
  <c r="HF39" i="8" s="1"/>
  <c r="HH39" i="8" s="1"/>
  <c r="HG39" i="8" s="1"/>
  <c r="HD39" i="8" s="1"/>
  <c r="HB39" i="8" s="1"/>
  <c r="DW40" i="8"/>
  <c r="DY40" i="8" s="1"/>
  <c r="DX40" i="8" s="1"/>
  <c r="DV40" i="8"/>
  <c r="BQ95" i="22"/>
  <c r="BP95" i="22" s="1"/>
  <c r="BR95" i="22" s="1"/>
  <c r="BO96" i="22" s="1"/>
  <c r="BN95" i="22"/>
  <c r="BG81" i="22"/>
  <c r="BD81" i="22" s="1"/>
  <c r="BL81" i="22"/>
  <c r="A98" i="22"/>
  <c r="AJ98" i="22"/>
  <c r="AK98" i="22" s="1"/>
  <c r="JB40" i="8"/>
  <c r="V32" i="20"/>
  <c r="AN98" i="17" l="1"/>
  <c r="AP98" i="17" s="1"/>
  <c r="AO98" i="17" s="1"/>
  <c r="AK98" i="17" s="1"/>
  <c r="HE39" i="8"/>
  <c r="HI39" i="8"/>
  <c r="FQ39" i="8"/>
  <c r="DU40" i="8"/>
  <c r="DS40" i="8" s="1"/>
  <c r="DZ40" i="8"/>
  <c r="BH82" i="22"/>
  <c r="BI82" i="22"/>
  <c r="BK82" i="22" s="1"/>
  <c r="BJ82" i="22" s="1"/>
  <c r="BG82" i="22" s="1"/>
  <c r="BD82" i="22" s="1"/>
  <c r="BQ96" i="22"/>
  <c r="BP96" i="22" s="1"/>
  <c r="BR96" i="22" s="1"/>
  <c r="BO97" i="22" s="1"/>
  <c r="BN96" i="22"/>
  <c r="AJ99" i="22"/>
  <c r="AK99" i="22" s="1"/>
  <c r="A99" i="22"/>
  <c r="JB41" i="8"/>
  <c r="V33" i="20"/>
  <c r="AI98" i="17" l="1"/>
  <c r="AH43" i="20"/>
  <c r="AF43" i="20" s="1"/>
  <c r="AQ98" i="17"/>
  <c r="AL99" i="17" s="1"/>
  <c r="HE40" i="8"/>
  <c r="HF40" i="8"/>
  <c r="HH40" i="8" s="1"/>
  <c r="HG40" i="8" s="1"/>
  <c r="HD40" i="8" s="1"/>
  <c r="HB40" i="8" s="1"/>
  <c r="FN40" i="8"/>
  <c r="FP40" i="8" s="1"/>
  <c r="FO40" i="8" s="1"/>
  <c r="FL40" i="8" s="1"/>
  <c r="FJ40" i="8" s="1"/>
  <c r="FM40" i="8"/>
  <c r="DW41" i="8"/>
  <c r="DY41" i="8" s="1"/>
  <c r="DX41" i="8" s="1"/>
  <c r="DV41" i="8"/>
  <c r="BQ97" i="22"/>
  <c r="BP97" i="22" s="1"/>
  <c r="BR97" i="22" s="1"/>
  <c r="BO98" i="22" s="1"/>
  <c r="BN97" i="22"/>
  <c r="BL82" i="22"/>
  <c r="A100" i="22"/>
  <c r="AJ100" i="22"/>
  <c r="AK100" i="22" s="1"/>
  <c r="JB42" i="8"/>
  <c r="V34" i="20"/>
  <c r="AN99" i="17" l="1"/>
  <c r="AP99" i="17" s="1"/>
  <c r="AO99" i="17" s="1"/>
  <c r="AK99" i="17" s="1"/>
  <c r="HI40" i="8"/>
  <c r="HF41" i="8" s="1"/>
  <c r="FQ40" i="8"/>
  <c r="FM41" i="8" s="1"/>
  <c r="DU41" i="8"/>
  <c r="DS41" i="8" s="1"/>
  <c r="DZ41" i="8"/>
  <c r="BI83" i="22"/>
  <c r="BK83" i="22" s="1"/>
  <c r="BJ83" i="22" s="1"/>
  <c r="BH83" i="22"/>
  <c r="BQ98" i="22"/>
  <c r="BP98" i="22" s="1"/>
  <c r="BR98" i="22" s="1"/>
  <c r="BO99" i="22" s="1"/>
  <c r="BN98" i="22"/>
  <c r="AJ101" i="22"/>
  <c r="AK101" i="22" s="1"/>
  <c r="A101" i="22"/>
  <c r="JB43" i="8"/>
  <c r="V35" i="20"/>
  <c r="AI99" i="17" l="1"/>
  <c r="AH44" i="20"/>
  <c r="AF44" i="20" s="1"/>
  <c r="AQ99" i="17"/>
  <c r="HH41" i="8"/>
  <c r="HG41" i="8" s="1"/>
  <c r="HI41" i="8" s="1"/>
  <c r="HF42" i="8" s="1"/>
  <c r="FN41" i="8"/>
  <c r="FP41" i="8" s="1"/>
  <c r="FO41" i="8" s="1"/>
  <c r="FL41" i="8" s="1"/>
  <c r="FJ41" i="8" s="1"/>
  <c r="HE41" i="8"/>
  <c r="DW42" i="8"/>
  <c r="DY42" i="8" s="1"/>
  <c r="DX42" i="8" s="1"/>
  <c r="DV42" i="8"/>
  <c r="BG83" i="22"/>
  <c r="BD83" i="22" s="1"/>
  <c r="BL83" i="22"/>
  <c r="BI84" i="22" s="1"/>
  <c r="BQ99" i="22"/>
  <c r="BP99" i="22" s="1"/>
  <c r="BR99" i="22" s="1"/>
  <c r="BO100" i="22" s="1"/>
  <c r="BN99" i="22"/>
  <c r="AJ102" i="22"/>
  <c r="AK102" i="22" s="1"/>
  <c r="A102" i="22"/>
  <c r="JB44" i="8"/>
  <c r="V36" i="20"/>
  <c r="AL100" i="17" l="1"/>
  <c r="AN100" i="17"/>
  <c r="AP100" i="17" s="1"/>
  <c r="AO100" i="17" s="1"/>
  <c r="AK100" i="17" s="1"/>
  <c r="FQ41" i="8"/>
  <c r="FN42" i="8" s="1"/>
  <c r="FP42" i="8" s="1"/>
  <c r="FO42" i="8" s="1"/>
  <c r="FL42" i="8" s="1"/>
  <c r="FJ42" i="8" s="1"/>
  <c r="HD41" i="8"/>
  <c r="HB41" i="8" s="1"/>
  <c r="HE42" i="8"/>
  <c r="HH42" i="8"/>
  <c r="HG42" i="8" s="1"/>
  <c r="HD42" i="8" s="1"/>
  <c r="HB42" i="8" s="1"/>
  <c r="DU42" i="8"/>
  <c r="DS42" i="8" s="1"/>
  <c r="DZ42" i="8"/>
  <c r="BK84" i="22"/>
  <c r="BJ84" i="22" s="1"/>
  <c r="BG84" i="22" s="1"/>
  <c r="BD84" i="22" s="1"/>
  <c r="BH84" i="22"/>
  <c r="BQ100" i="22"/>
  <c r="BP100" i="22" s="1"/>
  <c r="BR100" i="22" s="1"/>
  <c r="BO101" i="22" s="1"/>
  <c r="BN100" i="22"/>
  <c r="A103" i="22"/>
  <c r="AJ103" i="22"/>
  <c r="AK103" i="22" s="1"/>
  <c r="JB45" i="8"/>
  <c r="V37" i="20"/>
  <c r="AI100" i="17" l="1"/>
  <c r="AH45" i="20"/>
  <c r="AF45" i="20" s="1"/>
  <c r="AQ100" i="17"/>
  <c r="FM42" i="8"/>
  <c r="HI42" i="8"/>
  <c r="FQ42" i="8"/>
  <c r="DW43" i="8"/>
  <c r="DY43" i="8" s="1"/>
  <c r="DX43" i="8" s="1"/>
  <c r="DV43" i="8"/>
  <c r="BL84" i="22"/>
  <c r="BI85" i="22" s="1"/>
  <c r="BK85" i="22" s="1"/>
  <c r="BJ85" i="22" s="1"/>
  <c r="BG85" i="22" s="1"/>
  <c r="BD85" i="22" s="1"/>
  <c r="BQ101" i="22"/>
  <c r="BP101" i="22" s="1"/>
  <c r="BR101" i="22" s="1"/>
  <c r="BO102" i="22" s="1"/>
  <c r="BN101" i="22"/>
  <c r="A104" i="22"/>
  <c r="AJ104" i="22"/>
  <c r="AK104" i="22" s="1"/>
  <c r="JB46" i="8"/>
  <c r="V38" i="20"/>
  <c r="AL101" i="17" l="1"/>
  <c r="AN101" i="17"/>
  <c r="AP101" i="17" s="1"/>
  <c r="AO101" i="17" s="1"/>
  <c r="HF43" i="8"/>
  <c r="HH43" i="8" s="1"/>
  <c r="HG43" i="8" s="1"/>
  <c r="HE43" i="8"/>
  <c r="FN43" i="8"/>
  <c r="FP43" i="8" s="1"/>
  <c r="FO43" i="8" s="1"/>
  <c r="FM43" i="8"/>
  <c r="BH85" i="22"/>
  <c r="DZ43" i="8"/>
  <c r="DU43" i="8"/>
  <c r="DS43" i="8" s="1"/>
  <c r="BL85" i="22"/>
  <c r="BI86" i="22" s="1"/>
  <c r="BK86" i="22" s="1"/>
  <c r="BJ86" i="22" s="1"/>
  <c r="BG86" i="22" s="1"/>
  <c r="BD86" i="22" s="1"/>
  <c r="BQ102" i="22"/>
  <c r="BP102" i="22" s="1"/>
  <c r="BR102" i="22" s="1"/>
  <c r="BO103" i="22" s="1"/>
  <c r="BN102" i="22"/>
  <c r="A105" i="22"/>
  <c r="AJ105" i="22"/>
  <c r="AK105" i="22" s="1"/>
  <c r="JB47" i="8"/>
  <c r="V39" i="20"/>
  <c r="AK101" i="17" l="1"/>
  <c r="AQ101" i="17"/>
  <c r="HD43" i="8"/>
  <c r="HB43" i="8" s="1"/>
  <c r="HI43" i="8"/>
  <c r="FL43" i="8"/>
  <c r="FJ43" i="8" s="1"/>
  <c r="FQ43" i="8"/>
  <c r="DW44" i="8"/>
  <c r="DY44" i="8" s="1"/>
  <c r="DX44" i="8" s="1"/>
  <c r="DV44" i="8"/>
  <c r="BH86" i="22"/>
  <c r="BQ103" i="22"/>
  <c r="BP103" i="22" s="1"/>
  <c r="BR103" i="22" s="1"/>
  <c r="BO104" i="22" s="1"/>
  <c r="BN103" i="22"/>
  <c r="BL86" i="22"/>
  <c r="AJ106" i="22"/>
  <c r="AK106" i="22" s="1"/>
  <c r="A106" i="22"/>
  <c r="JB48" i="8"/>
  <c r="V40" i="20"/>
  <c r="AI101" i="17" l="1"/>
  <c r="AH46" i="20"/>
  <c r="AF46" i="20" s="1"/>
  <c r="AL102" i="17"/>
  <c r="AN102" i="17"/>
  <c r="AP102" i="17" s="1"/>
  <c r="AO102" i="17" s="1"/>
  <c r="HE44" i="8"/>
  <c r="HF44" i="8"/>
  <c r="HH44" i="8" s="1"/>
  <c r="HG44" i="8" s="1"/>
  <c r="HD44" i="8" s="1"/>
  <c r="HB44" i="8" s="1"/>
  <c r="FN44" i="8"/>
  <c r="FP44" i="8" s="1"/>
  <c r="FO44" i="8" s="1"/>
  <c r="FL44" i="8" s="1"/>
  <c r="FJ44" i="8" s="1"/>
  <c r="FM44" i="8"/>
  <c r="DU44" i="8"/>
  <c r="DS44" i="8" s="1"/>
  <c r="DZ44" i="8"/>
  <c r="BI87" i="22"/>
  <c r="BK87" i="22" s="1"/>
  <c r="BJ87" i="22" s="1"/>
  <c r="BQ104" i="22"/>
  <c r="BP104" i="22" s="1"/>
  <c r="BR104" i="22" s="1"/>
  <c r="BO105" i="22" s="1"/>
  <c r="BN104" i="22"/>
  <c r="BH87" i="22"/>
  <c r="A107" i="22"/>
  <c r="AJ107" i="22"/>
  <c r="AK107" i="22" s="1"/>
  <c r="JB49" i="8"/>
  <c r="V41" i="20"/>
  <c r="AK102" i="17" l="1"/>
  <c r="AQ102" i="17"/>
  <c r="HI44" i="8"/>
  <c r="FQ44" i="8"/>
  <c r="DW45" i="8"/>
  <c r="DY45" i="8" s="1"/>
  <c r="DX45" i="8" s="1"/>
  <c r="DV45" i="8"/>
  <c r="BG87" i="22"/>
  <c r="BD87" i="22" s="1"/>
  <c r="BL87" i="22"/>
  <c r="BI88" i="22" s="1"/>
  <c r="BK88" i="22" s="1"/>
  <c r="BJ88" i="22" s="1"/>
  <c r="BQ105" i="22"/>
  <c r="BP105" i="22" s="1"/>
  <c r="BR105" i="22" s="1"/>
  <c r="BO106" i="22" s="1"/>
  <c r="BN105" i="22"/>
  <c r="AJ108" i="22"/>
  <c r="AK108" i="22" s="1"/>
  <c r="A108" i="22"/>
  <c r="JB50" i="8"/>
  <c r="V42" i="20"/>
  <c r="AI102" i="17" l="1"/>
  <c r="AH47" i="20"/>
  <c r="AF47" i="20" s="1"/>
  <c r="AN103" i="17"/>
  <c r="AP103" i="17" s="1"/>
  <c r="AO103" i="17" s="1"/>
  <c r="AK103" i="17" s="1"/>
  <c r="AL103" i="17"/>
  <c r="HF45" i="8"/>
  <c r="HH45" i="8" s="1"/>
  <c r="HG45" i="8" s="1"/>
  <c r="HE45" i="8"/>
  <c r="FN45" i="8"/>
  <c r="FP45" i="8" s="1"/>
  <c r="FO45" i="8" s="1"/>
  <c r="FL45" i="8" s="1"/>
  <c r="FJ45" i="8" s="1"/>
  <c r="FM45" i="8"/>
  <c r="DU45" i="8"/>
  <c r="DS45" i="8" s="1"/>
  <c r="DZ45" i="8"/>
  <c r="BH88" i="22"/>
  <c r="BQ106" i="22"/>
  <c r="BP106" i="22" s="1"/>
  <c r="BR106" i="22" s="1"/>
  <c r="BO107" i="22" s="1"/>
  <c r="BN106" i="22"/>
  <c r="BG88" i="22"/>
  <c r="BD88" i="22" s="1"/>
  <c r="BL88" i="22"/>
  <c r="BI89" i="22" s="1"/>
  <c r="A109" i="22"/>
  <c r="AJ109" i="22"/>
  <c r="AK109" i="22" s="1"/>
  <c r="JB51" i="8"/>
  <c r="V43" i="20"/>
  <c r="AI103" i="17" l="1"/>
  <c r="AH48" i="20"/>
  <c r="AF48" i="20" s="1"/>
  <c r="AQ103" i="17"/>
  <c r="HI45" i="8"/>
  <c r="HD45" i="8"/>
  <c r="HB45" i="8" s="1"/>
  <c r="FQ45" i="8"/>
  <c r="DW46" i="8"/>
  <c r="DY46" i="8" s="1"/>
  <c r="DX46" i="8" s="1"/>
  <c r="DV46" i="8"/>
  <c r="BQ107" i="22"/>
  <c r="BP107" i="22" s="1"/>
  <c r="BR107" i="22" s="1"/>
  <c r="BO108" i="22" s="1"/>
  <c r="BN107" i="22"/>
  <c r="BH89" i="22"/>
  <c r="BK89" i="22"/>
  <c r="BJ89" i="22" s="1"/>
  <c r="A110" i="22"/>
  <c r="AJ110" i="22"/>
  <c r="AK110" i="22" s="1"/>
  <c r="JB52" i="8"/>
  <c r="V44" i="20"/>
  <c r="AN104" i="17" l="1"/>
  <c r="AP104" i="17" s="1"/>
  <c r="AO104" i="17" s="1"/>
  <c r="AK104" i="17" s="1"/>
  <c r="AL104" i="17"/>
  <c r="HF46" i="8"/>
  <c r="HH46" i="8" s="1"/>
  <c r="HG46" i="8" s="1"/>
  <c r="HD46" i="8" s="1"/>
  <c r="HB46" i="8" s="1"/>
  <c r="HE46" i="8"/>
  <c r="FN46" i="8"/>
  <c r="FP46" i="8" s="1"/>
  <c r="FO46" i="8" s="1"/>
  <c r="FL46" i="8" s="1"/>
  <c r="FJ46" i="8" s="1"/>
  <c r="FM46" i="8"/>
  <c r="DZ46" i="8"/>
  <c r="DU46" i="8"/>
  <c r="DS46" i="8" s="1"/>
  <c r="BQ108" i="22"/>
  <c r="BP108" i="22" s="1"/>
  <c r="BR108" i="22" s="1"/>
  <c r="BO109" i="22" s="1"/>
  <c r="BN108" i="22"/>
  <c r="BG89" i="22"/>
  <c r="BD89" i="22" s="1"/>
  <c r="BL89" i="22"/>
  <c r="BI90" i="22" s="1"/>
  <c r="AJ111" i="22"/>
  <c r="AK111" i="22" s="1"/>
  <c r="A111" i="22"/>
  <c r="JB53" i="8"/>
  <c r="V45" i="20"/>
  <c r="AI104" i="17" l="1"/>
  <c r="AH49" i="20"/>
  <c r="AF49" i="20" s="1"/>
  <c r="AQ104" i="17"/>
  <c r="HI46" i="8"/>
  <c r="HE47" i="8" s="1"/>
  <c r="FQ46" i="8"/>
  <c r="DW47" i="8"/>
  <c r="DY47" i="8" s="1"/>
  <c r="DX47" i="8" s="1"/>
  <c r="DV47" i="8"/>
  <c r="BQ109" i="22"/>
  <c r="BP109" i="22" s="1"/>
  <c r="BR109" i="22" s="1"/>
  <c r="BO110" i="22" s="1"/>
  <c r="BN109" i="22"/>
  <c r="BK90" i="22"/>
  <c r="BJ90" i="22" s="1"/>
  <c r="BG90" i="22" s="1"/>
  <c r="BD90" i="22" s="1"/>
  <c r="BH90" i="22"/>
  <c r="A112" i="22"/>
  <c r="AJ112" i="22"/>
  <c r="AK112" i="22" s="1"/>
  <c r="JB54" i="8"/>
  <c r="V46" i="20"/>
  <c r="AN105" i="17" l="1"/>
  <c r="AP105" i="17" s="1"/>
  <c r="AO105" i="17" s="1"/>
  <c r="AL105" i="17"/>
  <c r="HF47" i="8"/>
  <c r="HH47" i="8" s="1"/>
  <c r="HG47" i="8" s="1"/>
  <c r="HD47" i="8" s="1"/>
  <c r="HB47" i="8" s="1"/>
  <c r="FN47" i="8"/>
  <c r="FP47" i="8" s="1"/>
  <c r="FO47" i="8" s="1"/>
  <c r="FL47" i="8" s="1"/>
  <c r="FJ47" i="8" s="1"/>
  <c r="FM47" i="8"/>
  <c r="DU47" i="8"/>
  <c r="DS47" i="8" s="1"/>
  <c r="DZ47" i="8"/>
  <c r="BQ110" i="22"/>
  <c r="BP110" i="22" s="1"/>
  <c r="BR110" i="22" s="1"/>
  <c r="BO111" i="22" s="1"/>
  <c r="BN110" i="22"/>
  <c r="BL90" i="22"/>
  <c r="AJ113" i="22"/>
  <c r="AK113" i="22" s="1"/>
  <c r="A113" i="22"/>
  <c r="JB55" i="8"/>
  <c r="V47" i="20"/>
  <c r="AK105" i="17" l="1"/>
  <c r="AQ105" i="17"/>
  <c r="HI47" i="8"/>
  <c r="HE48" i="8" s="1"/>
  <c r="FQ47" i="8"/>
  <c r="DW48" i="8"/>
  <c r="DY48" i="8" s="1"/>
  <c r="DX48" i="8" s="1"/>
  <c r="DU48" i="8" s="1"/>
  <c r="DS48" i="8" s="1"/>
  <c r="DV48" i="8"/>
  <c r="BH91" i="22"/>
  <c r="BI91" i="22"/>
  <c r="BK91" i="22" s="1"/>
  <c r="BJ91" i="22" s="1"/>
  <c r="BG91" i="22" s="1"/>
  <c r="BD91" i="22" s="1"/>
  <c r="BQ111" i="22"/>
  <c r="BP111" i="22" s="1"/>
  <c r="BR111" i="22" s="1"/>
  <c r="BO112" i="22" s="1"/>
  <c r="BN111" i="22"/>
  <c r="A114" i="22"/>
  <c r="AJ114" i="22"/>
  <c r="AK114" i="22" s="1"/>
  <c r="JB56" i="8"/>
  <c r="V48" i="20"/>
  <c r="AI105" i="17" l="1"/>
  <c r="AH50" i="20"/>
  <c r="AF50" i="20" s="1"/>
  <c r="AN106" i="17"/>
  <c r="AP106" i="17" s="1"/>
  <c r="AO106" i="17" s="1"/>
  <c r="AK106" i="17" s="1"/>
  <c r="AL106" i="17"/>
  <c r="HF48" i="8"/>
  <c r="HH48" i="8" s="1"/>
  <c r="HG48" i="8" s="1"/>
  <c r="HD48" i="8" s="1"/>
  <c r="HB48" i="8" s="1"/>
  <c r="FN48" i="8"/>
  <c r="FP48" i="8" s="1"/>
  <c r="FO48" i="8" s="1"/>
  <c r="FL48" i="8" s="1"/>
  <c r="FJ48" i="8" s="1"/>
  <c r="FM48" i="8"/>
  <c r="DZ48" i="8"/>
  <c r="DW49" i="8" s="1"/>
  <c r="BQ112" i="22"/>
  <c r="BP112" i="22" s="1"/>
  <c r="BR112" i="22" s="1"/>
  <c r="BO113" i="22" s="1"/>
  <c r="BN112" i="22"/>
  <c r="BL91" i="22"/>
  <c r="AJ115" i="22"/>
  <c r="AK115" i="22" s="1"/>
  <c r="A115" i="22"/>
  <c r="JB57" i="8"/>
  <c r="V49" i="20"/>
  <c r="AI106" i="17" l="1"/>
  <c r="AH51" i="20"/>
  <c r="AF51" i="20" s="1"/>
  <c r="AQ106" i="17"/>
  <c r="HI48" i="8"/>
  <c r="HF49" i="8" s="1"/>
  <c r="HH49" i="8" s="1"/>
  <c r="HG49" i="8" s="1"/>
  <c r="FQ48" i="8"/>
  <c r="DV49" i="8"/>
  <c r="DY49" i="8"/>
  <c r="DX49" i="8" s="1"/>
  <c r="DU49" i="8" s="1"/>
  <c r="DS49" i="8" s="1"/>
  <c r="BH92" i="22"/>
  <c r="BI92" i="22"/>
  <c r="BK92" i="22" s="1"/>
  <c r="BJ92" i="22" s="1"/>
  <c r="BG92" i="22" s="1"/>
  <c r="BD92" i="22" s="1"/>
  <c r="BQ113" i="22"/>
  <c r="BP113" i="22" s="1"/>
  <c r="BR113" i="22" s="1"/>
  <c r="BO114" i="22" s="1"/>
  <c r="BN113" i="22"/>
  <c r="AJ116" i="22"/>
  <c r="AK116" i="22" s="1"/>
  <c r="A116" i="22"/>
  <c r="JB58" i="8"/>
  <c r="V50" i="20"/>
  <c r="AN107" i="17" l="1"/>
  <c r="AP107" i="17" s="1"/>
  <c r="AO107" i="17" s="1"/>
  <c r="AL107" i="17"/>
  <c r="HE49" i="8"/>
  <c r="HD49" i="8"/>
  <c r="HB49" i="8" s="1"/>
  <c r="HI49" i="8"/>
  <c r="FM49" i="8"/>
  <c r="FN49" i="8"/>
  <c r="FP49" i="8" s="1"/>
  <c r="FO49" i="8" s="1"/>
  <c r="FL49" i="8" s="1"/>
  <c r="FJ49" i="8" s="1"/>
  <c r="DZ49" i="8"/>
  <c r="DV50" i="8" s="1"/>
  <c r="BQ114" i="22"/>
  <c r="BP114" i="22" s="1"/>
  <c r="BR114" i="22" s="1"/>
  <c r="BO115" i="22" s="1"/>
  <c r="BN114" i="22"/>
  <c r="BL92" i="22"/>
  <c r="A117" i="22"/>
  <c r="AJ117" i="22"/>
  <c r="AK117" i="22" s="1"/>
  <c r="JB59" i="8"/>
  <c r="V51" i="20"/>
  <c r="AK107" i="17" l="1"/>
  <c r="AQ107" i="17"/>
  <c r="HF50" i="8"/>
  <c r="HH50" i="8" s="1"/>
  <c r="HG50" i="8" s="1"/>
  <c r="HE50" i="8"/>
  <c r="DW50" i="8"/>
  <c r="DY50" i="8" s="1"/>
  <c r="DX50" i="8" s="1"/>
  <c r="DU50" i="8" s="1"/>
  <c r="DS50" i="8" s="1"/>
  <c r="FQ49" i="8"/>
  <c r="BH93" i="22"/>
  <c r="BI93" i="22"/>
  <c r="BK93" i="22" s="1"/>
  <c r="BJ93" i="22" s="1"/>
  <c r="BG93" i="22" s="1"/>
  <c r="BD93" i="22" s="1"/>
  <c r="BC90" i="22"/>
  <c r="BB90" i="22" s="1"/>
  <c r="AU90" i="22" s="1"/>
  <c r="BQ115" i="22"/>
  <c r="BP115" i="22" s="1"/>
  <c r="BR115" i="22" s="1"/>
  <c r="BO116" i="22" s="1"/>
  <c r="BN115" i="22"/>
  <c r="A118" i="22"/>
  <c r="AJ118" i="22"/>
  <c r="AK118" i="22" s="1"/>
  <c r="JB60" i="8"/>
  <c r="V52" i="20"/>
  <c r="AI107" i="17" l="1"/>
  <c r="AH52" i="20"/>
  <c r="AF52" i="20" s="1"/>
  <c r="AL108" i="17"/>
  <c r="AN108" i="17"/>
  <c r="AP108" i="17" s="1"/>
  <c r="AO108" i="17" s="1"/>
  <c r="DZ50" i="8"/>
  <c r="DW51" i="8" s="1"/>
  <c r="DY51" i="8" s="1"/>
  <c r="DX51" i="8" s="1"/>
  <c r="HD50" i="8"/>
  <c r="HB50" i="8" s="1"/>
  <c r="HI50" i="8"/>
  <c r="FN50" i="8"/>
  <c r="FP50" i="8" s="1"/>
  <c r="FO50" i="8" s="1"/>
  <c r="FL50" i="8" s="1"/>
  <c r="FJ50" i="8" s="1"/>
  <c r="FM50" i="8"/>
  <c r="BQ116" i="22"/>
  <c r="BP116" i="22" s="1"/>
  <c r="BR116" i="22" s="1"/>
  <c r="BO117" i="22" s="1"/>
  <c r="BN116" i="22"/>
  <c r="BL93" i="22"/>
  <c r="AJ119" i="22"/>
  <c r="AK119" i="22" s="1"/>
  <c r="A119" i="22"/>
  <c r="JB61" i="8"/>
  <c r="V53" i="20"/>
  <c r="AK108" i="17" l="1"/>
  <c r="AQ108" i="17"/>
  <c r="DV51" i="8"/>
  <c r="HF51" i="8"/>
  <c r="HH51" i="8" s="1"/>
  <c r="HG51" i="8" s="1"/>
  <c r="HE51" i="8"/>
  <c r="FQ50" i="8"/>
  <c r="FN51" i="8" s="1"/>
  <c r="FP51" i="8" s="1"/>
  <c r="FO51" i="8" s="1"/>
  <c r="FL51" i="8" s="1"/>
  <c r="FJ51" i="8" s="1"/>
  <c r="DU51" i="8"/>
  <c r="DS51" i="8" s="1"/>
  <c r="DZ51" i="8"/>
  <c r="BI94" i="22"/>
  <c r="BK94" i="22" s="1"/>
  <c r="BJ94" i="22" s="1"/>
  <c r="BG94" i="22" s="1"/>
  <c r="BD94" i="22" s="1"/>
  <c r="BQ117" i="22"/>
  <c r="BP117" i="22" s="1"/>
  <c r="BR117" i="22" s="1"/>
  <c r="BO118" i="22" s="1"/>
  <c r="BN117" i="22"/>
  <c r="BH94" i="22"/>
  <c r="A120" i="22"/>
  <c r="AJ120" i="22"/>
  <c r="AK120" i="22" s="1"/>
  <c r="JB62" i="8"/>
  <c r="V54" i="20"/>
  <c r="AI108" i="17" l="1"/>
  <c r="AH53" i="20"/>
  <c r="AF53" i="20" s="1"/>
  <c r="AN109" i="17"/>
  <c r="AP109" i="17" s="1"/>
  <c r="AO109" i="17" s="1"/>
  <c r="AK109" i="17" s="1"/>
  <c r="AL109" i="17"/>
  <c r="HD51" i="8"/>
  <c r="HB51" i="8" s="1"/>
  <c r="HI51" i="8"/>
  <c r="FM51" i="8"/>
  <c r="FQ51" i="8"/>
  <c r="DW52" i="8"/>
  <c r="DY52" i="8" s="1"/>
  <c r="DX52" i="8" s="1"/>
  <c r="DV52" i="8"/>
  <c r="BL94" i="22"/>
  <c r="BI95" i="22" s="1"/>
  <c r="BQ118" i="22"/>
  <c r="BP118" i="22" s="1"/>
  <c r="BR118" i="22" s="1"/>
  <c r="BO119" i="22" s="1"/>
  <c r="BN118" i="22"/>
  <c r="AJ121" i="22"/>
  <c r="AK121" i="22" s="1"/>
  <c r="A121" i="22"/>
  <c r="JB63" i="8"/>
  <c r="V55" i="20"/>
  <c r="AI109" i="17" l="1"/>
  <c r="AH54" i="20"/>
  <c r="AF54" i="20" s="1"/>
  <c r="AQ109" i="17"/>
  <c r="AL110" i="17" s="1"/>
  <c r="HF52" i="8"/>
  <c r="HH52" i="8" s="1"/>
  <c r="HG52" i="8" s="1"/>
  <c r="HE52" i="8"/>
  <c r="FN52" i="8"/>
  <c r="FP52" i="8" s="1"/>
  <c r="FO52" i="8" s="1"/>
  <c r="FL52" i="8" s="1"/>
  <c r="FJ52" i="8" s="1"/>
  <c r="FM52" i="8"/>
  <c r="DU52" i="8"/>
  <c r="DS52" i="8" s="1"/>
  <c r="DZ52" i="8"/>
  <c r="BH95" i="22"/>
  <c r="BK95" i="22"/>
  <c r="BJ95" i="22" s="1"/>
  <c r="BG95" i="22" s="1"/>
  <c r="BD95" i="22" s="1"/>
  <c r="BQ119" i="22"/>
  <c r="BP119" i="22" s="1"/>
  <c r="BR119" i="22" s="1"/>
  <c r="BO120" i="22" s="1"/>
  <c r="BN119" i="22"/>
  <c r="AJ122" i="22"/>
  <c r="AK122" i="22" s="1"/>
  <c r="A122" i="22"/>
  <c r="JB64" i="8"/>
  <c r="V56" i="20"/>
  <c r="AN110" i="17" l="1"/>
  <c r="AP110" i="17" s="1"/>
  <c r="AO110" i="17" s="1"/>
  <c r="AK110" i="17" s="1"/>
  <c r="HD52" i="8"/>
  <c r="HB52" i="8" s="1"/>
  <c r="HI52" i="8"/>
  <c r="FQ52" i="8"/>
  <c r="DW53" i="8"/>
  <c r="DY53" i="8" s="1"/>
  <c r="DX53" i="8" s="1"/>
  <c r="DV53" i="8"/>
  <c r="BL95" i="22"/>
  <c r="BI96" i="22" s="1"/>
  <c r="BK96" i="22" s="1"/>
  <c r="BJ96" i="22" s="1"/>
  <c r="BQ120" i="22"/>
  <c r="BP120" i="22" s="1"/>
  <c r="BR120" i="22" s="1"/>
  <c r="BO121" i="22" s="1"/>
  <c r="BN120" i="22"/>
  <c r="A123" i="22"/>
  <c r="AJ123" i="22"/>
  <c r="AK123" i="22" s="1"/>
  <c r="JB65" i="8"/>
  <c r="V57" i="20"/>
  <c r="AI110" i="17" l="1"/>
  <c r="AH55" i="20"/>
  <c r="AF55" i="20" s="1"/>
  <c r="AQ110" i="17"/>
  <c r="HF53" i="8"/>
  <c r="HH53" i="8" s="1"/>
  <c r="HG53" i="8" s="1"/>
  <c r="HD53" i="8" s="1"/>
  <c r="HB53" i="8" s="1"/>
  <c r="HE53" i="8"/>
  <c r="BH96" i="22"/>
  <c r="FN53" i="8"/>
  <c r="FP53" i="8" s="1"/>
  <c r="FO53" i="8" s="1"/>
  <c r="FL53" i="8" s="1"/>
  <c r="FJ53" i="8" s="1"/>
  <c r="FM53" i="8"/>
  <c r="DU53" i="8"/>
  <c r="DS53" i="8" s="1"/>
  <c r="DZ53" i="8"/>
  <c r="BG96" i="22"/>
  <c r="BD96" i="22" s="1"/>
  <c r="BL96" i="22"/>
  <c r="BI97" i="22" s="1"/>
  <c r="BK97" i="22" s="1"/>
  <c r="BJ97" i="22" s="1"/>
  <c r="BG97" i="22" s="1"/>
  <c r="BD97" i="22" s="1"/>
  <c r="BC93" i="22"/>
  <c r="BB93" i="22" s="1"/>
  <c r="AU93" i="22" s="1"/>
  <c r="BQ121" i="22"/>
  <c r="BP121" i="22" s="1"/>
  <c r="BR121" i="22" s="1"/>
  <c r="BO122" i="22" s="1"/>
  <c r="BN121" i="22"/>
  <c r="A124" i="22"/>
  <c r="AJ124" i="22"/>
  <c r="AK124" i="22" s="1"/>
  <c r="JB66" i="8"/>
  <c r="V58" i="20"/>
  <c r="AN111" i="17" l="1"/>
  <c r="AP111" i="17" s="1"/>
  <c r="AO111" i="17" s="1"/>
  <c r="AK111" i="17" s="1"/>
  <c r="AL111" i="17"/>
  <c r="HI53" i="8"/>
  <c r="FQ53" i="8"/>
  <c r="DW54" i="8"/>
  <c r="DY54" i="8" s="1"/>
  <c r="DX54" i="8" s="1"/>
  <c r="DV54" i="8"/>
  <c r="BH97" i="22"/>
  <c r="BQ122" i="22"/>
  <c r="BP122" i="22" s="1"/>
  <c r="BR122" i="22" s="1"/>
  <c r="BO123" i="22" s="1"/>
  <c r="BN122" i="22"/>
  <c r="BL97" i="22"/>
  <c r="BI98" i="22" s="1"/>
  <c r="AJ125" i="22"/>
  <c r="AK125" i="22" s="1"/>
  <c r="A125" i="22"/>
  <c r="JB67" i="8"/>
  <c r="V59" i="20"/>
  <c r="AI111" i="17" l="1"/>
  <c r="AH56" i="20"/>
  <c r="AF56" i="20" s="1"/>
  <c r="AQ111" i="17"/>
  <c r="AL112" i="17" s="1"/>
  <c r="HF54" i="8"/>
  <c r="HH54" i="8" s="1"/>
  <c r="HG54" i="8" s="1"/>
  <c r="HD54" i="8" s="1"/>
  <c r="HB54" i="8" s="1"/>
  <c r="HE54" i="8"/>
  <c r="FN54" i="8"/>
  <c r="FP54" i="8" s="1"/>
  <c r="FO54" i="8" s="1"/>
  <c r="FL54" i="8" s="1"/>
  <c r="FJ54" i="8" s="1"/>
  <c r="FM54" i="8"/>
  <c r="DU54" i="8"/>
  <c r="DS54" i="8" s="1"/>
  <c r="DZ54" i="8"/>
  <c r="BQ123" i="22"/>
  <c r="BP123" i="22" s="1"/>
  <c r="BR123" i="22" s="1"/>
  <c r="BO124" i="22" s="1"/>
  <c r="BN123" i="22"/>
  <c r="BH98" i="22"/>
  <c r="BK98" i="22"/>
  <c r="BJ98" i="22" s="1"/>
  <c r="BG98" i="22" s="1"/>
  <c r="BD98" i="22" s="1"/>
  <c r="A126" i="22"/>
  <c r="AJ126" i="22"/>
  <c r="AK126" i="22" s="1"/>
  <c r="JB68" i="8"/>
  <c r="V60" i="20"/>
  <c r="AN112" i="17" l="1"/>
  <c r="AP112" i="17" s="1"/>
  <c r="AO112" i="17" s="1"/>
  <c r="AK112" i="17" s="1"/>
  <c r="HI54" i="8"/>
  <c r="FQ54" i="8"/>
  <c r="DW55" i="8"/>
  <c r="DY55" i="8" s="1"/>
  <c r="DX55" i="8" s="1"/>
  <c r="DV55" i="8"/>
  <c r="BQ124" i="22"/>
  <c r="BP124" i="22" s="1"/>
  <c r="BR124" i="22" s="1"/>
  <c r="BO125" i="22" s="1"/>
  <c r="BN124" i="22"/>
  <c r="BL98" i="22"/>
  <c r="BI99" i="22" s="1"/>
  <c r="A127" i="22"/>
  <c r="AJ127" i="22"/>
  <c r="AK127" i="22" s="1"/>
  <c r="JB69" i="8"/>
  <c r="V61" i="20"/>
  <c r="AI112" i="17" l="1"/>
  <c r="AH57" i="20"/>
  <c r="AF57" i="20" s="1"/>
  <c r="AQ112" i="17"/>
  <c r="AL113" i="17" s="1"/>
  <c r="HF55" i="8"/>
  <c r="HH55" i="8" s="1"/>
  <c r="HG55" i="8" s="1"/>
  <c r="HE55" i="8"/>
  <c r="FN55" i="8"/>
  <c r="FP55" i="8" s="1"/>
  <c r="FO55" i="8" s="1"/>
  <c r="FL55" i="8" s="1"/>
  <c r="FJ55" i="8" s="1"/>
  <c r="FM55" i="8"/>
  <c r="DU55" i="8"/>
  <c r="DS55" i="8" s="1"/>
  <c r="DZ55" i="8"/>
  <c r="BQ125" i="22"/>
  <c r="BP125" i="22" s="1"/>
  <c r="BR125" i="22" s="1"/>
  <c r="BO126" i="22" s="1"/>
  <c r="BN125" i="22"/>
  <c r="BH99" i="22"/>
  <c r="BK99" i="22"/>
  <c r="BJ99" i="22" s="1"/>
  <c r="AJ128" i="22"/>
  <c r="AK128" i="22" s="1"/>
  <c r="A128" i="22"/>
  <c r="JB70" i="8"/>
  <c r="V62" i="20"/>
  <c r="AN113" i="17" l="1"/>
  <c r="AP113" i="17" s="1"/>
  <c r="AO113" i="17" s="1"/>
  <c r="AQ113" i="17" s="1"/>
  <c r="AL114" i="17" s="1"/>
  <c r="HD55" i="8"/>
  <c r="HB55" i="8" s="1"/>
  <c r="HI55" i="8"/>
  <c r="FQ55" i="8"/>
  <c r="DW56" i="8"/>
  <c r="DY56" i="8" s="1"/>
  <c r="DX56" i="8" s="1"/>
  <c r="DV56" i="8"/>
  <c r="BQ126" i="22"/>
  <c r="BP126" i="22" s="1"/>
  <c r="BR126" i="22" s="1"/>
  <c r="BO127" i="22" s="1"/>
  <c r="BN126" i="22"/>
  <c r="BG99" i="22"/>
  <c r="BD99" i="22" s="1"/>
  <c r="BL99" i="22"/>
  <c r="BI100" i="22" s="1"/>
  <c r="A129" i="22"/>
  <c r="AJ129" i="22"/>
  <c r="AK129" i="22" s="1"/>
  <c r="JB71" i="8"/>
  <c r="V63" i="20"/>
  <c r="AN114" i="17" l="1"/>
  <c r="AP114" i="17" s="1"/>
  <c r="AO114" i="17" s="1"/>
  <c r="AK114" i="17" s="1"/>
  <c r="AK113" i="17"/>
  <c r="HF56" i="8"/>
  <c r="HH56" i="8" s="1"/>
  <c r="HG56" i="8" s="1"/>
  <c r="HE56" i="8"/>
  <c r="FN56" i="8"/>
  <c r="FP56" i="8" s="1"/>
  <c r="FO56" i="8" s="1"/>
  <c r="FL56" i="8" s="1"/>
  <c r="FJ56" i="8" s="1"/>
  <c r="FM56" i="8"/>
  <c r="DU56" i="8"/>
  <c r="DS56" i="8" s="1"/>
  <c r="DZ56" i="8"/>
  <c r="BQ127" i="22"/>
  <c r="BP127" i="22" s="1"/>
  <c r="BR127" i="22" s="1"/>
  <c r="BO128" i="22" s="1"/>
  <c r="BN127" i="22"/>
  <c r="BK100" i="22"/>
  <c r="BJ100" i="22" s="1"/>
  <c r="BH100" i="22"/>
  <c r="AJ130" i="22"/>
  <c r="AK130" i="22" s="1"/>
  <c r="A130" i="22"/>
  <c r="JB72" i="8"/>
  <c r="V64" i="20"/>
  <c r="AI113" i="17" l="1"/>
  <c r="AH58" i="20"/>
  <c r="AF58" i="20" s="1"/>
  <c r="AI114" i="17"/>
  <c r="AH59" i="20"/>
  <c r="AF59" i="20" s="1"/>
  <c r="AQ114" i="17"/>
  <c r="AN115" i="17" s="1"/>
  <c r="AP115" i="17" s="1"/>
  <c r="AO115" i="17" s="1"/>
  <c r="AK115" i="17" s="1"/>
  <c r="HD56" i="8"/>
  <c r="HB56" i="8" s="1"/>
  <c r="HI56" i="8"/>
  <c r="FQ56" i="8"/>
  <c r="FN57" i="8" s="1"/>
  <c r="FP57" i="8" s="1"/>
  <c r="FO57" i="8" s="1"/>
  <c r="FL57" i="8" s="1"/>
  <c r="FJ57" i="8" s="1"/>
  <c r="DW57" i="8"/>
  <c r="DY57" i="8" s="1"/>
  <c r="DX57" i="8" s="1"/>
  <c r="DV57" i="8"/>
  <c r="BQ128" i="22"/>
  <c r="BP128" i="22" s="1"/>
  <c r="BR128" i="22" s="1"/>
  <c r="BO129" i="22" s="1"/>
  <c r="BN128" i="22"/>
  <c r="BG100" i="22"/>
  <c r="BD100" i="22" s="1"/>
  <c r="BL100" i="22"/>
  <c r="BI101" i="22" s="1"/>
  <c r="A131" i="22"/>
  <c r="AJ131" i="22"/>
  <c r="AK131" i="22" s="1"/>
  <c r="JB73" i="8"/>
  <c r="V65" i="20"/>
  <c r="AI115" i="17" l="1"/>
  <c r="AH60" i="20"/>
  <c r="AF60" i="20" s="1"/>
  <c r="AQ115" i="17"/>
  <c r="AN116" i="17" s="1"/>
  <c r="AP116" i="17" s="1"/>
  <c r="AO116" i="17" s="1"/>
  <c r="AL115" i="17"/>
  <c r="HF57" i="8"/>
  <c r="HH57" i="8" s="1"/>
  <c r="HG57" i="8" s="1"/>
  <c r="HD57" i="8" s="1"/>
  <c r="HB57" i="8" s="1"/>
  <c r="HE57" i="8"/>
  <c r="FM57" i="8"/>
  <c r="FQ57" i="8"/>
  <c r="DU57" i="8"/>
  <c r="DS57" i="8" s="1"/>
  <c r="DZ57" i="8"/>
  <c r="BQ129" i="22"/>
  <c r="BP129" i="22" s="1"/>
  <c r="BR129" i="22" s="1"/>
  <c r="BO130" i="22" s="1"/>
  <c r="BN129" i="22"/>
  <c r="BH101" i="22"/>
  <c r="BK101" i="22"/>
  <c r="BJ101" i="22" s="1"/>
  <c r="BG101" i="22" s="1"/>
  <c r="BD101" i="22" s="1"/>
  <c r="AJ132" i="22"/>
  <c r="AK132" i="22" s="1"/>
  <c r="A132" i="22"/>
  <c r="JB74" i="8"/>
  <c r="V66" i="20"/>
  <c r="AL116" i="17" l="1"/>
  <c r="AK116" i="17"/>
  <c r="AQ116" i="17"/>
  <c r="HI57" i="8"/>
  <c r="HF58" i="8" s="1"/>
  <c r="HH58" i="8" s="1"/>
  <c r="HG58" i="8" s="1"/>
  <c r="FN58" i="8"/>
  <c r="FP58" i="8" s="1"/>
  <c r="FO58" i="8" s="1"/>
  <c r="FL58" i="8" s="1"/>
  <c r="FJ58" i="8" s="1"/>
  <c r="FM58" i="8"/>
  <c r="DW58" i="8"/>
  <c r="DY58" i="8" s="1"/>
  <c r="DX58" i="8" s="1"/>
  <c r="DV58" i="8"/>
  <c r="BQ130" i="22"/>
  <c r="BP130" i="22" s="1"/>
  <c r="BR130" i="22" s="1"/>
  <c r="BO131" i="22" s="1"/>
  <c r="BN130" i="22"/>
  <c r="BL101" i="22"/>
  <c r="BI102" i="22" s="1"/>
  <c r="A133" i="22"/>
  <c r="AJ133" i="22"/>
  <c r="AK133" i="22" s="1"/>
  <c r="JB75" i="8"/>
  <c r="V67" i="20"/>
  <c r="AI116" i="17" l="1"/>
  <c r="AH61" i="20"/>
  <c r="AF61" i="20" s="1"/>
  <c r="AN117" i="17"/>
  <c r="AP117" i="17" s="1"/>
  <c r="AO117" i="17" s="1"/>
  <c r="AK117" i="17" s="1"/>
  <c r="AL117" i="17"/>
  <c r="HE58" i="8"/>
  <c r="HD58" i="8"/>
  <c r="HB58" i="8" s="1"/>
  <c r="HI58" i="8"/>
  <c r="HF59" i="8" s="1"/>
  <c r="HH59" i="8" s="1"/>
  <c r="HG59" i="8" s="1"/>
  <c r="FQ58" i="8"/>
  <c r="DU58" i="8"/>
  <c r="DS58" i="8" s="1"/>
  <c r="DZ58" i="8"/>
  <c r="BQ131" i="22"/>
  <c r="BP131" i="22" s="1"/>
  <c r="BR131" i="22" s="1"/>
  <c r="BO132" i="22" s="1"/>
  <c r="BN131" i="22"/>
  <c r="BK102" i="22"/>
  <c r="BJ102" i="22" s="1"/>
  <c r="BG102" i="22" s="1"/>
  <c r="BD102" i="22" s="1"/>
  <c r="BH102" i="22"/>
  <c r="AJ134" i="22"/>
  <c r="AK134" i="22" s="1"/>
  <c r="A134" i="22"/>
  <c r="JB76" i="8"/>
  <c r="V68" i="20"/>
  <c r="AI117" i="17" l="1"/>
  <c r="AH62" i="20"/>
  <c r="AF62" i="20" s="1"/>
  <c r="AQ117" i="17"/>
  <c r="AL118" i="17" s="1"/>
  <c r="HE59" i="8"/>
  <c r="FN59" i="8"/>
  <c r="FP59" i="8" s="1"/>
  <c r="FO59" i="8" s="1"/>
  <c r="FL59" i="8" s="1"/>
  <c r="FJ59" i="8" s="1"/>
  <c r="FM59" i="8"/>
  <c r="DW59" i="8"/>
  <c r="DY59" i="8" s="1"/>
  <c r="DX59" i="8" s="1"/>
  <c r="DV59" i="8"/>
  <c r="HD59" i="8"/>
  <c r="HB59" i="8" s="1"/>
  <c r="HI59" i="8"/>
  <c r="HF60" i="8" s="1"/>
  <c r="BQ132" i="22"/>
  <c r="BP132" i="22" s="1"/>
  <c r="BR132" i="22" s="1"/>
  <c r="BO133" i="22" s="1"/>
  <c r="BN132" i="22"/>
  <c r="BL102" i="22"/>
  <c r="BI103" i="22" s="1"/>
  <c r="A135" i="22"/>
  <c r="AJ135" i="22"/>
  <c r="AK135" i="22" s="1"/>
  <c r="JB77" i="8"/>
  <c r="V69" i="20"/>
  <c r="AN118" i="17" l="1"/>
  <c r="AP118" i="17" s="1"/>
  <c r="AO118" i="17" s="1"/>
  <c r="AK118" i="17" s="1"/>
  <c r="FQ59" i="8"/>
  <c r="DU59" i="8"/>
  <c r="DS59" i="8" s="1"/>
  <c r="DZ59" i="8"/>
  <c r="HE60" i="8"/>
  <c r="HH60" i="8"/>
  <c r="HG60" i="8" s="1"/>
  <c r="BQ133" i="22"/>
  <c r="BP133" i="22" s="1"/>
  <c r="BR133" i="22" s="1"/>
  <c r="BO134" i="22" s="1"/>
  <c r="BN133" i="22"/>
  <c r="BK103" i="22"/>
  <c r="BJ103" i="22" s="1"/>
  <c r="BG103" i="22" s="1"/>
  <c r="BD103" i="22" s="1"/>
  <c r="BH103" i="22"/>
  <c r="AJ136" i="22"/>
  <c r="AK136" i="22" s="1"/>
  <c r="A136" i="22"/>
  <c r="JB78" i="8"/>
  <c r="V70" i="20"/>
  <c r="AI118" i="17" l="1"/>
  <c r="AH63" i="20"/>
  <c r="AF63" i="20" s="1"/>
  <c r="AQ118" i="17"/>
  <c r="FN60" i="8"/>
  <c r="FP60" i="8" s="1"/>
  <c r="FO60" i="8" s="1"/>
  <c r="FM60" i="8"/>
  <c r="DW60" i="8"/>
  <c r="DY60" i="8" s="1"/>
  <c r="DX60" i="8" s="1"/>
  <c r="DV60" i="8"/>
  <c r="HD60" i="8"/>
  <c r="HB60" i="8" s="1"/>
  <c r="HI60" i="8"/>
  <c r="HF61" i="8" s="1"/>
  <c r="BQ134" i="22"/>
  <c r="BP134" i="22" s="1"/>
  <c r="BR134" i="22" s="1"/>
  <c r="BO135" i="22" s="1"/>
  <c r="BN134" i="22"/>
  <c r="BL103" i="22"/>
  <c r="A137" i="22"/>
  <c r="AJ137" i="22"/>
  <c r="AK137" i="22" s="1"/>
  <c r="JB79" i="8"/>
  <c r="V71" i="20"/>
  <c r="AN119" i="17" l="1"/>
  <c r="AP119" i="17" s="1"/>
  <c r="AO119" i="17" s="1"/>
  <c r="AL119" i="17"/>
  <c r="FQ60" i="8"/>
  <c r="FL60" i="8"/>
  <c r="FJ60" i="8" s="1"/>
  <c r="DU60" i="8"/>
  <c r="DS60" i="8" s="1"/>
  <c r="DZ60" i="8"/>
  <c r="BI104" i="22"/>
  <c r="BK104" i="22" s="1"/>
  <c r="BJ104" i="22" s="1"/>
  <c r="HH61" i="8"/>
  <c r="HG61" i="8" s="1"/>
  <c r="HE61" i="8"/>
  <c r="BQ135" i="22"/>
  <c r="BP135" i="22" s="1"/>
  <c r="BR135" i="22" s="1"/>
  <c r="BO136" i="22" s="1"/>
  <c r="BN135" i="22"/>
  <c r="BH104" i="22"/>
  <c r="AJ138" i="22"/>
  <c r="AK138" i="22" s="1"/>
  <c r="A138" i="22"/>
  <c r="JB80" i="8"/>
  <c r="V72" i="20"/>
  <c r="AQ119" i="17" l="1"/>
  <c r="AK119" i="17"/>
  <c r="FN61" i="8"/>
  <c r="FP61" i="8" s="1"/>
  <c r="FO61" i="8" s="1"/>
  <c r="FL61" i="8" s="1"/>
  <c r="FJ61" i="8" s="1"/>
  <c r="FM61" i="8"/>
  <c r="DW61" i="8"/>
  <c r="DY61" i="8" s="1"/>
  <c r="DX61" i="8" s="1"/>
  <c r="DU61" i="8" s="1"/>
  <c r="DS61" i="8" s="1"/>
  <c r="DV61" i="8"/>
  <c r="BG104" i="22"/>
  <c r="BD104" i="22" s="1"/>
  <c r="BL104" i="22"/>
  <c r="BI105" i="22" s="1"/>
  <c r="BK105" i="22" s="1"/>
  <c r="BJ105" i="22" s="1"/>
  <c r="BG105" i="22" s="1"/>
  <c r="BD105" i="22" s="1"/>
  <c r="HD61" i="8"/>
  <c r="HB61" i="8" s="1"/>
  <c r="HI61" i="8"/>
  <c r="HF62" i="8" s="1"/>
  <c r="BQ136" i="22"/>
  <c r="BP136" i="22" s="1"/>
  <c r="BR136" i="22" s="1"/>
  <c r="BO137" i="22" s="1"/>
  <c r="BN136" i="22"/>
  <c r="A139" i="22"/>
  <c r="AJ139" i="22"/>
  <c r="AK139" i="22" s="1"/>
  <c r="JB81" i="8"/>
  <c r="V73" i="20"/>
  <c r="AI119" i="17" l="1"/>
  <c r="AH64" i="20"/>
  <c r="AF64" i="20" s="1"/>
  <c r="AN120" i="17"/>
  <c r="AP120" i="17" s="1"/>
  <c r="AO120" i="17" s="1"/>
  <c r="AL120" i="17"/>
  <c r="FQ61" i="8"/>
  <c r="BH105" i="22"/>
  <c r="DZ61" i="8"/>
  <c r="HH62" i="8"/>
  <c r="HG62" i="8" s="1"/>
  <c r="HE62" i="8"/>
  <c r="BQ137" i="22"/>
  <c r="BP137" i="22" s="1"/>
  <c r="BR137" i="22" s="1"/>
  <c r="BO138" i="22" s="1"/>
  <c r="BN137" i="22"/>
  <c r="BL105" i="22"/>
  <c r="AJ140" i="22"/>
  <c r="AK140" i="22" s="1"/>
  <c r="A140" i="22"/>
  <c r="JB82" i="8"/>
  <c r="V74" i="20"/>
  <c r="AK120" i="17" l="1"/>
  <c r="AQ120" i="17"/>
  <c r="FN62" i="8"/>
  <c r="FP62" i="8" s="1"/>
  <c r="FO62" i="8" s="1"/>
  <c r="FL62" i="8" s="1"/>
  <c r="FJ62" i="8" s="1"/>
  <c r="FM62" i="8"/>
  <c r="DW62" i="8"/>
  <c r="DY62" i="8" s="1"/>
  <c r="DX62" i="8" s="1"/>
  <c r="DV62" i="8"/>
  <c r="BI106" i="22"/>
  <c r="BK106" i="22" s="1"/>
  <c r="BJ106" i="22" s="1"/>
  <c r="HD62" i="8"/>
  <c r="HB62" i="8" s="1"/>
  <c r="HI62" i="8"/>
  <c r="HF63" i="8" s="1"/>
  <c r="BQ138" i="22"/>
  <c r="BP138" i="22" s="1"/>
  <c r="BR138" i="22" s="1"/>
  <c r="BO139" i="22" s="1"/>
  <c r="BN138" i="22"/>
  <c r="BH106" i="22"/>
  <c r="A141" i="22"/>
  <c r="AJ141" i="22"/>
  <c r="AK141" i="22" s="1"/>
  <c r="JB83" i="8"/>
  <c r="V75" i="20"/>
  <c r="AI120" i="17" l="1"/>
  <c r="AH65" i="20"/>
  <c r="AF65" i="20" s="1"/>
  <c r="AL121" i="17"/>
  <c r="AN121" i="17"/>
  <c r="AP121" i="17" s="1"/>
  <c r="AO121" i="17" s="1"/>
  <c r="FQ62" i="8"/>
  <c r="DU62" i="8"/>
  <c r="DS62" i="8" s="1"/>
  <c r="DZ62" i="8"/>
  <c r="BG106" i="22"/>
  <c r="BD106" i="22" s="1"/>
  <c r="BL106" i="22"/>
  <c r="BI107" i="22" s="1"/>
  <c r="HH63" i="8"/>
  <c r="HG63" i="8" s="1"/>
  <c r="HE63" i="8"/>
  <c r="BQ139" i="22"/>
  <c r="BP139" i="22" s="1"/>
  <c r="BR139" i="22" s="1"/>
  <c r="BO140" i="22" s="1"/>
  <c r="BN139" i="22"/>
  <c r="AJ142" i="22"/>
  <c r="AK142" i="22" s="1"/>
  <c r="A142" i="22"/>
  <c r="JB84" i="8"/>
  <c r="V76" i="20"/>
  <c r="AQ121" i="17" l="1"/>
  <c r="AK121" i="17"/>
  <c r="FN63" i="8"/>
  <c r="FP63" i="8" s="1"/>
  <c r="FO63" i="8" s="1"/>
  <c r="FL63" i="8" s="1"/>
  <c r="FJ63" i="8" s="1"/>
  <c r="FM63" i="8"/>
  <c r="DW63" i="8"/>
  <c r="DY63" i="8" s="1"/>
  <c r="DX63" i="8" s="1"/>
  <c r="DV63" i="8"/>
  <c r="BK107" i="22"/>
  <c r="BJ107" i="22" s="1"/>
  <c r="BG107" i="22" s="1"/>
  <c r="BD107" i="22" s="1"/>
  <c r="BH107" i="22"/>
  <c r="HD63" i="8"/>
  <c r="HB63" i="8" s="1"/>
  <c r="HI63" i="8"/>
  <c r="HF64" i="8" s="1"/>
  <c r="BQ140" i="22"/>
  <c r="BP140" i="22" s="1"/>
  <c r="BR140" i="22" s="1"/>
  <c r="BO141" i="22" s="1"/>
  <c r="BN140" i="22"/>
  <c r="A143" i="22"/>
  <c r="AJ143" i="22"/>
  <c r="AK143" i="22" s="1"/>
  <c r="JB85" i="8"/>
  <c r="V77" i="20"/>
  <c r="AI121" i="17" l="1"/>
  <c r="AH66" i="20"/>
  <c r="AF66" i="20" s="1"/>
  <c r="AN122" i="17"/>
  <c r="AP122" i="17" s="1"/>
  <c r="AO122" i="17" s="1"/>
  <c r="AK122" i="17" s="1"/>
  <c r="AL122" i="17"/>
  <c r="FQ63" i="8"/>
  <c r="DU63" i="8"/>
  <c r="DS63" i="8" s="1"/>
  <c r="DZ63" i="8"/>
  <c r="BL107" i="22"/>
  <c r="BI108" i="22" s="1"/>
  <c r="BK108" i="22" s="1"/>
  <c r="BJ108" i="22" s="1"/>
  <c r="HE64" i="8"/>
  <c r="HH64" i="8"/>
  <c r="HG64" i="8" s="1"/>
  <c r="BQ141" i="22"/>
  <c r="BP141" i="22" s="1"/>
  <c r="BR141" i="22" s="1"/>
  <c r="BO142" i="22" s="1"/>
  <c r="BN141" i="22"/>
  <c r="AJ144" i="22"/>
  <c r="AK144" i="22" s="1"/>
  <c r="A144" i="22"/>
  <c r="JB86" i="8"/>
  <c r="V78" i="20"/>
  <c r="AI122" i="17" l="1"/>
  <c r="AH67" i="20"/>
  <c r="AF67" i="20" s="1"/>
  <c r="AQ122" i="17"/>
  <c r="AL123" i="17" s="1"/>
  <c r="FN64" i="8"/>
  <c r="FP64" i="8" s="1"/>
  <c r="FO64" i="8" s="1"/>
  <c r="FL64" i="8" s="1"/>
  <c r="FJ64" i="8" s="1"/>
  <c r="FM64" i="8"/>
  <c r="BH108" i="22"/>
  <c r="DW64" i="8"/>
  <c r="DY64" i="8" s="1"/>
  <c r="DX64" i="8" s="1"/>
  <c r="DV64" i="8"/>
  <c r="HD64" i="8"/>
  <c r="HB64" i="8" s="1"/>
  <c r="HI64" i="8"/>
  <c r="HF65" i="8" s="1"/>
  <c r="BQ142" i="22"/>
  <c r="BP142" i="22" s="1"/>
  <c r="BR142" i="22" s="1"/>
  <c r="BO143" i="22" s="1"/>
  <c r="BN142" i="22"/>
  <c r="BG108" i="22"/>
  <c r="BD108" i="22" s="1"/>
  <c r="BL108" i="22"/>
  <c r="BI109" i="22" s="1"/>
  <c r="A145" i="22"/>
  <c r="AJ145" i="22"/>
  <c r="AK145" i="22" s="1"/>
  <c r="JB87" i="8"/>
  <c r="V79" i="20"/>
  <c r="AN123" i="17" l="1"/>
  <c r="AP123" i="17" s="1"/>
  <c r="AO123" i="17" s="1"/>
  <c r="AK123" i="17" s="1"/>
  <c r="FQ64" i="8"/>
  <c r="DU64" i="8"/>
  <c r="DS64" i="8" s="1"/>
  <c r="DZ64" i="8"/>
  <c r="HH65" i="8"/>
  <c r="HG65" i="8" s="1"/>
  <c r="HE65" i="8"/>
  <c r="BQ143" i="22"/>
  <c r="BP143" i="22" s="1"/>
  <c r="BR143" i="22" s="1"/>
  <c r="BO144" i="22" s="1"/>
  <c r="BN143" i="22"/>
  <c r="BH109" i="22"/>
  <c r="BK109" i="22"/>
  <c r="BJ109" i="22" s="1"/>
  <c r="BG109" i="22" s="1"/>
  <c r="BD109" i="22" s="1"/>
  <c r="AJ146" i="22"/>
  <c r="AK146" i="22" s="1"/>
  <c r="A146" i="22"/>
  <c r="JB88" i="8"/>
  <c r="V80" i="20"/>
  <c r="AI123" i="17" l="1"/>
  <c r="AH68" i="20"/>
  <c r="AF68" i="20" s="1"/>
  <c r="AQ123" i="17"/>
  <c r="FN65" i="8"/>
  <c r="FP65" i="8" s="1"/>
  <c r="FO65" i="8" s="1"/>
  <c r="FL65" i="8" s="1"/>
  <c r="FJ65" i="8" s="1"/>
  <c r="FM65" i="8"/>
  <c r="DV65" i="8"/>
  <c r="DW65" i="8"/>
  <c r="DY65" i="8" s="1"/>
  <c r="DX65" i="8" s="1"/>
  <c r="DU65" i="8" s="1"/>
  <c r="DS65" i="8" s="1"/>
  <c r="HD65" i="8"/>
  <c r="HB65" i="8" s="1"/>
  <c r="HI65" i="8"/>
  <c r="HF66" i="8" s="1"/>
  <c r="BQ144" i="22"/>
  <c r="BP144" i="22" s="1"/>
  <c r="BR144" i="22" s="1"/>
  <c r="BO145" i="22" s="1"/>
  <c r="BN144" i="22"/>
  <c r="BL109" i="22"/>
  <c r="AJ147" i="22"/>
  <c r="AK147" i="22" s="1"/>
  <c r="A147" i="22"/>
  <c r="JB89" i="8"/>
  <c r="V81" i="20"/>
  <c r="AN124" i="17" l="1"/>
  <c r="AP124" i="17" s="1"/>
  <c r="AO124" i="17" s="1"/>
  <c r="AL124" i="17"/>
  <c r="FQ65" i="8"/>
  <c r="FN66" i="8" s="1"/>
  <c r="FP66" i="8" s="1"/>
  <c r="FO66" i="8" s="1"/>
  <c r="FL66" i="8" s="1"/>
  <c r="FJ66" i="8" s="1"/>
  <c r="DZ65" i="8"/>
  <c r="BH110" i="22"/>
  <c r="BI110" i="22"/>
  <c r="BK110" i="22" s="1"/>
  <c r="BJ110" i="22" s="1"/>
  <c r="HE66" i="8"/>
  <c r="HH66" i="8"/>
  <c r="HG66" i="8" s="1"/>
  <c r="BQ145" i="22"/>
  <c r="BP145" i="22" s="1"/>
  <c r="BR145" i="22" s="1"/>
  <c r="BO146" i="22" s="1"/>
  <c r="BN145" i="22"/>
  <c r="A148" i="22"/>
  <c r="AJ148" i="22"/>
  <c r="AK148" i="22" s="1"/>
  <c r="JB90" i="8"/>
  <c r="V82" i="20"/>
  <c r="AK124" i="17" l="1"/>
  <c r="AQ124" i="17"/>
  <c r="FM66" i="8"/>
  <c r="FQ66" i="8"/>
  <c r="DW66" i="8"/>
  <c r="DY66" i="8" s="1"/>
  <c r="DX66" i="8" s="1"/>
  <c r="DU66" i="8" s="1"/>
  <c r="DS66" i="8" s="1"/>
  <c r="DV66" i="8"/>
  <c r="HD66" i="8"/>
  <c r="HB66" i="8" s="1"/>
  <c r="HI66" i="8"/>
  <c r="HF67" i="8" s="1"/>
  <c r="BQ146" i="22"/>
  <c r="BP146" i="22" s="1"/>
  <c r="BR146" i="22" s="1"/>
  <c r="BO147" i="22" s="1"/>
  <c r="BN146" i="22"/>
  <c r="BG110" i="22"/>
  <c r="BD110" i="22" s="1"/>
  <c r="BL110" i="22"/>
  <c r="BI111" i="22" s="1"/>
  <c r="AJ149" i="22"/>
  <c r="AK149" i="22" s="1"/>
  <c r="A149" i="22"/>
  <c r="JB91" i="8"/>
  <c r="V83" i="20"/>
  <c r="AI124" i="17" l="1"/>
  <c r="AH69" i="20"/>
  <c r="AF69" i="20" s="1"/>
  <c r="AL125" i="17"/>
  <c r="AN125" i="17"/>
  <c r="AP125" i="17" s="1"/>
  <c r="AO125" i="17" s="1"/>
  <c r="FN67" i="8"/>
  <c r="FP67" i="8" s="1"/>
  <c r="FO67" i="8" s="1"/>
  <c r="FL67" i="8" s="1"/>
  <c r="FJ67" i="8" s="1"/>
  <c r="FM67" i="8"/>
  <c r="DZ66" i="8"/>
  <c r="HH67" i="8"/>
  <c r="HG67" i="8" s="1"/>
  <c r="HE67" i="8"/>
  <c r="BQ147" i="22"/>
  <c r="BP147" i="22" s="1"/>
  <c r="BR147" i="22" s="1"/>
  <c r="BO148" i="22" s="1"/>
  <c r="BN147" i="22"/>
  <c r="BK111" i="22"/>
  <c r="BJ111" i="22" s="1"/>
  <c r="BG111" i="22" s="1"/>
  <c r="BD111" i="22" s="1"/>
  <c r="BH111" i="22"/>
  <c r="A150" i="22"/>
  <c r="AJ150" i="22"/>
  <c r="AK150" i="22" s="1"/>
  <c r="JB92" i="8"/>
  <c r="V84" i="20"/>
  <c r="AQ125" i="17" l="1"/>
  <c r="AK125" i="17"/>
  <c r="FQ67" i="8"/>
  <c r="DW67" i="8"/>
  <c r="DY67" i="8" s="1"/>
  <c r="DX67" i="8" s="1"/>
  <c r="DV67" i="8"/>
  <c r="HD67" i="8"/>
  <c r="HB67" i="8" s="1"/>
  <c r="HI67" i="8"/>
  <c r="HF68" i="8" s="1"/>
  <c r="BQ148" i="22"/>
  <c r="BP148" i="22" s="1"/>
  <c r="BR148" i="22" s="1"/>
  <c r="BO149" i="22" s="1"/>
  <c r="BN148" i="22"/>
  <c r="BL111" i="22"/>
  <c r="BI112" i="22" s="1"/>
  <c r="AJ151" i="22"/>
  <c r="AK151" i="22" s="1"/>
  <c r="A151" i="22"/>
  <c r="JB93" i="8"/>
  <c r="V85" i="20"/>
  <c r="AI125" i="17" l="1"/>
  <c r="AH70" i="20"/>
  <c r="AF70" i="20" s="1"/>
  <c r="AL126" i="17"/>
  <c r="AN126" i="17"/>
  <c r="AP126" i="17" s="1"/>
  <c r="AO126" i="17" s="1"/>
  <c r="AK126" i="17" s="1"/>
  <c r="FN68" i="8"/>
  <c r="FP68" i="8" s="1"/>
  <c r="FO68" i="8" s="1"/>
  <c r="FM68" i="8"/>
  <c r="DU67" i="8"/>
  <c r="DS67" i="8" s="1"/>
  <c r="DZ67" i="8"/>
  <c r="DW68" i="8" s="1"/>
  <c r="DY68" i="8" s="1"/>
  <c r="DX68" i="8" s="1"/>
  <c r="HE68" i="8"/>
  <c r="HH68" i="8"/>
  <c r="HG68" i="8" s="1"/>
  <c r="BQ149" i="22"/>
  <c r="BP149" i="22" s="1"/>
  <c r="BR149" i="22" s="1"/>
  <c r="BO150" i="22" s="1"/>
  <c r="BN149" i="22"/>
  <c r="BK112" i="22"/>
  <c r="BJ112" i="22" s="1"/>
  <c r="BG112" i="22" s="1"/>
  <c r="BD112" i="22" s="1"/>
  <c r="BH112" i="22"/>
  <c r="A152" i="22"/>
  <c r="AJ152" i="22"/>
  <c r="AK152" i="22" s="1"/>
  <c r="JB94" i="8"/>
  <c r="V86" i="20"/>
  <c r="AI126" i="17" l="1"/>
  <c r="AH71" i="20"/>
  <c r="AF71" i="20" s="1"/>
  <c r="AQ126" i="17"/>
  <c r="AN127" i="17" s="1"/>
  <c r="AP127" i="17" s="1"/>
  <c r="AO127" i="17" s="1"/>
  <c r="AK127" i="17" s="1"/>
  <c r="FL68" i="8"/>
  <c r="FJ68" i="8" s="1"/>
  <c r="FQ68" i="8"/>
  <c r="DV68" i="8"/>
  <c r="DU68" i="8"/>
  <c r="DS68" i="8" s="1"/>
  <c r="DZ68" i="8"/>
  <c r="HD68" i="8"/>
  <c r="HB68" i="8" s="1"/>
  <c r="HI68" i="8"/>
  <c r="HF69" i="8" s="1"/>
  <c r="BQ150" i="22"/>
  <c r="BP150" i="22" s="1"/>
  <c r="BR150" i="22" s="1"/>
  <c r="BO151" i="22" s="1"/>
  <c r="BN150" i="22"/>
  <c r="BL112" i="22"/>
  <c r="BI113" i="22" s="1"/>
  <c r="A153" i="22"/>
  <c r="AJ153" i="22"/>
  <c r="AK153" i="22" s="1"/>
  <c r="JB95" i="8"/>
  <c r="V87" i="20"/>
  <c r="AI127" i="17" l="1"/>
  <c r="AH72" i="20"/>
  <c r="AF72" i="20" s="1"/>
  <c r="AL127" i="17"/>
  <c r="AQ127" i="17"/>
  <c r="FN69" i="8"/>
  <c r="FP69" i="8" s="1"/>
  <c r="FO69" i="8" s="1"/>
  <c r="FL69" i="8" s="1"/>
  <c r="FJ69" i="8" s="1"/>
  <c r="FM69" i="8"/>
  <c r="DW69" i="8"/>
  <c r="DY69" i="8" s="1"/>
  <c r="DX69" i="8" s="1"/>
  <c r="DV69" i="8"/>
  <c r="HE69" i="8"/>
  <c r="HH69" i="8"/>
  <c r="HG69" i="8" s="1"/>
  <c r="BQ151" i="22"/>
  <c r="BP151" i="22" s="1"/>
  <c r="BR151" i="22" s="1"/>
  <c r="BO152" i="22" s="1"/>
  <c r="BN151" i="22"/>
  <c r="BK113" i="22"/>
  <c r="BJ113" i="22" s="1"/>
  <c r="BG113" i="22" s="1"/>
  <c r="BD113" i="22" s="1"/>
  <c r="BH113" i="22"/>
  <c r="AJ154" i="22"/>
  <c r="AK154" i="22" s="1"/>
  <c r="A154" i="22"/>
  <c r="JB96" i="8"/>
  <c r="V88" i="20"/>
  <c r="AN128" i="17" l="1"/>
  <c r="AP128" i="17" s="1"/>
  <c r="AO128" i="17" s="1"/>
  <c r="AK128" i="17" s="1"/>
  <c r="AL128" i="17"/>
  <c r="FQ69" i="8"/>
  <c r="DU69" i="8"/>
  <c r="DS69" i="8" s="1"/>
  <c r="DZ69" i="8"/>
  <c r="HD69" i="8"/>
  <c r="HB69" i="8" s="1"/>
  <c r="HI69" i="8"/>
  <c r="HF70" i="8" s="1"/>
  <c r="BQ152" i="22"/>
  <c r="BP152" i="22" s="1"/>
  <c r="BR152" i="22" s="1"/>
  <c r="BO153" i="22" s="1"/>
  <c r="BN152" i="22"/>
  <c r="BL113" i="22"/>
  <c r="BI114" i="22" s="1"/>
  <c r="AJ155" i="22"/>
  <c r="AK155" i="22" s="1"/>
  <c r="A155" i="22"/>
  <c r="JB97" i="8"/>
  <c r="V89" i="20"/>
  <c r="AI128" i="17" l="1"/>
  <c r="AH73" i="20"/>
  <c r="AF73" i="20" s="1"/>
  <c r="AQ128" i="17"/>
  <c r="FN70" i="8"/>
  <c r="FP70" i="8" s="1"/>
  <c r="FO70" i="8" s="1"/>
  <c r="FL70" i="8" s="1"/>
  <c r="FJ70" i="8" s="1"/>
  <c r="FM70" i="8"/>
  <c r="DW70" i="8"/>
  <c r="DY70" i="8" s="1"/>
  <c r="DX70" i="8" s="1"/>
  <c r="DV70" i="8"/>
  <c r="HH70" i="8"/>
  <c r="HG70" i="8" s="1"/>
  <c r="HE70" i="8"/>
  <c r="BQ153" i="22"/>
  <c r="BP153" i="22" s="1"/>
  <c r="BR153" i="22" s="1"/>
  <c r="BO154" i="22" s="1"/>
  <c r="BN153" i="22"/>
  <c r="BH114" i="22"/>
  <c r="BK114" i="22"/>
  <c r="BJ114" i="22" s="1"/>
  <c r="BG114" i="22" s="1"/>
  <c r="BD114" i="22" s="1"/>
  <c r="A156" i="22"/>
  <c r="AJ156" i="22"/>
  <c r="AK156" i="22" s="1"/>
  <c r="JB98" i="8"/>
  <c r="V90" i="20"/>
  <c r="AN129" i="17" l="1"/>
  <c r="AP129" i="17" s="1"/>
  <c r="AO129" i="17" s="1"/>
  <c r="AK129" i="17" s="1"/>
  <c r="AL129" i="17"/>
  <c r="FQ70" i="8"/>
  <c r="DU70" i="8"/>
  <c r="DS70" i="8" s="1"/>
  <c r="DZ70" i="8"/>
  <c r="HD70" i="8"/>
  <c r="HB70" i="8" s="1"/>
  <c r="HI70" i="8"/>
  <c r="HF71" i="8" s="1"/>
  <c r="BQ154" i="22"/>
  <c r="BP154" i="22" s="1"/>
  <c r="BR154" i="22" s="1"/>
  <c r="BO155" i="22" s="1"/>
  <c r="BN154" i="22"/>
  <c r="BL114" i="22"/>
  <c r="BI115" i="22" s="1"/>
  <c r="AJ157" i="22"/>
  <c r="AK157" i="22" s="1"/>
  <c r="A157" i="22"/>
  <c r="JB99" i="8"/>
  <c r="V91" i="20"/>
  <c r="AI129" i="17" l="1"/>
  <c r="AH74" i="20"/>
  <c r="AF74" i="20" s="1"/>
  <c r="AQ129" i="17"/>
  <c r="FN71" i="8"/>
  <c r="FP71" i="8" s="1"/>
  <c r="FO71" i="8" s="1"/>
  <c r="FM71" i="8"/>
  <c r="DV71" i="8"/>
  <c r="DW71" i="8"/>
  <c r="DY71" i="8" s="1"/>
  <c r="DX71" i="8" s="1"/>
  <c r="HH71" i="8"/>
  <c r="HG71" i="8" s="1"/>
  <c r="HE71" i="8"/>
  <c r="BQ155" i="22"/>
  <c r="BP155" i="22" s="1"/>
  <c r="BR155" i="22" s="1"/>
  <c r="BO156" i="22" s="1"/>
  <c r="BN155" i="22"/>
  <c r="BK115" i="22"/>
  <c r="BJ115" i="22" s="1"/>
  <c r="BG115" i="22" s="1"/>
  <c r="BD115" i="22" s="1"/>
  <c r="BH115" i="22"/>
  <c r="AJ158" i="22"/>
  <c r="AK158" i="22" s="1"/>
  <c r="A158" i="22"/>
  <c r="JB100" i="8"/>
  <c r="V92" i="20"/>
  <c r="AN130" i="17" l="1"/>
  <c r="AP130" i="17" s="1"/>
  <c r="AO130" i="17" s="1"/>
  <c r="AL130" i="17"/>
  <c r="FL71" i="8"/>
  <c r="FJ71" i="8" s="1"/>
  <c r="FQ71" i="8"/>
  <c r="DU71" i="8"/>
  <c r="DS71" i="8" s="1"/>
  <c r="DZ71" i="8"/>
  <c r="HD71" i="8"/>
  <c r="HB71" i="8" s="1"/>
  <c r="HI71" i="8"/>
  <c r="HF72" i="8" s="1"/>
  <c r="BQ156" i="22"/>
  <c r="BP156" i="22" s="1"/>
  <c r="BR156" i="22" s="1"/>
  <c r="BO157" i="22" s="1"/>
  <c r="BN156" i="22"/>
  <c r="BL115" i="22"/>
  <c r="A159" i="22"/>
  <c r="AJ159" i="22"/>
  <c r="AK159" i="22" s="1"/>
  <c r="JB101" i="8"/>
  <c r="V93" i="20"/>
  <c r="AK130" i="17" l="1"/>
  <c r="AQ130" i="17"/>
  <c r="FN72" i="8"/>
  <c r="FP72" i="8" s="1"/>
  <c r="FO72" i="8" s="1"/>
  <c r="FL72" i="8" s="1"/>
  <c r="FJ72" i="8" s="1"/>
  <c r="FM72" i="8"/>
  <c r="DW72" i="8"/>
  <c r="DY72" i="8" s="1"/>
  <c r="DX72" i="8" s="1"/>
  <c r="DV72" i="8"/>
  <c r="BI116" i="22"/>
  <c r="BK116" i="22" s="1"/>
  <c r="BJ116" i="22" s="1"/>
  <c r="HE72" i="8"/>
  <c r="HH72" i="8"/>
  <c r="HG72" i="8" s="1"/>
  <c r="BQ157" i="22"/>
  <c r="BP157" i="22" s="1"/>
  <c r="BR157" i="22" s="1"/>
  <c r="BO158" i="22" s="1"/>
  <c r="BN157" i="22"/>
  <c r="BH116" i="22"/>
  <c r="AJ160" i="22"/>
  <c r="AK160" i="22" s="1"/>
  <c r="A160" i="22"/>
  <c r="JB102" i="8"/>
  <c r="V94" i="20"/>
  <c r="AI130" i="17" l="1"/>
  <c r="AH75" i="20"/>
  <c r="AF75" i="20" s="1"/>
  <c r="AL131" i="17"/>
  <c r="AN131" i="17"/>
  <c r="AP131" i="17" s="1"/>
  <c r="AO131" i="17" s="1"/>
  <c r="FQ72" i="8"/>
  <c r="DU72" i="8"/>
  <c r="DS72" i="8" s="1"/>
  <c r="DZ72" i="8"/>
  <c r="BG116" i="22"/>
  <c r="BD116" i="22" s="1"/>
  <c r="BL116" i="22"/>
  <c r="BH117" i="22" s="1"/>
  <c r="HD72" i="8"/>
  <c r="HB72" i="8" s="1"/>
  <c r="HI72" i="8"/>
  <c r="HF73" i="8" s="1"/>
  <c r="BQ158" i="22"/>
  <c r="BP158" i="22" s="1"/>
  <c r="BR158" i="22" s="1"/>
  <c r="BO159" i="22" s="1"/>
  <c r="BN158" i="22"/>
  <c r="A161" i="22"/>
  <c r="AJ161" i="22"/>
  <c r="AK161" i="22" s="1"/>
  <c r="JB103" i="8"/>
  <c r="V95" i="20"/>
  <c r="AQ131" i="17" l="1"/>
  <c r="AK131" i="17"/>
  <c r="FN73" i="8"/>
  <c r="FP73" i="8" s="1"/>
  <c r="FO73" i="8" s="1"/>
  <c r="FM73" i="8"/>
  <c r="DW73" i="8"/>
  <c r="DY73" i="8" s="1"/>
  <c r="DX73" i="8" s="1"/>
  <c r="DV73" i="8"/>
  <c r="BI117" i="22"/>
  <c r="BK117" i="22" s="1"/>
  <c r="BJ117" i="22" s="1"/>
  <c r="HE73" i="8"/>
  <c r="HH73" i="8"/>
  <c r="HG73" i="8" s="1"/>
  <c r="BQ159" i="22"/>
  <c r="BP159" i="22" s="1"/>
  <c r="BR159" i="22" s="1"/>
  <c r="BO160" i="22" s="1"/>
  <c r="BN159" i="22"/>
  <c r="AJ162" i="22"/>
  <c r="AK162" i="22" s="1"/>
  <c r="A162" i="22"/>
  <c r="JB104" i="8"/>
  <c r="V96" i="20"/>
  <c r="AI131" i="17" l="1"/>
  <c r="AH76" i="20"/>
  <c r="AF76" i="20" s="1"/>
  <c r="AN132" i="17"/>
  <c r="AP132" i="17" s="1"/>
  <c r="AO132" i="17" s="1"/>
  <c r="AK132" i="17" s="1"/>
  <c r="AL132" i="17"/>
  <c r="FL73" i="8"/>
  <c r="FJ73" i="8" s="1"/>
  <c r="FQ73" i="8"/>
  <c r="DU73" i="8"/>
  <c r="DS73" i="8" s="1"/>
  <c r="DZ73" i="8"/>
  <c r="BG117" i="22"/>
  <c r="BD117" i="22" s="1"/>
  <c r="BL117" i="22"/>
  <c r="HD73" i="8"/>
  <c r="HB73" i="8" s="1"/>
  <c r="HI73" i="8"/>
  <c r="HF74" i="8" s="1"/>
  <c r="BQ160" i="22"/>
  <c r="BP160" i="22" s="1"/>
  <c r="BR160" i="22" s="1"/>
  <c r="BO161" i="22" s="1"/>
  <c r="BN160" i="22"/>
  <c r="A163" i="22"/>
  <c r="AJ163" i="22"/>
  <c r="AK163" i="22" s="1"/>
  <c r="JB105" i="8"/>
  <c r="V97" i="20"/>
  <c r="AI132" i="17" l="1"/>
  <c r="AH77" i="20"/>
  <c r="AF77" i="20" s="1"/>
  <c r="AQ132" i="17"/>
  <c r="FN74" i="8"/>
  <c r="FP74" i="8" s="1"/>
  <c r="FO74" i="8" s="1"/>
  <c r="FM74" i="8"/>
  <c r="DW74" i="8"/>
  <c r="DY74" i="8" s="1"/>
  <c r="DX74" i="8" s="1"/>
  <c r="DV74" i="8"/>
  <c r="BI118" i="22"/>
  <c r="BK118" i="22" s="1"/>
  <c r="BJ118" i="22" s="1"/>
  <c r="BH118" i="22"/>
  <c r="HH74" i="8"/>
  <c r="HG74" i="8" s="1"/>
  <c r="HE74" i="8"/>
  <c r="BQ161" i="22"/>
  <c r="BP161" i="22" s="1"/>
  <c r="BR161" i="22" s="1"/>
  <c r="BO162" i="22" s="1"/>
  <c r="BN161" i="22"/>
  <c r="A164" i="22"/>
  <c r="AJ164" i="22"/>
  <c r="AK164" i="22" s="1"/>
  <c r="JB106" i="8"/>
  <c r="V98" i="20"/>
  <c r="AN133" i="17" l="1"/>
  <c r="AP133" i="17" s="1"/>
  <c r="AO133" i="17" s="1"/>
  <c r="AK133" i="17" s="1"/>
  <c r="AL133" i="17"/>
  <c r="FL74" i="8"/>
  <c r="FJ74" i="8" s="1"/>
  <c r="FQ74" i="8"/>
  <c r="DZ74" i="8"/>
  <c r="DU74" i="8"/>
  <c r="DS74" i="8" s="1"/>
  <c r="BG118" i="22"/>
  <c r="BD118" i="22" s="1"/>
  <c r="BL118" i="22"/>
  <c r="HD74" i="8"/>
  <c r="HB74" i="8" s="1"/>
  <c r="HI74" i="8"/>
  <c r="HF75" i="8" s="1"/>
  <c r="BQ162" i="22"/>
  <c r="BP162" i="22" s="1"/>
  <c r="BR162" i="22" s="1"/>
  <c r="BO163" i="22" s="1"/>
  <c r="BN162" i="22"/>
  <c r="AJ165" i="22"/>
  <c r="AK165" i="22" s="1"/>
  <c r="A165" i="22"/>
  <c r="JB107" i="8"/>
  <c r="V99" i="20"/>
  <c r="AI133" i="17" l="1"/>
  <c r="AH78" i="20"/>
  <c r="AF78" i="20" s="1"/>
  <c r="AQ133" i="17"/>
  <c r="FN75" i="8"/>
  <c r="FP75" i="8" s="1"/>
  <c r="FO75" i="8" s="1"/>
  <c r="FL75" i="8" s="1"/>
  <c r="FJ75" i="8" s="1"/>
  <c r="FM75" i="8"/>
  <c r="DW75" i="8"/>
  <c r="DY75" i="8" s="1"/>
  <c r="DX75" i="8" s="1"/>
  <c r="DV75" i="8"/>
  <c r="BI119" i="22"/>
  <c r="BK119" i="22" s="1"/>
  <c r="BJ119" i="22" s="1"/>
  <c r="BG119" i="22" s="1"/>
  <c r="BD119" i="22" s="1"/>
  <c r="BH119" i="22"/>
  <c r="HH75" i="8"/>
  <c r="HG75" i="8" s="1"/>
  <c r="HE75" i="8"/>
  <c r="BQ163" i="22"/>
  <c r="BP163" i="22" s="1"/>
  <c r="BR163" i="22" s="1"/>
  <c r="BO164" i="22" s="1"/>
  <c r="BN163" i="22"/>
  <c r="AJ166" i="22"/>
  <c r="AK166" i="22" s="1"/>
  <c r="A166" i="22"/>
  <c r="JB108" i="8"/>
  <c r="V100" i="20"/>
  <c r="AL134" i="17" l="1"/>
  <c r="AN134" i="17"/>
  <c r="AP134" i="17" s="1"/>
  <c r="AO134" i="17" s="1"/>
  <c r="AK134" i="17" s="1"/>
  <c r="FQ75" i="8"/>
  <c r="FN76" i="8" s="1"/>
  <c r="FP76" i="8" s="1"/>
  <c r="FO76" i="8" s="1"/>
  <c r="FL76" i="8" s="1"/>
  <c r="FJ76" i="8" s="1"/>
  <c r="DU75" i="8"/>
  <c r="DS75" i="8" s="1"/>
  <c r="DZ75" i="8"/>
  <c r="BL119" i="22"/>
  <c r="HD75" i="8"/>
  <c r="HB75" i="8" s="1"/>
  <c r="HI75" i="8"/>
  <c r="HF76" i="8" s="1"/>
  <c r="BQ164" i="22"/>
  <c r="BP164" i="22" s="1"/>
  <c r="BR164" i="22" s="1"/>
  <c r="BO165" i="22" s="1"/>
  <c r="BN164" i="22"/>
  <c r="AJ167" i="22"/>
  <c r="AK167" i="22" s="1"/>
  <c r="A167" i="22"/>
  <c r="JB109" i="8"/>
  <c r="V101" i="20"/>
  <c r="AI134" i="17" l="1"/>
  <c r="AH79" i="20"/>
  <c r="AF79" i="20" s="1"/>
  <c r="AQ134" i="17"/>
  <c r="FM76" i="8"/>
  <c r="FQ76" i="8"/>
  <c r="FN77" i="8" s="1"/>
  <c r="FP77" i="8" s="1"/>
  <c r="FO77" i="8" s="1"/>
  <c r="DW76" i="8"/>
  <c r="DY76" i="8" s="1"/>
  <c r="DX76" i="8" s="1"/>
  <c r="DV76" i="8"/>
  <c r="BI120" i="22"/>
  <c r="BK120" i="22" s="1"/>
  <c r="BJ120" i="22" s="1"/>
  <c r="BH120" i="22"/>
  <c r="HE76" i="8"/>
  <c r="HH76" i="8"/>
  <c r="HG76" i="8" s="1"/>
  <c r="BQ165" i="22"/>
  <c r="BP165" i="22" s="1"/>
  <c r="BR165" i="22" s="1"/>
  <c r="BO166" i="22" s="1"/>
  <c r="BN165" i="22"/>
  <c r="AJ168" i="22"/>
  <c r="AK168" i="22" s="1"/>
  <c r="A168" i="22"/>
  <c r="JB110" i="8"/>
  <c r="V102" i="20"/>
  <c r="AN135" i="17" l="1"/>
  <c r="AP135" i="17" s="1"/>
  <c r="AO135" i="17" s="1"/>
  <c r="AK135" i="17" s="1"/>
  <c r="AL135" i="17"/>
  <c r="FM77" i="8"/>
  <c r="FL77" i="8"/>
  <c r="FJ77" i="8" s="1"/>
  <c r="FQ77" i="8"/>
  <c r="FN78" i="8" s="1"/>
  <c r="FP78" i="8" s="1"/>
  <c r="FO78" i="8" s="1"/>
  <c r="FL78" i="8" s="1"/>
  <c r="FJ78" i="8" s="1"/>
  <c r="DU76" i="8"/>
  <c r="DS76" i="8" s="1"/>
  <c r="DZ76" i="8"/>
  <c r="BG120" i="22"/>
  <c r="BD120" i="22" s="1"/>
  <c r="BL120" i="22"/>
  <c r="HD76" i="8"/>
  <c r="HB76" i="8" s="1"/>
  <c r="HI76" i="8"/>
  <c r="HF77" i="8" s="1"/>
  <c r="BQ166" i="22"/>
  <c r="BP166" i="22" s="1"/>
  <c r="BR166" i="22" s="1"/>
  <c r="BO167" i="22" s="1"/>
  <c r="BN166" i="22"/>
  <c r="A169" i="22"/>
  <c r="AJ169" i="22"/>
  <c r="AK169" i="22" s="1"/>
  <c r="JB111" i="8"/>
  <c r="V103" i="20"/>
  <c r="AI135" i="17" l="1"/>
  <c r="AH80" i="20"/>
  <c r="AF80" i="20" s="1"/>
  <c r="AQ135" i="17"/>
  <c r="FM78" i="8"/>
  <c r="FQ78" i="8"/>
  <c r="FN79" i="8" s="1"/>
  <c r="FP79" i="8" s="1"/>
  <c r="FO79" i="8" s="1"/>
  <c r="FL79" i="8" s="1"/>
  <c r="FJ79" i="8" s="1"/>
  <c r="DW77" i="8"/>
  <c r="DY77" i="8" s="1"/>
  <c r="DX77" i="8" s="1"/>
  <c r="DV77" i="8"/>
  <c r="BI121" i="22"/>
  <c r="BK121" i="22" s="1"/>
  <c r="BJ121" i="22" s="1"/>
  <c r="BH121" i="22"/>
  <c r="HH77" i="8"/>
  <c r="HG77" i="8" s="1"/>
  <c r="HE77" i="8"/>
  <c r="BQ167" i="22"/>
  <c r="BP167" i="22" s="1"/>
  <c r="BR167" i="22" s="1"/>
  <c r="BO168" i="22" s="1"/>
  <c r="BN167" i="22"/>
  <c r="AJ170" i="22"/>
  <c r="AK170" i="22" s="1"/>
  <c r="A170" i="22"/>
  <c r="JB112" i="8"/>
  <c r="V104" i="20"/>
  <c r="AN136" i="17" l="1"/>
  <c r="AP136" i="17" s="1"/>
  <c r="AO136" i="17" s="1"/>
  <c r="AK136" i="17" s="1"/>
  <c r="AL136" i="17"/>
  <c r="FM79" i="8"/>
  <c r="FQ79" i="8"/>
  <c r="FN80" i="8" s="1"/>
  <c r="DU77" i="8"/>
  <c r="DS77" i="8" s="1"/>
  <c r="DZ77" i="8"/>
  <c r="BG121" i="22"/>
  <c r="BD121" i="22" s="1"/>
  <c r="BL121" i="22"/>
  <c r="HD77" i="8"/>
  <c r="HB77" i="8" s="1"/>
  <c r="HI77" i="8"/>
  <c r="HF78" i="8" s="1"/>
  <c r="BQ168" i="22"/>
  <c r="BP168" i="22" s="1"/>
  <c r="BR168" i="22" s="1"/>
  <c r="BO169" i="22" s="1"/>
  <c r="BN168" i="22"/>
  <c r="A171" i="22"/>
  <c r="AJ171" i="22"/>
  <c r="AK171" i="22" s="1"/>
  <c r="JB113" i="8"/>
  <c r="V105" i="20"/>
  <c r="AI136" i="17" l="1"/>
  <c r="AH81" i="20"/>
  <c r="AF81" i="20" s="1"/>
  <c r="AQ136" i="17"/>
  <c r="FM80" i="8"/>
  <c r="FP80" i="8"/>
  <c r="FO80" i="8" s="1"/>
  <c r="FL80" i="8" s="1"/>
  <c r="FJ80" i="8" s="1"/>
  <c r="DW78" i="8"/>
  <c r="DY78" i="8" s="1"/>
  <c r="DX78" i="8" s="1"/>
  <c r="DV78" i="8"/>
  <c r="BI122" i="22"/>
  <c r="BK122" i="22" s="1"/>
  <c r="BJ122" i="22" s="1"/>
  <c r="BH122" i="22"/>
  <c r="HH78" i="8"/>
  <c r="HG78" i="8" s="1"/>
  <c r="HD78" i="8" s="1"/>
  <c r="HB78" i="8" s="1"/>
  <c r="HE78" i="8"/>
  <c r="BQ169" i="22"/>
  <c r="BP169" i="22" s="1"/>
  <c r="BR169" i="22" s="1"/>
  <c r="BO170" i="22" s="1"/>
  <c r="BN169" i="22"/>
  <c r="AJ172" i="22"/>
  <c r="AK172" i="22" s="1"/>
  <c r="A172" i="22"/>
  <c r="JB114" i="8"/>
  <c r="V106" i="20"/>
  <c r="AN137" i="17" l="1"/>
  <c r="AP137" i="17" s="1"/>
  <c r="AO137" i="17" s="1"/>
  <c r="AK137" i="17" s="1"/>
  <c r="AL137" i="17"/>
  <c r="FQ80" i="8"/>
  <c r="DU78" i="8"/>
  <c r="DS78" i="8" s="1"/>
  <c r="DZ78" i="8"/>
  <c r="BG122" i="22"/>
  <c r="BD122" i="22" s="1"/>
  <c r="BL122" i="22"/>
  <c r="HI78" i="8"/>
  <c r="BQ170" i="22"/>
  <c r="BP170" i="22" s="1"/>
  <c r="BR170" i="22" s="1"/>
  <c r="BO171" i="22" s="1"/>
  <c r="BN170" i="22"/>
  <c r="AJ173" i="22"/>
  <c r="AK173" i="22" s="1"/>
  <c r="A173" i="22"/>
  <c r="JB115" i="8"/>
  <c r="V107" i="20"/>
  <c r="AI137" i="17" l="1"/>
  <c r="AH82" i="20"/>
  <c r="AF82" i="20" s="1"/>
  <c r="AQ137" i="17"/>
  <c r="FN81" i="8"/>
  <c r="FP81" i="8" s="1"/>
  <c r="FO81" i="8" s="1"/>
  <c r="FM81" i="8"/>
  <c r="HF79" i="8"/>
  <c r="HH79" i="8" s="1"/>
  <c r="HG79" i="8" s="1"/>
  <c r="HD79" i="8" s="1"/>
  <c r="HB79" i="8" s="1"/>
  <c r="DW79" i="8"/>
  <c r="DY79" i="8" s="1"/>
  <c r="DX79" i="8" s="1"/>
  <c r="DU79" i="8" s="1"/>
  <c r="DS79" i="8" s="1"/>
  <c r="DV79" i="8"/>
  <c r="BI123" i="22"/>
  <c r="BK123" i="22" s="1"/>
  <c r="BJ123" i="22" s="1"/>
  <c r="BH123" i="22"/>
  <c r="HE79" i="8"/>
  <c r="BQ171" i="22"/>
  <c r="BP171" i="22" s="1"/>
  <c r="BR171" i="22" s="1"/>
  <c r="BO172" i="22" s="1"/>
  <c r="BN171" i="22"/>
  <c r="A174" i="22"/>
  <c r="AJ174" i="22"/>
  <c r="AK174" i="22" s="1"/>
  <c r="JB116" i="8"/>
  <c r="V108" i="20"/>
  <c r="AN138" i="17" l="1"/>
  <c r="AP138" i="17" s="1"/>
  <c r="AO138" i="17" s="1"/>
  <c r="AK138" i="17" s="1"/>
  <c r="AL138" i="17"/>
  <c r="FL81" i="8"/>
  <c r="FJ81" i="8" s="1"/>
  <c r="FQ81" i="8"/>
  <c r="HI79" i="8"/>
  <c r="HF80" i="8" s="1"/>
  <c r="HH80" i="8" s="1"/>
  <c r="HG80" i="8" s="1"/>
  <c r="DZ79" i="8"/>
  <c r="DV80" i="8" s="1"/>
  <c r="BG123" i="22"/>
  <c r="BD123" i="22" s="1"/>
  <c r="BL123" i="22"/>
  <c r="BQ172" i="22"/>
  <c r="BP172" i="22" s="1"/>
  <c r="BR172" i="22" s="1"/>
  <c r="BO173" i="22" s="1"/>
  <c r="BN172" i="22"/>
  <c r="AJ175" i="22"/>
  <c r="AK175" i="22" s="1"/>
  <c r="A175" i="22"/>
  <c r="JB117" i="8"/>
  <c r="V109" i="20"/>
  <c r="AI138" i="17" l="1"/>
  <c r="AH83" i="20"/>
  <c r="AF83" i="20" s="1"/>
  <c r="AQ138" i="17"/>
  <c r="FN82" i="8"/>
  <c r="FP82" i="8" s="1"/>
  <c r="FO82" i="8" s="1"/>
  <c r="FM82" i="8"/>
  <c r="DW80" i="8"/>
  <c r="DY80" i="8" s="1"/>
  <c r="DX80" i="8" s="1"/>
  <c r="DU80" i="8" s="1"/>
  <c r="DS80" i="8" s="1"/>
  <c r="HE80" i="8"/>
  <c r="BI124" i="22"/>
  <c r="BK124" i="22" s="1"/>
  <c r="BJ124" i="22" s="1"/>
  <c r="BG124" i="22" s="1"/>
  <c r="BD124" i="22" s="1"/>
  <c r="BH124" i="22"/>
  <c r="HD80" i="8"/>
  <c r="HB80" i="8" s="1"/>
  <c r="HI80" i="8"/>
  <c r="HF81" i="8" s="1"/>
  <c r="BQ173" i="22"/>
  <c r="BP173" i="22" s="1"/>
  <c r="BR173" i="22" s="1"/>
  <c r="BO174" i="22" s="1"/>
  <c r="BN173" i="22"/>
  <c r="AJ176" i="22"/>
  <c r="AK176" i="22" s="1"/>
  <c r="A176" i="22"/>
  <c r="JB118" i="8"/>
  <c r="V110" i="20"/>
  <c r="AN139" i="17" l="1"/>
  <c r="AP139" i="17" s="1"/>
  <c r="AO139" i="17" s="1"/>
  <c r="AK139" i="17" s="1"/>
  <c r="AL139" i="17"/>
  <c r="DZ80" i="8"/>
  <c r="DW81" i="8" s="1"/>
  <c r="DY81" i="8" s="1"/>
  <c r="DX81" i="8" s="1"/>
  <c r="DU81" i="8" s="1"/>
  <c r="DS81" i="8" s="1"/>
  <c r="FQ82" i="8"/>
  <c r="FL82" i="8"/>
  <c r="FJ82" i="8" s="1"/>
  <c r="BL124" i="22"/>
  <c r="HH81" i="8"/>
  <c r="HG81" i="8" s="1"/>
  <c r="HE81" i="8"/>
  <c r="BN174" i="22"/>
  <c r="BQ174" i="22"/>
  <c r="BP174" i="22" s="1"/>
  <c r="BR174" i="22" s="1"/>
  <c r="BO175" i="22" s="1"/>
  <c r="A177" i="22"/>
  <c r="AJ177" i="22"/>
  <c r="AK177" i="22" s="1"/>
  <c r="JB119" i="8"/>
  <c r="V111" i="20"/>
  <c r="AI139" i="17" l="1"/>
  <c r="AH84" i="20"/>
  <c r="AF84" i="20" s="1"/>
  <c r="AQ139" i="17"/>
  <c r="DZ81" i="8"/>
  <c r="DW82" i="8" s="1"/>
  <c r="DY82" i="8" s="1"/>
  <c r="DX82" i="8" s="1"/>
  <c r="DV81" i="8"/>
  <c r="FN83" i="8"/>
  <c r="FP83" i="8" s="1"/>
  <c r="FO83" i="8" s="1"/>
  <c r="FM83" i="8"/>
  <c r="BI125" i="22"/>
  <c r="BK125" i="22" s="1"/>
  <c r="BJ125" i="22" s="1"/>
  <c r="BH125" i="22"/>
  <c r="HD81" i="8"/>
  <c r="HB81" i="8" s="1"/>
  <c r="HI81" i="8"/>
  <c r="HF82" i="8" s="1"/>
  <c r="BQ175" i="22"/>
  <c r="BP175" i="22" s="1"/>
  <c r="BR175" i="22" s="1"/>
  <c r="BO176" i="22" s="1"/>
  <c r="BN175" i="22"/>
  <c r="A178" i="22"/>
  <c r="AJ178" i="22"/>
  <c r="AK178" i="22" s="1"/>
  <c r="JB120" i="8"/>
  <c r="V112" i="20"/>
  <c r="AN140" i="17" l="1"/>
  <c r="AP140" i="17" s="1"/>
  <c r="AO140" i="17" s="1"/>
  <c r="AK140" i="17" s="1"/>
  <c r="AL140" i="17"/>
  <c r="DV82" i="8"/>
  <c r="FL83" i="8"/>
  <c r="FJ83" i="8" s="1"/>
  <c r="FQ83" i="8"/>
  <c r="DU82" i="8"/>
  <c r="DS82" i="8" s="1"/>
  <c r="DZ82" i="8"/>
  <c r="BG125" i="22"/>
  <c r="BD125" i="22" s="1"/>
  <c r="BL125" i="22"/>
  <c r="HE82" i="8"/>
  <c r="HH82" i="8"/>
  <c r="HG82" i="8" s="1"/>
  <c r="BQ176" i="22"/>
  <c r="BP176" i="22" s="1"/>
  <c r="BR176" i="22" s="1"/>
  <c r="BO177" i="22" s="1"/>
  <c r="BN176" i="22"/>
  <c r="AJ179" i="22"/>
  <c r="AK179" i="22" s="1"/>
  <c r="A179" i="22"/>
  <c r="JB121" i="8"/>
  <c r="V113" i="20"/>
  <c r="AI140" i="17" l="1"/>
  <c r="AH85" i="20"/>
  <c r="AF85" i="20" s="1"/>
  <c r="AQ140" i="17"/>
  <c r="FN84" i="8"/>
  <c r="FP84" i="8" s="1"/>
  <c r="FO84" i="8" s="1"/>
  <c r="FL84" i="8" s="1"/>
  <c r="FJ84" i="8" s="1"/>
  <c r="FM84" i="8"/>
  <c r="DW83" i="8"/>
  <c r="DY83" i="8" s="1"/>
  <c r="DX83" i="8" s="1"/>
  <c r="DV83" i="8"/>
  <c r="BI126" i="22"/>
  <c r="BK126" i="22" s="1"/>
  <c r="BJ126" i="22" s="1"/>
  <c r="BH126" i="22"/>
  <c r="HD82" i="8"/>
  <c r="HB82" i="8" s="1"/>
  <c r="HI82" i="8"/>
  <c r="HF83" i="8" s="1"/>
  <c r="BQ177" i="22"/>
  <c r="BP177" i="22" s="1"/>
  <c r="BR177" i="22" s="1"/>
  <c r="BO178" i="22" s="1"/>
  <c r="BN177" i="22"/>
  <c r="A180" i="22"/>
  <c r="AJ180" i="22"/>
  <c r="AK180" i="22" s="1"/>
  <c r="JB122" i="8"/>
  <c r="V114" i="20"/>
  <c r="AL141" i="17" l="1"/>
  <c r="AN141" i="17"/>
  <c r="AP141" i="17" s="1"/>
  <c r="AO141" i="17" s="1"/>
  <c r="AK141" i="17" s="1"/>
  <c r="FQ84" i="8"/>
  <c r="FN85" i="8" s="1"/>
  <c r="DU83" i="8"/>
  <c r="DS83" i="8" s="1"/>
  <c r="DZ83" i="8"/>
  <c r="BL126" i="22"/>
  <c r="BG126" i="22"/>
  <c r="BD126" i="22" s="1"/>
  <c r="HH83" i="8"/>
  <c r="HG83" i="8" s="1"/>
  <c r="HE83" i="8"/>
  <c r="BQ178" i="22"/>
  <c r="BP178" i="22" s="1"/>
  <c r="BR178" i="22" s="1"/>
  <c r="BO179" i="22" s="1"/>
  <c r="BN178" i="22"/>
  <c r="AJ181" i="22"/>
  <c r="AK181" i="22" s="1"/>
  <c r="A181" i="22"/>
  <c r="JB123" i="8"/>
  <c r="V115" i="20"/>
  <c r="AI141" i="17" l="1"/>
  <c r="AH86" i="20"/>
  <c r="AF86" i="20" s="1"/>
  <c r="AQ141" i="17"/>
  <c r="AL142" i="17" s="1"/>
  <c r="FP85" i="8"/>
  <c r="FO85" i="8" s="1"/>
  <c r="FQ85" i="8" s="1"/>
  <c r="FN86" i="8" s="1"/>
  <c r="FM85" i="8"/>
  <c r="DW84" i="8"/>
  <c r="DY84" i="8" s="1"/>
  <c r="DX84" i="8" s="1"/>
  <c r="DV84" i="8"/>
  <c r="BI127" i="22"/>
  <c r="BK127" i="22" s="1"/>
  <c r="BJ127" i="22" s="1"/>
  <c r="BH127" i="22"/>
  <c r="HD83" i="8"/>
  <c r="HB83" i="8" s="1"/>
  <c r="HI83" i="8"/>
  <c r="HF84" i="8" s="1"/>
  <c r="BQ179" i="22"/>
  <c r="BP179" i="22" s="1"/>
  <c r="BR179" i="22" s="1"/>
  <c r="BO180" i="22" s="1"/>
  <c r="BN179" i="22"/>
  <c r="AJ182" i="22"/>
  <c r="AK182" i="22" s="1"/>
  <c r="A182" i="22"/>
  <c r="JB124" i="8"/>
  <c r="V116" i="20"/>
  <c r="AN142" i="17" l="1"/>
  <c r="AP142" i="17" s="1"/>
  <c r="AO142" i="17" s="1"/>
  <c r="AK142" i="17" s="1"/>
  <c r="FL85" i="8"/>
  <c r="FJ85" i="8" s="1"/>
  <c r="DU84" i="8"/>
  <c r="DS84" i="8" s="1"/>
  <c r="DZ84" i="8"/>
  <c r="BG127" i="22"/>
  <c r="BD127" i="22" s="1"/>
  <c r="BL127" i="22"/>
  <c r="HE84" i="8"/>
  <c r="HH84" i="8"/>
  <c r="HG84" i="8" s="1"/>
  <c r="FP86" i="8"/>
  <c r="FO86" i="8" s="1"/>
  <c r="FL86" i="8" s="1"/>
  <c r="FJ86" i="8" s="1"/>
  <c r="FM86" i="8"/>
  <c r="BQ180" i="22"/>
  <c r="BP180" i="22" s="1"/>
  <c r="BR180" i="22" s="1"/>
  <c r="BO181" i="22" s="1"/>
  <c r="BN180" i="22"/>
  <c r="A183" i="22"/>
  <c r="AJ183" i="22"/>
  <c r="AK183" i="22" s="1"/>
  <c r="JB125" i="8"/>
  <c r="V117" i="20"/>
  <c r="AI142" i="17" l="1"/>
  <c r="AH87" i="20"/>
  <c r="AF87" i="20" s="1"/>
  <c r="AQ142" i="17"/>
  <c r="AL143" i="17" s="1"/>
  <c r="DW85" i="8"/>
  <c r="DY85" i="8" s="1"/>
  <c r="DX85" i="8" s="1"/>
  <c r="DV85" i="8"/>
  <c r="BI128" i="22"/>
  <c r="BK128" i="22" s="1"/>
  <c r="BJ128" i="22" s="1"/>
  <c r="BH128" i="22"/>
  <c r="HD84" i="8"/>
  <c r="HB84" i="8" s="1"/>
  <c r="HI84" i="8"/>
  <c r="HF85" i="8" s="1"/>
  <c r="FQ86" i="8"/>
  <c r="BQ181" i="22"/>
  <c r="BP181" i="22" s="1"/>
  <c r="BR181" i="22" s="1"/>
  <c r="BO182" i="22" s="1"/>
  <c r="BN181" i="22"/>
  <c r="AJ184" i="22"/>
  <c r="AK184" i="22" s="1"/>
  <c r="A184" i="22"/>
  <c r="JB126" i="8"/>
  <c r="V118" i="20"/>
  <c r="AN143" i="17" l="1"/>
  <c r="AP143" i="17" s="1"/>
  <c r="AO143" i="17" s="1"/>
  <c r="AK143" i="17" s="1"/>
  <c r="DU85" i="8"/>
  <c r="DS85" i="8" s="1"/>
  <c r="DZ85" i="8"/>
  <c r="DW86" i="8" s="1"/>
  <c r="DY86" i="8" s="1"/>
  <c r="DX86" i="8" s="1"/>
  <c r="DU86" i="8" s="1"/>
  <c r="DS86" i="8" s="1"/>
  <c r="FN87" i="8"/>
  <c r="FP87" i="8" s="1"/>
  <c r="FO87" i="8" s="1"/>
  <c r="FL87" i="8" s="1"/>
  <c r="FJ87" i="8" s="1"/>
  <c r="BG128" i="22"/>
  <c r="BD128" i="22" s="1"/>
  <c r="BL128" i="22"/>
  <c r="HH85" i="8"/>
  <c r="HG85" i="8" s="1"/>
  <c r="HE85" i="8"/>
  <c r="FM87" i="8"/>
  <c r="BQ182" i="22"/>
  <c r="BP182" i="22" s="1"/>
  <c r="BR182" i="22" s="1"/>
  <c r="BO183" i="22" s="1"/>
  <c r="BN182" i="22"/>
  <c r="A185" i="22"/>
  <c r="AJ185" i="22"/>
  <c r="AK185" i="22" s="1"/>
  <c r="JB127" i="8"/>
  <c r="V119" i="20"/>
  <c r="AI143" i="17" l="1"/>
  <c r="AH88" i="20"/>
  <c r="AF88" i="20" s="1"/>
  <c r="AQ143" i="17"/>
  <c r="AL144" i="17" s="1"/>
  <c r="DV86" i="8"/>
  <c r="FQ87" i="8"/>
  <c r="FN88" i="8" s="1"/>
  <c r="DZ86" i="8"/>
  <c r="DW87" i="8" s="1"/>
  <c r="DY87" i="8" s="1"/>
  <c r="DX87" i="8" s="1"/>
  <c r="BI129" i="22"/>
  <c r="BK129" i="22" s="1"/>
  <c r="BJ129" i="22" s="1"/>
  <c r="BH129" i="22"/>
  <c r="HD85" i="8"/>
  <c r="HB85" i="8" s="1"/>
  <c r="HI85" i="8"/>
  <c r="HF86" i="8" s="1"/>
  <c r="BQ183" i="22"/>
  <c r="BP183" i="22" s="1"/>
  <c r="BR183" i="22" s="1"/>
  <c r="BO184" i="22" s="1"/>
  <c r="BN183" i="22"/>
  <c r="AJ186" i="22"/>
  <c r="AK186" i="22" s="1"/>
  <c r="A186" i="22"/>
  <c r="JB128" i="8"/>
  <c r="V120" i="20"/>
  <c r="AN144" i="17" l="1"/>
  <c r="AP144" i="17" s="1"/>
  <c r="AO144" i="17" s="1"/>
  <c r="AK144" i="17" s="1"/>
  <c r="FM88" i="8"/>
  <c r="FP88" i="8"/>
  <c r="FO88" i="8" s="1"/>
  <c r="FL88" i="8" s="1"/>
  <c r="FJ88" i="8" s="1"/>
  <c r="DV87" i="8"/>
  <c r="DU87" i="8"/>
  <c r="DS87" i="8" s="1"/>
  <c r="DZ87" i="8"/>
  <c r="BG129" i="22"/>
  <c r="BD129" i="22" s="1"/>
  <c r="BL129" i="22"/>
  <c r="HH86" i="8"/>
  <c r="HG86" i="8" s="1"/>
  <c r="HE86" i="8"/>
  <c r="BQ184" i="22"/>
  <c r="BP184" i="22" s="1"/>
  <c r="BR184" i="22" s="1"/>
  <c r="BO185" i="22" s="1"/>
  <c r="BN184" i="22"/>
  <c r="AJ187" i="22"/>
  <c r="AK187" i="22" s="1"/>
  <c r="A187" i="22"/>
  <c r="JB129" i="8"/>
  <c r="V121" i="20"/>
  <c r="AI144" i="17" l="1"/>
  <c r="AH89" i="20"/>
  <c r="AF89" i="20" s="1"/>
  <c r="AQ144" i="17"/>
  <c r="FQ88" i="8"/>
  <c r="FN89" i="8" s="1"/>
  <c r="DW88" i="8"/>
  <c r="DY88" i="8" s="1"/>
  <c r="DX88" i="8" s="1"/>
  <c r="DU88" i="8" s="1"/>
  <c r="DS88" i="8" s="1"/>
  <c r="DV88" i="8"/>
  <c r="BI130" i="22"/>
  <c r="BK130" i="22" s="1"/>
  <c r="BJ130" i="22" s="1"/>
  <c r="BG130" i="22" s="1"/>
  <c r="BD130" i="22" s="1"/>
  <c r="BH130" i="22"/>
  <c r="HI86" i="8"/>
  <c r="HF87" i="8" s="1"/>
  <c r="HD86" i="8"/>
  <c r="HB86" i="8" s="1"/>
  <c r="BQ185" i="22"/>
  <c r="BP185" i="22" s="1"/>
  <c r="BR185" i="22" s="1"/>
  <c r="BO186" i="22" s="1"/>
  <c r="BN185" i="22"/>
  <c r="BC126" i="22"/>
  <c r="BB126" i="22" s="1"/>
  <c r="A188" i="22"/>
  <c r="AJ188" i="22"/>
  <c r="AK188" i="22" s="1"/>
  <c r="JB130" i="8"/>
  <c r="V122" i="20"/>
  <c r="AL145" i="17" l="1"/>
  <c r="AN145" i="17"/>
  <c r="AP145" i="17" s="1"/>
  <c r="AO145" i="17" s="1"/>
  <c r="FM89" i="8"/>
  <c r="FP89" i="8"/>
  <c r="FO89" i="8" s="1"/>
  <c r="FL89" i="8" s="1"/>
  <c r="FJ89" i="8" s="1"/>
  <c r="DZ88" i="8"/>
  <c r="DW89" i="8" s="1"/>
  <c r="DY89" i="8" s="1"/>
  <c r="DX89" i="8" s="1"/>
  <c r="BL130" i="22"/>
  <c r="BH131" i="22" s="1"/>
  <c r="HE87" i="8"/>
  <c r="HH87" i="8"/>
  <c r="HG87" i="8" s="1"/>
  <c r="BQ186" i="22"/>
  <c r="BP186" i="22" s="1"/>
  <c r="BR186" i="22" s="1"/>
  <c r="BO187" i="22" s="1"/>
  <c r="BN186" i="22"/>
  <c r="AJ189" i="22"/>
  <c r="AK189" i="22" s="1"/>
  <c r="A189" i="22"/>
  <c r="JB131" i="8"/>
  <c r="V123" i="20"/>
  <c r="AK145" i="17" l="1"/>
  <c r="AQ145" i="17"/>
  <c r="FQ89" i="8"/>
  <c r="FN90" i="8" s="1"/>
  <c r="BI131" i="22"/>
  <c r="BK131" i="22" s="1"/>
  <c r="BJ131" i="22" s="1"/>
  <c r="BL131" i="22" s="1"/>
  <c r="DV89" i="8"/>
  <c r="DU89" i="8"/>
  <c r="DS89" i="8" s="1"/>
  <c r="DZ89" i="8"/>
  <c r="HD87" i="8"/>
  <c r="HB87" i="8" s="1"/>
  <c r="HI87" i="8"/>
  <c r="HF88" i="8" s="1"/>
  <c r="BQ187" i="22"/>
  <c r="BP187" i="22" s="1"/>
  <c r="BR187" i="22" s="1"/>
  <c r="BO188" i="22" s="1"/>
  <c r="BN187" i="22"/>
  <c r="AJ190" i="22"/>
  <c r="AK190" i="22" s="1"/>
  <c r="A190" i="22"/>
  <c r="JB132" i="8"/>
  <c r="V124" i="20"/>
  <c r="AI145" i="17" l="1"/>
  <c r="AH90" i="20"/>
  <c r="AF90" i="20" s="1"/>
  <c r="AN146" i="17"/>
  <c r="AP146" i="17" s="1"/>
  <c r="AO146" i="17" s="1"/>
  <c r="AK146" i="17" s="1"/>
  <c r="AL146" i="17"/>
  <c r="FP90" i="8"/>
  <c r="FO90" i="8" s="1"/>
  <c r="FL90" i="8" s="1"/>
  <c r="FJ90" i="8" s="1"/>
  <c r="FM90" i="8"/>
  <c r="BG131" i="22"/>
  <c r="BD131" i="22" s="1"/>
  <c r="DW90" i="8"/>
  <c r="DY90" i="8" s="1"/>
  <c r="DX90" i="8" s="1"/>
  <c r="DV90" i="8"/>
  <c r="BI132" i="22"/>
  <c r="BK132" i="22" s="1"/>
  <c r="BJ132" i="22" s="1"/>
  <c r="BG132" i="22" s="1"/>
  <c r="BD132" i="22" s="1"/>
  <c r="BH132" i="22"/>
  <c r="HE88" i="8"/>
  <c r="HH88" i="8"/>
  <c r="HG88" i="8" s="1"/>
  <c r="BQ188" i="22"/>
  <c r="BP188" i="22" s="1"/>
  <c r="BR188" i="22" s="1"/>
  <c r="BO189" i="22" s="1"/>
  <c r="BN188" i="22"/>
  <c r="A191" i="22"/>
  <c r="AJ191" i="22"/>
  <c r="AK191" i="22" s="1"/>
  <c r="JB133" i="8"/>
  <c r="V125" i="20"/>
  <c r="AI146" i="17" l="1"/>
  <c r="AH91" i="20"/>
  <c r="AF91" i="20" s="1"/>
  <c r="AQ146" i="17"/>
  <c r="FQ90" i="8"/>
  <c r="FN91" i="8" s="1"/>
  <c r="DU90" i="8"/>
  <c r="DS90" i="8" s="1"/>
  <c r="DZ90" i="8"/>
  <c r="BL132" i="22"/>
  <c r="BH133" i="22" s="1"/>
  <c r="HD88" i="8"/>
  <c r="HB88" i="8" s="1"/>
  <c r="HI88" i="8"/>
  <c r="HF89" i="8" s="1"/>
  <c r="BQ189" i="22"/>
  <c r="BP189" i="22" s="1"/>
  <c r="BR189" i="22" s="1"/>
  <c r="BO190" i="22" s="1"/>
  <c r="BN189" i="22"/>
  <c r="AJ192" i="22"/>
  <c r="AK192" i="22" s="1"/>
  <c r="A192" i="22"/>
  <c r="JB134" i="8"/>
  <c r="V126" i="20"/>
  <c r="AN147" i="17" l="1"/>
  <c r="AP147" i="17" s="1"/>
  <c r="AO147" i="17" s="1"/>
  <c r="AK147" i="17" s="1"/>
  <c r="AL147" i="17"/>
  <c r="FM91" i="8"/>
  <c r="FP91" i="8"/>
  <c r="FO91" i="8" s="1"/>
  <c r="FQ91" i="8" s="1"/>
  <c r="FN92" i="8" s="1"/>
  <c r="DW91" i="8"/>
  <c r="DY91" i="8" s="1"/>
  <c r="DX91" i="8" s="1"/>
  <c r="DU91" i="8" s="1"/>
  <c r="DS91" i="8" s="1"/>
  <c r="DV91" i="8"/>
  <c r="BI133" i="22"/>
  <c r="BK133" i="22" s="1"/>
  <c r="BJ133" i="22" s="1"/>
  <c r="BG133" i="22" s="1"/>
  <c r="BD133" i="22" s="1"/>
  <c r="HE89" i="8"/>
  <c r="HH89" i="8"/>
  <c r="HG89" i="8" s="1"/>
  <c r="BQ190" i="22"/>
  <c r="BP190" i="22" s="1"/>
  <c r="BR190" i="22" s="1"/>
  <c r="BO191" i="22" s="1"/>
  <c r="BN190" i="22"/>
  <c r="AJ193" i="22"/>
  <c r="AK193" i="22" s="1"/>
  <c r="A193" i="22"/>
  <c r="JB135" i="8"/>
  <c r="V127" i="20"/>
  <c r="AI147" i="17" l="1"/>
  <c r="AH92" i="20"/>
  <c r="AF92" i="20" s="1"/>
  <c r="AQ147" i="17"/>
  <c r="FL91" i="8"/>
  <c r="FJ91" i="8" s="1"/>
  <c r="DZ91" i="8"/>
  <c r="BL133" i="22"/>
  <c r="BI134" i="22" s="1"/>
  <c r="BK134" i="22" s="1"/>
  <c r="BJ134" i="22" s="1"/>
  <c r="BG134" i="22" s="1"/>
  <c r="BD134" i="22" s="1"/>
  <c r="HD89" i="8"/>
  <c r="HB89" i="8" s="1"/>
  <c r="HI89" i="8"/>
  <c r="HF90" i="8" s="1"/>
  <c r="FP92" i="8"/>
  <c r="FO92" i="8" s="1"/>
  <c r="FL92" i="8" s="1"/>
  <c r="FJ92" i="8" s="1"/>
  <c r="FM92" i="8"/>
  <c r="BQ191" i="22"/>
  <c r="BP191" i="22" s="1"/>
  <c r="BR191" i="22" s="1"/>
  <c r="BO192" i="22" s="1"/>
  <c r="BN191" i="22"/>
  <c r="A194" i="22"/>
  <c r="AJ194" i="22"/>
  <c r="AK194" i="22" s="1"/>
  <c r="JB136" i="8"/>
  <c r="V128" i="20"/>
  <c r="AN148" i="17" l="1"/>
  <c r="AP148" i="17" s="1"/>
  <c r="AO148" i="17" s="1"/>
  <c r="AK148" i="17" s="1"/>
  <c r="AL148" i="17"/>
  <c r="BH134" i="22"/>
  <c r="DW92" i="8"/>
  <c r="DY92" i="8" s="1"/>
  <c r="DX92" i="8" s="1"/>
  <c r="DU92" i="8" s="1"/>
  <c r="DS92" i="8" s="1"/>
  <c r="DV92" i="8"/>
  <c r="BL134" i="22"/>
  <c r="BI135" i="22" s="1"/>
  <c r="HH90" i="8"/>
  <c r="HG90" i="8" s="1"/>
  <c r="HE90" i="8"/>
  <c r="FQ92" i="8"/>
  <c r="FN93" i="8" s="1"/>
  <c r="BQ192" i="22"/>
  <c r="BP192" i="22" s="1"/>
  <c r="BR192" i="22" s="1"/>
  <c r="BO193" i="22" s="1"/>
  <c r="BN192" i="22"/>
  <c r="AJ195" i="22"/>
  <c r="AK195" i="22" s="1"/>
  <c r="A195" i="22"/>
  <c r="JB137" i="8"/>
  <c r="V129" i="20"/>
  <c r="AI148" i="17" l="1"/>
  <c r="AH93" i="20"/>
  <c r="AF93" i="20" s="1"/>
  <c r="AQ148" i="17"/>
  <c r="DZ92" i="8"/>
  <c r="DW93" i="8" s="1"/>
  <c r="BH135" i="22"/>
  <c r="BK135" i="22"/>
  <c r="BJ135" i="22" s="1"/>
  <c r="BL135" i="22" s="1"/>
  <c r="HD90" i="8"/>
  <c r="HB90" i="8" s="1"/>
  <c r="HI90" i="8"/>
  <c r="HF91" i="8" s="1"/>
  <c r="FP93" i="8"/>
  <c r="FO93" i="8" s="1"/>
  <c r="FL93" i="8" s="1"/>
  <c r="FJ93" i="8" s="1"/>
  <c r="FM93" i="8"/>
  <c r="BQ193" i="22"/>
  <c r="BP193" i="22" s="1"/>
  <c r="BR193" i="22" s="1"/>
  <c r="BO194" i="22" s="1"/>
  <c r="BN193" i="22"/>
  <c r="A196" i="22"/>
  <c r="AJ196" i="22"/>
  <c r="AK196" i="22" s="1"/>
  <c r="JB138" i="8"/>
  <c r="V130" i="20"/>
  <c r="AN149" i="17" l="1"/>
  <c r="AP149" i="17" s="1"/>
  <c r="AO149" i="17" s="1"/>
  <c r="AK149" i="17" s="1"/>
  <c r="AL149" i="17"/>
  <c r="DV93" i="8"/>
  <c r="DY93" i="8"/>
  <c r="DX93" i="8" s="1"/>
  <c r="DU93" i="8" s="1"/>
  <c r="DS93" i="8" s="1"/>
  <c r="BG135" i="22"/>
  <c r="BD135" i="22" s="1"/>
  <c r="BI136" i="22"/>
  <c r="BK136" i="22" s="1"/>
  <c r="BJ136" i="22" s="1"/>
  <c r="BG136" i="22" s="1"/>
  <c r="BD136" i="22" s="1"/>
  <c r="BH136" i="22"/>
  <c r="HH91" i="8"/>
  <c r="HG91" i="8" s="1"/>
  <c r="HE91" i="8"/>
  <c r="FQ93" i="8"/>
  <c r="FN94" i="8" s="1"/>
  <c r="BQ194" i="22"/>
  <c r="BP194" i="22" s="1"/>
  <c r="BR194" i="22" s="1"/>
  <c r="BO195" i="22" s="1"/>
  <c r="BN194" i="22"/>
  <c r="AJ197" i="22"/>
  <c r="AK197" i="22" s="1"/>
  <c r="A197" i="22"/>
  <c r="JB139" i="8"/>
  <c r="V131" i="20"/>
  <c r="AI149" i="17" l="1"/>
  <c r="AH94" i="20"/>
  <c r="AF94" i="20" s="1"/>
  <c r="AQ149" i="17"/>
  <c r="DZ93" i="8"/>
  <c r="DW94" i="8" s="1"/>
  <c r="DY94" i="8" s="1"/>
  <c r="DX94" i="8" s="1"/>
  <c r="DU94" i="8" s="1"/>
  <c r="DS94" i="8" s="1"/>
  <c r="BL136" i="22"/>
  <c r="HD91" i="8"/>
  <c r="HB91" i="8" s="1"/>
  <c r="HI91" i="8"/>
  <c r="HF92" i="8" s="1"/>
  <c r="FM94" i="8"/>
  <c r="FP94" i="8"/>
  <c r="FO94" i="8" s="1"/>
  <c r="BQ195" i="22"/>
  <c r="BP195" i="22" s="1"/>
  <c r="BR195" i="22" s="1"/>
  <c r="BO196" i="22" s="1"/>
  <c r="BN195" i="22"/>
  <c r="A198" i="22"/>
  <c r="AJ198" i="22"/>
  <c r="AK198" i="22" s="1"/>
  <c r="JB140" i="8"/>
  <c r="V132" i="20"/>
  <c r="AL150" i="17" l="1"/>
  <c r="AN150" i="17"/>
  <c r="AP150" i="17" s="1"/>
  <c r="AO150" i="17" s="1"/>
  <c r="DV94" i="8"/>
  <c r="DZ94" i="8"/>
  <c r="BI137" i="22"/>
  <c r="BK137" i="22" s="1"/>
  <c r="BJ137" i="22" s="1"/>
  <c r="BH137" i="22"/>
  <c r="HE92" i="8"/>
  <c r="HH92" i="8"/>
  <c r="HG92" i="8" s="1"/>
  <c r="FL94" i="8"/>
  <c r="FJ94" i="8" s="1"/>
  <c r="FQ94" i="8"/>
  <c r="FN95" i="8" s="1"/>
  <c r="BQ196" i="22"/>
  <c r="BP196" i="22" s="1"/>
  <c r="BR196" i="22" s="1"/>
  <c r="BO197" i="22" s="1"/>
  <c r="BN196" i="22"/>
  <c r="AJ199" i="22"/>
  <c r="AK199" i="22" s="1"/>
  <c r="A199" i="22"/>
  <c r="JB141" i="8"/>
  <c r="V133" i="20"/>
  <c r="AK150" i="17" l="1"/>
  <c r="AQ150" i="17"/>
  <c r="DW95" i="8"/>
  <c r="DY95" i="8" s="1"/>
  <c r="DX95" i="8" s="1"/>
  <c r="DV95" i="8"/>
  <c r="BG137" i="22"/>
  <c r="BD137" i="22" s="1"/>
  <c r="BL137" i="22"/>
  <c r="HI92" i="8"/>
  <c r="HF93" i="8" s="1"/>
  <c r="HD92" i="8"/>
  <c r="HB92" i="8" s="1"/>
  <c r="FP95" i="8"/>
  <c r="FO95" i="8" s="1"/>
  <c r="FL95" i="8" s="1"/>
  <c r="FJ95" i="8" s="1"/>
  <c r="FM95" i="8"/>
  <c r="BQ197" i="22"/>
  <c r="BP197" i="22" s="1"/>
  <c r="BR197" i="22" s="1"/>
  <c r="BO198" i="22" s="1"/>
  <c r="BN197" i="22"/>
  <c r="AJ200" i="22"/>
  <c r="AK200" i="22" s="1"/>
  <c r="A200" i="22"/>
  <c r="JB142" i="8"/>
  <c r="V134" i="20"/>
  <c r="AI150" i="17" l="1"/>
  <c r="AH95" i="20"/>
  <c r="AF95" i="20" s="1"/>
  <c r="AL151" i="17"/>
  <c r="AN151" i="17"/>
  <c r="AP151" i="17" s="1"/>
  <c r="AO151" i="17" s="1"/>
  <c r="DU95" i="8"/>
  <c r="DS95" i="8" s="1"/>
  <c r="DZ95" i="8"/>
  <c r="BI138" i="22"/>
  <c r="BK138" i="22" s="1"/>
  <c r="BJ138" i="22" s="1"/>
  <c r="BH138" i="22"/>
  <c r="HH93" i="8"/>
  <c r="HG93" i="8" s="1"/>
  <c r="HE93" i="8"/>
  <c r="FQ95" i="8"/>
  <c r="FN96" i="8" s="1"/>
  <c r="BQ198" i="22"/>
  <c r="BP198" i="22" s="1"/>
  <c r="BR198" i="22" s="1"/>
  <c r="BO199" i="22" s="1"/>
  <c r="BN198" i="22"/>
  <c r="AJ201" i="22"/>
  <c r="AK201" i="22" s="1"/>
  <c r="A201" i="22"/>
  <c r="JB143" i="8"/>
  <c r="V135" i="20"/>
  <c r="AK151" i="17" l="1"/>
  <c r="AQ151" i="17"/>
  <c r="DW96" i="8"/>
  <c r="DY96" i="8" s="1"/>
  <c r="DX96" i="8" s="1"/>
  <c r="DV96" i="8"/>
  <c r="BG138" i="22"/>
  <c r="BD138" i="22" s="1"/>
  <c r="BL138" i="22"/>
  <c r="HI93" i="8"/>
  <c r="HF94" i="8" s="1"/>
  <c r="HD93" i="8"/>
  <c r="HB93" i="8" s="1"/>
  <c r="FM96" i="8"/>
  <c r="FP96" i="8"/>
  <c r="FO96" i="8" s="1"/>
  <c r="BQ199" i="22"/>
  <c r="BP199" i="22" s="1"/>
  <c r="BR199" i="22" s="1"/>
  <c r="BO200" i="22" s="1"/>
  <c r="BN199" i="22"/>
  <c r="A202" i="22"/>
  <c r="AJ202" i="22"/>
  <c r="AK202" i="22" s="1"/>
  <c r="JB144" i="8"/>
  <c r="V136" i="20"/>
  <c r="AI151" i="17" l="1"/>
  <c r="AH96" i="20"/>
  <c r="AF96" i="20" s="1"/>
  <c r="AL152" i="17"/>
  <c r="AN152" i="17"/>
  <c r="AP152" i="17" s="1"/>
  <c r="AO152" i="17" s="1"/>
  <c r="DU96" i="8"/>
  <c r="DS96" i="8" s="1"/>
  <c r="DZ96" i="8"/>
  <c r="BI139" i="22"/>
  <c r="BK139" i="22" s="1"/>
  <c r="BJ139" i="22" s="1"/>
  <c r="BG139" i="22" s="1"/>
  <c r="BD139" i="22" s="1"/>
  <c r="BH139" i="22"/>
  <c r="HH94" i="8"/>
  <c r="HG94" i="8" s="1"/>
  <c r="HE94" i="8"/>
  <c r="FL96" i="8"/>
  <c r="FJ96" i="8" s="1"/>
  <c r="FQ96" i="8"/>
  <c r="FN97" i="8" s="1"/>
  <c r="BQ200" i="22"/>
  <c r="BP200" i="22" s="1"/>
  <c r="BR200" i="22" s="1"/>
  <c r="BO201" i="22" s="1"/>
  <c r="BN200" i="22"/>
  <c r="AJ203" i="22"/>
  <c r="AK203" i="22" s="1"/>
  <c r="A203" i="22"/>
  <c r="JB145" i="8"/>
  <c r="V137" i="20"/>
  <c r="AK152" i="17" l="1"/>
  <c r="AQ152" i="17"/>
  <c r="DW97" i="8"/>
  <c r="DY97" i="8" s="1"/>
  <c r="DX97" i="8" s="1"/>
  <c r="DU97" i="8" s="1"/>
  <c r="DS97" i="8" s="1"/>
  <c r="DV97" i="8"/>
  <c r="BL139" i="22"/>
  <c r="HI94" i="8"/>
  <c r="HF95" i="8" s="1"/>
  <c r="HD94" i="8"/>
  <c r="HB94" i="8" s="1"/>
  <c r="FM97" i="8"/>
  <c r="BQ201" i="22"/>
  <c r="BP201" i="22" s="1"/>
  <c r="BR201" i="22" s="1"/>
  <c r="BO202" i="22" s="1"/>
  <c r="BN201" i="22"/>
  <c r="A204" i="22"/>
  <c r="AJ204" i="22"/>
  <c r="AK204" i="22" s="1"/>
  <c r="JB146" i="8"/>
  <c r="V138" i="20"/>
  <c r="AI152" i="17" l="1"/>
  <c r="AH97" i="20"/>
  <c r="AF97" i="20" s="1"/>
  <c r="AL153" i="17"/>
  <c r="AN153" i="17"/>
  <c r="AP153" i="17" s="1"/>
  <c r="AO153" i="17" s="1"/>
  <c r="AK153" i="17" s="1"/>
  <c r="DZ97" i="8"/>
  <c r="BI140" i="22"/>
  <c r="BK140" i="22" s="1"/>
  <c r="BJ140" i="22" s="1"/>
  <c r="BG140" i="22" s="1"/>
  <c r="BD140" i="22" s="1"/>
  <c r="BH140" i="22"/>
  <c r="HH95" i="8"/>
  <c r="HG95" i="8" s="1"/>
  <c r="HE95" i="8"/>
  <c r="FP97" i="8"/>
  <c r="FO97" i="8" s="1"/>
  <c r="BQ202" i="22"/>
  <c r="BP202" i="22" s="1"/>
  <c r="BR202" i="22" s="1"/>
  <c r="BO203" i="22" s="1"/>
  <c r="BN202" i="22"/>
  <c r="AJ205" i="22"/>
  <c r="AK205" i="22" s="1"/>
  <c r="A205" i="22"/>
  <c r="JB147" i="8"/>
  <c r="V139" i="20"/>
  <c r="AI153" i="17" l="1"/>
  <c r="AH98" i="20"/>
  <c r="AF98" i="20" s="1"/>
  <c r="AQ153" i="17"/>
  <c r="DW98" i="8"/>
  <c r="DY98" i="8" s="1"/>
  <c r="DX98" i="8" s="1"/>
  <c r="DU98" i="8" s="1"/>
  <c r="DS98" i="8" s="1"/>
  <c r="DV98" i="8"/>
  <c r="BL140" i="22"/>
  <c r="HD95" i="8"/>
  <c r="HB95" i="8" s="1"/>
  <c r="HI95" i="8"/>
  <c r="HF96" i="8" s="1"/>
  <c r="FL97" i="8"/>
  <c r="FJ97" i="8" s="1"/>
  <c r="FQ97" i="8"/>
  <c r="FN98" i="8" s="1"/>
  <c r="BQ203" i="22"/>
  <c r="BP203" i="22" s="1"/>
  <c r="BR203" i="22" s="1"/>
  <c r="BO204" i="22" s="1"/>
  <c r="BN203" i="22"/>
  <c r="A206" i="22"/>
  <c r="AJ206" i="22"/>
  <c r="AK206" i="22" s="1"/>
  <c r="JB148" i="8"/>
  <c r="V140" i="20"/>
  <c r="AL154" i="17" l="1"/>
  <c r="AN154" i="17"/>
  <c r="AP154" i="17" s="1"/>
  <c r="AO154" i="17" s="1"/>
  <c r="AK154" i="17" s="1"/>
  <c r="DZ98" i="8"/>
  <c r="DW99" i="8" s="1"/>
  <c r="DY99" i="8" s="1"/>
  <c r="DX99" i="8" s="1"/>
  <c r="BI141" i="22"/>
  <c r="BK141" i="22" s="1"/>
  <c r="BJ141" i="22" s="1"/>
  <c r="BH141" i="22"/>
  <c r="HE96" i="8"/>
  <c r="HH96" i="8"/>
  <c r="HG96" i="8" s="1"/>
  <c r="FM98" i="8"/>
  <c r="FP98" i="8"/>
  <c r="FO98" i="8" s="1"/>
  <c r="FL98" i="8" s="1"/>
  <c r="FJ98" i="8" s="1"/>
  <c r="BQ204" i="22"/>
  <c r="BP204" i="22" s="1"/>
  <c r="BR204" i="22" s="1"/>
  <c r="BO205" i="22" s="1"/>
  <c r="BN204" i="22"/>
  <c r="AJ207" i="22"/>
  <c r="AK207" i="22" s="1"/>
  <c r="A207" i="22"/>
  <c r="JB149" i="8"/>
  <c r="V141" i="20"/>
  <c r="AI154" i="17" l="1"/>
  <c r="AH99" i="20"/>
  <c r="AF99" i="20" s="1"/>
  <c r="AQ154" i="17"/>
  <c r="DV99" i="8"/>
  <c r="DU99" i="8"/>
  <c r="DS99" i="8" s="1"/>
  <c r="DZ99" i="8"/>
  <c r="BG141" i="22"/>
  <c r="BD141" i="22" s="1"/>
  <c r="BL141" i="22"/>
  <c r="HD96" i="8"/>
  <c r="HB96" i="8" s="1"/>
  <c r="HI96" i="8"/>
  <c r="HF97" i="8" s="1"/>
  <c r="FQ98" i="8"/>
  <c r="FN99" i="8" s="1"/>
  <c r="BQ205" i="22"/>
  <c r="BP205" i="22" s="1"/>
  <c r="BR205" i="22" s="1"/>
  <c r="BO206" i="22" s="1"/>
  <c r="BN205" i="22"/>
  <c r="A208" i="22"/>
  <c r="AJ208" i="22"/>
  <c r="AK208" i="22" s="1"/>
  <c r="JB150" i="8"/>
  <c r="V142" i="20"/>
  <c r="AN155" i="17" l="1"/>
  <c r="AP155" i="17" s="1"/>
  <c r="AO155" i="17" s="1"/>
  <c r="AK155" i="17" s="1"/>
  <c r="AL155" i="17"/>
  <c r="DW100" i="8"/>
  <c r="DY100" i="8" s="1"/>
  <c r="DX100" i="8" s="1"/>
  <c r="DU100" i="8" s="1"/>
  <c r="DS100" i="8" s="1"/>
  <c r="DV100" i="8"/>
  <c r="BH142" i="22"/>
  <c r="BI142" i="22"/>
  <c r="BK142" i="22" s="1"/>
  <c r="BJ142" i="22" s="1"/>
  <c r="HH97" i="8"/>
  <c r="HG97" i="8" s="1"/>
  <c r="HE97" i="8"/>
  <c r="FP99" i="8"/>
  <c r="FO99" i="8" s="1"/>
  <c r="FM99" i="8"/>
  <c r="BQ206" i="22"/>
  <c r="BP206" i="22" s="1"/>
  <c r="BR206" i="22" s="1"/>
  <c r="BO207" i="22" s="1"/>
  <c r="BN206" i="22"/>
  <c r="A209" i="22"/>
  <c r="AJ209" i="22"/>
  <c r="AK209" i="22" s="1"/>
  <c r="JB151" i="8"/>
  <c r="V143" i="20"/>
  <c r="AI155" i="17" l="1"/>
  <c r="AH100" i="20"/>
  <c r="AF100" i="20" s="1"/>
  <c r="AQ155" i="17"/>
  <c r="DZ100" i="8"/>
  <c r="DW101" i="8" s="1"/>
  <c r="DY101" i="8" s="1"/>
  <c r="DX101" i="8" s="1"/>
  <c r="BG142" i="22"/>
  <c r="BD142" i="22" s="1"/>
  <c r="BL142" i="22"/>
  <c r="HI97" i="8"/>
  <c r="HF98" i="8" s="1"/>
  <c r="HD97" i="8"/>
  <c r="HB97" i="8" s="1"/>
  <c r="FL99" i="8"/>
  <c r="FJ99" i="8" s="1"/>
  <c r="FQ99" i="8"/>
  <c r="FN100" i="8" s="1"/>
  <c r="BQ207" i="22"/>
  <c r="BP207" i="22" s="1"/>
  <c r="BR207" i="22" s="1"/>
  <c r="BO208" i="22" s="1"/>
  <c r="BN207" i="22"/>
  <c r="AJ210" i="22"/>
  <c r="AK210" i="22" s="1"/>
  <c r="A210" i="22"/>
  <c r="JB152" i="8"/>
  <c r="V144" i="20"/>
  <c r="AN156" i="17" l="1"/>
  <c r="AP156" i="17" s="1"/>
  <c r="AO156" i="17" s="1"/>
  <c r="AK156" i="17" s="1"/>
  <c r="AL156" i="17"/>
  <c r="DV101" i="8"/>
  <c r="DU101" i="8"/>
  <c r="DS101" i="8" s="1"/>
  <c r="DZ101" i="8"/>
  <c r="BH143" i="22"/>
  <c r="BI143" i="22"/>
  <c r="BK143" i="22" s="1"/>
  <c r="BJ143" i="22" s="1"/>
  <c r="HE98" i="8"/>
  <c r="HH98" i="8"/>
  <c r="HG98" i="8" s="1"/>
  <c r="FP100" i="8"/>
  <c r="FO100" i="8" s="1"/>
  <c r="FL100" i="8" s="1"/>
  <c r="FJ100" i="8" s="1"/>
  <c r="FM100" i="8"/>
  <c r="BQ208" i="22"/>
  <c r="BP208" i="22" s="1"/>
  <c r="BR208" i="22" s="1"/>
  <c r="BO209" i="22" s="1"/>
  <c r="BN208" i="22"/>
  <c r="A211" i="22"/>
  <c r="AJ211" i="22"/>
  <c r="AK211" i="22" s="1"/>
  <c r="JB153" i="8"/>
  <c r="V145" i="20"/>
  <c r="AI156" i="17" l="1"/>
  <c r="AH101" i="20"/>
  <c r="AF101" i="20" s="1"/>
  <c r="AQ156" i="17"/>
  <c r="DW102" i="8"/>
  <c r="DY102" i="8" s="1"/>
  <c r="DX102" i="8" s="1"/>
  <c r="DU102" i="8" s="1"/>
  <c r="DS102" i="8" s="1"/>
  <c r="DV102" i="8"/>
  <c r="BG143" i="22"/>
  <c r="BD143" i="22" s="1"/>
  <c r="BL143" i="22"/>
  <c r="HD98" i="8"/>
  <c r="HB98" i="8" s="1"/>
  <c r="HI98" i="8"/>
  <c r="HF99" i="8" s="1"/>
  <c r="FQ100" i="8"/>
  <c r="FN101" i="8" s="1"/>
  <c r="BQ209" i="22"/>
  <c r="BP209" i="22" s="1"/>
  <c r="BR209" i="22" s="1"/>
  <c r="BO210" i="22" s="1"/>
  <c r="BN209" i="22"/>
  <c r="AJ212" i="22"/>
  <c r="AK212" i="22" s="1"/>
  <c r="A212" i="22"/>
  <c r="JB154" i="8"/>
  <c r="V146" i="20"/>
  <c r="AN157" i="17" l="1"/>
  <c r="AP157" i="17" s="1"/>
  <c r="AO157" i="17" s="1"/>
  <c r="AK157" i="17" s="1"/>
  <c r="AL157" i="17"/>
  <c r="DZ102" i="8"/>
  <c r="BH144" i="22"/>
  <c r="BI144" i="22"/>
  <c r="BK144" i="22" s="1"/>
  <c r="BJ144" i="22" s="1"/>
  <c r="HH99" i="8"/>
  <c r="HG99" i="8" s="1"/>
  <c r="HE99" i="8"/>
  <c r="FM101" i="8"/>
  <c r="FP101" i="8"/>
  <c r="FO101" i="8" s="1"/>
  <c r="BQ210" i="22"/>
  <c r="BP210" i="22" s="1"/>
  <c r="BR210" i="22" s="1"/>
  <c r="BO211" i="22" s="1"/>
  <c r="BN210" i="22"/>
  <c r="A213" i="22"/>
  <c r="AJ213" i="22"/>
  <c r="AK213" i="22" s="1"/>
  <c r="JB155" i="8"/>
  <c r="V147" i="20"/>
  <c r="AI157" i="17" l="1"/>
  <c r="AH102" i="20"/>
  <c r="AF102" i="20" s="1"/>
  <c r="AQ157" i="17"/>
  <c r="AN158" i="17" s="1"/>
  <c r="AP158" i="17" s="1"/>
  <c r="AO158" i="17" s="1"/>
  <c r="DW103" i="8"/>
  <c r="DY103" i="8" s="1"/>
  <c r="DX103" i="8" s="1"/>
  <c r="DU103" i="8" s="1"/>
  <c r="DS103" i="8" s="1"/>
  <c r="DV103" i="8"/>
  <c r="BG144" i="22"/>
  <c r="BD144" i="22" s="1"/>
  <c r="BL144" i="22"/>
  <c r="HD99" i="8"/>
  <c r="HB99" i="8" s="1"/>
  <c r="HI99" i="8"/>
  <c r="HF100" i="8" s="1"/>
  <c r="FL101" i="8"/>
  <c r="FJ101" i="8" s="1"/>
  <c r="FQ101" i="8"/>
  <c r="FN102" i="8" s="1"/>
  <c r="BQ211" i="22"/>
  <c r="BP211" i="22" s="1"/>
  <c r="BR211" i="22" s="1"/>
  <c r="BO212" i="22" s="1"/>
  <c r="BN211" i="22"/>
  <c r="AJ214" i="22"/>
  <c r="AK214" i="22" s="1"/>
  <c r="A214" i="22"/>
  <c r="JB156" i="8"/>
  <c r="V148" i="20"/>
  <c r="AK158" i="17" l="1"/>
  <c r="AQ158" i="17"/>
  <c r="AL158" i="17"/>
  <c r="DZ103" i="8"/>
  <c r="DW104" i="8" s="1"/>
  <c r="DY104" i="8" s="1"/>
  <c r="DX104" i="8" s="1"/>
  <c r="BI145" i="22"/>
  <c r="BK145" i="22" s="1"/>
  <c r="BJ145" i="22" s="1"/>
  <c r="BG145" i="22" s="1"/>
  <c r="BD145" i="22" s="1"/>
  <c r="BH145" i="22"/>
  <c r="HE100" i="8"/>
  <c r="HH100" i="8"/>
  <c r="HG100" i="8" s="1"/>
  <c r="FM102" i="8"/>
  <c r="FP102" i="8"/>
  <c r="FO102" i="8" s="1"/>
  <c r="FL102" i="8" s="1"/>
  <c r="FJ102" i="8" s="1"/>
  <c r="BQ212" i="22"/>
  <c r="BP212" i="22" s="1"/>
  <c r="BR212" i="22" s="1"/>
  <c r="BO213" i="22" s="1"/>
  <c r="BN212" i="22"/>
  <c r="A215" i="22"/>
  <c r="AJ215" i="22"/>
  <c r="AK215" i="22" s="1"/>
  <c r="JB157" i="8"/>
  <c r="V149" i="20"/>
  <c r="AI158" i="17" l="1"/>
  <c r="AH103" i="20"/>
  <c r="AF103" i="20" s="1"/>
  <c r="AL159" i="17"/>
  <c r="AN159" i="17"/>
  <c r="AP159" i="17" s="1"/>
  <c r="AO159" i="17" s="1"/>
  <c r="AK159" i="17" s="1"/>
  <c r="DV104" i="8"/>
  <c r="DU104" i="8"/>
  <c r="DS104" i="8" s="1"/>
  <c r="DZ104" i="8"/>
  <c r="DW105" i="8" s="1"/>
  <c r="DY105" i="8" s="1"/>
  <c r="DX105" i="8" s="1"/>
  <c r="DU105" i="8" s="1"/>
  <c r="DS105" i="8" s="1"/>
  <c r="BL145" i="22"/>
  <c r="BI146" i="22" s="1"/>
  <c r="BK146" i="22" s="1"/>
  <c r="BJ146" i="22" s="1"/>
  <c r="HD100" i="8"/>
  <c r="HB100" i="8" s="1"/>
  <c r="HI100" i="8"/>
  <c r="HF101" i="8" s="1"/>
  <c r="FQ102" i="8"/>
  <c r="FN103" i="8" s="1"/>
  <c r="BQ213" i="22"/>
  <c r="BP213" i="22" s="1"/>
  <c r="BR213" i="22" s="1"/>
  <c r="BO214" i="22" s="1"/>
  <c r="BN213" i="22"/>
  <c r="AJ216" i="22"/>
  <c r="AK216" i="22" s="1"/>
  <c r="A216" i="22"/>
  <c r="JB158" i="8"/>
  <c r="V150" i="20"/>
  <c r="AI159" i="17" l="1"/>
  <c r="AH104" i="20"/>
  <c r="AF104" i="20" s="1"/>
  <c r="AQ159" i="17"/>
  <c r="AL160" i="17" s="1"/>
  <c r="DV105" i="8"/>
  <c r="DZ105" i="8"/>
  <c r="BH146" i="22"/>
  <c r="BG146" i="22"/>
  <c r="BD146" i="22" s="1"/>
  <c r="BL146" i="22"/>
  <c r="HH101" i="8"/>
  <c r="HG101" i="8" s="1"/>
  <c r="HE101" i="8"/>
  <c r="FP103" i="8"/>
  <c r="FO103" i="8" s="1"/>
  <c r="FM103" i="8"/>
  <c r="BQ214" i="22"/>
  <c r="BP214" i="22" s="1"/>
  <c r="BR214" i="22" s="1"/>
  <c r="BO215" i="22" s="1"/>
  <c r="BN214" i="22"/>
  <c r="A217" i="22"/>
  <c r="AJ217" i="22"/>
  <c r="AK217" i="22" s="1"/>
  <c r="JB159" i="8"/>
  <c r="V151" i="20"/>
  <c r="AN160" i="17" l="1"/>
  <c r="AP160" i="17" s="1"/>
  <c r="AO160" i="17" s="1"/>
  <c r="AK160" i="17" s="1"/>
  <c r="DW106" i="8"/>
  <c r="DY106" i="8" s="1"/>
  <c r="DX106" i="8" s="1"/>
  <c r="DU106" i="8" s="1"/>
  <c r="DS106" i="8" s="1"/>
  <c r="DV106" i="8"/>
  <c r="BI147" i="22"/>
  <c r="BK147" i="22" s="1"/>
  <c r="BJ147" i="22" s="1"/>
  <c r="BH147" i="22"/>
  <c r="HD101" i="8"/>
  <c r="HB101" i="8" s="1"/>
  <c r="HI101" i="8"/>
  <c r="HF102" i="8" s="1"/>
  <c r="FQ103" i="8"/>
  <c r="FN104" i="8" s="1"/>
  <c r="FL103" i="8"/>
  <c r="FJ103" i="8" s="1"/>
  <c r="BQ215" i="22"/>
  <c r="BP215" i="22" s="1"/>
  <c r="BR215" i="22" s="1"/>
  <c r="BO216" i="22" s="1"/>
  <c r="BN215" i="22"/>
  <c r="AJ218" i="22"/>
  <c r="AK218" i="22" s="1"/>
  <c r="A218" i="22"/>
  <c r="JB160" i="8"/>
  <c r="V152" i="20"/>
  <c r="AI160" i="17" l="1"/>
  <c r="AH105" i="20"/>
  <c r="AF105" i="20" s="1"/>
  <c r="AQ160" i="17"/>
  <c r="AN161" i="17" s="1"/>
  <c r="AP161" i="17" s="1"/>
  <c r="AO161" i="17" s="1"/>
  <c r="AK161" i="17" s="1"/>
  <c r="DZ106" i="8"/>
  <c r="DW107" i="8" s="1"/>
  <c r="DY107" i="8" s="1"/>
  <c r="DX107" i="8" s="1"/>
  <c r="DU107" i="8" s="1"/>
  <c r="DS107" i="8" s="1"/>
  <c r="BG147" i="22"/>
  <c r="BD147" i="22" s="1"/>
  <c r="BL147" i="22"/>
  <c r="HE102" i="8"/>
  <c r="HH102" i="8"/>
  <c r="HG102" i="8" s="1"/>
  <c r="FP104" i="8"/>
  <c r="FO104" i="8" s="1"/>
  <c r="FM104" i="8"/>
  <c r="BQ216" i="22"/>
  <c r="BP216" i="22" s="1"/>
  <c r="BR216" i="22" s="1"/>
  <c r="BO217" i="22" s="1"/>
  <c r="BN216" i="22"/>
  <c r="A219" i="22"/>
  <c r="AJ219" i="22"/>
  <c r="AK219" i="22" s="1"/>
  <c r="JB161" i="8"/>
  <c r="V153" i="20"/>
  <c r="AI161" i="17" l="1"/>
  <c r="AH106" i="20"/>
  <c r="AF106" i="20" s="1"/>
  <c r="AL161" i="17"/>
  <c r="AQ161" i="17"/>
  <c r="DV107" i="8"/>
  <c r="DZ107" i="8"/>
  <c r="DW108" i="8" s="1"/>
  <c r="DY108" i="8" s="1"/>
  <c r="DX108" i="8" s="1"/>
  <c r="DU108" i="8" s="1"/>
  <c r="DS108" i="8" s="1"/>
  <c r="BH148" i="22"/>
  <c r="BI148" i="22"/>
  <c r="BK148" i="22" s="1"/>
  <c r="BJ148" i="22" s="1"/>
  <c r="BG148" i="22" s="1"/>
  <c r="BD148" i="22" s="1"/>
  <c r="HD102" i="8"/>
  <c r="HB102" i="8" s="1"/>
  <c r="HI102" i="8"/>
  <c r="HF103" i="8" s="1"/>
  <c r="FL104" i="8"/>
  <c r="FJ104" i="8" s="1"/>
  <c r="FQ104" i="8"/>
  <c r="FN105" i="8" s="1"/>
  <c r="BQ217" i="22"/>
  <c r="BP217" i="22" s="1"/>
  <c r="BR217" i="22" s="1"/>
  <c r="BO218" i="22" s="1"/>
  <c r="BN217" i="22"/>
  <c r="AJ220" i="22"/>
  <c r="AK220" i="22" s="1"/>
  <c r="A220" i="22"/>
  <c r="JB162" i="8"/>
  <c r="V154" i="20"/>
  <c r="AL162" i="17" l="1"/>
  <c r="AN162" i="17"/>
  <c r="AP162" i="17" s="1"/>
  <c r="AO162" i="17" s="1"/>
  <c r="AK162" i="17" s="1"/>
  <c r="DV108" i="8"/>
  <c r="DZ108" i="8"/>
  <c r="BL148" i="22"/>
  <c r="BI149" i="22" s="1"/>
  <c r="HH103" i="8"/>
  <c r="HG103" i="8" s="1"/>
  <c r="HE103" i="8"/>
  <c r="FM105" i="8"/>
  <c r="FP105" i="8"/>
  <c r="FO105" i="8" s="1"/>
  <c r="BQ218" i="22"/>
  <c r="BP218" i="22" s="1"/>
  <c r="BR218" i="22" s="1"/>
  <c r="BO219" i="22" s="1"/>
  <c r="BN218" i="22"/>
  <c r="A221" i="22"/>
  <c r="AJ221" i="22"/>
  <c r="AK221" i="22" s="1"/>
  <c r="JB163" i="8"/>
  <c r="V155" i="20"/>
  <c r="AI162" i="17" l="1"/>
  <c r="AH107" i="20"/>
  <c r="AF107" i="20" s="1"/>
  <c r="AQ162" i="17"/>
  <c r="AN163" i="17" s="1"/>
  <c r="AP163" i="17" s="1"/>
  <c r="AO163" i="17" s="1"/>
  <c r="AK163" i="17" s="1"/>
  <c r="DW109" i="8"/>
  <c r="DY109" i="8" s="1"/>
  <c r="DX109" i="8" s="1"/>
  <c r="DV109" i="8"/>
  <c r="BH149" i="22"/>
  <c r="BK149" i="22"/>
  <c r="BJ149" i="22" s="1"/>
  <c r="BG149" i="22" s="1"/>
  <c r="BD149" i="22" s="1"/>
  <c r="HD103" i="8"/>
  <c r="HB103" i="8" s="1"/>
  <c r="HI103" i="8"/>
  <c r="HF104" i="8" s="1"/>
  <c r="FL105" i="8"/>
  <c r="FJ105" i="8" s="1"/>
  <c r="FQ105" i="8"/>
  <c r="FN106" i="8" s="1"/>
  <c r="BQ219" i="22"/>
  <c r="BP219" i="22" s="1"/>
  <c r="BR219" i="22" s="1"/>
  <c r="BO220" i="22" s="1"/>
  <c r="BN219" i="22"/>
  <c r="AJ222" i="22"/>
  <c r="AK222" i="22" s="1"/>
  <c r="A222" i="22"/>
  <c r="JB164" i="8"/>
  <c r="V156" i="20"/>
  <c r="AI163" i="17" l="1"/>
  <c r="AH108" i="20"/>
  <c r="AF108" i="20" s="1"/>
  <c r="AL163" i="17"/>
  <c r="AQ163" i="17"/>
  <c r="DZ109" i="8"/>
  <c r="DU109" i="8"/>
  <c r="DS109" i="8" s="1"/>
  <c r="BL149" i="22"/>
  <c r="BI150" i="22" s="1"/>
  <c r="BK150" i="22" s="1"/>
  <c r="BJ150" i="22" s="1"/>
  <c r="BG150" i="22" s="1"/>
  <c r="BD150" i="22" s="1"/>
  <c r="HH104" i="8"/>
  <c r="HG104" i="8" s="1"/>
  <c r="HE104" i="8"/>
  <c r="FP106" i="8"/>
  <c r="FO106" i="8" s="1"/>
  <c r="FL106" i="8" s="1"/>
  <c r="FJ106" i="8" s="1"/>
  <c r="FM106" i="8"/>
  <c r="BQ220" i="22"/>
  <c r="BP220" i="22" s="1"/>
  <c r="BR220" i="22" s="1"/>
  <c r="BO221" i="22" s="1"/>
  <c r="BN220" i="22"/>
  <c r="A223" i="22"/>
  <c r="AJ223" i="22"/>
  <c r="AK223" i="22" s="1"/>
  <c r="JB165" i="8"/>
  <c r="V157" i="20"/>
  <c r="AL164" i="17" l="1"/>
  <c r="AN164" i="17"/>
  <c r="AP164" i="17" s="1"/>
  <c r="AO164" i="17" s="1"/>
  <c r="DW110" i="8"/>
  <c r="DY110" i="8" s="1"/>
  <c r="DX110" i="8" s="1"/>
  <c r="DV110" i="8"/>
  <c r="BH150" i="22"/>
  <c r="BL150" i="22"/>
  <c r="HD104" i="8"/>
  <c r="HB104" i="8" s="1"/>
  <c r="HI104" i="8"/>
  <c r="HF105" i="8" s="1"/>
  <c r="FQ106" i="8"/>
  <c r="FN107" i="8" s="1"/>
  <c r="BQ221" i="22"/>
  <c r="BP221" i="22" s="1"/>
  <c r="BR221" i="22" s="1"/>
  <c r="BO222" i="22" s="1"/>
  <c r="BN221" i="22"/>
  <c r="AJ224" i="22"/>
  <c r="AK224" i="22" s="1"/>
  <c r="A224" i="22"/>
  <c r="JB166" i="8"/>
  <c r="V158" i="20"/>
  <c r="AK164" i="17" l="1"/>
  <c r="AQ164" i="17"/>
  <c r="DZ110" i="8"/>
  <c r="DU110" i="8"/>
  <c r="DS110" i="8" s="1"/>
  <c r="BI151" i="22"/>
  <c r="BK151" i="22" s="1"/>
  <c r="BJ151" i="22" s="1"/>
  <c r="BG151" i="22" s="1"/>
  <c r="BD151" i="22" s="1"/>
  <c r="BH151" i="22"/>
  <c r="HE105" i="8"/>
  <c r="HH105" i="8"/>
  <c r="HG105" i="8" s="1"/>
  <c r="FP107" i="8"/>
  <c r="FO107" i="8" s="1"/>
  <c r="FM107" i="8"/>
  <c r="BQ222" i="22"/>
  <c r="BP222" i="22" s="1"/>
  <c r="BR222" i="22" s="1"/>
  <c r="BO223" i="22" s="1"/>
  <c r="BN222" i="22"/>
  <c r="A225" i="22"/>
  <c r="AJ225" i="22"/>
  <c r="AK225" i="22" s="1"/>
  <c r="JB167" i="8"/>
  <c r="V159" i="20"/>
  <c r="AI164" i="17" l="1"/>
  <c r="AH109" i="20"/>
  <c r="AF109" i="20" s="1"/>
  <c r="AL165" i="17"/>
  <c r="AN165" i="17"/>
  <c r="AP165" i="17" s="1"/>
  <c r="AO165" i="17" s="1"/>
  <c r="AK165" i="17" s="1"/>
  <c r="DW111" i="8"/>
  <c r="DY111" i="8" s="1"/>
  <c r="DX111" i="8" s="1"/>
  <c r="DV111" i="8"/>
  <c r="BL151" i="22"/>
  <c r="HD105" i="8"/>
  <c r="HB105" i="8" s="1"/>
  <c r="HI105" i="8"/>
  <c r="HF106" i="8" s="1"/>
  <c r="FL107" i="8"/>
  <c r="FJ107" i="8" s="1"/>
  <c r="FQ107" i="8"/>
  <c r="FN108" i="8" s="1"/>
  <c r="BQ223" i="22"/>
  <c r="BP223" i="22" s="1"/>
  <c r="BR223" i="22" s="1"/>
  <c r="BO224" i="22" s="1"/>
  <c r="BN223" i="22"/>
  <c r="AJ226" i="22"/>
  <c r="AK226" i="22" s="1"/>
  <c r="A226" i="22"/>
  <c r="JB168" i="8"/>
  <c r="V160" i="20"/>
  <c r="AI165" i="17" l="1"/>
  <c r="AH110" i="20"/>
  <c r="AF110" i="20" s="1"/>
  <c r="AQ165" i="17"/>
  <c r="DU111" i="8"/>
  <c r="DS111" i="8" s="1"/>
  <c r="DZ111" i="8"/>
  <c r="BI152" i="22"/>
  <c r="BK152" i="22" s="1"/>
  <c r="BJ152" i="22" s="1"/>
  <c r="BH152" i="22"/>
  <c r="HE106" i="8"/>
  <c r="HH106" i="8"/>
  <c r="HG106" i="8" s="1"/>
  <c r="HD106" i="8" s="1"/>
  <c r="HB106" i="8" s="1"/>
  <c r="FP108" i="8"/>
  <c r="FO108" i="8" s="1"/>
  <c r="FL108" i="8" s="1"/>
  <c r="FJ108" i="8" s="1"/>
  <c r="FM108" i="8"/>
  <c r="BQ224" i="22"/>
  <c r="BP224" i="22" s="1"/>
  <c r="BR224" i="22" s="1"/>
  <c r="BO225" i="22" s="1"/>
  <c r="BN224" i="22"/>
  <c r="A227" i="22"/>
  <c r="AJ227" i="22"/>
  <c r="AK227" i="22" s="1"/>
  <c r="JB169" i="8"/>
  <c r="V161" i="20"/>
  <c r="AN166" i="17" l="1"/>
  <c r="AP166" i="17" s="1"/>
  <c r="AO166" i="17" s="1"/>
  <c r="AK166" i="17" s="1"/>
  <c r="AL166" i="17"/>
  <c r="DW112" i="8"/>
  <c r="DY112" i="8" s="1"/>
  <c r="DX112" i="8" s="1"/>
  <c r="DV112" i="8"/>
  <c r="BG152" i="22"/>
  <c r="BD152" i="22" s="1"/>
  <c r="BL152" i="22"/>
  <c r="HI106" i="8"/>
  <c r="HF107" i="8" s="1"/>
  <c r="FQ108" i="8"/>
  <c r="FN109" i="8" s="1"/>
  <c r="BQ225" i="22"/>
  <c r="BP225" i="22" s="1"/>
  <c r="BR225" i="22" s="1"/>
  <c r="BO226" i="22" s="1"/>
  <c r="BN225" i="22"/>
  <c r="AJ228" i="22"/>
  <c r="AK228" i="22" s="1"/>
  <c r="A228" i="22"/>
  <c r="JB170" i="8"/>
  <c r="V162" i="20"/>
  <c r="AI166" i="17" l="1"/>
  <c r="AH111" i="20"/>
  <c r="AF111" i="20" s="1"/>
  <c r="AQ166" i="17"/>
  <c r="AL167" i="17" s="1"/>
  <c r="DU112" i="8"/>
  <c r="DS112" i="8" s="1"/>
  <c r="DZ112" i="8"/>
  <c r="BI153" i="22"/>
  <c r="BK153" i="22" s="1"/>
  <c r="BJ153" i="22" s="1"/>
  <c r="BH153" i="22"/>
  <c r="HE107" i="8"/>
  <c r="HH107" i="8"/>
  <c r="HG107" i="8" s="1"/>
  <c r="HD107" i="8" s="1"/>
  <c r="HB107" i="8" s="1"/>
  <c r="FP109" i="8"/>
  <c r="FO109" i="8" s="1"/>
  <c r="FQ109" i="8" s="1"/>
  <c r="FN110" i="8" s="1"/>
  <c r="FM109" i="8"/>
  <c r="BQ226" i="22"/>
  <c r="BP226" i="22" s="1"/>
  <c r="BR226" i="22" s="1"/>
  <c r="BO227" i="22" s="1"/>
  <c r="BN226" i="22"/>
  <c r="AJ229" i="22"/>
  <c r="AK229" i="22" s="1"/>
  <c r="A229" i="22"/>
  <c r="JB171" i="8"/>
  <c r="V163" i="20"/>
  <c r="AN167" i="17" l="1"/>
  <c r="AP167" i="17" s="1"/>
  <c r="AO167" i="17" s="1"/>
  <c r="AK167" i="17" s="1"/>
  <c r="DV113" i="8"/>
  <c r="DW113" i="8"/>
  <c r="DY113" i="8" s="1"/>
  <c r="DX113" i="8" s="1"/>
  <c r="BG153" i="22"/>
  <c r="BD153" i="22" s="1"/>
  <c r="BL153" i="22"/>
  <c r="HI107" i="8"/>
  <c r="HF108" i="8" s="1"/>
  <c r="FP110" i="8"/>
  <c r="FO110" i="8" s="1"/>
  <c r="FL110" i="8" s="1"/>
  <c r="FJ110" i="8" s="1"/>
  <c r="FM110" i="8"/>
  <c r="FL109" i="8"/>
  <c r="FJ109" i="8" s="1"/>
  <c r="BQ227" i="22"/>
  <c r="BP227" i="22" s="1"/>
  <c r="BR227" i="22" s="1"/>
  <c r="BO228" i="22" s="1"/>
  <c r="BN227" i="22"/>
  <c r="A230" i="22"/>
  <c r="AJ230" i="22"/>
  <c r="AK230" i="22" s="1"/>
  <c r="JB172" i="8"/>
  <c r="V164" i="20"/>
  <c r="AI167" i="17" l="1"/>
  <c r="AH112" i="20"/>
  <c r="AF112" i="20" s="1"/>
  <c r="AQ167" i="17"/>
  <c r="AL168" i="17" s="1"/>
  <c r="DU113" i="8"/>
  <c r="DS113" i="8" s="1"/>
  <c r="DZ113" i="8"/>
  <c r="BI154" i="22"/>
  <c r="BK154" i="22" s="1"/>
  <c r="BJ154" i="22" s="1"/>
  <c r="BH154" i="22"/>
  <c r="HH108" i="8"/>
  <c r="HG108" i="8" s="1"/>
  <c r="HD108" i="8" s="1"/>
  <c r="HB108" i="8" s="1"/>
  <c r="HE108" i="8"/>
  <c r="FQ110" i="8"/>
  <c r="FN111" i="8" s="1"/>
  <c r="BQ228" i="22"/>
  <c r="BP228" i="22" s="1"/>
  <c r="BR228" i="22" s="1"/>
  <c r="BO229" i="22" s="1"/>
  <c r="BN228" i="22"/>
  <c r="AJ231" i="22"/>
  <c r="AK231" i="22" s="1"/>
  <c r="A231" i="22"/>
  <c r="JB173" i="8"/>
  <c r="V165" i="20"/>
  <c r="AN168" i="17" l="1"/>
  <c r="AP168" i="17" s="1"/>
  <c r="AO168" i="17" s="1"/>
  <c r="AK168" i="17" s="1"/>
  <c r="DW114" i="8"/>
  <c r="DY114" i="8" s="1"/>
  <c r="DX114" i="8" s="1"/>
  <c r="DV114" i="8"/>
  <c r="BG154" i="22"/>
  <c r="BD154" i="22" s="1"/>
  <c r="BL154" i="22"/>
  <c r="HI108" i="8"/>
  <c r="FP111" i="8"/>
  <c r="FO111" i="8" s="1"/>
  <c r="FL111" i="8" s="1"/>
  <c r="FJ111" i="8" s="1"/>
  <c r="FM111" i="8"/>
  <c r="BQ229" i="22"/>
  <c r="BP229" i="22" s="1"/>
  <c r="BR229" i="22" s="1"/>
  <c r="BO230" i="22" s="1"/>
  <c r="BN229" i="22"/>
  <c r="A232" i="22"/>
  <c r="AJ232" i="22"/>
  <c r="AK232" i="22" s="1"/>
  <c r="JB174" i="8"/>
  <c r="V166" i="20"/>
  <c r="AI168" i="17" l="1"/>
  <c r="AH113" i="20"/>
  <c r="AF113" i="20" s="1"/>
  <c r="AQ168" i="17"/>
  <c r="AN169" i="17" s="1"/>
  <c r="AP169" i="17" s="1"/>
  <c r="AO169" i="17" s="1"/>
  <c r="AK169" i="17" s="1"/>
  <c r="HF109" i="8"/>
  <c r="HH109" i="8" s="1"/>
  <c r="HG109" i="8" s="1"/>
  <c r="HD109" i="8" s="1"/>
  <c r="HB109" i="8" s="1"/>
  <c r="DU114" i="8"/>
  <c r="DS114" i="8" s="1"/>
  <c r="DZ114" i="8"/>
  <c r="BI155" i="22"/>
  <c r="BK155" i="22" s="1"/>
  <c r="BJ155" i="22" s="1"/>
  <c r="BG155" i="22" s="1"/>
  <c r="BD155" i="22" s="1"/>
  <c r="BH155" i="22"/>
  <c r="HE109" i="8"/>
  <c r="FQ111" i="8"/>
  <c r="FN112" i="8" s="1"/>
  <c r="BQ230" i="22"/>
  <c r="BP230" i="22" s="1"/>
  <c r="BR230" i="22" s="1"/>
  <c r="BO231" i="22" s="1"/>
  <c r="BN230" i="22"/>
  <c r="A233" i="22"/>
  <c r="AJ233" i="22"/>
  <c r="AK233" i="22" s="1"/>
  <c r="JB175" i="8"/>
  <c r="V167" i="20"/>
  <c r="AI169" i="17" l="1"/>
  <c r="AH114" i="20"/>
  <c r="AF114" i="20" s="1"/>
  <c r="AL169" i="17"/>
  <c r="AQ169" i="17"/>
  <c r="HI109" i="8"/>
  <c r="HF110" i="8" s="1"/>
  <c r="DW115" i="8"/>
  <c r="DY115" i="8" s="1"/>
  <c r="DX115" i="8" s="1"/>
  <c r="DU115" i="8" s="1"/>
  <c r="DS115" i="8" s="1"/>
  <c r="DV115" i="8"/>
  <c r="BL155" i="22"/>
  <c r="BI156" i="22" s="1"/>
  <c r="BK156" i="22" s="1"/>
  <c r="BJ156" i="22" s="1"/>
  <c r="FP112" i="8"/>
  <c r="FO112" i="8" s="1"/>
  <c r="FL112" i="8" s="1"/>
  <c r="FJ112" i="8" s="1"/>
  <c r="FM112" i="8"/>
  <c r="BQ231" i="22"/>
  <c r="BP231" i="22" s="1"/>
  <c r="BR231" i="22" s="1"/>
  <c r="BO232" i="22" s="1"/>
  <c r="BN231" i="22"/>
  <c r="AJ234" i="22"/>
  <c r="AK234" i="22" s="1"/>
  <c r="A234" i="22"/>
  <c r="JB176" i="8"/>
  <c r="V168" i="20"/>
  <c r="AN170" i="17" l="1"/>
  <c r="AP170" i="17" s="1"/>
  <c r="AO170" i="17" s="1"/>
  <c r="AK170" i="17" s="1"/>
  <c r="AL170" i="17"/>
  <c r="HH110" i="8"/>
  <c r="HG110" i="8" s="1"/>
  <c r="HD110" i="8" s="1"/>
  <c r="HB110" i="8" s="1"/>
  <c r="HE110" i="8"/>
  <c r="BH156" i="22"/>
  <c r="DZ115" i="8"/>
  <c r="DW116" i="8" s="1"/>
  <c r="DY116" i="8" s="1"/>
  <c r="DX116" i="8" s="1"/>
  <c r="BG156" i="22"/>
  <c r="BD156" i="22" s="1"/>
  <c r="BL156" i="22"/>
  <c r="FQ112" i="8"/>
  <c r="FN113" i="8" s="1"/>
  <c r="BQ232" i="22"/>
  <c r="BP232" i="22" s="1"/>
  <c r="BR232" i="22" s="1"/>
  <c r="BO233" i="22" s="1"/>
  <c r="BN232" i="22"/>
  <c r="AJ235" i="22"/>
  <c r="AK235" i="22" s="1"/>
  <c r="A235" i="22"/>
  <c r="JB177" i="8"/>
  <c r="V169" i="20"/>
  <c r="AI170" i="17" l="1"/>
  <c r="AH115" i="20"/>
  <c r="AF115" i="20" s="1"/>
  <c r="AQ170" i="17"/>
  <c r="AL171" i="17" s="1"/>
  <c r="BH157" i="22"/>
  <c r="HI110" i="8"/>
  <c r="HF111" i="8" s="1"/>
  <c r="DV116" i="8"/>
  <c r="DU116" i="8"/>
  <c r="DS116" i="8" s="1"/>
  <c r="DZ116" i="8"/>
  <c r="BI157" i="22"/>
  <c r="BK157" i="22" s="1"/>
  <c r="BJ157" i="22" s="1"/>
  <c r="BG157" i="22" s="1"/>
  <c r="BD157" i="22" s="1"/>
  <c r="FP113" i="8"/>
  <c r="FO113" i="8" s="1"/>
  <c r="FL113" i="8" s="1"/>
  <c r="FJ113" i="8" s="1"/>
  <c r="FM113" i="8"/>
  <c r="BQ233" i="22"/>
  <c r="BP233" i="22" s="1"/>
  <c r="BR233" i="22" s="1"/>
  <c r="BO234" i="22" s="1"/>
  <c r="BN233" i="22"/>
  <c r="A236" i="22"/>
  <c r="AJ236" i="22"/>
  <c r="AK236" i="22" s="1"/>
  <c r="JB178" i="8"/>
  <c r="V170" i="20"/>
  <c r="AN171" i="17" l="1"/>
  <c r="AP171" i="17" s="1"/>
  <c r="AO171" i="17" s="1"/>
  <c r="AK171" i="17" s="1"/>
  <c r="HH111" i="8"/>
  <c r="HG111" i="8" s="1"/>
  <c r="HI111" i="8" s="1"/>
  <c r="HF112" i="8" s="1"/>
  <c r="HE111" i="8"/>
  <c r="DW117" i="8"/>
  <c r="DY117" i="8" s="1"/>
  <c r="DX117" i="8" s="1"/>
  <c r="DV117" i="8"/>
  <c r="BL157" i="22"/>
  <c r="BI158" i="22" s="1"/>
  <c r="BK158" i="22" s="1"/>
  <c r="BJ158" i="22" s="1"/>
  <c r="FQ113" i="8"/>
  <c r="FN114" i="8" s="1"/>
  <c r="BN234" i="22"/>
  <c r="BQ234" i="22"/>
  <c r="BP234" i="22" s="1"/>
  <c r="BR234" i="22" s="1"/>
  <c r="BO235" i="22" s="1"/>
  <c r="AJ237" i="22"/>
  <c r="AK237" i="22" s="1"/>
  <c r="A237" i="22"/>
  <c r="JB179" i="8"/>
  <c r="V171" i="20"/>
  <c r="AI171" i="17" l="1"/>
  <c r="AH116" i="20"/>
  <c r="AF116" i="20" s="1"/>
  <c r="AQ171" i="17"/>
  <c r="HD111" i="8"/>
  <c r="HB111" i="8" s="1"/>
  <c r="BH158" i="22"/>
  <c r="DZ117" i="8"/>
  <c r="DU117" i="8"/>
  <c r="DS117" i="8" s="1"/>
  <c r="BG158" i="22"/>
  <c r="BD158" i="22" s="1"/>
  <c r="BL158" i="22"/>
  <c r="FP114" i="8"/>
  <c r="FO114" i="8" s="1"/>
  <c r="FL114" i="8" s="1"/>
  <c r="FJ114" i="8" s="1"/>
  <c r="FM114" i="8"/>
  <c r="HE112" i="8"/>
  <c r="HH112" i="8"/>
  <c r="HG112" i="8" s="1"/>
  <c r="BQ235" i="22"/>
  <c r="BP235" i="22" s="1"/>
  <c r="BR235" i="22" s="1"/>
  <c r="BO236" i="22" s="1"/>
  <c r="BN235" i="22"/>
  <c r="A238" i="22"/>
  <c r="AJ238" i="22"/>
  <c r="AK238" i="22" s="1"/>
  <c r="JB180" i="8"/>
  <c r="V172" i="20"/>
  <c r="AN172" i="17" l="1"/>
  <c r="AP172" i="17" s="1"/>
  <c r="AO172" i="17" s="1"/>
  <c r="AK172" i="17" s="1"/>
  <c r="AL172" i="17"/>
  <c r="DW118" i="8"/>
  <c r="DY118" i="8" s="1"/>
  <c r="DX118" i="8" s="1"/>
  <c r="DV118" i="8"/>
  <c r="BI159" i="22"/>
  <c r="BK159" i="22" s="1"/>
  <c r="BJ159" i="22" s="1"/>
  <c r="BH159" i="22"/>
  <c r="FQ114" i="8"/>
  <c r="FN115" i="8" s="1"/>
  <c r="HI112" i="8"/>
  <c r="HF113" i="8" s="1"/>
  <c r="HD112" i="8"/>
  <c r="HB112" i="8" s="1"/>
  <c r="BQ236" i="22"/>
  <c r="BP236" i="22" s="1"/>
  <c r="BR236" i="22" s="1"/>
  <c r="BO237" i="22" s="1"/>
  <c r="BN236" i="22"/>
  <c r="AJ239" i="22"/>
  <c r="AK239" i="22" s="1"/>
  <c r="A239" i="22"/>
  <c r="JB181" i="8"/>
  <c r="V173" i="20"/>
  <c r="AI172" i="17" l="1"/>
  <c r="AH117" i="20"/>
  <c r="AF117" i="20" s="1"/>
  <c r="AQ172" i="17"/>
  <c r="AL173" i="17" s="1"/>
  <c r="DU118" i="8"/>
  <c r="DS118" i="8" s="1"/>
  <c r="DZ118" i="8"/>
  <c r="BG159" i="22"/>
  <c r="BD159" i="22" s="1"/>
  <c r="BL159" i="22"/>
  <c r="FM115" i="8"/>
  <c r="FP115" i="8"/>
  <c r="FO115" i="8" s="1"/>
  <c r="FL115" i="8" s="1"/>
  <c r="FJ115" i="8" s="1"/>
  <c r="HE113" i="8"/>
  <c r="HH113" i="8"/>
  <c r="HG113" i="8" s="1"/>
  <c r="BQ237" i="22"/>
  <c r="BP237" i="22" s="1"/>
  <c r="BR237" i="22" s="1"/>
  <c r="BO238" i="22" s="1"/>
  <c r="BN237" i="22"/>
  <c r="A240" i="22"/>
  <c r="AJ240" i="22"/>
  <c r="AK240" i="22" s="1"/>
  <c r="JB182" i="8"/>
  <c r="V174" i="20"/>
  <c r="AN173" i="17" l="1"/>
  <c r="AP173" i="17" s="1"/>
  <c r="AO173" i="17" s="1"/>
  <c r="AK173" i="17" s="1"/>
  <c r="DW119" i="8"/>
  <c r="DY119" i="8" s="1"/>
  <c r="DX119" i="8" s="1"/>
  <c r="DV119" i="8"/>
  <c r="BI160" i="22"/>
  <c r="BK160" i="22" s="1"/>
  <c r="BJ160" i="22" s="1"/>
  <c r="BH160" i="22"/>
  <c r="FQ115" i="8"/>
  <c r="FN116" i="8" s="1"/>
  <c r="HD113" i="8"/>
  <c r="HB113" i="8" s="1"/>
  <c r="HI113" i="8"/>
  <c r="HF114" i="8" s="1"/>
  <c r="BQ238" i="22"/>
  <c r="BP238" i="22" s="1"/>
  <c r="BR238" i="22" s="1"/>
  <c r="BO239" i="22" s="1"/>
  <c r="BN238" i="22"/>
  <c r="AJ241" i="22"/>
  <c r="AK241" i="22" s="1"/>
  <c r="A241" i="22"/>
  <c r="JB183" i="8"/>
  <c r="V175" i="20"/>
  <c r="AI173" i="17" l="1"/>
  <c r="AH118" i="20"/>
  <c r="AF118" i="20" s="1"/>
  <c r="AQ173" i="17"/>
  <c r="AL174" i="17" s="1"/>
  <c r="DZ119" i="8"/>
  <c r="DU119" i="8"/>
  <c r="DS119" i="8" s="1"/>
  <c r="BG160" i="22"/>
  <c r="BD160" i="22" s="1"/>
  <c r="BL160" i="22"/>
  <c r="FM116" i="8"/>
  <c r="FP116" i="8"/>
  <c r="FO116" i="8" s="1"/>
  <c r="FL116" i="8" s="1"/>
  <c r="FJ116" i="8" s="1"/>
  <c r="HH114" i="8"/>
  <c r="HG114" i="8" s="1"/>
  <c r="HE114" i="8"/>
  <c r="BQ239" i="22"/>
  <c r="BP239" i="22" s="1"/>
  <c r="BR239" i="22" s="1"/>
  <c r="BO240" i="22" s="1"/>
  <c r="BN239" i="22"/>
  <c r="AJ242" i="22"/>
  <c r="AK242" i="22" s="1"/>
  <c r="A242" i="22"/>
  <c r="JB184" i="8"/>
  <c r="V176" i="20"/>
  <c r="AN174" i="17" l="1"/>
  <c r="AP174" i="17" s="1"/>
  <c r="AO174" i="17" s="1"/>
  <c r="AK174" i="17" s="1"/>
  <c r="DW120" i="8"/>
  <c r="DY120" i="8" s="1"/>
  <c r="DX120" i="8" s="1"/>
  <c r="DV120" i="8"/>
  <c r="BI161" i="22"/>
  <c r="BK161" i="22" s="1"/>
  <c r="BJ161" i="22" s="1"/>
  <c r="BG161" i="22" s="1"/>
  <c r="BD161" i="22" s="1"/>
  <c r="BH161" i="22"/>
  <c r="FQ116" i="8"/>
  <c r="FN117" i="8" s="1"/>
  <c r="HD114" i="8"/>
  <c r="HB114" i="8" s="1"/>
  <c r="HI114" i="8"/>
  <c r="HF115" i="8" s="1"/>
  <c r="BQ240" i="22"/>
  <c r="BP240" i="22" s="1"/>
  <c r="BR240" i="22" s="1"/>
  <c r="BO241" i="22" s="1"/>
  <c r="BN240" i="22"/>
  <c r="A243" i="22"/>
  <c r="AJ243" i="22"/>
  <c r="AK243" i="22" s="1"/>
  <c r="JB185" i="8"/>
  <c r="V177" i="20"/>
  <c r="AI174" i="17" l="1"/>
  <c r="AH119" i="20"/>
  <c r="AF119" i="20" s="1"/>
  <c r="AQ174" i="17"/>
  <c r="AL175" i="17" s="1"/>
  <c r="DU120" i="8"/>
  <c r="DS120" i="8" s="1"/>
  <c r="DZ120" i="8"/>
  <c r="BL161" i="22"/>
  <c r="FM117" i="8"/>
  <c r="FP117" i="8"/>
  <c r="FO117" i="8" s="1"/>
  <c r="FQ117" i="8" s="1"/>
  <c r="FN118" i="8" s="1"/>
  <c r="HE115" i="8"/>
  <c r="HH115" i="8"/>
  <c r="HG115" i="8" s="1"/>
  <c r="BQ241" i="22"/>
  <c r="BP241" i="22" s="1"/>
  <c r="BR241" i="22" s="1"/>
  <c r="BO242" i="22" s="1"/>
  <c r="BN241" i="22"/>
  <c r="AJ244" i="22"/>
  <c r="AK244" i="22" s="1"/>
  <c r="A244" i="22"/>
  <c r="JB186" i="8"/>
  <c r="V178" i="20"/>
  <c r="AN175" i="17" l="1"/>
  <c r="AP175" i="17" s="1"/>
  <c r="AO175" i="17" s="1"/>
  <c r="AK175" i="17" s="1"/>
  <c r="DW121" i="8"/>
  <c r="DY121" i="8" s="1"/>
  <c r="DX121" i="8" s="1"/>
  <c r="DV121" i="8"/>
  <c r="BI162" i="22"/>
  <c r="BK162" i="22" s="1"/>
  <c r="BJ162" i="22" s="1"/>
  <c r="BH162" i="22"/>
  <c r="FL117" i="8"/>
  <c r="FJ117" i="8" s="1"/>
  <c r="HD115" i="8"/>
  <c r="HB115" i="8" s="1"/>
  <c r="HI115" i="8"/>
  <c r="HF116" i="8" s="1"/>
  <c r="FP118" i="8"/>
  <c r="FO118" i="8" s="1"/>
  <c r="FL118" i="8" s="1"/>
  <c r="FJ118" i="8" s="1"/>
  <c r="FM118" i="8"/>
  <c r="BQ242" i="22"/>
  <c r="BP242" i="22" s="1"/>
  <c r="BR242" i="22" s="1"/>
  <c r="BO243" i="22" s="1"/>
  <c r="BN242" i="22"/>
  <c r="A245" i="22"/>
  <c r="AJ245" i="22"/>
  <c r="AK245" i="22" s="1"/>
  <c r="JB187" i="8"/>
  <c r="V179" i="20"/>
  <c r="AI175" i="17" l="1"/>
  <c r="AH120" i="20"/>
  <c r="AF120" i="20" s="1"/>
  <c r="AQ175" i="17"/>
  <c r="AN176" i="17" s="1"/>
  <c r="AP176" i="17" s="1"/>
  <c r="AO176" i="17" s="1"/>
  <c r="AK176" i="17" s="1"/>
  <c r="DU121" i="8"/>
  <c r="DS121" i="8" s="1"/>
  <c r="DZ121" i="8"/>
  <c r="BG162" i="22"/>
  <c r="BD162" i="22" s="1"/>
  <c r="BL162" i="22"/>
  <c r="HE116" i="8"/>
  <c r="HH116" i="8"/>
  <c r="HG116" i="8" s="1"/>
  <c r="FQ118" i="8"/>
  <c r="FN119" i="8" s="1"/>
  <c r="BQ243" i="22"/>
  <c r="BP243" i="22" s="1"/>
  <c r="BR243" i="22" s="1"/>
  <c r="BO244" i="22" s="1"/>
  <c r="BN243" i="22"/>
  <c r="A246" i="22"/>
  <c r="AJ246" i="22"/>
  <c r="AK246" i="22" s="1"/>
  <c r="JB188" i="8"/>
  <c r="V180" i="20"/>
  <c r="AI176" i="17" l="1"/>
  <c r="AH121" i="20"/>
  <c r="AF121" i="20" s="1"/>
  <c r="AL176" i="17"/>
  <c r="AQ176" i="17"/>
  <c r="DW122" i="8"/>
  <c r="DY122" i="8" s="1"/>
  <c r="DX122" i="8" s="1"/>
  <c r="DV122" i="8"/>
  <c r="BI163" i="22"/>
  <c r="BK163" i="22" s="1"/>
  <c r="BJ163" i="22" s="1"/>
  <c r="BG163" i="22" s="1"/>
  <c r="BD163" i="22" s="1"/>
  <c r="BH163" i="22"/>
  <c r="HD116" i="8"/>
  <c r="HB116" i="8" s="1"/>
  <c r="HI116" i="8"/>
  <c r="HF117" i="8" s="1"/>
  <c r="FM119" i="8"/>
  <c r="FP119" i="8"/>
  <c r="FO119" i="8" s="1"/>
  <c r="FL119" i="8" s="1"/>
  <c r="FJ119" i="8" s="1"/>
  <c r="BQ244" i="22"/>
  <c r="BP244" i="22" s="1"/>
  <c r="BR244" i="22" s="1"/>
  <c r="BO245" i="22" s="1"/>
  <c r="BN244" i="22"/>
  <c r="AJ247" i="22"/>
  <c r="AK247" i="22" s="1"/>
  <c r="A247" i="22"/>
  <c r="JB189" i="8"/>
  <c r="V181" i="20"/>
  <c r="AL177" i="17" l="1"/>
  <c r="AN177" i="17"/>
  <c r="AP177" i="17" s="1"/>
  <c r="AO177" i="17" s="1"/>
  <c r="AK177" i="17" s="1"/>
  <c r="DZ122" i="8"/>
  <c r="DU122" i="8"/>
  <c r="DS122" i="8" s="1"/>
  <c r="BL163" i="22"/>
  <c r="HE117" i="8"/>
  <c r="HH117" i="8"/>
  <c r="HG117" i="8" s="1"/>
  <c r="FQ119" i="8"/>
  <c r="FN120" i="8" s="1"/>
  <c r="BQ245" i="22"/>
  <c r="BP245" i="22" s="1"/>
  <c r="BR245" i="22" s="1"/>
  <c r="BO246" i="22" s="1"/>
  <c r="BN245" i="22"/>
  <c r="A248" i="22"/>
  <c r="AJ248" i="22"/>
  <c r="AK248" i="22" s="1"/>
  <c r="JB190" i="8"/>
  <c r="V182" i="20"/>
  <c r="AI177" i="17" l="1"/>
  <c r="AH122" i="20"/>
  <c r="AF122" i="20" s="1"/>
  <c r="AQ177" i="17"/>
  <c r="DW123" i="8"/>
  <c r="DY123" i="8" s="1"/>
  <c r="DX123" i="8" s="1"/>
  <c r="DV123" i="8"/>
  <c r="BI164" i="22"/>
  <c r="BK164" i="22" s="1"/>
  <c r="BJ164" i="22" s="1"/>
  <c r="BH164" i="22"/>
  <c r="HD117" i="8"/>
  <c r="HB117" i="8" s="1"/>
  <c r="HI117" i="8"/>
  <c r="HF118" i="8" s="1"/>
  <c r="FP120" i="8"/>
  <c r="FO120" i="8" s="1"/>
  <c r="FM120" i="8"/>
  <c r="BQ246" i="22"/>
  <c r="BP246" i="22" s="1"/>
  <c r="BR246" i="22" s="1"/>
  <c r="BO247" i="22" s="1"/>
  <c r="BN246" i="22"/>
  <c r="AJ249" i="22"/>
  <c r="AK249" i="22" s="1"/>
  <c r="A249" i="22"/>
  <c r="JB191" i="8"/>
  <c r="V183" i="20"/>
  <c r="AN178" i="17" l="1"/>
  <c r="AP178" i="17" s="1"/>
  <c r="AO178" i="17" s="1"/>
  <c r="AK178" i="17" s="1"/>
  <c r="AL178" i="17"/>
  <c r="DU123" i="8"/>
  <c r="DS123" i="8" s="1"/>
  <c r="DZ123" i="8"/>
  <c r="BG164" i="22"/>
  <c r="BD164" i="22" s="1"/>
  <c r="BL164" i="22"/>
  <c r="BH165" i="22" s="1"/>
  <c r="HH118" i="8"/>
  <c r="HG118" i="8" s="1"/>
  <c r="HE118" i="8"/>
  <c r="FQ120" i="8"/>
  <c r="FN121" i="8" s="1"/>
  <c r="FL120" i="8"/>
  <c r="FJ120" i="8" s="1"/>
  <c r="BQ247" i="22"/>
  <c r="BP247" i="22" s="1"/>
  <c r="BR247" i="22" s="1"/>
  <c r="BO248" i="22" s="1"/>
  <c r="BN247" i="22"/>
  <c r="A250" i="22"/>
  <c r="AJ250" i="22"/>
  <c r="AK250" i="22" s="1"/>
  <c r="JB192" i="8"/>
  <c r="V184" i="20"/>
  <c r="AI178" i="17" l="1"/>
  <c r="AH123" i="20"/>
  <c r="AF123" i="20" s="1"/>
  <c r="AQ178" i="17"/>
  <c r="DW124" i="8"/>
  <c r="DY124" i="8" s="1"/>
  <c r="DX124" i="8" s="1"/>
  <c r="DV124" i="8"/>
  <c r="BI165" i="22"/>
  <c r="BK165" i="22" s="1"/>
  <c r="BJ165" i="22" s="1"/>
  <c r="BG165" i="22" s="1"/>
  <c r="BD165" i="22" s="1"/>
  <c r="HD118" i="8"/>
  <c r="HB118" i="8" s="1"/>
  <c r="HI118" i="8"/>
  <c r="HF119" i="8" s="1"/>
  <c r="FM121" i="8"/>
  <c r="FP121" i="8"/>
  <c r="FO121" i="8" s="1"/>
  <c r="BQ248" i="22"/>
  <c r="BP248" i="22" s="1"/>
  <c r="BR248" i="22" s="1"/>
  <c r="BO249" i="22" s="1"/>
  <c r="BN248" i="22"/>
  <c r="A251" i="22"/>
  <c r="AJ251" i="22"/>
  <c r="AK251" i="22" s="1"/>
  <c r="JB193" i="8"/>
  <c r="V185" i="20"/>
  <c r="AL179" i="17" l="1"/>
  <c r="AN179" i="17"/>
  <c r="AP179" i="17" s="1"/>
  <c r="AO179" i="17" s="1"/>
  <c r="AK179" i="17" s="1"/>
  <c r="DU124" i="8"/>
  <c r="DS124" i="8" s="1"/>
  <c r="DZ124" i="8"/>
  <c r="BL165" i="22"/>
  <c r="BI166" i="22" s="1"/>
  <c r="BK166" i="22" s="1"/>
  <c r="BJ166" i="22" s="1"/>
  <c r="BG166" i="22" s="1"/>
  <c r="BD166" i="22" s="1"/>
  <c r="HE119" i="8"/>
  <c r="HH119" i="8"/>
  <c r="HG119" i="8" s="1"/>
  <c r="FL121" i="8"/>
  <c r="FJ121" i="8" s="1"/>
  <c r="FQ121" i="8"/>
  <c r="BQ249" i="22"/>
  <c r="BP249" i="22" s="1"/>
  <c r="BR249" i="22" s="1"/>
  <c r="BO250" i="22" s="1"/>
  <c r="BN249" i="22"/>
  <c r="AJ252" i="22"/>
  <c r="AK252" i="22" s="1"/>
  <c r="A252" i="22"/>
  <c r="JB194" i="8"/>
  <c r="V186" i="20"/>
  <c r="AI179" i="17" l="1"/>
  <c r="AH124" i="20"/>
  <c r="AF124" i="20" s="1"/>
  <c r="AQ179" i="17"/>
  <c r="BH166" i="22"/>
  <c r="FN122" i="8"/>
  <c r="FP122" i="8" s="1"/>
  <c r="FO122" i="8" s="1"/>
  <c r="FL122" i="8" s="1"/>
  <c r="FJ122" i="8" s="1"/>
  <c r="DW125" i="8"/>
  <c r="DY125" i="8" s="1"/>
  <c r="DX125" i="8" s="1"/>
  <c r="DV125" i="8"/>
  <c r="BL166" i="22"/>
  <c r="HD119" i="8"/>
  <c r="HB119" i="8" s="1"/>
  <c r="HI119" i="8"/>
  <c r="HF120" i="8" s="1"/>
  <c r="FM122" i="8"/>
  <c r="BQ250" i="22"/>
  <c r="BP250" i="22" s="1"/>
  <c r="BR250" i="22" s="1"/>
  <c r="BO251" i="22" s="1"/>
  <c r="BN250" i="22"/>
  <c r="A253" i="22"/>
  <c r="AJ253" i="22"/>
  <c r="AK253" i="22" s="1"/>
  <c r="JB195" i="8"/>
  <c r="V187" i="20"/>
  <c r="AN180" i="17" l="1"/>
  <c r="AP180" i="17" s="1"/>
  <c r="AO180" i="17" s="1"/>
  <c r="AK180" i="17" s="1"/>
  <c r="AL180" i="17"/>
  <c r="FQ122" i="8"/>
  <c r="FN123" i="8" s="1"/>
  <c r="DU125" i="8"/>
  <c r="DS125" i="8" s="1"/>
  <c r="DZ125" i="8"/>
  <c r="BI167" i="22"/>
  <c r="BK167" i="22" s="1"/>
  <c r="BJ167" i="22" s="1"/>
  <c r="BH167" i="22"/>
  <c r="HH120" i="8"/>
  <c r="HG120" i="8" s="1"/>
  <c r="HE120" i="8"/>
  <c r="BQ251" i="22"/>
  <c r="BP251" i="22" s="1"/>
  <c r="BR251" i="22" s="1"/>
  <c r="BO252" i="22" s="1"/>
  <c r="BN251" i="22"/>
  <c r="AJ254" i="22"/>
  <c r="AK254" i="22" s="1"/>
  <c r="A254" i="22"/>
  <c r="JB196" i="8"/>
  <c r="V188" i="20"/>
  <c r="AI180" i="17" l="1"/>
  <c r="AH125" i="20"/>
  <c r="AF125" i="20" s="1"/>
  <c r="AQ180" i="17"/>
  <c r="FM123" i="8"/>
  <c r="FP123" i="8"/>
  <c r="FO123" i="8" s="1"/>
  <c r="FL123" i="8" s="1"/>
  <c r="FJ123" i="8" s="1"/>
  <c r="DW126" i="8"/>
  <c r="DY126" i="8" s="1"/>
  <c r="DX126" i="8" s="1"/>
  <c r="DV126" i="8"/>
  <c r="BG167" i="22"/>
  <c r="BD167" i="22" s="1"/>
  <c r="BL167" i="22"/>
  <c r="HD120" i="8"/>
  <c r="HB120" i="8" s="1"/>
  <c r="HI120" i="8"/>
  <c r="HF121" i="8" s="1"/>
  <c r="BQ252" i="22"/>
  <c r="BP252" i="22" s="1"/>
  <c r="BR252" i="22" s="1"/>
  <c r="BO253" i="22" s="1"/>
  <c r="BN252" i="22"/>
  <c r="A255" i="22"/>
  <c r="AJ255" i="22"/>
  <c r="AK255" i="22" s="1"/>
  <c r="JB197" i="8"/>
  <c r="V189" i="20"/>
  <c r="AN181" i="17" l="1"/>
  <c r="AP181" i="17" s="1"/>
  <c r="AO181" i="17" s="1"/>
  <c r="AK181" i="17" s="1"/>
  <c r="AL181" i="17"/>
  <c r="FQ123" i="8"/>
  <c r="FN124" i="8" s="1"/>
  <c r="DU126" i="8"/>
  <c r="DS126" i="8" s="1"/>
  <c r="DZ126" i="8"/>
  <c r="BI168" i="22"/>
  <c r="BK168" i="22" s="1"/>
  <c r="BJ168" i="22" s="1"/>
  <c r="BH168" i="22"/>
  <c r="HH121" i="8"/>
  <c r="HG121" i="8" s="1"/>
  <c r="HE121" i="8"/>
  <c r="BQ253" i="22"/>
  <c r="BP253" i="22" s="1"/>
  <c r="BR253" i="22" s="1"/>
  <c r="BO254" i="22" s="1"/>
  <c r="BN253" i="22"/>
  <c r="AJ256" i="22"/>
  <c r="AK256" i="22" s="1"/>
  <c r="A256" i="22"/>
  <c r="JB198" i="8"/>
  <c r="V190" i="20"/>
  <c r="AI181" i="17" l="1"/>
  <c r="AH126" i="20"/>
  <c r="AF126" i="20" s="1"/>
  <c r="AQ181" i="17"/>
  <c r="AN182" i="17" s="1"/>
  <c r="AP182" i="17" s="1"/>
  <c r="AO182" i="17" s="1"/>
  <c r="AK182" i="17" s="1"/>
  <c r="FP124" i="8"/>
  <c r="FO124" i="8" s="1"/>
  <c r="FL124" i="8" s="1"/>
  <c r="FJ124" i="8" s="1"/>
  <c r="FM124" i="8"/>
  <c r="DW127" i="8"/>
  <c r="DY127" i="8" s="1"/>
  <c r="DX127" i="8" s="1"/>
  <c r="DV127" i="8"/>
  <c r="BG168" i="22"/>
  <c r="BD168" i="22" s="1"/>
  <c r="BL168" i="22"/>
  <c r="HD121" i="8"/>
  <c r="HB121" i="8" s="1"/>
  <c r="HI121" i="8"/>
  <c r="HF122" i="8" s="1"/>
  <c r="BQ254" i="22"/>
  <c r="BP254" i="22" s="1"/>
  <c r="BR254" i="22" s="1"/>
  <c r="BO255" i="22" s="1"/>
  <c r="BN254" i="22"/>
  <c r="A257" i="22"/>
  <c r="AJ257" i="22"/>
  <c r="AK257" i="22" s="1"/>
  <c r="JB199" i="8"/>
  <c r="V191" i="20"/>
  <c r="AI182" i="17" l="1"/>
  <c r="AH127" i="20"/>
  <c r="AF127" i="20" s="1"/>
  <c r="AL182" i="17"/>
  <c r="AQ182" i="17"/>
  <c r="FQ124" i="8"/>
  <c r="FN125" i="8" s="1"/>
  <c r="DU127" i="8"/>
  <c r="DS127" i="8" s="1"/>
  <c r="DZ127" i="8"/>
  <c r="BI169" i="22"/>
  <c r="BK169" i="22" s="1"/>
  <c r="BJ169" i="22" s="1"/>
  <c r="BG169" i="22" s="1"/>
  <c r="BD169" i="22" s="1"/>
  <c r="BH169" i="22"/>
  <c r="HE122" i="8"/>
  <c r="HH122" i="8"/>
  <c r="HG122" i="8" s="1"/>
  <c r="BQ255" i="22"/>
  <c r="BP255" i="22" s="1"/>
  <c r="BR255" i="22" s="1"/>
  <c r="BO256" i="22" s="1"/>
  <c r="BN255" i="22"/>
  <c r="AJ258" i="22"/>
  <c r="AK258" i="22" s="1"/>
  <c r="A258" i="22"/>
  <c r="JB200" i="8"/>
  <c r="V192" i="20"/>
  <c r="AL183" i="17" l="1"/>
  <c r="AN183" i="17"/>
  <c r="AP183" i="17" s="1"/>
  <c r="AO183" i="17" s="1"/>
  <c r="AK183" i="17" s="1"/>
  <c r="FM125" i="8"/>
  <c r="FP125" i="8"/>
  <c r="FO125" i="8" s="1"/>
  <c r="FL125" i="8" s="1"/>
  <c r="FJ125" i="8" s="1"/>
  <c r="DW128" i="8"/>
  <c r="DY128" i="8" s="1"/>
  <c r="DX128" i="8" s="1"/>
  <c r="DU128" i="8" s="1"/>
  <c r="DS128" i="8" s="1"/>
  <c r="DV128" i="8"/>
  <c r="BL169" i="22"/>
  <c r="BI170" i="22" s="1"/>
  <c r="BK170" i="22" s="1"/>
  <c r="BJ170" i="22" s="1"/>
  <c r="HD122" i="8"/>
  <c r="HB122" i="8" s="1"/>
  <c r="HI122" i="8"/>
  <c r="HF123" i="8" s="1"/>
  <c r="BQ256" i="22"/>
  <c r="BP256" i="22" s="1"/>
  <c r="BR256" i="22" s="1"/>
  <c r="BO257" i="22" s="1"/>
  <c r="BN256" i="22"/>
  <c r="A259" i="22"/>
  <c r="AJ259" i="22"/>
  <c r="AK259" i="22" s="1"/>
  <c r="JB201" i="8"/>
  <c r="V193" i="20"/>
  <c r="AI183" i="17" l="1"/>
  <c r="AH128" i="20"/>
  <c r="AF128" i="20" s="1"/>
  <c r="AQ183" i="17"/>
  <c r="FQ125" i="8"/>
  <c r="FN126" i="8" s="1"/>
  <c r="FP126" i="8" s="1"/>
  <c r="FO126" i="8" s="1"/>
  <c r="BH170" i="22"/>
  <c r="DZ128" i="8"/>
  <c r="DW129" i="8" s="1"/>
  <c r="DY129" i="8" s="1"/>
  <c r="DX129" i="8" s="1"/>
  <c r="BG170" i="22"/>
  <c r="BD170" i="22" s="1"/>
  <c r="BL170" i="22"/>
  <c r="HE123" i="8"/>
  <c r="HH123" i="8"/>
  <c r="HG123" i="8" s="1"/>
  <c r="BQ257" i="22"/>
  <c r="BP257" i="22" s="1"/>
  <c r="BR257" i="22" s="1"/>
  <c r="BO258" i="22" s="1"/>
  <c r="BN257" i="22"/>
  <c r="AJ260" i="22"/>
  <c r="AK260" i="22" s="1"/>
  <c r="A260" i="22"/>
  <c r="JB202" i="8"/>
  <c r="V194" i="20"/>
  <c r="AL184" i="17" l="1"/>
  <c r="AN184" i="17"/>
  <c r="AP184" i="17" s="1"/>
  <c r="AO184" i="17" s="1"/>
  <c r="AK184" i="17" s="1"/>
  <c r="FM126" i="8"/>
  <c r="DV129" i="8"/>
  <c r="DU129" i="8"/>
  <c r="DS129" i="8" s="1"/>
  <c r="DZ129" i="8"/>
  <c r="BI171" i="22"/>
  <c r="BK171" i="22" s="1"/>
  <c r="BJ171" i="22" s="1"/>
  <c r="BH171" i="22"/>
  <c r="HD123" i="8"/>
  <c r="HB123" i="8" s="1"/>
  <c r="HI123" i="8"/>
  <c r="HF124" i="8" s="1"/>
  <c r="FL126" i="8"/>
  <c r="FJ126" i="8" s="1"/>
  <c r="FQ126" i="8"/>
  <c r="FN127" i="8" s="1"/>
  <c r="BQ258" i="22"/>
  <c r="BP258" i="22" s="1"/>
  <c r="BR258" i="22" s="1"/>
  <c r="BO259" i="22" s="1"/>
  <c r="BN258" i="22"/>
  <c r="AJ261" i="22"/>
  <c r="AK261" i="22" s="1"/>
  <c r="A261" i="22"/>
  <c r="JB203" i="8"/>
  <c r="V195" i="20"/>
  <c r="AI184" i="17" l="1"/>
  <c r="AH129" i="20"/>
  <c r="AF129" i="20" s="1"/>
  <c r="AQ184" i="17"/>
  <c r="AN185" i="17" s="1"/>
  <c r="AP185" i="17" s="1"/>
  <c r="AO185" i="17" s="1"/>
  <c r="DW130" i="8"/>
  <c r="DY130" i="8" s="1"/>
  <c r="DX130" i="8" s="1"/>
  <c r="DU130" i="8" s="1"/>
  <c r="DS130" i="8" s="1"/>
  <c r="DV130" i="8"/>
  <c r="BG171" i="22"/>
  <c r="BD171" i="22" s="1"/>
  <c r="BL171" i="22"/>
  <c r="HH124" i="8"/>
  <c r="HG124" i="8" s="1"/>
  <c r="HE124" i="8"/>
  <c r="FM127" i="8"/>
  <c r="FP127" i="8"/>
  <c r="FO127" i="8" s="1"/>
  <c r="BQ259" i="22"/>
  <c r="BP259" i="22" s="1"/>
  <c r="BR259" i="22" s="1"/>
  <c r="BO260" i="22" s="1"/>
  <c r="BN259" i="22"/>
  <c r="A262" i="22"/>
  <c r="AJ262" i="22"/>
  <c r="AK262" i="22" s="1"/>
  <c r="JB204" i="8"/>
  <c r="V196" i="20"/>
  <c r="AL185" i="17" l="1"/>
  <c r="AK185" i="17"/>
  <c r="AQ185" i="17"/>
  <c r="DZ130" i="8"/>
  <c r="DW131" i="8" s="1"/>
  <c r="DY131" i="8" s="1"/>
  <c r="DX131" i="8" s="1"/>
  <c r="DU131" i="8" s="1"/>
  <c r="DS131" i="8" s="1"/>
  <c r="BI172" i="22"/>
  <c r="BK172" i="22" s="1"/>
  <c r="BJ172" i="22" s="1"/>
  <c r="BG172" i="22" s="1"/>
  <c r="BD172" i="22" s="1"/>
  <c r="BH172" i="22"/>
  <c r="HD124" i="8"/>
  <c r="HB124" i="8" s="1"/>
  <c r="HI124" i="8"/>
  <c r="HF125" i="8" s="1"/>
  <c r="FL127" i="8"/>
  <c r="FJ127" i="8" s="1"/>
  <c r="FQ127" i="8"/>
  <c r="FN128" i="8" s="1"/>
  <c r="BQ260" i="22"/>
  <c r="BP260" i="22" s="1"/>
  <c r="BR260" i="22" s="1"/>
  <c r="BO261" i="22" s="1"/>
  <c r="BN260" i="22"/>
  <c r="AJ263" i="22"/>
  <c r="AK263" i="22" s="1"/>
  <c r="A263" i="22"/>
  <c r="JB205" i="8"/>
  <c r="V197" i="20"/>
  <c r="AI185" i="17" l="1"/>
  <c r="AH130" i="20"/>
  <c r="AF130" i="20" s="1"/>
  <c r="AL186" i="17"/>
  <c r="AN186" i="17"/>
  <c r="AP186" i="17" s="1"/>
  <c r="AO186" i="17" s="1"/>
  <c r="DV131" i="8"/>
  <c r="DZ131" i="8"/>
  <c r="DW132" i="8" s="1"/>
  <c r="BL172" i="22"/>
  <c r="HH125" i="8"/>
  <c r="HG125" i="8" s="1"/>
  <c r="HE125" i="8"/>
  <c r="FP128" i="8"/>
  <c r="FO128" i="8" s="1"/>
  <c r="FM128" i="8"/>
  <c r="BQ261" i="22"/>
  <c r="BP261" i="22" s="1"/>
  <c r="BR261" i="22" s="1"/>
  <c r="BO262" i="22" s="1"/>
  <c r="BN261" i="22"/>
  <c r="AJ264" i="22"/>
  <c r="AK264" i="22" s="1"/>
  <c r="A264" i="22"/>
  <c r="JB206" i="8"/>
  <c r="V198" i="20"/>
  <c r="AQ186" i="17" l="1"/>
  <c r="AK186" i="17"/>
  <c r="DY132" i="8"/>
  <c r="DX132" i="8" s="1"/>
  <c r="DU132" i="8" s="1"/>
  <c r="DS132" i="8" s="1"/>
  <c r="DV132" i="8"/>
  <c r="BI173" i="22"/>
  <c r="BK173" i="22" s="1"/>
  <c r="BJ173" i="22" s="1"/>
  <c r="BH173" i="22"/>
  <c r="HD125" i="8"/>
  <c r="HB125" i="8" s="1"/>
  <c r="HI125" i="8"/>
  <c r="HF126" i="8" s="1"/>
  <c r="FL128" i="8"/>
  <c r="FJ128" i="8" s="1"/>
  <c r="FQ128" i="8"/>
  <c r="FN129" i="8" s="1"/>
  <c r="BQ262" i="22"/>
  <c r="BP262" i="22" s="1"/>
  <c r="BR262" i="22" s="1"/>
  <c r="BO263" i="22" s="1"/>
  <c r="BN262" i="22"/>
  <c r="A265" i="22"/>
  <c r="AJ265" i="22"/>
  <c r="AK265" i="22" s="1"/>
  <c r="JB207" i="8"/>
  <c r="V199" i="20"/>
  <c r="AI186" i="17" l="1"/>
  <c r="AH131" i="20"/>
  <c r="AF131" i="20" s="1"/>
  <c r="AN187" i="17"/>
  <c r="AP187" i="17" s="1"/>
  <c r="AO187" i="17" s="1"/>
  <c r="AK187" i="17" s="1"/>
  <c r="AL187" i="17"/>
  <c r="DZ132" i="8"/>
  <c r="BG173" i="22"/>
  <c r="BD173" i="22" s="1"/>
  <c r="BL173" i="22"/>
  <c r="HH126" i="8"/>
  <c r="HG126" i="8" s="1"/>
  <c r="HD126" i="8" s="1"/>
  <c r="HB126" i="8" s="1"/>
  <c r="HE126" i="8"/>
  <c r="FP129" i="8"/>
  <c r="FO129" i="8" s="1"/>
  <c r="FM129" i="8"/>
  <c r="BQ263" i="22"/>
  <c r="BP263" i="22" s="1"/>
  <c r="BR263" i="22" s="1"/>
  <c r="BO264" i="22" s="1"/>
  <c r="BN263" i="22"/>
  <c r="A266" i="22"/>
  <c r="AJ266" i="22"/>
  <c r="AK266" i="22" s="1"/>
  <c r="JB208" i="8"/>
  <c r="V200" i="20"/>
  <c r="AI187" i="17" l="1"/>
  <c r="AH132" i="20"/>
  <c r="AF132" i="20" s="1"/>
  <c r="AQ187" i="17"/>
  <c r="AN188" i="17" s="1"/>
  <c r="AP188" i="17" s="1"/>
  <c r="AO188" i="17" s="1"/>
  <c r="AK188" i="17" s="1"/>
  <c r="DW133" i="8"/>
  <c r="DY133" i="8" s="1"/>
  <c r="DX133" i="8" s="1"/>
  <c r="DV133" i="8"/>
  <c r="BI174" i="22"/>
  <c r="BK174" i="22" s="1"/>
  <c r="BJ174" i="22" s="1"/>
  <c r="BG174" i="22" s="1"/>
  <c r="BD174" i="22" s="1"/>
  <c r="BH174" i="22"/>
  <c r="HI126" i="8"/>
  <c r="FL129" i="8"/>
  <c r="FJ129" i="8" s="1"/>
  <c r="FQ129" i="8"/>
  <c r="FN130" i="8" s="1"/>
  <c r="BQ264" i="22"/>
  <c r="BP264" i="22" s="1"/>
  <c r="BR264" i="22" s="1"/>
  <c r="BO265" i="22" s="1"/>
  <c r="BN264" i="22"/>
  <c r="AJ267" i="22"/>
  <c r="AK267" i="22" s="1"/>
  <c r="A267" i="22"/>
  <c r="JB209" i="8"/>
  <c r="V201" i="20"/>
  <c r="AI188" i="17" l="1"/>
  <c r="AH133" i="20"/>
  <c r="AF133" i="20" s="1"/>
  <c r="AQ188" i="17"/>
  <c r="AL188" i="17"/>
  <c r="DZ133" i="8"/>
  <c r="DU133" i="8"/>
  <c r="DS133" i="8" s="1"/>
  <c r="HE127" i="8"/>
  <c r="HF127" i="8"/>
  <c r="HH127" i="8" s="1"/>
  <c r="HG127" i="8" s="1"/>
  <c r="HD127" i="8" s="1"/>
  <c r="HB127" i="8" s="1"/>
  <c r="BL174" i="22"/>
  <c r="FP130" i="8"/>
  <c r="FO130" i="8" s="1"/>
  <c r="FM130" i="8"/>
  <c r="BQ265" i="22"/>
  <c r="BP265" i="22" s="1"/>
  <c r="BR265" i="22" s="1"/>
  <c r="BO266" i="22" s="1"/>
  <c r="BN265" i="22"/>
  <c r="AJ268" i="22"/>
  <c r="AK268" i="22" s="1"/>
  <c r="A268" i="22"/>
  <c r="JB210" i="8"/>
  <c r="V202" i="20"/>
  <c r="AL189" i="17" l="1"/>
  <c r="AN189" i="17"/>
  <c r="AP189" i="17" s="1"/>
  <c r="AO189" i="17" s="1"/>
  <c r="AK189" i="17" s="1"/>
  <c r="DW134" i="8"/>
  <c r="DY134" i="8" s="1"/>
  <c r="DX134" i="8" s="1"/>
  <c r="DV134" i="8"/>
  <c r="BI175" i="22"/>
  <c r="BK175" i="22" s="1"/>
  <c r="BJ175" i="22" s="1"/>
  <c r="BH175" i="22"/>
  <c r="HI127" i="8"/>
  <c r="FL130" i="8"/>
  <c r="FJ130" i="8" s="1"/>
  <c r="FQ130" i="8"/>
  <c r="FN131" i="8" s="1"/>
  <c r="BQ266" i="22"/>
  <c r="BP266" i="22" s="1"/>
  <c r="BR266" i="22" s="1"/>
  <c r="BO267" i="22" s="1"/>
  <c r="BN266" i="22"/>
  <c r="A269" i="22"/>
  <c r="AJ269" i="22"/>
  <c r="AK269" i="22" s="1"/>
  <c r="JB211" i="8"/>
  <c r="V203" i="20"/>
  <c r="AI189" i="17" l="1"/>
  <c r="AH134" i="20"/>
  <c r="AF134" i="20" s="1"/>
  <c r="AQ189" i="17"/>
  <c r="AN190" i="17" s="1"/>
  <c r="AP190" i="17" s="1"/>
  <c r="AO190" i="17" s="1"/>
  <c r="DU134" i="8"/>
  <c r="DS134" i="8" s="1"/>
  <c r="DZ134" i="8"/>
  <c r="HE128" i="8"/>
  <c r="HF128" i="8"/>
  <c r="HH128" i="8" s="1"/>
  <c r="HG128" i="8" s="1"/>
  <c r="HD128" i="8" s="1"/>
  <c r="HB128" i="8" s="1"/>
  <c r="BG175" i="22"/>
  <c r="BD175" i="22" s="1"/>
  <c r="BL175" i="22"/>
  <c r="FM131" i="8"/>
  <c r="FP131" i="8"/>
  <c r="FO131" i="8" s="1"/>
  <c r="BQ267" i="22"/>
  <c r="BP267" i="22" s="1"/>
  <c r="BR267" i="22" s="1"/>
  <c r="BO268" i="22" s="1"/>
  <c r="BN267" i="22"/>
  <c r="AJ270" i="22"/>
  <c r="AK270" i="22" s="1"/>
  <c r="A270" i="22"/>
  <c r="JB212" i="8"/>
  <c r="V204" i="20"/>
  <c r="AL190" i="17" l="1"/>
  <c r="AK190" i="17"/>
  <c r="AQ190" i="17"/>
  <c r="DW135" i="8"/>
  <c r="DY135" i="8" s="1"/>
  <c r="DX135" i="8" s="1"/>
  <c r="DV135" i="8"/>
  <c r="BI176" i="22"/>
  <c r="BK176" i="22" s="1"/>
  <c r="BJ176" i="22" s="1"/>
  <c r="BH176" i="22"/>
  <c r="HI128" i="8"/>
  <c r="FL131" i="8"/>
  <c r="FJ131" i="8" s="1"/>
  <c r="FQ131" i="8"/>
  <c r="FN132" i="8" s="1"/>
  <c r="BQ268" i="22"/>
  <c r="BP268" i="22" s="1"/>
  <c r="BR268" i="22" s="1"/>
  <c r="BO269" i="22" s="1"/>
  <c r="BN268" i="22"/>
  <c r="A271" i="22"/>
  <c r="AJ271" i="22"/>
  <c r="AK271" i="22" s="1"/>
  <c r="JB213" i="8"/>
  <c r="V205" i="20"/>
  <c r="AI190" i="17" l="1"/>
  <c r="AH135" i="20"/>
  <c r="AF135" i="20" s="1"/>
  <c r="AN191" i="17"/>
  <c r="AP191" i="17" s="1"/>
  <c r="AO191" i="17" s="1"/>
  <c r="AL191" i="17"/>
  <c r="DU135" i="8"/>
  <c r="DS135" i="8" s="1"/>
  <c r="DZ135" i="8"/>
  <c r="HF129" i="8"/>
  <c r="HH129" i="8" s="1"/>
  <c r="HG129" i="8" s="1"/>
  <c r="HD129" i="8" s="1"/>
  <c r="HB129" i="8" s="1"/>
  <c r="BG176" i="22"/>
  <c r="BD176" i="22" s="1"/>
  <c r="BL176" i="22"/>
  <c r="HE129" i="8"/>
  <c r="FP132" i="8"/>
  <c r="FO132" i="8" s="1"/>
  <c r="FL132" i="8" s="1"/>
  <c r="FJ132" i="8" s="1"/>
  <c r="FM132" i="8"/>
  <c r="BQ269" i="22"/>
  <c r="BP269" i="22" s="1"/>
  <c r="BR269" i="22" s="1"/>
  <c r="BO270" i="22" s="1"/>
  <c r="BN269" i="22"/>
  <c r="AJ272" i="22"/>
  <c r="AK272" i="22" s="1"/>
  <c r="A272" i="22"/>
  <c r="JB214" i="8"/>
  <c r="V206" i="20"/>
  <c r="AK191" i="17" l="1"/>
  <c r="AQ191" i="17"/>
  <c r="HI129" i="8"/>
  <c r="HF130" i="8" s="1"/>
  <c r="DW136" i="8"/>
  <c r="DY136" i="8" s="1"/>
  <c r="DX136" i="8" s="1"/>
  <c r="DV136" i="8"/>
  <c r="BI177" i="22"/>
  <c r="BK177" i="22" s="1"/>
  <c r="BJ177" i="22" s="1"/>
  <c r="BG177" i="22" s="1"/>
  <c r="BD177" i="22" s="1"/>
  <c r="BH177" i="22"/>
  <c r="FQ132" i="8"/>
  <c r="FN133" i="8" s="1"/>
  <c r="BN270" i="22"/>
  <c r="BQ270" i="22"/>
  <c r="BP270" i="22" s="1"/>
  <c r="BR270" i="22" s="1"/>
  <c r="BO271" i="22" s="1"/>
  <c r="A273" i="22"/>
  <c r="AJ273" i="22"/>
  <c r="AK273" i="22" s="1"/>
  <c r="JB215" i="8"/>
  <c r="V207" i="20"/>
  <c r="AI191" i="17" l="1"/>
  <c r="AH136" i="20"/>
  <c r="AF136" i="20" s="1"/>
  <c r="AL192" i="17"/>
  <c r="AN192" i="17"/>
  <c r="AP192" i="17" s="1"/>
  <c r="AO192" i="17" s="1"/>
  <c r="HE130" i="8"/>
  <c r="HH130" i="8"/>
  <c r="HG130" i="8" s="1"/>
  <c r="HI130" i="8" s="1"/>
  <c r="HF131" i="8" s="1"/>
  <c r="DU136" i="8"/>
  <c r="DS136" i="8" s="1"/>
  <c r="DZ136" i="8"/>
  <c r="BL177" i="22"/>
  <c r="FM133" i="8"/>
  <c r="BQ271" i="22"/>
  <c r="BP271" i="22" s="1"/>
  <c r="BR271" i="22" s="1"/>
  <c r="BO272" i="22" s="1"/>
  <c r="BN271" i="22"/>
  <c r="AJ274" i="22"/>
  <c r="AK274" i="22" s="1"/>
  <c r="A274" i="22"/>
  <c r="JB216" i="8"/>
  <c r="V208" i="20"/>
  <c r="AK192" i="17" l="1"/>
  <c r="AQ192" i="17"/>
  <c r="HD130" i="8"/>
  <c r="HB130" i="8" s="1"/>
  <c r="DW137" i="8"/>
  <c r="DY137" i="8" s="1"/>
  <c r="DX137" i="8" s="1"/>
  <c r="DV137" i="8"/>
  <c r="BI178" i="22"/>
  <c r="BK178" i="22" s="1"/>
  <c r="BJ178" i="22" s="1"/>
  <c r="BG178" i="22" s="1"/>
  <c r="BD178" i="22" s="1"/>
  <c r="BH178" i="22"/>
  <c r="HE131" i="8"/>
  <c r="HH131" i="8"/>
  <c r="HG131" i="8" s="1"/>
  <c r="FP133" i="8"/>
  <c r="FO133" i="8" s="1"/>
  <c r="BQ272" i="22"/>
  <c r="BP272" i="22" s="1"/>
  <c r="BR272" i="22" s="1"/>
  <c r="BO273" i="22" s="1"/>
  <c r="BN272" i="22"/>
  <c r="A275" i="22"/>
  <c r="AJ275" i="22"/>
  <c r="AK275" i="22" s="1"/>
  <c r="JB217" i="8"/>
  <c r="V209" i="20"/>
  <c r="AI192" i="17" l="1"/>
  <c r="AH137" i="20"/>
  <c r="AF137" i="20" s="1"/>
  <c r="AN193" i="17"/>
  <c r="AP193" i="17" s="1"/>
  <c r="AO193" i="17" s="1"/>
  <c r="AK193" i="17" s="1"/>
  <c r="AL193" i="17"/>
  <c r="DU137" i="8"/>
  <c r="DS137" i="8" s="1"/>
  <c r="DZ137" i="8"/>
  <c r="BL178" i="22"/>
  <c r="BI179" i="22" s="1"/>
  <c r="BK179" i="22" s="1"/>
  <c r="BJ179" i="22" s="1"/>
  <c r="HI131" i="8"/>
  <c r="HF132" i="8" s="1"/>
  <c r="HD131" i="8"/>
  <c r="HB131" i="8" s="1"/>
  <c r="FL133" i="8"/>
  <c r="FJ133" i="8" s="1"/>
  <c r="FQ133" i="8"/>
  <c r="FN134" i="8" s="1"/>
  <c r="BQ273" i="22"/>
  <c r="BP273" i="22" s="1"/>
  <c r="BR273" i="22" s="1"/>
  <c r="BO274" i="22" s="1"/>
  <c r="BN273" i="22"/>
  <c r="AJ276" i="22"/>
  <c r="AK276" i="22" s="1"/>
  <c r="A276" i="22"/>
  <c r="JB218" i="8"/>
  <c r="V210" i="20"/>
  <c r="AI193" i="17" l="1"/>
  <c r="AH138" i="20"/>
  <c r="AF138" i="20" s="1"/>
  <c r="AQ193" i="17"/>
  <c r="DV138" i="8"/>
  <c r="DW138" i="8"/>
  <c r="DY138" i="8" s="1"/>
  <c r="DX138" i="8" s="1"/>
  <c r="BH179" i="22"/>
  <c r="BG179" i="22"/>
  <c r="BD179" i="22" s="1"/>
  <c r="BL179" i="22"/>
  <c r="HH132" i="8"/>
  <c r="HG132" i="8" s="1"/>
  <c r="HE132" i="8"/>
  <c r="FP134" i="8"/>
  <c r="FO134" i="8" s="1"/>
  <c r="FL134" i="8" s="1"/>
  <c r="FJ134" i="8" s="1"/>
  <c r="FM134" i="8"/>
  <c r="BQ274" i="22"/>
  <c r="BP274" i="22" s="1"/>
  <c r="BR274" i="22" s="1"/>
  <c r="BO275" i="22" s="1"/>
  <c r="BN274" i="22"/>
  <c r="AJ277" i="22"/>
  <c r="AK277" i="22" s="1"/>
  <c r="A277" i="22"/>
  <c r="JB219" i="8"/>
  <c r="V211" i="20"/>
  <c r="AN194" i="17" l="1"/>
  <c r="AP194" i="17" s="1"/>
  <c r="AO194" i="17" s="1"/>
  <c r="AK194" i="17" s="1"/>
  <c r="AH139" i="20" s="1"/>
  <c r="AL194" i="17"/>
  <c r="DU138" i="8"/>
  <c r="DS138" i="8" s="1"/>
  <c r="DZ138" i="8"/>
  <c r="BI180" i="22"/>
  <c r="BK180" i="22" s="1"/>
  <c r="BJ180" i="22" s="1"/>
  <c r="BH180" i="22"/>
  <c r="HI132" i="8"/>
  <c r="HF133" i="8" s="1"/>
  <c r="HD132" i="8"/>
  <c r="HB132" i="8" s="1"/>
  <c r="FQ134" i="8"/>
  <c r="FN135" i="8" s="1"/>
  <c r="BQ275" i="22"/>
  <c r="BP275" i="22" s="1"/>
  <c r="BR275" i="22" s="1"/>
  <c r="BO276" i="22" s="1"/>
  <c r="BN275" i="22"/>
  <c r="A278" i="22"/>
  <c r="AJ278" i="22"/>
  <c r="AK278" i="22" s="1"/>
  <c r="JB220" i="8"/>
  <c r="V212" i="20"/>
  <c r="AF140" i="20" l="1"/>
  <c r="AF139" i="20"/>
  <c r="AQ194" i="17"/>
  <c r="AN195" i="17" s="1"/>
  <c r="AP195" i="17" s="1"/>
  <c r="AO195" i="17" s="1"/>
  <c r="AI194" i="17"/>
  <c r="AI195" i="17"/>
  <c r="DV139" i="8"/>
  <c r="DW139" i="8"/>
  <c r="DY139" i="8" s="1"/>
  <c r="DX139" i="8" s="1"/>
  <c r="BG180" i="22"/>
  <c r="BD180" i="22" s="1"/>
  <c r="BL180" i="22"/>
  <c r="HH133" i="8"/>
  <c r="HG133" i="8" s="1"/>
  <c r="HE133" i="8"/>
  <c r="FP135" i="8"/>
  <c r="FO135" i="8" s="1"/>
  <c r="FL135" i="8" s="1"/>
  <c r="FJ135" i="8" s="1"/>
  <c r="FM135" i="8"/>
  <c r="BQ276" i="22"/>
  <c r="BP276" i="22" s="1"/>
  <c r="BR276" i="22" s="1"/>
  <c r="BO277" i="22" s="1"/>
  <c r="BN276" i="22"/>
  <c r="AJ279" i="22"/>
  <c r="AK279" i="22" s="1"/>
  <c r="A279" i="22"/>
  <c r="JB221" i="8"/>
  <c r="V213" i="20"/>
  <c r="AL195" i="17" l="1"/>
  <c r="AK195" i="17"/>
  <c r="AH140" i="20" s="1"/>
  <c r="AQ195" i="17"/>
  <c r="AN196" i="17" s="1"/>
  <c r="AP196" i="17" s="1"/>
  <c r="AO196" i="17" s="1"/>
  <c r="AK196" i="17" s="1"/>
  <c r="DU139" i="8"/>
  <c r="DS139" i="8" s="1"/>
  <c r="DZ139" i="8"/>
  <c r="BI181" i="22"/>
  <c r="BK181" i="22" s="1"/>
  <c r="BJ181" i="22" s="1"/>
  <c r="BH181" i="22"/>
  <c r="HD133" i="8"/>
  <c r="HB133" i="8" s="1"/>
  <c r="HI133" i="8"/>
  <c r="HF134" i="8" s="1"/>
  <c r="FQ135" i="8"/>
  <c r="FN136" i="8" s="1"/>
  <c r="BQ277" i="22"/>
  <c r="BP277" i="22" s="1"/>
  <c r="BR277" i="22" s="1"/>
  <c r="BO278" i="22" s="1"/>
  <c r="BN277" i="22"/>
  <c r="A280" i="22"/>
  <c r="AJ280" i="22"/>
  <c r="AK280" i="22" s="1"/>
  <c r="JB222" i="8"/>
  <c r="V214" i="20"/>
  <c r="AI196" i="17" l="1"/>
  <c r="AH141" i="20"/>
  <c r="AF141" i="20" s="1"/>
  <c r="AL196" i="17"/>
  <c r="AQ196" i="17"/>
  <c r="DV140" i="8"/>
  <c r="DW140" i="8"/>
  <c r="DY140" i="8" s="1"/>
  <c r="DX140" i="8" s="1"/>
  <c r="BG181" i="22"/>
  <c r="BD181" i="22" s="1"/>
  <c r="BL181" i="22"/>
  <c r="HE134" i="8"/>
  <c r="HH134" i="8"/>
  <c r="HG134" i="8" s="1"/>
  <c r="FM136" i="8"/>
  <c r="FP136" i="8"/>
  <c r="FO136" i="8" s="1"/>
  <c r="FL136" i="8" s="1"/>
  <c r="FJ136" i="8" s="1"/>
  <c r="BQ278" i="22"/>
  <c r="BP278" i="22" s="1"/>
  <c r="BR278" i="22" s="1"/>
  <c r="BO279" i="22" s="1"/>
  <c r="BN278" i="22"/>
  <c r="AJ281" i="22"/>
  <c r="AK281" i="22" s="1"/>
  <c r="A281" i="22"/>
  <c r="JB223" i="8"/>
  <c r="V215" i="20"/>
  <c r="AL197" i="17" l="1"/>
  <c r="AN197" i="17"/>
  <c r="AP197" i="17" s="1"/>
  <c r="AO197" i="17" s="1"/>
  <c r="AK197" i="17" s="1"/>
  <c r="DU140" i="8"/>
  <c r="DS140" i="8" s="1"/>
  <c r="DZ140" i="8"/>
  <c r="BI182" i="22"/>
  <c r="BK182" i="22" s="1"/>
  <c r="BJ182" i="22" s="1"/>
  <c r="BG182" i="22" s="1"/>
  <c r="BD182" i="22" s="1"/>
  <c r="BH182" i="22"/>
  <c r="HI134" i="8"/>
  <c r="HF135" i="8" s="1"/>
  <c r="HD134" i="8"/>
  <c r="HB134" i="8" s="1"/>
  <c r="FQ136" i="8"/>
  <c r="FN137" i="8" s="1"/>
  <c r="BQ279" i="22"/>
  <c r="BP279" i="22" s="1"/>
  <c r="BR279" i="22" s="1"/>
  <c r="BO280" i="22" s="1"/>
  <c r="BN279" i="22"/>
  <c r="A282" i="22"/>
  <c r="AJ282" i="22"/>
  <c r="AK282" i="22" s="1"/>
  <c r="JB224" i="8"/>
  <c r="V216" i="20"/>
  <c r="AI197" i="17" l="1"/>
  <c r="AH142" i="20"/>
  <c r="AF142" i="20" s="1"/>
  <c r="AQ197" i="17"/>
  <c r="DW141" i="8"/>
  <c r="DY141" i="8" s="1"/>
  <c r="DX141" i="8" s="1"/>
  <c r="DV141" i="8"/>
  <c r="BL182" i="22"/>
  <c r="HH135" i="8"/>
  <c r="HG135" i="8" s="1"/>
  <c r="HD135" i="8" s="1"/>
  <c r="HB135" i="8" s="1"/>
  <c r="HE135" i="8"/>
  <c r="FM137" i="8"/>
  <c r="FP137" i="8"/>
  <c r="FO137" i="8" s="1"/>
  <c r="FL137" i="8" s="1"/>
  <c r="FJ137" i="8" s="1"/>
  <c r="BQ280" i="22"/>
  <c r="BP280" i="22" s="1"/>
  <c r="BR280" i="22" s="1"/>
  <c r="BO281" i="22" s="1"/>
  <c r="BN280" i="22"/>
  <c r="AJ283" i="22"/>
  <c r="AK283" i="22" s="1"/>
  <c r="A283" i="22"/>
  <c r="JB225" i="8"/>
  <c r="V217" i="20"/>
  <c r="AL198" i="17" l="1"/>
  <c r="AN198" i="17"/>
  <c r="AP198" i="17" s="1"/>
  <c r="AO198" i="17" s="1"/>
  <c r="AK198" i="17" s="1"/>
  <c r="DU141" i="8"/>
  <c r="DS141" i="8" s="1"/>
  <c r="DZ141" i="8"/>
  <c r="BI183" i="22"/>
  <c r="BK183" i="22" s="1"/>
  <c r="BJ183" i="22" s="1"/>
  <c r="BH183" i="22"/>
  <c r="HI135" i="8"/>
  <c r="FQ137" i="8"/>
  <c r="FN138" i="8" s="1"/>
  <c r="BQ281" i="22"/>
  <c r="BP281" i="22" s="1"/>
  <c r="BR281" i="22" s="1"/>
  <c r="BO282" i="22" s="1"/>
  <c r="BN281" i="22"/>
  <c r="A284" i="22"/>
  <c r="AJ284" i="22"/>
  <c r="AK284" i="22" s="1"/>
  <c r="JB226" i="8"/>
  <c r="V218" i="20"/>
  <c r="AI198" i="17" l="1"/>
  <c r="AH143" i="20"/>
  <c r="AF143" i="20" s="1"/>
  <c r="AQ198" i="17"/>
  <c r="DV142" i="8"/>
  <c r="DW142" i="8"/>
  <c r="DY142" i="8" s="1"/>
  <c r="DX142" i="8" s="1"/>
  <c r="HF136" i="8"/>
  <c r="HH136" i="8" s="1"/>
  <c r="HG136" i="8" s="1"/>
  <c r="HD136" i="8" s="1"/>
  <c r="HB136" i="8" s="1"/>
  <c r="BG183" i="22"/>
  <c r="BD183" i="22" s="1"/>
  <c r="BL183" i="22"/>
  <c r="HE136" i="8"/>
  <c r="FM138" i="8"/>
  <c r="FP138" i="8"/>
  <c r="FO138" i="8" s="1"/>
  <c r="FL138" i="8" s="1"/>
  <c r="FJ138" i="8" s="1"/>
  <c r="BQ282" i="22"/>
  <c r="BP282" i="22" s="1"/>
  <c r="BR282" i="22" s="1"/>
  <c r="BO283" i="22" s="1"/>
  <c r="BN282" i="22"/>
  <c r="AJ285" i="22"/>
  <c r="AK285" i="22" s="1"/>
  <c r="A285" i="22"/>
  <c r="JB227" i="8"/>
  <c r="V219" i="20"/>
  <c r="AN199" i="17" l="1"/>
  <c r="AP199" i="17" s="1"/>
  <c r="AO199" i="17" s="1"/>
  <c r="AK199" i="17" s="1"/>
  <c r="AL199" i="17"/>
  <c r="HI136" i="8"/>
  <c r="HF137" i="8" s="1"/>
  <c r="DU142" i="8"/>
  <c r="DS142" i="8" s="1"/>
  <c r="DZ142" i="8"/>
  <c r="BI184" i="22"/>
  <c r="BK184" i="22" s="1"/>
  <c r="BJ184" i="22" s="1"/>
  <c r="BG184" i="22" s="1"/>
  <c r="BD184" i="22" s="1"/>
  <c r="BH184" i="22"/>
  <c r="FQ138" i="8"/>
  <c r="FN139" i="8" s="1"/>
  <c r="BQ283" i="22"/>
  <c r="BP283" i="22" s="1"/>
  <c r="BR283" i="22" s="1"/>
  <c r="BO284" i="22" s="1"/>
  <c r="BN283" i="22"/>
  <c r="A286" i="22"/>
  <c r="AJ286" i="22"/>
  <c r="AK286" i="22" s="1"/>
  <c r="JB228" i="8"/>
  <c r="V220" i="20"/>
  <c r="AI199" i="17" l="1"/>
  <c r="AH144" i="20"/>
  <c r="AF144" i="20" s="1"/>
  <c r="AQ199" i="17"/>
  <c r="AL200" i="17" s="1"/>
  <c r="HE137" i="8"/>
  <c r="HH137" i="8"/>
  <c r="HG137" i="8" s="1"/>
  <c r="HI137" i="8" s="1"/>
  <c r="HF138" i="8" s="1"/>
  <c r="DW143" i="8"/>
  <c r="DY143" i="8" s="1"/>
  <c r="DX143" i="8" s="1"/>
  <c r="DV143" i="8"/>
  <c r="BL184" i="22"/>
  <c r="FM139" i="8"/>
  <c r="FP139" i="8"/>
  <c r="FO139" i="8" s="1"/>
  <c r="FL139" i="8" s="1"/>
  <c r="FJ139" i="8" s="1"/>
  <c r="BQ284" i="22"/>
  <c r="BP284" i="22" s="1"/>
  <c r="BR284" i="22" s="1"/>
  <c r="BO285" i="22" s="1"/>
  <c r="BN284" i="22"/>
  <c r="AJ287" i="22"/>
  <c r="AK287" i="22" s="1"/>
  <c r="A287" i="22"/>
  <c r="JB229" i="8"/>
  <c r="V221" i="20"/>
  <c r="AN200" i="17" l="1"/>
  <c r="AP200" i="17" s="1"/>
  <c r="AO200" i="17" s="1"/>
  <c r="AK200" i="17" s="1"/>
  <c r="HD137" i="8"/>
  <c r="HB137" i="8" s="1"/>
  <c r="DU143" i="8"/>
  <c r="DS143" i="8" s="1"/>
  <c r="DZ143" i="8"/>
  <c r="BI185" i="22"/>
  <c r="BK185" i="22" s="1"/>
  <c r="BJ185" i="22" s="1"/>
  <c r="BG185" i="22" s="1"/>
  <c r="BD185" i="22" s="1"/>
  <c r="BH185" i="22"/>
  <c r="HH138" i="8"/>
  <c r="HG138" i="8" s="1"/>
  <c r="HE138" i="8"/>
  <c r="FQ139" i="8"/>
  <c r="FN140" i="8" s="1"/>
  <c r="BQ285" i="22"/>
  <c r="BP285" i="22" s="1"/>
  <c r="BR285" i="22" s="1"/>
  <c r="BO286" i="22" s="1"/>
  <c r="BN285" i="22"/>
  <c r="A288" i="22"/>
  <c r="AJ288" i="22"/>
  <c r="AK288" i="22" s="1"/>
  <c r="JB230" i="8"/>
  <c r="V222" i="20"/>
  <c r="AI200" i="17" l="1"/>
  <c r="AH145" i="20"/>
  <c r="AF145" i="20" s="1"/>
  <c r="AQ200" i="17"/>
  <c r="DV144" i="8"/>
  <c r="DW144" i="8"/>
  <c r="DY144" i="8" s="1"/>
  <c r="DX144" i="8" s="1"/>
  <c r="BL185" i="22"/>
  <c r="HD138" i="8"/>
  <c r="HB138" i="8" s="1"/>
  <c r="HI138" i="8"/>
  <c r="HF139" i="8" s="1"/>
  <c r="FM140" i="8"/>
  <c r="FP140" i="8"/>
  <c r="FO140" i="8" s="1"/>
  <c r="FL140" i="8" s="1"/>
  <c r="FJ140" i="8" s="1"/>
  <c r="BQ286" i="22"/>
  <c r="BP286" i="22" s="1"/>
  <c r="BR286" i="22" s="1"/>
  <c r="BO287" i="22" s="1"/>
  <c r="BN286" i="22"/>
  <c r="AJ289" i="22"/>
  <c r="AK289" i="22" s="1"/>
  <c r="A289" i="22"/>
  <c r="JB231" i="8"/>
  <c r="V223" i="20"/>
  <c r="AL201" i="17" l="1"/>
  <c r="AN201" i="17"/>
  <c r="AP201" i="17" s="1"/>
  <c r="AO201" i="17" s="1"/>
  <c r="AK201" i="17" s="1"/>
  <c r="DU144" i="8"/>
  <c r="DS144" i="8" s="1"/>
  <c r="DZ144" i="8"/>
  <c r="BI186" i="22"/>
  <c r="BK186" i="22" s="1"/>
  <c r="BJ186" i="22" s="1"/>
  <c r="BG186" i="22" s="1"/>
  <c r="BD186" i="22" s="1"/>
  <c r="BH186" i="22"/>
  <c r="FQ140" i="8"/>
  <c r="FN141" i="8" s="1"/>
  <c r="HE139" i="8"/>
  <c r="HH139" i="8"/>
  <c r="HG139" i="8" s="1"/>
  <c r="BQ287" i="22"/>
  <c r="BP287" i="22" s="1"/>
  <c r="BR287" i="22" s="1"/>
  <c r="BO288" i="22" s="1"/>
  <c r="BN287" i="22"/>
  <c r="A290" i="22"/>
  <c r="AJ290" i="22"/>
  <c r="AK290" i="22" s="1"/>
  <c r="JB232" i="8"/>
  <c r="V224" i="20"/>
  <c r="AI201" i="17" l="1"/>
  <c r="AH146" i="20"/>
  <c r="AF146" i="20" s="1"/>
  <c r="AQ201" i="17"/>
  <c r="DW145" i="8"/>
  <c r="DY145" i="8" s="1"/>
  <c r="DX145" i="8" s="1"/>
  <c r="DV145" i="8"/>
  <c r="BL186" i="22"/>
  <c r="FP141" i="8"/>
  <c r="FO141" i="8" s="1"/>
  <c r="FL141" i="8" s="1"/>
  <c r="FJ141" i="8" s="1"/>
  <c r="FM141" i="8"/>
  <c r="HI139" i="8"/>
  <c r="HF140" i="8" s="1"/>
  <c r="HD139" i="8"/>
  <c r="HB139" i="8" s="1"/>
  <c r="BQ288" i="22"/>
  <c r="BP288" i="22" s="1"/>
  <c r="BR288" i="22" s="1"/>
  <c r="BO289" i="22" s="1"/>
  <c r="BN288" i="22"/>
  <c r="AJ291" i="22"/>
  <c r="AK291" i="22" s="1"/>
  <c r="A291" i="22"/>
  <c r="JB233" i="8"/>
  <c r="V225" i="20"/>
  <c r="AL202" i="17" l="1"/>
  <c r="AN202" i="17"/>
  <c r="AP202" i="17" s="1"/>
  <c r="AO202" i="17" s="1"/>
  <c r="AK202" i="17" s="1"/>
  <c r="DZ145" i="8"/>
  <c r="DU145" i="8"/>
  <c r="DS145" i="8" s="1"/>
  <c r="BI187" i="22"/>
  <c r="BK187" i="22" s="1"/>
  <c r="BJ187" i="22" s="1"/>
  <c r="BG187" i="22" s="1"/>
  <c r="BD187" i="22" s="1"/>
  <c r="BH187" i="22"/>
  <c r="FQ141" i="8"/>
  <c r="FN142" i="8" s="1"/>
  <c r="HE140" i="8"/>
  <c r="HH140" i="8"/>
  <c r="HG140" i="8" s="1"/>
  <c r="BQ289" i="22"/>
  <c r="BP289" i="22" s="1"/>
  <c r="BR289" i="22" s="1"/>
  <c r="BO290" i="22" s="1"/>
  <c r="BN289" i="22"/>
  <c r="A292" i="22"/>
  <c r="AJ292" i="22"/>
  <c r="AK292" i="22" s="1"/>
  <c r="JB234" i="8"/>
  <c r="V226" i="20"/>
  <c r="AI202" i="17" l="1"/>
  <c r="AH147" i="20"/>
  <c r="AF147" i="20" s="1"/>
  <c r="AQ202" i="17"/>
  <c r="DW146" i="8"/>
  <c r="DY146" i="8" s="1"/>
  <c r="DX146" i="8" s="1"/>
  <c r="DV146" i="8"/>
  <c r="BL187" i="22"/>
  <c r="FM142" i="8"/>
  <c r="FP142" i="8"/>
  <c r="FO142" i="8" s="1"/>
  <c r="FL142" i="8" s="1"/>
  <c r="FJ142" i="8" s="1"/>
  <c r="HD140" i="8"/>
  <c r="HB140" i="8" s="1"/>
  <c r="HI140" i="8"/>
  <c r="HF141" i="8" s="1"/>
  <c r="BQ290" i="22"/>
  <c r="BP290" i="22" s="1"/>
  <c r="BR290" i="22" s="1"/>
  <c r="BO291" i="22" s="1"/>
  <c r="BN290" i="22"/>
  <c r="AJ293" i="22"/>
  <c r="AK293" i="22" s="1"/>
  <c r="A293" i="22"/>
  <c r="JB235" i="8"/>
  <c r="V227" i="20"/>
  <c r="AN203" i="17" l="1"/>
  <c r="AP203" i="17" s="1"/>
  <c r="AO203" i="17" s="1"/>
  <c r="AK203" i="17" s="1"/>
  <c r="AL203" i="17"/>
  <c r="DU146" i="8"/>
  <c r="DS146" i="8" s="1"/>
  <c r="DZ146" i="8"/>
  <c r="BI188" i="22"/>
  <c r="BK188" i="22" s="1"/>
  <c r="BJ188" i="22" s="1"/>
  <c r="BH188" i="22"/>
  <c r="FQ142" i="8"/>
  <c r="FN143" i="8" s="1"/>
  <c r="HE141" i="8"/>
  <c r="HH141" i="8"/>
  <c r="HG141" i="8" s="1"/>
  <c r="BQ291" i="22"/>
  <c r="BP291" i="22" s="1"/>
  <c r="BR291" i="22" s="1"/>
  <c r="BO292" i="22" s="1"/>
  <c r="BN291" i="22"/>
  <c r="A294" i="22"/>
  <c r="AJ294" i="22"/>
  <c r="AK294" i="22" s="1"/>
  <c r="JB236" i="8"/>
  <c r="V228" i="20"/>
  <c r="AI203" i="17" l="1"/>
  <c r="AH148" i="20"/>
  <c r="AF148" i="20" s="1"/>
  <c r="AQ203" i="17"/>
  <c r="DV147" i="8"/>
  <c r="DW147" i="8"/>
  <c r="DY147" i="8" s="1"/>
  <c r="DX147" i="8" s="1"/>
  <c r="BG188" i="22"/>
  <c r="BD188" i="22" s="1"/>
  <c r="BL188" i="22"/>
  <c r="FM143" i="8"/>
  <c r="FP143" i="8"/>
  <c r="FO143" i="8" s="1"/>
  <c r="FL143" i="8" s="1"/>
  <c r="FJ143" i="8" s="1"/>
  <c r="HD141" i="8"/>
  <c r="HB141" i="8" s="1"/>
  <c r="HI141" i="8"/>
  <c r="HF142" i="8" s="1"/>
  <c r="BQ292" i="22"/>
  <c r="BP292" i="22" s="1"/>
  <c r="BR292" i="22" s="1"/>
  <c r="BO293" i="22" s="1"/>
  <c r="BN292" i="22"/>
  <c r="AJ295" i="22"/>
  <c r="AK295" i="22" s="1"/>
  <c r="A295" i="22"/>
  <c r="JB237" i="8"/>
  <c r="V229" i="20"/>
  <c r="AN204" i="17" l="1"/>
  <c r="AP204" i="17" s="1"/>
  <c r="AO204" i="17" s="1"/>
  <c r="AK204" i="17" s="1"/>
  <c r="AL204" i="17"/>
  <c r="DZ147" i="8"/>
  <c r="DU147" i="8"/>
  <c r="DS147" i="8" s="1"/>
  <c r="BH189" i="22"/>
  <c r="BI189" i="22"/>
  <c r="BK189" i="22" s="1"/>
  <c r="BJ189" i="22" s="1"/>
  <c r="BG189" i="22" s="1"/>
  <c r="FQ143" i="8"/>
  <c r="FN144" i="8" s="1"/>
  <c r="HH142" i="8"/>
  <c r="HG142" i="8" s="1"/>
  <c r="HE142" i="8"/>
  <c r="BQ293" i="22"/>
  <c r="BP293" i="22" s="1"/>
  <c r="BR293" i="22" s="1"/>
  <c r="BN293" i="22"/>
  <c r="A296" i="22"/>
  <c r="AJ296" i="22"/>
  <c r="AK296" i="22" s="1"/>
  <c r="JB238" i="8"/>
  <c r="V230" i="20"/>
  <c r="BO294" i="22" l="1"/>
  <c r="BQ294" i="22" s="1"/>
  <c r="BP294" i="22" s="1"/>
  <c r="BR294" i="22" s="1"/>
  <c r="BO295" i="22" s="1"/>
  <c r="AI204" i="17"/>
  <c r="AH149" i="20"/>
  <c r="AF149" i="20" s="1"/>
  <c r="AQ204" i="17"/>
  <c r="DW148" i="8"/>
  <c r="DY148" i="8" s="1"/>
  <c r="DX148" i="8" s="1"/>
  <c r="DV148" i="8"/>
  <c r="BD189" i="22"/>
  <c r="BD190" i="22"/>
  <c r="BL189" i="22"/>
  <c r="FM144" i="8"/>
  <c r="FP144" i="8"/>
  <c r="FO144" i="8" s="1"/>
  <c r="FL144" i="8" s="1"/>
  <c r="FJ144" i="8" s="1"/>
  <c r="HD142" i="8"/>
  <c r="HB142" i="8" s="1"/>
  <c r="HI142" i="8"/>
  <c r="HF143" i="8" s="1"/>
  <c r="BN294" i="22"/>
  <c r="AJ297" i="22"/>
  <c r="AK297" i="22" s="1"/>
  <c r="A297" i="22"/>
  <c r="JB239" i="8"/>
  <c r="V231" i="20"/>
  <c r="AN205" i="17" l="1"/>
  <c r="AP205" i="17" s="1"/>
  <c r="AO205" i="17" s="1"/>
  <c r="AK205" i="17" s="1"/>
  <c r="AL205" i="17"/>
  <c r="DZ148" i="8"/>
  <c r="DU148" i="8"/>
  <c r="DS148" i="8" s="1"/>
  <c r="BI190" i="22"/>
  <c r="BK190" i="22" s="1"/>
  <c r="BJ190" i="22" s="1"/>
  <c r="BG190" i="22" s="1"/>
  <c r="BH190" i="22"/>
  <c r="FQ144" i="8"/>
  <c r="FN145" i="8" s="1"/>
  <c r="HE143" i="8"/>
  <c r="HH143" i="8"/>
  <c r="HG143" i="8" s="1"/>
  <c r="BQ295" i="22"/>
  <c r="BP295" i="22" s="1"/>
  <c r="BR295" i="22" s="1"/>
  <c r="BO296" i="22" s="1"/>
  <c r="BN295" i="22"/>
  <c r="A298" i="22"/>
  <c r="AJ298" i="22"/>
  <c r="AK298" i="22" s="1"/>
  <c r="JB240" i="8"/>
  <c r="V232" i="20"/>
  <c r="AI205" i="17" l="1"/>
  <c r="AH150" i="20"/>
  <c r="AF150" i="20" s="1"/>
  <c r="AQ205" i="17"/>
  <c r="DW149" i="8"/>
  <c r="DY149" i="8" s="1"/>
  <c r="DX149" i="8" s="1"/>
  <c r="DV149" i="8"/>
  <c r="FM145" i="8"/>
  <c r="BL190" i="22"/>
  <c r="FP145" i="8"/>
  <c r="FO145" i="8" s="1"/>
  <c r="FL145" i="8" s="1"/>
  <c r="FJ145" i="8" s="1"/>
  <c r="HD143" i="8"/>
  <c r="HB143" i="8" s="1"/>
  <c r="HI143" i="8"/>
  <c r="HF144" i="8" s="1"/>
  <c r="BQ296" i="22"/>
  <c r="BP296" i="22" s="1"/>
  <c r="BR296" i="22" s="1"/>
  <c r="BO297" i="22" s="1"/>
  <c r="BN296" i="22"/>
  <c r="A299" i="22"/>
  <c r="AJ299" i="22"/>
  <c r="AK299" i="22" s="1"/>
  <c r="JB241" i="8"/>
  <c r="V233" i="20"/>
  <c r="AN206" i="17" l="1"/>
  <c r="AP206" i="17" s="1"/>
  <c r="AO206" i="17" s="1"/>
  <c r="AK206" i="17" s="1"/>
  <c r="AL206" i="17"/>
  <c r="DU149" i="8"/>
  <c r="DS149" i="8" s="1"/>
  <c r="DZ149" i="8"/>
  <c r="BI191" i="22"/>
  <c r="BK191" i="22" s="1"/>
  <c r="BJ191" i="22" s="1"/>
  <c r="BG191" i="22" s="1"/>
  <c r="BD191" i="22" s="1"/>
  <c r="BH191" i="22"/>
  <c r="HE144" i="8"/>
  <c r="HH144" i="8"/>
  <c r="HG144" i="8" s="1"/>
  <c r="FQ145" i="8"/>
  <c r="FN146" i="8" s="1"/>
  <c r="BQ297" i="22"/>
  <c r="BP297" i="22" s="1"/>
  <c r="BR297" i="22" s="1"/>
  <c r="BO298" i="22" s="1"/>
  <c r="BN297" i="22"/>
  <c r="A300" i="22"/>
  <c r="AJ300" i="22"/>
  <c r="AK300" i="22" s="1"/>
  <c r="JB242" i="8"/>
  <c r="V234" i="20"/>
  <c r="AI206" i="17" l="1"/>
  <c r="AH151" i="20"/>
  <c r="AF151" i="20" s="1"/>
  <c r="AQ206" i="17"/>
  <c r="DW150" i="8"/>
  <c r="DY150" i="8" s="1"/>
  <c r="DX150" i="8" s="1"/>
  <c r="DV150" i="8"/>
  <c r="BL191" i="22"/>
  <c r="HD144" i="8"/>
  <c r="HB144" i="8" s="1"/>
  <c r="HI144" i="8"/>
  <c r="HF145" i="8" s="1"/>
  <c r="FP146" i="8"/>
  <c r="FO146" i="8" s="1"/>
  <c r="FM146" i="8"/>
  <c r="BQ298" i="22"/>
  <c r="BP298" i="22" s="1"/>
  <c r="BR298" i="22" s="1"/>
  <c r="BO299" i="22" s="1"/>
  <c r="BN298" i="22"/>
  <c r="A301" i="22"/>
  <c r="AJ301" i="22"/>
  <c r="AK301" i="22" s="1"/>
  <c r="JB243" i="8"/>
  <c r="V235" i="20"/>
  <c r="AL207" i="17" l="1"/>
  <c r="AN207" i="17"/>
  <c r="AP207" i="17" s="1"/>
  <c r="AO207" i="17" s="1"/>
  <c r="AK207" i="17" s="1"/>
  <c r="DU150" i="8"/>
  <c r="DS150" i="8" s="1"/>
  <c r="DZ150" i="8"/>
  <c r="BI192" i="22"/>
  <c r="BK192" i="22" s="1"/>
  <c r="BJ192" i="22" s="1"/>
  <c r="BH192" i="22"/>
  <c r="HH145" i="8"/>
  <c r="HG145" i="8" s="1"/>
  <c r="HE145" i="8"/>
  <c r="FL146" i="8"/>
  <c r="FJ146" i="8" s="1"/>
  <c r="FQ146" i="8"/>
  <c r="BQ299" i="22"/>
  <c r="BP299" i="22" s="1"/>
  <c r="BR299" i="22" s="1"/>
  <c r="BO300" i="22" s="1"/>
  <c r="BN299" i="22"/>
  <c r="AJ302" i="22"/>
  <c r="AK302" i="22" s="1"/>
  <c r="A302" i="22"/>
  <c r="JB244" i="8"/>
  <c r="V236" i="20"/>
  <c r="AI207" i="17" l="1"/>
  <c r="AH152" i="20"/>
  <c r="AF152" i="20" s="1"/>
  <c r="AQ207" i="17"/>
  <c r="DW151" i="8"/>
  <c r="DY151" i="8" s="1"/>
  <c r="DX151" i="8" s="1"/>
  <c r="DV151" i="8"/>
  <c r="FN147" i="8"/>
  <c r="FP147" i="8" s="1"/>
  <c r="FO147" i="8" s="1"/>
  <c r="FL147" i="8" s="1"/>
  <c r="FJ147" i="8" s="1"/>
  <c r="BG192" i="22"/>
  <c r="BD192" i="22" s="1"/>
  <c r="BL192" i="22"/>
  <c r="HD145" i="8"/>
  <c r="HB145" i="8" s="1"/>
  <c r="HI145" i="8"/>
  <c r="HF146" i="8" s="1"/>
  <c r="FM147" i="8"/>
  <c r="BQ300" i="22"/>
  <c r="BP300" i="22" s="1"/>
  <c r="BR300" i="22" s="1"/>
  <c r="BO301" i="22" s="1"/>
  <c r="BN300" i="22"/>
  <c r="A303" i="22"/>
  <c r="AJ303" i="22"/>
  <c r="AK303" i="22" s="1"/>
  <c r="JB245" i="8"/>
  <c r="V237" i="20"/>
  <c r="AL208" i="17" l="1"/>
  <c r="AN208" i="17"/>
  <c r="AP208" i="17" s="1"/>
  <c r="AO208" i="17" s="1"/>
  <c r="AK208" i="17" s="1"/>
  <c r="FQ147" i="8"/>
  <c r="FN148" i="8" s="1"/>
  <c r="FP148" i="8" s="1"/>
  <c r="FO148" i="8" s="1"/>
  <c r="FL148" i="8" s="1"/>
  <c r="FJ148" i="8" s="1"/>
  <c r="DU151" i="8"/>
  <c r="DS151" i="8" s="1"/>
  <c r="DZ151" i="8"/>
  <c r="BI193" i="22"/>
  <c r="BK193" i="22" s="1"/>
  <c r="BJ193" i="22" s="1"/>
  <c r="BG193" i="22" s="1"/>
  <c r="BD193" i="22" s="1"/>
  <c r="BH193" i="22"/>
  <c r="HH146" i="8"/>
  <c r="HG146" i="8" s="1"/>
  <c r="HE146" i="8"/>
  <c r="BQ301" i="22"/>
  <c r="BP301" i="22" s="1"/>
  <c r="BR301" i="22" s="1"/>
  <c r="BO302" i="22" s="1"/>
  <c r="BN301" i="22"/>
  <c r="AJ304" i="22"/>
  <c r="AK304" i="22" s="1"/>
  <c r="A304" i="22"/>
  <c r="JB246" i="8"/>
  <c r="V238" i="20"/>
  <c r="AI208" i="17" l="1"/>
  <c r="AH153" i="20"/>
  <c r="AF153" i="20" s="1"/>
  <c r="AQ208" i="17"/>
  <c r="FM148" i="8"/>
  <c r="DW152" i="8"/>
  <c r="DY152" i="8" s="1"/>
  <c r="DX152" i="8" s="1"/>
  <c r="DV152" i="8"/>
  <c r="BL193" i="22"/>
  <c r="HD146" i="8"/>
  <c r="HB146" i="8" s="1"/>
  <c r="HI146" i="8"/>
  <c r="HF147" i="8" s="1"/>
  <c r="FQ148" i="8"/>
  <c r="FN149" i="8" s="1"/>
  <c r="BQ302" i="22"/>
  <c r="BP302" i="22" s="1"/>
  <c r="BR302" i="22" s="1"/>
  <c r="BO303" i="22" s="1"/>
  <c r="BN302" i="22"/>
  <c r="A305" i="22"/>
  <c r="A306" i="22" s="1"/>
  <c r="AJ305" i="22"/>
  <c r="JB247" i="8"/>
  <c r="V239" i="20"/>
  <c r="A307" i="22" l="1"/>
  <c r="AK305" i="22"/>
  <c r="AJ306" i="22"/>
  <c r="AN209" i="17"/>
  <c r="AP209" i="17" s="1"/>
  <c r="AO209" i="17" s="1"/>
  <c r="AK209" i="17" s="1"/>
  <c r="AL209" i="17"/>
  <c r="DU152" i="8"/>
  <c r="DS152" i="8" s="1"/>
  <c r="DZ152" i="8"/>
  <c r="BI194" i="22"/>
  <c r="BK194" i="22" s="1"/>
  <c r="BJ194" i="22" s="1"/>
  <c r="BH194" i="22"/>
  <c r="HH147" i="8"/>
  <c r="HG147" i="8" s="1"/>
  <c r="HE147" i="8"/>
  <c r="FP149" i="8"/>
  <c r="FO149" i="8" s="1"/>
  <c r="FL149" i="8" s="1"/>
  <c r="FJ149" i="8" s="1"/>
  <c r="FM149" i="8"/>
  <c r="BQ303" i="22"/>
  <c r="BP303" i="22" s="1"/>
  <c r="BR303" i="22" s="1"/>
  <c r="BO304" i="22" s="1"/>
  <c r="BN303" i="22"/>
  <c r="JB248" i="8"/>
  <c r="V240" i="20"/>
  <c r="A308" i="22" l="1"/>
  <c r="AJ307" i="22"/>
  <c r="AK306" i="22"/>
  <c r="AI209" i="17"/>
  <c r="AH154" i="20"/>
  <c r="AF154" i="20" s="1"/>
  <c r="AQ209" i="17"/>
  <c r="DW153" i="8"/>
  <c r="DY153" i="8" s="1"/>
  <c r="DX153" i="8" s="1"/>
  <c r="DV153" i="8"/>
  <c r="BG194" i="22"/>
  <c r="BD194" i="22" s="1"/>
  <c r="BL194" i="22"/>
  <c r="HD147" i="8"/>
  <c r="HB147" i="8" s="1"/>
  <c r="HI147" i="8"/>
  <c r="HF148" i="8" s="1"/>
  <c r="FQ149" i="8"/>
  <c r="FN150" i="8" s="1"/>
  <c r="BQ304" i="22"/>
  <c r="BP304" i="22" s="1"/>
  <c r="BR304" i="22" s="1"/>
  <c r="BO305" i="22" s="1"/>
  <c r="BN304" i="22"/>
  <c r="JB249" i="8"/>
  <c r="V241" i="20"/>
  <c r="A309" i="22" l="1"/>
  <c r="AK307" i="22"/>
  <c r="AJ308" i="22"/>
  <c r="AL210" i="17"/>
  <c r="AN210" i="17"/>
  <c r="AP210" i="17" s="1"/>
  <c r="AO210" i="17" s="1"/>
  <c r="AK210" i="17" s="1"/>
  <c r="DU153" i="8"/>
  <c r="DS153" i="8" s="1"/>
  <c r="DZ153" i="8"/>
  <c r="BI195" i="22"/>
  <c r="BK195" i="22" s="1"/>
  <c r="BJ195" i="22" s="1"/>
  <c r="BG195" i="22" s="1"/>
  <c r="BD195" i="22" s="1"/>
  <c r="BH195" i="22"/>
  <c r="HH148" i="8"/>
  <c r="HG148" i="8" s="1"/>
  <c r="HE148" i="8"/>
  <c r="FP150" i="8"/>
  <c r="FO150" i="8" s="1"/>
  <c r="FM150" i="8"/>
  <c r="BQ305" i="22"/>
  <c r="BP305" i="22" s="1"/>
  <c r="BR305" i="22" s="1"/>
  <c r="BN305" i="22"/>
  <c r="JB250" i="8"/>
  <c r="V242" i="20"/>
  <c r="BN306" i="22" l="1"/>
  <c r="BO306" i="22"/>
  <c r="A310" i="22"/>
  <c r="AJ309" i="22"/>
  <c r="AK308" i="22"/>
  <c r="AI210" i="17"/>
  <c r="AH155" i="20"/>
  <c r="AF155" i="20" s="1"/>
  <c r="AQ210" i="17"/>
  <c r="DW154" i="8"/>
  <c r="DY154" i="8" s="1"/>
  <c r="DX154" i="8" s="1"/>
  <c r="DV154" i="8"/>
  <c r="BL195" i="22"/>
  <c r="HI148" i="8"/>
  <c r="HF149" i="8" s="1"/>
  <c r="HD148" i="8"/>
  <c r="HB148" i="8" s="1"/>
  <c r="FL150" i="8"/>
  <c r="FJ150" i="8" s="1"/>
  <c r="FQ150" i="8"/>
  <c r="FN151" i="8" s="1"/>
  <c r="JB251" i="8"/>
  <c r="V243" i="20"/>
  <c r="BQ306" i="22" l="1"/>
  <c r="BP306" i="22" s="1"/>
  <c r="BR306" i="22" s="1"/>
  <c r="A311" i="22"/>
  <c r="AK309" i="22"/>
  <c r="AJ310" i="22"/>
  <c r="AL211" i="17"/>
  <c r="AN211" i="17"/>
  <c r="AP211" i="17" s="1"/>
  <c r="AO211" i="17" s="1"/>
  <c r="AK211" i="17" s="1"/>
  <c r="DU154" i="8"/>
  <c r="DS154" i="8" s="1"/>
  <c r="DZ154" i="8"/>
  <c r="BI196" i="22"/>
  <c r="BK196" i="22" s="1"/>
  <c r="BJ196" i="22" s="1"/>
  <c r="BH196" i="22"/>
  <c r="HH149" i="8"/>
  <c r="HG149" i="8" s="1"/>
  <c r="HE149" i="8"/>
  <c r="FM151" i="8"/>
  <c r="FP151" i="8"/>
  <c r="FO151" i="8" s="1"/>
  <c r="JB252" i="8"/>
  <c r="V244" i="20"/>
  <c r="BO307" i="22" l="1"/>
  <c r="BQ307" i="22" s="1"/>
  <c r="BP307" i="22" s="1"/>
  <c r="BR307" i="22" s="1"/>
  <c r="BO308" i="22" s="1"/>
  <c r="BQ308" i="22" s="1"/>
  <c r="BP308" i="22" s="1"/>
  <c r="BR308" i="22" s="1"/>
  <c r="BN307" i="22"/>
  <c r="A312" i="22"/>
  <c r="AJ311" i="22"/>
  <c r="AK310" i="22"/>
  <c r="AI211" i="17"/>
  <c r="AH156" i="20"/>
  <c r="AF156" i="20" s="1"/>
  <c r="AQ211" i="17"/>
  <c r="DW155" i="8"/>
  <c r="DY155" i="8" s="1"/>
  <c r="DX155" i="8" s="1"/>
  <c r="DV155" i="8"/>
  <c r="BG196" i="22"/>
  <c r="BD196" i="22" s="1"/>
  <c r="BL196" i="22"/>
  <c r="HD149" i="8"/>
  <c r="HB149" i="8" s="1"/>
  <c r="HI149" i="8"/>
  <c r="HF150" i="8" s="1"/>
  <c r="FL151" i="8"/>
  <c r="FJ151" i="8" s="1"/>
  <c r="FQ151" i="8"/>
  <c r="FN152" i="8" s="1"/>
  <c r="JB253" i="8"/>
  <c r="V245" i="20"/>
  <c r="BN308" i="22" l="1"/>
  <c r="BN309" i="22" s="1"/>
  <c r="BO309" i="22"/>
  <c r="BQ309" i="22" s="1"/>
  <c r="BP309" i="22" s="1"/>
  <c r="BR309" i="22" s="1"/>
  <c r="A313" i="22"/>
  <c r="AK311" i="22"/>
  <c r="AJ312" i="22"/>
  <c r="AL212" i="17"/>
  <c r="AN212" i="17"/>
  <c r="AP212" i="17" s="1"/>
  <c r="AO212" i="17" s="1"/>
  <c r="AK212" i="17" s="1"/>
  <c r="DU155" i="8"/>
  <c r="DS155" i="8" s="1"/>
  <c r="DZ155" i="8"/>
  <c r="BI197" i="22"/>
  <c r="BK197" i="22" s="1"/>
  <c r="BJ197" i="22" s="1"/>
  <c r="BH197" i="22"/>
  <c r="HH150" i="8"/>
  <c r="HG150" i="8" s="1"/>
  <c r="HE150" i="8"/>
  <c r="FP152" i="8"/>
  <c r="FO152" i="8" s="1"/>
  <c r="FM152" i="8"/>
  <c r="JB254" i="8"/>
  <c r="V246" i="20"/>
  <c r="BN310" i="22" l="1"/>
  <c r="BO310" i="22"/>
  <c r="BQ310" i="22" s="1"/>
  <c r="BP310" i="22" s="1"/>
  <c r="BR310" i="22" s="1"/>
  <c r="A314" i="22"/>
  <c r="AK312" i="22"/>
  <c r="AJ313" i="22"/>
  <c r="AI212" i="17"/>
  <c r="AH157" i="20"/>
  <c r="AF157" i="20" s="1"/>
  <c r="AQ212" i="17"/>
  <c r="DW156" i="8"/>
  <c r="DY156" i="8" s="1"/>
  <c r="DX156" i="8" s="1"/>
  <c r="DV156" i="8"/>
  <c r="BG197" i="22"/>
  <c r="BD197" i="22" s="1"/>
  <c r="BL197" i="22"/>
  <c r="HI150" i="8"/>
  <c r="HF151" i="8" s="1"/>
  <c r="HD150" i="8"/>
  <c r="HB150" i="8" s="1"/>
  <c r="FL152" i="8"/>
  <c r="FJ152" i="8" s="1"/>
  <c r="FQ152" i="8"/>
  <c r="FN153" i="8" s="1"/>
  <c r="JB255" i="8"/>
  <c r="V247" i="20"/>
  <c r="BO311" i="22" l="1"/>
  <c r="BQ311" i="22" s="1"/>
  <c r="BP311" i="22" s="1"/>
  <c r="BR311" i="22" s="1"/>
  <c r="BN311" i="22"/>
  <c r="A315" i="22"/>
  <c r="AK313" i="22"/>
  <c r="AJ314" i="22"/>
  <c r="AL213" i="17"/>
  <c r="AN213" i="17"/>
  <c r="AP213" i="17" s="1"/>
  <c r="AO213" i="17" s="1"/>
  <c r="AK213" i="17" s="1"/>
  <c r="DZ156" i="8"/>
  <c r="DU156" i="8"/>
  <c r="DS156" i="8" s="1"/>
  <c r="BI198" i="22"/>
  <c r="BK198" i="22" s="1"/>
  <c r="BJ198" i="22" s="1"/>
  <c r="BG198" i="22" s="1"/>
  <c r="BD198" i="22" s="1"/>
  <c r="BH198" i="22"/>
  <c r="HE151" i="8"/>
  <c r="HH151" i="8"/>
  <c r="HG151" i="8" s="1"/>
  <c r="FM153" i="8"/>
  <c r="FP153" i="8"/>
  <c r="FO153" i="8" s="1"/>
  <c r="JB256" i="8"/>
  <c r="V248" i="20"/>
  <c r="BO312" i="22" l="1"/>
  <c r="BQ312" i="22" s="1"/>
  <c r="BP312" i="22" s="1"/>
  <c r="BR312" i="22" s="1"/>
  <c r="BN312" i="22"/>
  <c r="A316" i="22"/>
  <c r="AJ315" i="22"/>
  <c r="AK314" i="22"/>
  <c r="AI213" i="17"/>
  <c r="AH158" i="20"/>
  <c r="AF158" i="20" s="1"/>
  <c r="AQ213" i="17"/>
  <c r="DW157" i="8"/>
  <c r="DY157" i="8" s="1"/>
  <c r="DX157" i="8" s="1"/>
  <c r="DV157" i="8"/>
  <c r="BL198" i="22"/>
  <c r="HI151" i="8"/>
  <c r="HF152" i="8" s="1"/>
  <c r="HD151" i="8"/>
  <c r="HB151" i="8" s="1"/>
  <c r="FL153" i="8"/>
  <c r="FJ153" i="8" s="1"/>
  <c r="FQ153" i="8"/>
  <c r="FN154" i="8" s="1"/>
  <c r="JB257" i="8"/>
  <c r="V249" i="20"/>
  <c r="BN313" i="22" l="1"/>
  <c r="BO313" i="22"/>
  <c r="BQ313" i="22" s="1"/>
  <c r="BP313" i="22" s="1"/>
  <c r="BR313" i="22" s="1"/>
  <c r="A317" i="22"/>
  <c r="AJ316" i="22"/>
  <c r="AK315" i="22"/>
  <c r="AN214" i="17"/>
  <c r="AP214" i="17" s="1"/>
  <c r="AO214" i="17" s="1"/>
  <c r="AK214" i="17" s="1"/>
  <c r="AL214" i="17"/>
  <c r="DU157" i="8"/>
  <c r="DS157" i="8" s="1"/>
  <c r="DZ157" i="8"/>
  <c r="BI199" i="22"/>
  <c r="BK199" i="22" s="1"/>
  <c r="BJ199" i="22" s="1"/>
  <c r="BG199" i="22" s="1"/>
  <c r="BD199" i="22" s="1"/>
  <c r="BH199" i="22"/>
  <c r="HH152" i="8"/>
  <c r="HG152" i="8" s="1"/>
  <c r="HE152" i="8"/>
  <c r="FM154" i="8"/>
  <c r="FP154" i="8"/>
  <c r="FO154" i="8" s="1"/>
  <c r="JB258" i="8"/>
  <c r="V250" i="20"/>
  <c r="BO314" i="22" l="1"/>
  <c r="BQ314" i="22" s="1"/>
  <c r="BP314" i="22" s="1"/>
  <c r="BR314" i="22" s="1"/>
  <c r="BN314" i="22"/>
  <c r="A318" i="22"/>
  <c r="AK316" i="22"/>
  <c r="AJ317" i="22"/>
  <c r="AI214" i="17"/>
  <c r="AH159" i="20"/>
  <c r="AF159" i="20" s="1"/>
  <c r="AQ214" i="17"/>
  <c r="DV158" i="8"/>
  <c r="DW158" i="8"/>
  <c r="DY158" i="8" s="1"/>
  <c r="DX158" i="8" s="1"/>
  <c r="DU158" i="8" s="1"/>
  <c r="DS158" i="8" s="1"/>
  <c r="BL199" i="22"/>
  <c r="HI152" i="8"/>
  <c r="HF153" i="8" s="1"/>
  <c r="HD152" i="8"/>
  <c r="HB152" i="8" s="1"/>
  <c r="FL154" i="8"/>
  <c r="FJ154" i="8" s="1"/>
  <c r="FQ154" i="8"/>
  <c r="FN155" i="8" s="1"/>
  <c r="JB259" i="8"/>
  <c r="V251" i="20"/>
  <c r="BN315" i="22" l="1"/>
  <c r="BO315" i="22"/>
  <c r="BQ315" i="22" s="1"/>
  <c r="BP315" i="22" s="1"/>
  <c r="BR315" i="22" s="1"/>
  <c r="A319" i="22"/>
  <c r="AK317" i="22"/>
  <c r="AJ318" i="22"/>
  <c r="AN215" i="17"/>
  <c r="AP215" i="17" s="1"/>
  <c r="AO215" i="17" s="1"/>
  <c r="AK215" i="17" s="1"/>
  <c r="AL215" i="17"/>
  <c r="DZ158" i="8"/>
  <c r="DW159" i="8" s="1"/>
  <c r="DY159" i="8" s="1"/>
  <c r="DX159" i="8" s="1"/>
  <c r="BI200" i="22"/>
  <c r="BK200" i="22" s="1"/>
  <c r="BJ200" i="22" s="1"/>
  <c r="BH200" i="22"/>
  <c r="HE153" i="8"/>
  <c r="HH153" i="8"/>
  <c r="HG153" i="8" s="1"/>
  <c r="FM155" i="8"/>
  <c r="FP155" i="8"/>
  <c r="FO155" i="8" s="1"/>
  <c r="JB260" i="8"/>
  <c r="V252" i="20"/>
  <c r="BN316" i="22" l="1"/>
  <c r="BO316" i="22"/>
  <c r="BQ316" i="22" s="1"/>
  <c r="BP316" i="22" s="1"/>
  <c r="BR316" i="22" s="1"/>
  <c r="A320" i="22"/>
  <c r="AK318" i="22"/>
  <c r="AJ319" i="22"/>
  <c r="AI215" i="17"/>
  <c r="AH160" i="20"/>
  <c r="AF160" i="20" s="1"/>
  <c r="AQ215" i="17"/>
  <c r="DV159" i="8"/>
  <c r="DU159" i="8"/>
  <c r="DS159" i="8" s="1"/>
  <c r="DZ159" i="8"/>
  <c r="BG200" i="22"/>
  <c r="BD200" i="22" s="1"/>
  <c r="BL200" i="22"/>
  <c r="HI153" i="8"/>
  <c r="HF154" i="8" s="1"/>
  <c r="HD153" i="8"/>
  <c r="HB153" i="8" s="1"/>
  <c r="FL155" i="8"/>
  <c r="FJ155" i="8" s="1"/>
  <c r="FQ155" i="8"/>
  <c r="FN156" i="8" s="1"/>
  <c r="JB261" i="8"/>
  <c r="V253" i="20"/>
  <c r="BN317" i="22" l="1"/>
  <c r="BO317" i="22"/>
  <c r="BQ317" i="22" s="1"/>
  <c r="BP317" i="22" s="1"/>
  <c r="BR317" i="22" s="1"/>
  <c r="A321" i="22"/>
  <c r="AJ320" i="22"/>
  <c r="AK319" i="22"/>
  <c r="AL216" i="17"/>
  <c r="AN216" i="17"/>
  <c r="AP216" i="17" s="1"/>
  <c r="AO216" i="17" s="1"/>
  <c r="AK216" i="17" s="1"/>
  <c r="DV160" i="8"/>
  <c r="DW160" i="8"/>
  <c r="DY160" i="8" s="1"/>
  <c r="DX160" i="8" s="1"/>
  <c r="DU160" i="8" s="1"/>
  <c r="DS160" i="8" s="1"/>
  <c r="BI201" i="22"/>
  <c r="BK201" i="22" s="1"/>
  <c r="BJ201" i="22" s="1"/>
  <c r="BH201" i="22"/>
  <c r="HE154" i="8"/>
  <c r="HH154" i="8"/>
  <c r="HG154" i="8" s="1"/>
  <c r="FP156" i="8"/>
  <c r="FO156" i="8" s="1"/>
  <c r="FM156" i="8"/>
  <c r="JB262" i="8"/>
  <c r="V254" i="20"/>
  <c r="BN318" i="22" l="1"/>
  <c r="BO318" i="22"/>
  <c r="BQ318" i="22" s="1"/>
  <c r="A322" i="22"/>
  <c r="AJ321" i="22"/>
  <c r="AK320" i="22"/>
  <c r="AI216" i="17"/>
  <c r="AH161" i="20"/>
  <c r="AF161" i="20" s="1"/>
  <c r="AQ216" i="17"/>
  <c r="DZ160" i="8"/>
  <c r="DW161" i="8" s="1"/>
  <c r="DY161" i="8" s="1"/>
  <c r="DX161" i="8" s="1"/>
  <c r="BG201" i="22"/>
  <c r="BD201" i="22" s="1"/>
  <c r="BL201" i="22"/>
  <c r="HI154" i="8"/>
  <c r="HF155" i="8" s="1"/>
  <c r="HD154" i="8"/>
  <c r="HB154" i="8" s="1"/>
  <c r="FL156" i="8"/>
  <c r="FJ156" i="8" s="1"/>
  <c r="FQ156" i="8"/>
  <c r="FN157" i="8" s="1"/>
  <c r="JB263" i="8"/>
  <c r="V255" i="20"/>
  <c r="BP318" i="22" l="1"/>
  <c r="BR318" i="22" s="1"/>
  <c r="BN319" i="22" s="1"/>
  <c r="A323" i="22"/>
  <c r="AK321" i="22"/>
  <c r="AJ322" i="22"/>
  <c r="AN217" i="17"/>
  <c r="AP217" i="17" s="1"/>
  <c r="AO217" i="17" s="1"/>
  <c r="AK217" i="17" s="1"/>
  <c r="AL217" i="17"/>
  <c r="DV161" i="8"/>
  <c r="DU161" i="8"/>
  <c r="DS161" i="8" s="1"/>
  <c r="DZ161" i="8"/>
  <c r="BI202" i="22"/>
  <c r="BK202" i="22" s="1"/>
  <c r="BJ202" i="22" s="1"/>
  <c r="BG202" i="22" s="1"/>
  <c r="BD202" i="22" s="1"/>
  <c r="BH202" i="22"/>
  <c r="HH155" i="8"/>
  <c r="HG155" i="8" s="1"/>
  <c r="HE155" i="8"/>
  <c r="FM157" i="8"/>
  <c r="JB264" i="8"/>
  <c r="BO319" i="22" l="1"/>
  <c r="BQ319" i="22" s="1"/>
  <c r="BP319" i="22" s="1"/>
  <c r="BR319" i="22" s="1"/>
  <c r="BN320" i="22" s="1"/>
  <c r="A324" i="22"/>
  <c r="AK322" i="22"/>
  <c r="AJ323" i="22"/>
  <c r="AI217" i="17"/>
  <c r="AH162" i="20"/>
  <c r="AF162" i="20" s="1"/>
  <c r="AQ217" i="17"/>
  <c r="DV162" i="8"/>
  <c r="DW162" i="8"/>
  <c r="DY162" i="8" s="1"/>
  <c r="DX162" i="8" s="1"/>
  <c r="DU162" i="8" s="1"/>
  <c r="DS162" i="8" s="1"/>
  <c r="BL202" i="22"/>
  <c r="HD155" i="8"/>
  <c r="HB155" i="8" s="1"/>
  <c r="HI155" i="8"/>
  <c r="HF156" i="8" s="1"/>
  <c r="FP157" i="8"/>
  <c r="FO157" i="8" s="1"/>
  <c r="BO320" i="22" l="1"/>
  <c r="BQ320" i="22" s="1"/>
  <c r="BP320" i="22" s="1"/>
  <c r="BR320" i="22" s="1"/>
  <c r="BO321" i="22" s="1"/>
  <c r="BQ321" i="22" s="1"/>
  <c r="BP321" i="22" s="1"/>
  <c r="BR321" i="22" s="1"/>
  <c r="A325" i="22"/>
  <c r="AK323" i="22"/>
  <c r="AJ324" i="22"/>
  <c r="AN218" i="17"/>
  <c r="AP218" i="17" s="1"/>
  <c r="AO218" i="17" s="1"/>
  <c r="AK218" i="17" s="1"/>
  <c r="AL218" i="17"/>
  <c r="DZ162" i="8"/>
  <c r="BI203" i="22"/>
  <c r="BK203" i="22" s="1"/>
  <c r="BJ203" i="22" s="1"/>
  <c r="BH203" i="22"/>
  <c r="HE156" i="8"/>
  <c r="HH156" i="8"/>
  <c r="HG156" i="8" s="1"/>
  <c r="FL157" i="8"/>
  <c r="FJ157" i="8" s="1"/>
  <c r="FQ157" i="8"/>
  <c r="BN321" i="22" l="1"/>
  <c r="BN322" i="22" s="1"/>
  <c r="BO322" i="22"/>
  <c r="BQ322" i="22" s="1"/>
  <c r="BP322" i="22" s="1"/>
  <c r="BR322" i="22" s="1"/>
  <c r="A326" i="22"/>
  <c r="AK324" i="22"/>
  <c r="AJ325" i="22"/>
  <c r="AI218" i="17"/>
  <c r="AH163" i="20"/>
  <c r="AF163" i="20" s="1"/>
  <c r="AQ218" i="17"/>
  <c r="W4" i="4"/>
  <c r="AA9" i="4"/>
  <c r="H6" i="4"/>
  <c r="IT20" i="4"/>
  <c r="IU20" i="4" s="1"/>
  <c r="IT19" i="4"/>
  <c r="IU19" i="4" s="1"/>
  <c r="BD26" i="4"/>
  <c r="BE26" i="4" s="1"/>
  <c r="DV163" i="8"/>
  <c r="DW163" i="8"/>
  <c r="DY163" i="8" s="1"/>
  <c r="DX163" i="8" s="1"/>
  <c r="DU163" i="8" s="1"/>
  <c r="DS163" i="8" s="1"/>
  <c r="F6" i="8"/>
  <c r="FN158" i="8"/>
  <c r="FP158" i="8" s="1"/>
  <c r="FO158" i="8" s="1"/>
  <c r="FL158" i="8" s="1"/>
  <c r="FJ158" i="8" s="1"/>
  <c r="BG203" i="22"/>
  <c r="BD203" i="22" s="1"/>
  <c r="BL203" i="22"/>
  <c r="HD156" i="8"/>
  <c r="HB156" i="8" s="1"/>
  <c r="HI156" i="8"/>
  <c r="HF157" i="8" s="1"/>
  <c r="FM158" i="8"/>
  <c r="K33" i="1"/>
  <c r="K21" i="1"/>
  <c r="AC7" i="4"/>
  <c r="AC8" i="4"/>
  <c r="K19" i="1"/>
  <c r="J19" i="1"/>
  <c r="IV19" i="4" l="1"/>
  <c r="IV18" i="4"/>
  <c r="IV20" i="4"/>
  <c r="BN323" i="22"/>
  <c r="BO323" i="22"/>
  <c r="BQ323" i="22" s="1"/>
  <c r="BP323" i="22" s="1"/>
  <c r="BR323" i="22" s="1"/>
  <c r="A327" i="22"/>
  <c r="AK325" i="22"/>
  <c r="AJ326" i="22"/>
  <c r="AN219" i="17"/>
  <c r="AP219" i="17" s="1"/>
  <c r="AO219" i="17" s="1"/>
  <c r="AK219" i="17" s="1"/>
  <c r="AL219" i="17"/>
  <c r="AB11" i="4"/>
  <c r="AB10" i="4"/>
  <c r="AB9" i="4"/>
  <c r="BD27" i="4"/>
  <c r="BE27" i="4" s="1"/>
  <c r="DZ163" i="8"/>
  <c r="DW164" i="8" s="1"/>
  <c r="DY164" i="8" s="1"/>
  <c r="DX164" i="8" s="1"/>
  <c r="DU164" i="8" s="1"/>
  <c r="DS164" i="8" s="1"/>
  <c r="FQ158" i="8"/>
  <c r="FN159" i="8" s="1"/>
  <c r="FP159" i="8" s="1"/>
  <c r="FO159" i="8" s="1"/>
  <c r="FL159" i="8" s="1"/>
  <c r="FJ159" i="8" s="1"/>
  <c r="BI204" i="22"/>
  <c r="BK204" i="22" s="1"/>
  <c r="BJ204" i="22" s="1"/>
  <c r="BH204" i="22"/>
  <c r="HH157" i="8"/>
  <c r="HG157" i="8" s="1"/>
  <c r="HE157" i="8"/>
  <c r="I16" i="7"/>
  <c r="K29" i="1"/>
  <c r="BD24" i="4"/>
  <c r="BE24" i="4" s="1"/>
  <c r="BD25" i="4"/>
  <c r="BE25" i="4" s="1"/>
  <c r="G15" i="4"/>
  <c r="BF24" i="4" l="1"/>
  <c r="BF27" i="4"/>
  <c r="BF25" i="4"/>
  <c r="BF23" i="4"/>
  <c r="BF28" i="4"/>
  <c r="BF26" i="4"/>
  <c r="BN324" i="22"/>
  <c r="BO324" i="22"/>
  <c r="BQ324" i="22" s="1"/>
  <c r="BP324" i="22" s="1"/>
  <c r="BR324" i="22" s="1"/>
  <c r="A328" i="22"/>
  <c r="AJ327" i="22"/>
  <c r="AK326" i="22"/>
  <c r="IH5" i="4"/>
  <c r="Y1" i="17" s="1"/>
  <c r="AI219" i="17"/>
  <c r="AH164" i="20"/>
  <c r="AF164" i="20" s="1"/>
  <c r="AQ219" i="17"/>
  <c r="DV164" i="8"/>
  <c r="FM159" i="8"/>
  <c r="DZ164" i="8"/>
  <c r="DW165" i="8" s="1"/>
  <c r="DY165" i="8" s="1"/>
  <c r="DX165" i="8" s="1"/>
  <c r="DU165" i="8" s="1"/>
  <c r="DS165" i="8" s="1"/>
  <c r="BG204" i="22"/>
  <c r="BD204" i="22" s="1"/>
  <c r="BL204" i="22"/>
  <c r="HD157" i="8"/>
  <c r="HB157" i="8" s="1"/>
  <c r="HI157" i="8"/>
  <c r="HF158" i="8" s="1"/>
  <c r="FQ159" i="8"/>
  <c r="FN160" i="8" s="1"/>
  <c r="BO325" i="22" l="1"/>
  <c r="BQ325" i="22" s="1"/>
  <c r="BP325" i="22" s="1"/>
  <c r="BR325" i="22" s="1"/>
  <c r="BN325" i="22"/>
  <c r="A329" i="22"/>
  <c r="AK327" i="22"/>
  <c r="AJ328" i="22"/>
  <c r="AL220" i="17"/>
  <c r="AN220" i="17"/>
  <c r="AP220" i="17" s="1"/>
  <c r="AO220" i="17" s="1"/>
  <c r="AK220" i="17" s="1"/>
  <c r="AQ5" i="4"/>
  <c r="BN9" i="4" s="1"/>
  <c r="BN11" i="4" s="1" a="1"/>
  <c r="BN11" i="4" s="1"/>
  <c r="DZ165" i="8"/>
  <c r="DW166" i="8" s="1"/>
  <c r="DY166" i="8" s="1"/>
  <c r="DX166" i="8" s="1"/>
  <c r="DU166" i="8" s="1"/>
  <c r="DS166" i="8" s="1"/>
  <c r="DV165" i="8"/>
  <c r="BI205" i="22"/>
  <c r="BK205" i="22" s="1"/>
  <c r="BJ205" i="22" s="1"/>
  <c r="BG205" i="22" s="1"/>
  <c r="BD205" i="22" s="1"/>
  <c r="BH205" i="22"/>
  <c r="HE158" i="8"/>
  <c r="HH158" i="8"/>
  <c r="HG158" i="8" s="1"/>
  <c r="FP160" i="8"/>
  <c r="FO160" i="8" s="1"/>
  <c r="FM160" i="8"/>
  <c r="BN326" i="22" l="1"/>
  <c r="BO326" i="22"/>
  <c r="BQ326" i="22" s="1"/>
  <c r="BP326" i="22" s="1"/>
  <c r="BR326" i="22" s="1"/>
  <c r="A330" i="22"/>
  <c r="AK328" i="22"/>
  <c r="AJ329" i="22"/>
  <c r="AI220" i="17"/>
  <c r="AH165" i="20"/>
  <c r="AF165" i="20" s="1"/>
  <c r="AQ220" i="17"/>
  <c r="DZ166" i="8"/>
  <c r="DW167" i="8" s="1"/>
  <c r="DY167" i="8" s="1"/>
  <c r="DX167" i="8" s="1"/>
  <c r="DU167" i="8" s="1"/>
  <c r="DS167" i="8" s="1"/>
  <c r="DV166" i="8"/>
  <c r="BL205" i="22"/>
  <c r="HD158" i="8"/>
  <c r="HB158" i="8" s="1"/>
  <c r="HI158" i="8"/>
  <c r="HF159" i="8" s="1"/>
  <c r="FL160" i="8"/>
  <c r="FJ160" i="8" s="1"/>
  <c r="FQ160" i="8"/>
  <c r="FN161" i="8" s="1"/>
  <c r="BN327" i="22" l="1"/>
  <c r="BO327" i="22"/>
  <c r="BQ327" i="22" s="1"/>
  <c r="BP327" i="22" s="1"/>
  <c r="BR327" i="22" s="1"/>
  <c r="A331" i="22"/>
  <c r="AK329" i="22"/>
  <c r="AJ330" i="22"/>
  <c r="AL221" i="17"/>
  <c r="AN221" i="17"/>
  <c r="AP221" i="17" s="1"/>
  <c r="AO221" i="17" s="1"/>
  <c r="AK221" i="17" s="1"/>
  <c r="DV167" i="8"/>
  <c r="DZ167" i="8"/>
  <c r="DW168" i="8" s="1"/>
  <c r="DY168" i="8" s="1"/>
  <c r="DX168" i="8" s="1"/>
  <c r="BH206" i="22"/>
  <c r="BI206" i="22"/>
  <c r="BK206" i="22" s="1"/>
  <c r="BJ206" i="22" s="1"/>
  <c r="BG206" i="22" s="1"/>
  <c r="BD206" i="22" s="1"/>
  <c r="HH159" i="8"/>
  <c r="HG159" i="8" s="1"/>
  <c r="HE159" i="8"/>
  <c r="FM161" i="8"/>
  <c r="FP161" i="8"/>
  <c r="FO161" i="8" s="1"/>
  <c r="FL161" i="8" s="1"/>
  <c r="FJ161" i="8" s="1"/>
  <c r="BO328" i="22" l="1"/>
  <c r="BQ328" i="22" s="1"/>
  <c r="BP328" i="22" s="1"/>
  <c r="BR328" i="22" s="1"/>
  <c r="BN328" i="22"/>
  <c r="A332" i="22"/>
  <c r="AJ331" i="22"/>
  <c r="AK330" i="22"/>
  <c r="AI221" i="17"/>
  <c r="AH166" i="20"/>
  <c r="AF166" i="20" s="1"/>
  <c r="AQ221" i="17"/>
  <c r="DV168" i="8"/>
  <c r="DU168" i="8"/>
  <c r="DS168" i="8" s="1"/>
  <c r="DZ168" i="8"/>
  <c r="BL206" i="22"/>
  <c r="HD159" i="8"/>
  <c r="HB159" i="8" s="1"/>
  <c r="HI159" i="8"/>
  <c r="HF160" i="8" s="1"/>
  <c r="FQ161" i="8"/>
  <c r="FN162" i="8" s="1"/>
  <c r="BO329" i="22" l="1"/>
  <c r="BQ329" i="22" s="1"/>
  <c r="BP329" i="22" s="1"/>
  <c r="BR329" i="22" s="1"/>
  <c r="BN329" i="22"/>
  <c r="A333" i="22"/>
  <c r="AK331" i="22"/>
  <c r="AJ332" i="22"/>
  <c r="AN222" i="17"/>
  <c r="AP222" i="17" s="1"/>
  <c r="AO222" i="17" s="1"/>
  <c r="AK222" i="17" s="1"/>
  <c r="AL222" i="17"/>
  <c r="DW169" i="8"/>
  <c r="DY169" i="8" s="1"/>
  <c r="DX169" i="8" s="1"/>
  <c r="DV169" i="8"/>
  <c r="BH207" i="22"/>
  <c r="BI207" i="22"/>
  <c r="BK207" i="22" s="1"/>
  <c r="BJ207" i="22" s="1"/>
  <c r="HE160" i="8"/>
  <c r="HH160" i="8"/>
  <c r="HG160" i="8" s="1"/>
  <c r="FM162" i="8"/>
  <c r="FP162" i="8"/>
  <c r="FO162" i="8" s="1"/>
  <c r="BO330" i="22" l="1"/>
  <c r="BQ330" i="22" s="1"/>
  <c r="BP330" i="22" s="1"/>
  <c r="BR330" i="22" s="1"/>
  <c r="BN330" i="22"/>
  <c r="A334" i="22"/>
  <c r="AJ333" i="22"/>
  <c r="AK332" i="22"/>
  <c r="AI222" i="17"/>
  <c r="AH167" i="20"/>
  <c r="AF167" i="20" s="1"/>
  <c r="AQ222" i="17"/>
  <c r="DZ169" i="8"/>
  <c r="DU169" i="8"/>
  <c r="DS169" i="8" s="1"/>
  <c r="BG207" i="22"/>
  <c r="BD207" i="22" s="1"/>
  <c r="BL207" i="22"/>
  <c r="HI160" i="8"/>
  <c r="HF161" i="8" s="1"/>
  <c r="HD160" i="8"/>
  <c r="HB160" i="8" s="1"/>
  <c r="FL162" i="8"/>
  <c r="FJ162" i="8" s="1"/>
  <c r="FQ162" i="8"/>
  <c r="FN163" i="8" s="1"/>
  <c r="BO331" i="22" l="1"/>
  <c r="BQ331" i="22" s="1"/>
  <c r="BP331" i="22" s="1"/>
  <c r="BR331" i="22" s="1"/>
  <c r="BN331" i="22"/>
  <c r="A335" i="22"/>
  <c r="AJ334" i="22"/>
  <c r="AK333" i="22"/>
  <c r="AL223" i="17"/>
  <c r="AN223" i="17"/>
  <c r="AP223" i="17" s="1"/>
  <c r="AO223" i="17" s="1"/>
  <c r="AK223" i="17" s="1"/>
  <c r="DW170" i="8"/>
  <c r="DY170" i="8" s="1"/>
  <c r="DX170" i="8" s="1"/>
  <c r="DU170" i="8" s="1"/>
  <c r="DS170" i="8" s="1"/>
  <c r="DV170" i="8"/>
  <c r="BI208" i="22"/>
  <c r="BK208" i="22" s="1"/>
  <c r="BJ208" i="22" s="1"/>
  <c r="BH208" i="22"/>
  <c r="HE161" i="8"/>
  <c r="HH161" i="8"/>
  <c r="HG161" i="8" s="1"/>
  <c r="FP163" i="8"/>
  <c r="FO163" i="8" s="1"/>
  <c r="FM163" i="8"/>
  <c r="AN87" i="1"/>
  <c r="BN332" i="22" l="1"/>
  <c r="BO332" i="22"/>
  <c r="BQ332" i="22" s="1"/>
  <c r="BP332" i="22" s="1"/>
  <c r="BR332" i="22" s="1"/>
  <c r="A336" i="22"/>
  <c r="AJ335" i="22"/>
  <c r="AK334" i="22"/>
  <c r="AI223" i="17"/>
  <c r="AH168" i="20"/>
  <c r="AF168" i="20" s="1"/>
  <c r="AQ223" i="17"/>
  <c r="DZ170" i="8"/>
  <c r="BG208" i="22"/>
  <c r="BD208" i="22" s="1"/>
  <c r="BL208" i="22"/>
  <c r="HI161" i="8"/>
  <c r="HF162" i="8" s="1"/>
  <c r="HD161" i="8"/>
  <c r="HB161" i="8" s="1"/>
  <c r="FL163" i="8"/>
  <c r="FJ163" i="8" s="1"/>
  <c r="FQ163" i="8"/>
  <c r="FN164" i="8" s="1"/>
  <c r="BN333" i="22" l="1"/>
  <c r="BO333" i="22"/>
  <c r="BQ333" i="22" s="1"/>
  <c r="BP333" i="22" s="1"/>
  <c r="BR333" i="22" s="1"/>
  <c r="A337" i="22"/>
  <c r="AJ336" i="22"/>
  <c r="AK335" i="22"/>
  <c r="AN224" i="17"/>
  <c r="AP224" i="17" s="1"/>
  <c r="AO224" i="17" s="1"/>
  <c r="AK224" i="17" s="1"/>
  <c r="AL224" i="17"/>
  <c r="DW171" i="8"/>
  <c r="DY171" i="8" s="1"/>
  <c r="DX171" i="8" s="1"/>
  <c r="DV171" i="8"/>
  <c r="BI209" i="22"/>
  <c r="BK209" i="22" s="1"/>
  <c r="BJ209" i="22" s="1"/>
  <c r="BH209" i="22"/>
  <c r="HE162" i="8"/>
  <c r="HH162" i="8"/>
  <c r="HG162" i="8" s="1"/>
  <c r="FP164" i="8"/>
  <c r="FO164" i="8" s="1"/>
  <c r="FL164" i="8" s="1"/>
  <c r="FJ164" i="8" s="1"/>
  <c r="FM164" i="8"/>
  <c r="BN334" i="22" l="1"/>
  <c r="BO334" i="22"/>
  <c r="BQ334" i="22" s="1"/>
  <c r="BP334" i="22" s="1"/>
  <c r="BR334" i="22" s="1"/>
  <c r="A338" i="22"/>
  <c r="AK336" i="22"/>
  <c r="AJ337" i="22"/>
  <c r="AI224" i="17"/>
  <c r="AH169" i="20"/>
  <c r="AF169" i="20" s="1"/>
  <c r="AQ224" i="17"/>
  <c r="DU171" i="8"/>
  <c r="DS171" i="8" s="1"/>
  <c r="DZ171" i="8"/>
  <c r="BG209" i="22"/>
  <c r="BD209" i="22" s="1"/>
  <c r="BL209" i="22"/>
  <c r="HI162" i="8"/>
  <c r="HF163" i="8" s="1"/>
  <c r="HD162" i="8"/>
  <c r="HB162" i="8" s="1"/>
  <c r="FQ164" i="8"/>
  <c r="FN165" i="8" s="1"/>
  <c r="BH25" i="8"/>
  <c r="BH26" i="8" s="1"/>
  <c r="L273" i="18"/>
  <c r="C273" i="18"/>
  <c r="C268" i="18"/>
  <c r="C267" i="18"/>
  <c r="C266" i="18"/>
  <c r="C265" i="18"/>
  <c r="C264" i="18"/>
  <c r="C263" i="18"/>
  <c r="C262" i="18"/>
  <c r="C261" i="18"/>
  <c r="C260" i="18"/>
  <c r="L259" i="18"/>
  <c r="C271" i="18" s="1"/>
  <c r="W18" i="18"/>
  <c r="W19" i="18" s="1"/>
  <c r="X19" i="18" s="1"/>
  <c r="AC12" i="18"/>
  <c r="K7" i="18"/>
  <c r="E7" i="18"/>
  <c r="E5" i="18"/>
  <c r="K1" i="18"/>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57" i="18" s="1"/>
  <c r="A58" i="18" s="1"/>
  <c r="A59" i="18" s="1"/>
  <c r="A60" i="18" s="1"/>
  <c r="A61" i="18" s="1"/>
  <c r="A62" i="18" s="1"/>
  <c r="A63" i="18" s="1"/>
  <c r="A64" i="18" s="1"/>
  <c r="A65" i="18" s="1"/>
  <c r="A66" i="18" s="1"/>
  <c r="A67" i="18" s="1"/>
  <c r="A68" i="18" s="1"/>
  <c r="A69" i="18" s="1"/>
  <c r="A70" i="18" s="1"/>
  <c r="A71" i="18" s="1"/>
  <c r="A72" i="18" s="1"/>
  <c r="A73" i="18" s="1"/>
  <c r="A74" i="18" s="1"/>
  <c r="A75" i="18" s="1"/>
  <c r="A76" i="18" s="1"/>
  <c r="A77" i="18" s="1"/>
  <c r="A78" i="18" s="1"/>
  <c r="A79" i="18" s="1"/>
  <c r="A80" i="18" s="1"/>
  <c r="A81" i="18" s="1"/>
  <c r="A82" i="18" s="1"/>
  <c r="A83" i="18" s="1"/>
  <c r="A84" i="18" s="1"/>
  <c r="A85" i="18" s="1"/>
  <c r="A86" i="18" s="1"/>
  <c r="A87" i="18" s="1"/>
  <c r="A88" i="18" s="1"/>
  <c r="A89" i="18" s="1"/>
  <c r="A90" i="18" s="1"/>
  <c r="A91" i="18" s="1"/>
  <c r="A92" i="18" s="1"/>
  <c r="A93" i="18" s="1"/>
  <c r="A94" i="18" s="1"/>
  <c r="A95" i="18" s="1"/>
  <c r="A96" i="18" s="1"/>
  <c r="A97" i="18" s="1"/>
  <c r="A98" i="18" s="1"/>
  <c r="A99" i="18" s="1"/>
  <c r="A100" i="18" s="1"/>
  <c r="A101" i="18" s="1"/>
  <c r="A102" i="18" s="1"/>
  <c r="A103" i="18" s="1"/>
  <c r="A104" i="18" s="1"/>
  <c r="A105" i="18" s="1"/>
  <c r="A106" i="18" s="1"/>
  <c r="A107" i="18" s="1"/>
  <c r="A108" i="18" s="1"/>
  <c r="A109" i="18" s="1"/>
  <c r="A110" i="18" s="1"/>
  <c r="A111" i="18" s="1"/>
  <c r="A112" i="18" s="1"/>
  <c r="A113" i="18" s="1"/>
  <c r="A114" i="18" s="1"/>
  <c r="A115" i="18" s="1"/>
  <c r="A116" i="18" s="1"/>
  <c r="A117" i="18" s="1"/>
  <c r="A118" i="18" s="1"/>
  <c r="A119" i="18" s="1"/>
  <c r="A120" i="18" s="1"/>
  <c r="A121" i="18" s="1"/>
  <c r="A122" i="18" s="1"/>
  <c r="A123" i="18" s="1"/>
  <c r="A124" i="18" s="1"/>
  <c r="A125" i="18" s="1"/>
  <c r="A126" i="18" s="1"/>
  <c r="A127" i="18" s="1"/>
  <c r="A128" i="18" s="1"/>
  <c r="A129" i="18" s="1"/>
  <c r="A130" i="18" s="1"/>
  <c r="A131" i="18" s="1"/>
  <c r="A132" i="18" s="1"/>
  <c r="A133" i="18" s="1"/>
  <c r="A134" i="18" s="1"/>
  <c r="A135" i="18" s="1"/>
  <c r="A136" i="18" s="1"/>
  <c r="A137" i="18" s="1"/>
  <c r="A138" i="18" s="1"/>
  <c r="A139" i="18" s="1"/>
  <c r="A140" i="18" s="1"/>
  <c r="A141" i="18" s="1"/>
  <c r="A142" i="18" s="1"/>
  <c r="A143" i="18" s="1"/>
  <c r="A144" i="18" s="1"/>
  <c r="A145" i="18" s="1"/>
  <c r="A146" i="18" s="1"/>
  <c r="A147" i="18" s="1"/>
  <c r="A148" i="18" s="1"/>
  <c r="A149" i="18" s="1"/>
  <c r="A150" i="18" s="1"/>
  <c r="A151" i="18" s="1"/>
  <c r="A152" i="18" s="1"/>
  <c r="A153" i="18" s="1"/>
  <c r="A154" i="18" s="1"/>
  <c r="A155" i="18" s="1"/>
  <c r="A156" i="18" s="1"/>
  <c r="A157" i="18" s="1"/>
  <c r="A158" i="18" s="1"/>
  <c r="A159" i="18" s="1"/>
  <c r="A160" i="18" s="1"/>
  <c r="A161" i="18" s="1"/>
  <c r="A162" i="18" s="1"/>
  <c r="A163" i="18" s="1"/>
  <c r="A164" i="18" s="1"/>
  <c r="A165" i="18" s="1"/>
  <c r="A166" i="18" s="1"/>
  <c r="A167" i="18" s="1"/>
  <c r="A168" i="18" s="1"/>
  <c r="A169" i="18" s="1"/>
  <c r="A170" i="18" s="1"/>
  <c r="A171" i="18" s="1"/>
  <c r="A172" i="18" s="1"/>
  <c r="A173" i="18" s="1"/>
  <c r="A174" i="18" s="1"/>
  <c r="A175" i="18" s="1"/>
  <c r="A176" i="18" s="1"/>
  <c r="A177" i="18" s="1"/>
  <c r="A178" i="18" s="1"/>
  <c r="A179" i="18" s="1"/>
  <c r="A180" i="18" s="1"/>
  <c r="A181" i="18" s="1"/>
  <c r="A182" i="18" s="1"/>
  <c r="A183" i="18" s="1"/>
  <c r="A184" i="18" s="1"/>
  <c r="A185" i="18" s="1"/>
  <c r="A186" i="18" s="1"/>
  <c r="A187" i="18" s="1"/>
  <c r="A188" i="18" s="1"/>
  <c r="A189" i="18" s="1"/>
  <c r="A190" i="18" s="1"/>
  <c r="A191" i="18" s="1"/>
  <c r="A192" i="18" s="1"/>
  <c r="A193" i="18" s="1"/>
  <c r="A194" i="18" s="1"/>
  <c r="A195" i="18" s="1"/>
  <c r="A196" i="18" s="1"/>
  <c r="A197" i="18" s="1"/>
  <c r="A198" i="18" s="1"/>
  <c r="A199" i="18" s="1"/>
  <c r="A200" i="18" s="1"/>
  <c r="A201" i="18" s="1"/>
  <c r="A202" i="18" s="1"/>
  <c r="A203" i="18" s="1"/>
  <c r="A204" i="18" s="1"/>
  <c r="A205" i="18" s="1"/>
  <c r="A206" i="18" s="1"/>
  <c r="A207" i="18" s="1"/>
  <c r="A208" i="18" s="1"/>
  <c r="A209" i="18" s="1"/>
  <c r="A210" i="18" s="1"/>
  <c r="A211" i="18" s="1"/>
  <c r="A212" i="18" s="1"/>
  <c r="A213" i="18" s="1"/>
  <c r="A214" i="18" s="1"/>
  <c r="A215" i="18" s="1"/>
  <c r="A216" i="18" s="1"/>
  <c r="A217" i="18" s="1"/>
  <c r="A218" i="18" s="1"/>
  <c r="A219" i="18" s="1"/>
  <c r="A220" i="18" s="1"/>
  <c r="A221" i="18" s="1"/>
  <c r="A222" i="18" s="1"/>
  <c r="A223" i="18" s="1"/>
  <c r="A224" i="18" s="1"/>
  <c r="A225" i="18" s="1"/>
  <c r="A226" i="18" s="1"/>
  <c r="A227" i="18" s="1"/>
  <c r="A228" i="18" s="1"/>
  <c r="A229" i="18" s="1"/>
  <c r="A230" i="18" s="1"/>
  <c r="A231" i="18" s="1"/>
  <c r="A232" i="18" s="1"/>
  <c r="A233" i="18" s="1"/>
  <c r="A234" i="18" s="1"/>
  <c r="A235" i="18" s="1"/>
  <c r="A236" i="18" s="1"/>
  <c r="A237" i="18" s="1"/>
  <c r="A238" i="18" s="1"/>
  <c r="A239" i="18" s="1"/>
  <c r="A240" i="18" s="1"/>
  <c r="A241" i="18" s="1"/>
  <c r="A242" i="18" s="1"/>
  <c r="A243" i="18" s="1"/>
  <c r="A244" i="18" s="1"/>
  <c r="A245" i="18" s="1"/>
  <c r="A246" i="18" s="1"/>
  <c r="A247" i="18" s="1"/>
  <c r="A248" i="18" s="1"/>
  <c r="A249" i="18" s="1"/>
  <c r="A250" i="18" s="1"/>
  <c r="A251" i="18" s="1"/>
  <c r="A252" i="18" s="1"/>
  <c r="A253" i="18" s="1"/>
  <c r="A254" i="18" s="1"/>
  <c r="A255" i="18" s="1"/>
  <c r="A256" i="18" s="1"/>
  <c r="A257" i="18" s="1"/>
  <c r="BN335" i="22" l="1"/>
  <c r="BO335" i="22"/>
  <c r="BQ335" i="22" s="1"/>
  <c r="BP335" i="22" s="1"/>
  <c r="BR335" i="22" s="1"/>
  <c r="A339" i="22"/>
  <c r="AK337" i="22"/>
  <c r="AJ338" i="22"/>
  <c r="AL225" i="17"/>
  <c r="AN225" i="17"/>
  <c r="AP225" i="17" s="1"/>
  <c r="AO225" i="17" s="1"/>
  <c r="AK225" i="17" s="1"/>
  <c r="DW172" i="8"/>
  <c r="DY172" i="8" s="1"/>
  <c r="DX172" i="8" s="1"/>
  <c r="DU172" i="8" s="1"/>
  <c r="DS172" i="8" s="1"/>
  <c r="DV172" i="8"/>
  <c r="BI210" i="22"/>
  <c r="BK210" i="22" s="1"/>
  <c r="BJ210" i="22" s="1"/>
  <c r="BG210" i="22" s="1"/>
  <c r="BD210" i="22" s="1"/>
  <c r="BH210" i="22"/>
  <c r="HH163" i="8"/>
  <c r="HG163" i="8" s="1"/>
  <c r="HD163" i="8" s="1"/>
  <c r="HB163" i="8" s="1"/>
  <c r="HE163" i="8"/>
  <c r="FP165" i="8"/>
  <c r="FO165" i="8" s="1"/>
  <c r="FM165" i="8"/>
  <c r="BH27" i="8"/>
  <c r="W20" i="18"/>
  <c r="X20" i="18" s="1"/>
  <c r="BN336" i="22" l="1"/>
  <c r="BO336" i="22"/>
  <c r="BQ336" i="22" s="1"/>
  <c r="BP336" i="22" s="1"/>
  <c r="BR336" i="22" s="1"/>
  <c r="A340" i="22"/>
  <c r="AK338" i="22"/>
  <c r="AJ339" i="22"/>
  <c r="AI225" i="17"/>
  <c r="AH170" i="20"/>
  <c r="AF170" i="20" s="1"/>
  <c r="AQ225" i="17"/>
  <c r="M119" i="2"/>
  <c r="Q119" i="2"/>
  <c r="Y119" i="2"/>
  <c r="E119" i="2"/>
  <c r="U119" i="2"/>
  <c r="DZ172" i="8"/>
  <c r="BL210" i="22"/>
  <c r="HI163" i="8"/>
  <c r="FL165" i="8"/>
  <c r="FJ165" i="8" s="1"/>
  <c r="FQ165" i="8"/>
  <c r="FN166" i="8" s="1"/>
  <c r="BH28" i="8"/>
  <c r="W21" i="18"/>
  <c r="X21" i="18" s="1"/>
  <c r="BO337" i="22" l="1"/>
  <c r="BQ337" i="22" s="1"/>
  <c r="BP337" i="22" s="1"/>
  <c r="BR337" i="22" s="1"/>
  <c r="BN337" i="22"/>
  <c r="A341" i="22"/>
  <c r="AK339" i="22"/>
  <c r="AJ340" i="22"/>
  <c r="AN226" i="17"/>
  <c r="AP226" i="17" s="1"/>
  <c r="AO226" i="17" s="1"/>
  <c r="AK226" i="17" s="1"/>
  <c r="AL226" i="17"/>
  <c r="AD119" i="2"/>
  <c r="E110" i="2"/>
  <c r="E124" i="2"/>
  <c r="Q124" i="2"/>
  <c r="I119" i="2"/>
  <c r="M124" i="2"/>
  <c r="U124" i="2"/>
  <c r="U110" i="2"/>
  <c r="Y124" i="2"/>
  <c r="Y110" i="2"/>
  <c r="HE164" i="8"/>
  <c r="HF164" i="8"/>
  <c r="HH164" i="8" s="1"/>
  <c r="HG164" i="8" s="1"/>
  <c r="HD164" i="8" s="1"/>
  <c r="HB164" i="8" s="1"/>
  <c r="DW173" i="8"/>
  <c r="DY173" i="8" s="1"/>
  <c r="DX173" i="8" s="1"/>
  <c r="DU173" i="8" s="1"/>
  <c r="DS173" i="8" s="1"/>
  <c r="DV173" i="8"/>
  <c r="BI211" i="22"/>
  <c r="BK211" i="22" s="1"/>
  <c r="BJ211" i="22" s="1"/>
  <c r="BH211" i="22"/>
  <c r="FM166" i="8"/>
  <c r="FP166" i="8"/>
  <c r="FO166" i="8" s="1"/>
  <c r="BH29" i="8"/>
  <c r="W22" i="18"/>
  <c r="X22" i="18" s="1"/>
  <c r="BN338" i="22" l="1"/>
  <c r="BO338" i="22"/>
  <c r="BQ338" i="22" s="1"/>
  <c r="BP338" i="22" s="1"/>
  <c r="BR338" i="22" s="1"/>
  <c r="A342" i="22"/>
  <c r="AJ341" i="22"/>
  <c r="AK340" i="22"/>
  <c r="AI226" i="17"/>
  <c r="AH171" i="20"/>
  <c r="AF171" i="20" s="1"/>
  <c r="AQ226" i="17"/>
  <c r="I124" i="2"/>
  <c r="AD124" i="2"/>
  <c r="DZ173" i="8"/>
  <c r="DW174" i="8" s="1"/>
  <c r="DY174" i="8" s="1"/>
  <c r="DX174" i="8" s="1"/>
  <c r="BG211" i="22"/>
  <c r="BD211" i="22" s="1"/>
  <c r="BL211" i="22"/>
  <c r="HI164" i="8"/>
  <c r="FL166" i="8"/>
  <c r="FJ166" i="8" s="1"/>
  <c r="FQ166" i="8"/>
  <c r="FN167" i="8" s="1"/>
  <c r="BH30" i="8"/>
  <c r="W23" i="18"/>
  <c r="X23" i="18" s="1"/>
  <c r="BN339" i="22" l="1"/>
  <c r="BO339" i="22"/>
  <c r="BQ339" i="22" s="1"/>
  <c r="BP339" i="22" s="1"/>
  <c r="BR339" i="22" s="1"/>
  <c r="A343" i="22"/>
  <c r="AK341" i="22"/>
  <c r="AJ342" i="22"/>
  <c r="AN227" i="17"/>
  <c r="AP227" i="17" s="1"/>
  <c r="AO227" i="17" s="1"/>
  <c r="AK227" i="17" s="1"/>
  <c r="AL227" i="17"/>
  <c r="DV174" i="8"/>
  <c r="HE165" i="8"/>
  <c r="HF165" i="8"/>
  <c r="HH165" i="8" s="1"/>
  <c r="HG165" i="8" s="1"/>
  <c r="HD165" i="8" s="1"/>
  <c r="HB165" i="8" s="1"/>
  <c r="DU174" i="8"/>
  <c r="DS174" i="8" s="1"/>
  <c r="DZ174" i="8"/>
  <c r="BI212" i="22"/>
  <c r="BK212" i="22" s="1"/>
  <c r="BJ212" i="22" s="1"/>
  <c r="BH212" i="22"/>
  <c r="FM167" i="8"/>
  <c r="FP167" i="8"/>
  <c r="FO167" i="8" s="1"/>
  <c r="BH31" i="8"/>
  <c r="W24" i="18"/>
  <c r="X24" i="18" s="1"/>
  <c r="BN340" i="22" l="1"/>
  <c r="BO340" i="22"/>
  <c r="BQ340" i="22" s="1"/>
  <c r="BP340" i="22" s="1"/>
  <c r="BR340" i="22" s="1"/>
  <c r="A344" i="22"/>
  <c r="AJ343" i="22"/>
  <c r="AK342" i="22"/>
  <c r="AI227" i="17"/>
  <c r="AH172" i="20"/>
  <c r="AF172" i="20" s="1"/>
  <c r="AQ227" i="17"/>
  <c r="AN228" i="17" s="1"/>
  <c r="AP228" i="17" s="1"/>
  <c r="AO228" i="17" s="1"/>
  <c r="AK228" i="17" s="1"/>
  <c r="DW175" i="8"/>
  <c r="DY175" i="8" s="1"/>
  <c r="DX175" i="8" s="1"/>
  <c r="DV175" i="8"/>
  <c r="BG212" i="22"/>
  <c r="BD212" i="22" s="1"/>
  <c r="BL212" i="22"/>
  <c r="HI165" i="8"/>
  <c r="FL167" i="8"/>
  <c r="FJ167" i="8" s="1"/>
  <c r="FQ167" i="8"/>
  <c r="FN168" i="8" s="1"/>
  <c r="BH32" i="8"/>
  <c r="W25" i="18"/>
  <c r="X25" i="18" s="1"/>
  <c r="BN341" i="22" l="1"/>
  <c r="BO341" i="22"/>
  <c r="BQ341" i="22" s="1"/>
  <c r="BP341" i="22" s="1"/>
  <c r="BR341" i="22" s="1"/>
  <c r="A345" i="22"/>
  <c r="AK343" i="22"/>
  <c r="AJ344" i="22"/>
  <c r="AI228" i="17"/>
  <c r="AH173" i="20"/>
  <c r="AF173" i="20" s="1"/>
  <c r="AL228" i="17"/>
  <c r="AQ228" i="17"/>
  <c r="DU175" i="8"/>
  <c r="DS175" i="8" s="1"/>
  <c r="DZ175" i="8"/>
  <c r="DW176" i="8" s="1"/>
  <c r="DY176" i="8" s="1"/>
  <c r="DX176" i="8" s="1"/>
  <c r="DU176" i="8" s="1"/>
  <c r="DS176" i="8" s="1"/>
  <c r="HF166" i="8"/>
  <c r="HH166" i="8" s="1"/>
  <c r="HG166" i="8" s="1"/>
  <c r="HD166" i="8" s="1"/>
  <c r="HB166" i="8" s="1"/>
  <c r="BI213" i="22"/>
  <c r="BK213" i="22" s="1"/>
  <c r="BJ213" i="22" s="1"/>
  <c r="BH213" i="22"/>
  <c r="HE166" i="8"/>
  <c r="FP168" i="8"/>
  <c r="FO168" i="8" s="1"/>
  <c r="FL168" i="8" s="1"/>
  <c r="FJ168" i="8" s="1"/>
  <c r="FM168" i="8"/>
  <c r="BH33" i="8"/>
  <c r="W26" i="18"/>
  <c r="X26" i="18" s="1"/>
  <c r="BN342" i="22" l="1"/>
  <c r="BO342" i="22"/>
  <c r="A346" i="22"/>
  <c r="AK344" i="22"/>
  <c r="AJ345" i="22"/>
  <c r="AN229" i="17"/>
  <c r="AP229" i="17" s="1"/>
  <c r="AO229" i="17" s="1"/>
  <c r="AK229" i="17" s="1"/>
  <c r="AL229" i="17"/>
  <c r="DV176" i="8"/>
  <c r="HI166" i="8"/>
  <c r="HF167" i="8" s="1"/>
  <c r="HH167" i="8" s="1"/>
  <c r="HG167" i="8" s="1"/>
  <c r="HD167" i="8" s="1"/>
  <c r="HB167" i="8" s="1"/>
  <c r="DZ176" i="8"/>
  <c r="BG213" i="22"/>
  <c r="BD213" i="22" s="1"/>
  <c r="BL213" i="22"/>
  <c r="FQ168" i="8"/>
  <c r="FN169" i="8" s="1"/>
  <c r="BH34" i="8"/>
  <c r="W27" i="18"/>
  <c r="X27" i="18" s="1"/>
  <c r="BQ342" i="22" l="1"/>
  <c r="BP342" i="22" s="1"/>
  <c r="BR342" i="22" s="1"/>
  <c r="A347" i="22"/>
  <c r="AK345" i="22"/>
  <c r="AJ346" i="22"/>
  <c r="AI229" i="17"/>
  <c r="AH174" i="20"/>
  <c r="AF174" i="20" s="1"/>
  <c r="AQ229" i="17"/>
  <c r="AL230" i="17" s="1"/>
  <c r="HE167" i="8"/>
  <c r="DW177" i="8"/>
  <c r="DY177" i="8" s="1"/>
  <c r="DX177" i="8" s="1"/>
  <c r="DU177" i="8" s="1"/>
  <c r="DS177" i="8" s="1"/>
  <c r="DV177" i="8"/>
  <c r="BI214" i="22"/>
  <c r="BK214" i="22" s="1"/>
  <c r="BJ214" i="22" s="1"/>
  <c r="BG214" i="22" s="1"/>
  <c r="BD214" i="22" s="1"/>
  <c r="BH214" i="22"/>
  <c r="HI167" i="8"/>
  <c r="FM169" i="8"/>
  <c r="C35" i="1"/>
  <c r="AC9" i="4"/>
  <c r="BH35" i="8"/>
  <c r="W28" i="18"/>
  <c r="X28" i="18" s="1"/>
  <c r="C20" i="4"/>
  <c r="BN343" i="22" l="1"/>
  <c r="BO343" i="22"/>
  <c r="BQ343" i="22" s="1"/>
  <c r="BP343" i="22" s="1"/>
  <c r="BR343" i="22" s="1"/>
  <c r="BO344" i="22" s="1"/>
  <c r="BQ344" i="22" s="1"/>
  <c r="BP344" i="22" s="1"/>
  <c r="BR344" i="22" s="1"/>
  <c r="A348" i="22"/>
  <c r="AJ347" i="22"/>
  <c r="AK346" i="22"/>
  <c r="AN230" i="17"/>
  <c r="AP230" i="17" s="1"/>
  <c r="AO230" i="17" s="1"/>
  <c r="AK230" i="17" s="1"/>
  <c r="C402" i="1"/>
  <c r="DZ177" i="8"/>
  <c r="DV178" i="8" s="1"/>
  <c r="HF168" i="8"/>
  <c r="HH168" i="8" s="1"/>
  <c r="HG168" i="8" s="1"/>
  <c r="HD168" i="8" s="1"/>
  <c r="HB168" i="8" s="1"/>
  <c r="BL214" i="22"/>
  <c r="HE168" i="8"/>
  <c r="FP169" i="8"/>
  <c r="FO169" i="8" s="1"/>
  <c r="BH36" i="8"/>
  <c r="W29" i="18"/>
  <c r="X29" i="18" s="1"/>
  <c r="IC25" i="8"/>
  <c r="IC26" i="8" s="1"/>
  <c r="HU23" i="8"/>
  <c r="HT23" i="8"/>
  <c r="HU18" i="8"/>
  <c r="HX1" i="8"/>
  <c r="HM24" i="8" s="1"/>
  <c r="HM25" i="8" s="1"/>
  <c r="HM26" i="8" s="1"/>
  <c r="BN344" i="22" l="1"/>
  <c r="BN345" i="22" s="1"/>
  <c r="BO345" i="22"/>
  <c r="BQ345" i="22" s="1"/>
  <c r="BP345" i="22" s="1"/>
  <c r="BR345" i="22" s="1"/>
  <c r="A349" i="22"/>
  <c r="AK347" i="22"/>
  <c r="AJ348" i="22"/>
  <c r="AI230" i="17"/>
  <c r="AH175" i="20"/>
  <c r="AF175" i="20" s="1"/>
  <c r="AQ230" i="17"/>
  <c r="AN231" i="17" s="1"/>
  <c r="AP231" i="17" s="1"/>
  <c r="AO231" i="17" s="1"/>
  <c r="AK231" i="17" s="1"/>
  <c r="C271" i="7"/>
  <c r="C270" i="18"/>
  <c r="DW178" i="8"/>
  <c r="DY178" i="8" s="1"/>
  <c r="DX178" i="8" s="1"/>
  <c r="DU178" i="8" s="1"/>
  <c r="DS178" i="8" s="1"/>
  <c r="HI168" i="8"/>
  <c r="HF169" i="8" s="1"/>
  <c r="BI215" i="22"/>
  <c r="BK215" i="22" s="1"/>
  <c r="BJ215" i="22" s="1"/>
  <c r="BG215" i="22" s="1"/>
  <c r="BD215" i="22" s="1"/>
  <c r="BH215" i="22"/>
  <c r="FL169" i="8"/>
  <c r="FJ169" i="8" s="1"/>
  <c r="FQ169" i="8"/>
  <c r="FN170" i="8" s="1"/>
  <c r="BH37" i="8"/>
  <c r="W30" i="18"/>
  <c r="HM27" i="8"/>
  <c r="IC27" i="8"/>
  <c r="BO346" i="22" l="1"/>
  <c r="BQ346" i="22" s="1"/>
  <c r="BP346" i="22" s="1"/>
  <c r="BR346" i="22" s="1"/>
  <c r="BN346" i="22"/>
  <c r="A350" i="22"/>
  <c r="AJ349" i="22"/>
  <c r="AK348" i="22"/>
  <c r="AI231" i="17"/>
  <c r="AH176" i="20"/>
  <c r="AF176" i="20" s="1"/>
  <c r="AL231" i="17"/>
  <c r="AQ231" i="17"/>
  <c r="DZ178" i="8"/>
  <c r="DW179" i="8" s="1"/>
  <c r="DY179" i="8" s="1"/>
  <c r="DX179" i="8" s="1"/>
  <c r="DU179" i="8" s="1"/>
  <c r="DS179" i="8" s="1"/>
  <c r="HE169" i="8"/>
  <c r="HH169" i="8"/>
  <c r="HG169" i="8" s="1"/>
  <c r="HD169" i="8" s="1"/>
  <c r="HB169" i="8" s="1"/>
  <c r="BL215" i="22"/>
  <c r="FM170" i="8"/>
  <c r="FP170" i="8"/>
  <c r="FO170" i="8" s="1"/>
  <c r="FQ170" i="8" s="1"/>
  <c r="FN171" i="8" s="1"/>
  <c r="BH38" i="8"/>
  <c r="W31" i="18"/>
  <c r="X31" i="18" s="1"/>
  <c r="IC28" i="8"/>
  <c r="HM28" i="8"/>
  <c r="BN347" i="22" l="1"/>
  <c r="BO347" i="22"/>
  <c r="BQ347" i="22" s="1"/>
  <c r="BP347" i="22" s="1"/>
  <c r="BR347" i="22" s="1"/>
  <c r="A351" i="22"/>
  <c r="AK349" i="22"/>
  <c r="AJ350" i="22"/>
  <c r="AL232" i="17"/>
  <c r="AN232" i="17"/>
  <c r="AP232" i="17" s="1"/>
  <c r="AO232" i="17" s="1"/>
  <c r="AK232" i="17" s="1"/>
  <c r="DV179" i="8"/>
  <c r="HI169" i="8"/>
  <c r="HF170" i="8" s="1"/>
  <c r="DZ179" i="8"/>
  <c r="DW180" i="8" s="1"/>
  <c r="DY180" i="8" s="1"/>
  <c r="DX180" i="8" s="1"/>
  <c r="DU180" i="8" s="1"/>
  <c r="DS180" i="8" s="1"/>
  <c r="BI216" i="22"/>
  <c r="BK216" i="22" s="1"/>
  <c r="BJ216" i="22" s="1"/>
  <c r="BH216" i="22"/>
  <c r="FL170" i="8"/>
  <c r="FJ170" i="8" s="1"/>
  <c r="FM171" i="8"/>
  <c r="FP171" i="8"/>
  <c r="FO171" i="8" s="1"/>
  <c r="BH39" i="8"/>
  <c r="W32" i="18"/>
  <c r="X32" i="18" s="1"/>
  <c r="HM29" i="8"/>
  <c r="IC29" i="8"/>
  <c r="BN348" i="22" l="1"/>
  <c r="BO348" i="22"/>
  <c r="BQ348" i="22" s="1"/>
  <c r="BP348" i="22" s="1"/>
  <c r="BR348" i="22" s="1"/>
  <c r="A352" i="22"/>
  <c r="AJ351" i="22"/>
  <c r="AK350" i="22"/>
  <c r="AI232" i="17"/>
  <c r="AH177" i="20"/>
  <c r="AF177" i="20" s="1"/>
  <c r="AQ232" i="17"/>
  <c r="HH170" i="8"/>
  <c r="HG170" i="8" s="1"/>
  <c r="HD170" i="8" s="1"/>
  <c r="HB170" i="8" s="1"/>
  <c r="HE170" i="8"/>
  <c r="DV180" i="8"/>
  <c r="DZ180" i="8"/>
  <c r="BG216" i="22"/>
  <c r="BD216" i="22" s="1"/>
  <c r="BL216" i="22"/>
  <c r="FL171" i="8"/>
  <c r="FJ171" i="8" s="1"/>
  <c r="FQ171" i="8"/>
  <c r="FN172" i="8" s="1"/>
  <c r="BH40" i="8"/>
  <c r="W33" i="18"/>
  <c r="X33" i="18" s="1"/>
  <c r="IC30" i="8"/>
  <c r="HM30" i="8"/>
  <c r="BO349" i="22" l="1"/>
  <c r="BQ349" i="22" s="1"/>
  <c r="BP349" i="22" s="1"/>
  <c r="BR349" i="22" s="1"/>
  <c r="BN349" i="22"/>
  <c r="A353" i="22"/>
  <c r="AK351" i="22"/>
  <c r="AJ352" i="22"/>
  <c r="AN233" i="17"/>
  <c r="AP233" i="17" s="1"/>
  <c r="AO233" i="17" s="1"/>
  <c r="AK233" i="17" s="1"/>
  <c r="AL233" i="17"/>
  <c r="HI170" i="8"/>
  <c r="HF171" i="8" s="1"/>
  <c r="DW181" i="8"/>
  <c r="DY181" i="8" s="1"/>
  <c r="DX181" i="8" s="1"/>
  <c r="DU181" i="8" s="1"/>
  <c r="DS181" i="8" s="1"/>
  <c r="DV181" i="8"/>
  <c r="BI217" i="22"/>
  <c r="BK217" i="22" s="1"/>
  <c r="BJ217" i="22" s="1"/>
  <c r="BG217" i="22" s="1"/>
  <c r="BD217" i="22" s="1"/>
  <c r="BH217" i="22"/>
  <c r="FP172" i="8"/>
  <c r="FO172" i="8" s="1"/>
  <c r="FL172" i="8" s="1"/>
  <c r="FJ172" i="8" s="1"/>
  <c r="FM172" i="8"/>
  <c r="BH41" i="8"/>
  <c r="W34" i="18"/>
  <c r="X34" i="18" s="1"/>
  <c r="IC31" i="8"/>
  <c r="HM31" i="8"/>
  <c r="BN350" i="22" l="1"/>
  <c r="BO350" i="22"/>
  <c r="BQ350" i="22" s="1"/>
  <c r="BP350" i="22" s="1"/>
  <c r="BR350" i="22" s="1"/>
  <c r="A354" i="22"/>
  <c r="AJ353" i="22"/>
  <c r="AK352" i="22"/>
  <c r="AI233" i="17"/>
  <c r="AH178" i="20"/>
  <c r="AF178" i="20" s="1"/>
  <c r="AQ233" i="17"/>
  <c r="AN234" i="17" s="1"/>
  <c r="AP234" i="17" s="1"/>
  <c r="AO234" i="17" s="1"/>
  <c r="HE171" i="8"/>
  <c r="HH171" i="8"/>
  <c r="HG171" i="8" s="1"/>
  <c r="HD171" i="8" s="1"/>
  <c r="HB171" i="8" s="1"/>
  <c r="DZ181" i="8"/>
  <c r="BL217" i="22"/>
  <c r="FQ172" i="8"/>
  <c r="FN173" i="8" s="1"/>
  <c r="BH42" i="8"/>
  <c r="W35" i="18"/>
  <c r="X35" i="18" s="1"/>
  <c r="IC32" i="8"/>
  <c r="HM32" i="8"/>
  <c r="BN351" i="22" l="1"/>
  <c r="BO351" i="22"/>
  <c r="BQ351" i="22" s="1"/>
  <c r="BP351" i="22" s="1"/>
  <c r="BR351" i="22" s="1"/>
  <c r="A355" i="22"/>
  <c r="AK353" i="22"/>
  <c r="AJ354" i="22"/>
  <c r="AL234" i="17"/>
  <c r="AK234" i="17"/>
  <c r="AQ234" i="17"/>
  <c r="HI171" i="8"/>
  <c r="HF172" i="8" s="1"/>
  <c r="HH172" i="8" s="1"/>
  <c r="HG172" i="8" s="1"/>
  <c r="HD172" i="8" s="1"/>
  <c r="HB172" i="8" s="1"/>
  <c r="DW182" i="8"/>
  <c r="DY182" i="8" s="1"/>
  <c r="DX182" i="8" s="1"/>
  <c r="DU182" i="8" s="1"/>
  <c r="DS182" i="8" s="1"/>
  <c r="DV182" i="8"/>
  <c r="BI218" i="22"/>
  <c r="BK218" i="22" s="1"/>
  <c r="BJ218" i="22" s="1"/>
  <c r="BH218" i="22"/>
  <c r="FP173" i="8"/>
  <c r="FO173" i="8" s="1"/>
  <c r="FL173" i="8" s="1"/>
  <c r="FJ173" i="8" s="1"/>
  <c r="FM173" i="8"/>
  <c r="BH43" i="8"/>
  <c r="W36" i="18"/>
  <c r="X36" i="18" s="1"/>
  <c r="IC33" i="8"/>
  <c r="HM33" i="8"/>
  <c r="BN352" i="22" l="1"/>
  <c r="BO352" i="22"/>
  <c r="BQ352" i="22" s="1"/>
  <c r="BP352" i="22" s="1"/>
  <c r="BR352" i="22" s="1"/>
  <c r="A356" i="22"/>
  <c r="AJ355" i="22"/>
  <c r="AK354" i="22"/>
  <c r="AI234" i="17"/>
  <c r="AH179" i="20"/>
  <c r="AF179" i="20" s="1"/>
  <c r="AL235" i="17"/>
  <c r="AN235" i="17"/>
  <c r="AP235" i="17" s="1"/>
  <c r="AO235" i="17" s="1"/>
  <c r="AK235" i="17" s="1"/>
  <c r="HE172" i="8"/>
  <c r="DZ182" i="8"/>
  <c r="BG218" i="22"/>
  <c r="BD218" i="22" s="1"/>
  <c r="BL218" i="22"/>
  <c r="HI172" i="8"/>
  <c r="FQ173" i="8"/>
  <c r="FN174" i="8" s="1"/>
  <c r="BH44" i="8"/>
  <c r="W37" i="18"/>
  <c r="X37" i="18" s="1"/>
  <c r="IC34" i="8"/>
  <c r="HM34" i="8"/>
  <c r="BN353" i="22" l="1"/>
  <c r="BO353" i="22"/>
  <c r="BQ353" i="22" s="1"/>
  <c r="BP353" i="22" s="1"/>
  <c r="BR353" i="22" s="1"/>
  <c r="A357" i="22"/>
  <c r="AK355" i="22"/>
  <c r="AJ356" i="22"/>
  <c r="AI235" i="17"/>
  <c r="AH180" i="20"/>
  <c r="AF180" i="20" s="1"/>
  <c r="AQ235" i="17"/>
  <c r="HE173" i="8"/>
  <c r="HF173" i="8"/>
  <c r="HH173" i="8" s="1"/>
  <c r="HG173" i="8" s="1"/>
  <c r="HD173" i="8" s="1"/>
  <c r="HB173" i="8" s="1"/>
  <c r="DW183" i="8"/>
  <c r="DY183" i="8" s="1"/>
  <c r="DX183" i="8" s="1"/>
  <c r="DU183" i="8" s="1"/>
  <c r="DS183" i="8" s="1"/>
  <c r="DV183" i="8"/>
  <c r="BI219" i="22"/>
  <c r="BK219" i="22" s="1"/>
  <c r="BJ219" i="22" s="1"/>
  <c r="BG219" i="22" s="1"/>
  <c r="BD219" i="22" s="1"/>
  <c r="BH219" i="22"/>
  <c r="FM174" i="8"/>
  <c r="FP174" i="8"/>
  <c r="FO174" i="8" s="1"/>
  <c r="BH45" i="8"/>
  <c r="W38" i="18"/>
  <c r="X38" i="18" s="1"/>
  <c r="HM35" i="8"/>
  <c r="IC35" i="8"/>
  <c r="BO354" i="22" l="1"/>
  <c r="BQ354" i="22" s="1"/>
  <c r="BP354" i="22" s="1"/>
  <c r="BR354" i="22" s="1"/>
  <c r="BN354" i="22"/>
  <c r="A358" i="22"/>
  <c r="AK356" i="22"/>
  <c r="AJ357" i="22"/>
  <c r="AN236" i="17"/>
  <c r="AP236" i="17" s="1"/>
  <c r="AO236" i="17" s="1"/>
  <c r="AL236" i="17"/>
  <c r="DZ183" i="8"/>
  <c r="BL219" i="22"/>
  <c r="HI173" i="8"/>
  <c r="FL174" i="8"/>
  <c r="FJ174" i="8" s="1"/>
  <c r="FQ174" i="8"/>
  <c r="FN175" i="8" s="1"/>
  <c r="BH46" i="8"/>
  <c r="W39" i="18"/>
  <c r="X39" i="18" s="1"/>
  <c r="IC36" i="8"/>
  <c r="HM36" i="8"/>
  <c r="BN355" i="22" l="1"/>
  <c r="BO355" i="22"/>
  <c r="BQ355" i="22" s="1"/>
  <c r="BP355" i="22" s="1"/>
  <c r="BR355" i="22" s="1"/>
  <c r="A359" i="22"/>
  <c r="AK357" i="22"/>
  <c r="AJ358" i="22"/>
  <c r="AK236" i="17"/>
  <c r="AQ236" i="17"/>
  <c r="HE174" i="8"/>
  <c r="HF174" i="8"/>
  <c r="HH174" i="8" s="1"/>
  <c r="HG174" i="8" s="1"/>
  <c r="HD174" i="8" s="1"/>
  <c r="HB174" i="8" s="1"/>
  <c r="DW184" i="8"/>
  <c r="DY184" i="8" s="1"/>
  <c r="DX184" i="8" s="1"/>
  <c r="DU184" i="8" s="1"/>
  <c r="DS184" i="8" s="1"/>
  <c r="DV184" i="8"/>
  <c r="BI220" i="22"/>
  <c r="BK220" i="22" s="1"/>
  <c r="BJ220" i="22" s="1"/>
  <c r="BG220" i="22" s="1"/>
  <c r="BD220" i="22" s="1"/>
  <c r="BH220" i="22"/>
  <c r="FP175" i="8"/>
  <c r="FO175" i="8" s="1"/>
  <c r="FM175" i="8"/>
  <c r="BH47" i="8"/>
  <c r="W40" i="18"/>
  <c r="X40" i="18" s="1"/>
  <c r="HM37" i="8"/>
  <c r="IC37" i="8"/>
  <c r="BN356" i="22" l="1"/>
  <c r="BO356" i="22"/>
  <c r="BQ356" i="22" s="1"/>
  <c r="BP356" i="22" s="1"/>
  <c r="BR356" i="22" s="1"/>
  <c r="A360" i="22"/>
  <c r="AJ359" i="22"/>
  <c r="AK358" i="22"/>
  <c r="AI236" i="17"/>
  <c r="AH181" i="20"/>
  <c r="AF181" i="20" s="1"/>
  <c r="AN237" i="17"/>
  <c r="AP237" i="17" s="1"/>
  <c r="AO237" i="17" s="1"/>
  <c r="AL237" i="17"/>
  <c r="DZ184" i="8"/>
  <c r="BL220" i="22"/>
  <c r="HI174" i="8"/>
  <c r="FL175" i="8"/>
  <c r="FJ175" i="8" s="1"/>
  <c r="FQ175" i="8"/>
  <c r="FN176" i="8" s="1"/>
  <c r="BH48" i="8"/>
  <c r="W41" i="18"/>
  <c r="X41" i="18" s="1"/>
  <c r="IC38" i="8"/>
  <c r="HM38" i="8"/>
  <c r="BN357" i="22" l="1"/>
  <c r="BO357" i="22"/>
  <c r="BQ357" i="22" s="1"/>
  <c r="BP357" i="22" s="1"/>
  <c r="BR357" i="22" s="1"/>
  <c r="A361" i="22"/>
  <c r="AK359" i="22"/>
  <c r="AJ360" i="22"/>
  <c r="AK237" i="17"/>
  <c r="AQ237" i="17"/>
  <c r="HE175" i="8"/>
  <c r="HF175" i="8"/>
  <c r="HH175" i="8" s="1"/>
  <c r="HG175" i="8" s="1"/>
  <c r="HD175" i="8" s="1"/>
  <c r="HB175" i="8" s="1"/>
  <c r="DW185" i="8"/>
  <c r="DY185" i="8" s="1"/>
  <c r="DX185" i="8" s="1"/>
  <c r="DU185" i="8" s="1"/>
  <c r="DS185" i="8" s="1"/>
  <c r="DV185" i="8"/>
  <c r="BI221" i="22"/>
  <c r="BK221" i="22" s="1"/>
  <c r="BJ221" i="22" s="1"/>
  <c r="BH221" i="22"/>
  <c r="FP176" i="8"/>
  <c r="FO176" i="8" s="1"/>
  <c r="FL176" i="8" s="1"/>
  <c r="FJ176" i="8" s="1"/>
  <c r="FM176" i="8"/>
  <c r="BH49" i="8"/>
  <c r="W42" i="18"/>
  <c r="HM39" i="8"/>
  <c r="IC39" i="8"/>
  <c r="BN358" i="22" l="1"/>
  <c r="BO358" i="22"/>
  <c r="BQ358" i="22" s="1"/>
  <c r="BP358" i="22" s="1"/>
  <c r="BR358" i="22" s="1"/>
  <c r="A362" i="22"/>
  <c r="AK360" i="22"/>
  <c r="AJ361" i="22"/>
  <c r="AI237" i="17"/>
  <c r="AH182" i="20"/>
  <c r="AF182" i="20" s="1"/>
  <c r="AN238" i="17"/>
  <c r="AP238" i="17" s="1"/>
  <c r="AO238" i="17" s="1"/>
  <c r="AL238" i="17"/>
  <c r="DZ185" i="8"/>
  <c r="BG221" i="22"/>
  <c r="BD221" i="22" s="1"/>
  <c r="BL221" i="22"/>
  <c r="HI175" i="8"/>
  <c r="FQ176" i="8"/>
  <c r="FN177" i="8" s="1"/>
  <c r="BH50" i="8"/>
  <c r="W43" i="18"/>
  <c r="X43" i="18" s="1"/>
  <c r="IC40" i="8"/>
  <c r="HM40" i="8"/>
  <c r="BN359" i="22" l="1"/>
  <c r="BO359" i="22"/>
  <c r="BQ359" i="22" s="1"/>
  <c r="BP359" i="22" s="1"/>
  <c r="BR359" i="22" s="1"/>
  <c r="A363" i="22"/>
  <c r="AJ362" i="22"/>
  <c r="AK361" i="22"/>
  <c r="AQ238" i="17"/>
  <c r="AK238" i="17"/>
  <c r="HF176" i="8"/>
  <c r="HH176" i="8" s="1"/>
  <c r="HG176" i="8" s="1"/>
  <c r="HD176" i="8" s="1"/>
  <c r="HB176" i="8" s="1"/>
  <c r="DW186" i="8"/>
  <c r="DY186" i="8" s="1"/>
  <c r="DX186" i="8" s="1"/>
  <c r="DU186" i="8" s="1"/>
  <c r="DS186" i="8" s="1"/>
  <c r="DV186" i="8"/>
  <c r="BI222" i="22"/>
  <c r="BK222" i="22" s="1"/>
  <c r="BJ222" i="22" s="1"/>
  <c r="BH222" i="22"/>
  <c r="HE176" i="8"/>
  <c r="FM177" i="8"/>
  <c r="FP177" i="8"/>
  <c r="FO177" i="8" s="1"/>
  <c r="FL177" i="8" s="1"/>
  <c r="FJ177" i="8" s="1"/>
  <c r="BH51" i="8"/>
  <c r="W44" i="18"/>
  <c r="X44" i="18" s="1"/>
  <c r="IC41" i="8"/>
  <c r="HM41" i="8"/>
  <c r="BN360" i="22" l="1"/>
  <c r="BO360" i="22"/>
  <c r="BQ360" i="22" s="1"/>
  <c r="BP360" i="22" s="1"/>
  <c r="BR360" i="22" s="1"/>
  <c r="A364" i="22"/>
  <c r="AJ363" i="22"/>
  <c r="AK362" i="22"/>
  <c r="AI238" i="17"/>
  <c r="AH183" i="20"/>
  <c r="AF183" i="20" s="1"/>
  <c r="AN239" i="17"/>
  <c r="AP239" i="17" s="1"/>
  <c r="AO239" i="17" s="1"/>
  <c r="AL239" i="17"/>
  <c r="HI176" i="8"/>
  <c r="HF177" i="8" s="1"/>
  <c r="DZ186" i="8"/>
  <c r="BG222" i="22"/>
  <c r="BD222" i="22" s="1"/>
  <c r="BL222" i="22"/>
  <c r="FQ177" i="8"/>
  <c r="FN178" i="8" s="1"/>
  <c r="BH52" i="8"/>
  <c r="W45" i="18"/>
  <c r="X45" i="18" s="1"/>
  <c r="HM42" i="8"/>
  <c r="IC42" i="8"/>
  <c r="BN361" i="22" l="1"/>
  <c r="BO361" i="22"/>
  <c r="BQ361" i="22" s="1"/>
  <c r="BP361" i="22" s="1"/>
  <c r="BR361" i="22" s="1"/>
  <c r="A365" i="22"/>
  <c r="AK363" i="22"/>
  <c r="AJ364" i="22"/>
  <c r="AK239" i="17"/>
  <c r="AQ239" i="17"/>
  <c r="HH177" i="8"/>
  <c r="HG177" i="8" s="1"/>
  <c r="HD177" i="8" s="1"/>
  <c r="HB177" i="8" s="1"/>
  <c r="HE177" i="8"/>
  <c r="DW187" i="8"/>
  <c r="DY187" i="8" s="1"/>
  <c r="DX187" i="8" s="1"/>
  <c r="DU187" i="8" s="1"/>
  <c r="DS187" i="8" s="1"/>
  <c r="DV187" i="8"/>
  <c r="BI223" i="22"/>
  <c r="BK223" i="22" s="1"/>
  <c r="BJ223" i="22" s="1"/>
  <c r="BH223" i="22"/>
  <c r="FM178" i="8"/>
  <c r="FP178" i="8"/>
  <c r="FO178" i="8" s="1"/>
  <c r="BH53" i="8"/>
  <c r="W46" i="18"/>
  <c r="X46" i="18" s="1"/>
  <c r="IC43" i="8"/>
  <c r="HM43" i="8"/>
  <c r="BO362" i="22" l="1"/>
  <c r="BQ362" i="22" s="1"/>
  <c r="BP362" i="22" s="1"/>
  <c r="BR362" i="22" s="1"/>
  <c r="BN362" i="22"/>
  <c r="AK364" i="22"/>
  <c r="AJ365" i="22"/>
  <c r="AK365" i="22" s="1"/>
  <c r="AI239" i="17"/>
  <c r="AH184" i="20"/>
  <c r="AF184" i="20" s="1"/>
  <c r="AL240" i="17"/>
  <c r="AN240" i="17"/>
  <c r="AP240" i="17" s="1"/>
  <c r="AO240" i="17" s="1"/>
  <c r="HI177" i="8"/>
  <c r="HF178" i="8" s="1"/>
  <c r="DZ187" i="8"/>
  <c r="BG223" i="22"/>
  <c r="BD223" i="22" s="1"/>
  <c r="BL223" i="22"/>
  <c r="FL178" i="8"/>
  <c r="FJ178" i="8" s="1"/>
  <c r="FQ178" i="8"/>
  <c r="FN179" i="8" s="1"/>
  <c r="BH54" i="8"/>
  <c r="W47" i="18"/>
  <c r="X47" i="18" s="1"/>
  <c r="IC44" i="8"/>
  <c r="HM44" i="8"/>
  <c r="BN363" i="22" l="1"/>
  <c r="BO363" i="22"/>
  <c r="BQ363" i="22" s="1"/>
  <c r="BP363" i="22" s="1"/>
  <c r="BR363" i="22" s="1"/>
  <c r="AK240" i="17"/>
  <c r="AQ240" i="17"/>
  <c r="HE178" i="8"/>
  <c r="HH178" i="8"/>
  <c r="HG178" i="8" s="1"/>
  <c r="HD178" i="8" s="1"/>
  <c r="HB178" i="8" s="1"/>
  <c r="DW188" i="8"/>
  <c r="DY188" i="8" s="1"/>
  <c r="DX188" i="8" s="1"/>
  <c r="DU188" i="8" s="1"/>
  <c r="DS188" i="8" s="1"/>
  <c r="DV188" i="8"/>
  <c r="BI224" i="22"/>
  <c r="BK224" i="22" s="1"/>
  <c r="BJ224" i="22" s="1"/>
  <c r="BH224" i="22"/>
  <c r="FP179" i="8"/>
  <c r="FO179" i="8" s="1"/>
  <c r="FL179" i="8" s="1"/>
  <c r="FJ179" i="8" s="1"/>
  <c r="FM179" i="8"/>
  <c r="BH55" i="8"/>
  <c r="W48" i="18"/>
  <c r="X48" i="18" s="1"/>
  <c r="HM45" i="8"/>
  <c r="IC45" i="8"/>
  <c r="BN364" i="22" l="1"/>
  <c r="BO364" i="22"/>
  <c r="BQ364" i="22" s="1"/>
  <c r="BP364" i="22" s="1"/>
  <c r="BR364" i="22" s="1"/>
  <c r="AI240" i="17"/>
  <c r="AH185" i="20"/>
  <c r="AF185" i="20" s="1"/>
  <c r="AN241" i="17"/>
  <c r="AP241" i="17" s="1"/>
  <c r="AO241" i="17" s="1"/>
  <c r="AL241" i="17"/>
  <c r="HI178" i="8"/>
  <c r="HF179" i="8" s="1"/>
  <c r="DZ188" i="8"/>
  <c r="BG224" i="22"/>
  <c r="BD224" i="22" s="1"/>
  <c r="BL224" i="22"/>
  <c r="FQ179" i="8"/>
  <c r="FN180" i="8" s="1"/>
  <c r="BH56" i="8"/>
  <c r="W49" i="18"/>
  <c r="X49" i="18" s="1"/>
  <c r="IC46" i="8"/>
  <c r="HM46" i="8"/>
  <c r="BN365" i="22" l="1"/>
  <c r="BO365" i="22"/>
  <c r="BQ365" i="22" s="1"/>
  <c r="BP365" i="22" s="1"/>
  <c r="BR365" i="22" s="1"/>
  <c r="AQ241" i="17"/>
  <c r="AK241" i="17"/>
  <c r="HE179" i="8"/>
  <c r="HH179" i="8"/>
  <c r="HG179" i="8" s="1"/>
  <c r="HD179" i="8" s="1"/>
  <c r="HB179" i="8" s="1"/>
  <c r="DW189" i="8"/>
  <c r="DY189" i="8" s="1"/>
  <c r="DX189" i="8" s="1"/>
  <c r="DV189" i="8"/>
  <c r="BI225" i="22"/>
  <c r="BK225" i="22" s="1"/>
  <c r="BJ225" i="22" s="1"/>
  <c r="BH225" i="22"/>
  <c r="FP180" i="8"/>
  <c r="FO180" i="8" s="1"/>
  <c r="FM180" i="8"/>
  <c r="BH57" i="8"/>
  <c r="W50" i="18"/>
  <c r="X50" i="18" s="1"/>
  <c r="HM47" i="8"/>
  <c r="IC47" i="8"/>
  <c r="AI241" i="17" l="1"/>
  <c r="AH186" i="20"/>
  <c r="AF186" i="20" s="1"/>
  <c r="AL242" i="17"/>
  <c r="AN242" i="17"/>
  <c r="AP242" i="17" s="1"/>
  <c r="AO242" i="17" s="1"/>
  <c r="HI179" i="8"/>
  <c r="HF180" i="8" s="1"/>
  <c r="DU189" i="8"/>
  <c r="DS189" i="8" s="1"/>
  <c r="DZ189" i="8"/>
  <c r="BG225" i="22"/>
  <c r="BD225" i="22" s="1"/>
  <c r="BL225" i="22"/>
  <c r="FL180" i="8"/>
  <c r="FJ180" i="8" s="1"/>
  <c r="FQ180" i="8"/>
  <c r="FN181" i="8" s="1"/>
  <c r="BH58" i="8"/>
  <c r="W51" i="18"/>
  <c r="X51" i="18" s="1"/>
  <c r="HM48" i="8"/>
  <c r="IC48" i="8"/>
  <c r="AK242" i="17" l="1"/>
  <c r="AQ242" i="17"/>
  <c r="HH180" i="8"/>
  <c r="HG180" i="8" s="1"/>
  <c r="HD180" i="8" s="1"/>
  <c r="HB180" i="8" s="1"/>
  <c r="HE180" i="8"/>
  <c r="DW190" i="8"/>
  <c r="DY190" i="8" s="1"/>
  <c r="DX190" i="8" s="1"/>
  <c r="DU190" i="8" s="1"/>
  <c r="DS190" i="8" s="1"/>
  <c r="DV190" i="8"/>
  <c r="BI226" i="22"/>
  <c r="BK226" i="22" s="1"/>
  <c r="BJ226" i="22" s="1"/>
  <c r="BG226" i="22" s="1"/>
  <c r="BD226" i="22" s="1"/>
  <c r="BH226" i="22"/>
  <c r="FP181" i="8"/>
  <c r="FM181" i="8"/>
  <c r="BH59" i="8"/>
  <c r="W52" i="18"/>
  <c r="X52" i="18" s="1"/>
  <c r="IC49" i="8"/>
  <c r="HM49" i="8"/>
  <c r="AI242" i="17" l="1"/>
  <c r="AH187" i="20"/>
  <c r="AF187" i="20" s="1"/>
  <c r="AN243" i="17"/>
  <c r="AP243" i="17" s="1"/>
  <c r="AO243" i="17" s="1"/>
  <c r="AK243" i="17" s="1"/>
  <c r="AL243" i="17"/>
  <c r="HI180" i="8"/>
  <c r="HE181" i="8" s="1"/>
  <c r="DZ190" i="8"/>
  <c r="BL226" i="22"/>
  <c r="FO181" i="8"/>
  <c r="FL181" i="8" s="1"/>
  <c r="FJ181" i="8" s="1"/>
  <c r="BH60" i="8"/>
  <c r="W53" i="18"/>
  <c r="X53" i="18" s="1"/>
  <c r="HM50" i="8"/>
  <c r="IC50" i="8"/>
  <c r="AI243" i="17" l="1"/>
  <c r="AH188" i="20"/>
  <c r="AF188" i="20" s="1"/>
  <c r="AQ243" i="17"/>
  <c r="AN244" i="17" s="1"/>
  <c r="AP244" i="17" s="1"/>
  <c r="AO244" i="17" s="1"/>
  <c r="AK244" i="17" s="1"/>
  <c r="HF181" i="8"/>
  <c r="HH181" i="8" s="1"/>
  <c r="HG181" i="8" s="1"/>
  <c r="HD181" i="8" s="1"/>
  <c r="HB181" i="8" s="1"/>
  <c r="DW191" i="8"/>
  <c r="DY191" i="8" s="1"/>
  <c r="DX191" i="8" s="1"/>
  <c r="DV191" i="8"/>
  <c r="BI227" i="22"/>
  <c r="BK227" i="22" s="1"/>
  <c r="BJ227" i="22" s="1"/>
  <c r="BH227" i="22"/>
  <c r="FQ181" i="8"/>
  <c r="FN182" i="8" s="1"/>
  <c r="BH61" i="8"/>
  <c r="W54" i="18"/>
  <c r="IC51" i="8"/>
  <c r="HM51" i="8"/>
  <c r="AI244" i="17" l="1"/>
  <c r="AH189" i="20"/>
  <c r="AF189" i="20" s="1"/>
  <c r="AL244" i="17"/>
  <c r="AQ244" i="17"/>
  <c r="HI181" i="8"/>
  <c r="HF182" i="8" s="1"/>
  <c r="HH182" i="8" s="1"/>
  <c r="HG182" i="8" s="1"/>
  <c r="HD182" i="8" s="1"/>
  <c r="HB182" i="8" s="1"/>
  <c r="DU191" i="8"/>
  <c r="DS191" i="8" s="1"/>
  <c r="DZ191" i="8"/>
  <c r="BG227" i="22"/>
  <c r="BD227" i="22" s="1"/>
  <c r="BL227" i="22"/>
  <c r="FM182" i="8"/>
  <c r="FP182" i="8"/>
  <c r="FO182" i="8" s="1"/>
  <c r="FQ182" i="8" s="1"/>
  <c r="FN183" i="8" s="1"/>
  <c r="BH62" i="8"/>
  <c r="W55" i="18"/>
  <c r="X55" i="18" s="1"/>
  <c r="IC52" i="8"/>
  <c r="HM52" i="8"/>
  <c r="AN245" i="17" l="1"/>
  <c r="AP245" i="17" s="1"/>
  <c r="AO245" i="17" s="1"/>
  <c r="AK245" i="17" s="1"/>
  <c r="AL245" i="17"/>
  <c r="HE182" i="8"/>
  <c r="HI182" i="8"/>
  <c r="HF183" i="8" s="1"/>
  <c r="HH183" i="8" s="1"/>
  <c r="HG183" i="8" s="1"/>
  <c r="DW192" i="8"/>
  <c r="DY192" i="8" s="1"/>
  <c r="DX192" i="8" s="1"/>
  <c r="DU192" i="8" s="1"/>
  <c r="DS192" i="8" s="1"/>
  <c r="DV192" i="8"/>
  <c r="BI228" i="22"/>
  <c r="BK228" i="22" s="1"/>
  <c r="BJ228" i="22" s="1"/>
  <c r="BH228" i="22"/>
  <c r="FL182" i="8"/>
  <c r="FJ182" i="8" s="1"/>
  <c r="FM183" i="8"/>
  <c r="FP183" i="8"/>
  <c r="FO183" i="8" s="1"/>
  <c r="BH63" i="8"/>
  <c r="W56" i="18"/>
  <c r="X56" i="18" s="1"/>
  <c r="HM53" i="8"/>
  <c r="IC53" i="8"/>
  <c r="AI245" i="17" l="1"/>
  <c r="AH190" i="20"/>
  <c r="AF190" i="20" s="1"/>
  <c r="AQ245" i="17"/>
  <c r="AL246" i="17" s="1"/>
  <c r="HE183" i="8"/>
  <c r="DZ192" i="8"/>
  <c r="DW193" i="8" s="1"/>
  <c r="DY193" i="8" s="1"/>
  <c r="DX193" i="8" s="1"/>
  <c r="DU193" i="8" s="1"/>
  <c r="DS193" i="8" s="1"/>
  <c r="BG228" i="22"/>
  <c r="BD228" i="22" s="1"/>
  <c r="BL228" i="22"/>
  <c r="HD183" i="8"/>
  <c r="HB183" i="8" s="1"/>
  <c r="HI183" i="8"/>
  <c r="HF184" i="8" s="1"/>
  <c r="FL183" i="8"/>
  <c r="FJ183" i="8" s="1"/>
  <c r="FQ183" i="8"/>
  <c r="FN184" i="8" s="1"/>
  <c r="BH64" i="8"/>
  <c r="W57" i="18"/>
  <c r="X57" i="18" s="1"/>
  <c r="IC54" i="8"/>
  <c r="HM54" i="8"/>
  <c r="AN246" i="17" l="1"/>
  <c r="AP246" i="17" s="1"/>
  <c r="AO246" i="17" s="1"/>
  <c r="AQ246" i="17" s="1"/>
  <c r="DV193" i="8"/>
  <c r="DZ193" i="8"/>
  <c r="DW194" i="8" s="1"/>
  <c r="DY194" i="8" s="1"/>
  <c r="DX194" i="8" s="1"/>
  <c r="DU194" i="8" s="1"/>
  <c r="DS194" i="8" s="1"/>
  <c r="BI229" i="22"/>
  <c r="BK229" i="22" s="1"/>
  <c r="BJ229" i="22" s="1"/>
  <c r="BH229" i="22"/>
  <c r="HH184" i="8"/>
  <c r="HG184" i="8" s="1"/>
  <c r="HE184" i="8"/>
  <c r="FM184" i="8"/>
  <c r="FP184" i="8"/>
  <c r="FO184" i="8" s="1"/>
  <c r="FL184" i="8" s="1"/>
  <c r="FJ184" i="8" s="1"/>
  <c r="BH65" i="8"/>
  <c r="W58" i="18"/>
  <c r="X58" i="18" s="1"/>
  <c r="IC55" i="8"/>
  <c r="HM55" i="8"/>
  <c r="AK246" i="17" l="1"/>
  <c r="AL247" i="17"/>
  <c r="AN247" i="17"/>
  <c r="AP247" i="17" s="1"/>
  <c r="AO247" i="17" s="1"/>
  <c r="DV194" i="8"/>
  <c r="BG229" i="22"/>
  <c r="BD229" i="22" s="1"/>
  <c r="BL229" i="22"/>
  <c r="BH230" i="22" s="1"/>
  <c r="HD184" i="8"/>
  <c r="HB184" i="8" s="1"/>
  <c r="HI184" i="8"/>
  <c r="HF185" i="8" s="1"/>
  <c r="FQ184" i="8"/>
  <c r="FN185" i="8" s="1"/>
  <c r="DZ194" i="8"/>
  <c r="DW195" i="8" s="1"/>
  <c r="BH66" i="8"/>
  <c r="W59" i="18"/>
  <c r="X59" i="18" s="1"/>
  <c r="HM56" i="8"/>
  <c r="IC56" i="8"/>
  <c r="AI246" i="17" l="1"/>
  <c r="AH191" i="20"/>
  <c r="AF191" i="20" s="1"/>
  <c r="AK247" i="17"/>
  <c r="AQ247" i="17"/>
  <c r="BI230" i="22"/>
  <c r="BK230" i="22" s="1"/>
  <c r="BJ230" i="22" s="1"/>
  <c r="BG230" i="22" s="1"/>
  <c r="BD230" i="22" s="1"/>
  <c r="HE185" i="8"/>
  <c r="HH185" i="8"/>
  <c r="HG185" i="8" s="1"/>
  <c r="HD185" i="8" s="1"/>
  <c r="HB185" i="8" s="1"/>
  <c r="FP185" i="8"/>
  <c r="FO185" i="8" s="1"/>
  <c r="FL185" i="8" s="1"/>
  <c r="FJ185" i="8" s="1"/>
  <c r="FM185" i="8"/>
  <c r="DY195" i="8"/>
  <c r="DX195" i="8" s="1"/>
  <c r="DU195" i="8" s="1"/>
  <c r="DS195" i="8" s="1"/>
  <c r="DV195" i="8"/>
  <c r="BH67" i="8"/>
  <c r="W60" i="18"/>
  <c r="X60" i="18" s="1"/>
  <c r="IC57" i="8"/>
  <c r="HM57" i="8"/>
  <c r="AI247" i="17" l="1"/>
  <c r="AH192" i="20"/>
  <c r="AF192" i="20" s="1"/>
  <c r="AN248" i="17"/>
  <c r="AP248" i="17" s="1"/>
  <c r="AO248" i="17" s="1"/>
  <c r="AK248" i="17" s="1"/>
  <c r="AL248" i="17"/>
  <c r="BL230" i="22"/>
  <c r="BH231" i="22" s="1"/>
  <c r="HI185" i="8"/>
  <c r="HF186" i="8" s="1"/>
  <c r="FQ185" i="8"/>
  <c r="FN186" i="8" s="1"/>
  <c r="DZ195" i="8"/>
  <c r="DW196" i="8" s="1"/>
  <c r="BH68" i="8"/>
  <c r="W61" i="18"/>
  <c r="X61" i="18" s="1"/>
  <c r="IC58" i="8"/>
  <c r="HM58" i="8"/>
  <c r="AI248" i="17" l="1"/>
  <c r="AH193" i="20"/>
  <c r="AF193" i="20" s="1"/>
  <c r="AQ248" i="17"/>
  <c r="AL249" i="17" s="1"/>
  <c r="BI231" i="22"/>
  <c r="BK231" i="22" s="1"/>
  <c r="BJ231" i="22" s="1"/>
  <c r="BG231" i="22" s="1"/>
  <c r="BD231" i="22" s="1"/>
  <c r="HE186" i="8"/>
  <c r="HH186" i="8"/>
  <c r="HG186" i="8" s="1"/>
  <c r="HD186" i="8" s="1"/>
  <c r="HB186" i="8" s="1"/>
  <c r="FM186" i="8"/>
  <c r="FP186" i="8"/>
  <c r="FO186" i="8" s="1"/>
  <c r="FL186" i="8" s="1"/>
  <c r="FJ186" i="8" s="1"/>
  <c r="DV196" i="8"/>
  <c r="DY196" i="8"/>
  <c r="DX196" i="8" s="1"/>
  <c r="DU196" i="8" s="1"/>
  <c r="DS196" i="8" s="1"/>
  <c r="BH69" i="8"/>
  <c r="W62" i="18"/>
  <c r="X62" i="18" s="1"/>
  <c r="HM59" i="8"/>
  <c r="IC59" i="8"/>
  <c r="AN249" i="17" l="1"/>
  <c r="AP249" i="17" s="1"/>
  <c r="AO249" i="17" s="1"/>
  <c r="AK249" i="17" s="1"/>
  <c r="BL231" i="22"/>
  <c r="BH232" i="22" s="1"/>
  <c r="HI186" i="8"/>
  <c r="HF187" i="8" s="1"/>
  <c r="FQ186" i="8"/>
  <c r="FN187" i="8" s="1"/>
  <c r="DZ196" i="8"/>
  <c r="DW197" i="8" s="1"/>
  <c r="BH70" i="8"/>
  <c r="W63" i="18"/>
  <c r="X63" i="18" s="1"/>
  <c r="IC60" i="8"/>
  <c r="HM60" i="8"/>
  <c r="AI249" i="17" l="1"/>
  <c r="AH194" i="20"/>
  <c r="AF194" i="20" s="1"/>
  <c r="AQ249" i="17"/>
  <c r="AN250" i="17" s="1"/>
  <c r="AP250" i="17" s="1"/>
  <c r="AO250" i="17" s="1"/>
  <c r="BI232" i="22"/>
  <c r="BK232" i="22" s="1"/>
  <c r="BJ232" i="22" s="1"/>
  <c r="BG232" i="22" s="1"/>
  <c r="BD232" i="22" s="1"/>
  <c r="HE187" i="8"/>
  <c r="HH187" i="8"/>
  <c r="HG187" i="8" s="1"/>
  <c r="HD187" i="8" s="1"/>
  <c r="HB187" i="8" s="1"/>
  <c r="FM187" i="8"/>
  <c r="FP187" i="8"/>
  <c r="FO187" i="8" s="1"/>
  <c r="FL187" i="8" s="1"/>
  <c r="FJ187" i="8" s="1"/>
  <c r="DY197" i="8"/>
  <c r="DX197" i="8" s="1"/>
  <c r="DU197" i="8" s="1"/>
  <c r="DS197" i="8" s="1"/>
  <c r="DV197" i="8"/>
  <c r="BH71" i="8"/>
  <c r="W64" i="18"/>
  <c r="X64" i="18" s="1"/>
  <c r="IC61" i="8"/>
  <c r="HM61" i="8"/>
  <c r="AL250" i="17" l="1"/>
  <c r="AK250" i="17"/>
  <c r="AQ250" i="17"/>
  <c r="BL232" i="22"/>
  <c r="BI233" i="22" s="1"/>
  <c r="BK233" i="22" s="1"/>
  <c r="BJ233" i="22" s="1"/>
  <c r="HI187" i="8"/>
  <c r="HF188" i="8" s="1"/>
  <c r="FQ187" i="8"/>
  <c r="FN188" i="8" s="1"/>
  <c r="DZ197" i="8"/>
  <c r="DW198" i="8" s="1"/>
  <c r="BH72" i="8"/>
  <c r="W65" i="18"/>
  <c r="X65" i="18" s="1"/>
  <c r="HM62" i="8"/>
  <c r="IC62" i="8"/>
  <c r="AI250" i="17" l="1"/>
  <c r="AH195" i="20"/>
  <c r="AF195" i="20" s="1"/>
  <c r="AN251" i="17"/>
  <c r="AP251" i="17" s="1"/>
  <c r="AO251" i="17" s="1"/>
  <c r="AK251" i="17" s="1"/>
  <c r="AL251" i="17"/>
  <c r="BH233" i="22"/>
  <c r="BG233" i="22"/>
  <c r="BD233" i="22" s="1"/>
  <c r="BL233" i="22"/>
  <c r="HH188" i="8"/>
  <c r="HG188" i="8" s="1"/>
  <c r="HD188" i="8" s="1"/>
  <c r="HB188" i="8" s="1"/>
  <c r="HE188" i="8"/>
  <c r="FP188" i="8"/>
  <c r="FO188" i="8" s="1"/>
  <c r="FL188" i="8" s="1"/>
  <c r="FJ188" i="8" s="1"/>
  <c r="FM188" i="8"/>
  <c r="DV198" i="8"/>
  <c r="DY198" i="8"/>
  <c r="DX198" i="8" s="1"/>
  <c r="DU198" i="8" s="1"/>
  <c r="DS198" i="8" s="1"/>
  <c r="BH73" i="8"/>
  <c r="W66" i="18"/>
  <c r="IC63" i="8"/>
  <c r="HM63" i="8"/>
  <c r="AI251" i="17" l="1"/>
  <c r="AH196" i="20"/>
  <c r="AF196" i="20" s="1"/>
  <c r="AQ251" i="17"/>
  <c r="AL252" i="17" s="1"/>
  <c r="BI234" i="22"/>
  <c r="BK234" i="22" s="1"/>
  <c r="BJ234" i="22" s="1"/>
  <c r="BG234" i="22" s="1"/>
  <c r="BD234" i="22" s="1"/>
  <c r="BH234" i="22"/>
  <c r="HI188" i="8"/>
  <c r="FQ188" i="8"/>
  <c r="FN189" i="8" s="1"/>
  <c r="DZ198" i="8"/>
  <c r="DW199" i="8" s="1"/>
  <c r="BH74" i="8"/>
  <c r="W67" i="18"/>
  <c r="X67" i="18" s="1"/>
  <c r="IC64" i="8"/>
  <c r="HM64" i="8"/>
  <c r="AN252" i="17" l="1"/>
  <c r="AP252" i="17" s="1"/>
  <c r="AO252" i="17" s="1"/>
  <c r="AK252" i="17" s="1"/>
  <c r="HE189" i="8"/>
  <c r="HF189" i="8"/>
  <c r="HH189" i="8" s="1"/>
  <c r="HG189" i="8" s="1"/>
  <c r="HD189" i="8" s="1"/>
  <c r="HB189" i="8" s="1"/>
  <c r="BL234" i="22"/>
  <c r="FP189" i="8"/>
  <c r="FO189" i="8" s="1"/>
  <c r="FM189" i="8"/>
  <c r="DV199" i="8"/>
  <c r="DY199" i="8"/>
  <c r="DX199" i="8" s="1"/>
  <c r="DU199" i="8" s="1"/>
  <c r="DS199" i="8" s="1"/>
  <c r="BH75" i="8"/>
  <c r="W68" i="18"/>
  <c r="X68" i="18" s="1"/>
  <c r="HM65" i="8"/>
  <c r="IC65" i="8"/>
  <c r="AI252" i="17" l="1"/>
  <c r="AH197" i="20"/>
  <c r="AF197" i="20" s="1"/>
  <c r="AQ252" i="17"/>
  <c r="AN253" i="17" s="1"/>
  <c r="AP253" i="17" s="1"/>
  <c r="AO253" i="17" s="1"/>
  <c r="BI235" i="22"/>
  <c r="BK235" i="22" s="1"/>
  <c r="BJ235" i="22" s="1"/>
  <c r="BH235" i="22"/>
  <c r="HI189" i="8"/>
  <c r="FL189" i="8"/>
  <c r="FJ189" i="8" s="1"/>
  <c r="FQ189" i="8"/>
  <c r="FN190" i="8" s="1"/>
  <c r="DZ199" i="8"/>
  <c r="DW200" i="8" s="1"/>
  <c r="BH76" i="8"/>
  <c r="W69" i="18"/>
  <c r="X69" i="18" s="1"/>
  <c r="IC66" i="8"/>
  <c r="HM66" i="8"/>
  <c r="AL253" i="17" l="1"/>
  <c r="AK253" i="17"/>
  <c r="AQ253" i="17"/>
  <c r="HE190" i="8"/>
  <c r="HF190" i="8"/>
  <c r="HH190" i="8" s="1"/>
  <c r="HG190" i="8" s="1"/>
  <c r="HD190" i="8" s="1"/>
  <c r="HB190" i="8" s="1"/>
  <c r="BG235" i="22"/>
  <c r="BD235" i="22" s="1"/>
  <c r="BL235" i="22"/>
  <c r="FM190" i="8"/>
  <c r="FP190" i="8"/>
  <c r="FO190" i="8" s="1"/>
  <c r="FL190" i="8" s="1"/>
  <c r="FJ190" i="8" s="1"/>
  <c r="DY200" i="8"/>
  <c r="DX200" i="8" s="1"/>
  <c r="DU200" i="8" s="1"/>
  <c r="DS200" i="8" s="1"/>
  <c r="DV200" i="8"/>
  <c r="BH77" i="8"/>
  <c r="W70" i="18"/>
  <c r="X70" i="18" s="1"/>
  <c r="IC67" i="8"/>
  <c r="HM67" i="8"/>
  <c r="AI253" i="17" l="1"/>
  <c r="AH198" i="20"/>
  <c r="AF198" i="20" s="1"/>
  <c r="AN254" i="17"/>
  <c r="AP254" i="17" s="1"/>
  <c r="AO254" i="17" s="1"/>
  <c r="AK254" i="17" s="1"/>
  <c r="AL254" i="17"/>
  <c r="BI236" i="22"/>
  <c r="BK236" i="22" s="1"/>
  <c r="BJ236" i="22" s="1"/>
  <c r="BH236" i="22"/>
  <c r="HI190" i="8"/>
  <c r="FQ190" i="8"/>
  <c r="FN191" i="8" s="1"/>
  <c r="DZ200" i="8"/>
  <c r="DW201" i="8" s="1"/>
  <c r="BH78" i="8"/>
  <c r="W71" i="18"/>
  <c r="X71" i="18" s="1"/>
  <c r="HM68" i="8"/>
  <c r="IC68" i="8"/>
  <c r="AI254" i="17" l="1"/>
  <c r="AH199" i="20"/>
  <c r="AF199" i="20" s="1"/>
  <c r="AQ254" i="17"/>
  <c r="AL255" i="17" s="1"/>
  <c r="HE191" i="8"/>
  <c r="HF191" i="8"/>
  <c r="HH191" i="8" s="1"/>
  <c r="HG191" i="8" s="1"/>
  <c r="HD191" i="8" s="1"/>
  <c r="HB191" i="8" s="1"/>
  <c r="BG236" i="22"/>
  <c r="BD236" i="22" s="1"/>
  <c r="BL236" i="22"/>
  <c r="FP191" i="8"/>
  <c r="FO191" i="8" s="1"/>
  <c r="FL191" i="8" s="1"/>
  <c r="FJ191" i="8" s="1"/>
  <c r="FM191" i="8"/>
  <c r="DV201" i="8"/>
  <c r="DY201" i="8"/>
  <c r="DX201" i="8" s="1"/>
  <c r="DU201" i="8" s="1"/>
  <c r="DS201" i="8" s="1"/>
  <c r="BH79" i="8"/>
  <c r="W72" i="18"/>
  <c r="X72" i="18" s="1"/>
  <c r="IC69" i="8"/>
  <c r="HM69" i="8"/>
  <c r="AN255" i="17" l="1"/>
  <c r="AP255" i="17" s="1"/>
  <c r="AO255" i="17" s="1"/>
  <c r="AK255" i="17" s="1"/>
  <c r="BI237" i="22"/>
  <c r="BK237" i="22" s="1"/>
  <c r="BJ237" i="22" s="1"/>
  <c r="BG237" i="22" s="1"/>
  <c r="BD237" i="22" s="1"/>
  <c r="BH237" i="22"/>
  <c r="HI191" i="8"/>
  <c r="FQ191" i="8"/>
  <c r="FN192" i="8" s="1"/>
  <c r="DZ201" i="8"/>
  <c r="DW202" i="8" s="1"/>
  <c r="BH80" i="8"/>
  <c r="W73" i="18"/>
  <c r="X73" i="18" s="1"/>
  <c r="HM70" i="8"/>
  <c r="IC70" i="8"/>
  <c r="AI255" i="17" l="1"/>
  <c r="AH200" i="20"/>
  <c r="AF200" i="20" s="1"/>
  <c r="AQ255" i="17"/>
  <c r="HF192" i="8"/>
  <c r="HH192" i="8" s="1"/>
  <c r="HG192" i="8" s="1"/>
  <c r="HD192" i="8" s="1"/>
  <c r="HB192" i="8" s="1"/>
  <c r="BL237" i="22"/>
  <c r="HE192" i="8"/>
  <c r="FP192" i="8"/>
  <c r="FO192" i="8" s="1"/>
  <c r="FL192" i="8" s="1"/>
  <c r="FJ192" i="8" s="1"/>
  <c r="FM192" i="8"/>
  <c r="DY202" i="8"/>
  <c r="DX202" i="8" s="1"/>
  <c r="DU202" i="8" s="1"/>
  <c r="DS202" i="8" s="1"/>
  <c r="DV202" i="8"/>
  <c r="BH81" i="8"/>
  <c r="W74" i="18"/>
  <c r="X74" i="18" s="1"/>
  <c r="IC71" i="8"/>
  <c r="HM71" i="8"/>
  <c r="AL256" i="17" l="1"/>
  <c r="AN256" i="17"/>
  <c r="AP256" i="17" s="1"/>
  <c r="AO256" i="17" s="1"/>
  <c r="AK256" i="17" s="1"/>
  <c r="HI192" i="8"/>
  <c r="HF193" i="8" s="1"/>
  <c r="HH193" i="8" s="1"/>
  <c r="HG193" i="8" s="1"/>
  <c r="HD193" i="8" s="1"/>
  <c r="HB193" i="8" s="1"/>
  <c r="BH238" i="22"/>
  <c r="BI238" i="22"/>
  <c r="BK238" i="22" s="1"/>
  <c r="BJ238" i="22" s="1"/>
  <c r="BG238" i="22" s="1"/>
  <c r="BD238" i="22" s="1"/>
  <c r="FQ192" i="8"/>
  <c r="FN193" i="8" s="1"/>
  <c r="DZ202" i="8"/>
  <c r="DW203" i="8" s="1"/>
  <c r="BH82" i="8"/>
  <c r="W75" i="18"/>
  <c r="X75" i="18" s="1"/>
  <c r="HM72" i="8"/>
  <c r="IC72" i="8"/>
  <c r="AI256" i="17" l="1"/>
  <c r="AH201" i="20"/>
  <c r="AF201" i="20" s="1"/>
  <c r="AQ256" i="17"/>
  <c r="HI193" i="8"/>
  <c r="HF194" i="8" s="1"/>
  <c r="HE193" i="8"/>
  <c r="BL238" i="22"/>
  <c r="FM193" i="8"/>
  <c r="DY203" i="8"/>
  <c r="DX203" i="8" s="1"/>
  <c r="DU203" i="8" s="1"/>
  <c r="DS203" i="8" s="1"/>
  <c r="DV203" i="8"/>
  <c r="BH83" i="8"/>
  <c r="W76" i="18"/>
  <c r="X76" i="18" s="1"/>
  <c r="IC73" i="8"/>
  <c r="HM73" i="8"/>
  <c r="AN257" i="17" l="1"/>
  <c r="AP257" i="17" s="1"/>
  <c r="AO257" i="17" s="1"/>
  <c r="AK257" i="17" s="1"/>
  <c r="AL257" i="17"/>
  <c r="HH194" i="8"/>
  <c r="HG194" i="8" s="1"/>
  <c r="HD194" i="8" s="1"/>
  <c r="HB194" i="8" s="1"/>
  <c r="HE194" i="8"/>
  <c r="BI239" i="22"/>
  <c r="BK239" i="22" s="1"/>
  <c r="BJ239" i="22" s="1"/>
  <c r="BG239" i="22" s="1"/>
  <c r="BD239" i="22" s="1"/>
  <c r="BH239" i="22"/>
  <c r="FP193" i="8"/>
  <c r="FO193" i="8" s="1"/>
  <c r="DZ203" i="8"/>
  <c r="DW204" i="8" s="1"/>
  <c r="BH84" i="8"/>
  <c r="W77" i="18"/>
  <c r="X77" i="18" s="1"/>
  <c r="IC74" i="8"/>
  <c r="HM74" i="8"/>
  <c r="AI257" i="17" l="1"/>
  <c r="AH202" i="20"/>
  <c r="AF202" i="20" s="1"/>
  <c r="AQ257" i="17"/>
  <c r="HI194" i="8"/>
  <c r="HF195" i="8" s="1"/>
  <c r="BL239" i="22"/>
  <c r="FL193" i="8"/>
  <c r="FJ193" i="8" s="1"/>
  <c r="FQ193" i="8"/>
  <c r="FN194" i="8" s="1"/>
  <c r="DV204" i="8"/>
  <c r="DY204" i="8"/>
  <c r="DX204" i="8" s="1"/>
  <c r="DU204" i="8" s="1"/>
  <c r="DS204" i="8" s="1"/>
  <c r="BH85" i="8"/>
  <c r="W78" i="18"/>
  <c r="HM75" i="8"/>
  <c r="IC75" i="8"/>
  <c r="AL258" i="17" l="1"/>
  <c r="AN258" i="17"/>
  <c r="AP258" i="17" s="1"/>
  <c r="AO258" i="17" s="1"/>
  <c r="AK258" i="17" s="1"/>
  <c r="HH195" i="8"/>
  <c r="HG195" i="8" s="1"/>
  <c r="HD195" i="8" s="1"/>
  <c r="HB195" i="8" s="1"/>
  <c r="HE195" i="8"/>
  <c r="BI240" i="22"/>
  <c r="BK240" i="22" s="1"/>
  <c r="BJ240" i="22" s="1"/>
  <c r="BG240" i="22" s="1"/>
  <c r="BD240" i="22" s="1"/>
  <c r="BH240" i="22"/>
  <c r="FP194" i="8"/>
  <c r="FO194" i="8" s="1"/>
  <c r="FL194" i="8" s="1"/>
  <c r="FJ194" i="8" s="1"/>
  <c r="FM194" i="8"/>
  <c r="DZ204" i="8"/>
  <c r="DW205" i="8" s="1"/>
  <c r="BH86" i="8"/>
  <c r="W79" i="18"/>
  <c r="X79" i="18" s="1"/>
  <c r="IC76" i="8"/>
  <c r="HM76" i="8"/>
  <c r="AI258" i="17" l="1"/>
  <c r="AH203" i="20"/>
  <c r="AF203" i="20" s="1"/>
  <c r="AQ258" i="17"/>
  <c r="HI195" i="8"/>
  <c r="HF196" i="8" s="1"/>
  <c r="BL240" i="22"/>
  <c r="FQ194" i="8"/>
  <c r="FN195" i="8" s="1"/>
  <c r="DV205" i="8"/>
  <c r="DY205" i="8"/>
  <c r="DX205" i="8" s="1"/>
  <c r="DU205" i="8" s="1"/>
  <c r="DS205" i="8" s="1"/>
  <c r="BH87" i="8"/>
  <c r="W80" i="18"/>
  <c r="X80" i="18" s="1"/>
  <c r="IC77" i="8"/>
  <c r="HM77" i="8"/>
  <c r="AN259" i="17" l="1"/>
  <c r="AP259" i="17" s="1"/>
  <c r="AO259" i="17" s="1"/>
  <c r="AK259" i="17" s="1"/>
  <c r="AL259" i="17"/>
  <c r="HH196" i="8"/>
  <c r="HG196" i="8" s="1"/>
  <c r="HD196" i="8" s="1"/>
  <c r="HB196" i="8" s="1"/>
  <c r="HE196" i="8"/>
  <c r="BI241" i="22"/>
  <c r="BK241" i="22" s="1"/>
  <c r="BJ241" i="22" s="1"/>
  <c r="BH241" i="22"/>
  <c r="FP195" i="8"/>
  <c r="FO195" i="8" s="1"/>
  <c r="FL195" i="8" s="1"/>
  <c r="FJ195" i="8" s="1"/>
  <c r="FM195" i="8"/>
  <c r="DZ205" i="8"/>
  <c r="DW206" i="8" s="1"/>
  <c r="BH88" i="8"/>
  <c r="W81" i="18"/>
  <c r="X81" i="18" s="1"/>
  <c r="HM78" i="8"/>
  <c r="IC78" i="8"/>
  <c r="AI259" i="17" l="1"/>
  <c r="AH204" i="20"/>
  <c r="AF204" i="20" s="1"/>
  <c r="AQ259" i="17"/>
  <c r="AN260" i="17" s="1"/>
  <c r="AP260" i="17" s="1"/>
  <c r="AO260" i="17" s="1"/>
  <c r="AK260" i="17" s="1"/>
  <c r="HI196" i="8"/>
  <c r="HF197" i="8" s="1"/>
  <c r="HH197" i="8" s="1"/>
  <c r="HG197" i="8" s="1"/>
  <c r="HD197" i="8" s="1"/>
  <c r="HB197" i="8" s="1"/>
  <c r="BG241" i="22"/>
  <c r="BD241" i="22" s="1"/>
  <c r="BL241" i="22"/>
  <c r="FQ195" i="8"/>
  <c r="FN196" i="8" s="1"/>
  <c r="DY206" i="8"/>
  <c r="DX206" i="8" s="1"/>
  <c r="DU206" i="8" s="1"/>
  <c r="DS206" i="8" s="1"/>
  <c r="DV206" i="8"/>
  <c r="BH89" i="8"/>
  <c r="W82" i="18"/>
  <c r="X82" i="18" s="1"/>
  <c r="IC79" i="8"/>
  <c r="HM79" i="8"/>
  <c r="AI260" i="17" l="1"/>
  <c r="AH205" i="20"/>
  <c r="AF205" i="20" s="1"/>
  <c r="AL260" i="17"/>
  <c r="AQ260" i="17"/>
  <c r="AN261" i="17" s="1"/>
  <c r="AP261" i="17" s="1"/>
  <c r="AO261" i="17" s="1"/>
  <c r="AK261" i="17" s="1"/>
  <c r="HE197" i="8"/>
  <c r="HI197" i="8"/>
  <c r="HF198" i="8" s="1"/>
  <c r="HH198" i="8" s="1"/>
  <c r="HG198" i="8" s="1"/>
  <c r="HD198" i="8" s="1"/>
  <c r="HB198" i="8" s="1"/>
  <c r="BI242" i="22"/>
  <c r="BK242" i="22" s="1"/>
  <c r="BJ242" i="22" s="1"/>
  <c r="BG242" i="22" s="1"/>
  <c r="BD242" i="22" s="1"/>
  <c r="BH242" i="22"/>
  <c r="FM196" i="8"/>
  <c r="FP196" i="8"/>
  <c r="FO196" i="8" s="1"/>
  <c r="FL196" i="8" s="1"/>
  <c r="FJ196" i="8" s="1"/>
  <c r="DZ206" i="8"/>
  <c r="DW207" i="8" s="1"/>
  <c r="BH90" i="8"/>
  <c r="W83" i="18"/>
  <c r="X83" i="18" s="1"/>
  <c r="IC80" i="8"/>
  <c r="HM80" i="8"/>
  <c r="AI261" i="17" l="1"/>
  <c r="AH206" i="20"/>
  <c r="AF206" i="20" s="1"/>
  <c r="AL261" i="17"/>
  <c r="AQ261" i="17"/>
  <c r="AN262" i="17" s="1"/>
  <c r="AP262" i="17" s="1"/>
  <c r="AO262" i="17" s="1"/>
  <c r="AK262" i="17" s="1"/>
  <c r="HE198" i="8"/>
  <c r="BL242" i="22"/>
  <c r="HI198" i="8"/>
  <c r="FQ196" i="8"/>
  <c r="FN197" i="8" s="1"/>
  <c r="DY207" i="8"/>
  <c r="DX207" i="8" s="1"/>
  <c r="DU207" i="8" s="1"/>
  <c r="DS207" i="8" s="1"/>
  <c r="DV207" i="8"/>
  <c r="BH91" i="8"/>
  <c r="W84" i="18"/>
  <c r="X84" i="18" s="1"/>
  <c r="HM81" i="8"/>
  <c r="IC81" i="8"/>
  <c r="AI262" i="17" l="1"/>
  <c r="AH207" i="20"/>
  <c r="AF207" i="20" s="1"/>
  <c r="AL262" i="17"/>
  <c r="AQ262" i="17"/>
  <c r="HE199" i="8"/>
  <c r="HF199" i="8"/>
  <c r="HH199" i="8" s="1"/>
  <c r="HG199" i="8" s="1"/>
  <c r="HD199" i="8" s="1"/>
  <c r="HB199" i="8" s="1"/>
  <c r="BI243" i="22"/>
  <c r="BK243" i="22" s="1"/>
  <c r="BJ243" i="22" s="1"/>
  <c r="BG243" i="22" s="1"/>
  <c r="BD243" i="22" s="1"/>
  <c r="BH243" i="22"/>
  <c r="FM197" i="8"/>
  <c r="FP197" i="8"/>
  <c r="FO197" i="8" s="1"/>
  <c r="FL197" i="8" s="1"/>
  <c r="FJ197" i="8" s="1"/>
  <c r="DZ207" i="8"/>
  <c r="DW208" i="8" s="1"/>
  <c r="BH92" i="8"/>
  <c r="W85" i="18"/>
  <c r="X85" i="18" s="1"/>
  <c r="IC82" i="8"/>
  <c r="HM82" i="8"/>
  <c r="AN263" i="17" l="1"/>
  <c r="AP263" i="17" s="1"/>
  <c r="AO263" i="17" s="1"/>
  <c r="AK263" i="17" s="1"/>
  <c r="AL263" i="17"/>
  <c r="BL243" i="22"/>
  <c r="HI199" i="8"/>
  <c r="FQ197" i="8"/>
  <c r="FN198" i="8" s="1"/>
  <c r="DV208" i="8"/>
  <c r="DY208" i="8"/>
  <c r="DX208" i="8" s="1"/>
  <c r="DU208" i="8" s="1"/>
  <c r="DS208" i="8" s="1"/>
  <c r="BH93" i="8"/>
  <c r="W86" i="18"/>
  <c r="X86" i="18" s="1"/>
  <c r="HM83" i="8"/>
  <c r="IC83" i="8"/>
  <c r="AI263" i="17" l="1"/>
  <c r="AH208" i="20"/>
  <c r="AF208" i="20" s="1"/>
  <c r="AQ263" i="17"/>
  <c r="HF200" i="8"/>
  <c r="HH200" i="8" s="1"/>
  <c r="HG200" i="8" s="1"/>
  <c r="HD200" i="8" s="1"/>
  <c r="HB200" i="8" s="1"/>
  <c r="BH244" i="22"/>
  <c r="BI244" i="22"/>
  <c r="BK244" i="22" s="1"/>
  <c r="BJ244" i="22" s="1"/>
  <c r="BG244" i="22" s="1"/>
  <c r="BD244" i="22" s="1"/>
  <c r="HE200" i="8"/>
  <c r="FP198" i="8"/>
  <c r="FO198" i="8" s="1"/>
  <c r="FL198" i="8" s="1"/>
  <c r="FJ198" i="8" s="1"/>
  <c r="FM198" i="8"/>
  <c r="DZ208" i="8"/>
  <c r="DW209" i="8" s="1"/>
  <c r="BH94" i="8"/>
  <c r="W87" i="18"/>
  <c r="X87" i="18" s="1"/>
  <c r="HM84" i="8"/>
  <c r="IC84" i="8"/>
  <c r="AL264" i="17" l="1"/>
  <c r="AN264" i="17"/>
  <c r="AP264" i="17" s="1"/>
  <c r="AO264" i="17" s="1"/>
  <c r="AK264" i="17" s="1"/>
  <c r="HI200" i="8"/>
  <c r="HF201" i="8" s="1"/>
  <c r="BL244" i="22"/>
  <c r="FQ198" i="8"/>
  <c r="FN199" i="8" s="1"/>
  <c r="DY209" i="8"/>
  <c r="DX209" i="8" s="1"/>
  <c r="DU209" i="8" s="1"/>
  <c r="DS209" i="8" s="1"/>
  <c r="DV209" i="8"/>
  <c r="BH95" i="8"/>
  <c r="W88" i="18"/>
  <c r="X88" i="18" s="1"/>
  <c r="IC85" i="8"/>
  <c r="HM85" i="8"/>
  <c r="AI264" i="17" l="1"/>
  <c r="AH209" i="20"/>
  <c r="AF209" i="20" s="1"/>
  <c r="AQ264" i="17"/>
  <c r="HH201" i="8"/>
  <c r="HG201" i="8" s="1"/>
  <c r="HD201" i="8" s="1"/>
  <c r="HB201" i="8" s="1"/>
  <c r="HE201" i="8"/>
  <c r="BI245" i="22"/>
  <c r="BK245" i="22" s="1"/>
  <c r="BJ245" i="22" s="1"/>
  <c r="BH245" i="22"/>
  <c r="FM199" i="8"/>
  <c r="FP199" i="8"/>
  <c r="FO199" i="8" s="1"/>
  <c r="FL199" i="8" s="1"/>
  <c r="FJ199" i="8" s="1"/>
  <c r="DZ209" i="8"/>
  <c r="DW210" i="8" s="1"/>
  <c r="BH96" i="8"/>
  <c r="W89" i="18"/>
  <c r="X89" i="18" s="1"/>
  <c r="IC86" i="8"/>
  <c r="HM86" i="8"/>
  <c r="AN265" i="17" l="1"/>
  <c r="AP265" i="17" s="1"/>
  <c r="AO265" i="17" s="1"/>
  <c r="AK265" i="17" s="1"/>
  <c r="AL265" i="17"/>
  <c r="HI201" i="8"/>
  <c r="HF202" i="8" s="1"/>
  <c r="BG245" i="22"/>
  <c r="BD245" i="22" s="1"/>
  <c r="BL245" i="22"/>
  <c r="FQ199" i="8"/>
  <c r="FN200" i="8" s="1"/>
  <c r="DY210" i="8"/>
  <c r="DX210" i="8" s="1"/>
  <c r="DU210" i="8" s="1"/>
  <c r="DS210" i="8" s="1"/>
  <c r="DV210" i="8"/>
  <c r="BH97" i="8"/>
  <c r="W90" i="18"/>
  <c r="IC87" i="8"/>
  <c r="HM87" i="8"/>
  <c r="AI265" i="17" l="1"/>
  <c r="AH210" i="20"/>
  <c r="AF210" i="20" s="1"/>
  <c r="AQ265" i="17"/>
  <c r="HE202" i="8"/>
  <c r="HH202" i="8"/>
  <c r="HG202" i="8" s="1"/>
  <c r="HI202" i="8" s="1"/>
  <c r="HF203" i="8" s="1"/>
  <c r="BI246" i="22"/>
  <c r="BK246" i="22" s="1"/>
  <c r="BJ246" i="22" s="1"/>
  <c r="BG246" i="22" s="1"/>
  <c r="BD246" i="22" s="1"/>
  <c r="BH246" i="22"/>
  <c r="FM200" i="8"/>
  <c r="FP200" i="8"/>
  <c r="FO200" i="8" s="1"/>
  <c r="FQ200" i="8" s="1"/>
  <c r="FN201" i="8" s="1"/>
  <c r="DZ210" i="8"/>
  <c r="DW211" i="8" s="1"/>
  <c r="BH98" i="8"/>
  <c r="W91" i="18"/>
  <c r="X91" i="18" s="1"/>
  <c r="HM88" i="8"/>
  <c r="IC88" i="8"/>
  <c r="AL266" i="17" l="1"/>
  <c r="AN266" i="17"/>
  <c r="AP266" i="17" s="1"/>
  <c r="AO266" i="17" s="1"/>
  <c r="AK266" i="17" s="1"/>
  <c r="HD202" i="8"/>
  <c r="HB202" i="8" s="1"/>
  <c r="BL246" i="22"/>
  <c r="FL200" i="8"/>
  <c r="FJ200" i="8" s="1"/>
  <c r="HE203" i="8"/>
  <c r="HH203" i="8"/>
  <c r="HG203" i="8" s="1"/>
  <c r="HD203" i="8" s="1"/>
  <c r="HB203" i="8" s="1"/>
  <c r="FP201" i="8"/>
  <c r="FO201" i="8" s="1"/>
  <c r="FM201" i="8"/>
  <c r="DY211" i="8"/>
  <c r="DX211" i="8" s="1"/>
  <c r="DU211" i="8" s="1"/>
  <c r="DS211" i="8" s="1"/>
  <c r="DV211" i="8"/>
  <c r="BH99" i="8"/>
  <c r="W92" i="18"/>
  <c r="X92" i="18" s="1"/>
  <c r="IC89" i="8"/>
  <c r="HM89" i="8"/>
  <c r="AI266" i="17" l="1"/>
  <c r="AH211" i="20"/>
  <c r="AF211" i="20" s="1"/>
  <c r="AQ266" i="17"/>
  <c r="BI247" i="22"/>
  <c r="BK247" i="22" s="1"/>
  <c r="BJ247" i="22" s="1"/>
  <c r="BH247" i="22"/>
  <c r="HI203" i="8"/>
  <c r="HF204" i="8" s="1"/>
  <c r="FL201" i="8"/>
  <c r="FJ201" i="8" s="1"/>
  <c r="FQ201" i="8"/>
  <c r="FN202" i="8" s="1"/>
  <c r="DZ211" i="8"/>
  <c r="DW212" i="8" s="1"/>
  <c r="BH100" i="8"/>
  <c r="W93" i="18"/>
  <c r="X93" i="18" s="1"/>
  <c r="HM90" i="8"/>
  <c r="IC90" i="8"/>
  <c r="AN267" i="17" l="1"/>
  <c r="AP267" i="17" s="1"/>
  <c r="AO267" i="17" s="1"/>
  <c r="AK267" i="17" s="1"/>
  <c r="AL267" i="17"/>
  <c r="BG247" i="22"/>
  <c r="BD247" i="22" s="1"/>
  <c r="BL247" i="22"/>
  <c r="HH204" i="8"/>
  <c r="HG204" i="8" s="1"/>
  <c r="HE204" i="8"/>
  <c r="FM202" i="8"/>
  <c r="FP202" i="8"/>
  <c r="FO202" i="8" s="1"/>
  <c r="DY212" i="8"/>
  <c r="DX212" i="8" s="1"/>
  <c r="DU212" i="8" s="1"/>
  <c r="DS212" i="8" s="1"/>
  <c r="DV212" i="8"/>
  <c r="BH101" i="8"/>
  <c r="W94" i="18"/>
  <c r="X94" i="18" s="1"/>
  <c r="IC91" i="8"/>
  <c r="HM91" i="8"/>
  <c r="AI267" i="17" l="1"/>
  <c r="AH212" i="20"/>
  <c r="AF212" i="20" s="1"/>
  <c r="AQ267" i="17"/>
  <c r="BI248" i="22"/>
  <c r="BK248" i="22" s="1"/>
  <c r="BJ248" i="22" s="1"/>
  <c r="BH248" i="22"/>
  <c r="HD204" i="8"/>
  <c r="HB204" i="8" s="1"/>
  <c r="HI204" i="8"/>
  <c r="HF205" i="8" s="1"/>
  <c r="FL202" i="8"/>
  <c r="FJ202" i="8" s="1"/>
  <c r="FQ202" i="8"/>
  <c r="FN203" i="8" s="1"/>
  <c r="DZ212" i="8"/>
  <c r="DW213" i="8" s="1"/>
  <c r="BH102" i="8"/>
  <c r="W95" i="18"/>
  <c r="X95" i="18" s="1"/>
  <c r="HM92" i="8"/>
  <c r="IC92" i="8"/>
  <c r="AN268" i="17" l="1"/>
  <c r="AP268" i="17" s="1"/>
  <c r="AO268" i="17" s="1"/>
  <c r="AK268" i="17" s="1"/>
  <c r="AL268" i="17"/>
  <c r="BG248" i="22"/>
  <c r="BD248" i="22" s="1"/>
  <c r="BL248" i="22"/>
  <c r="HH205" i="8"/>
  <c r="HG205" i="8" s="1"/>
  <c r="HE205" i="8"/>
  <c r="FM203" i="8"/>
  <c r="FP203" i="8"/>
  <c r="FO203" i="8" s="1"/>
  <c r="DV213" i="8"/>
  <c r="DY213" i="8"/>
  <c r="DX213" i="8" s="1"/>
  <c r="DU213" i="8" s="1"/>
  <c r="DS213" i="8" s="1"/>
  <c r="BH103" i="8"/>
  <c r="W96" i="18"/>
  <c r="X96" i="18" s="1"/>
  <c r="IC93" i="8"/>
  <c r="HM93" i="8"/>
  <c r="AI268" i="17" l="1"/>
  <c r="AH213" i="20"/>
  <c r="AF213" i="20" s="1"/>
  <c r="AQ268" i="17"/>
  <c r="BI249" i="22"/>
  <c r="BK249" i="22" s="1"/>
  <c r="BJ249" i="22" s="1"/>
  <c r="BH249" i="22"/>
  <c r="HI205" i="8"/>
  <c r="HF206" i="8" s="1"/>
  <c r="HD205" i="8"/>
  <c r="HB205" i="8" s="1"/>
  <c r="FL203" i="8"/>
  <c r="FJ203" i="8" s="1"/>
  <c r="FQ203" i="8"/>
  <c r="FN204" i="8" s="1"/>
  <c r="DZ213" i="8"/>
  <c r="DW214" i="8" s="1"/>
  <c r="BH104" i="8"/>
  <c r="W97" i="18"/>
  <c r="X97" i="18" s="1"/>
  <c r="IC94" i="8"/>
  <c r="HM94" i="8"/>
  <c r="AN269" i="17" l="1"/>
  <c r="AP269" i="17" s="1"/>
  <c r="AO269" i="17" s="1"/>
  <c r="AK269" i="17" s="1"/>
  <c r="AL269" i="17"/>
  <c r="BG249" i="22"/>
  <c r="BD249" i="22" s="1"/>
  <c r="BL249" i="22"/>
  <c r="HH206" i="8"/>
  <c r="HG206" i="8" s="1"/>
  <c r="HE206" i="8"/>
  <c r="FP204" i="8"/>
  <c r="FO204" i="8" s="1"/>
  <c r="FL204" i="8" s="1"/>
  <c r="FJ204" i="8" s="1"/>
  <c r="FM204" i="8"/>
  <c r="DV214" i="8"/>
  <c r="DY214" i="8"/>
  <c r="DX214" i="8" s="1"/>
  <c r="DU214" i="8" s="1"/>
  <c r="DS214" i="8" s="1"/>
  <c r="BH105" i="8"/>
  <c r="W98" i="18"/>
  <c r="X98" i="18" s="1"/>
  <c r="IC95" i="8"/>
  <c r="HM95" i="8"/>
  <c r="AI269" i="17" l="1"/>
  <c r="AH214" i="20"/>
  <c r="AF214" i="20" s="1"/>
  <c r="AQ269" i="17"/>
  <c r="BI250" i="22"/>
  <c r="BK250" i="22" s="1"/>
  <c r="BJ250" i="22" s="1"/>
  <c r="BG250" i="22" s="1"/>
  <c r="BD250" i="22" s="1"/>
  <c r="BH250" i="22"/>
  <c r="HD206" i="8"/>
  <c r="HB206" i="8" s="1"/>
  <c r="HI206" i="8"/>
  <c r="HF207" i="8" s="1"/>
  <c r="FQ204" i="8"/>
  <c r="FN205" i="8" s="1"/>
  <c r="DZ214" i="8"/>
  <c r="DW215" i="8" s="1"/>
  <c r="BH106" i="8"/>
  <c r="W99" i="18"/>
  <c r="X99" i="18" s="1"/>
  <c r="HM96" i="8"/>
  <c r="IC96" i="8"/>
  <c r="AL270" i="17" l="1"/>
  <c r="AN270" i="17"/>
  <c r="AP270" i="17" s="1"/>
  <c r="AO270" i="17" s="1"/>
  <c r="AK270" i="17" s="1"/>
  <c r="BL250" i="22"/>
  <c r="HE207" i="8"/>
  <c r="HH207" i="8"/>
  <c r="HG207" i="8" s="1"/>
  <c r="HD207" i="8" s="1"/>
  <c r="HB207" i="8" s="1"/>
  <c r="FM205" i="8"/>
  <c r="DY215" i="8"/>
  <c r="DX215" i="8" s="1"/>
  <c r="DU215" i="8" s="1"/>
  <c r="DS215" i="8" s="1"/>
  <c r="DV215" i="8"/>
  <c r="BH107" i="8"/>
  <c r="W100" i="18"/>
  <c r="X100" i="18" s="1"/>
  <c r="IC97" i="8"/>
  <c r="HM97" i="8"/>
  <c r="AI270" i="17" l="1"/>
  <c r="AH215" i="20"/>
  <c r="AF215" i="20" s="1"/>
  <c r="AQ270" i="17"/>
  <c r="BI251" i="22"/>
  <c r="BK251" i="22" s="1"/>
  <c r="BJ251" i="22" s="1"/>
  <c r="BH251" i="22"/>
  <c r="HI207" i="8"/>
  <c r="HF208" i="8" s="1"/>
  <c r="FP205" i="8"/>
  <c r="FO205" i="8" s="1"/>
  <c r="DZ215" i="8"/>
  <c r="DW216" i="8" s="1"/>
  <c r="BH108" i="8"/>
  <c r="W101" i="18"/>
  <c r="X101" i="18" s="1"/>
  <c r="HM98" i="8"/>
  <c r="IC98" i="8"/>
  <c r="AL271" i="17" l="1"/>
  <c r="AN271" i="17"/>
  <c r="AP271" i="17" s="1"/>
  <c r="AO271" i="17" s="1"/>
  <c r="AK271" i="17" s="1"/>
  <c r="BG251" i="22"/>
  <c r="BD251" i="22" s="1"/>
  <c r="BL251" i="22"/>
  <c r="HE208" i="8"/>
  <c r="HH208" i="8"/>
  <c r="HG208" i="8" s="1"/>
  <c r="HD208" i="8" s="1"/>
  <c r="HB208" i="8" s="1"/>
  <c r="FL205" i="8"/>
  <c r="FJ205" i="8" s="1"/>
  <c r="FQ205" i="8"/>
  <c r="FN206" i="8" s="1"/>
  <c r="DY216" i="8"/>
  <c r="DX216" i="8" s="1"/>
  <c r="DU216" i="8" s="1"/>
  <c r="DS216" i="8" s="1"/>
  <c r="DV216" i="8"/>
  <c r="BH109" i="8"/>
  <c r="W102" i="18"/>
  <c r="HM99" i="8"/>
  <c r="IC99" i="8"/>
  <c r="AI271" i="17" l="1"/>
  <c r="AH216" i="20"/>
  <c r="AF216" i="20" s="1"/>
  <c r="AQ271" i="17"/>
  <c r="BI252" i="22"/>
  <c r="BK252" i="22" s="1"/>
  <c r="BJ252" i="22" s="1"/>
  <c r="BG252" i="22" s="1"/>
  <c r="BD252" i="22" s="1"/>
  <c r="BH252" i="22"/>
  <c r="HI208" i="8"/>
  <c r="HF209" i="8" s="1"/>
  <c r="FP206" i="8"/>
  <c r="FO206" i="8" s="1"/>
  <c r="FL206" i="8" s="1"/>
  <c r="FJ206" i="8" s="1"/>
  <c r="FM206" i="8"/>
  <c r="DZ216" i="8"/>
  <c r="DW217" i="8" s="1"/>
  <c r="BH110" i="8"/>
  <c r="W103" i="18"/>
  <c r="X103" i="18" s="1"/>
  <c r="IC100" i="8"/>
  <c r="HM100" i="8"/>
  <c r="AN272" i="17" l="1"/>
  <c r="AP272" i="17" s="1"/>
  <c r="AO272" i="17" s="1"/>
  <c r="AK272" i="17" s="1"/>
  <c r="AL272" i="17"/>
  <c r="BL252" i="22"/>
  <c r="HE209" i="8"/>
  <c r="HH209" i="8"/>
  <c r="HG209" i="8" s="1"/>
  <c r="HD209" i="8" s="1"/>
  <c r="HB209" i="8" s="1"/>
  <c r="FQ206" i="8"/>
  <c r="FN207" i="8" s="1"/>
  <c r="DV217" i="8"/>
  <c r="DY217" i="8"/>
  <c r="DX217" i="8" s="1"/>
  <c r="BH111" i="8"/>
  <c r="W104" i="18"/>
  <c r="X104" i="18" s="1"/>
  <c r="HM101" i="8"/>
  <c r="IC101" i="8"/>
  <c r="AI272" i="17" l="1"/>
  <c r="AH217" i="20"/>
  <c r="AF217" i="20" s="1"/>
  <c r="AQ272" i="17"/>
  <c r="BI253" i="22"/>
  <c r="BK253" i="22" s="1"/>
  <c r="BJ253" i="22" s="1"/>
  <c r="BG253" i="22" s="1"/>
  <c r="BD253" i="22" s="1"/>
  <c r="BH253" i="22"/>
  <c r="HI209" i="8"/>
  <c r="HF210" i="8" s="1"/>
  <c r="FP207" i="8"/>
  <c r="FO207" i="8" s="1"/>
  <c r="FL207" i="8" s="1"/>
  <c r="FJ207" i="8" s="1"/>
  <c r="FM207" i="8"/>
  <c r="DU217" i="8"/>
  <c r="DS217" i="8" s="1"/>
  <c r="DZ217" i="8"/>
  <c r="DW218" i="8" s="1"/>
  <c r="BH112" i="8"/>
  <c r="W105" i="18"/>
  <c r="X105" i="18" s="1"/>
  <c r="IC102" i="8"/>
  <c r="HM102" i="8"/>
  <c r="AN273" i="17" l="1"/>
  <c r="AP273" i="17" s="1"/>
  <c r="AO273" i="17" s="1"/>
  <c r="AK273" i="17" s="1"/>
  <c r="AL273" i="17"/>
  <c r="BL253" i="22"/>
  <c r="HH210" i="8"/>
  <c r="HG210" i="8" s="1"/>
  <c r="HE210" i="8"/>
  <c r="FQ207" i="8"/>
  <c r="FN208" i="8" s="1"/>
  <c r="DV218" i="8"/>
  <c r="DY218" i="8"/>
  <c r="DX218" i="8" s="1"/>
  <c r="BH113" i="8"/>
  <c r="W106" i="18"/>
  <c r="X106" i="18" s="1"/>
  <c r="IC103" i="8"/>
  <c r="HM103" i="8"/>
  <c r="AI273" i="17" l="1"/>
  <c r="AH218" i="20"/>
  <c r="AF218" i="20" s="1"/>
  <c r="AQ273" i="17"/>
  <c r="BI254" i="22"/>
  <c r="BK254" i="22" s="1"/>
  <c r="BJ254" i="22" s="1"/>
  <c r="BG254" i="22" s="1"/>
  <c r="BD254" i="22" s="1"/>
  <c r="BH254" i="22"/>
  <c r="HD210" i="8"/>
  <c r="HB210" i="8" s="1"/>
  <c r="HI210" i="8"/>
  <c r="FM208" i="8"/>
  <c r="FP208" i="8"/>
  <c r="FO208" i="8" s="1"/>
  <c r="FL208" i="8" s="1"/>
  <c r="FJ208" i="8" s="1"/>
  <c r="DU218" i="8"/>
  <c r="DS218" i="8" s="1"/>
  <c r="DZ218" i="8"/>
  <c r="DW219" i="8" s="1"/>
  <c r="BH114" i="8"/>
  <c r="W107" i="18"/>
  <c r="X107" i="18" s="1"/>
  <c r="HM104" i="8"/>
  <c r="IC104" i="8"/>
  <c r="AL274" i="17" l="1"/>
  <c r="AN274" i="17"/>
  <c r="AP274" i="17" s="1"/>
  <c r="AO274" i="17" s="1"/>
  <c r="AK274" i="17" s="1"/>
  <c r="HF211" i="8"/>
  <c r="HH211" i="8" s="1"/>
  <c r="HG211" i="8" s="1"/>
  <c r="HD211" i="8" s="1"/>
  <c r="HB211" i="8" s="1"/>
  <c r="BL254" i="22"/>
  <c r="HE211" i="8"/>
  <c r="FQ208" i="8"/>
  <c r="FN209" i="8" s="1"/>
  <c r="DY219" i="8"/>
  <c r="DX219" i="8" s="1"/>
  <c r="DU219" i="8" s="1"/>
  <c r="DS219" i="8" s="1"/>
  <c r="DV219" i="8"/>
  <c r="BH115" i="8"/>
  <c r="W108" i="18"/>
  <c r="X108" i="18" s="1"/>
  <c r="IC105" i="8"/>
  <c r="HM105" i="8"/>
  <c r="AI274" i="17" l="1"/>
  <c r="AH219" i="20"/>
  <c r="AF219" i="20" s="1"/>
  <c r="AQ274" i="17"/>
  <c r="AN275" i="17" s="1"/>
  <c r="AP275" i="17" s="1"/>
  <c r="AO275" i="17" s="1"/>
  <c r="AK275" i="17" s="1"/>
  <c r="HI211" i="8"/>
  <c r="HF212" i="8" s="1"/>
  <c r="BI255" i="22"/>
  <c r="BK255" i="22" s="1"/>
  <c r="BJ255" i="22" s="1"/>
  <c r="BG255" i="22" s="1"/>
  <c r="BD255" i="22" s="1"/>
  <c r="BH255" i="22"/>
  <c r="FM209" i="8"/>
  <c r="FP209" i="8"/>
  <c r="FO209" i="8" s="1"/>
  <c r="FL209" i="8" s="1"/>
  <c r="FJ209" i="8" s="1"/>
  <c r="DZ219" i="8"/>
  <c r="DW220" i="8" s="1"/>
  <c r="BH116" i="8"/>
  <c r="W109" i="18"/>
  <c r="X109" i="18" s="1"/>
  <c r="IC106" i="8"/>
  <c r="HM106" i="8"/>
  <c r="AI275" i="17" l="1"/>
  <c r="AH220" i="20"/>
  <c r="AF220" i="20" s="1"/>
  <c r="AL275" i="17"/>
  <c r="AQ275" i="17"/>
  <c r="HE212" i="8"/>
  <c r="HH212" i="8"/>
  <c r="HG212" i="8" s="1"/>
  <c r="HD212" i="8" s="1"/>
  <c r="HB212" i="8" s="1"/>
  <c r="BL255" i="22"/>
  <c r="FQ209" i="8"/>
  <c r="FN210" i="8" s="1"/>
  <c r="DY220" i="8"/>
  <c r="DX220" i="8" s="1"/>
  <c r="DU220" i="8" s="1"/>
  <c r="DS220" i="8" s="1"/>
  <c r="DV220" i="8"/>
  <c r="BH117" i="8"/>
  <c r="W110" i="18"/>
  <c r="X110" i="18" s="1"/>
  <c r="HM107" i="8"/>
  <c r="IC107" i="8"/>
  <c r="AN276" i="17" l="1"/>
  <c r="AP276" i="17" s="1"/>
  <c r="AO276" i="17" s="1"/>
  <c r="AK276" i="17" s="1"/>
  <c r="AL276" i="17"/>
  <c r="HI212" i="8"/>
  <c r="HF213" i="8" s="1"/>
  <c r="BI256" i="22"/>
  <c r="BK256" i="22" s="1"/>
  <c r="BJ256" i="22" s="1"/>
  <c r="BG256" i="22" s="1"/>
  <c r="BD256" i="22" s="1"/>
  <c r="BH256" i="22"/>
  <c r="FP210" i="8"/>
  <c r="FO210" i="8" s="1"/>
  <c r="FL210" i="8" s="1"/>
  <c r="FJ210" i="8" s="1"/>
  <c r="FM210" i="8"/>
  <c r="DZ220" i="8"/>
  <c r="BH118" i="8"/>
  <c r="W111" i="18"/>
  <c r="X111" i="18" s="1"/>
  <c r="HM108" i="8"/>
  <c r="IC108" i="8"/>
  <c r="AI276" i="17" l="1"/>
  <c r="AH221" i="20"/>
  <c r="AF221" i="20" s="1"/>
  <c r="AQ276" i="17"/>
  <c r="HE213" i="8"/>
  <c r="HH213" i="8"/>
  <c r="HG213" i="8" s="1"/>
  <c r="HD213" i="8" s="1"/>
  <c r="HB213" i="8" s="1"/>
  <c r="DW221" i="8"/>
  <c r="DY221" i="8" s="1"/>
  <c r="DX221" i="8" s="1"/>
  <c r="BL256" i="22"/>
  <c r="FQ210" i="8"/>
  <c r="FN211" i="8" s="1"/>
  <c r="DV221" i="8"/>
  <c r="BH119" i="8"/>
  <c r="W112" i="18"/>
  <c r="X112" i="18" s="1"/>
  <c r="IC109" i="8"/>
  <c r="HM109" i="8"/>
  <c r="AN277" i="17" l="1"/>
  <c r="AP277" i="17" s="1"/>
  <c r="AO277" i="17" s="1"/>
  <c r="AK277" i="17" s="1"/>
  <c r="AL277" i="17"/>
  <c r="HI213" i="8"/>
  <c r="HF214" i="8" s="1"/>
  <c r="DU221" i="8"/>
  <c r="DS221" i="8" s="1"/>
  <c r="DZ221" i="8"/>
  <c r="DW222" i="8" s="1"/>
  <c r="DY222" i="8" s="1"/>
  <c r="DX222" i="8" s="1"/>
  <c r="DU222" i="8" s="1"/>
  <c r="DS222" i="8" s="1"/>
  <c r="BI257" i="22"/>
  <c r="BK257" i="22" s="1"/>
  <c r="BJ257" i="22" s="1"/>
  <c r="BG257" i="22" s="1"/>
  <c r="BD257" i="22" s="1"/>
  <c r="BH257" i="22"/>
  <c r="FM211" i="8"/>
  <c r="FP211" i="8"/>
  <c r="FO211" i="8" s="1"/>
  <c r="FL211" i="8" s="1"/>
  <c r="FJ211" i="8" s="1"/>
  <c r="BH120" i="8"/>
  <c r="W113" i="18"/>
  <c r="X113" i="18" s="1"/>
  <c r="HM110" i="8"/>
  <c r="IC110" i="8"/>
  <c r="AI277" i="17" l="1"/>
  <c r="AH222" i="20"/>
  <c r="AF222" i="20" s="1"/>
  <c r="AQ277" i="17"/>
  <c r="AN278" i="17" s="1"/>
  <c r="AP278" i="17" s="1"/>
  <c r="AO278" i="17" s="1"/>
  <c r="AK278" i="17" s="1"/>
  <c r="HH214" i="8"/>
  <c r="HG214" i="8" s="1"/>
  <c r="HD214" i="8" s="1"/>
  <c r="HB214" i="8" s="1"/>
  <c r="HE214" i="8"/>
  <c r="DV222" i="8"/>
  <c r="BL257" i="22"/>
  <c r="FQ211" i="8"/>
  <c r="DZ222" i="8"/>
  <c r="BH121" i="8"/>
  <c r="W114" i="18"/>
  <c r="HM111" i="8"/>
  <c r="IC111" i="8"/>
  <c r="AI278" i="17" l="1"/>
  <c r="AH223" i="20"/>
  <c r="AF223" i="20" s="1"/>
  <c r="AL278" i="17"/>
  <c r="AQ278" i="17"/>
  <c r="HI214" i="8"/>
  <c r="HF215" i="8" s="1"/>
  <c r="HH215" i="8" s="1"/>
  <c r="HG215" i="8" s="1"/>
  <c r="HD215" i="8" s="1"/>
  <c r="HB215" i="8" s="1"/>
  <c r="FN212" i="8"/>
  <c r="FP212" i="8" s="1"/>
  <c r="FO212" i="8" s="1"/>
  <c r="FL212" i="8" s="1"/>
  <c r="FJ212" i="8" s="1"/>
  <c r="DV223" i="8"/>
  <c r="DW223" i="8"/>
  <c r="DY223" i="8" s="1"/>
  <c r="DX223" i="8" s="1"/>
  <c r="DU223" i="8" s="1"/>
  <c r="DS223" i="8" s="1"/>
  <c r="BI258" i="22"/>
  <c r="BK258" i="22" s="1"/>
  <c r="BJ258" i="22" s="1"/>
  <c r="BH258" i="22"/>
  <c r="FM212" i="8"/>
  <c r="BH122" i="8"/>
  <c r="W115" i="18"/>
  <c r="X115" i="18" s="1"/>
  <c r="IC112" i="8"/>
  <c r="HM112" i="8"/>
  <c r="AL279" i="17" l="1"/>
  <c r="AN279" i="17"/>
  <c r="AP279" i="17" s="1"/>
  <c r="AO279" i="17" s="1"/>
  <c r="AK279" i="17" s="1"/>
  <c r="HE215" i="8"/>
  <c r="HI215" i="8"/>
  <c r="HF216" i="8" s="1"/>
  <c r="HH216" i="8" s="1"/>
  <c r="HG216" i="8" s="1"/>
  <c r="HD216" i="8" s="1"/>
  <c r="HB216" i="8" s="1"/>
  <c r="FQ212" i="8"/>
  <c r="FN213" i="8" s="1"/>
  <c r="BG258" i="22"/>
  <c r="BD258" i="22" s="1"/>
  <c r="BL258" i="22"/>
  <c r="DZ223" i="8"/>
  <c r="BH123" i="8"/>
  <c r="W116" i="18"/>
  <c r="X116" i="18" s="1"/>
  <c r="HM113" i="8"/>
  <c r="IC113" i="8"/>
  <c r="AI279" i="17" l="1"/>
  <c r="AH224" i="20"/>
  <c r="AF224" i="20" s="1"/>
  <c r="AQ279" i="17"/>
  <c r="FP213" i="8"/>
  <c r="FO213" i="8" s="1"/>
  <c r="FL213" i="8" s="1"/>
  <c r="FJ213" i="8" s="1"/>
  <c r="HE216" i="8"/>
  <c r="HI216" i="8"/>
  <c r="HF217" i="8" s="1"/>
  <c r="FM213" i="8"/>
  <c r="DW224" i="8"/>
  <c r="DY224" i="8" s="1"/>
  <c r="DX224" i="8" s="1"/>
  <c r="BI259" i="22"/>
  <c r="BK259" i="22" s="1"/>
  <c r="BJ259" i="22" s="1"/>
  <c r="BH259" i="22"/>
  <c r="DV224" i="8"/>
  <c r="BH124" i="8"/>
  <c r="W117" i="18"/>
  <c r="X117" i="18" s="1"/>
  <c r="HM114" i="8"/>
  <c r="IC114" i="8"/>
  <c r="AL280" i="17" l="1"/>
  <c r="AN280" i="17"/>
  <c r="AP280" i="17" s="1"/>
  <c r="AO280" i="17" s="1"/>
  <c r="AK280" i="17" s="1"/>
  <c r="FQ213" i="8"/>
  <c r="FN214" i="8" s="1"/>
  <c r="FP214" i="8" s="1"/>
  <c r="FO214" i="8" s="1"/>
  <c r="FL214" i="8" s="1"/>
  <c r="FJ214" i="8" s="1"/>
  <c r="HH217" i="8"/>
  <c r="HG217" i="8" s="1"/>
  <c r="HI217" i="8" s="1"/>
  <c r="HF218" i="8" s="1"/>
  <c r="HE217" i="8"/>
  <c r="DU224" i="8"/>
  <c r="DS224" i="8" s="1"/>
  <c r="DZ224" i="8"/>
  <c r="DW225" i="8" s="1"/>
  <c r="BG259" i="22"/>
  <c r="BD259" i="22" s="1"/>
  <c r="BL259" i="22"/>
  <c r="BH125" i="8"/>
  <c r="W118" i="18"/>
  <c r="X118" i="18" s="1"/>
  <c r="HM115" i="8"/>
  <c r="IC115" i="8"/>
  <c r="AI280" i="17" l="1"/>
  <c r="AH225" i="20"/>
  <c r="AF225" i="20" s="1"/>
  <c r="AQ280" i="17"/>
  <c r="AL281" i="17" s="1"/>
  <c r="FM214" i="8"/>
  <c r="HD217" i="8"/>
  <c r="HB217" i="8" s="1"/>
  <c r="FQ214" i="8"/>
  <c r="FN215" i="8" s="1"/>
  <c r="DY225" i="8"/>
  <c r="DX225" i="8" s="1"/>
  <c r="DU225" i="8" s="1"/>
  <c r="DS225" i="8" s="1"/>
  <c r="DV225" i="8"/>
  <c r="BI260" i="22"/>
  <c r="BK260" i="22" s="1"/>
  <c r="BJ260" i="22" s="1"/>
  <c r="BG260" i="22" s="1"/>
  <c r="BD260" i="22" s="1"/>
  <c r="BH260" i="22"/>
  <c r="HE218" i="8"/>
  <c r="HH218" i="8"/>
  <c r="HG218" i="8" s="1"/>
  <c r="BH126" i="8"/>
  <c r="W119" i="18"/>
  <c r="X119" i="18" s="1"/>
  <c r="IC116" i="8"/>
  <c r="HM116" i="8"/>
  <c r="AN281" i="17" l="1"/>
  <c r="AP281" i="17" s="1"/>
  <c r="AO281" i="17" s="1"/>
  <c r="AK281" i="17" s="1"/>
  <c r="DZ225" i="8"/>
  <c r="DV226" i="8" s="1"/>
  <c r="FM215" i="8"/>
  <c r="FP215" i="8"/>
  <c r="FO215" i="8" s="1"/>
  <c r="FL215" i="8" s="1"/>
  <c r="FJ215" i="8" s="1"/>
  <c r="BL260" i="22"/>
  <c r="HI218" i="8"/>
  <c r="HF219" i="8" s="1"/>
  <c r="HD218" i="8"/>
  <c r="HB218" i="8" s="1"/>
  <c r="BH127" i="8"/>
  <c r="W120" i="18"/>
  <c r="X120" i="18" s="1"/>
  <c r="HM117" i="8"/>
  <c r="IC117" i="8"/>
  <c r="AI281" i="17" l="1"/>
  <c r="AH226" i="20"/>
  <c r="AF226" i="20" s="1"/>
  <c r="AQ281" i="17"/>
  <c r="AN282" i="17" s="1"/>
  <c r="AP282" i="17" s="1"/>
  <c r="AO282" i="17" s="1"/>
  <c r="AK282" i="17" s="1"/>
  <c r="DW226" i="8"/>
  <c r="DY226" i="8" s="1"/>
  <c r="DX226" i="8" s="1"/>
  <c r="DU226" i="8" s="1"/>
  <c r="DS226" i="8" s="1"/>
  <c r="FQ215" i="8"/>
  <c r="FN216" i="8" s="1"/>
  <c r="BI261" i="22"/>
  <c r="BK261" i="22" s="1"/>
  <c r="BJ261" i="22" s="1"/>
  <c r="BH261" i="22"/>
  <c r="HE219" i="8"/>
  <c r="HH219" i="8"/>
  <c r="HG219" i="8" s="1"/>
  <c r="BH128" i="8"/>
  <c r="W121" i="18"/>
  <c r="X121" i="18" s="1"/>
  <c r="IC118" i="8"/>
  <c r="HM118" i="8"/>
  <c r="AI282" i="17" l="1"/>
  <c r="AH227" i="20"/>
  <c r="AF227" i="20" s="1"/>
  <c r="AL282" i="17"/>
  <c r="AQ282" i="17"/>
  <c r="DZ226" i="8"/>
  <c r="DW227" i="8" s="1"/>
  <c r="DY227" i="8" s="1"/>
  <c r="DX227" i="8" s="1"/>
  <c r="FM216" i="8"/>
  <c r="FP216" i="8"/>
  <c r="FO216" i="8" s="1"/>
  <c r="FQ216" i="8" s="1"/>
  <c r="FN217" i="8" s="1"/>
  <c r="BG261" i="22"/>
  <c r="BD261" i="22" s="1"/>
  <c r="BL261" i="22"/>
  <c r="HD219" i="8"/>
  <c r="HB219" i="8" s="1"/>
  <c r="HI219" i="8"/>
  <c r="HF220" i="8" s="1"/>
  <c r="BH129" i="8"/>
  <c r="W122" i="18"/>
  <c r="X122" i="18" s="1"/>
  <c r="IC119" i="8"/>
  <c r="HM119" i="8"/>
  <c r="AL283" i="17" l="1"/>
  <c r="AN283" i="17"/>
  <c r="AP283" i="17" s="1"/>
  <c r="AO283" i="17" s="1"/>
  <c r="AK283" i="17" s="1"/>
  <c r="DV227" i="8"/>
  <c r="FL216" i="8"/>
  <c r="FJ216" i="8" s="1"/>
  <c r="DU227" i="8"/>
  <c r="DS227" i="8" s="1"/>
  <c r="DZ227" i="8"/>
  <c r="DW228" i="8" s="1"/>
  <c r="BI262" i="22"/>
  <c r="BK262" i="22" s="1"/>
  <c r="BJ262" i="22" s="1"/>
  <c r="BG262" i="22" s="1"/>
  <c r="BD262" i="22" s="1"/>
  <c r="BH262" i="22"/>
  <c r="FM217" i="8"/>
  <c r="HE220" i="8"/>
  <c r="HH220" i="8"/>
  <c r="HG220" i="8" s="1"/>
  <c r="HD220" i="8" s="1"/>
  <c r="HB220" i="8" s="1"/>
  <c r="FP217" i="8"/>
  <c r="FO217" i="8" s="1"/>
  <c r="BH130" i="8"/>
  <c r="W123" i="18"/>
  <c r="X123" i="18" s="1"/>
  <c r="HM120" i="8"/>
  <c r="IC120" i="8"/>
  <c r="AI283" i="17" l="1"/>
  <c r="AH228" i="20"/>
  <c r="AF228" i="20" s="1"/>
  <c r="AQ283" i="17"/>
  <c r="DV228" i="8"/>
  <c r="DY228" i="8"/>
  <c r="DX228" i="8" s="1"/>
  <c r="DU228" i="8" s="1"/>
  <c r="DS228" i="8" s="1"/>
  <c r="BL262" i="22"/>
  <c r="BI263" i="22" s="1"/>
  <c r="BK263" i="22" s="1"/>
  <c r="BJ263" i="22" s="1"/>
  <c r="HI220" i="8"/>
  <c r="HF221" i="8" s="1"/>
  <c r="FL217" i="8"/>
  <c r="FJ217" i="8" s="1"/>
  <c r="FQ217" i="8"/>
  <c r="FN218" i="8" s="1"/>
  <c r="BH131" i="8"/>
  <c r="W124" i="18"/>
  <c r="X124" i="18" s="1"/>
  <c r="IC121" i="8"/>
  <c r="HM121" i="8"/>
  <c r="AN284" i="17" l="1"/>
  <c r="AP284" i="17" s="1"/>
  <c r="AO284" i="17" s="1"/>
  <c r="AK284" i="17" s="1"/>
  <c r="AL284" i="17"/>
  <c r="DZ228" i="8"/>
  <c r="DW229" i="8" s="1"/>
  <c r="BH263" i="22"/>
  <c r="BG263" i="22"/>
  <c r="BD263" i="22" s="1"/>
  <c r="BL263" i="22"/>
  <c r="BI264" i="22" s="1"/>
  <c r="HE221" i="8"/>
  <c r="HH221" i="8"/>
  <c r="HG221" i="8" s="1"/>
  <c r="FP218" i="8"/>
  <c r="FO218" i="8" s="1"/>
  <c r="FL218" i="8" s="1"/>
  <c r="FJ218" i="8" s="1"/>
  <c r="FM218" i="8"/>
  <c r="BH132" i="8"/>
  <c r="W125" i="18"/>
  <c r="X125" i="18" s="1"/>
  <c r="IC122" i="8"/>
  <c r="HM122" i="8"/>
  <c r="AI284" i="17" l="1"/>
  <c r="AH229" i="20"/>
  <c r="AF229" i="20" s="1"/>
  <c r="AQ284" i="17"/>
  <c r="DV229" i="8"/>
  <c r="DY229" i="8"/>
  <c r="DX229" i="8" s="1"/>
  <c r="DU229" i="8" s="1"/>
  <c r="DS229" i="8" s="1"/>
  <c r="BH264" i="22"/>
  <c r="BK264" i="22"/>
  <c r="BJ264" i="22" s="1"/>
  <c r="BG264" i="22" s="1"/>
  <c r="BD264" i="22" s="1"/>
  <c r="HD221" i="8"/>
  <c r="HB221" i="8" s="1"/>
  <c r="HI221" i="8"/>
  <c r="HF222" i="8" s="1"/>
  <c r="FQ218" i="8"/>
  <c r="FN219" i="8" s="1"/>
  <c r="BH133" i="8"/>
  <c r="W126" i="18"/>
  <c r="HM123" i="8"/>
  <c r="IC123" i="8"/>
  <c r="AN285" i="17" l="1"/>
  <c r="AP285" i="17" s="1"/>
  <c r="AO285" i="17" s="1"/>
  <c r="AK285" i="17" s="1"/>
  <c r="AL285" i="17"/>
  <c r="DZ229" i="8"/>
  <c r="DW230" i="8" s="1"/>
  <c r="BL264" i="22"/>
  <c r="BH265" i="22" s="1"/>
  <c r="HE222" i="8"/>
  <c r="HH222" i="8"/>
  <c r="HG222" i="8" s="1"/>
  <c r="FP219" i="8"/>
  <c r="FO219" i="8" s="1"/>
  <c r="FL219" i="8" s="1"/>
  <c r="FJ219" i="8" s="1"/>
  <c r="FM219" i="8"/>
  <c r="BH134" i="8"/>
  <c r="W127" i="18"/>
  <c r="X127" i="18" s="1"/>
  <c r="IC124" i="8"/>
  <c r="HM124" i="8"/>
  <c r="AI285" i="17" l="1"/>
  <c r="AH230" i="20"/>
  <c r="AF230" i="20" s="1"/>
  <c r="AQ285" i="17"/>
  <c r="DY230" i="8"/>
  <c r="DX230" i="8" s="1"/>
  <c r="DU230" i="8" s="1"/>
  <c r="DS230" i="8" s="1"/>
  <c r="DV230" i="8"/>
  <c r="BI265" i="22"/>
  <c r="BK265" i="22" s="1"/>
  <c r="BJ265" i="22" s="1"/>
  <c r="BG265" i="22" s="1"/>
  <c r="BD265" i="22" s="1"/>
  <c r="HD222" i="8"/>
  <c r="HB222" i="8" s="1"/>
  <c r="HI222" i="8"/>
  <c r="HF223" i="8" s="1"/>
  <c r="FQ219" i="8"/>
  <c r="FN220" i="8" s="1"/>
  <c r="BH135" i="8"/>
  <c r="W128" i="18"/>
  <c r="X128" i="18" s="1"/>
  <c r="HM125" i="8"/>
  <c r="IC125" i="8"/>
  <c r="AL286" i="17" l="1"/>
  <c r="AN286" i="17"/>
  <c r="AP286" i="17" s="1"/>
  <c r="AO286" i="17" s="1"/>
  <c r="AK286" i="17" s="1"/>
  <c r="DZ230" i="8"/>
  <c r="DW231" i="8" s="1"/>
  <c r="BL265" i="22"/>
  <c r="BI266" i="22" s="1"/>
  <c r="BK266" i="22" s="1"/>
  <c r="BJ266" i="22" s="1"/>
  <c r="HH223" i="8"/>
  <c r="HG223" i="8" s="1"/>
  <c r="HD223" i="8" s="1"/>
  <c r="HB223" i="8" s="1"/>
  <c r="HE223" i="8"/>
  <c r="FP220" i="8"/>
  <c r="FO220" i="8" s="1"/>
  <c r="FQ220" i="8" s="1"/>
  <c r="FN221" i="8" s="1"/>
  <c r="FM220" i="8"/>
  <c r="BH136" i="8"/>
  <c r="W129" i="18"/>
  <c r="X129" i="18" s="1"/>
  <c r="HM126" i="8"/>
  <c r="IC126" i="8"/>
  <c r="AI286" i="17" l="1"/>
  <c r="AH231" i="20"/>
  <c r="AF231" i="20" s="1"/>
  <c r="AQ286" i="17"/>
  <c r="DV231" i="8"/>
  <c r="DY231" i="8"/>
  <c r="DX231" i="8" s="1"/>
  <c r="DU231" i="8" s="1"/>
  <c r="DS231" i="8" s="1"/>
  <c r="BH266" i="22"/>
  <c r="BG266" i="22"/>
  <c r="BD266" i="22" s="1"/>
  <c r="BL266" i="22"/>
  <c r="HI223" i="8"/>
  <c r="FL220" i="8"/>
  <c r="FJ220" i="8" s="1"/>
  <c r="FP221" i="8"/>
  <c r="FO221" i="8" s="1"/>
  <c r="FM221" i="8"/>
  <c r="BH137" i="8"/>
  <c r="W130" i="18"/>
  <c r="X130" i="18" s="1"/>
  <c r="IC127" i="8"/>
  <c r="HM127" i="8"/>
  <c r="AL287" i="17" l="1"/>
  <c r="AN287" i="17"/>
  <c r="AP287" i="17" s="1"/>
  <c r="AO287" i="17" s="1"/>
  <c r="AK287" i="17" s="1"/>
  <c r="DZ231" i="8"/>
  <c r="DW232" i="8" s="1"/>
  <c r="HF224" i="8"/>
  <c r="HH224" i="8" s="1"/>
  <c r="HG224" i="8" s="1"/>
  <c r="HD224" i="8" s="1"/>
  <c r="HB224" i="8" s="1"/>
  <c r="BI267" i="22"/>
  <c r="BK267" i="22" s="1"/>
  <c r="BJ267" i="22" s="1"/>
  <c r="BH267" i="22"/>
  <c r="HE224" i="8"/>
  <c r="FL221" i="8"/>
  <c r="FJ221" i="8" s="1"/>
  <c r="FQ221" i="8"/>
  <c r="FN222" i="8" s="1"/>
  <c r="BH138" i="8"/>
  <c r="W131" i="18"/>
  <c r="X131" i="18" s="1"/>
  <c r="HM128" i="8"/>
  <c r="IC128" i="8"/>
  <c r="AI287" i="17" l="1"/>
  <c r="AH232" i="20"/>
  <c r="AF232" i="20" s="1"/>
  <c r="AQ287" i="17"/>
  <c r="DV232" i="8"/>
  <c r="DY232" i="8"/>
  <c r="DX232" i="8" s="1"/>
  <c r="DU232" i="8" s="1"/>
  <c r="DS232" i="8" s="1"/>
  <c r="HI224" i="8"/>
  <c r="HF225" i="8" s="1"/>
  <c r="BG267" i="22"/>
  <c r="BD267" i="22" s="1"/>
  <c r="BL267" i="22"/>
  <c r="FM222" i="8"/>
  <c r="FP222" i="8"/>
  <c r="FO222" i="8" s="1"/>
  <c r="BH139" i="8"/>
  <c r="W132" i="18"/>
  <c r="X132" i="18" s="1"/>
  <c r="HM129" i="8"/>
  <c r="IC129" i="8"/>
  <c r="AN288" i="17" l="1"/>
  <c r="AP288" i="17" s="1"/>
  <c r="AO288" i="17" s="1"/>
  <c r="AK288" i="17" s="1"/>
  <c r="AL288" i="17"/>
  <c r="DZ232" i="8"/>
  <c r="DW233" i="8" s="1"/>
  <c r="HH225" i="8"/>
  <c r="HG225" i="8" s="1"/>
  <c r="HD225" i="8" s="1"/>
  <c r="HB225" i="8" s="1"/>
  <c r="HE225" i="8"/>
  <c r="BI268" i="22"/>
  <c r="BK268" i="22" s="1"/>
  <c r="BJ268" i="22" s="1"/>
  <c r="BG268" i="22" s="1"/>
  <c r="BD268" i="22" s="1"/>
  <c r="BH268" i="22"/>
  <c r="FL222" i="8"/>
  <c r="FJ222" i="8" s="1"/>
  <c r="FQ222" i="8"/>
  <c r="FN223" i="8" s="1"/>
  <c r="BH140" i="8"/>
  <c r="W133" i="18"/>
  <c r="X133" i="18" s="1"/>
  <c r="IC130" i="8"/>
  <c r="HM130" i="8"/>
  <c r="AI288" i="17" l="1"/>
  <c r="AH233" i="20"/>
  <c r="AF233" i="20" s="1"/>
  <c r="AQ288" i="17"/>
  <c r="DV233" i="8"/>
  <c r="DY233" i="8"/>
  <c r="DX233" i="8" s="1"/>
  <c r="DU233" i="8" s="1"/>
  <c r="DS233" i="8" s="1"/>
  <c r="HI225" i="8"/>
  <c r="HF226" i="8" s="1"/>
  <c r="BL268" i="22"/>
  <c r="FP223" i="8"/>
  <c r="FO223" i="8" s="1"/>
  <c r="FM223" i="8"/>
  <c r="BH141" i="8"/>
  <c r="W134" i="18"/>
  <c r="X134" i="18" s="1"/>
  <c r="HM131" i="8"/>
  <c r="IC131" i="8"/>
  <c r="AN289" i="17" l="1"/>
  <c r="AP289" i="17" s="1"/>
  <c r="AO289" i="17" s="1"/>
  <c r="AK289" i="17" s="1"/>
  <c r="AL289" i="17"/>
  <c r="DZ233" i="8"/>
  <c r="DW234" i="8" s="1"/>
  <c r="DY234" i="8" s="1"/>
  <c r="DX234" i="8" s="1"/>
  <c r="HE226" i="8"/>
  <c r="HH226" i="8"/>
  <c r="HG226" i="8" s="1"/>
  <c r="HD226" i="8" s="1"/>
  <c r="HB226" i="8" s="1"/>
  <c r="BH269" i="22"/>
  <c r="BI269" i="22"/>
  <c r="BK269" i="22" s="1"/>
  <c r="BJ269" i="22" s="1"/>
  <c r="BG269" i="22" s="1"/>
  <c r="BD269" i="22" s="1"/>
  <c r="FL223" i="8"/>
  <c r="FJ223" i="8" s="1"/>
  <c r="FQ223" i="8"/>
  <c r="FN224" i="8" s="1"/>
  <c r="BH142" i="8"/>
  <c r="W135" i="18"/>
  <c r="X135" i="18" s="1"/>
  <c r="IC132" i="8"/>
  <c r="HM132" i="8"/>
  <c r="AI289" i="17" l="1"/>
  <c r="AH234" i="20"/>
  <c r="AF234" i="20" s="1"/>
  <c r="AQ289" i="17"/>
  <c r="DV234" i="8"/>
  <c r="HI226" i="8"/>
  <c r="HF227" i="8" s="1"/>
  <c r="HH227" i="8" s="1"/>
  <c r="HG227" i="8" s="1"/>
  <c r="DZ234" i="8"/>
  <c r="DW235" i="8" s="1"/>
  <c r="DU234" i="8"/>
  <c r="DS234" i="8" s="1"/>
  <c r="BL269" i="22"/>
  <c r="BH270" i="22" s="1"/>
  <c r="FP224" i="8"/>
  <c r="FO224" i="8" s="1"/>
  <c r="FM224" i="8"/>
  <c r="BH143" i="8"/>
  <c r="W136" i="18"/>
  <c r="X136" i="18" s="1"/>
  <c r="HM133" i="8"/>
  <c r="IC133" i="8"/>
  <c r="AN290" i="17" l="1"/>
  <c r="AP290" i="17" s="1"/>
  <c r="AO290" i="17" s="1"/>
  <c r="AK290" i="17" s="1"/>
  <c r="AL290" i="17"/>
  <c r="HE227" i="8"/>
  <c r="HD227" i="8"/>
  <c r="HB227" i="8" s="1"/>
  <c r="HI227" i="8"/>
  <c r="HF228" i="8" s="1"/>
  <c r="DV235" i="8"/>
  <c r="DY235" i="8"/>
  <c r="DX235" i="8" s="1"/>
  <c r="DU235" i="8" s="1"/>
  <c r="DS235" i="8" s="1"/>
  <c r="BI270" i="22"/>
  <c r="BK270" i="22" s="1"/>
  <c r="BJ270" i="22" s="1"/>
  <c r="FQ224" i="8"/>
  <c r="FL224" i="8"/>
  <c r="FJ224" i="8" s="1"/>
  <c r="BH144" i="8"/>
  <c r="W137" i="18"/>
  <c r="X137" i="18" s="1"/>
  <c r="HM134" i="8"/>
  <c r="IC134" i="8"/>
  <c r="AI290" i="17" l="1"/>
  <c r="AH235" i="20"/>
  <c r="AF235" i="20" s="1"/>
  <c r="AQ290" i="17"/>
  <c r="HH228" i="8"/>
  <c r="HG228" i="8" s="1"/>
  <c r="HD228" i="8" s="1"/>
  <c r="HB228" i="8" s="1"/>
  <c r="HE228" i="8"/>
  <c r="DZ235" i="8"/>
  <c r="DW236" i="8" s="1"/>
  <c r="DY236" i="8" s="1"/>
  <c r="DX236" i="8" s="1"/>
  <c r="FN225" i="8"/>
  <c r="FP225" i="8" s="1"/>
  <c r="FO225" i="8" s="1"/>
  <c r="FL225" i="8" s="1"/>
  <c r="FJ225" i="8" s="1"/>
  <c r="BG270" i="22"/>
  <c r="BD270" i="22" s="1"/>
  <c r="BL270" i="22"/>
  <c r="FM225" i="8"/>
  <c r="BH145" i="8"/>
  <c r="W138" i="18"/>
  <c r="IC135" i="8"/>
  <c r="HM135" i="8"/>
  <c r="AL291" i="17" l="1"/>
  <c r="AN291" i="17"/>
  <c r="AP291" i="17" s="1"/>
  <c r="AO291" i="17" s="1"/>
  <c r="AK291" i="17" s="1"/>
  <c r="HI228" i="8"/>
  <c r="HF229" i="8" s="1"/>
  <c r="FQ225" i="8"/>
  <c r="FN226" i="8" s="1"/>
  <c r="DV236" i="8"/>
  <c r="DU236" i="8"/>
  <c r="DS236" i="8" s="1"/>
  <c r="DZ236" i="8"/>
  <c r="DW237" i="8" s="1"/>
  <c r="BI271" i="22"/>
  <c r="BK271" i="22" s="1"/>
  <c r="BJ271" i="22" s="1"/>
  <c r="BH271" i="22"/>
  <c r="BH146" i="8"/>
  <c r="W139" i="18"/>
  <c r="X139" i="18" s="1"/>
  <c r="HM136" i="8"/>
  <c r="IC136" i="8"/>
  <c r="AI291" i="17" l="1"/>
  <c r="AH236" i="20"/>
  <c r="AF236" i="20" s="1"/>
  <c r="AQ291" i="17"/>
  <c r="HE229" i="8"/>
  <c r="HH229" i="8"/>
  <c r="HG229" i="8" s="1"/>
  <c r="HD229" i="8" s="1"/>
  <c r="HB229" i="8" s="1"/>
  <c r="FM226" i="8"/>
  <c r="FP226" i="8"/>
  <c r="FO226" i="8" s="1"/>
  <c r="FL226" i="8" s="1"/>
  <c r="FJ226" i="8" s="1"/>
  <c r="DV237" i="8"/>
  <c r="DY237" i="8"/>
  <c r="DX237" i="8" s="1"/>
  <c r="DU237" i="8" s="1"/>
  <c r="DS237" i="8" s="1"/>
  <c r="BG271" i="22"/>
  <c r="BD271" i="22" s="1"/>
  <c r="BL271" i="22"/>
  <c r="BH147" i="8"/>
  <c r="W140" i="18"/>
  <c r="X140" i="18" s="1"/>
  <c r="HM137" i="8"/>
  <c r="IC137" i="8"/>
  <c r="AL292" i="17" l="1"/>
  <c r="AN292" i="17"/>
  <c r="AP292" i="17" s="1"/>
  <c r="AO292" i="17" s="1"/>
  <c r="AK292" i="17" s="1"/>
  <c r="HI229" i="8"/>
  <c r="HF230" i="8" s="1"/>
  <c r="HH230" i="8" s="1"/>
  <c r="HG230" i="8" s="1"/>
  <c r="HD230" i="8" s="1"/>
  <c r="HB230" i="8" s="1"/>
  <c r="DZ237" i="8"/>
  <c r="DW238" i="8" s="1"/>
  <c r="FQ226" i="8"/>
  <c r="FN227" i="8" s="1"/>
  <c r="BI272" i="22"/>
  <c r="BK272" i="22" s="1"/>
  <c r="BJ272" i="22" s="1"/>
  <c r="BG272" i="22" s="1"/>
  <c r="BD272" i="22" s="1"/>
  <c r="BH272" i="22"/>
  <c r="BH148" i="8"/>
  <c r="W141" i="18"/>
  <c r="X141" i="18" s="1"/>
  <c r="IC138" i="8"/>
  <c r="HM138" i="8"/>
  <c r="AI292" i="17" l="1"/>
  <c r="AH237" i="20"/>
  <c r="AF237" i="20" s="1"/>
  <c r="AQ292" i="17"/>
  <c r="HE230" i="8"/>
  <c r="DV238" i="8"/>
  <c r="DY238" i="8"/>
  <c r="DX238" i="8" s="1"/>
  <c r="DU238" i="8" s="1"/>
  <c r="DS238" i="8" s="1"/>
  <c r="FM227" i="8"/>
  <c r="FP227" i="8"/>
  <c r="FO227" i="8" s="1"/>
  <c r="FL227" i="8" s="1"/>
  <c r="FJ227" i="8" s="1"/>
  <c r="HI230" i="8"/>
  <c r="HF231" i="8" s="1"/>
  <c r="HH231" i="8" s="1"/>
  <c r="HG231" i="8" s="1"/>
  <c r="BL272" i="22"/>
  <c r="BI273" i="22" s="1"/>
  <c r="BH149" i="8"/>
  <c r="W142" i="18"/>
  <c r="X142" i="18" s="1"/>
  <c r="HM139" i="8"/>
  <c r="IC139" i="8"/>
  <c r="AN293" i="17" l="1"/>
  <c r="AP293" i="17" s="1"/>
  <c r="AO293" i="17" s="1"/>
  <c r="AK293" i="17" s="1"/>
  <c r="AL293" i="17"/>
  <c r="FQ227" i="8"/>
  <c r="FN228" i="8" s="1"/>
  <c r="HE231" i="8"/>
  <c r="DZ238" i="8"/>
  <c r="DW239" i="8" s="1"/>
  <c r="DY239" i="8" s="1"/>
  <c r="DX239" i="8" s="1"/>
  <c r="DU239" i="8" s="1"/>
  <c r="DS239" i="8" s="1"/>
  <c r="BH273" i="22"/>
  <c r="BK273" i="22"/>
  <c r="BJ273" i="22" s="1"/>
  <c r="BG273" i="22" s="1"/>
  <c r="BD273" i="22" s="1"/>
  <c r="HD231" i="8"/>
  <c r="HB231" i="8" s="1"/>
  <c r="HI231" i="8"/>
  <c r="HF232" i="8" s="1"/>
  <c r="BH150" i="8"/>
  <c r="W143" i="18"/>
  <c r="X143" i="18" s="1"/>
  <c r="HM140" i="8"/>
  <c r="IC140" i="8"/>
  <c r="AI293" i="17" l="1"/>
  <c r="AH238" i="20"/>
  <c r="AF238" i="20" s="1"/>
  <c r="AQ293" i="17"/>
  <c r="FM228" i="8"/>
  <c r="FP228" i="8"/>
  <c r="FO228" i="8" s="1"/>
  <c r="FL228" i="8" s="1"/>
  <c r="FJ228" i="8" s="1"/>
  <c r="DV239" i="8"/>
  <c r="BL273" i="22"/>
  <c r="BH274" i="22" s="1"/>
  <c r="HE232" i="8"/>
  <c r="HH232" i="8"/>
  <c r="HG232" i="8" s="1"/>
  <c r="DZ239" i="8"/>
  <c r="DW240" i="8" s="1"/>
  <c r="BH151" i="8"/>
  <c r="W144" i="18"/>
  <c r="X144" i="18" s="1"/>
  <c r="IC141" i="8"/>
  <c r="HM141" i="8"/>
  <c r="AN294" i="17" l="1"/>
  <c r="AP294" i="17" s="1"/>
  <c r="AO294" i="17" s="1"/>
  <c r="AK294" i="17" s="1"/>
  <c r="AL294" i="17"/>
  <c r="FQ228" i="8"/>
  <c r="FN229" i="8" s="1"/>
  <c r="BI274" i="22"/>
  <c r="BK274" i="22" s="1"/>
  <c r="BJ274" i="22" s="1"/>
  <c r="BG274" i="22" s="1"/>
  <c r="BD274" i="22" s="1"/>
  <c r="HD232" i="8"/>
  <c r="HB232" i="8" s="1"/>
  <c r="HI232" i="8"/>
  <c r="HF233" i="8" s="1"/>
  <c r="DY240" i="8"/>
  <c r="DX240" i="8" s="1"/>
  <c r="DU240" i="8" s="1"/>
  <c r="DS240" i="8" s="1"/>
  <c r="DV240" i="8"/>
  <c r="BH152" i="8"/>
  <c r="W145" i="18"/>
  <c r="X145" i="18" s="1"/>
  <c r="HM142" i="8"/>
  <c r="IC142" i="8"/>
  <c r="FM229" i="8" l="1"/>
  <c r="AI294" i="17"/>
  <c r="AH239" i="20"/>
  <c r="AF239" i="20" s="1"/>
  <c r="AQ294" i="17"/>
  <c r="BL274" i="22"/>
  <c r="BH275" i="22" s="1"/>
  <c r="HE233" i="8"/>
  <c r="HH233" i="8"/>
  <c r="HG233" i="8" s="1"/>
  <c r="FP229" i="8"/>
  <c r="FO229" i="8" s="1"/>
  <c r="DZ240" i="8"/>
  <c r="DW241" i="8" s="1"/>
  <c r="BH153" i="8"/>
  <c r="W146" i="18"/>
  <c r="X146" i="18" s="1"/>
  <c r="HM143" i="8"/>
  <c r="IC143" i="8"/>
  <c r="AL295" i="17" l="1"/>
  <c r="AN295" i="17"/>
  <c r="AP295" i="17" s="1"/>
  <c r="AO295" i="17" s="1"/>
  <c r="AK295" i="17" s="1"/>
  <c r="BI275" i="22"/>
  <c r="BK275" i="22" s="1"/>
  <c r="BJ275" i="22" s="1"/>
  <c r="BG275" i="22" s="1"/>
  <c r="BD275" i="22" s="1"/>
  <c r="HD233" i="8"/>
  <c r="HB233" i="8" s="1"/>
  <c r="HI233" i="8"/>
  <c r="HF234" i="8" s="1"/>
  <c r="FL229" i="8"/>
  <c r="FJ229" i="8" s="1"/>
  <c r="FQ229" i="8"/>
  <c r="FN230" i="8" s="1"/>
  <c r="DY241" i="8"/>
  <c r="DX241" i="8" s="1"/>
  <c r="DV241" i="8"/>
  <c r="BH154" i="8"/>
  <c r="W147" i="18"/>
  <c r="X147" i="18" s="1"/>
  <c r="IC144" i="8"/>
  <c r="HM144" i="8"/>
  <c r="AI295" i="17" l="1"/>
  <c r="AH240" i="20"/>
  <c r="AF240" i="20" s="1"/>
  <c r="AQ295" i="17"/>
  <c r="BL275" i="22"/>
  <c r="BH276" i="22" s="1"/>
  <c r="HE234" i="8"/>
  <c r="HH234" i="8"/>
  <c r="HG234" i="8" s="1"/>
  <c r="HD234" i="8" s="1"/>
  <c r="HB234" i="8" s="1"/>
  <c r="FP230" i="8"/>
  <c r="FO230" i="8" s="1"/>
  <c r="FL230" i="8" s="1"/>
  <c r="FJ230" i="8" s="1"/>
  <c r="FM230" i="8"/>
  <c r="DU241" i="8"/>
  <c r="DS241" i="8" s="1"/>
  <c r="DZ241" i="8"/>
  <c r="DW242" i="8" s="1"/>
  <c r="BH155" i="8"/>
  <c r="W148" i="18"/>
  <c r="X148" i="18" s="1"/>
  <c r="HM145" i="8"/>
  <c r="IC145" i="8"/>
  <c r="AL296" i="17" l="1"/>
  <c r="AN296" i="17"/>
  <c r="AP296" i="17" s="1"/>
  <c r="AO296" i="17" s="1"/>
  <c r="AK296" i="17" s="1"/>
  <c r="BI276" i="22"/>
  <c r="BK276" i="22" s="1"/>
  <c r="BJ276" i="22" s="1"/>
  <c r="BG276" i="22" s="1"/>
  <c r="BD276" i="22" s="1"/>
  <c r="HI234" i="8"/>
  <c r="HF235" i="8" s="1"/>
  <c r="FQ230" i="8"/>
  <c r="FN231" i="8" s="1"/>
  <c r="DY242" i="8"/>
  <c r="DX242" i="8" s="1"/>
  <c r="DU242" i="8" s="1"/>
  <c r="DS242" i="8" s="1"/>
  <c r="DV242" i="8"/>
  <c r="BH156" i="8"/>
  <c r="W149" i="18"/>
  <c r="X149" i="18" s="1"/>
  <c r="IC146" i="8"/>
  <c r="HM146" i="8"/>
  <c r="AI296" i="17" l="1"/>
  <c r="AH241" i="20"/>
  <c r="AF241" i="20" s="1"/>
  <c r="AQ296" i="17"/>
  <c r="BL276" i="22"/>
  <c r="BI277" i="22" s="1"/>
  <c r="BK277" i="22" s="1"/>
  <c r="BJ277" i="22" s="1"/>
  <c r="BG277" i="22" s="1"/>
  <c r="BD277" i="22" s="1"/>
  <c r="HH235" i="8"/>
  <c r="HG235" i="8" s="1"/>
  <c r="HD235" i="8" s="1"/>
  <c r="HB235" i="8" s="1"/>
  <c r="HE235" i="8"/>
  <c r="FM231" i="8"/>
  <c r="FP231" i="8"/>
  <c r="FO231" i="8" s="1"/>
  <c r="FL231" i="8" s="1"/>
  <c r="FJ231" i="8" s="1"/>
  <c r="DZ242" i="8"/>
  <c r="DW243" i="8" s="1"/>
  <c r="BH157" i="8"/>
  <c r="W150" i="18"/>
  <c r="HM147" i="8"/>
  <c r="IC147" i="8"/>
  <c r="AN297" i="17" l="1"/>
  <c r="AP297" i="17" s="1"/>
  <c r="AO297" i="17" s="1"/>
  <c r="AK297" i="17" s="1"/>
  <c r="AL297" i="17"/>
  <c r="BH277" i="22"/>
  <c r="BL277" i="22"/>
  <c r="HI235" i="8"/>
  <c r="FQ231" i="8"/>
  <c r="FN232" i="8" s="1"/>
  <c r="DV243" i="8"/>
  <c r="DY243" i="8"/>
  <c r="DX243" i="8" s="1"/>
  <c r="DU243" i="8" s="1"/>
  <c r="DS243" i="8" s="1"/>
  <c r="BH158" i="8"/>
  <c r="W151" i="18"/>
  <c r="X151" i="18" s="1"/>
  <c r="HM148" i="8"/>
  <c r="IC148" i="8"/>
  <c r="AI297" i="17" l="1"/>
  <c r="AH242" i="20"/>
  <c r="AF242" i="20" s="1"/>
  <c r="AQ297" i="17"/>
  <c r="HF236" i="8"/>
  <c r="HH236" i="8" s="1"/>
  <c r="HG236" i="8" s="1"/>
  <c r="HD236" i="8" s="1"/>
  <c r="HB236" i="8" s="1"/>
  <c r="BH278" i="22"/>
  <c r="BI278" i="22"/>
  <c r="BK278" i="22" s="1"/>
  <c r="BJ278" i="22" s="1"/>
  <c r="HE236" i="8"/>
  <c r="FP232" i="8"/>
  <c r="FO232" i="8" s="1"/>
  <c r="FL232" i="8" s="1"/>
  <c r="FJ232" i="8" s="1"/>
  <c r="FM232" i="8"/>
  <c r="DZ243" i="8"/>
  <c r="DW244" i="8" s="1"/>
  <c r="BH159" i="8"/>
  <c r="W152" i="18"/>
  <c r="X152" i="18" s="1"/>
  <c r="IC149" i="8"/>
  <c r="HM149" i="8"/>
  <c r="AN298" i="17" l="1"/>
  <c r="AP298" i="17" s="1"/>
  <c r="AO298" i="17" s="1"/>
  <c r="AK298" i="17" s="1"/>
  <c r="AL298" i="17"/>
  <c r="HI236" i="8"/>
  <c r="HF237" i="8" s="1"/>
  <c r="BG278" i="22"/>
  <c r="BD278" i="22" s="1"/>
  <c r="BL278" i="22"/>
  <c r="FQ232" i="8"/>
  <c r="FN233" i="8" s="1"/>
  <c r="DV244" i="8"/>
  <c r="DY244" i="8"/>
  <c r="DX244" i="8" s="1"/>
  <c r="DU244" i="8" s="1"/>
  <c r="DS244" i="8" s="1"/>
  <c r="BH160" i="8"/>
  <c r="W153" i="18"/>
  <c r="X153" i="18" s="1"/>
  <c r="HM150" i="8"/>
  <c r="IC150" i="8"/>
  <c r="AI298" i="17" l="1"/>
  <c r="AH243" i="20"/>
  <c r="AF243" i="20" s="1"/>
  <c r="AQ298" i="17"/>
  <c r="HH237" i="8"/>
  <c r="HG237" i="8" s="1"/>
  <c r="HI237" i="8" s="1"/>
  <c r="HF238" i="8" s="1"/>
  <c r="HE237" i="8"/>
  <c r="BH279" i="22"/>
  <c r="BI279" i="22"/>
  <c r="BK279" i="22" s="1"/>
  <c r="BJ279" i="22" s="1"/>
  <c r="BG279" i="22" s="1"/>
  <c r="BD279" i="22" s="1"/>
  <c r="FM233" i="8"/>
  <c r="FP233" i="8"/>
  <c r="FO233" i="8" s="1"/>
  <c r="FL233" i="8" s="1"/>
  <c r="FJ233" i="8" s="1"/>
  <c r="DZ244" i="8"/>
  <c r="BH161" i="8"/>
  <c r="W154" i="18"/>
  <c r="X154" i="18" s="1"/>
  <c r="HM151" i="8"/>
  <c r="IC151" i="8"/>
  <c r="AN299" i="17" l="1"/>
  <c r="AP299" i="17" s="1"/>
  <c r="AO299" i="17" s="1"/>
  <c r="AK299" i="17" s="1"/>
  <c r="AL299" i="17"/>
  <c r="HD237" i="8"/>
  <c r="HB237" i="8" s="1"/>
  <c r="DW245" i="8"/>
  <c r="DY245" i="8" s="1"/>
  <c r="DX245" i="8" s="1"/>
  <c r="BL279" i="22"/>
  <c r="FQ233" i="8"/>
  <c r="FN234" i="8" s="1"/>
  <c r="HH238" i="8"/>
  <c r="HG238" i="8" s="1"/>
  <c r="HE238" i="8"/>
  <c r="DV245" i="8"/>
  <c r="BH162" i="8"/>
  <c r="W155" i="18"/>
  <c r="X155" i="18" s="1"/>
  <c r="IC152" i="8"/>
  <c r="HM152" i="8"/>
  <c r="AI299" i="17" l="1"/>
  <c r="AH244" i="20"/>
  <c r="AF244" i="20" s="1"/>
  <c r="AQ299" i="17"/>
  <c r="DU245" i="8"/>
  <c r="DS245" i="8" s="1"/>
  <c r="DZ245" i="8"/>
  <c r="DW246" i="8" s="1"/>
  <c r="BI280" i="22"/>
  <c r="BK280" i="22" s="1"/>
  <c r="BJ280" i="22" s="1"/>
  <c r="BG280" i="22" s="1"/>
  <c r="BD280" i="22" s="1"/>
  <c r="BH280" i="22"/>
  <c r="FP234" i="8"/>
  <c r="FO234" i="8" s="1"/>
  <c r="FL234" i="8" s="1"/>
  <c r="FJ234" i="8" s="1"/>
  <c r="FM234" i="8"/>
  <c r="HI238" i="8"/>
  <c r="HF239" i="8" s="1"/>
  <c r="HD238" i="8"/>
  <c r="HB238" i="8" s="1"/>
  <c r="BH163" i="8"/>
  <c r="W156" i="18"/>
  <c r="X156" i="18" s="1"/>
  <c r="HM153" i="8"/>
  <c r="IC153" i="8"/>
  <c r="AN300" i="17" l="1"/>
  <c r="AP300" i="17" s="1"/>
  <c r="AO300" i="17" s="1"/>
  <c r="AK300" i="17" s="1"/>
  <c r="AL300" i="17"/>
  <c r="DV246" i="8"/>
  <c r="DY246" i="8"/>
  <c r="DX246" i="8" s="1"/>
  <c r="DU246" i="8" s="1"/>
  <c r="DS246" i="8" s="1"/>
  <c r="BL280" i="22"/>
  <c r="FQ234" i="8"/>
  <c r="HH239" i="8"/>
  <c r="HG239" i="8" s="1"/>
  <c r="HE239" i="8"/>
  <c r="BH164" i="8"/>
  <c r="W157" i="18"/>
  <c r="X157" i="18" s="1"/>
  <c r="IC154" i="8"/>
  <c r="HM154" i="8"/>
  <c r="AI300" i="17" l="1"/>
  <c r="AH245" i="20"/>
  <c r="AF245" i="20" s="1"/>
  <c r="AQ300" i="17"/>
  <c r="DZ246" i="8"/>
  <c r="DW247" i="8" s="1"/>
  <c r="DY247" i="8" s="1"/>
  <c r="DX247" i="8" s="1"/>
  <c r="DU247" i="8" s="1"/>
  <c r="DS247" i="8" s="1"/>
  <c r="FN235" i="8"/>
  <c r="FP235" i="8" s="1"/>
  <c r="FO235" i="8" s="1"/>
  <c r="FL235" i="8" s="1"/>
  <c r="FJ235" i="8" s="1"/>
  <c r="BI281" i="22"/>
  <c r="BK281" i="22" s="1"/>
  <c r="BJ281" i="22" s="1"/>
  <c r="BG281" i="22" s="1"/>
  <c r="BD281" i="22" s="1"/>
  <c r="BH281" i="22"/>
  <c r="FM235" i="8"/>
  <c r="HD239" i="8"/>
  <c r="HB239" i="8" s="1"/>
  <c r="HI239" i="8"/>
  <c r="HF240" i="8" s="1"/>
  <c r="BH165" i="8"/>
  <c r="W158" i="18"/>
  <c r="X158" i="18" s="1"/>
  <c r="HM155" i="8"/>
  <c r="IC155" i="8"/>
  <c r="AN301" i="17" l="1"/>
  <c r="AP301" i="17" s="1"/>
  <c r="AO301" i="17" s="1"/>
  <c r="AK301" i="17" s="1"/>
  <c r="AL301" i="17"/>
  <c r="DV247" i="8"/>
  <c r="FQ235" i="8"/>
  <c r="FN236" i="8" s="1"/>
  <c r="BL281" i="22"/>
  <c r="HH240" i="8"/>
  <c r="HG240" i="8" s="1"/>
  <c r="HE240" i="8"/>
  <c r="DZ247" i="8"/>
  <c r="BH166" i="8"/>
  <c r="W159" i="18"/>
  <c r="X159" i="18" s="1"/>
  <c r="IC156" i="8"/>
  <c r="HM156" i="8"/>
  <c r="AI301" i="17" l="1"/>
  <c r="AH246" i="20"/>
  <c r="AF246" i="20" s="1"/>
  <c r="AQ301" i="17"/>
  <c r="FP236" i="8"/>
  <c r="FO236" i="8" s="1"/>
  <c r="FL236" i="8" s="1"/>
  <c r="FJ236" i="8" s="1"/>
  <c r="FM236" i="8"/>
  <c r="DV248" i="8"/>
  <c r="DW248" i="8"/>
  <c r="DY248" i="8" s="1"/>
  <c r="DX248" i="8" s="1"/>
  <c r="DU248" i="8" s="1"/>
  <c r="DS248" i="8" s="1"/>
  <c r="BH282" i="22"/>
  <c r="BI282" i="22"/>
  <c r="BK282" i="22" s="1"/>
  <c r="BJ282" i="22" s="1"/>
  <c r="BG282" i="22" s="1"/>
  <c r="BD282" i="22" s="1"/>
  <c r="HD240" i="8"/>
  <c r="HB240" i="8" s="1"/>
  <c r="HI240" i="8"/>
  <c r="HF241" i="8" s="1"/>
  <c r="BH167" i="8"/>
  <c r="W160" i="18"/>
  <c r="X160" i="18" s="1"/>
  <c r="HM157" i="8"/>
  <c r="IC157" i="8"/>
  <c r="AN302" i="17" l="1"/>
  <c r="AP302" i="17" s="1"/>
  <c r="AO302" i="17" s="1"/>
  <c r="AK302" i="17" s="1"/>
  <c r="AL302" i="17"/>
  <c r="FQ236" i="8"/>
  <c r="FN237" i="8" s="1"/>
  <c r="BL282" i="22"/>
  <c r="HH241" i="8"/>
  <c r="HG241" i="8" s="1"/>
  <c r="HE241" i="8"/>
  <c r="DZ248" i="8"/>
  <c r="DW249" i="8" s="1"/>
  <c r="BH168" i="8"/>
  <c r="W161" i="18"/>
  <c r="X161" i="18" s="1"/>
  <c r="IC158" i="8"/>
  <c r="HM158" i="8"/>
  <c r="AI302" i="17" l="1"/>
  <c r="AH247" i="20"/>
  <c r="AF247" i="20" s="1"/>
  <c r="AQ302" i="17"/>
  <c r="FM237" i="8"/>
  <c r="FP237" i="8"/>
  <c r="FO237" i="8" s="1"/>
  <c r="FQ237" i="8" s="1"/>
  <c r="FN238" i="8" s="1"/>
  <c r="BI283" i="22"/>
  <c r="BK283" i="22" s="1"/>
  <c r="BJ283" i="22" s="1"/>
  <c r="BG283" i="22" s="1"/>
  <c r="BD283" i="22" s="1"/>
  <c r="BH283" i="22"/>
  <c r="HD241" i="8"/>
  <c r="HB241" i="8" s="1"/>
  <c r="HI241" i="8"/>
  <c r="HF242" i="8" s="1"/>
  <c r="DV249" i="8"/>
  <c r="DY249" i="8"/>
  <c r="DX249" i="8" s="1"/>
  <c r="DU249" i="8" s="1"/>
  <c r="DS249" i="8" s="1"/>
  <c r="BH169" i="8"/>
  <c r="W162" i="18"/>
  <c r="IC159" i="8"/>
  <c r="HM159" i="8"/>
  <c r="AN303" i="17" l="1"/>
  <c r="AP303" i="17" s="1"/>
  <c r="AO303" i="17" s="1"/>
  <c r="AK303" i="17" s="1"/>
  <c r="AL303" i="17"/>
  <c r="FL237" i="8"/>
  <c r="FJ237" i="8" s="1"/>
  <c r="BL283" i="22"/>
  <c r="HH242" i="8"/>
  <c r="HG242" i="8" s="1"/>
  <c r="HE242" i="8"/>
  <c r="FM238" i="8"/>
  <c r="FP238" i="8"/>
  <c r="FO238" i="8" s="1"/>
  <c r="FL238" i="8" s="1"/>
  <c r="FJ238" i="8" s="1"/>
  <c r="DZ249" i="8"/>
  <c r="DW250" i="8" s="1"/>
  <c r="BH170" i="8"/>
  <c r="W163" i="18"/>
  <c r="X163" i="18" s="1"/>
  <c r="HM160" i="8"/>
  <c r="IC160" i="8"/>
  <c r="AI303" i="17" l="1"/>
  <c r="AH248" i="20"/>
  <c r="AF248" i="20" s="1"/>
  <c r="AQ303" i="17"/>
  <c r="BH284" i="22"/>
  <c r="BI284" i="22"/>
  <c r="BK284" i="22" s="1"/>
  <c r="BJ284" i="22" s="1"/>
  <c r="BG284" i="22" s="1"/>
  <c r="BD284" i="22" s="1"/>
  <c r="HD242" i="8"/>
  <c r="HB242" i="8" s="1"/>
  <c r="HI242" i="8"/>
  <c r="HF243" i="8" s="1"/>
  <c r="FQ238" i="8"/>
  <c r="FN239" i="8" s="1"/>
  <c r="DV250" i="8"/>
  <c r="DY250" i="8"/>
  <c r="DX250" i="8" s="1"/>
  <c r="BH171" i="8"/>
  <c r="W164" i="18"/>
  <c r="X164" i="18" s="1"/>
  <c r="IC161" i="8"/>
  <c r="HM161" i="8"/>
  <c r="AL304" i="17" l="1"/>
  <c r="AN304" i="17"/>
  <c r="AP304" i="17" s="1"/>
  <c r="AO304" i="17" s="1"/>
  <c r="AK304" i="17" s="1"/>
  <c r="BL284" i="22"/>
  <c r="HH243" i="8"/>
  <c r="HG243" i="8" s="1"/>
  <c r="HD243" i="8" s="1"/>
  <c r="HB243" i="8" s="1"/>
  <c r="HE243" i="8"/>
  <c r="FP239" i="8"/>
  <c r="FO239" i="8" s="1"/>
  <c r="FL239" i="8" s="1"/>
  <c r="FJ239" i="8" s="1"/>
  <c r="FM239" i="8"/>
  <c r="DU250" i="8"/>
  <c r="DS250" i="8" s="1"/>
  <c r="DZ250" i="8"/>
  <c r="DW251" i="8" s="1"/>
  <c r="BH172" i="8"/>
  <c r="W165" i="18"/>
  <c r="X165" i="18" s="1"/>
  <c r="IC162" i="8"/>
  <c r="HM162" i="8"/>
  <c r="AI304" i="17" l="1"/>
  <c r="AH249" i="20"/>
  <c r="AF249" i="20" s="1"/>
  <c r="AQ304" i="17"/>
  <c r="BI285" i="22"/>
  <c r="BK285" i="22" s="1"/>
  <c r="BJ285" i="22" s="1"/>
  <c r="BG285" i="22" s="1"/>
  <c r="BD285" i="22" s="1"/>
  <c r="BH285" i="22"/>
  <c r="HI243" i="8"/>
  <c r="FQ239" i="8"/>
  <c r="FN240" i="8" s="1"/>
  <c r="DV251" i="8"/>
  <c r="DY251" i="8"/>
  <c r="DX251" i="8" s="1"/>
  <c r="DU251" i="8" s="1"/>
  <c r="DS251" i="8" s="1"/>
  <c r="BH173" i="8"/>
  <c r="W166" i="18"/>
  <c r="X166" i="18" s="1"/>
  <c r="HM163" i="8"/>
  <c r="IC163" i="8"/>
  <c r="AL305" i="17" l="1"/>
  <c r="AN305" i="17"/>
  <c r="AP305" i="17" s="1"/>
  <c r="AO305" i="17" s="1"/>
  <c r="AK305" i="17" s="1"/>
  <c r="HE244" i="8"/>
  <c r="HF244" i="8"/>
  <c r="HH244" i="8" s="1"/>
  <c r="HG244" i="8" s="1"/>
  <c r="HD244" i="8" s="1"/>
  <c r="HB244" i="8" s="1"/>
  <c r="BL285" i="22"/>
  <c r="FP240" i="8"/>
  <c r="FO240" i="8" s="1"/>
  <c r="FM240" i="8"/>
  <c r="DZ251" i="8"/>
  <c r="BH174" i="8"/>
  <c r="W167" i="18"/>
  <c r="X167" i="18" s="1"/>
  <c r="HM164" i="8"/>
  <c r="IC164" i="8"/>
  <c r="AI305" i="17" l="1"/>
  <c r="AH250" i="20"/>
  <c r="AF250" i="20" s="1"/>
  <c r="AQ305" i="17"/>
  <c r="DW252" i="8"/>
  <c r="DY252" i="8" s="1"/>
  <c r="DX252" i="8" s="1"/>
  <c r="BI286" i="22"/>
  <c r="BK286" i="22" s="1"/>
  <c r="BJ286" i="22" s="1"/>
  <c r="BH286" i="22"/>
  <c r="HI244" i="8"/>
  <c r="DV252" i="8"/>
  <c r="FL240" i="8"/>
  <c r="FJ240" i="8" s="1"/>
  <c r="FQ240" i="8"/>
  <c r="FN241" i="8" s="1"/>
  <c r="BH175" i="8"/>
  <c r="W168" i="18"/>
  <c r="X168" i="18" s="1"/>
  <c r="HM165" i="8"/>
  <c r="IC165" i="8"/>
  <c r="AN306" i="17" l="1"/>
  <c r="AP306" i="17" s="1"/>
  <c r="AO306" i="17" s="1"/>
  <c r="AK306" i="17" s="1"/>
  <c r="AL306" i="17"/>
  <c r="HE245" i="8"/>
  <c r="HF245" i="8"/>
  <c r="HH245" i="8" s="1"/>
  <c r="HG245" i="8" s="1"/>
  <c r="HD245" i="8" s="1"/>
  <c r="HB245" i="8" s="1"/>
  <c r="DU252" i="8"/>
  <c r="DS252" i="8" s="1"/>
  <c r="DZ252" i="8"/>
  <c r="DW253" i="8" s="1"/>
  <c r="BG286" i="22"/>
  <c r="BD286" i="22" s="1"/>
  <c r="BL286" i="22"/>
  <c r="FM241" i="8"/>
  <c r="BH176" i="8"/>
  <c r="W169" i="18"/>
  <c r="X169" i="18" s="1"/>
  <c r="IC166" i="8"/>
  <c r="HM166" i="8"/>
  <c r="AI306" i="17" l="1"/>
  <c r="AH251" i="20"/>
  <c r="AF251" i="20" s="1"/>
  <c r="AQ306" i="17"/>
  <c r="AL307" i="17" s="1"/>
  <c r="DY253" i="8"/>
  <c r="DX253" i="8" s="1"/>
  <c r="DU253" i="8" s="1"/>
  <c r="DS253" i="8" s="1"/>
  <c r="DV253" i="8"/>
  <c r="BI287" i="22"/>
  <c r="BK287" i="22" s="1"/>
  <c r="BJ287" i="22" s="1"/>
  <c r="BH287" i="22"/>
  <c r="HI245" i="8"/>
  <c r="FP241" i="8"/>
  <c r="FO241" i="8" s="1"/>
  <c r="BH177" i="8"/>
  <c r="W170" i="18"/>
  <c r="X170" i="18" s="1"/>
  <c r="IC167" i="8"/>
  <c r="HM167" i="8"/>
  <c r="DZ253" i="8" l="1"/>
  <c r="DW254" i="8" s="1"/>
  <c r="AN307" i="17"/>
  <c r="AP307" i="17" s="1"/>
  <c r="AO307" i="17" s="1"/>
  <c r="AK307" i="17" s="1"/>
  <c r="HE246" i="8"/>
  <c r="HF246" i="8"/>
  <c r="HH246" i="8" s="1"/>
  <c r="HG246" i="8" s="1"/>
  <c r="HD246" i="8" s="1"/>
  <c r="HB246" i="8" s="1"/>
  <c r="BG287" i="22"/>
  <c r="BD287" i="22" s="1"/>
  <c r="BL287" i="22"/>
  <c r="FL241" i="8"/>
  <c r="FJ241" i="8" s="1"/>
  <c r="FQ241" i="8"/>
  <c r="BH178" i="8"/>
  <c r="W171" i="18"/>
  <c r="X171" i="18" s="1"/>
  <c r="HM168" i="8"/>
  <c r="IC168" i="8"/>
  <c r="DY254" i="8" l="1"/>
  <c r="DX254" i="8" s="1"/>
  <c r="DU254" i="8" s="1"/>
  <c r="DS254" i="8" s="1"/>
  <c r="DV254" i="8"/>
  <c r="AI307" i="17"/>
  <c r="AH252" i="20"/>
  <c r="AF252" i="20" s="1"/>
  <c r="AQ307" i="17"/>
  <c r="FN242" i="8"/>
  <c r="FP242" i="8" s="1"/>
  <c r="FO242" i="8" s="1"/>
  <c r="FL242" i="8" s="1"/>
  <c r="FJ242" i="8" s="1"/>
  <c r="BI288" i="22"/>
  <c r="BK288" i="22" s="1"/>
  <c r="BJ288" i="22" s="1"/>
  <c r="BH288" i="22"/>
  <c r="HI246" i="8"/>
  <c r="FM242" i="8"/>
  <c r="BH179" i="8"/>
  <c r="W172" i="18"/>
  <c r="X172" i="18" s="1"/>
  <c r="IC169" i="8"/>
  <c r="HM169" i="8"/>
  <c r="DZ254" i="8" l="1"/>
  <c r="DW255" i="8" s="1"/>
  <c r="AL308" i="17"/>
  <c r="AN308" i="17"/>
  <c r="AP308" i="17" s="1"/>
  <c r="AO308" i="17" s="1"/>
  <c r="AK308" i="17" s="1"/>
  <c r="FQ242" i="8"/>
  <c r="FN243" i="8" s="1"/>
  <c r="HF247" i="8"/>
  <c r="HH247" i="8" s="1"/>
  <c r="HG247" i="8" s="1"/>
  <c r="HD247" i="8" s="1"/>
  <c r="HB247" i="8" s="1"/>
  <c r="BG288" i="22"/>
  <c r="BD288" i="22" s="1"/>
  <c r="BL288" i="22"/>
  <c r="HE247" i="8"/>
  <c r="BH180" i="8"/>
  <c r="W173" i="18"/>
  <c r="X173" i="18" s="1"/>
  <c r="IC170" i="8"/>
  <c r="HM170" i="8"/>
  <c r="DY255" i="8" l="1"/>
  <c r="DX255" i="8" s="1"/>
  <c r="DU255" i="8" s="1"/>
  <c r="DS255" i="8" s="1"/>
  <c r="DV255" i="8"/>
  <c r="AI308" i="17"/>
  <c r="AH253" i="20"/>
  <c r="AF253" i="20" s="1"/>
  <c r="AQ308" i="17"/>
  <c r="FM243" i="8"/>
  <c r="HI247" i="8"/>
  <c r="HE248" i="8" s="1"/>
  <c r="FP243" i="8"/>
  <c r="FO243" i="8" s="1"/>
  <c r="FL243" i="8" s="1"/>
  <c r="FJ243" i="8" s="1"/>
  <c r="BH289" i="22"/>
  <c r="BI289" i="22"/>
  <c r="BK289" i="22" s="1"/>
  <c r="BJ289" i="22" s="1"/>
  <c r="BG289" i="22" s="1"/>
  <c r="BD289" i="22" s="1"/>
  <c r="BH181" i="8"/>
  <c r="W174" i="18"/>
  <c r="HM171" i="8"/>
  <c r="IC171" i="8"/>
  <c r="DZ255" i="8" l="1"/>
  <c r="DW256" i="8" s="1"/>
  <c r="AL309" i="17"/>
  <c r="AN309" i="17"/>
  <c r="AP309" i="17" s="1"/>
  <c r="AO309" i="17" s="1"/>
  <c r="AK309" i="17" s="1"/>
  <c r="FQ243" i="8"/>
  <c r="FN244" i="8" s="1"/>
  <c r="FP244" i="8" s="1"/>
  <c r="FO244" i="8" s="1"/>
  <c r="HF248" i="8"/>
  <c r="HH248" i="8" s="1"/>
  <c r="HG248" i="8" s="1"/>
  <c r="HD248" i="8" s="1"/>
  <c r="HB248" i="8" s="1"/>
  <c r="BL289" i="22"/>
  <c r="BH182" i="8"/>
  <c r="W175" i="18"/>
  <c r="X175" i="18" s="1"/>
  <c r="IC172" i="8"/>
  <c r="HM172" i="8"/>
  <c r="DV256" i="8" l="1"/>
  <c r="DY256" i="8"/>
  <c r="DX256" i="8" s="1"/>
  <c r="DZ256" i="8" s="1"/>
  <c r="DW257" i="8" s="1"/>
  <c r="AI309" i="17"/>
  <c r="AH254" i="20"/>
  <c r="AF254" i="20" s="1"/>
  <c r="AQ309" i="17"/>
  <c r="AL310" i="17" s="1"/>
  <c r="FM244" i="8"/>
  <c r="HI248" i="8"/>
  <c r="BI290" i="22"/>
  <c r="BK290" i="22" s="1"/>
  <c r="BJ290" i="22" s="1"/>
  <c r="BH290" i="22"/>
  <c r="FL244" i="8"/>
  <c r="FJ244" i="8" s="1"/>
  <c r="FQ244" i="8"/>
  <c r="FN245" i="8" s="1"/>
  <c r="BH183" i="8"/>
  <c r="W176" i="18"/>
  <c r="X176" i="18" s="1"/>
  <c r="HM173" i="8"/>
  <c r="IC173" i="8"/>
  <c r="DU256" i="8" l="1"/>
  <c r="DS256" i="8" s="1"/>
  <c r="AN310" i="17"/>
  <c r="AP310" i="17" s="1"/>
  <c r="AO310" i="17" s="1"/>
  <c r="AK310" i="17" s="1"/>
  <c r="HF249" i="8"/>
  <c r="HH249" i="8" s="1"/>
  <c r="HG249" i="8" s="1"/>
  <c r="HE249" i="8"/>
  <c r="BG290" i="22"/>
  <c r="BD290" i="22" s="1"/>
  <c r="BL290" i="22"/>
  <c r="FP245" i="8"/>
  <c r="FO245" i="8" s="1"/>
  <c r="FM245" i="8"/>
  <c r="DV257" i="8"/>
  <c r="DY257" i="8"/>
  <c r="DX257" i="8" s="1"/>
  <c r="BH184" i="8"/>
  <c r="W177" i="18"/>
  <c r="X177" i="18" s="1"/>
  <c r="IC174" i="8"/>
  <c r="HM174" i="8"/>
  <c r="AI310" i="17" l="1"/>
  <c r="AH255" i="20"/>
  <c r="AF255" i="20" s="1"/>
  <c r="AQ310" i="17"/>
  <c r="HD249" i="8"/>
  <c r="HB249" i="8" s="1"/>
  <c r="HI249" i="8"/>
  <c r="BI291" i="22"/>
  <c r="BK291" i="22" s="1"/>
  <c r="BJ291" i="22" s="1"/>
  <c r="BH291" i="22"/>
  <c r="FL245" i="8"/>
  <c r="FJ245" i="8" s="1"/>
  <c r="FQ245" i="8"/>
  <c r="FN246" i="8" s="1"/>
  <c r="DU257" i="8"/>
  <c r="DS257" i="8" s="1"/>
  <c r="DZ257" i="8"/>
  <c r="DW258" i="8" s="1"/>
  <c r="BH185" i="8"/>
  <c r="W178" i="18"/>
  <c r="X178" i="18" s="1"/>
  <c r="HM175" i="8"/>
  <c r="IC175" i="8"/>
  <c r="HF250" i="8" l="1"/>
  <c r="HH250" i="8" s="1"/>
  <c r="HG250" i="8" s="1"/>
  <c r="HE250" i="8"/>
  <c r="BG291" i="22"/>
  <c r="BD291" i="22" s="1"/>
  <c r="BL291" i="22"/>
  <c r="FM246" i="8"/>
  <c r="FP246" i="8"/>
  <c r="FO246" i="8" s="1"/>
  <c r="DY258" i="8"/>
  <c r="DX258" i="8" s="1"/>
  <c r="DV258" i="8"/>
  <c r="BH186" i="8"/>
  <c r="W179" i="18"/>
  <c r="X179" i="18" s="1"/>
  <c r="HM176" i="8"/>
  <c r="IC176" i="8"/>
  <c r="HD250" i="8" l="1"/>
  <c r="HB250" i="8" s="1"/>
  <c r="HI250" i="8"/>
  <c r="BI292" i="22"/>
  <c r="BK292" i="22" s="1"/>
  <c r="BJ292" i="22" s="1"/>
  <c r="BH292" i="22"/>
  <c r="FL246" i="8"/>
  <c r="FJ246" i="8" s="1"/>
  <c r="FQ246" i="8"/>
  <c r="FN247" i="8" s="1"/>
  <c r="DU258" i="8"/>
  <c r="DS258" i="8" s="1"/>
  <c r="DZ258" i="8"/>
  <c r="DW259" i="8" s="1"/>
  <c r="BH187" i="8"/>
  <c r="W180" i="18"/>
  <c r="X180" i="18" s="1"/>
  <c r="IC177" i="8"/>
  <c r="HM177" i="8"/>
  <c r="HE251" i="8" l="1"/>
  <c r="HF251" i="8"/>
  <c r="HH251" i="8" s="1"/>
  <c r="HG251" i="8" s="1"/>
  <c r="BG292" i="22"/>
  <c r="BD292" i="22" s="1"/>
  <c r="BL292" i="22"/>
  <c r="FM247" i="8"/>
  <c r="FP247" i="8"/>
  <c r="FO247" i="8" s="1"/>
  <c r="FL247" i="8" s="1"/>
  <c r="FJ247" i="8" s="1"/>
  <c r="DV259" i="8"/>
  <c r="DY259" i="8"/>
  <c r="DX259" i="8" s="1"/>
  <c r="BH188" i="8"/>
  <c r="W181" i="18"/>
  <c r="X181" i="18" s="1"/>
  <c r="HM178" i="8"/>
  <c r="IC178" i="8"/>
  <c r="HD251" i="8" l="1"/>
  <c r="HB251" i="8" s="1"/>
  <c r="HI251" i="8"/>
  <c r="BH293" i="22"/>
  <c r="BI293" i="22"/>
  <c r="BK293" i="22" s="1"/>
  <c r="BJ293" i="22" s="1"/>
  <c r="BG293" i="22" s="1"/>
  <c r="BD293" i="22" s="1"/>
  <c r="FQ247" i="8"/>
  <c r="FN248" i="8" s="1"/>
  <c r="DU259" i="8"/>
  <c r="DS259" i="8" s="1"/>
  <c r="DZ259" i="8"/>
  <c r="DW260" i="8" s="1"/>
  <c r="BH189" i="8"/>
  <c r="W182" i="18"/>
  <c r="X182" i="18" s="1"/>
  <c r="IC179" i="8"/>
  <c r="HM179" i="8"/>
  <c r="HE252" i="8" l="1"/>
  <c r="HF252" i="8"/>
  <c r="HH252" i="8" s="1"/>
  <c r="HG252" i="8" s="1"/>
  <c r="BL293" i="22"/>
  <c r="FP248" i="8"/>
  <c r="FO248" i="8" s="1"/>
  <c r="FM248" i="8"/>
  <c r="DV260" i="8"/>
  <c r="DY260" i="8"/>
  <c r="DX260" i="8" s="1"/>
  <c r="DU260" i="8" s="1"/>
  <c r="DS260" i="8" s="1"/>
  <c r="BH190" i="8"/>
  <c r="W183" i="18"/>
  <c r="X183" i="18" s="1"/>
  <c r="HM180" i="8"/>
  <c r="IC180" i="8"/>
  <c r="HD252" i="8" l="1"/>
  <c r="HB252" i="8" s="1"/>
  <c r="HI252" i="8"/>
  <c r="BH294" i="22"/>
  <c r="BI294" i="22"/>
  <c r="FL248" i="8"/>
  <c r="FJ248" i="8" s="1"/>
  <c r="FQ248" i="8"/>
  <c r="FN249" i="8" s="1"/>
  <c r="DZ260" i="8"/>
  <c r="DW261" i="8" s="1"/>
  <c r="BH191" i="8"/>
  <c r="W184" i="18"/>
  <c r="X184" i="18" s="1"/>
  <c r="IC181" i="8"/>
  <c r="HM181" i="8"/>
  <c r="BK294" i="22" l="1"/>
  <c r="BJ294" i="22" s="1"/>
  <c r="HE253" i="8"/>
  <c r="HF253" i="8"/>
  <c r="HH253" i="8" s="1"/>
  <c r="HG253" i="8" s="1"/>
  <c r="FP249" i="8"/>
  <c r="FO249" i="8" s="1"/>
  <c r="FM249" i="8"/>
  <c r="DV261" i="8"/>
  <c r="DY261" i="8"/>
  <c r="DX261" i="8" s="1"/>
  <c r="DU261" i="8" s="1"/>
  <c r="DS261" i="8" s="1"/>
  <c r="BH192" i="8"/>
  <c r="W185" i="18"/>
  <c r="X185" i="18" s="1"/>
  <c r="HM182" i="8"/>
  <c r="IC182" i="8"/>
  <c r="BG294" i="22" l="1"/>
  <c r="BD294" i="22" s="1"/>
  <c r="BL294" i="22"/>
  <c r="BI295" i="22" s="1"/>
  <c r="BK295" i="22" s="1"/>
  <c r="BJ295" i="22" s="1"/>
  <c r="BG295" i="22" s="1"/>
  <c r="BD295" i="22" s="1"/>
  <c r="HI253" i="8"/>
  <c r="HD253" i="8"/>
  <c r="HB253" i="8" s="1"/>
  <c r="FL249" i="8"/>
  <c r="FJ249" i="8" s="1"/>
  <c r="FQ249" i="8"/>
  <c r="FN250" i="8" s="1"/>
  <c r="DZ261" i="8"/>
  <c r="DW262" i="8" s="1"/>
  <c r="BH193" i="8"/>
  <c r="W186" i="18"/>
  <c r="IC183" i="8"/>
  <c r="HM183" i="8"/>
  <c r="BH295" i="22" l="1"/>
  <c r="HE254" i="8"/>
  <c r="HF254" i="8"/>
  <c r="HH254" i="8" s="1"/>
  <c r="HG254" i="8" s="1"/>
  <c r="HD254" i="8" s="1"/>
  <c r="HB254" i="8" s="1"/>
  <c r="BL295" i="22"/>
  <c r="FM250" i="8"/>
  <c r="FP250" i="8"/>
  <c r="FO250" i="8" s="1"/>
  <c r="DV262" i="8"/>
  <c r="DY262" i="8"/>
  <c r="DX262" i="8" s="1"/>
  <c r="DU262" i="8" s="1"/>
  <c r="DS262" i="8" s="1"/>
  <c r="BH194" i="8"/>
  <c r="W187" i="18"/>
  <c r="X187" i="18" s="1"/>
  <c r="HM184" i="8"/>
  <c r="IC184" i="8"/>
  <c r="HI254" i="8" l="1"/>
  <c r="BI296" i="22"/>
  <c r="BK296" i="22" s="1"/>
  <c r="BJ296" i="22" s="1"/>
  <c r="BG296" i="22" s="1"/>
  <c r="BD296" i="22" s="1"/>
  <c r="BH296" i="22"/>
  <c r="FL250" i="8"/>
  <c r="FJ250" i="8" s="1"/>
  <c r="FQ250" i="8"/>
  <c r="FN251" i="8" s="1"/>
  <c r="DZ262" i="8"/>
  <c r="DW263" i="8" s="1"/>
  <c r="BH195" i="8"/>
  <c r="W188" i="18"/>
  <c r="X188" i="18" s="1"/>
  <c r="IC185" i="8"/>
  <c r="HM185" i="8"/>
  <c r="HF255" i="8" l="1"/>
  <c r="HH255" i="8" s="1"/>
  <c r="HG255" i="8" s="1"/>
  <c r="HD255" i="8" s="1"/>
  <c r="HB255" i="8" s="1"/>
  <c r="HE255" i="8"/>
  <c r="BL296" i="22"/>
  <c r="BI297" i="22" s="1"/>
  <c r="BK297" i="22" s="1"/>
  <c r="BJ297" i="22" s="1"/>
  <c r="FP251" i="8"/>
  <c r="FO251" i="8" s="1"/>
  <c r="FL251" i="8" s="1"/>
  <c r="FJ251" i="8" s="1"/>
  <c r="FM251" i="8"/>
  <c r="DY263" i="8"/>
  <c r="DX263" i="8" s="1"/>
  <c r="DU263" i="8" s="1"/>
  <c r="DS263" i="8" s="1"/>
  <c r="DV263" i="8"/>
  <c r="BH196" i="8"/>
  <c r="W189" i="18"/>
  <c r="X189" i="18" s="1"/>
  <c r="IC186" i="8"/>
  <c r="HM186" i="8"/>
  <c r="HI255" i="8" l="1"/>
  <c r="BH297" i="22"/>
  <c r="BG297" i="22"/>
  <c r="BD297" i="22" s="1"/>
  <c r="BL297" i="22"/>
  <c r="FQ251" i="8"/>
  <c r="FN252" i="8" s="1"/>
  <c r="DZ263" i="8"/>
  <c r="BH197" i="8"/>
  <c r="W190" i="18"/>
  <c r="X190" i="18" s="1"/>
  <c r="HM187" i="8"/>
  <c r="IC187" i="8"/>
  <c r="HF256" i="8" l="1"/>
  <c r="HH256" i="8" s="1"/>
  <c r="HG256" i="8" s="1"/>
  <c r="HD256" i="8" s="1"/>
  <c r="HB256" i="8" s="1"/>
  <c r="HE256" i="8"/>
  <c r="DW264" i="8"/>
  <c r="DY264" i="8" s="1"/>
  <c r="DX264" i="8" s="1"/>
  <c r="BI298" i="22"/>
  <c r="BK298" i="22" s="1"/>
  <c r="BJ298" i="22" s="1"/>
  <c r="BH298" i="22"/>
  <c r="DV264" i="8"/>
  <c r="FP252" i="8"/>
  <c r="FO252" i="8" s="1"/>
  <c r="FM252" i="8"/>
  <c r="BH198" i="8"/>
  <c r="W191" i="18"/>
  <c r="X191" i="18" s="1"/>
  <c r="IC188" i="8"/>
  <c r="HM188" i="8"/>
  <c r="HI256" i="8" l="1"/>
  <c r="HF257" i="8" s="1"/>
  <c r="DU264" i="8"/>
  <c r="DS264" i="8" s="1"/>
  <c r="DZ264" i="8"/>
  <c r="BG298" i="22"/>
  <c r="BD298" i="22" s="1"/>
  <c r="BL298" i="22"/>
  <c r="BH299" i="22" s="1"/>
  <c r="FL252" i="8"/>
  <c r="FJ252" i="8" s="1"/>
  <c r="FQ252" i="8"/>
  <c r="FN253" i="8" s="1"/>
  <c r="BH199" i="8"/>
  <c r="W192" i="18"/>
  <c r="X192" i="18" s="1"/>
  <c r="IC189" i="8"/>
  <c r="HM189" i="8"/>
  <c r="HE257" i="8" l="1"/>
  <c r="HH257" i="8"/>
  <c r="HG257" i="8" s="1"/>
  <c r="HD257" i="8" s="1"/>
  <c r="HB257" i="8" s="1"/>
  <c r="BI299" i="22"/>
  <c r="BK299" i="22" s="1"/>
  <c r="BJ299" i="22" s="1"/>
  <c r="BG299" i="22" s="1"/>
  <c r="BD299" i="22" s="1"/>
  <c r="FM253" i="8"/>
  <c r="BH200" i="8"/>
  <c r="W193" i="18"/>
  <c r="X193" i="18" s="1"/>
  <c r="HM190" i="8"/>
  <c r="IC190" i="8"/>
  <c r="HI257" i="8" l="1"/>
  <c r="BL299" i="22"/>
  <c r="BH300" i="22" s="1"/>
  <c r="FP253" i="8"/>
  <c r="FO253" i="8" s="1"/>
  <c r="BH201" i="8"/>
  <c r="W194" i="18"/>
  <c r="X194" i="18" s="1"/>
  <c r="IC191" i="8"/>
  <c r="HM191" i="8"/>
  <c r="HE258" i="8" l="1"/>
  <c r="HF258" i="8"/>
  <c r="HH258" i="8" s="1"/>
  <c r="HG258" i="8" s="1"/>
  <c r="BI300" i="22"/>
  <c r="BK300" i="22" s="1"/>
  <c r="BJ300" i="22" s="1"/>
  <c r="BG300" i="22" s="1"/>
  <c r="BD300" i="22" s="1"/>
  <c r="FQ253" i="8"/>
  <c r="FN254" i="8" s="1"/>
  <c r="FL253" i="8"/>
  <c r="FJ253" i="8" s="1"/>
  <c r="BH202" i="8"/>
  <c r="W195" i="18"/>
  <c r="X195" i="18" s="1"/>
  <c r="HM192" i="8"/>
  <c r="IC192" i="8"/>
  <c r="HD258" i="8" l="1"/>
  <c r="HB258" i="8" s="1"/>
  <c r="HI258" i="8"/>
  <c r="BL300" i="22"/>
  <c r="BI301" i="22" s="1"/>
  <c r="BK301" i="22" s="1"/>
  <c r="BJ301" i="22" s="1"/>
  <c r="BG301" i="22" s="1"/>
  <c r="BD301" i="22" s="1"/>
  <c r="FM254" i="8"/>
  <c r="FP254" i="8"/>
  <c r="FO254" i="8" s="1"/>
  <c r="FL254" i="8" s="1"/>
  <c r="FJ254" i="8" s="1"/>
  <c r="BH203" i="8"/>
  <c r="W196" i="18"/>
  <c r="X196" i="18" s="1"/>
  <c r="IC193" i="8"/>
  <c r="HM193" i="8"/>
  <c r="HE259" i="8" l="1"/>
  <c r="HF259" i="8"/>
  <c r="HH259" i="8" s="1"/>
  <c r="HG259" i="8" s="1"/>
  <c r="BH301" i="22"/>
  <c r="BL301" i="22"/>
  <c r="FQ254" i="8"/>
  <c r="FN255" i="8" s="1"/>
  <c r="BH204" i="8"/>
  <c r="W197" i="18"/>
  <c r="X197" i="18" s="1"/>
  <c r="HM194" i="8"/>
  <c r="IC194" i="8"/>
  <c r="HD259" i="8" l="1"/>
  <c r="HB259" i="8" s="1"/>
  <c r="HI259" i="8"/>
  <c r="BI302" i="22"/>
  <c r="BK302" i="22" s="1"/>
  <c r="BJ302" i="22" s="1"/>
  <c r="BG302" i="22" s="1"/>
  <c r="BD302" i="22" s="1"/>
  <c r="BH302" i="22"/>
  <c r="FP255" i="8"/>
  <c r="FO255" i="8" s="1"/>
  <c r="FL255" i="8" s="1"/>
  <c r="FJ255" i="8" s="1"/>
  <c r="FM255" i="8"/>
  <c r="BH205" i="8"/>
  <c r="W198" i="18"/>
  <c r="IC195" i="8"/>
  <c r="HM195" i="8"/>
  <c r="HF260" i="8" l="1"/>
  <c r="HH260" i="8" s="1"/>
  <c r="HG260" i="8" s="1"/>
  <c r="HE260" i="8"/>
  <c r="BL302" i="22"/>
  <c r="FQ255" i="8"/>
  <c r="BH206" i="8"/>
  <c r="W199" i="18"/>
  <c r="X199" i="18" s="1"/>
  <c r="IC196" i="8"/>
  <c r="HM196" i="8"/>
  <c r="HD260" i="8" l="1"/>
  <c r="HB260" i="8" s="1"/>
  <c r="HI260" i="8"/>
  <c r="FM256" i="8"/>
  <c r="FN256" i="8"/>
  <c r="FP256" i="8" s="1"/>
  <c r="FO256" i="8" s="1"/>
  <c r="FQ256" i="8" s="1"/>
  <c r="FN257" i="8" s="1"/>
  <c r="BH303" i="22"/>
  <c r="BI303" i="22"/>
  <c r="BK303" i="22" s="1"/>
  <c r="BJ303" i="22" s="1"/>
  <c r="BG303" i="22" s="1"/>
  <c r="BD303" i="22" s="1"/>
  <c r="BH207" i="8"/>
  <c r="W200" i="18"/>
  <c r="X200" i="18" s="1"/>
  <c r="HM197" i="8"/>
  <c r="IC197" i="8"/>
  <c r="HF261" i="8" l="1"/>
  <c r="HH261" i="8" s="1"/>
  <c r="HG261" i="8" s="1"/>
  <c r="HE261" i="8"/>
  <c r="BL303" i="22"/>
  <c r="FL256" i="8"/>
  <c r="FJ256" i="8" s="1"/>
  <c r="FP257" i="8"/>
  <c r="FO257" i="8" s="1"/>
  <c r="FQ257" i="8" s="1"/>
  <c r="FN258" i="8" s="1"/>
  <c r="FM257" i="8"/>
  <c r="BH208" i="8"/>
  <c r="W201" i="18"/>
  <c r="X201" i="18" s="1"/>
  <c r="HM198" i="8"/>
  <c r="IC198" i="8"/>
  <c r="HD261" i="8" l="1"/>
  <c r="HB261" i="8" s="1"/>
  <c r="HI261" i="8"/>
  <c r="BI304" i="22"/>
  <c r="BK304" i="22" s="1"/>
  <c r="BJ304" i="22" s="1"/>
  <c r="BG304" i="22" s="1"/>
  <c r="BD304" i="22" s="1"/>
  <c r="BH304" i="22"/>
  <c r="FL257" i="8"/>
  <c r="FJ257" i="8" s="1"/>
  <c r="FM258" i="8"/>
  <c r="FP258" i="8"/>
  <c r="FO258" i="8" s="1"/>
  <c r="BH209" i="8"/>
  <c r="W202" i="18"/>
  <c r="X202" i="18" s="1"/>
  <c r="IC199" i="8"/>
  <c r="HM199" i="8"/>
  <c r="HF262" i="8" l="1"/>
  <c r="HH262" i="8" s="1"/>
  <c r="HG262" i="8" s="1"/>
  <c r="HE262" i="8"/>
  <c r="BL304" i="22"/>
  <c r="BH305" i="22" s="1"/>
  <c r="FL258" i="8"/>
  <c r="FJ258" i="8" s="1"/>
  <c r="FQ258" i="8"/>
  <c r="FN259" i="8" s="1"/>
  <c r="BH210" i="8"/>
  <c r="W203" i="18"/>
  <c r="X203" i="18" s="1"/>
  <c r="HM200" i="8"/>
  <c r="IC200" i="8"/>
  <c r="HD262" i="8" l="1"/>
  <c r="HB262" i="8" s="1"/>
  <c r="HI262" i="8"/>
  <c r="BI305" i="22"/>
  <c r="BK305" i="22" s="1"/>
  <c r="BJ305" i="22" s="1"/>
  <c r="BG305" i="22" s="1"/>
  <c r="BD305" i="22" s="1"/>
  <c r="FM259" i="8"/>
  <c r="FP259" i="8"/>
  <c r="FO259" i="8" s="1"/>
  <c r="FL259" i="8" s="1"/>
  <c r="FJ259" i="8" s="1"/>
  <c r="BH211" i="8"/>
  <c r="W204" i="18"/>
  <c r="X204" i="18" s="1"/>
  <c r="HM201" i="8"/>
  <c r="IC201" i="8"/>
  <c r="HF263" i="8" l="1"/>
  <c r="HH263" i="8" s="1"/>
  <c r="HG263" i="8" s="1"/>
  <c r="HE263" i="8"/>
  <c r="BL305" i="22"/>
  <c r="FQ259" i="8"/>
  <c r="FN260" i="8" s="1"/>
  <c r="BH212" i="8"/>
  <c r="W205" i="18"/>
  <c r="X205" i="18" s="1"/>
  <c r="IC202" i="8"/>
  <c r="HM202" i="8"/>
  <c r="BH306" i="22" l="1"/>
  <c r="BI306" i="22"/>
  <c r="HD263" i="8"/>
  <c r="HB263" i="8" s="1"/>
  <c r="HI263" i="8"/>
  <c r="FP260" i="8"/>
  <c r="FO260" i="8" s="1"/>
  <c r="FM260" i="8"/>
  <c r="BH213" i="8"/>
  <c r="W206" i="18"/>
  <c r="X206" i="18" s="1"/>
  <c r="HM203" i="8"/>
  <c r="IC203" i="8"/>
  <c r="BK306" i="22" l="1"/>
  <c r="BJ306" i="22" s="1"/>
  <c r="HF264" i="8"/>
  <c r="HH264" i="8" s="1"/>
  <c r="HG264" i="8" s="1"/>
  <c r="HE264" i="8"/>
  <c r="FL260" i="8"/>
  <c r="FJ260" i="8" s="1"/>
  <c r="FQ260" i="8"/>
  <c r="FN261" i="8" s="1"/>
  <c r="BH214" i="8"/>
  <c r="W207" i="18"/>
  <c r="X207" i="18" s="1"/>
  <c r="HM204" i="8"/>
  <c r="IC204" i="8"/>
  <c r="BG306" i="22" l="1"/>
  <c r="BD306" i="22" s="1"/>
  <c r="BL306" i="22"/>
  <c r="BI307" i="22" s="1"/>
  <c r="BK307" i="22" s="1"/>
  <c r="BJ307" i="22" s="1"/>
  <c r="BG307" i="22" s="1"/>
  <c r="BD307" i="22" s="1"/>
  <c r="HD264" i="8"/>
  <c r="HB264" i="8" s="1"/>
  <c r="HI264" i="8"/>
  <c r="FP261" i="8"/>
  <c r="FO261" i="8" s="1"/>
  <c r="FM261" i="8"/>
  <c r="BH215" i="8"/>
  <c r="W208" i="18"/>
  <c r="X208" i="18" s="1"/>
  <c r="IC205" i="8"/>
  <c r="HM205" i="8"/>
  <c r="BH307" i="22" l="1"/>
  <c r="BL307" i="22"/>
  <c r="FL261" i="8"/>
  <c r="FJ261" i="8" s="1"/>
  <c r="FQ261" i="8"/>
  <c r="FN262" i="8" s="1"/>
  <c r="BH216" i="8"/>
  <c r="W209" i="18"/>
  <c r="X209" i="18" s="1"/>
  <c r="HM206" i="8"/>
  <c r="IC206" i="8"/>
  <c r="BH308" i="22" l="1"/>
  <c r="BI308" i="22"/>
  <c r="BK308" i="22" s="1"/>
  <c r="BJ308" i="22" s="1"/>
  <c r="BG308" i="22" s="1"/>
  <c r="BD308" i="22" s="1"/>
  <c r="FM262" i="8"/>
  <c r="FP262" i="8"/>
  <c r="FO262" i="8" s="1"/>
  <c r="BH217" i="8"/>
  <c r="W210" i="18"/>
  <c r="HM207" i="8"/>
  <c r="IC207" i="8"/>
  <c r="BL308" i="22" l="1"/>
  <c r="BI309" i="22" s="1"/>
  <c r="BK309" i="22" s="1"/>
  <c r="BJ309" i="22" s="1"/>
  <c r="BG309" i="22" s="1"/>
  <c r="BD309" i="22" s="1"/>
  <c r="FL262" i="8"/>
  <c r="FJ262" i="8" s="1"/>
  <c r="FQ262" i="8"/>
  <c r="FN263" i="8" s="1"/>
  <c r="BH218" i="8"/>
  <c r="W211" i="18"/>
  <c r="X211" i="18" s="1"/>
  <c r="IC208" i="8"/>
  <c r="HM208" i="8"/>
  <c r="BH309" i="22" l="1"/>
  <c r="BL309" i="22"/>
  <c r="BI310" i="22" s="1"/>
  <c r="BK310" i="22" s="1"/>
  <c r="BJ310" i="22" s="1"/>
  <c r="BG310" i="22" s="1"/>
  <c r="BD310" i="22" s="1"/>
  <c r="FP263" i="8"/>
  <c r="FO263" i="8" s="1"/>
  <c r="FL263" i="8" s="1"/>
  <c r="FJ263" i="8" s="1"/>
  <c r="FM263" i="8"/>
  <c r="BH219" i="8"/>
  <c r="W212" i="18"/>
  <c r="X212" i="18" s="1"/>
  <c r="HM209" i="8"/>
  <c r="IC209" i="8"/>
  <c r="BL310" i="22" l="1"/>
  <c r="BI311" i="22" s="1"/>
  <c r="BK311" i="22" s="1"/>
  <c r="BJ311" i="22" s="1"/>
  <c r="BG311" i="22" s="1"/>
  <c r="BD311" i="22" s="1"/>
  <c r="BH310" i="22"/>
  <c r="FQ263" i="8"/>
  <c r="FN264" i="8" s="1"/>
  <c r="BH220" i="8"/>
  <c r="W213" i="18"/>
  <c r="X213" i="18" s="1"/>
  <c r="HM210" i="8"/>
  <c r="IC210" i="8"/>
  <c r="BH311" i="22" l="1"/>
  <c r="BL311" i="22"/>
  <c r="BI312" i="22" s="1"/>
  <c r="BK312" i="22" s="1"/>
  <c r="BJ312" i="22" s="1"/>
  <c r="BG312" i="22" s="1"/>
  <c r="BD312" i="22" s="1"/>
  <c r="FP264" i="8"/>
  <c r="FO264" i="8" s="1"/>
  <c r="FM264" i="8"/>
  <c r="BH221" i="8"/>
  <c r="W214" i="18"/>
  <c r="X214" i="18" s="1"/>
  <c r="IC211" i="8"/>
  <c r="HM211" i="8"/>
  <c r="BL312" i="22" l="1"/>
  <c r="BI313" i="22" s="1"/>
  <c r="BK313" i="22" s="1"/>
  <c r="BJ313" i="22" s="1"/>
  <c r="BG313" i="22" s="1"/>
  <c r="BD313" i="22" s="1"/>
  <c r="BH312" i="22"/>
  <c r="FL264" i="8"/>
  <c r="FJ264" i="8" s="1"/>
  <c r="FQ264" i="8"/>
  <c r="BH222" i="8"/>
  <c r="W215" i="18"/>
  <c r="X215" i="18" s="1"/>
  <c r="HM212" i="8"/>
  <c r="IC212" i="8"/>
  <c r="BH313" i="22" l="1"/>
  <c r="BL313" i="22"/>
  <c r="BI314" i="22" s="1"/>
  <c r="BK314" i="22" s="1"/>
  <c r="BJ314" i="22" s="1"/>
  <c r="BG314" i="22" s="1"/>
  <c r="BD314" i="22" s="1"/>
  <c r="BH223" i="8"/>
  <c r="W216" i="18"/>
  <c r="X216" i="18" s="1"/>
  <c r="HM213" i="8"/>
  <c r="IC213" i="8"/>
  <c r="BH314" i="22" l="1"/>
  <c r="BL314" i="22"/>
  <c r="BH224" i="8"/>
  <c r="W217" i="18"/>
  <c r="X217" i="18" s="1"/>
  <c r="IC214" i="8"/>
  <c r="HM214" i="8"/>
  <c r="BH315" i="22" l="1"/>
  <c r="BI315" i="22"/>
  <c r="BK315" i="22" s="1"/>
  <c r="BJ315" i="22" s="1"/>
  <c r="BG315" i="22" s="1"/>
  <c r="BD315" i="22" s="1"/>
  <c r="BH225" i="8"/>
  <c r="W218" i="18"/>
  <c r="X218" i="18" s="1"/>
  <c r="HM215" i="8"/>
  <c r="IC215" i="8"/>
  <c r="BL315" i="22" l="1"/>
  <c r="BH226" i="8"/>
  <c r="W219" i="18"/>
  <c r="X219" i="18" s="1"/>
  <c r="HM216" i="8"/>
  <c r="IC216" i="8"/>
  <c r="BI316" i="22" l="1"/>
  <c r="BK316" i="22" s="1"/>
  <c r="BJ316" i="22" s="1"/>
  <c r="BH316" i="22"/>
  <c r="BH227" i="8"/>
  <c r="W220" i="18"/>
  <c r="X220" i="18" s="1"/>
  <c r="IC217" i="8"/>
  <c r="HM217" i="8"/>
  <c r="BG316" i="22" l="1"/>
  <c r="BD316" i="22" s="1"/>
  <c r="BL316" i="22"/>
  <c r="BH228" i="8"/>
  <c r="W221" i="18"/>
  <c r="X221" i="18" s="1"/>
  <c r="HM218" i="8"/>
  <c r="IC218" i="8"/>
  <c r="BH317" i="22" l="1"/>
  <c r="BI317" i="22"/>
  <c r="BK317" i="22" s="1"/>
  <c r="BJ317" i="22" s="1"/>
  <c r="BG317" i="22" s="1"/>
  <c r="BD317" i="22" s="1"/>
  <c r="BH229" i="8"/>
  <c r="W222" i="18"/>
  <c r="HM219" i="8"/>
  <c r="IC219" i="8"/>
  <c r="BL317" i="22" l="1"/>
  <c r="BH230" i="8"/>
  <c r="W223" i="18"/>
  <c r="X223" i="18" s="1"/>
  <c r="IC220" i="8"/>
  <c r="HM220" i="8"/>
  <c r="BI318" i="22" l="1"/>
  <c r="BK318" i="22" s="1"/>
  <c r="BJ318" i="22" s="1"/>
  <c r="BG318" i="22" s="1"/>
  <c r="BD318" i="22" s="1"/>
  <c r="BH318" i="22"/>
  <c r="BH231" i="8"/>
  <c r="W224" i="18"/>
  <c r="X224" i="18" s="1"/>
  <c r="HM221" i="8"/>
  <c r="IC221" i="8"/>
  <c r="BL318" i="22" l="1"/>
  <c r="BI319" i="22" s="1"/>
  <c r="BK319" i="22" s="1"/>
  <c r="BJ319" i="22" s="1"/>
  <c r="BG319" i="22" s="1"/>
  <c r="BD319" i="22" s="1"/>
  <c r="BH232" i="8"/>
  <c r="W225" i="18"/>
  <c r="X225" i="18" s="1"/>
  <c r="HM222" i="8"/>
  <c r="IC222" i="8"/>
  <c r="BH319" i="22" l="1"/>
  <c r="BL319" i="22"/>
  <c r="BH233" i="8"/>
  <c r="W226" i="18"/>
  <c r="X226" i="18" s="1"/>
  <c r="IC223" i="8"/>
  <c r="HM223" i="8"/>
  <c r="BH320" i="22" l="1"/>
  <c r="BI320" i="22"/>
  <c r="BK320" i="22" s="1"/>
  <c r="BJ320" i="22" s="1"/>
  <c r="BH234" i="8"/>
  <c r="W227" i="18"/>
  <c r="X227" i="18" s="1"/>
  <c r="HM224" i="8"/>
  <c r="IC224" i="8"/>
  <c r="BG320" i="22" l="1"/>
  <c r="BD320" i="22" s="1"/>
  <c r="BL320" i="22"/>
  <c r="BH235" i="8"/>
  <c r="W228" i="18"/>
  <c r="X228" i="18" s="1"/>
  <c r="IC225" i="8"/>
  <c r="HM225" i="8"/>
  <c r="BH321" i="22" l="1"/>
  <c r="BI321" i="22"/>
  <c r="BK321" i="22" s="1"/>
  <c r="BJ321" i="22" s="1"/>
  <c r="BG321" i="22" s="1"/>
  <c r="BD321" i="22" s="1"/>
  <c r="BH236" i="8"/>
  <c r="W229" i="18"/>
  <c r="X229" i="18" s="1"/>
  <c r="HM226" i="8"/>
  <c r="IC226" i="8"/>
  <c r="BL321" i="22" l="1"/>
  <c r="BH237" i="8"/>
  <c r="W230" i="18"/>
  <c r="X230" i="18" s="1"/>
  <c r="HM227" i="8"/>
  <c r="IC227" i="8"/>
  <c r="BI322" i="22" l="1"/>
  <c r="BK322" i="22" s="1"/>
  <c r="BJ322" i="22" s="1"/>
  <c r="BG322" i="22" s="1"/>
  <c r="BD322" i="22" s="1"/>
  <c r="BH322" i="22"/>
  <c r="BH238" i="8"/>
  <c r="W231" i="18"/>
  <c r="X231" i="18" s="1"/>
  <c r="IC228" i="8"/>
  <c r="HM228" i="8"/>
  <c r="BL322" i="22" l="1"/>
  <c r="BI323" i="22" s="1"/>
  <c r="BK323" i="22" s="1"/>
  <c r="BJ323" i="22" s="1"/>
  <c r="BG323" i="22" s="1"/>
  <c r="BD323" i="22" s="1"/>
  <c r="BH239" i="8"/>
  <c r="W232" i="18"/>
  <c r="X232" i="18" s="1"/>
  <c r="HM229" i="8"/>
  <c r="IC229" i="8"/>
  <c r="BH323" i="22" l="1"/>
  <c r="BL323" i="22"/>
  <c r="BH240" i="8"/>
  <c r="W233" i="18"/>
  <c r="X233" i="18" s="1"/>
  <c r="HM230" i="8"/>
  <c r="IC230" i="8"/>
  <c r="BI324" i="22" l="1"/>
  <c r="BK324" i="22" s="1"/>
  <c r="BJ324" i="22" s="1"/>
  <c r="BG324" i="22" s="1"/>
  <c r="BD324" i="22" s="1"/>
  <c r="BH324" i="22"/>
  <c r="BH241" i="8"/>
  <c r="W234" i="18"/>
  <c r="HM231" i="8"/>
  <c r="IC231" i="8"/>
  <c r="BL324" i="22" l="1"/>
  <c r="BH242" i="8"/>
  <c r="W235" i="18"/>
  <c r="X235" i="18" s="1"/>
  <c r="IC232" i="8"/>
  <c r="HM232" i="8"/>
  <c r="BH325" i="22" l="1"/>
  <c r="BI325" i="22"/>
  <c r="BK325" i="22" s="1"/>
  <c r="BJ325" i="22" s="1"/>
  <c r="BG325" i="22" s="1"/>
  <c r="BD325" i="22" s="1"/>
  <c r="BH243" i="8"/>
  <c r="W236" i="18"/>
  <c r="X236" i="18" s="1"/>
  <c r="HM233" i="8"/>
  <c r="IC233" i="8"/>
  <c r="BL325" i="22" l="1"/>
  <c r="BH244" i="8"/>
  <c r="W237" i="18"/>
  <c r="X237" i="18" s="1"/>
  <c r="IC234" i="8"/>
  <c r="HM234" i="8"/>
  <c r="BI326" i="22" l="1"/>
  <c r="BK326" i="22" s="1"/>
  <c r="BJ326" i="22" s="1"/>
  <c r="BG326" i="22" s="1"/>
  <c r="BD326" i="22" s="1"/>
  <c r="BH326" i="22"/>
  <c r="BH245" i="8"/>
  <c r="W238" i="18"/>
  <c r="X238" i="18" s="1"/>
  <c r="HM235" i="8"/>
  <c r="IC235" i="8"/>
  <c r="BL326" i="22" l="1"/>
  <c r="BH327" i="22" s="1"/>
  <c r="BH246" i="8"/>
  <c r="W239" i="18"/>
  <c r="X239" i="18" s="1"/>
  <c r="IC236" i="8"/>
  <c r="HM236" i="8"/>
  <c r="BI327" i="22" l="1"/>
  <c r="BK327" i="22" s="1"/>
  <c r="BJ327" i="22" s="1"/>
  <c r="BG327" i="22" s="1"/>
  <c r="BD327" i="22" s="1"/>
  <c r="BH247" i="8"/>
  <c r="W240" i="18"/>
  <c r="X240" i="18" s="1"/>
  <c r="HM237" i="8"/>
  <c r="IC237" i="8"/>
  <c r="BL327" i="22" l="1"/>
  <c r="BH328" i="22" s="1"/>
  <c r="BH248" i="8"/>
  <c r="W241" i="18"/>
  <c r="X241" i="18" s="1"/>
  <c r="IC238" i="8"/>
  <c r="HM238" i="8"/>
  <c r="BI328" i="22" l="1"/>
  <c r="BK328" i="22" s="1"/>
  <c r="BJ328" i="22" s="1"/>
  <c r="BG328" i="22" s="1"/>
  <c r="BD328" i="22" s="1"/>
  <c r="BH249" i="8"/>
  <c r="W242" i="18"/>
  <c r="X242" i="18" s="1"/>
  <c r="HM239" i="8"/>
  <c r="IC239" i="8"/>
  <c r="BL328" i="22" l="1"/>
  <c r="BH250" i="8"/>
  <c r="W243" i="18"/>
  <c r="X243" i="18" s="1"/>
  <c r="IC240" i="8"/>
  <c r="HM240" i="8"/>
  <c r="BH329" i="22" l="1"/>
  <c r="BI329" i="22"/>
  <c r="BK329" i="22" s="1"/>
  <c r="BJ329" i="22" s="1"/>
  <c r="BH251" i="8"/>
  <c r="W244" i="18"/>
  <c r="X244" i="18" s="1"/>
  <c r="HM241" i="8"/>
  <c r="IC241" i="8"/>
  <c r="BG329" i="22" l="1"/>
  <c r="BD329" i="22" s="1"/>
  <c r="BL329" i="22"/>
  <c r="BH252" i="8"/>
  <c r="W245" i="18"/>
  <c r="X245" i="18" s="1"/>
  <c r="IC242" i="8"/>
  <c r="HM242" i="8"/>
  <c r="BH330" i="22" l="1"/>
  <c r="BI330" i="22"/>
  <c r="BK330" i="22" s="1"/>
  <c r="BJ330" i="22" s="1"/>
  <c r="BH253" i="8"/>
  <c r="W246" i="18"/>
  <c r="IC243" i="8"/>
  <c r="HM243" i="8"/>
  <c r="BG330" i="22" l="1"/>
  <c r="BD330" i="22" s="1"/>
  <c r="BL330" i="22"/>
  <c r="BH254" i="8"/>
  <c r="W247" i="18"/>
  <c r="X247" i="18" s="1"/>
  <c r="HM244" i="8"/>
  <c r="IC244" i="8"/>
  <c r="BI331" i="22" l="1"/>
  <c r="BK331" i="22" s="1"/>
  <c r="BJ331" i="22" s="1"/>
  <c r="BG331" i="22" s="1"/>
  <c r="BD331" i="22" s="1"/>
  <c r="BH331" i="22"/>
  <c r="BH255" i="8"/>
  <c r="W248" i="18"/>
  <c r="X248" i="18" s="1"/>
  <c r="IC245" i="8"/>
  <c r="HM245" i="8"/>
  <c r="BL331" i="22" l="1"/>
  <c r="BH332" i="22" s="1"/>
  <c r="BH256" i="8"/>
  <c r="W249" i="18"/>
  <c r="X249" i="18" s="1"/>
  <c r="HM246" i="8"/>
  <c r="IC246" i="8"/>
  <c r="BI332" i="22" l="1"/>
  <c r="BK332" i="22" s="1"/>
  <c r="BJ332" i="22" s="1"/>
  <c r="BG332" i="22" s="1"/>
  <c r="BD332" i="22" s="1"/>
  <c r="BH257" i="8"/>
  <c r="W250" i="18"/>
  <c r="X250" i="18" s="1"/>
  <c r="IC247" i="8"/>
  <c r="HM247" i="8"/>
  <c r="BL332" i="22" l="1"/>
  <c r="BH258" i="8"/>
  <c r="W251" i="18"/>
  <c r="X251" i="18" s="1"/>
  <c r="HM248" i="8"/>
  <c r="IC248" i="8"/>
  <c r="BH333" i="22" l="1"/>
  <c r="BI333" i="22"/>
  <c r="BK333" i="22" s="1"/>
  <c r="BJ333" i="22" s="1"/>
  <c r="BG333" i="22" s="1"/>
  <c r="BD333" i="22" s="1"/>
  <c r="BH259" i="8"/>
  <c r="W252" i="18"/>
  <c r="X252" i="18" s="1"/>
  <c r="HM249" i="8"/>
  <c r="IC249" i="8"/>
  <c r="BL333" i="22" l="1"/>
  <c r="BH334" i="22" s="1"/>
  <c r="BH260" i="8"/>
  <c r="W253" i="18"/>
  <c r="X253" i="18" s="1"/>
  <c r="IC250" i="8"/>
  <c r="HM250" i="8"/>
  <c r="BI334" i="22" l="1"/>
  <c r="BK334" i="22" s="1"/>
  <c r="BJ334" i="22" s="1"/>
  <c r="BG334" i="22" s="1"/>
  <c r="BD334" i="22" s="1"/>
  <c r="BH261" i="8"/>
  <c r="W254" i="18"/>
  <c r="X254" i="18" s="1"/>
  <c r="HM251" i="8"/>
  <c r="IC251" i="8"/>
  <c r="BL334" i="22" l="1"/>
  <c r="BH335" i="22" s="1"/>
  <c r="BH262" i="8"/>
  <c r="W255" i="18"/>
  <c r="X255" i="18" s="1"/>
  <c r="IC252" i="8"/>
  <c r="HM252" i="8"/>
  <c r="BI335" i="22" l="1"/>
  <c r="BK335" i="22" s="1"/>
  <c r="BJ335" i="22" s="1"/>
  <c r="BG335" i="22" s="1"/>
  <c r="BD335" i="22" s="1"/>
  <c r="BH263" i="8"/>
  <c r="W256" i="18"/>
  <c r="X256" i="18" s="1"/>
  <c r="HM253" i="8"/>
  <c r="IC253" i="8"/>
  <c r="BL335" i="22" l="1"/>
  <c r="BH264" i="8"/>
  <c r="W257" i="18"/>
  <c r="X257" i="18" s="1"/>
  <c r="IC254" i="8"/>
  <c r="HM254" i="8"/>
  <c r="BH336" i="22" l="1"/>
  <c r="BI336" i="22"/>
  <c r="BK336" i="22" s="1"/>
  <c r="BJ336" i="22" s="1"/>
  <c r="BG336" i="22" s="1"/>
  <c r="BD336" i="22" s="1"/>
  <c r="HM255" i="8"/>
  <c r="IC255" i="8"/>
  <c r="BL336" i="22" l="1"/>
  <c r="HM256" i="8"/>
  <c r="IC256" i="8"/>
  <c r="BI337" i="22" l="1"/>
  <c r="BK337" i="22" s="1"/>
  <c r="BJ337" i="22" s="1"/>
  <c r="BG337" i="22" s="1"/>
  <c r="BD337" i="22" s="1"/>
  <c r="BH337" i="22"/>
  <c r="HM257" i="8"/>
  <c r="IC257" i="8"/>
  <c r="BL337" i="22" l="1"/>
  <c r="IC258" i="8"/>
  <c r="HM258" i="8"/>
  <c r="BH338" i="22" l="1"/>
  <c r="BI338" i="22"/>
  <c r="BK338" i="22" s="1"/>
  <c r="BJ338" i="22" s="1"/>
  <c r="BG338" i="22" s="1"/>
  <c r="BD338" i="22" s="1"/>
  <c r="HM259" i="8"/>
  <c r="IC259" i="8"/>
  <c r="BL338" i="22" l="1"/>
  <c r="IC260" i="8"/>
  <c r="HM260" i="8"/>
  <c r="BI339" i="22" l="1"/>
  <c r="BK339" i="22" s="1"/>
  <c r="BJ339" i="22" s="1"/>
  <c r="BG339" i="22" s="1"/>
  <c r="BD339" i="22" s="1"/>
  <c r="BH339" i="22"/>
  <c r="HM261" i="8"/>
  <c r="IC261" i="8"/>
  <c r="BL339" i="22" l="1"/>
  <c r="IC262" i="8"/>
  <c r="HM262" i="8"/>
  <c r="BI340" i="22" l="1"/>
  <c r="BK340" i="22" s="1"/>
  <c r="BJ340" i="22" s="1"/>
  <c r="BG340" i="22" s="1"/>
  <c r="BD340" i="22" s="1"/>
  <c r="BH340" i="22"/>
  <c r="HM263" i="8"/>
  <c r="IC263" i="8"/>
  <c r="BL340" i="22" l="1"/>
  <c r="IC264" i="8"/>
  <c r="HM264" i="8"/>
  <c r="BI341" i="22" l="1"/>
  <c r="BK341" i="22" s="1"/>
  <c r="BJ341" i="22" s="1"/>
  <c r="BG341" i="22" s="1"/>
  <c r="BD341" i="22" s="1"/>
  <c r="BH341" i="22"/>
  <c r="L275" i="7"/>
  <c r="C275" i="7"/>
  <c r="O404" i="1"/>
  <c r="N383" i="22" s="1"/>
  <c r="C404" i="1"/>
  <c r="C383" i="22" s="1"/>
  <c r="C330" i="17"/>
  <c r="N312" i="17"/>
  <c r="C328" i="17" s="1"/>
  <c r="C272" i="20" s="1"/>
  <c r="BL341" i="22" l="1"/>
  <c r="E119" i="4"/>
  <c r="AG83" i="1"/>
  <c r="B15" i="20"/>
  <c r="AH13" i="7"/>
  <c r="AH13" i="18"/>
  <c r="AE12" i="18"/>
  <c r="B17" i="18"/>
  <c r="K4" i="4"/>
  <c r="E17" i="17"/>
  <c r="B70" i="17"/>
  <c r="U71" i="17"/>
  <c r="U72" i="17" s="1"/>
  <c r="V72" i="17" s="1"/>
  <c r="M1" i="17"/>
  <c r="BI342" i="22" l="1"/>
  <c r="BK342" i="22" s="1"/>
  <c r="BJ342" i="22" s="1"/>
  <c r="BG342" i="22" s="1"/>
  <c r="BD342" i="22" s="1"/>
  <c r="BH342" i="22"/>
  <c r="BL342" i="22"/>
  <c r="O111" i="2"/>
  <c r="W111" i="2"/>
  <c r="K111" i="2"/>
  <c r="S111" i="2"/>
  <c r="C111" i="2"/>
  <c r="BC16" i="8"/>
  <c r="AI15" i="8"/>
  <c r="AE21" i="18"/>
  <c r="AE29" i="18"/>
  <c r="AE37" i="18"/>
  <c r="AE45" i="18"/>
  <c r="AE53" i="18"/>
  <c r="AE61" i="18"/>
  <c r="AE69" i="18"/>
  <c r="AE77" i="18"/>
  <c r="AE85" i="18"/>
  <c r="AE93" i="18"/>
  <c r="AE101" i="18"/>
  <c r="AE109" i="18"/>
  <c r="AE117" i="18"/>
  <c r="AE125" i="18"/>
  <c r="AE133" i="18"/>
  <c r="AE141" i="18"/>
  <c r="AE149" i="18"/>
  <c r="AE157" i="18"/>
  <c r="AE165" i="18"/>
  <c r="AE173" i="18"/>
  <c r="AE181" i="18"/>
  <c r="AE189" i="18"/>
  <c r="AE197" i="18"/>
  <c r="AE205" i="18"/>
  <c r="AE213" i="18"/>
  <c r="AE221" i="18"/>
  <c r="AE229" i="18"/>
  <c r="AE237" i="18"/>
  <c r="AE245" i="18"/>
  <c r="AE253" i="18"/>
  <c r="AE49" i="18"/>
  <c r="AE201" i="18"/>
  <c r="AE22" i="18"/>
  <c r="AE30" i="18"/>
  <c r="AE38" i="18"/>
  <c r="AE46" i="18"/>
  <c r="AE54" i="18"/>
  <c r="AE62" i="18"/>
  <c r="AE70" i="18"/>
  <c r="AE78" i="18"/>
  <c r="AE86" i="18"/>
  <c r="AE94" i="18"/>
  <c r="AE102" i="18"/>
  <c r="AE110" i="18"/>
  <c r="AE118" i="18"/>
  <c r="AE126" i="18"/>
  <c r="AE134" i="18"/>
  <c r="AE142" i="18"/>
  <c r="AE150" i="18"/>
  <c r="AE158" i="18"/>
  <c r="AE166" i="18"/>
  <c r="AE174" i="18"/>
  <c r="AE182" i="18"/>
  <c r="AE190" i="18"/>
  <c r="AE198" i="18"/>
  <c r="AE206" i="18"/>
  <c r="AE214" i="18"/>
  <c r="AE222" i="18"/>
  <c r="AE230" i="18"/>
  <c r="AE238" i="18"/>
  <c r="AE246" i="18"/>
  <c r="AE254" i="18"/>
  <c r="AE41" i="18"/>
  <c r="AE121" i="18"/>
  <c r="AE169" i="18"/>
  <c r="AE217" i="18"/>
  <c r="AE257" i="18"/>
  <c r="AE23" i="18"/>
  <c r="AE31" i="18"/>
  <c r="AE39" i="18"/>
  <c r="AE47" i="18"/>
  <c r="AE55" i="18"/>
  <c r="AE63" i="18"/>
  <c r="AE71" i="18"/>
  <c r="AE79" i="18"/>
  <c r="AE87" i="18"/>
  <c r="AE95" i="18"/>
  <c r="AE103" i="18"/>
  <c r="AE111" i="18"/>
  <c r="AE119" i="18"/>
  <c r="AE127" i="18"/>
  <c r="AE135" i="18"/>
  <c r="AE143" i="18"/>
  <c r="AE151" i="18"/>
  <c r="AE159" i="18"/>
  <c r="AE167" i="18"/>
  <c r="AE175" i="18"/>
  <c r="AE183" i="18"/>
  <c r="AE191" i="18"/>
  <c r="AE199" i="18"/>
  <c r="AE207" i="18"/>
  <c r="AE215" i="18"/>
  <c r="AE223" i="18"/>
  <c r="AE231" i="18"/>
  <c r="AE239" i="18"/>
  <c r="AE247" i="18"/>
  <c r="AE255" i="18"/>
  <c r="AE33" i="18"/>
  <c r="AE73" i="18"/>
  <c r="AE97" i="18"/>
  <c r="AE113" i="18"/>
  <c r="AE137" i="18"/>
  <c r="AE153" i="18"/>
  <c r="AE177" i="18"/>
  <c r="AE193" i="18"/>
  <c r="AE225" i="18"/>
  <c r="AE241" i="18"/>
  <c r="AE24" i="18"/>
  <c r="AE32" i="18"/>
  <c r="AE40" i="18"/>
  <c r="AE48" i="18"/>
  <c r="AE56" i="18"/>
  <c r="AE64" i="18"/>
  <c r="AE72" i="18"/>
  <c r="AE80" i="18"/>
  <c r="AE88" i="18"/>
  <c r="AE96" i="18"/>
  <c r="AE104" i="18"/>
  <c r="AE112" i="18"/>
  <c r="AE120" i="18"/>
  <c r="AE128" i="18"/>
  <c r="AE136" i="18"/>
  <c r="AE144" i="18"/>
  <c r="AE152" i="18"/>
  <c r="AE160" i="18"/>
  <c r="AE168" i="18"/>
  <c r="AE176" i="18"/>
  <c r="AE184" i="18"/>
  <c r="AE192" i="18"/>
  <c r="AE200" i="18"/>
  <c r="AE208" i="18"/>
  <c r="AE216" i="18"/>
  <c r="AE224" i="18"/>
  <c r="AE232" i="18"/>
  <c r="AE240" i="18"/>
  <c r="AE248" i="18"/>
  <c r="AE256" i="18"/>
  <c r="AE25" i="18"/>
  <c r="AE57" i="18"/>
  <c r="AE65" i="18"/>
  <c r="AE81" i="18"/>
  <c r="AE89" i="18"/>
  <c r="AE105" i="18"/>
  <c r="AE129" i="18"/>
  <c r="AE145" i="18"/>
  <c r="AE161" i="18"/>
  <c r="AE185" i="18"/>
  <c r="AE209" i="18"/>
  <c r="AE233" i="18"/>
  <c r="AE249" i="18"/>
  <c r="AE26" i="18"/>
  <c r="AE44" i="18"/>
  <c r="AE67" i="18"/>
  <c r="AE90" i="18"/>
  <c r="AE108" i="18"/>
  <c r="AE131" i="18"/>
  <c r="AE154" i="18"/>
  <c r="AE172" i="18"/>
  <c r="AE195" i="18"/>
  <c r="AE218" i="18"/>
  <c r="AE236" i="18"/>
  <c r="AE19" i="18"/>
  <c r="AE179" i="18"/>
  <c r="AE58" i="18"/>
  <c r="AE122" i="18"/>
  <c r="AE163" i="18"/>
  <c r="AE204" i="18"/>
  <c r="AE164" i="18"/>
  <c r="AE60" i="18"/>
  <c r="AE83" i="18"/>
  <c r="AE106" i="18"/>
  <c r="AE188" i="18"/>
  <c r="AE252" i="18"/>
  <c r="AE43" i="18"/>
  <c r="AE130" i="18"/>
  <c r="AE171" i="18"/>
  <c r="AE235" i="18"/>
  <c r="AE27" i="18"/>
  <c r="AE50" i="18"/>
  <c r="AE68" i="18"/>
  <c r="AE91" i="18"/>
  <c r="AE114" i="18"/>
  <c r="AE132" i="18"/>
  <c r="AE155" i="18"/>
  <c r="AE178" i="18"/>
  <c r="AE196" i="18"/>
  <c r="AE219" i="18"/>
  <c r="AE242" i="18"/>
  <c r="AE156" i="18"/>
  <c r="AE35" i="18"/>
  <c r="AE140" i="18"/>
  <c r="AE186" i="18"/>
  <c r="AE227" i="18"/>
  <c r="AE123" i="18"/>
  <c r="AE210" i="18"/>
  <c r="AE42" i="18"/>
  <c r="AE124" i="18"/>
  <c r="AE211" i="18"/>
  <c r="AE66" i="18"/>
  <c r="AE148" i="18"/>
  <c r="AE194" i="18"/>
  <c r="AE20" i="18"/>
  <c r="AE28" i="18"/>
  <c r="AE51" i="18"/>
  <c r="AE74" i="18"/>
  <c r="AE92" i="18"/>
  <c r="AE115" i="18"/>
  <c r="AE138" i="18"/>
  <c r="AE202" i="18"/>
  <c r="AE220" i="18"/>
  <c r="AE243" i="18"/>
  <c r="AE76" i="18"/>
  <c r="AE250" i="18"/>
  <c r="AE187" i="18"/>
  <c r="AE147" i="18"/>
  <c r="AE84" i="18"/>
  <c r="AE212" i="18"/>
  <c r="AE34" i="18"/>
  <c r="AE52" i="18"/>
  <c r="AE75" i="18"/>
  <c r="AE98" i="18"/>
  <c r="AE116" i="18"/>
  <c r="AE139" i="18"/>
  <c r="AE162" i="18"/>
  <c r="AE180" i="18"/>
  <c r="AE203" i="18"/>
  <c r="AE226" i="18"/>
  <c r="AE244" i="18"/>
  <c r="AE99" i="18"/>
  <c r="AE228" i="18"/>
  <c r="AE170" i="18"/>
  <c r="AE107" i="18"/>
  <c r="AE36" i="18"/>
  <c r="AE59" i="18"/>
  <c r="AE82" i="18"/>
  <c r="AE100" i="18"/>
  <c r="AE146" i="18"/>
  <c r="AE251" i="18"/>
  <c r="AE234" i="18"/>
  <c r="AD59" i="18"/>
  <c r="AD87" i="18"/>
  <c r="AD101" i="18"/>
  <c r="AD154" i="18"/>
  <c r="AD137" i="18"/>
  <c r="AG57" i="18"/>
  <c r="AF57" i="18" s="1"/>
  <c r="AD110" i="18"/>
  <c r="AD146" i="18"/>
  <c r="AG66" i="18"/>
  <c r="AF66" i="18" s="1"/>
  <c r="AG73" i="18"/>
  <c r="AF73" i="18" s="1"/>
  <c r="AD80" i="18"/>
  <c r="AD119" i="18"/>
  <c r="AG173" i="18"/>
  <c r="AF173" i="18" s="1"/>
  <c r="AD118" i="18"/>
  <c r="AG112" i="18"/>
  <c r="AF112" i="18" s="1"/>
  <c r="AD60" i="18"/>
  <c r="AG87" i="18"/>
  <c r="AF87" i="18" s="1"/>
  <c r="AD128" i="18"/>
  <c r="AD179" i="18"/>
  <c r="AD136" i="18"/>
  <c r="AD202" i="18"/>
  <c r="AD250" i="18"/>
  <c r="AD211" i="18"/>
  <c r="AD52" i="18"/>
  <c r="AG53" i="18"/>
  <c r="AF53" i="18" s="1"/>
  <c r="AD82" i="18"/>
  <c r="AG39" i="18"/>
  <c r="AF39" i="18" s="1"/>
  <c r="AG85" i="18"/>
  <c r="AF85" i="18" s="1"/>
  <c r="AG106" i="18"/>
  <c r="AF106" i="18" s="1"/>
  <c r="AG115" i="18"/>
  <c r="AF115" i="18" s="1"/>
  <c r="AG124" i="18"/>
  <c r="AF124" i="18" s="1"/>
  <c r="AG133" i="18"/>
  <c r="AF133" i="18" s="1"/>
  <c r="AG142" i="18"/>
  <c r="AF142" i="18" s="1"/>
  <c r="AG151" i="18"/>
  <c r="AF151" i="18" s="1"/>
  <c r="AD91" i="18"/>
  <c r="AD76" i="18"/>
  <c r="AD97" i="18"/>
  <c r="AD115" i="18"/>
  <c r="AD133" i="18"/>
  <c r="AG184" i="18"/>
  <c r="AF184" i="18" s="1"/>
  <c r="AG31" i="18"/>
  <c r="AF31" i="18" s="1"/>
  <c r="AG123" i="18"/>
  <c r="AF123" i="18" s="1"/>
  <c r="AG141" i="18"/>
  <c r="AF141" i="18" s="1"/>
  <c r="AG159" i="18"/>
  <c r="AF159" i="18" s="1"/>
  <c r="AD187" i="18"/>
  <c r="AD216" i="18"/>
  <c r="AG241" i="18"/>
  <c r="AF241" i="18" s="1"/>
  <c r="AG163" i="18"/>
  <c r="AF163" i="18" s="1"/>
  <c r="AG216" i="18"/>
  <c r="AF216" i="18" s="1"/>
  <c r="AD194" i="18"/>
  <c r="H14" i="20"/>
  <c r="AD63" i="18"/>
  <c r="AD66" i="18"/>
  <c r="AG101" i="18"/>
  <c r="AF101" i="18" s="1"/>
  <c r="AG122" i="18"/>
  <c r="AF122" i="18" s="1"/>
  <c r="AG149" i="18"/>
  <c r="AF149" i="18" s="1"/>
  <c r="AG158" i="18"/>
  <c r="AF158" i="18" s="1"/>
  <c r="AD167" i="18"/>
  <c r="AD54" i="18"/>
  <c r="AG113" i="18"/>
  <c r="AF113" i="18" s="1"/>
  <c r="AD79" i="18"/>
  <c r="AD88" i="18"/>
  <c r="AD109" i="18"/>
  <c r="AG128" i="18"/>
  <c r="AF128" i="18" s="1"/>
  <c r="AD145" i="18"/>
  <c r="AD51" i="18"/>
  <c r="AG94" i="18"/>
  <c r="AF94" i="18" s="1"/>
  <c r="AG130" i="18"/>
  <c r="AF130" i="18" s="1"/>
  <c r="AD162" i="18"/>
  <c r="AD215" i="18"/>
  <c r="AG45" i="18"/>
  <c r="AF45" i="18" s="1"/>
  <c r="AD198" i="18"/>
  <c r="AD247" i="18"/>
  <c r="AD207" i="18"/>
  <c r="AG75" i="18"/>
  <c r="AF75" i="18" s="1"/>
  <c r="AG61" i="18"/>
  <c r="AF61" i="18" s="1"/>
  <c r="AG60" i="18"/>
  <c r="AF60" i="18" s="1"/>
  <c r="AD64" i="18"/>
  <c r="AD85" i="18"/>
  <c r="AD94" i="18"/>
  <c r="AD103" i="18"/>
  <c r="AD147" i="18"/>
  <c r="AD130" i="18"/>
  <c r="AG172" i="18"/>
  <c r="AF172" i="18" s="1"/>
  <c r="AD106" i="18"/>
  <c r="AD159" i="18"/>
  <c r="AD142" i="18"/>
  <c r="AD74" i="18"/>
  <c r="AG93" i="18"/>
  <c r="AF93" i="18" s="1"/>
  <c r="AG114" i="18"/>
  <c r="AF114" i="18" s="1"/>
  <c r="AG150" i="18"/>
  <c r="AF150" i="18" s="1"/>
  <c r="AG88" i="18"/>
  <c r="AF88" i="18" s="1"/>
  <c r="AG167" i="18"/>
  <c r="AF167" i="18" s="1"/>
  <c r="AG220" i="18"/>
  <c r="AF220" i="18" s="1"/>
  <c r="AD35" i="18"/>
  <c r="AG238" i="18"/>
  <c r="AF238" i="18" s="1"/>
  <c r="AD41" i="18"/>
  <c r="AD244" i="18"/>
  <c r="AD249" i="18"/>
  <c r="AG236" i="18"/>
  <c r="AF236" i="18" s="1"/>
  <c r="AD223" i="18"/>
  <c r="AD214" i="18"/>
  <c r="AD221" i="18"/>
  <c r="AD224" i="18"/>
  <c r="AG213" i="18"/>
  <c r="AF213" i="18" s="1"/>
  <c r="AG191" i="18"/>
  <c r="AF191" i="18" s="1"/>
  <c r="AD170" i="18"/>
  <c r="AG182" i="18"/>
  <c r="AF182" i="18" s="1"/>
  <c r="AD161" i="18"/>
  <c r="AD19" i="18"/>
  <c r="AD37" i="18"/>
  <c r="AG58" i="18"/>
  <c r="AF58" i="18" s="1"/>
  <c r="AD248" i="18"/>
  <c r="AD243" i="18"/>
  <c r="AG244" i="18"/>
  <c r="AF244" i="18" s="1"/>
  <c r="AG240" i="18"/>
  <c r="AF240" i="18" s="1"/>
  <c r="AD227" i="18"/>
  <c r="AD218" i="18"/>
  <c r="AD225" i="18"/>
  <c r="AG225" i="18"/>
  <c r="AF225" i="18" s="1"/>
  <c r="AD195" i="18"/>
  <c r="AD174" i="18"/>
  <c r="AG186" i="18"/>
  <c r="AF186" i="18" s="1"/>
  <c r="AD165" i="18"/>
  <c r="AG177" i="18"/>
  <c r="AF177" i="18" s="1"/>
  <c r="AG40" i="18"/>
  <c r="AF40" i="18" s="1"/>
  <c r="AD33" i="18"/>
  <c r="AG54" i="18"/>
  <c r="AF54" i="18" s="1"/>
  <c r="AD252" i="18"/>
  <c r="AD246" i="18"/>
  <c r="AG248" i="18"/>
  <c r="AF248" i="18" s="1"/>
  <c r="AD230" i="18"/>
  <c r="AD222" i="18"/>
  <c r="AG229" i="18"/>
  <c r="AF229" i="18" s="1"/>
  <c r="AD199" i="18"/>
  <c r="AD178" i="18"/>
  <c r="AG190" i="18"/>
  <c r="AF190" i="18" s="1"/>
  <c r="AD169" i="18"/>
  <c r="AG181" i="18"/>
  <c r="AF181" i="18" s="1"/>
  <c r="AD164" i="18"/>
  <c r="AG176" i="18"/>
  <c r="AF176" i="18" s="1"/>
  <c r="AG155" i="18"/>
  <c r="AF155" i="18" s="1"/>
  <c r="AD134" i="18"/>
  <c r="AG146" i="18"/>
  <c r="AF146" i="18" s="1"/>
  <c r="AG137" i="18"/>
  <c r="AF137" i="18" s="1"/>
  <c r="AD151" i="18"/>
  <c r="AD107" i="18"/>
  <c r="AG119" i="18"/>
  <c r="AF119" i="18" s="1"/>
  <c r="AD98" i="18"/>
  <c r="AG110" i="18"/>
  <c r="AF110" i="18" s="1"/>
  <c r="AD89" i="18"/>
  <c r="AG89" i="18"/>
  <c r="AF89" i="18" s="1"/>
  <c r="AD68" i="18"/>
  <c r="AG35" i="18"/>
  <c r="AF35" i="18" s="1"/>
  <c r="AD78" i="18"/>
  <c r="AD168" i="18"/>
  <c r="AD226" i="18"/>
  <c r="AG178" i="18"/>
  <c r="AF178" i="18" s="1"/>
  <c r="AG46" i="18"/>
  <c r="AF46" i="18" s="1"/>
  <c r="AD257" i="18"/>
  <c r="AG232" i="18"/>
  <c r="AF232" i="18" s="1"/>
  <c r="AD233" i="18"/>
  <c r="AD208" i="18"/>
  <c r="AD186" i="18"/>
  <c r="AD177" i="18"/>
  <c r="AG189" i="18"/>
  <c r="AF189" i="18" s="1"/>
  <c r="AG42" i="18"/>
  <c r="AF42" i="18" s="1"/>
  <c r="AG255" i="18"/>
  <c r="AF255" i="18" s="1"/>
  <c r="AD245" i="18"/>
  <c r="AD237" i="18"/>
  <c r="AG235" i="18"/>
  <c r="AF235" i="18" s="1"/>
  <c r="AD239" i="18"/>
  <c r="AD220" i="18"/>
  <c r="AG209" i="18"/>
  <c r="AF209" i="18" s="1"/>
  <c r="AD204" i="18"/>
  <c r="AD190" i="18"/>
  <c r="AD181" i="18"/>
  <c r="AG193" i="18"/>
  <c r="AF193" i="18" s="1"/>
  <c r="AD172" i="18"/>
  <c r="AD43" i="18"/>
  <c r="AG38" i="18"/>
  <c r="AF38" i="18" s="1"/>
  <c r="AD242" i="18"/>
  <c r="AG243" i="18"/>
  <c r="AF243" i="18" s="1"/>
  <c r="AG239" i="18"/>
  <c r="AF239" i="18" s="1"/>
  <c r="AG204" i="18"/>
  <c r="AF204" i="18" s="1"/>
  <c r="AG202" i="18"/>
  <c r="AF202" i="18" s="1"/>
  <c r="AG221" i="18"/>
  <c r="AF221" i="18" s="1"/>
  <c r="AD185" i="18"/>
  <c r="AD176" i="18"/>
  <c r="AG192" i="18"/>
  <c r="AF192" i="18" s="1"/>
  <c r="AD171" i="18"/>
  <c r="AD150" i="18"/>
  <c r="AD141" i="18"/>
  <c r="AG153" i="18"/>
  <c r="AF153" i="18" s="1"/>
  <c r="AD132" i="18"/>
  <c r="AD123" i="18"/>
  <c r="AD114" i="18"/>
  <c r="AD105" i="18"/>
  <c r="AG126" i="18"/>
  <c r="AF126" i="18" s="1"/>
  <c r="AG105" i="18"/>
  <c r="AF105" i="18" s="1"/>
  <c r="AD84" i="18"/>
  <c r="AG19" i="18"/>
  <c r="AF19" i="18" s="1"/>
  <c r="AD62" i="18"/>
  <c r="AD83" i="18"/>
  <c r="AD228" i="18"/>
  <c r="AG162" i="18"/>
  <c r="AF162" i="18" s="1"/>
  <c r="AG30" i="18"/>
  <c r="AF30" i="18" s="1"/>
  <c r="AG251" i="18"/>
  <c r="AF251" i="18" s="1"/>
  <c r="AG210" i="18"/>
  <c r="AF210" i="18" s="1"/>
  <c r="AG28" i="18"/>
  <c r="AF28" i="18" s="1"/>
  <c r="AG26" i="18"/>
  <c r="AF26" i="18" s="1"/>
  <c r="AG237" i="18"/>
  <c r="AF237" i="18" s="1"/>
  <c r="AD232" i="18"/>
  <c r="AG214" i="18"/>
  <c r="AF214" i="18" s="1"/>
  <c r="AG198" i="18"/>
  <c r="AF198" i="18" s="1"/>
  <c r="AG22" i="18"/>
  <c r="AF22" i="18" s="1"/>
  <c r="AD254" i="18"/>
  <c r="AD241" i="18"/>
  <c r="AD234" i="18"/>
  <c r="AD238" i="18"/>
  <c r="AG218" i="18"/>
  <c r="AF218" i="18" s="1"/>
  <c r="AG205" i="18"/>
  <c r="AF205" i="18" s="1"/>
  <c r="AD157" i="18"/>
  <c r="AD148" i="18"/>
  <c r="AG140" i="18"/>
  <c r="AF140" i="18" s="1"/>
  <c r="AG96" i="18"/>
  <c r="AF96" i="18" s="1"/>
  <c r="AD121" i="18"/>
  <c r="AG78" i="18"/>
  <c r="AF78" i="18" s="1"/>
  <c r="AD100" i="18"/>
  <c r="AD67" i="18"/>
  <c r="AD191" i="18"/>
  <c r="AG127" i="18"/>
  <c r="AF127" i="18" s="1"/>
  <c r="AD152" i="18"/>
  <c r="AG144" i="18"/>
  <c r="AF144" i="18" s="1"/>
  <c r="AG100" i="18"/>
  <c r="AF100" i="18" s="1"/>
  <c r="AD125" i="18"/>
  <c r="AG82" i="18"/>
  <c r="AF82" i="18" s="1"/>
  <c r="AG125" i="18"/>
  <c r="AF125" i="18" s="1"/>
  <c r="AD104" i="18"/>
  <c r="AD42" i="18"/>
  <c r="AG63" i="18"/>
  <c r="AF63" i="18" s="1"/>
  <c r="AG84" i="18"/>
  <c r="AF84" i="18" s="1"/>
  <c r="AG161" i="18"/>
  <c r="AF161" i="18" s="1"/>
  <c r="AG131" i="18"/>
  <c r="AF131" i="18" s="1"/>
  <c r="AD156" i="18"/>
  <c r="AG148" i="18"/>
  <c r="AF148" i="18" s="1"/>
  <c r="AD127" i="18"/>
  <c r="AG104" i="18"/>
  <c r="AF104" i="18" s="1"/>
  <c r="AG95" i="18"/>
  <c r="AF95" i="18" s="1"/>
  <c r="AG86" i="18"/>
  <c r="AF86" i="18" s="1"/>
  <c r="AD65" i="18"/>
  <c r="AD108" i="18"/>
  <c r="AG65" i="18"/>
  <c r="AF65" i="18" s="1"/>
  <c r="AD38" i="18"/>
  <c r="AG59" i="18"/>
  <c r="AF59" i="18" s="1"/>
  <c r="AG80" i="18"/>
  <c r="AF80" i="18" s="1"/>
  <c r="AG165" i="18"/>
  <c r="AF165" i="18" s="1"/>
  <c r="AG249" i="18"/>
  <c r="AF249" i="18" s="1"/>
  <c r="AG246" i="18"/>
  <c r="AF246" i="18" s="1"/>
  <c r="AG228" i="18"/>
  <c r="AF228" i="18" s="1"/>
  <c r="AG219" i="18"/>
  <c r="AF219" i="18" s="1"/>
  <c r="AD205" i="18"/>
  <c r="AG175" i="18"/>
  <c r="AF175" i="18" s="1"/>
  <c r="AG166" i="18"/>
  <c r="AF166" i="18" s="1"/>
  <c r="AD39" i="18"/>
  <c r="AG253" i="18"/>
  <c r="AF253" i="18" s="1"/>
  <c r="AG250" i="18"/>
  <c r="AF250" i="18" s="1"/>
  <c r="AG223" i="18"/>
  <c r="AF223" i="18" s="1"/>
  <c r="AD209" i="18"/>
  <c r="AG179" i="18"/>
  <c r="AF179" i="18" s="1"/>
  <c r="AG170" i="18"/>
  <c r="AF170" i="18" s="1"/>
  <c r="AG257" i="18"/>
  <c r="AF257" i="18" s="1"/>
  <c r="AD236" i="18"/>
  <c r="AG227" i="18"/>
  <c r="AF227" i="18" s="1"/>
  <c r="AD213" i="18"/>
  <c r="AD197" i="18"/>
  <c r="AG183" i="18"/>
  <c r="AF183" i="18" s="1"/>
  <c r="AG174" i="18"/>
  <c r="AF174" i="18" s="1"/>
  <c r="AG169" i="18"/>
  <c r="AF169" i="18" s="1"/>
  <c r="AG160" i="18"/>
  <c r="AF160" i="18" s="1"/>
  <c r="AD135" i="18"/>
  <c r="AD73" i="18"/>
  <c r="AD30" i="18"/>
  <c r="AG72" i="18"/>
  <c r="AF72" i="18" s="1"/>
  <c r="AG164" i="18"/>
  <c r="AF164" i="18" s="1"/>
  <c r="AG143" i="18"/>
  <c r="AF143" i="18" s="1"/>
  <c r="AG134" i="18"/>
  <c r="AF134" i="18" s="1"/>
  <c r="AD160" i="18"/>
  <c r="AD139" i="18"/>
  <c r="AG116" i="18"/>
  <c r="AF116" i="18" s="1"/>
  <c r="AD95" i="18"/>
  <c r="AG107" i="18"/>
  <c r="AF107" i="18" s="1"/>
  <c r="AG98" i="18"/>
  <c r="AF98" i="18" s="1"/>
  <c r="AD77" i="18"/>
  <c r="AD120" i="18"/>
  <c r="AG77" i="18"/>
  <c r="AF77" i="18" s="1"/>
  <c r="AD26" i="18"/>
  <c r="AG47" i="18"/>
  <c r="AF47" i="18" s="1"/>
  <c r="AG68" i="18"/>
  <c r="AF68" i="18" s="1"/>
  <c r="AD90" i="18"/>
  <c r="AG168" i="18"/>
  <c r="AF168" i="18" s="1"/>
  <c r="AG147" i="18"/>
  <c r="AF147" i="18" s="1"/>
  <c r="AD126" i="18"/>
  <c r="AG138" i="18"/>
  <c r="AF138" i="18" s="1"/>
  <c r="AG129" i="18"/>
  <c r="AF129" i="18" s="1"/>
  <c r="AD143" i="18"/>
  <c r="AG120" i="18"/>
  <c r="AF120" i="18" s="1"/>
  <c r="AD99" i="18"/>
  <c r="AG111" i="18"/>
  <c r="AF111" i="18" s="1"/>
  <c r="AG102" i="18"/>
  <c r="AF102" i="18" s="1"/>
  <c r="AD81" i="18"/>
  <c r="AD124" i="18"/>
  <c r="AG81" i="18"/>
  <c r="AF81" i="18" s="1"/>
  <c r="AD22" i="18"/>
  <c r="AG43" i="18"/>
  <c r="AF43" i="18" s="1"/>
  <c r="AG64" i="18"/>
  <c r="AF64" i="18" s="1"/>
  <c r="AD86" i="18"/>
  <c r="AG194" i="18"/>
  <c r="AF194" i="18" s="1"/>
  <c r="AG91" i="18"/>
  <c r="AF91" i="18" s="1"/>
  <c r="AG67" i="18"/>
  <c r="AF67" i="18" s="1"/>
  <c r="AD55" i="18"/>
  <c r="AG76" i="18"/>
  <c r="AF76" i="18" s="1"/>
  <c r="AG55" i="18"/>
  <c r="AF55" i="18" s="1"/>
  <c r="AD34" i="18"/>
  <c r="AG69" i="18"/>
  <c r="AF69" i="18" s="1"/>
  <c r="AD112" i="18"/>
  <c r="AD69" i="18"/>
  <c r="AG90" i="18"/>
  <c r="AF90" i="18" s="1"/>
  <c r="AG99" i="18"/>
  <c r="AF99" i="18" s="1"/>
  <c r="AG108" i="18"/>
  <c r="AF108" i="18" s="1"/>
  <c r="AD131" i="18"/>
  <c r="AG152" i="18"/>
  <c r="AF152" i="18" s="1"/>
  <c r="AG135" i="18"/>
  <c r="AF135" i="18" s="1"/>
  <c r="AD183" i="18"/>
  <c r="AD75" i="18"/>
  <c r="AD92" i="18"/>
  <c r="AG70" i="18"/>
  <c r="AF70" i="18" s="1"/>
  <c r="AD113" i="18"/>
  <c r="AD122" i="18"/>
  <c r="AG132" i="18"/>
  <c r="AF132" i="18" s="1"/>
  <c r="AD140" i="18"/>
  <c r="AD149" i="18"/>
  <c r="AD158" i="18"/>
  <c r="AD58" i="18"/>
  <c r="AG109" i="18"/>
  <c r="AF109" i="18" s="1"/>
  <c r="AG157" i="18"/>
  <c r="AF157" i="18" s="1"/>
  <c r="AD175" i="18"/>
  <c r="AG51" i="18"/>
  <c r="AF51" i="18" s="1"/>
  <c r="AD116" i="18"/>
  <c r="AG103" i="18"/>
  <c r="AF103" i="18" s="1"/>
  <c r="AG156" i="18"/>
  <c r="AF156" i="18" s="1"/>
  <c r="AG139" i="18"/>
  <c r="AF139" i="18" s="1"/>
  <c r="AD196" i="18"/>
  <c r="AD206" i="18"/>
  <c r="AD49" i="18"/>
  <c r="AG200" i="18"/>
  <c r="AF200" i="18" s="1"/>
  <c r="AG230" i="18"/>
  <c r="AF230" i="18" s="1"/>
  <c r="AG252" i="18"/>
  <c r="AF252" i="18" s="1"/>
  <c r="AD53" i="18"/>
  <c r="AG196" i="18"/>
  <c r="AF196" i="18" s="1"/>
  <c r="AG226" i="18"/>
  <c r="AF226" i="18" s="1"/>
  <c r="AD57" i="18"/>
  <c r="AD166" i="18"/>
  <c r="AD251" i="18"/>
  <c r="AD44" i="18"/>
  <c r="AD193" i="18"/>
  <c r="AG199" i="18"/>
  <c r="AF199" i="18" s="1"/>
  <c r="AG212" i="18"/>
  <c r="AF212" i="18" s="1"/>
  <c r="AG79" i="18"/>
  <c r="AF79" i="18" s="1"/>
  <c r="AG83" i="18"/>
  <c r="AF83" i="18" s="1"/>
  <c r="AG71" i="18"/>
  <c r="AF71" i="18" s="1"/>
  <c r="AG92" i="18"/>
  <c r="AF92" i="18" s="1"/>
  <c r="AD71" i="18"/>
  <c r="AD50" i="18"/>
  <c r="AD96" i="18"/>
  <c r="AG117" i="18"/>
  <c r="AF117" i="18" s="1"/>
  <c r="AG74" i="18"/>
  <c r="AF74" i="18" s="1"/>
  <c r="AD117" i="18"/>
  <c r="AG136" i="18"/>
  <c r="AF136" i="18" s="1"/>
  <c r="AD144" i="18"/>
  <c r="AD153" i="18"/>
  <c r="AG188" i="18"/>
  <c r="AF188" i="18" s="1"/>
  <c r="AD70" i="18"/>
  <c r="AG97" i="18"/>
  <c r="AF97" i="18" s="1"/>
  <c r="AG118" i="18"/>
  <c r="AF118" i="18" s="1"/>
  <c r="AG145" i="18"/>
  <c r="AF145" i="18" s="1"/>
  <c r="AG154" i="18"/>
  <c r="AF154" i="18" s="1"/>
  <c r="AD163" i="18"/>
  <c r="AG52" i="18"/>
  <c r="AF52" i="18" s="1"/>
  <c r="AD72" i="18"/>
  <c r="AD93" i="18"/>
  <c r="AD102" i="18"/>
  <c r="AD111" i="18"/>
  <c r="AD155" i="18"/>
  <c r="AD129" i="18"/>
  <c r="AD138" i="18"/>
  <c r="AG180" i="18"/>
  <c r="AF180" i="18" s="1"/>
  <c r="AD46" i="18"/>
  <c r="AG121" i="18"/>
  <c r="AF121" i="18" s="1"/>
  <c r="AD192" i="18"/>
  <c r="AG201" i="18"/>
  <c r="AF201" i="18" s="1"/>
  <c r="AG211" i="18"/>
  <c r="AF211" i="18" s="1"/>
  <c r="AD235" i="18"/>
  <c r="AD188" i="18"/>
  <c r="AG197" i="18"/>
  <c r="AF197" i="18" s="1"/>
  <c r="AG207" i="18"/>
  <c r="AF207" i="18" s="1"/>
  <c r="AD231" i="18"/>
  <c r="AD184" i="18"/>
  <c r="AG203" i="18"/>
  <c r="AF203" i="18" s="1"/>
  <c r="AG231" i="18"/>
  <c r="AF231" i="18" s="1"/>
  <c r="AG171" i="18"/>
  <c r="AF171" i="18" s="1"/>
  <c r="AD48" i="18"/>
  <c r="AD180" i="18"/>
  <c r="AD189" i="18"/>
  <c r="AG222" i="18"/>
  <c r="AF222" i="18" s="1"/>
  <c r="AG247" i="18"/>
  <c r="AF247" i="18" s="1"/>
  <c r="AD25" i="18"/>
  <c r="AG48" i="18"/>
  <c r="AF48" i="18" s="1"/>
  <c r="AG37" i="18"/>
  <c r="AF37" i="18" s="1"/>
  <c r="AG185" i="18"/>
  <c r="AF185" i="18" s="1"/>
  <c r="AD173" i="18"/>
  <c r="AD182" i="18"/>
  <c r="AG224" i="18"/>
  <c r="AF224" i="18" s="1"/>
  <c r="AD240" i="18"/>
  <c r="AD45" i="18"/>
  <c r="AG217" i="18"/>
  <c r="AF217" i="18" s="1"/>
  <c r="AG206" i="18"/>
  <c r="AF206" i="18" s="1"/>
  <c r="AD203" i="18"/>
  <c r="AD229" i="18"/>
  <c r="AD255" i="18"/>
  <c r="AG36" i="18"/>
  <c r="AF36" i="18" s="1"/>
  <c r="AG187" i="18"/>
  <c r="AF187" i="18" s="1"/>
  <c r="AG195" i="18"/>
  <c r="AF195" i="18" s="1"/>
  <c r="AG215" i="18"/>
  <c r="AF215" i="18" s="1"/>
  <c r="AG208" i="18"/>
  <c r="AF208" i="18" s="1"/>
  <c r="AG233" i="18"/>
  <c r="AF233" i="18" s="1"/>
  <c r="AG242" i="18"/>
  <c r="AF242" i="18" s="1"/>
  <c r="AG245" i="18"/>
  <c r="AF245" i="18" s="1"/>
  <c r="AD36" i="18"/>
  <c r="AD47" i="18"/>
  <c r="AD31" i="18"/>
  <c r="AD200" i="18"/>
  <c r="AD201" i="18"/>
  <c r="AD212" i="18"/>
  <c r="AD217" i="18"/>
  <c r="AD210" i="18"/>
  <c r="AG234" i="18"/>
  <c r="AF234" i="18" s="1"/>
  <c r="AD219" i="18"/>
  <c r="AG254" i="18"/>
  <c r="AF254" i="18" s="1"/>
  <c r="AD61" i="18"/>
  <c r="AD28" i="18"/>
  <c r="AG34" i="18"/>
  <c r="AF34" i="18" s="1"/>
  <c r="AG44" i="18"/>
  <c r="AF44" i="18" s="1"/>
  <c r="AG25" i="18"/>
  <c r="AF25" i="18" s="1"/>
  <c r="AD40" i="18"/>
  <c r="AD253" i="18"/>
  <c r="AD256" i="18"/>
  <c r="AG50" i="18"/>
  <c r="AF50" i="18" s="1"/>
  <c r="AD29" i="18"/>
  <c r="AD32" i="18"/>
  <c r="AG29" i="18"/>
  <c r="AF29" i="18" s="1"/>
  <c r="AG32" i="18"/>
  <c r="AF32" i="18" s="1"/>
  <c r="AG62" i="18"/>
  <c r="AF62" i="18" s="1"/>
  <c r="U73" i="17"/>
  <c r="V73" i="17" s="1"/>
  <c r="A70" i="17"/>
  <c r="A71" i="17" s="1"/>
  <c r="A72" i="17" s="1"/>
  <c r="N2" i="17"/>
  <c r="C68" i="17" s="1"/>
  <c r="BI343" i="22" l="1"/>
  <c r="BK343" i="22" s="1"/>
  <c r="BJ343" i="22" s="1"/>
  <c r="BG343" i="22" s="1"/>
  <c r="BD343" i="22" s="1"/>
  <c r="BH343" i="22"/>
  <c r="IX15" i="8"/>
  <c r="HY15" i="8"/>
  <c r="AB111" i="2"/>
  <c r="L5" i="8" s="1"/>
  <c r="G111" i="2"/>
  <c r="AC57" i="18"/>
  <c r="AC173" i="18"/>
  <c r="AC30" i="18"/>
  <c r="AC119" i="18"/>
  <c r="AC58" i="18"/>
  <c r="AC168" i="18"/>
  <c r="AC164" i="18"/>
  <c r="AC209" i="18"/>
  <c r="AC226" i="18"/>
  <c r="AC211" i="18"/>
  <c r="AC124" i="18"/>
  <c r="AC250" i="18"/>
  <c r="AC107" i="18"/>
  <c r="AC115" i="18"/>
  <c r="AC126" i="18"/>
  <c r="AC87" i="18"/>
  <c r="AC207" i="18"/>
  <c r="AC52" i="18"/>
  <c r="AC59" i="18"/>
  <c r="AC184" i="18"/>
  <c r="AC151" i="18"/>
  <c r="AC161" i="18"/>
  <c r="AC85" i="18"/>
  <c r="AC88" i="18"/>
  <c r="AC215" i="18"/>
  <c r="AC42" i="18"/>
  <c r="AC128" i="18"/>
  <c r="AC66" i="18"/>
  <c r="AC159" i="18"/>
  <c r="AC232" i="18"/>
  <c r="AC246" i="18"/>
  <c r="AC101" i="18"/>
  <c r="AC218" i="18"/>
  <c r="AC160" i="18"/>
  <c r="AC112" i="18"/>
  <c r="AC91" i="18"/>
  <c r="AC61" i="18"/>
  <c r="AC22" i="18"/>
  <c r="AC241" i="18"/>
  <c r="AC154" i="18"/>
  <c r="AC39" i="18"/>
  <c r="AC238" i="18"/>
  <c r="AC130" i="18"/>
  <c r="AC249" i="18"/>
  <c r="AC182" i="18"/>
  <c r="AC147" i="18"/>
  <c r="AC137" i="18"/>
  <c r="AC257" i="18"/>
  <c r="AC178" i="18"/>
  <c r="AC118" i="18"/>
  <c r="AC136" i="18"/>
  <c r="AC80" i="18"/>
  <c r="AC255" i="18"/>
  <c r="AC110" i="18"/>
  <c r="AC167" i="18"/>
  <c r="AC60" i="18"/>
  <c r="AC53" i="18"/>
  <c r="AC73" i="18"/>
  <c r="AC150" i="18"/>
  <c r="AC45" i="18"/>
  <c r="AC74" i="18"/>
  <c r="AC109" i="18"/>
  <c r="AC123" i="18"/>
  <c r="AC202" i="18"/>
  <c r="AC163" i="18"/>
  <c r="AC75" i="18"/>
  <c r="AC179" i="18"/>
  <c r="AC146" i="18"/>
  <c r="AC40" i="18"/>
  <c r="AC174" i="18"/>
  <c r="AC227" i="18"/>
  <c r="AC51" i="18"/>
  <c r="AC158" i="18"/>
  <c r="AC122" i="18"/>
  <c r="AC76" i="18"/>
  <c r="AC172" i="18"/>
  <c r="AC79" i="18"/>
  <c r="AC216" i="18"/>
  <c r="AC142" i="18"/>
  <c r="AC133" i="18"/>
  <c r="AC145" i="18"/>
  <c r="AC35" i="18"/>
  <c r="AC198" i="18"/>
  <c r="AC141" i="18"/>
  <c r="AC220" i="18"/>
  <c r="AC187" i="18"/>
  <c r="AC185" i="18"/>
  <c r="AC247" i="18"/>
  <c r="AC194" i="18"/>
  <c r="AC106" i="18"/>
  <c r="AC94" i="18"/>
  <c r="AC149" i="18"/>
  <c r="AC113" i="18"/>
  <c r="AC162" i="18"/>
  <c r="AC103" i="18"/>
  <c r="AC64" i="18"/>
  <c r="AC114" i="18"/>
  <c r="AC213" i="18"/>
  <c r="AC63" i="18"/>
  <c r="AC31" i="18"/>
  <c r="AC54" i="18"/>
  <c r="AC93" i="18"/>
  <c r="AC97" i="18"/>
  <c r="AC82" i="18"/>
  <c r="AC214" i="18"/>
  <c r="AC192" i="18"/>
  <c r="AC37" i="18"/>
  <c r="AC165" i="18"/>
  <c r="AC83" i="18"/>
  <c r="AC138" i="18"/>
  <c r="AC102" i="18"/>
  <c r="AC108" i="18"/>
  <c r="AC67" i="18"/>
  <c r="AC243" i="18"/>
  <c r="AC244" i="18"/>
  <c r="AC180" i="18"/>
  <c r="AC120" i="18"/>
  <c r="AC121" i="18"/>
  <c r="AC144" i="18"/>
  <c r="AC157" i="18"/>
  <c r="AC188" i="18"/>
  <c r="AC65" i="18"/>
  <c r="AC125" i="18"/>
  <c r="AC191" i="18"/>
  <c r="AC84" i="18"/>
  <c r="AC89" i="18"/>
  <c r="AC197" i="18"/>
  <c r="AC190" i="18"/>
  <c r="AC186" i="18"/>
  <c r="AC189" i="18"/>
  <c r="AC199" i="18"/>
  <c r="AC229" i="18"/>
  <c r="AC240" i="18"/>
  <c r="AC155" i="18"/>
  <c r="AC206" i="18"/>
  <c r="AC81" i="18"/>
  <c r="AC239" i="18"/>
  <c r="AC248" i="18"/>
  <c r="AC62" i="18"/>
  <c r="AC212" i="18"/>
  <c r="AC224" i="18"/>
  <c r="AC235" i="18"/>
  <c r="AC252" i="18"/>
  <c r="AC92" i="18"/>
  <c r="AC19" i="18"/>
  <c r="AC234" i="18"/>
  <c r="AC230" i="18"/>
  <c r="AC135" i="18"/>
  <c r="AC170" i="18"/>
  <c r="AC223" i="18"/>
  <c r="AC78" i="18"/>
  <c r="AC152" i="18"/>
  <c r="AC225" i="18"/>
  <c r="AC86" i="18"/>
  <c r="AC205" i="18"/>
  <c r="AC38" i="18"/>
  <c r="AC236" i="18"/>
  <c r="AC195" i="18"/>
  <c r="AC70" i="18"/>
  <c r="AC166" i="18"/>
  <c r="AC99" i="18"/>
  <c r="AC95" i="18"/>
  <c r="AC131" i="18"/>
  <c r="AC148" i="18"/>
  <c r="AC105" i="18"/>
  <c r="AC176" i="18"/>
  <c r="AC98" i="18"/>
  <c r="AC55" i="18"/>
  <c r="AC46" i="18"/>
  <c r="AC117" i="18"/>
  <c r="AC193" i="18"/>
  <c r="AC132" i="18"/>
  <c r="AC68" i="18"/>
  <c r="AC139" i="18"/>
  <c r="AC183" i="18"/>
  <c r="AC175" i="18"/>
  <c r="AC100" i="18"/>
  <c r="AC171" i="18"/>
  <c r="AC221" i="18"/>
  <c r="AC43" i="18"/>
  <c r="AC181" i="18"/>
  <c r="AC233" i="18"/>
  <c r="AC169" i="18"/>
  <c r="AC222" i="18"/>
  <c r="AC208" i="18"/>
  <c r="AC50" i="18"/>
  <c r="AC129" i="18"/>
  <c r="AC140" i="18"/>
  <c r="AC69" i="18"/>
  <c r="AC90" i="18"/>
  <c r="AC77" i="18"/>
  <c r="AC116" i="18"/>
  <c r="AC104" i="18"/>
  <c r="AC156" i="18"/>
  <c r="AC26" i="18"/>
  <c r="AC228" i="18"/>
  <c r="AC204" i="18"/>
  <c r="AC237" i="18"/>
  <c r="AC134" i="18"/>
  <c r="AC177" i="18"/>
  <c r="AC34" i="18"/>
  <c r="AC28" i="18"/>
  <c r="AC254" i="18"/>
  <c r="AC245" i="18"/>
  <c r="AC111" i="18"/>
  <c r="AC72" i="18"/>
  <c r="AC153" i="18"/>
  <c r="AC253" i="18"/>
  <c r="AC210" i="18"/>
  <c r="AC242" i="18"/>
  <c r="AC203" i="18"/>
  <c r="AC96" i="18"/>
  <c r="AC71" i="18"/>
  <c r="AC196" i="18"/>
  <c r="AC44" i="18"/>
  <c r="AC219" i="18"/>
  <c r="AC251" i="18"/>
  <c r="AC201" i="18"/>
  <c r="AC231" i="18"/>
  <c r="AC143" i="18"/>
  <c r="AC200" i="18"/>
  <c r="AC47" i="18"/>
  <c r="AC127" i="18"/>
  <c r="AC48" i="18"/>
  <c r="AC25" i="18"/>
  <c r="AC36" i="18"/>
  <c r="AC217" i="18"/>
  <c r="AC32" i="18"/>
  <c r="AC29" i="18"/>
  <c r="U74" i="17"/>
  <c r="V74" i="17" s="1"/>
  <c r="A73" i="17"/>
  <c r="A74" i="17" s="1"/>
  <c r="A75" i="17" s="1"/>
  <c r="BL343" i="22" l="1"/>
  <c r="BI344" i="22"/>
  <c r="BK344" i="22" s="1"/>
  <c r="BJ344" i="22" s="1"/>
  <c r="BG344" i="22" s="1"/>
  <c r="BD344" i="22" s="1"/>
  <c r="BH344" i="22"/>
  <c r="HT25" i="8"/>
  <c r="H71" i="17"/>
  <c r="BJ124" i="2"/>
  <c r="AP124" i="2"/>
  <c r="AX124" i="2"/>
  <c r="BK124" i="2"/>
  <c r="AY124" i="2"/>
  <c r="AQ124" i="2"/>
  <c r="BB124" i="2"/>
  <c r="BF124" i="2"/>
  <c r="BG124" i="2"/>
  <c r="BC124" i="2"/>
  <c r="U75" i="17"/>
  <c r="V75" i="17" s="1"/>
  <c r="A76" i="17"/>
  <c r="BL344" i="22" l="1"/>
  <c r="AU124" i="2"/>
  <c r="AT124" i="2"/>
  <c r="BO124" i="2"/>
  <c r="BP124" i="2"/>
  <c r="U76" i="17"/>
  <c r="V76" i="17" s="1"/>
  <c r="A77" i="17"/>
  <c r="BI345" i="22" l="1"/>
  <c r="BK345" i="22" s="1"/>
  <c r="BJ345" i="22" s="1"/>
  <c r="BG345" i="22" s="1"/>
  <c r="BD345" i="22" s="1"/>
  <c r="BH345" i="22"/>
  <c r="U77" i="17"/>
  <c r="V77" i="17" s="1"/>
  <c r="A78" i="17"/>
  <c r="BL345" i="22" l="1"/>
  <c r="U78" i="17"/>
  <c r="V78" i="17" s="1"/>
  <c r="A79" i="17"/>
  <c r="BI346" i="22" l="1"/>
  <c r="BK346" i="22" s="1"/>
  <c r="BJ346" i="22" s="1"/>
  <c r="BG346" i="22" s="1"/>
  <c r="BD346" i="22" s="1"/>
  <c r="BH346" i="22"/>
  <c r="U79" i="17"/>
  <c r="V79" i="17" s="1"/>
  <c r="A80" i="17"/>
  <c r="BL346" i="22" l="1"/>
  <c r="U80" i="17"/>
  <c r="V80" i="17" s="1"/>
  <c r="A81" i="17"/>
  <c r="BI347" i="22" l="1"/>
  <c r="BK347" i="22" s="1"/>
  <c r="BJ347" i="22" s="1"/>
  <c r="BG347" i="22" s="1"/>
  <c r="BD347" i="22" s="1"/>
  <c r="BH347" i="22"/>
  <c r="U81" i="17"/>
  <c r="V81" i="17" s="1"/>
  <c r="A82" i="17"/>
  <c r="BL347" i="22" l="1"/>
  <c r="BH348" i="22" s="1"/>
  <c r="BI348" i="22"/>
  <c r="BK348" i="22" s="1"/>
  <c r="BJ348" i="22" s="1"/>
  <c r="BG348" i="22" s="1"/>
  <c r="BD348" i="22" s="1"/>
  <c r="U82" i="17"/>
  <c r="V82" i="17" s="1"/>
  <c r="A83" i="17"/>
  <c r="BL348" i="22" l="1"/>
  <c r="U83" i="17"/>
  <c r="A84" i="17"/>
  <c r="BH349" i="22" l="1"/>
  <c r="BI349" i="22"/>
  <c r="BK349" i="22" s="1"/>
  <c r="BJ349" i="22" s="1"/>
  <c r="BG349" i="22" s="1"/>
  <c r="BD349" i="22" s="1"/>
  <c r="U84" i="17"/>
  <c r="V84" i="17" s="1"/>
  <c r="V83" i="17"/>
  <c r="A85" i="17"/>
  <c r="BL349" i="22" l="1"/>
  <c r="U85" i="17"/>
  <c r="V85" i="17" s="1"/>
  <c r="U86" i="17"/>
  <c r="V86" i="17" s="1"/>
  <c r="A86" i="17"/>
  <c r="BH350" i="22" l="1"/>
  <c r="BI350" i="22"/>
  <c r="BK350" i="22" s="1"/>
  <c r="BJ350" i="22" s="1"/>
  <c r="BG350" i="22" s="1"/>
  <c r="BD350" i="22" s="1"/>
  <c r="U87" i="17"/>
  <c r="V87" i="17" s="1"/>
  <c r="A87" i="17"/>
  <c r="BL350" i="22" l="1"/>
  <c r="U88" i="17"/>
  <c r="V88" i="17" s="1"/>
  <c r="A88" i="17"/>
  <c r="BI351" i="22" l="1"/>
  <c r="BK351" i="22" s="1"/>
  <c r="BJ351" i="22" s="1"/>
  <c r="BG351" i="22" s="1"/>
  <c r="BD351" i="22" s="1"/>
  <c r="BH351" i="22"/>
  <c r="U89" i="17"/>
  <c r="V89" i="17" s="1"/>
  <c r="A89" i="17"/>
  <c r="BL351" i="22" l="1"/>
  <c r="U90" i="17"/>
  <c r="V90" i="17" s="1"/>
  <c r="A90" i="17"/>
  <c r="BH352" i="22" l="1"/>
  <c r="BI352" i="22"/>
  <c r="BK352" i="22" s="1"/>
  <c r="BJ352" i="22" s="1"/>
  <c r="BG352" i="22" s="1"/>
  <c r="BD352" i="22" s="1"/>
  <c r="U91" i="17"/>
  <c r="V91" i="17" s="1"/>
  <c r="A91" i="17"/>
  <c r="BL352" i="22" l="1"/>
  <c r="U92" i="17"/>
  <c r="V92" i="17" s="1"/>
  <c r="A92" i="17"/>
  <c r="BI353" i="22" l="1"/>
  <c r="BK353" i="22" s="1"/>
  <c r="BJ353" i="22" s="1"/>
  <c r="BG353" i="22" s="1"/>
  <c r="BD353" i="22" s="1"/>
  <c r="BH353" i="22"/>
  <c r="U93" i="17"/>
  <c r="V93" i="17" s="1"/>
  <c r="A93" i="17"/>
  <c r="BL353" i="22" l="1"/>
  <c r="U94" i="17"/>
  <c r="V94" i="17" s="1"/>
  <c r="A94" i="17"/>
  <c r="BI354" i="22" l="1"/>
  <c r="BK354" i="22" s="1"/>
  <c r="BJ354" i="22" s="1"/>
  <c r="BG354" i="22" s="1"/>
  <c r="BD354" i="22" s="1"/>
  <c r="BH354" i="22"/>
  <c r="U95" i="17"/>
  <c r="A95" i="17"/>
  <c r="BL354" i="22" l="1"/>
  <c r="U96" i="17"/>
  <c r="V96" i="17" s="1"/>
  <c r="V95" i="17"/>
  <c r="A96" i="17"/>
  <c r="BH355" i="22" l="1"/>
  <c r="BI355" i="22"/>
  <c r="BK355" i="22" s="1"/>
  <c r="BJ355" i="22" s="1"/>
  <c r="BG355" i="22" s="1"/>
  <c r="BD355" i="22" s="1"/>
  <c r="U97" i="17"/>
  <c r="V97" i="17" s="1"/>
  <c r="A97" i="17"/>
  <c r="BL355" i="22" l="1"/>
  <c r="U98" i="17"/>
  <c r="V98" i="17" s="1"/>
  <c r="A98" i="17"/>
  <c r="BI356" i="22" l="1"/>
  <c r="BK356" i="22" s="1"/>
  <c r="BJ356" i="22" s="1"/>
  <c r="BG356" i="22" s="1"/>
  <c r="BD356" i="22" s="1"/>
  <c r="BH356" i="22"/>
  <c r="U99" i="17"/>
  <c r="V99" i="17" s="1"/>
  <c r="U100" i="17"/>
  <c r="V100" i="17" s="1"/>
  <c r="A99" i="17"/>
  <c r="BL356" i="22" l="1"/>
  <c r="U101" i="17"/>
  <c r="V101" i="17" s="1"/>
  <c r="A100" i="17"/>
  <c r="BH357" i="22" l="1"/>
  <c r="BI357" i="22"/>
  <c r="BK357" i="22" s="1"/>
  <c r="BJ357" i="22" s="1"/>
  <c r="BG357" i="22" s="1"/>
  <c r="BD357" i="22" s="1"/>
  <c r="U102" i="17"/>
  <c r="V102" i="17" s="1"/>
  <c r="A101" i="17"/>
  <c r="BL357" i="22" l="1"/>
  <c r="BH358" i="22"/>
  <c r="BI358" i="22"/>
  <c r="BK358" i="22" s="1"/>
  <c r="BJ358" i="22" s="1"/>
  <c r="BG358" i="22" s="1"/>
  <c r="BD358" i="22" s="1"/>
  <c r="U103" i="17"/>
  <c r="V103" i="17" s="1"/>
  <c r="A102" i="17"/>
  <c r="BL358" i="22" l="1"/>
  <c r="BI359" i="22" s="1"/>
  <c r="BK359" i="22" s="1"/>
  <c r="BJ359" i="22" s="1"/>
  <c r="BG359" i="22" s="1"/>
  <c r="BD359" i="22" s="1"/>
  <c r="BH359" i="22"/>
  <c r="U104" i="17"/>
  <c r="V104" i="17" s="1"/>
  <c r="A103" i="17"/>
  <c r="BL359" i="22" l="1"/>
  <c r="U105" i="17"/>
  <c r="V105" i="17" s="1"/>
  <c r="A104" i="17"/>
  <c r="BH360" i="22" l="1"/>
  <c r="BI360" i="22"/>
  <c r="BK360" i="22" s="1"/>
  <c r="BJ360" i="22" s="1"/>
  <c r="BG360" i="22" s="1"/>
  <c r="BD360" i="22" s="1"/>
  <c r="BL360" i="22"/>
  <c r="U106" i="17"/>
  <c r="V106" i="17" s="1"/>
  <c r="A105" i="17"/>
  <c r="BI361" i="22" l="1"/>
  <c r="BK361" i="22" s="1"/>
  <c r="BJ361" i="22" s="1"/>
  <c r="BG361" i="22" s="1"/>
  <c r="BD361" i="22" s="1"/>
  <c r="BH361" i="22"/>
  <c r="U107" i="17"/>
  <c r="A106" i="17"/>
  <c r="BL361" i="22" l="1"/>
  <c r="W107" i="17"/>
  <c r="V107" i="17"/>
  <c r="U108" i="17"/>
  <c r="A107" i="17"/>
  <c r="BH362" i="22" l="1"/>
  <c r="BI362" i="22"/>
  <c r="BK362" i="22" s="1"/>
  <c r="BJ362" i="22" s="1"/>
  <c r="BG362" i="22" s="1"/>
  <c r="BD362" i="22" s="1"/>
  <c r="V108" i="17"/>
  <c r="W108" i="17"/>
  <c r="U109" i="17"/>
  <c r="A108" i="17"/>
  <c r="BL362" i="22" l="1"/>
  <c r="V109" i="17"/>
  <c r="W109" i="17"/>
  <c r="U110" i="17"/>
  <c r="A109" i="17"/>
  <c r="BH363" i="22" l="1"/>
  <c r="BI363" i="22"/>
  <c r="BK363" i="22" s="1"/>
  <c r="BJ363" i="22" s="1"/>
  <c r="BG363" i="22" s="1"/>
  <c r="BD363" i="22" s="1"/>
  <c r="W110" i="17"/>
  <c r="V110" i="17"/>
  <c r="U111" i="17"/>
  <c r="A110" i="17"/>
  <c r="BL363" i="22" l="1"/>
  <c r="W111" i="17"/>
  <c r="V111" i="17"/>
  <c r="U112" i="17"/>
  <c r="A111" i="17"/>
  <c r="BI364" i="22" l="1"/>
  <c r="BK364" i="22" s="1"/>
  <c r="BJ364" i="22" s="1"/>
  <c r="BG364" i="22" s="1"/>
  <c r="BD364" i="22" s="1"/>
  <c r="BH364" i="22"/>
  <c r="BL364" i="22"/>
  <c r="W112" i="17"/>
  <c r="V112" i="17"/>
  <c r="U113" i="17"/>
  <c r="A112" i="17"/>
  <c r="BI365" i="22" l="1"/>
  <c r="BK365" i="22" s="1"/>
  <c r="BJ365" i="22" s="1"/>
  <c r="BG365" i="22" s="1"/>
  <c r="BD365" i="22" s="1"/>
  <c r="BH365" i="22"/>
  <c r="W113" i="17"/>
  <c r="V113" i="17"/>
  <c r="U114" i="17"/>
  <c r="A113" i="17"/>
  <c r="BL365" i="22" l="1"/>
  <c r="W114" i="17"/>
  <c r="V114" i="17"/>
  <c r="U115" i="17"/>
  <c r="A114" i="17"/>
  <c r="V115" i="17" l="1"/>
  <c r="W115" i="17"/>
  <c r="U116" i="17"/>
  <c r="A115" i="17"/>
  <c r="V116" i="17" l="1"/>
  <c r="W116" i="17"/>
  <c r="U117" i="17"/>
  <c r="A116" i="17"/>
  <c r="V117" i="17" l="1"/>
  <c r="W117" i="17"/>
  <c r="U118" i="17"/>
  <c r="A117" i="17"/>
  <c r="W118" i="17" l="1"/>
  <c r="V118" i="17"/>
  <c r="U119" i="17"/>
  <c r="A118" i="17"/>
  <c r="W119" i="17" l="1"/>
  <c r="V119" i="17"/>
  <c r="U120" i="17"/>
  <c r="A119" i="17"/>
  <c r="V120" i="17" l="1"/>
  <c r="W120" i="17"/>
  <c r="U121" i="17"/>
  <c r="A120" i="17"/>
  <c r="V121" i="17" l="1"/>
  <c r="W121" i="17"/>
  <c r="U122" i="17"/>
  <c r="A121" i="17"/>
  <c r="W122" i="17" l="1"/>
  <c r="V122" i="17"/>
  <c r="U123" i="17"/>
  <c r="A122" i="17"/>
  <c r="W123" i="17" l="1"/>
  <c r="V123" i="17"/>
  <c r="U124" i="17"/>
  <c r="A123" i="17"/>
  <c r="V124" i="17" l="1"/>
  <c r="W124" i="17"/>
  <c r="U125" i="17"/>
  <c r="A124" i="17"/>
  <c r="V125" i="17" l="1"/>
  <c r="W125" i="17"/>
  <c r="U126" i="17"/>
  <c r="A125" i="17"/>
  <c r="W126" i="17" l="1"/>
  <c r="V126" i="17"/>
  <c r="U127" i="17"/>
  <c r="A126" i="17"/>
  <c r="W127" i="17" l="1"/>
  <c r="V127" i="17"/>
  <c r="U128" i="17"/>
  <c r="A127" i="17"/>
  <c r="W128" i="17" l="1"/>
  <c r="V128" i="17"/>
  <c r="U129" i="17"/>
  <c r="A128" i="17"/>
  <c r="V129" i="17" l="1"/>
  <c r="W129" i="17"/>
  <c r="U130" i="17"/>
  <c r="A129" i="17"/>
  <c r="W130" i="17" l="1"/>
  <c r="V130" i="17"/>
  <c r="U131" i="17"/>
  <c r="A130" i="17"/>
  <c r="W131" i="17" l="1"/>
  <c r="V131" i="17"/>
  <c r="U132" i="17"/>
  <c r="A131" i="17"/>
  <c r="W132" i="17" l="1"/>
  <c r="V132" i="17"/>
  <c r="U133" i="17"/>
  <c r="A132" i="17"/>
  <c r="V133" i="17" l="1"/>
  <c r="W133" i="17"/>
  <c r="U134" i="17"/>
  <c r="A133" i="17"/>
  <c r="W134" i="17" l="1"/>
  <c r="V134" i="17"/>
  <c r="U135" i="17"/>
  <c r="A134" i="17"/>
  <c r="W135" i="17" l="1"/>
  <c r="V135" i="17"/>
  <c r="U136" i="17"/>
  <c r="A135" i="17"/>
  <c r="W136" i="17" l="1"/>
  <c r="V136" i="17"/>
  <c r="U137" i="17"/>
  <c r="A136" i="17"/>
  <c r="V137" i="17" l="1"/>
  <c r="W137" i="17"/>
  <c r="U138" i="17"/>
  <c r="A137" i="17"/>
  <c r="W138" i="17" l="1"/>
  <c r="V138" i="17"/>
  <c r="U139" i="17"/>
  <c r="A138" i="17"/>
  <c r="W139" i="17" l="1"/>
  <c r="V139" i="17"/>
  <c r="U140" i="17"/>
  <c r="A139" i="17"/>
  <c r="W140" i="17" l="1"/>
  <c r="V140" i="17"/>
  <c r="U141" i="17"/>
  <c r="A140" i="17"/>
  <c r="V141" i="17" l="1"/>
  <c r="W141" i="17"/>
  <c r="U142" i="17"/>
  <c r="A141" i="17"/>
  <c r="W142" i="17" l="1"/>
  <c r="V142" i="17"/>
  <c r="U143" i="17"/>
  <c r="A142" i="17"/>
  <c r="W143" i="17" l="1"/>
  <c r="V143" i="17"/>
  <c r="U144" i="17"/>
  <c r="A143" i="17"/>
  <c r="V144" i="17" l="1"/>
  <c r="W144" i="17"/>
  <c r="U145" i="17"/>
  <c r="A144" i="17"/>
  <c r="V145" i="17" l="1"/>
  <c r="W145" i="17"/>
  <c r="U146" i="17"/>
  <c r="A145" i="17"/>
  <c r="W146" i="17" l="1"/>
  <c r="V146" i="17"/>
  <c r="U147" i="17"/>
  <c r="A146" i="17"/>
  <c r="V147" i="17" l="1"/>
  <c r="W147" i="17"/>
  <c r="U148" i="17"/>
  <c r="A147" i="17"/>
  <c r="V148" i="17" l="1"/>
  <c r="W148" i="17"/>
  <c r="U149" i="17"/>
  <c r="A148" i="17"/>
  <c r="V149" i="17" l="1"/>
  <c r="W149" i="17"/>
  <c r="U150" i="17"/>
  <c r="A149" i="17"/>
  <c r="V150" i="17" l="1"/>
  <c r="W150" i="17"/>
  <c r="U151" i="17"/>
  <c r="A150" i="17"/>
  <c r="V151" i="17" l="1"/>
  <c r="W151" i="17"/>
  <c r="U152" i="17"/>
  <c r="A151" i="17"/>
  <c r="V152" i="17" l="1"/>
  <c r="W152" i="17"/>
  <c r="U153" i="17"/>
  <c r="A152" i="17"/>
  <c r="V153" i="17" l="1"/>
  <c r="W153" i="17"/>
  <c r="U154" i="17"/>
  <c r="A153" i="17"/>
  <c r="W154" i="17" l="1"/>
  <c r="V154" i="17"/>
  <c r="U155" i="17"/>
  <c r="A154" i="17"/>
  <c r="W155" i="17" l="1"/>
  <c r="V155" i="17"/>
  <c r="U156" i="17"/>
  <c r="A155" i="17"/>
  <c r="V156" i="17" l="1"/>
  <c r="W156" i="17"/>
  <c r="U157" i="17"/>
  <c r="A156" i="17"/>
  <c r="V157" i="17" l="1"/>
  <c r="W157" i="17"/>
  <c r="U158" i="17"/>
  <c r="A157" i="17"/>
  <c r="W158" i="17" l="1"/>
  <c r="V158" i="17"/>
  <c r="U159" i="17"/>
  <c r="A158" i="17"/>
  <c r="V159" i="17" l="1"/>
  <c r="W159" i="17"/>
  <c r="U160" i="17"/>
  <c r="A159" i="17"/>
  <c r="V160" i="17" l="1"/>
  <c r="W160" i="17"/>
  <c r="U161" i="17"/>
  <c r="A160" i="17"/>
  <c r="V161" i="17" l="1"/>
  <c r="W161" i="17"/>
  <c r="U162" i="17"/>
  <c r="A161" i="17"/>
  <c r="V162" i="17" l="1"/>
  <c r="W162" i="17"/>
  <c r="U163" i="17"/>
  <c r="A162" i="17"/>
  <c r="V163" i="17" l="1"/>
  <c r="W163" i="17"/>
  <c r="U164" i="17"/>
  <c r="A163" i="17"/>
  <c r="V164" i="17" l="1"/>
  <c r="W164" i="17"/>
  <c r="U165" i="17"/>
  <c r="A164" i="17"/>
  <c r="V165" i="17" l="1"/>
  <c r="W165" i="17"/>
  <c r="U166" i="17"/>
  <c r="A165" i="17"/>
  <c r="W166" i="17" l="1"/>
  <c r="V166" i="17"/>
  <c r="U167" i="17"/>
  <c r="A166" i="17"/>
  <c r="W167" i="17" l="1"/>
  <c r="V167" i="17"/>
  <c r="U168" i="17"/>
  <c r="A167" i="17"/>
  <c r="V168" i="17" l="1"/>
  <c r="W168" i="17"/>
  <c r="U169" i="17"/>
  <c r="A168" i="17"/>
  <c r="V169" i="17" l="1"/>
  <c r="W169" i="17"/>
  <c r="U170" i="17"/>
  <c r="A169" i="17"/>
  <c r="V170" i="17" l="1"/>
  <c r="W170" i="17"/>
  <c r="U171" i="17"/>
  <c r="A170" i="17"/>
  <c r="V171" i="17" l="1"/>
  <c r="W171" i="17"/>
  <c r="U172" i="17"/>
  <c r="A171" i="17"/>
  <c r="V172" i="17" l="1"/>
  <c r="W172" i="17"/>
  <c r="U173" i="17"/>
  <c r="A172" i="17"/>
  <c r="V173" i="17" l="1"/>
  <c r="W173" i="17"/>
  <c r="U174" i="17"/>
  <c r="A173" i="17"/>
  <c r="W174" i="17" l="1"/>
  <c r="V174" i="17"/>
  <c r="U175" i="17"/>
  <c r="A174" i="17"/>
  <c r="W175" i="17" l="1"/>
  <c r="V175" i="17"/>
  <c r="U176" i="17"/>
  <c r="A175" i="17"/>
  <c r="V176" i="17" l="1"/>
  <c r="W176" i="17"/>
  <c r="U177" i="17"/>
  <c r="A176" i="17"/>
  <c r="V177" i="17" l="1"/>
  <c r="W177" i="17"/>
  <c r="U178" i="17"/>
  <c r="A177" i="17"/>
  <c r="W178" i="17" l="1"/>
  <c r="V178" i="17"/>
  <c r="U179" i="17"/>
  <c r="A178" i="17"/>
  <c r="W179" i="17" l="1"/>
  <c r="V179" i="17"/>
  <c r="U180" i="17"/>
  <c r="A179" i="17"/>
  <c r="V180" i="17" l="1"/>
  <c r="W180" i="17"/>
  <c r="U181" i="17"/>
  <c r="A180" i="17"/>
  <c r="V181" i="17" l="1"/>
  <c r="W181" i="17"/>
  <c r="U182" i="17"/>
  <c r="A181" i="17"/>
  <c r="W182" i="17" l="1"/>
  <c r="V182" i="17"/>
  <c r="U183" i="17"/>
  <c r="A182" i="17"/>
  <c r="W183" i="17" l="1"/>
  <c r="V183" i="17"/>
  <c r="U184" i="17"/>
  <c r="A183" i="17"/>
  <c r="W184" i="17" l="1"/>
  <c r="V184" i="17"/>
  <c r="U185" i="17"/>
  <c r="A184" i="17"/>
  <c r="V185" i="17" l="1"/>
  <c r="W185" i="17"/>
  <c r="U186" i="17"/>
  <c r="A185" i="17"/>
  <c r="W186" i="17" l="1"/>
  <c r="V186" i="17"/>
  <c r="U187" i="17"/>
  <c r="A186" i="17"/>
  <c r="V187" i="17" l="1"/>
  <c r="W187" i="17"/>
  <c r="U188" i="17"/>
  <c r="A187" i="17"/>
  <c r="V188" i="17" l="1"/>
  <c r="W188" i="17"/>
  <c r="U189" i="17"/>
  <c r="A188" i="17"/>
  <c r="V189" i="17" l="1"/>
  <c r="W189" i="17"/>
  <c r="U190" i="17"/>
  <c r="A189" i="17"/>
  <c r="W190" i="17" l="1"/>
  <c r="V190" i="17"/>
  <c r="U191" i="17"/>
  <c r="A190" i="17"/>
  <c r="W191" i="17" l="1"/>
  <c r="V191" i="17"/>
  <c r="U192" i="17"/>
  <c r="A191" i="17"/>
  <c r="W192" i="17" l="1"/>
  <c r="V192" i="17"/>
  <c r="U193" i="17"/>
  <c r="A192" i="17"/>
  <c r="W193" i="17" l="1"/>
  <c r="V193" i="17"/>
  <c r="U194" i="17"/>
  <c r="A193" i="17"/>
  <c r="V194" i="17" l="1"/>
  <c r="W194" i="17"/>
  <c r="U195" i="17"/>
  <c r="A194" i="17"/>
  <c r="V195" i="17" l="1"/>
  <c r="W195" i="17"/>
  <c r="U196" i="17"/>
  <c r="A195" i="17"/>
  <c r="V196" i="17" l="1"/>
  <c r="W196" i="17"/>
  <c r="U197" i="17"/>
  <c r="A196" i="17"/>
  <c r="V197" i="17" l="1"/>
  <c r="W197" i="17"/>
  <c r="U198" i="17"/>
  <c r="A197" i="17"/>
  <c r="W198" i="17" l="1"/>
  <c r="V198" i="17"/>
  <c r="U199" i="17"/>
  <c r="A198" i="17"/>
  <c r="W199" i="17" l="1"/>
  <c r="V199" i="17"/>
  <c r="U200" i="17"/>
  <c r="A199" i="17"/>
  <c r="W200" i="17" l="1"/>
  <c r="V200" i="17"/>
  <c r="U201" i="17"/>
  <c r="A200" i="17"/>
  <c r="W201" i="17" l="1"/>
  <c r="V201" i="17"/>
  <c r="U202" i="17"/>
  <c r="A201" i="17"/>
  <c r="V202" i="17" l="1"/>
  <c r="W202" i="17"/>
  <c r="U203" i="17"/>
  <c r="A202" i="17"/>
  <c r="W203" i="17" l="1"/>
  <c r="V203" i="17"/>
  <c r="U204" i="17"/>
  <c r="A203" i="17"/>
  <c r="V204" i="17" l="1"/>
  <c r="W204" i="17"/>
  <c r="U205" i="17"/>
  <c r="A204" i="17"/>
  <c r="V205" i="17" l="1"/>
  <c r="W205" i="17"/>
  <c r="U206" i="17"/>
  <c r="A205" i="17"/>
  <c r="W206" i="17" l="1"/>
  <c r="V206" i="17"/>
  <c r="U207" i="17"/>
  <c r="A206" i="17"/>
  <c r="W207" i="17" l="1"/>
  <c r="V207" i="17"/>
  <c r="U208" i="17"/>
  <c r="A207" i="17"/>
  <c r="W208" i="17" l="1"/>
  <c r="V208" i="17"/>
  <c r="U209" i="17"/>
  <c r="A208" i="17"/>
  <c r="W209" i="17" l="1"/>
  <c r="V209" i="17"/>
  <c r="U210" i="17"/>
  <c r="A209" i="17"/>
  <c r="W210" i="17" l="1"/>
  <c r="V210" i="17"/>
  <c r="U211" i="17"/>
  <c r="A210" i="17"/>
  <c r="V211" i="17" l="1"/>
  <c r="W211" i="17"/>
  <c r="U212" i="17"/>
  <c r="A211" i="17"/>
  <c r="V212" i="17" l="1"/>
  <c r="W212" i="17"/>
  <c r="U213" i="17"/>
  <c r="A212" i="17"/>
  <c r="V213" i="17" l="1"/>
  <c r="W213" i="17"/>
  <c r="U214" i="17"/>
  <c r="A213" i="17"/>
  <c r="W214" i="17" l="1"/>
  <c r="V214" i="17"/>
  <c r="U215" i="17"/>
  <c r="A214" i="17"/>
  <c r="W215" i="17" l="1"/>
  <c r="V215" i="17"/>
  <c r="U216" i="17"/>
  <c r="A215" i="17"/>
  <c r="V216" i="17" l="1"/>
  <c r="W216" i="17"/>
  <c r="U217" i="17"/>
  <c r="A216" i="17"/>
  <c r="V217" i="17" l="1"/>
  <c r="W217" i="17"/>
  <c r="U218" i="17"/>
  <c r="A217" i="17"/>
  <c r="W218" i="17" l="1"/>
  <c r="V218" i="17"/>
  <c r="U219" i="17"/>
  <c r="A218" i="17"/>
  <c r="W219" i="17" l="1"/>
  <c r="V219" i="17"/>
  <c r="U220" i="17"/>
  <c r="A219" i="17"/>
  <c r="V220" i="17" l="1"/>
  <c r="W220" i="17"/>
  <c r="U221" i="17"/>
  <c r="A220" i="17"/>
  <c r="V221" i="17" l="1"/>
  <c r="W221" i="17"/>
  <c r="U222" i="17"/>
  <c r="A221" i="17"/>
  <c r="W222" i="17" l="1"/>
  <c r="V222" i="17"/>
  <c r="U223" i="17"/>
  <c r="A222" i="17"/>
  <c r="W223" i="17" l="1"/>
  <c r="V223" i="17"/>
  <c r="U224" i="17"/>
  <c r="A223" i="17"/>
  <c r="W224" i="17" l="1"/>
  <c r="V224" i="17"/>
  <c r="U225" i="17"/>
  <c r="A224" i="17"/>
  <c r="V225" i="17" l="1"/>
  <c r="W225" i="17"/>
  <c r="U226" i="17"/>
  <c r="A225" i="17"/>
  <c r="W226" i="17" l="1"/>
  <c r="V226" i="17"/>
  <c r="U227" i="17"/>
  <c r="A226" i="17"/>
  <c r="W227" i="17" l="1"/>
  <c r="V227" i="17"/>
  <c r="U228" i="17"/>
  <c r="A227" i="17"/>
  <c r="W228" i="17" l="1"/>
  <c r="V228" i="17"/>
  <c r="U229" i="17"/>
  <c r="A228" i="17"/>
  <c r="V229" i="17" l="1"/>
  <c r="W229" i="17"/>
  <c r="U230" i="17"/>
  <c r="A229" i="17"/>
  <c r="W230" i="17" l="1"/>
  <c r="V230" i="17"/>
  <c r="U231" i="17"/>
  <c r="A230" i="17"/>
  <c r="W231" i="17" l="1"/>
  <c r="V231" i="17"/>
  <c r="U232" i="17"/>
  <c r="A231" i="17"/>
  <c r="W232" i="17" l="1"/>
  <c r="V232" i="17"/>
  <c r="U233" i="17"/>
  <c r="A232" i="17"/>
  <c r="V233" i="17" l="1"/>
  <c r="W233" i="17"/>
  <c r="U234" i="17"/>
  <c r="A233" i="17"/>
  <c r="V234" i="17" l="1"/>
  <c r="W234" i="17"/>
  <c r="U235" i="17"/>
  <c r="A234" i="17"/>
  <c r="W235" i="17" l="1"/>
  <c r="V235" i="17"/>
  <c r="U236" i="17"/>
  <c r="A235" i="17"/>
  <c r="V236" i="17" l="1"/>
  <c r="W236" i="17"/>
  <c r="U237" i="17"/>
  <c r="A236" i="17"/>
  <c r="V237" i="17" l="1"/>
  <c r="W237" i="17"/>
  <c r="U238" i="17"/>
  <c r="A237" i="17"/>
  <c r="W238" i="17" l="1"/>
  <c r="V238" i="17"/>
  <c r="U239" i="17"/>
  <c r="A238" i="17"/>
  <c r="W239" i="17" l="1"/>
  <c r="V239" i="17"/>
  <c r="U240" i="17"/>
  <c r="A239" i="17"/>
  <c r="V240" i="17" l="1"/>
  <c r="W240" i="17"/>
  <c r="U241" i="17"/>
  <c r="A240" i="17"/>
  <c r="V241" i="17" l="1"/>
  <c r="W241" i="17"/>
  <c r="U242" i="17"/>
  <c r="A241" i="17"/>
  <c r="W242" i="17" l="1"/>
  <c r="V242" i="17"/>
  <c r="U243" i="17"/>
  <c r="A242" i="17"/>
  <c r="V243" i="17" l="1"/>
  <c r="W243" i="17"/>
  <c r="U244" i="17"/>
  <c r="A243" i="17"/>
  <c r="V244" i="17" l="1"/>
  <c r="W244" i="17"/>
  <c r="U245" i="17"/>
  <c r="A244" i="17"/>
  <c r="W245" i="17" l="1"/>
  <c r="V245" i="17"/>
  <c r="U246" i="17"/>
  <c r="A245" i="17"/>
  <c r="V246" i="17" l="1"/>
  <c r="W246" i="17"/>
  <c r="U247" i="17"/>
  <c r="A246" i="17"/>
  <c r="V247" i="17" l="1"/>
  <c r="W247" i="17"/>
  <c r="U248" i="17"/>
  <c r="A247" i="17"/>
  <c r="V248" i="17" l="1"/>
  <c r="W248" i="17"/>
  <c r="U249" i="17"/>
  <c r="A248" i="17"/>
  <c r="V249" i="17" l="1"/>
  <c r="W249" i="17"/>
  <c r="U250" i="17"/>
  <c r="A249" i="17"/>
  <c r="V250" i="17" l="1"/>
  <c r="W250" i="17"/>
  <c r="U251" i="17"/>
  <c r="A250" i="17"/>
  <c r="W251" i="17" l="1"/>
  <c r="V251" i="17"/>
  <c r="U252" i="17"/>
  <c r="A251" i="17"/>
  <c r="V252" i="17" l="1"/>
  <c r="W252" i="17"/>
  <c r="U253" i="17"/>
  <c r="A252" i="17"/>
  <c r="V253" i="17" l="1"/>
  <c r="W253" i="17"/>
  <c r="U254" i="17"/>
  <c r="A253" i="17"/>
  <c r="W254" i="17" l="1"/>
  <c r="V254" i="17"/>
  <c r="U255" i="17"/>
  <c r="A254" i="17"/>
  <c r="V255" i="17" l="1"/>
  <c r="W255" i="17"/>
  <c r="U256" i="17"/>
  <c r="A255" i="17"/>
  <c r="V256" i="17" l="1"/>
  <c r="W256" i="17"/>
  <c r="U257" i="17"/>
  <c r="A256" i="17"/>
  <c r="V257" i="17" l="1"/>
  <c r="W257" i="17"/>
  <c r="U258" i="17"/>
  <c r="A257" i="17"/>
  <c r="W258" i="17" l="1"/>
  <c r="V258" i="17"/>
  <c r="U259" i="17"/>
  <c r="A258" i="17"/>
  <c r="V259" i="17" l="1"/>
  <c r="W259" i="17"/>
  <c r="U260" i="17"/>
  <c r="A259" i="17"/>
  <c r="V260" i="17" l="1"/>
  <c r="W260" i="17"/>
  <c r="U261" i="17"/>
  <c r="A260" i="17"/>
  <c r="W261" i="17" l="1"/>
  <c r="V261" i="17"/>
  <c r="U262" i="17"/>
  <c r="A261" i="17"/>
  <c r="W262" i="17" l="1"/>
  <c r="V262" i="17"/>
  <c r="U263" i="17"/>
  <c r="A262" i="17"/>
  <c r="W263" i="17" l="1"/>
  <c r="V263" i="17"/>
  <c r="U264" i="17"/>
  <c r="A263" i="17"/>
  <c r="V264" i="17" l="1"/>
  <c r="W264" i="17"/>
  <c r="U265" i="17"/>
  <c r="A264" i="17"/>
  <c r="V265" i="17" l="1"/>
  <c r="W265" i="17"/>
  <c r="U266" i="17"/>
  <c r="A265" i="17"/>
  <c r="V266" i="17" l="1"/>
  <c r="W266" i="17"/>
  <c r="U267" i="17"/>
  <c r="A266" i="17"/>
  <c r="V267" i="17" l="1"/>
  <c r="W267" i="17"/>
  <c r="U268" i="17"/>
  <c r="A267" i="17"/>
  <c r="V268" i="17" l="1"/>
  <c r="W268" i="17"/>
  <c r="U269" i="17"/>
  <c r="A268" i="17"/>
  <c r="V269" i="17" l="1"/>
  <c r="W269" i="17"/>
  <c r="U270" i="17"/>
  <c r="A269" i="17"/>
  <c r="W270" i="17" l="1"/>
  <c r="V270" i="17"/>
  <c r="U271" i="17"/>
  <c r="A270" i="17"/>
  <c r="W271" i="17" l="1"/>
  <c r="V271" i="17"/>
  <c r="U272" i="17"/>
  <c r="A271" i="17"/>
  <c r="V272" i="17" l="1"/>
  <c r="W272" i="17"/>
  <c r="U273" i="17"/>
  <c r="A272" i="17"/>
  <c r="V273" i="17" l="1"/>
  <c r="W273" i="17"/>
  <c r="U274" i="17"/>
  <c r="A273" i="17"/>
  <c r="V274" i="17" l="1"/>
  <c r="W274" i="17"/>
  <c r="U275" i="17"/>
  <c r="A274" i="17"/>
  <c r="W275" i="17" l="1"/>
  <c r="V275" i="17"/>
  <c r="U276" i="17"/>
  <c r="A275" i="17"/>
  <c r="V276" i="17" l="1"/>
  <c r="W276" i="17"/>
  <c r="U277" i="17"/>
  <c r="A276" i="17"/>
  <c r="V277" i="17" l="1"/>
  <c r="W277" i="17"/>
  <c r="U278" i="17"/>
  <c r="A277" i="17"/>
  <c r="W278" i="17" l="1"/>
  <c r="V278" i="17"/>
  <c r="U279" i="17"/>
  <c r="A278" i="17"/>
  <c r="W279" i="17" l="1"/>
  <c r="V279" i="17"/>
  <c r="U280" i="17"/>
  <c r="A279" i="17"/>
  <c r="W280" i="17" l="1"/>
  <c r="V280" i="17"/>
  <c r="U281" i="17"/>
  <c r="A280" i="17"/>
  <c r="V281" i="17" l="1"/>
  <c r="W281" i="17"/>
  <c r="U282" i="17"/>
  <c r="A281" i="17"/>
  <c r="V282" i="17" l="1"/>
  <c r="W282" i="17"/>
  <c r="U283" i="17"/>
  <c r="A282" i="17"/>
  <c r="V283" i="17" l="1"/>
  <c r="W283" i="17"/>
  <c r="U284" i="17"/>
  <c r="A283" i="17"/>
  <c r="V284" i="17" l="1"/>
  <c r="W284" i="17"/>
  <c r="U285" i="17"/>
  <c r="A284" i="17"/>
  <c r="V285" i="17" l="1"/>
  <c r="W285" i="17"/>
  <c r="U286" i="17"/>
  <c r="A285" i="17"/>
  <c r="W286" i="17" l="1"/>
  <c r="V286" i="17"/>
  <c r="U287" i="17"/>
  <c r="A286" i="17"/>
  <c r="W287" i="17" l="1"/>
  <c r="V287" i="17"/>
  <c r="U288" i="17"/>
  <c r="A287" i="17"/>
  <c r="W288" i="17" l="1"/>
  <c r="V288" i="17"/>
  <c r="U289" i="17"/>
  <c r="A288" i="17"/>
  <c r="W289" i="17" l="1"/>
  <c r="V289" i="17"/>
  <c r="U290" i="17"/>
  <c r="A289" i="17"/>
  <c r="V290" i="17" l="1"/>
  <c r="W290" i="17"/>
  <c r="U291" i="17"/>
  <c r="A290" i="17"/>
  <c r="V291" i="17" l="1"/>
  <c r="W291" i="17"/>
  <c r="U292" i="17"/>
  <c r="A291" i="17"/>
  <c r="V292" i="17" l="1"/>
  <c r="W292" i="17"/>
  <c r="U293" i="17"/>
  <c r="A292" i="17"/>
  <c r="V293" i="17" l="1"/>
  <c r="W293" i="17"/>
  <c r="U294" i="17"/>
  <c r="A293" i="17"/>
  <c r="W294" i="17" l="1"/>
  <c r="V294" i="17"/>
  <c r="U295" i="17"/>
  <c r="A294" i="17"/>
  <c r="W295" i="17" l="1"/>
  <c r="V295" i="17"/>
  <c r="U296" i="17"/>
  <c r="A295" i="17"/>
  <c r="W296" i="17" l="1"/>
  <c r="V296" i="17"/>
  <c r="U297" i="17"/>
  <c r="A296" i="17"/>
  <c r="W297" i="17" l="1"/>
  <c r="V297" i="17"/>
  <c r="U298" i="17"/>
  <c r="A297" i="17"/>
  <c r="V298" i="17" l="1"/>
  <c r="W298" i="17"/>
  <c r="U299" i="17"/>
  <c r="A298" i="17"/>
  <c r="W299" i="17" l="1"/>
  <c r="V299" i="17"/>
  <c r="U300" i="17"/>
  <c r="A299" i="17"/>
  <c r="V300" i="17" l="1"/>
  <c r="W300" i="17"/>
  <c r="U301" i="17"/>
  <c r="A300" i="17"/>
  <c r="V301" i="17" l="1"/>
  <c r="W301" i="17"/>
  <c r="U302" i="17"/>
  <c r="A301" i="17"/>
  <c r="W302" i="17" l="1"/>
  <c r="V302" i="17"/>
  <c r="U303" i="17"/>
  <c r="A302" i="17"/>
  <c r="V303" i="17" l="1"/>
  <c r="W303" i="17"/>
  <c r="U304" i="17"/>
  <c r="A303" i="17"/>
  <c r="V304" i="17" l="1"/>
  <c r="W304" i="17"/>
  <c r="U305" i="17"/>
  <c r="A304" i="17"/>
  <c r="W305" i="17" l="1"/>
  <c r="V305" i="17"/>
  <c r="U306" i="17"/>
  <c r="A305" i="17"/>
  <c r="W306" i="17" l="1"/>
  <c r="V306" i="17"/>
  <c r="U307" i="17"/>
  <c r="A306" i="17"/>
  <c r="V307" i="17" l="1"/>
  <c r="W307" i="17"/>
  <c r="U308" i="17"/>
  <c r="A307" i="17"/>
  <c r="V308" i="17" l="1"/>
  <c r="W308" i="17"/>
  <c r="U309" i="17"/>
  <c r="A308" i="17"/>
  <c r="V309" i="17" l="1"/>
  <c r="W309" i="17"/>
  <c r="U310" i="17"/>
  <c r="A309" i="17"/>
  <c r="W310" i="17" l="1"/>
  <c r="V310" i="17"/>
  <c r="A310" i="17"/>
  <c r="GM266" i="8" l="1"/>
  <c r="GQ25" i="8"/>
  <c r="GQ26" i="8" s="1"/>
  <c r="GE23" i="8"/>
  <c r="GD23" i="8"/>
  <c r="GB16" i="8"/>
  <c r="GJ12" i="8"/>
  <c r="GI1" i="8"/>
  <c r="FX24" i="8" s="1"/>
  <c r="FX25" i="8" s="1"/>
  <c r="FX26" i="8" s="1"/>
  <c r="FX27" i="8" s="1"/>
  <c r="GQ27" i="8" l="1"/>
  <c r="GR26" i="8"/>
  <c r="FX28" i="8"/>
  <c r="FY24" i="8"/>
  <c r="GQ28" i="8" l="1"/>
  <c r="GR27" i="8"/>
  <c r="FX29" i="8"/>
  <c r="GQ29" i="8" l="1"/>
  <c r="GR28" i="8"/>
  <c r="FX30" i="8"/>
  <c r="GQ30" i="8" l="1"/>
  <c r="GR29" i="8"/>
  <c r="FX31" i="8"/>
  <c r="GQ31" i="8" l="1"/>
  <c r="GR30" i="8"/>
  <c r="FX32" i="8"/>
  <c r="GQ32" i="8" l="1"/>
  <c r="GR31" i="8"/>
  <c r="FX33" i="8"/>
  <c r="GQ33" i="8" l="1"/>
  <c r="GR32" i="8"/>
  <c r="FX34" i="8"/>
  <c r="GQ34" i="8" l="1"/>
  <c r="GR33" i="8"/>
  <c r="FX35" i="8"/>
  <c r="GQ35" i="8" l="1"/>
  <c r="GR34" i="8"/>
  <c r="FX36" i="8"/>
  <c r="GQ36" i="8" l="1"/>
  <c r="GR35" i="8"/>
  <c r="HA264" i="8"/>
  <c r="GZ264" i="8" s="1"/>
  <c r="HA263" i="8"/>
  <c r="GZ263" i="8" s="1"/>
  <c r="HA262" i="8"/>
  <c r="GZ262" i="8" s="1"/>
  <c r="HA261" i="8"/>
  <c r="GZ261" i="8" s="1"/>
  <c r="HA260" i="8"/>
  <c r="GZ260" i="8" s="1"/>
  <c r="HA259" i="8"/>
  <c r="GZ259" i="8" s="1"/>
  <c r="HA257" i="8"/>
  <c r="GZ257" i="8" s="1"/>
  <c r="HA256" i="8"/>
  <c r="GZ256" i="8" s="1"/>
  <c r="HA255" i="8"/>
  <c r="GZ255" i="8" s="1"/>
  <c r="HA254" i="8"/>
  <c r="GZ254" i="8" s="1"/>
  <c r="HA253" i="8"/>
  <c r="GZ253" i="8" s="1"/>
  <c r="HA252" i="8"/>
  <c r="GZ252" i="8" s="1"/>
  <c r="HA251" i="8"/>
  <c r="GZ251" i="8" s="1"/>
  <c r="HA249" i="8"/>
  <c r="GZ249" i="8" s="1"/>
  <c r="HA247" i="8"/>
  <c r="GZ247" i="8" s="1"/>
  <c r="HA245" i="8"/>
  <c r="GZ245" i="8" s="1"/>
  <c r="HA243" i="8"/>
  <c r="GZ243" i="8" s="1"/>
  <c r="HA241" i="8"/>
  <c r="GZ241" i="8" s="1"/>
  <c r="HA240" i="8"/>
  <c r="GZ240" i="8" s="1"/>
  <c r="HA239" i="8"/>
  <c r="GZ239" i="8" s="1"/>
  <c r="HA238" i="8"/>
  <c r="GZ238" i="8" s="1"/>
  <c r="HA237" i="8"/>
  <c r="GZ237" i="8" s="1"/>
  <c r="HA248" i="8"/>
  <c r="GZ248" i="8" s="1"/>
  <c r="HA244" i="8"/>
  <c r="GZ244" i="8" s="1"/>
  <c r="HA236" i="8"/>
  <c r="GZ236" i="8" s="1"/>
  <c r="HA235" i="8"/>
  <c r="GZ235" i="8" s="1"/>
  <c r="HA234" i="8"/>
  <c r="GZ234" i="8" s="1"/>
  <c r="HA233" i="8"/>
  <c r="GZ233" i="8" s="1"/>
  <c r="HA232" i="8"/>
  <c r="GZ232" i="8" s="1"/>
  <c r="HA231" i="8"/>
  <c r="GZ231" i="8" s="1"/>
  <c r="HA230" i="8"/>
  <c r="GZ230" i="8" s="1"/>
  <c r="HA229" i="8"/>
  <c r="GZ229" i="8" s="1"/>
  <c r="HA228" i="8"/>
  <c r="GZ228" i="8" s="1"/>
  <c r="HA227" i="8"/>
  <c r="GZ227" i="8" s="1"/>
  <c r="HA226" i="8"/>
  <c r="GZ226" i="8" s="1"/>
  <c r="HA225" i="8"/>
  <c r="GZ225" i="8" s="1"/>
  <c r="HA224" i="8"/>
  <c r="GZ224" i="8" s="1"/>
  <c r="HA223" i="8"/>
  <c r="GZ223" i="8" s="1"/>
  <c r="HA222" i="8"/>
  <c r="GZ222" i="8" s="1"/>
  <c r="HA221" i="8"/>
  <c r="GZ221" i="8" s="1"/>
  <c r="HA220" i="8"/>
  <c r="GZ220" i="8" s="1"/>
  <c r="HA219" i="8"/>
  <c r="GZ219" i="8" s="1"/>
  <c r="HA218" i="8"/>
  <c r="GZ218" i="8" s="1"/>
  <c r="HA217" i="8"/>
  <c r="GZ217" i="8" s="1"/>
  <c r="HA216" i="8"/>
  <c r="GZ216" i="8" s="1"/>
  <c r="HA215" i="8"/>
  <c r="GZ215" i="8" s="1"/>
  <c r="HA214" i="8"/>
  <c r="GZ214" i="8" s="1"/>
  <c r="HA213" i="8"/>
  <c r="GZ213" i="8" s="1"/>
  <c r="HA212" i="8"/>
  <c r="GZ212" i="8" s="1"/>
  <c r="HA250" i="8"/>
  <c r="GZ250" i="8" s="1"/>
  <c r="HA246" i="8"/>
  <c r="GZ246" i="8" s="1"/>
  <c r="HA242" i="8"/>
  <c r="GZ242" i="8" s="1"/>
  <c r="HA209" i="8"/>
  <c r="GZ209" i="8" s="1"/>
  <c r="HA210" i="8"/>
  <c r="GZ210" i="8" s="1"/>
  <c r="HA211" i="8"/>
  <c r="GZ211" i="8" s="1"/>
  <c r="HA207" i="8"/>
  <c r="GZ207" i="8" s="1"/>
  <c r="HA203" i="8"/>
  <c r="GZ203" i="8" s="1"/>
  <c r="HA199" i="8"/>
  <c r="GZ199" i="8" s="1"/>
  <c r="HA195" i="8"/>
  <c r="GZ195" i="8" s="1"/>
  <c r="HA191" i="8"/>
  <c r="GZ191" i="8" s="1"/>
  <c r="HA186" i="8"/>
  <c r="GZ186" i="8" s="1"/>
  <c r="HA184" i="8"/>
  <c r="GZ184" i="8" s="1"/>
  <c r="HA206" i="8"/>
  <c r="GZ206" i="8" s="1"/>
  <c r="HA202" i="8"/>
  <c r="GZ202" i="8" s="1"/>
  <c r="HA198" i="8"/>
  <c r="GZ198" i="8" s="1"/>
  <c r="HA194" i="8"/>
  <c r="GZ194" i="8" s="1"/>
  <c r="HA190" i="8"/>
  <c r="GZ190" i="8" s="1"/>
  <c r="HA205" i="8"/>
  <c r="GZ205" i="8" s="1"/>
  <c r="HA201" i="8"/>
  <c r="GZ201" i="8" s="1"/>
  <c r="HA197" i="8"/>
  <c r="GZ197" i="8" s="1"/>
  <c r="HA193" i="8"/>
  <c r="GZ193" i="8" s="1"/>
  <c r="HA189" i="8"/>
  <c r="GZ189" i="8" s="1"/>
  <c r="HA187" i="8"/>
  <c r="GZ187" i="8" s="1"/>
  <c r="HA185" i="8"/>
  <c r="GZ185" i="8" s="1"/>
  <c r="HA204" i="8"/>
  <c r="GZ204" i="8" s="1"/>
  <c r="HA196" i="8"/>
  <c r="GZ196" i="8" s="1"/>
  <c r="HA188" i="8"/>
  <c r="GZ188" i="8" s="1"/>
  <c r="HA180" i="8"/>
  <c r="GZ180" i="8" s="1"/>
  <c r="HA176" i="8"/>
  <c r="GZ176" i="8" s="1"/>
  <c r="HA172" i="8"/>
  <c r="GZ172" i="8" s="1"/>
  <c r="HA168" i="8"/>
  <c r="GZ168" i="8" s="1"/>
  <c r="HA164" i="8"/>
  <c r="GZ164" i="8" s="1"/>
  <c r="HA160" i="8"/>
  <c r="GZ160" i="8" s="1"/>
  <c r="HA158" i="8"/>
  <c r="GZ158" i="8" s="1"/>
  <c r="HA154" i="8"/>
  <c r="GZ154" i="8" s="1"/>
  <c r="HA150" i="8"/>
  <c r="GZ150" i="8" s="1"/>
  <c r="HA146" i="8"/>
  <c r="GZ146" i="8" s="1"/>
  <c r="HA142" i="8"/>
  <c r="GZ142" i="8" s="1"/>
  <c r="HA183" i="8"/>
  <c r="GZ183" i="8" s="1"/>
  <c r="HA179" i="8"/>
  <c r="GZ179" i="8" s="1"/>
  <c r="HA175" i="8"/>
  <c r="GZ175" i="8" s="1"/>
  <c r="HA171" i="8"/>
  <c r="GZ171" i="8" s="1"/>
  <c r="HA167" i="8"/>
  <c r="GZ167" i="8" s="1"/>
  <c r="HA163" i="8"/>
  <c r="GZ163" i="8" s="1"/>
  <c r="HA159" i="8"/>
  <c r="GZ159" i="8" s="1"/>
  <c r="HA157" i="8"/>
  <c r="GZ157" i="8" s="1"/>
  <c r="HA153" i="8"/>
  <c r="GZ153" i="8" s="1"/>
  <c r="HA149" i="8"/>
  <c r="GZ149" i="8" s="1"/>
  <c r="HA145" i="8"/>
  <c r="GZ145" i="8" s="1"/>
  <c r="HA208" i="8"/>
  <c r="GZ208" i="8" s="1"/>
  <c r="HA200" i="8"/>
  <c r="GZ200" i="8" s="1"/>
  <c r="HA192" i="8"/>
  <c r="GZ192" i="8" s="1"/>
  <c r="HA182" i="8"/>
  <c r="GZ182" i="8" s="1"/>
  <c r="HA178" i="8"/>
  <c r="GZ178" i="8" s="1"/>
  <c r="HA174" i="8"/>
  <c r="GZ174" i="8" s="1"/>
  <c r="HA170" i="8"/>
  <c r="GZ170" i="8" s="1"/>
  <c r="HA166" i="8"/>
  <c r="GZ166" i="8" s="1"/>
  <c r="HA162" i="8"/>
  <c r="GZ162" i="8" s="1"/>
  <c r="HA156" i="8"/>
  <c r="GZ156" i="8" s="1"/>
  <c r="HA152" i="8"/>
  <c r="GZ152" i="8" s="1"/>
  <c r="HA148" i="8"/>
  <c r="GZ148" i="8" s="1"/>
  <c r="HA144" i="8"/>
  <c r="GZ144" i="8" s="1"/>
  <c r="HA181" i="8"/>
  <c r="GZ181" i="8" s="1"/>
  <c r="HA173" i="8"/>
  <c r="GZ173" i="8" s="1"/>
  <c r="HA165" i="8"/>
  <c r="GZ165" i="8" s="1"/>
  <c r="HA138" i="8"/>
  <c r="GZ138" i="8" s="1"/>
  <c r="HA134" i="8"/>
  <c r="GZ134" i="8" s="1"/>
  <c r="HA130" i="8"/>
  <c r="GZ130" i="8" s="1"/>
  <c r="HA127" i="8"/>
  <c r="GZ127" i="8" s="1"/>
  <c r="HA123" i="8"/>
  <c r="GZ123" i="8" s="1"/>
  <c r="HA119" i="8"/>
  <c r="GZ119" i="8" s="1"/>
  <c r="HA115" i="8"/>
  <c r="GZ115" i="8" s="1"/>
  <c r="HA111" i="8"/>
  <c r="GZ111" i="8" s="1"/>
  <c r="HA107" i="8"/>
  <c r="GZ107" i="8" s="1"/>
  <c r="HA103" i="8"/>
  <c r="GZ103" i="8" s="1"/>
  <c r="HA151" i="8"/>
  <c r="GZ151" i="8" s="1"/>
  <c r="HA143" i="8"/>
  <c r="GZ143" i="8" s="1"/>
  <c r="HA141" i="8"/>
  <c r="GZ141" i="8" s="1"/>
  <c r="HA137" i="8"/>
  <c r="GZ137" i="8" s="1"/>
  <c r="HA133" i="8"/>
  <c r="GZ133" i="8" s="1"/>
  <c r="HA126" i="8"/>
  <c r="GZ126" i="8" s="1"/>
  <c r="HA122" i="8"/>
  <c r="GZ122" i="8" s="1"/>
  <c r="HA118" i="8"/>
  <c r="GZ118" i="8" s="1"/>
  <c r="HA114" i="8"/>
  <c r="GZ114" i="8" s="1"/>
  <c r="HA110" i="8"/>
  <c r="GZ110" i="8" s="1"/>
  <c r="HA106" i="8"/>
  <c r="GZ106" i="8" s="1"/>
  <c r="HA102" i="8"/>
  <c r="GZ102" i="8" s="1"/>
  <c r="HA177" i="8"/>
  <c r="GZ177" i="8" s="1"/>
  <c r="HA169" i="8"/>
  <c r="GZ169" i="8" s="1"/>
  <c r="HA161" i="8"/>
  <c r="GZ161" i="8" s="1"/>
  <c r="HA140" i="8"/>
  <c r="GZ140" i="8" s="1"/>
  <c r="HA136" i="8"/>
  <c r="GZ136" i="8" s="1"/>
  <c r="HA132" i="8"/>
  <c r="GZ132" i="8" s="1"/>
  <c r="HA129" i="8"/>
  <c r="GZ129" i="8" s="1"/>
  <c r="HA125" i="8"/>
  <c r="GZ125" i="8" s="1"/>
  <c r="HA121" i="8"/>
  <c r="GZ121" i="8" s="1"/>
  <c r="HA117" i="8"/>
  <c r="GZ117" i="8" s="1"/>
  <c r="HA113" i="8"/>
  <c r="GZ113" i="8" s="1"/>
  <c r="HA109" i="8"/>
  <c r="GZ109" i="8" s="1"/>
  <c r="HA105" i="8"/>
  <c r="GZ105" i="8" s="1"/>
  <c r="HA101" i="8"/>
  <c r="GZ101" i="8" s="1"/>
  <c r="HA100" i="8"/>
  <c r="GZ100" i="8" s="1"/>
  <c r="HA99" i="8"/>
  <c r="GZ99" i="8" s="1"/>
  <c r="HA98" i="8"/>
  <c r="GZ98" i="8" s="1"/>
  <c r="HA97" i="8"/>
  <c r="GZ97" i="8" s="1"/>
  <c r="HA96" i="8"/>
  <c r="GZ96" i="8" s="1"/>
  <c r="HA95" i="8"/>
  <c r="GZ95" i="8" s="1"/>
  <c r="HA94" i="8"/>
  <c r="GZ94" i="8" s="1"/>
  <c r="HA93" i="8"/>
  <c r="GZ93" i="8" s="1"/>
  <c r="HA92" i="8"/>
  <c r="GZ92" i="8" s="1"/>
  <c r="HA91" i="8"/>
  <c r="GZ91" i="8" s="1"/>
  <c r="HA90" i="8"/>
  <c r="GZ90" i="8" s="1"/>
  <c r="HA89" i="8"/>
  <c r="GZ89" i="8" s="1"/>
  <c r="HA88" i="8"/>
  <c r="GZ88" i="8" s="1"/>
  <c r="HA87" i="8"/>
  <c r="GZ87" i="8" s="1"/>
  <c r="HA86" i="8"/>
  <c r="GZ86" i="8" s="1"/>
  <c r="HA84" i="8"/>
  <c r="GZ84" i="8" s="1"/>
  <c r="HA83" i="8"/>
  <c r="GZ83" i="8" s="1"/>
  <c r="HA82" i="8"/>
  <c r="GZ82" i="8" s="1"/>
  <c r="HA81" i="8"/>
  <c r="GZ81" i="8" s="1"/>
  <c r="HA80" i="8"/>
  <c r="GZ80" i="8" s="1"/>
  <c r="HA79" i="8"/>
  <c r="GZ79" i="8" s="1"/>
  <c r="HA78" i="8"/>
  <c r="GZ78" i="8" s="1"/>
  <c r="HA77" i="8"/>
  <c r="GZ77" i="8" s="1"/>
  <c r="HA76" i="8"/>
  <c r="GZ76" i="8" s="1"/>
  <c r="HA75" i="8"/>
  <c r="GZ75" i="8" s="1"/>
  <c r="HA74" i="8"/>
  <c r="GZ74" i="8" s="1"/>
  <c r="HA73" i="8"/>
  <c r="GZ73" i="8" s="1"/>
  <c r="HA72" i="8"/>
  <c r="GZ72" i="8" s="1"/>
  <c r="HA71" i="8"/>
  <c r="GZ71" i="8" s="1"/>
  <c r="HA70" i="8"/>
  <c r="GZ70" i="8" s="1"/>
  <c r="HA69" i="8"/>
  <c r="GZ69" i="8" s="1"/>
  <c r="HA68" i="8"/>
  <c r="GZ68" i="8" s="1"/>
  <c r="HA67" i="8"/>
  <c r="GZ67" i="8" s="1"/>
  <c r="HA66" i="8"/>
  <c r="GZ66" i="8" s="1"/>
  <c r="HA65" i="8"/>
  <c r="GZ65" i="8" s="1"/>
  <c r="HA64" i="8"/>
  <c r="GZ64" i="8" s="1"/>
  <c r="HA63" i="8"/>
  <c r="GZ63" i="8" s="1"/>
  <c r="HA147" i="8"/>
  <c r="GZ147" i="8" s="1"/>
  <c r="HA135" i="8"/>
  <c r="GZ135" i="8" s="1"/>
  <c r="HA62" i="8"/>
  <c r="GZ62" i="8" s="1"/>
  <c r="HA61" i="8"/>
  <c r="GZ61" i="8" s="1"/>
  <c r="HA60" i="8"/>
  <c r="GZ60" i="8" s="1"/>
  <c r="HA59" i="8"/>
  <c r="GZ59" i="8" s="1"/>
  <c r="HA58" i="8"/>
  <c r="GZ58" i="8" s="1"/>
  <c r="HA57" i="8"/>
  <c r="GZ57" i="8" s="1"/>
  <c r="HA56" i="8"/>
  <c r="GZ56" i="8" s="1"/>
  <c r="HA55" i="8"/>
  <c r="GZ55" i="8" s="1"/>
  <c r="HA53" i="8"/>
  <c r="GZ53" i="8" s="1"/>
  <c r="HA51" i="8"/>
  <c r="GZ51" i="8" s="1"/>
  <c r="HA50" i="8"/>
  <c r="GZ50" i="8" s="1"/>
  <c r="HA49" i="8"/>
  <c r="GZ49" i="8" s="1"/>
  <c r="HA48" i="8"/>
  <c r="GZ48" i="8" s="1"/>
  <c r="HA47" i="8"/>
  <c r="GZ47" i="8" s="1"/>
  <c r="HA46" i="8"/>
  <c r="GZ46" i="8" s="1"/>
  <c r="HA45" i="8"/>
  <c r="GZ45" i="8" s="1"/>
  <c r="HA43" i="8"/>
  <c r="GZ43" i="8" s="1"/>
  <c r="HA42" i="8"/>
  <c r="GZ42" i="8" s="1"/>
  <c r="HA41" i="8"/>
  <c r="GZ41" i="8" s="1"/>
  <c r="HA40" i="8"/>
  <c r="GZ40" i="8" s="1"/>
  <c r="HA38" i="8"/>
  <c r="GZ38" i="8" s="1"/>
  <c r="HA26" i="8"/>
  <c r="GZ26" i="8" s="1"/>
  <c r="HA124" i="8"/>
  <c r="GZ124" i="8" s="1"/>
  <c r="HA116" i="8"/>
  <c r="GZ116" i="8" s="1"/>
  <c r="HA108" i="8"/>
  <c r="GZ108" i="8" s="1"/>
  <c r="HA155" i="8"/>
  <c r="GZ155" i="8" s="1"/>
  <c r="HA139" i="8"/>
  <c r="GZ139" i="8" s="1"/>
  <c r="HA131" i="8"/>
  <c r="GZ131" i="8" s="1"/>
  <c r="HA31" i="8"/>
  <c r="GZ31" i="8" s="1"/>
  <c r="HA128" i="8"/>
  <c r="GZ128" i="8" s="1"/>
  <c r="HA112" i="8"/>
  <c r="GZ112" i="8" s="1"/>
  <c r="HA35" i="8"/>
  <c r="GZ35" i="8" s="1"/>
  <c r="HA27" i="8"/>
  <c r="GZ27" i="8" s="1"/>
  <c r="HA30" i="8"/>
  <c r="GZ30" i="8" s="1"/>
  <c r="HA36" i="8"/>
  <c r="GZ36" i="8" s="1"/>
  <c r="HA25" i="8"/>
  <c r="GZ25" i="8" s="1"/>
  <c r="HA120" i="8"/>
  <c r="GZ120" i="8" s="1"/>
  <c r="HA104" i="8"/>
  <c r="GZ104" i="8" s="1"/>
  <c r="HA34" i="8"/>
  <c r="GZ34" i="8" s="1"/>
  <c r="FX37" i="8"/>
  <c r="GQ37" i="8" l="1"/>
  <c r="GR36" i="8"/>
  <c r="FX38" i="8"/>
  <c r="GQ38" i="8" l="1"/>
  <c r="GR37" i="8"/>
  <c r="FX39" i="8"/>
  <c r="GQ39" i="8" l="1"/>
  <c r="GR38" i="8"/>
  <c r="FX40" i="8"/>
  <c r="FI35" i="8"/>
  <c r="FH35" i="8" s="1"/>
  <c r="FI47" i="8"/>
  <c r="FH47" i="8" s="1"/>
  <c r="FI51" i="8"/>
  <c r="FH51" i="8" s="1"/>
  <c r="FI55" i="8"/>
  <c r="FH55" i="8" s="1"/>
  <c r="FI59" i="8"/>
  <c r="FH59" i="8" s="1"/>
  <c r="FI63" i="8"/>
  <c r="FH63" i="8" s="1"/>
  <c r="FI67" i="8"/>
  <c r="FH67" i="8" s="1"/>
  <c r="FI71" i="8"/>
  <c r="FH71" i="8" s="1"/>
  <c r="FI75" i="8"/>
  <c r="FH75" i="8" s="1"/>
  <c r="FI83" i="8"/>
  <c r="FH83" i="8" s="1"/>
  <c r="FI91" i="8"/>
  <c r="FH91" i="8" s="1"/>
  <c r="FI99" i="8"/>
  <c r="FH99" i="8" s="1"/>
  <c r="FI107" i="8"/>
  <c r="FH107" i="8" s="1"/>
  <c r="FI115" i="8"/>
  <c r="FH115" i="8" s="1"/>
  <c r="FI147" i="8"/>
  <c r="FH147" i="8" s="1"/>
  <c r="FI65" i="8"/>
  <c r="FH65" i="8" s="1"/>
  <c r="FI73" i="8"/>
  <c r="FH73" i="8" s="1"/>
  <c r="FI69" i="8"/>
  <c r="FH69" i="8" s="1"/>
  <c r="FI61" i="8"/>
  <c r="FH61" i="8" s="1"/>
  <c r="FI57" i="8"/>
  <c r="FH57" i="8" s="1"/>
  <c r="FI53" i="8"/>
  <c r="FH53" i="8" s="1"/>
  <c r="FI41" i="8"/>
  <c r="FH41" i="8" s="1"/>
  <c r="FI25" i="8"/>
  <c r="FH25" i="8" s="1"/>
  <c r="GQ40" i="8" l="1"/>
  <c r="GR39" i="8"/>
  <c r="FX41" i="8"/>
  <c r="FI45" i="8"/>
  <c r="FH45" i="8" s="1"/>
  <c r="FI49" i="8"/>
  <c r="FH49" i="8" s="1"/>
  <c r="FI31" i="8"/>
  <c r="FH31" i="8" s="1"/>
  <c r="FI43" i="8"/>
  <c r="FH43" i="8" s="1"/>
  <c r="FI239" i="8"/>
  <c r="FH239" i="8" s="1"/>
  <c r="FI77" i="8"/>
  <c r="FH77" i="8" s="1"/>
  <c r="FI93" i="8"/>
  <c r="FH93" i="8" s="1"/>
  <c r="FI97" i="8"/>
  <c r="FH97" i="8" s="1"/>
  <c r="FI101" i="8"/>
  <c r="FH101" i="8" s="1"/>
  <c r="FI109" i="8"/>
  <c r="FH109" i="8" s="1"/>
  <c r="FI117" i="8"/>
  <c r="FH117" i="8" s="1"/>
  <c r="FI127" i="8"/>
  <c r="FH127" i="8" s="1"/>
  <c r="FI264" i="8"/>
  <c r="FH264" i="8" s="1"/>
  <c r="FI262" i="8"/>
  <c r="FH262" i="8" s="1"/>
  <c r="FI260" i="8"/>
  <c r="FH260" i="8" s="1"/>
  <c r="FI256" i="8"/>
  <c r="FH256" i="8" s="1"/>
  <c r="FI254" i="8"/>
  <c r="FH254" i="8" s="1"/>
  <c r="FI252" i="8"/>
  <c r="FH252" i="8" s="1"/>
  <c r="FI250" i="8"/>
  <c r="FH250" i="8" s="1"/>
  <c r="FI248" i="8"/>
  <c r="FH248" i="8" s="1"/>
  <c r="FI246" i="8"/>
  <c r="FH246" i="8" s="1"/>
  <c r="FI244" i="8"/>
  <c r="FH244" i="8" s="1"/>
  <c r="FI242" i="8"/>
  <c r="FH242" i="8" s="1"/>
  <c r="FI240" i="8"/>
  <c r="FH240" i="8" s="1"/>
  <c r="FI238" i="8"/>
  <c r="FH238" i="8" s="1"/>
  <c r="FI236" i="8"/>
  <c r="FH236" i="8" s="1"/>
  <c r="FI234" i="8"/>
  <c r="FH234" i="8" s="1"/>
  <c r="FI232" i="8"/>
  <c r="FH232" i="8" s="1"/>
  <c r="FI230" i="8"/>
  <c r="FH230" i="8" s="1"/>
  <c r="FI228" i="8"/>
  <c r="FH228" i="8" s="1"/>
  <c r="FI226" i="8"/>
  <c r="FH226" i="8" s="1"/>
  <c r="FI224" i="8"/>
  <c r="FH224" i="8" s="1"/>
  <c r="FI222" i="8"/>
  <c r="FH222" i="8" s="1"/>
  <c r="FI220" i="8"/>
  <c r="FH220" i="8" s="1"/>
  <c r="FI218" i="8"/>
  <c r="FH218" i="8" s="1"/>
  <c r="FI216" i="8"/>
  <c r="FH216" i="8" s="1"/>
  <c r="FI214" i="8"/>
  <c r="FH214" i="8" s="1"/>
  <c r="FI212" i="8"/>
  <c r="FH212" i="8" s="1"/>
  <c r="FI210" i="8"/>
  <c r="FH210" i="8" s="1"/>
  <c r="FI208" i="8"/>
  <c r="FH208" i="8" s="1"/>
  <c r="FI261" i="8"/>
  <c r="FH261" i="8" s="1"/>
  <c r="FI253" i="8"/>
  <c r="FH253" i="8" s="1"/>
  <c r="FI243" i="8"/>
  <c r="FH243" i="8" s="1"/>
  <c r="FI235" i="8"/>
  <c r="FH235" i="8" s="1"/>
  <c r="FI227" i="8"/>
  <c r="FH227" i="8" s="1"/>
  <c r="FI219" i="8"/>
  <c r="FH219" i="8" s="1"/>
  <c r="FI211" i="8"/>
  <c r="FH211" i="8" s="1"/>
  <c r="FI259" i="8"/>
  <c r="FH259" i="8" s="1"/>
  <c r="FI251" i="8"/>
  <c r="FH251" i="8" s="1"/>
  <c r="FI245" i="8"/>
  <c r="FH245" i="8" s="1"/>
  <c r="FI237" i="8"/>
  <c r="FH237" i="8" s="1"/>
  <c r="FI229" i="8"/>
  <c r="FH229" i="8" s="1"/>
  <c r="FI221" i="8"/>
  <c r="FH221" i="8" s="1"/>
  <c r="FI217" i="8"/>
  <c r="FH217" i="8" s="1"/>
  <c r="FI209" i="8"/>
  <c r="FH209" i="8" s="1"/>
  <c r="FI206" i="8"/>
  <c r="FH206" i="8" s="1"/>
  <c r="FI204" i="8"/>
  <c r="FH204" i="8" s="1"/>
  <c r="FI202" i="8"/>
  <c r="FH202" i="8" s="1"/>
  <c r="FI200" i="8"/>
  <c r="FH200" i="8" s="1"/>
  <c r="FI198" i="8"/>
  <c r="FH198" i="8" s="1"/>
  <c r="FI196" i="8"/>
  <c r="FH196" i="8" s="1"/>
  <c r="FI194" i="8"/>
  <c r="FH194" i="8" s="1"/>
  <c r="FI192" i="8"/>
  <c r="FH192" i="8" s="1"/>
  <c r="FI190" i="8"/>
  <c r="FH190" i="8" s="1"/>
  <c r="FI188" i="8"/>
  <c r="FH188" i="8" s="1"/>
  <c r="FI186" i="8"/>
  <c r="FH186" i="8" s="1"/>
  <c r="FI184" i="8"/>
  <c r="FH184" i="8" s="1"/>
  <c r="FI182" i="8"/>
  <c r="FH182" i="8" s="1"/>
  <c r="FI180" i="8"/>
  <c r="FH180" i="8" s="1"/>
  <c r="FI178" i="8"/>
  <c r="FH178" i="8" s="1"/>
  <c r="FI176" i="8"/>
  <c r="FH176" i="8" s="1"/>
  <c r="FI174" i="8"/>
  <c r="FH174" i="8" s="1"/>
  <c r="FI172" i="8"/>
  <c r="FH172" i="8" s="1"/>
  <c r="FI170" i="8"/>
  <c r="FH170" i="8" s="1"/>
  <c r="FI168" i="8"/>
  <c r="FH168" i="8" s="1"/>
  <c r="FI166" i="8"/>
  <c r="FH166" i="8" s="1"/>
  <c r="FI164" i="8"/>
  <c r="FH164" i="8" s="1"/>
  <c r="FI162" i="8"/>
  <c r="FH162" i="8" s="1"/>
  <c r="FI160" i="8"/>
  <c r="FH160" i="8" s="1"/>
  <c r="FI158" i="8"/>
  <c r="FH158" i="8" s="1"/>
  <c r="FI156" i="8"/>
  <c r="FH156" i="8" s="1"/>
  <c r="FI154" i="8"/>
  <c r="FH154" i="8" s="1"/>
  <c r="FI152" i="8"/>
  <c r="FH152" i="8" s="1"/>
  <c r="FI150" i="8"/>
  <c r="FH150" i="8" s="1"/>
  <c r="FI148" i="8"/>
  <c r="FH148" i="8" s="1"/>
  <c r="FI146" i="8"/>
  <c r="FH146" i="8" s="1"/>
  <c r="FI144" i="8"/>
  <c r="FH144" i="8" s="1"/>
  <c r="FI142" i="8"/>
  <c r="FH142" i="8" s="1"/>
  <c r="FI140" i="8"/>
  <c r="FH140" i="8" s="1"/>
  <c r="FI138" i="8"/>
  <c r="FH138" i="8" s="1"/>
  <c r="FI136" i="8"/>
  <c r="FH136" i="8" s="1"/>
  <c r="FI134" i="8"/>
  <c r="FH134" i="8" s="1"/>
  <c r="FI132" i="8"/>
  <c r="FH132" i="8" s="1"/>
  <c r="FI130" i="8"/>
  <c r="FH130" i="8" s="1"/>
  <c r="FI128" i="8"/>
  <c r="FH128" i="8" s="1"/>
  <c r="FI126" i="8"/>
  <c r="FH126" i="8" s="1"/>
  <c r="FI124" i="8"/>
  <c r="FH124" i="8" s="1"/>
  <c r="FI122" i="8"/>
  <c r="FH122" i="8" s="1"/>
  <c r="FI120" i="8"/>
  <c r="FH120" i="8" s="1"/>
  <c r="FI118" i="8"/>
  <c r="FH118" i="8" s="1"/>
  <c r="FI257" i="8"/>
  <c r="FH257" i="8" s="1"/>
  <c r="FI247" i="8"/>
  <c r="FH247" i="8" s="1"/>
  <c r="FI255" i="8"/>
  <c r="FH255" i="8" s="1"/>
  <c r="FI249" i="8"/>
  <c r="FH249" i="8" s="1"/>
  <c r="FI263" i="8"/>
  <c r="FH263" i="8" s="1"/>
  <c r="FI207" i="8"/>
  <c r="FH207" i="8" s="1"/>
  <c r="FI199" i="8"/>
  <c r="FH199" i="8" s="1"/>
  <c r="FI191" i="8"/>
  <c r="FH191" i="8" s="1"/>
  <c r="FI183" i="8"/>
  <c r="FH183" i="8" s="1"/>
  <c r="FI175" i="8"/>
  <c r="FH175" i="8" s="1"/>
  <c r="FI173" i="8"/>
  <c r="FH173" i="8" s="1"/>
  <c r="FI165" i="8"/>
  <c r="FH165" i="8" s="1"/>
  <c r="FI157" i="8"/>
  <c r="FH157" i="8" s="1"/>
  <c r="FI149" i="8"/>
  <c r="FH149" i="8" s="1"/>
  <c r="FI141" i="8"/>
  <c r="FH141" i="8" s="1"/>
  <c r="FI133" i="8"/>
  <c r="FH133" i="8" s="1"/>
  <c r="FI125" i="8"/>
  <c r="FH125" i="8" s="1"/>
  <c r="FI225" i="8"/>
  <c r="FH225" i="8" s="1"/>
  <c r="FI223" i="8"/>
  <c r="FH223" i="8" s="1"/>
  <c r="FI213" i="8"/>
  <c r="FH213" i="8" s="1"/>
  <c r="FI203" i="8"/>
  <c r="FH203" i="8" s="1"/>
  <c r="FI185" i="8"/>
  <c r="FH185" i="8" s="1"/>
  <c r="FI181" i="8"/>
  <c r="FH181" i="8" s="1"/>
  <c r="FI171" i="8"/>
  <c r="FH171" i="8" s="1"/>
  <c r="FI161" i="8"/>
  <c r="FH161" i="8" s="1"/>
  <c r="FI151" i="8"/>
  <c r="FH151" i="8" s="1"/>
  <c r="FI139" i="8"/>
  <c r="FH139" i="8" s="1"/>
  <c r="FI129" i="8"/>
  <c r="FH129" i="8" s="1"/>
  <c r="FI233" i="8"/>
  <c r="FH233" i="8" s="1"/>
  <c r="FI231" i="8"/>
  <c r="FH231" i="8" s="1"/>
  <c r="FI193" i="8"/>
  <c r="FH193" i="8" s="1"/>
  <c r="FI189" i="8"/>
  <c r="FH189" i="8" s="1"/>
  <c r="FI179" i="8"/>
  <c r="FH179" i="8" s="1"/>
  <c r="FI163" i="8"/>
  <c r="FH163" i="8" s="1"/>
  <c r="FI153" i="8"/>
  <c r="FH153" i="8" s="1"/>
  <c r="FI143" i="8"/>
  <c r="FH143" i="8" s="1"/>
  <c r="FI131" i="8"/>
  <c r="FH131" i="8" s="1"/>
  <c r="FI121" i="8"/>
  <c r="FH121" i="8" s="1"/>
  <c r="FI119" i="8"/>
  <c r="FH119" i="8" s="1"/>
  <c r="FI116" i="8"/>
  <c r="FH116" i="8" s="1"/>
  <c r="FI114" i="8"/>
  <c r="FH114" i="8" s="1"/>
  <c r="FI112" i="8"/>
  <c r="FH112" i="8" s="1"/>
  <c r="FI110" i="8"/>
  <c r="FH110" i="8" s="1"/>
  <c r="FI108" i="8"/>
  <c r="FH108" i="8" s="1"/>
  <c r="FI106" i="8"/>
  <c r="FH106" i="8" s="1"/>
  <c r="FI104" i="8"/>
  <c r="FH104" i="8" s="1"/>
  <c r="FI102" i="8"/>
  <c r="FH102" i="8" s="1"/>
  <c r="FI100" i="8"/>
  <c r="FH100" i="8" s="1"/>
  <c r="FI98" i="8"/>
  <c r="FH98" i="8" s="1"/>
  <c r="FI96" i="8"/>
  <c r="FH96" i="8" s="1"/>
  <c r="FI94" i="8"/>
  <c r="FH94" i="8" s="1"/>
  <c r="FI92" i="8"/>
  <c r="FH92" i="8" s="1"/>
  <c r="FI90" i="8"/>
  <c r="FH90" i="8" s="1"/>
  <c r="FI88" i="8"/>
  <c r="FH88" i="8" s="1"/>
  <c r="FI82" i="8"/>
  <c r="FH82" i="8" s="1"/>
  <c r="FI80" i="8"/>
  <c r="FH80" i="8" s="1"/>
  <c r="FI78" i="8"/>
  <c r="FH78" i="8" s="1"/>
  <c r="FI76" i="8"/>
  <c r="FH76" i="8" s="1"/>
  <c r="FI201" i="8"/>
  <c r="FH201" i="8" s="1"/>
  <c r="FI197" i="8"/>
  <c r="FH197" i="8" s="1"/>
  <c r="FI187" i="8"/>
  <c r="FH187" i="8" s="1"/>
  <c r="FI167" i="8"/>
  <c r="FH167" i="8" s="1"/>
  <c r="FI155" i="8"/>
  <c r="FH155" i="8" s="1"/>
  <c r="FI145" i="8"/>
  <c r="FH145" i="8" s="1"/>
  <c r="FI135" i="8"/>
  <c r="FH135" i="8" s="1"/>
  <c r="FI123" i="8"/>
  <c r="FH123" i="8" s="1"/>
  <c r="FI34" i="8"/>
  <c r="FH34" i="8" s="1"/>
  <c r="FI38" i="8"/>
  <c r="FH38" i="8" s="1"/>
  <c r="FI40" i="8"/>
  <c r="FH40" i="8" s="1"/>
  <c r="FI42" i="8"/>
  <c r="FH42" i="8" s="1"/>
  <c r="FI46" i="8"/>
  <c r="FH46" i="8" s="1"/>
  <c r="FI48" i="8"/>
  <c r="FH48" i="8" s="1"/>
  <c r="FI50" i="8"/>
  <c r="FH50" i="8" s="1"/>
  <c r="FI56" i="8"/>
  <c r="FH56" i="8" s="1"/>
  <c r="FI58" i="8"/>
  <c r="FH58" i="8" s="1"/>
  <c r="FI60" i="8"/>
  <c r="FH60" i="8" s="1"/>
  <c r="FI62" i="8"/>
  <c r="FH62" i="8" s="1"/>
  <c r="FI64" i="8"/>
  <c r="FH64" i="8" s="1"/>
  <c r="FI66" i="8"/>
  <c r="FH66" i="8" s="1"/>
  <c r="FI68" i="8"/>
  <c r="FH68" i="8" s="1"/>
  <c r="FI70" i="8"/>
  <c r="FH70" i="8" s="1"/>
  <c r="FI72" i="8"/>
  <c r="FH72" i="8" s="1"/>
  <c r="FI74" i="8"/>
  <c r="FH74" i="8" s="1"/>
  <c r="FI79" i="8"/>
  <c r="FH79" i="8" s="1"/>
  <c r="FI95" i="8"/>
  <c r="FH95" i="8" s="1"/>
  <c r="FI103" i="8"/>
  <c r="FH103" i="8" s="1"/>
  <c r="FI111" i="8"/>
  <c r="FH111" i="8" s="1"/>
  <c r="FI137" i="8"/>
  <c r="FH137" i="8" s="1"/>
  <c r="FI159" i="8"/>
  <c r="FH159" i="8" s="1"/>
  <c r="FI177" i="8"/>
  <c r="FH177" i="8" s="1"/>
  <c r="FI205" i="8"/>
  <c r="FH205" i="8" s="1"/>
  <c r="FI81" i="8"/>
  <c r="FH81" i="8" s="1"/>
  <c r="FI89" i="8"/>
  <c r="FH89" i="8" s="1"/>
  <c r="FI105" i="8"/>
  <c r="FH105" i="8" s="1"/>
  <c r="FI113" i="8"/>
  <c r="FH113" i="8" s="1"/>
  <c r="FI169" i="8"/>
  <c r="FH169" i="8" s="1"/>
  <c r="FI195" i="8"/>
  <c r="FH195" i="8" s="1"/>
  <c r="FI215" i="8"/>
  <c r="FH215" i="8" s="1"/>
  <c r="FI241" i="8"/>
  <c r="FH241" i="8" s="1"/>
  <c r="DQ264" i="8"/>
  <c r="DQ262" i="8"/>
  <c r="DQ260" i="8"/>
  <c r="DQ256" i="8"/>
  <c r="DQ254" i="8"/>
  <c r="DQ252" i="8"/>
  <c r="DQ250" i="8"/>
  <c r="DQ248" i="8"/>
  <c r="DQ246" i="8"/>
  <c r="DQ244" i="8"/>
  <c r="DQ242" i="8"/>
  <c r="DQ240" i="8"/>
  <c r="DQ238" i="8"/>
  <c r="DQ236" i="8"/>
  <c r="DQ234" i="8"/>
  <c r="DQ232" i="8"/>
  <c r="DQ230" i="8"/>
  <c r="DQ228" i="8"/>
  <c r="DQ226" i="8"/>
  <c r="DQ224" i="8"/>
  <c r="DQ222" i="8"/>
  <c r="DQ220" i="8"/>
  <c r="DQ218" i="8"/>
  <c r="DQ216" i="8"/>
  <c r="DQ214" i="8"/>
  <c r="DQ212" i="8"/>
  <c r="DQ210" i="8"/>
  <c r="DQ208" i="8"/>
  <c r="DQ261" i="8"/>
  <c r="DQ255" i="8"/>
  <c r="DQ247" i="8"/>
  <c r="DQ239" i="8"/>
  <c r="DQ231" i="8"/>
  <c r="DQ223" i="8"/>
  <c r="DQ215" i="8"/>
  <c r="DQ259" i="8"/>
  <c r="DQ253" i="8"/>
  <c r="DQ245" i="8"/>
  <c r="DQ237" i="8"/>
  <c r="DQ229" i="8"/>
  <c r="DQ221" i="8"/>
  <c r="DQ213" i="8"/>
  <c r="DQ207" i="8"/>
  <c r="DQ205" i="8"/>
  <c r="DQ203" i="8"/>
  <c r="DQ201" i="8"/>
  <c r="DQ199" i="8"/>
  <c r="DQ197" i="8"/>
  <c r="DQ195" i="8"/>
  <c r="DQ193" i="8"/>
  <c r="DQ191" i="8"/>
  <c r="DQ189" i="8"/>
  <c r="DQ187" i="8"/>
  <c r="DQ185" i="8"/>
  <c r="DQ183" i="8"/>
  <c r="DQ181" i="8"/>
  <c r="DQ179" i="8"/>
  <c r="DQ177" i="8"/>
  <c r="DQ175" i="8"/>
  <c r="DQ173" i="8"/>
  <c r="DQ171" i="8"/>
  <c r="DQ169" i="8"/>
  <c r="DQ167" i="8"/>
  <c r="DQ165" i="8"/>
  <c r="DQ163" i="8"/>
  <c r="DQ161" i="8"/>
  <c r="DQ159" i="8"/>
  <c r="DQ157" i="8"/>
  <c r="DQ155" i="8"/>
  <c r="DQ153" i="8"/>
  <c r="DQ151" i="8"/>
  <c r="DQ149" i="8"/>
  <c r="DQ147" i="8"/>
  <c r="DQ145" i="8"/>
  <c r="DQ143" i="8"/>
  <c r="DQ141" i="8"/>
  <c r="DQ139" i="8"/>
  <c r="DQ137" i="8"/>
  <c r="DQ135" i="8"/>
  <c r="DQ133" i="8"/>
  <c r="DQ131" i="8"/>
  <c r="DQ129" i="8"/>
  <c r="DQ127" i="8"/>
  <c r="DQ251" i="8"/>
  <c r="DQ243" i="8"/>
  <c r="DQ235" i="8"/>
  <c r="DQ227" i="8"/>
  <c r="DQ219" i="8"/>
  <c r="DQ211" i="8"/>
  <c r="DQ241" i="8"/>
  <c r="DQ209" i="8"/>
  <c r="DQ202" i="8"/>
  <c r="DQ194" i="8"/>
  <c r="DQ186" i="8"/>
  <c r="DQ178" i="8"/>
  <c r="DQ168" i="8"/>
  <c r="DQ160" i="8"/>
  <c r="DQ152" i="8"/>
  <c r="DQ144" i="8"/>
  <c r="DQ136" i="8"/>
  <c r="DQ128" i="8"/>
  <c r="DQ249" i="8"/>
  <c r="DQ217" i="8"/>
  <c r="DQ200" i="8"/>
  <c r="DQ192" i="8"/>
  <c r="DQ184" i="8"/>
  <c r="DQ176" i="8"/>
  <c r="DQ166" i="8"/>
  <c r="DQ158" i="8"/>
  <c r="DQ150" i="8"/>
  <c r="DQ142" i="8"/>
  <c r="DQ134" i="8"/>
  <c r="DQ126" i="8"/>
  <c r="DQ124" i="8"/>
  <c r="DQ122" i="8"/>
  <c r="DQ120" i="8"/>
  <c r="DQ118" i="8"/>
  <c r="DQ116" i="8"/>
  <c r="DQ114" i="8"/>
  <c r="DQ112" i="8"/>
  <c r="DQ110" i="8"/>
  <c r="DQ108" i="8"/>
  <c r="DQ106" i="8"/>
  <c r="DQ104" i="8"/>
  <c r="DQ102" i="8"/>
  <c r="DQ100" i="8"/>
  <c r="DQ98" i="8"/>
  <c r="DQ96" i="8"/>
  <c r="DQ94" i="8"/>
  <c r="DQ92" i="8"/>
  <c r="DQ90" i="8"/>
  <c r="DQ88" i="8"/>
  <c r="DQ86" i="8"/>
  <c r="DQ84" i="8"/>
  <c r="DQ82" i="8"/>
  <c r="DQ80" i="8"/>
  <c r="DQ263" i="8"/>
  <c r="DQ257" i="8"/>
  <c r="DQ225" i="8"/>
  <c r="DQ206" i="8"/>
  <c r="DQ198" i="8"/>
  <c r="DQ190" i="8"/>
  <c r="DQ182" i="8"/>
  <c r="DQ172" i="8"/>
  <c r="DQ164" i="8"/>
  <c r="DQ156" i="8"/>
  <c r="DQ148" i="8"/>
  <c r="DQ140" i="8"/>
  <c r="DQ132" i="8"/>
  <c r="DQ204" i="8"/>
  <c r="DQ162" i="8"/>
  <c r="DQ130" i="8"/>
  <c r="DQ119" i="8"/>
  <c r="DQ111" i="8"/>
  <c r="DQ103" i="8"/>
  <c r="DQ95" i="8"/>
  <c r="DQ87" i="8"/>
  <c r="DQ79" i="8"/>
  <c r="DQ77" i="8"/>
  <c r="DQ75" i="8"/>
  <c r="DQ73" i="8"/>
  <c r="DQ71" i="8"/>
  <c r="DQ69" i="8"/>
  <c r="DQ67" i="8"/>
  <c r="DQ65" i="8"/>
  <c r="DQ63" i="8"/>
  <c r="DQ61" i="8"/>
  <c r="DQ59" i="8"/>
  <c r="DQ57" i="8"/>
  <c r="DQ55" i="8"/>
  <c r="DQ180" i="8"/>
  <c r="DQ174" i="8"/>
  <c r="DQ170" i="8"/>
  <c r="DQ138" i="8"/>
  <c r="DQ125" i="8"/>
  <c r="DQ117" i="8"/>
  <c r="DQ109" i="8"/>
  <c r="DQ101" i="8"/>
  <c r="DQ93" i="8"/>
  <c r="DQ85" i="8"/>
  <c r="DQ233" i="8"/>
  <c r="DQ188" i="8"/>
  <c r="DQ146" i="8"/>
  <c r="DQ123" i="8"/>
  <c r="DQ115" i="8"/>
  <c r="DQ107" i="8"/>
  <c r="DQ99" i="8"/>
  <c r="DQ91" i="8"/>
  <c r="DQ83" i="8"/>
  <c r="DQ78" i="8"/>
  <c r="DQ76" i="8"/>
  <c r="DQ74" i="8"/>
  <c r="DQ72" i="8"/>
  <c r="DQ70" i="8"/>
  <c r="DQ68" i="8"/>
  <c r="DQ66" i="8"/>
  <c r="DQ64" i="8"/>
  <c r="DQ62" i="8"/>
  <c r="DQ26" i="8"/>
  <c r="DQ36" i="8"/>
  <c r="DQ38" i="8"/>
  <c r="DQ40" i="8"/>
  <c r="DQ42" i="8"/>
  <c r="DQ46" i="8"/>
  <c r="DQ48" i="8"/>
  <c r="DQ50" i="8"/>
  <c r="DQ60" i="8"/>
  <c r="DQ89" i="8"/>
  <c r="DQ58" i="8"/>
  <c r="DQ81" i="8"/>
  <c r="DQ121" i="8"/>
  <c r="DQ154" i="8"/>
  <c r="DQ97" i="8"/>
  <c r="DQ196" i="8"/>
  <c r="DQ25" i="8"/>
  <c r="DQ27" i="8"/>
  <c r="DQ31" i="8"/>
  <c r="DQ35" i="8"/>
  <c r="DQ41" i="8"/>
  <c r="DQ43" i="8"/>
  <c r="DQ45" i="8"/>
  <c r="DQ47" i="8"/>
  <c r="DQ49" i="8"/>
  <c r="DQ51" i="8"/>
  <c r="DQ53" i="8"/>
  <c r="DQ56" i="8"/>
  <c r="DQ105" i="8"/>
  <c r="DQ113" i="8"/>
  <c r="GQ41" i="8" l="1"/>
  <c r="GR40" i="8"/>
  <c r="FX42" i="8"/>
  <c r="GQ42" i="8" l="1"/>
  <c r="GR41" i="8"/>
  <c r="FX43" i="8"/>
  <c r="EG24" i="8"/>
  <c r="GQ43" i="8" l="1"/>
  <c r="GR42" i="8"/>
  <c r="FX44" i="8"/>
  <c r="EU268" i="8"/>
  <c r="EY25" i="8"/>
  <c r="EY26" i="8" s="1"/>
  <c r="EM23" i="8"/>
  <c r="EJ16" i="8"/>
  <c r="ER12" i="8"/>
  <c r="EQ1" i="8"/>
  <c r="EF24" i="8" s="1"/>
  <c r="EF25" i="8" s="1"/>
  <c r="EF26" i="8" s="1"/>
  <c r="EY27" i="8" l="1"/>
  <c r="EZ27" i="8" s="1"/>
  <c r="EZ26" i="8"/>
  <c r="GQ44" i="8"/>
  <c r="GR43" i="8"/>
  <c r="GX264" i="8"/>
  <c r="GW264" i="8" s="1"/>
  <c r="GX260" i="8"/>
  <c r="GW260" i="8" s="1"/>
  <c r="GX256" i="8"/>
  <c r="GW256" i="8" s="1"/>
  <c r="GX261" i="8"/>
  <c r="GW261" i="8" s="1"/>
  <c r="GX257" i="8"/>
  <c r="GW257" i="8" s="1"/>
  <c r="GX262" i="8"/>
  <c r="GW262" i="8" s="1"/>
  <c r="GX255" i="8"/>
  <c r="GW255" i="8" s="1"/>
  <c r="GX253" i="8"/>
  <c r="GW253" i="8" s="1"/>
  <c r="GX251" i="8"/>
  <c r="GW251" i="8" s="1"/>
  <c r="GX241" i="8"/>
  <c r="GW241" i="8" s="1"/>
  <c r="GX263" i="8"/>
  <c r="GW263" i="8" s="1"/>
  <c r="GX259" i="8"/>
  <c r="GW259" i="8" s="1"/>
  <c r="GX254" i="8"/>
  <c r="GW254" i="8" s="1"/>
  <c r="GX250" i="8"/>
  <c r="GW250" i="8" s="1"/>
  <c r="GX248" i="8"/>
  <c r="GW248" i="8" s="1"/>
  <c r="GX246" i="8"/>
  <c r="GW246" i="8" s="1"/>
  <c r="GX244" i="8"/>
  <c r="GW244" i="8" s="1"/>
  <c r="GX242" i="8"/>
  <c r="GW242" i="8" s="1"/>
  <c r="GX252" i="8"/>
  <c r="GW252" i="8" s="1"/>
  <c r="GX239" i="8"/>
  <c r="GW239" i="8" s="1"/>
  <c r="GX236" i="8"/>
  <c r="GW236" i="8" s="1"/>
  <c r="GX235" i="8"/>
  <c r="GW235" i="8" s="1"/>
  <c r="GX234" i="8"/>
  <c r="GW234" i="8" s="1"/>
  <c r="GX233" i="8"/>
  <c r="GW233" i="8" s="1"/>
  <c r="GX232" i="8"/>
  <c r="GW232" i="8" s="1"/>
  <c r="GX231" i="8"/>
  <c r="GW231" i="8" s="1"/>
  <c r="GX230" i="8"/>
  <c r="GW230" i="8" s="1"/>
  <c r="GX229" i="8"/>
  <c r="GW229" i="8" s="1"/>
  <c r="GX228" i="8"/>
  <c r="GW228" i="8" s="1"/>
  <c r="GX227" i="8"/>
  <c r="GW227" i="8" s="1"/>
  <c r="GX226" i="8"/>
  <c r="GW226" i="8" s="1"/>
  <c r="GX249" i="8"/>
  <c r="GW249" i="8" s="1"/>
  <c r="GX245" i="8"/>
  <c r="GW245" i="8" s="1"/>
  <c r="GX238" i="8"/>
  <c r="GW238" i="8" s="1"/>
  <c r="GX237" i="8"/>
  <c r="GW237" i="8" s="1"/>
  <c r="GX240" i="8"/>
  <c r="GW240" i="8" s="1"/>
  <c r="GX222" i="8"/>
  <c r="GW222" i="8" s="1"/>
  <c r="GX218" i="8"/>
  <c r="GW218" i="8" s="1"/>
  <c r="GX214" i="8"/>
  <c r="GW214" i="8" s="1"/>
  <c r="GX210" i="8"/>
  <c r="GW210" i="8" s="1"/>
  <c r="GX225" i="8"/>
  <c r="GW225" i="8" s="1"/>
  <c r="GX221" i="8"/>
  <c r="GW221" i="8" s="1"/>
  <c r="GX217" i="8"/>
  <c r="GW217" i="8" s="1"/>
  <c r="GX213" i="8"/>
  <c r="GW213" i="8" s="1"/>
  <c r="GX211" i="8"/>
  <c r="GW211" i="8" s="1"/>
  <c r="GX247" i="8"/>
  <c r="GW247" i="8" s="1"/>
  <c r="GX243" i="8"/>
  <c r="GW243" i="8" s="1"/>
  <c r="GX224" i="8"/>
  <c r="GW224" i="8" s="1"/>
  <c r="GX220" i="8"/>
  <c r="GW220" i="8" s="1"/>
  <c r="GX216" i="8"/>
  <c r="GW216" i="8" s="1"/>
  <c r="GX212" i="8"/>
  <c r="GW212" i="8" s="1"/>
  <c r="GX208" i="8"/>
  <c r="GW208" i="8" s="1"/>
  <c r="GX207" i="8"/>
  <c r="GW207" i="8" s="1"/>
  <c r="GX206" i="8"/>
  <c r="GW206" i="8" s="1"/>
  <c r="GX205" i="8"/>
  <c r="GW205" i="8" s="1"/>
  <c r="GX204" i="8"/>
  <c r="GW204" i="8" s="1"/>
  <c r="GX203" i="8"/>
  <c r="GW203" i="8" s="1"/>
  <c r="GX202" i="8"/>
  <c r="GW202" i="8" s="1"/>
  <c r="GX201" i="8"/>
  <c r="GW201" i="8" s="1"/>
  <c r="GX200" i="8"/>
  <c r="GW200" i="8" s="1"/>
  <c r="GX199" i="8"/>
  <c r="GW199" i="8" s="1"/>
  <c r="GX198" i="8"/>
  <c r="GW198" i="8" s="1"/>
  <c r="GX197" i="8"/>
  <c r="GW197" i="8" s="1"/>
  <c r="GX196" i="8"/>
  <c r="GW196" i="8" s="1"/>
  <c r="GX192" i="8"/>
  <c r="GW192" i="8" s="1"/>
  <c r="GX188" i="8"/>
  <c r="GW188" i="8" s="1"/>
  <c r="GX187" i="8"/>
  <c r="GW187" i="8" s="1"/>
  <c r="GX185" i="8"/>
  <c r="GW185" i="8" s="1"/>
  <c r="GX223" i="8"/>
  <c r="GW223" i="8" s="1"/>
  <c r="GX215" i="8"/>
  <c r="GW215" i="8" s="1"/>
  <c r="GX195" i="8"/>
  <c r="GW195" i="8" s="1"/>
  <c r="GX191" i="8"/>
  <c r="GW191" i="8" s="1"/>
  <c r="GX194" i="8"/>
  <c r="GW194" i="8" s="1"/>
  <c r="GX190" i="8"/>
  <c r="GW190" i="8" s="1"/>
  <c r="GX186" i="8"/>
  <c r="GW186" i="8" s="1"/>
  <c r="GX184" i="8"/>
  <c r="GW184" i="8" s="1"/>
  <c r="GX183" i="8"/>
  <c r="GW183" i="8" s="1"/>
  <c r="GX182" i="8"/>
  <c r="GW182" i="8" s="1"/>
  <c r="GX181" i="8"/>
  <c r="GW181" i="8" s="1"/>
  <c r="GX180" i="8"/>
  <c r="GW180" i="8" s="1"/>
  <c r="GX179" i="8"/>
  <c r="GW179" i="8" s="1"/>
  <c r="GX178" i="8"/>
  <c r="GW178" i="8" s="1"/>
  <c r="GX177" i="8"/>
  <c r="GW177" i="8" s="1"/>
  <c r="GX176" i="8"/>
  <c r="GW176" i="8" s="1"/>
  <c r="GX175" i="8"/>
  <c r="GW175" i="8" s="1"/>
  <c r="GX174" i="8"/>
  <c r="GW174" i="8" s="1"/>
  <c r="GX173" i="8"/>
  <c r="GW173" i="8" s="1"/>
  <c r="GX172" i="8"/>
  <c r="GW172" i="8" s="1"/>
  <c r="GX171" i="8"/>
  <c r="GW171" i="8" s="1"/>
  <c r="GX170" i="8"/>
  <c r="GW170" i="8" s="1"/>
  <c r="GX169" i="8"/>
  <c r="GW169" i="8" s="1"/>
  <c r="GX168" i="8"/>
  <c r="GW168" i="8" s="1"/>
  <c r="GX167" i="8"/>
  <c r="GW167" i="8" s="1"/>
  <c r="GX166" i="8"/>
  <c r="GW166" i="8" s="1"/>
  <c r="GX165" i="8"/>
  <c r="GW165" i="8" s="1"/>
  <c r="GX164" i="8"/>
  <c r="GW164" i="8" s="1"/>
  <c r="GX163" i="8"/>
  <c r="GW163" i="8" s="1"/>
  <c r="GX162" i="8"/>
  <c r="GW162" i="8" s="1"/>
  <c r="GX161" i="8"/>
  <c r="GW161" i="8" s="1"/>
  <c r="GX160" i="8"/>
  <c r="GW160" i="8" s="1"/>
  <c r="GX159" i="8"/>
  <c r="GW159" i="8" s="1"/>
  <c r="GX219" i="8"/>
  <c r="GW219" i="8" s="1"/>
  <c r="GX155" i="8"/>
  <c r="GW155" i="8" s="1"/>
  <c r="GX151" i="8"/>
  <c r="GW151" i="8" s="1"/>
  <c r="GX147" i="8"/>
  <c r="GW147" i="8" s="1"/>
  <c r="GX143" i="8"/>
  <c r="GW143" i="8" s="1"/>
  <c r="GX209" i="8"/>
  <c r="GW209" i="8" s="1"/>
  <c r="GX193" i="8"/>
  <c r="GW193" i="8" s="1"/>
  <c r="GX158" i="8"/>
  <c r="GW158" i="8" s="1"/>
  <c r="GX154" i="8"/>
  <c r="GW154" i="8" s="1"/>
  <c r="GX150" i="8"/>
  <c r="GW150" i="8" s="1"/>
  <c r="GX146" i="8"/>
  <c r="GW146" i="8" s="1"/>
  <c r="GX142" i="8"/>
  <c r="GW142" i="8" s="1"/>
  <c r="GX157" i="8"/>
  <c r="GW157" i="8" s="1"/>
  <c r="GX153" i="8"/>
  <c r="GW153" i="8" s="1"/>
  <c r="GX149" i="8"/>
  <c r="GW149" i="8" s="1"/>
  <c r="GX145" i="8"/>
  <c r="GW145" i="8" s="1"/>
  <c r="GX141" i="8"/>
  <c r="GW141" i="8" s="1"/>
  <c r="GX140" i="8"/>
  <c r="GW140" i="8" s="1"/>
  <c r="GX139" i="8"/>
  <c r="GW139" i="8" s="1"/>
  <c r="GX138" i="8"/>
  <c r="GW138" i="8" s="1"/>
  <c r="GX137" i="8"/>
  <c r="GW137" i="8" s="1"/>
  <c r="GX136" i="8"/>
  <c r="GW136" i="8" s="1"/>
  <c r="GX135" i="8"/>
  <c r="GW135" i="8" s="1"/>
  <c r="GX134" i="8"/>
  <c r="GW134" i="8" s="1"/>
  <c r="GX133" i="8"/>
  <c r="GW133" i="8" s="1"/>
  <c r="GX132" i="8"/>
  <c r="GW132" i="8" s="1"/>
  <c r="GX131" i="8"/>
  <c r="GW131" i="8" s="1"/>
  <c r="GX130" i="8"/>
  <c r="GW130" i="8" s="1"/>
  <c r="GX152" i="8"/>
  <c r="GW152" i="8" s="1"/>
  <c r="GX144" i="8"/>
  <c r="GW144" i="8" s="1"/>
  <c r="GX128" i="8"/>
  <c r="GW128" i="8" s="1"/>
  <c r="GX124" i="8"/>
  <c r="GW124" i="8" s="1"/>
  <c r="GX120" i="8"/>
  <c r="GW120" i="8" s="1"/>
  <c r="GX116" i="8"/>
  <c r="GW116" i="8" s="1"/>
  <c r="GX112" i="8"/>
  <c r="GW112" i="8" s="1"/>
  <c r="GX108" i="8"/>
  <c r="GW108" i="8" s="1"/>
  <c r="GX104" i="8"/>
  <c r="GW104" i="8" s="1"/>
  <c r="GX127" i="8"/>
  <c r="GW127" i="8" s="1"/>
  <c r="GX123" i="8"/>
  <c r="GW123" i="8" s="1"/>
  <c r="GX119" i="8"/>
  <c r="GW119" i="8" s="1"/>
  <c r="GX115" i="8"/>
  <c r="GW115" i="8" s="1"/>
  <c r="GX111" i="8"/>
  <c r="GW111" i="8" s="1"/>
  <c r="GX107" i="8"/>
  <c r="GW107" i="8" s="1"/>
  <c r="GX103" i="8"/>
  <c r="GW103" i="8" s="1"/>
  <c r="GX100" i="8"/>
  <c r="GW100" i="8" s="1"/>
  <c r="GX99" i="8"/>
  <c r="GW99" i="8" s="1"/>
  <c r="GX98" i="8"/>
  <c r="GW98" i="8" s="1"/>
  <c r="GX97" i="8"/>
  <c r="GW97" i="8" s="1"/>
  <c r="GX96" i="8"/>
  <c r="GW96" i="8" s="1"/>
  <c r="GX95" i="8"/>
  <c r="GW95" i="8" s="1"/>
  <c r="GX94" i="8"/>
  <c r="GW94" i="8" s="1"/>
  <c r="GX93" i="8"/>
  <c r="GW93" i="8" s="1"/>
  <c r="GX92" i="8"/>
  <c r="GW92" i="8" s="1"/>
  <c r="GX91" i="8"/>
  <c r="GW91" i="8" s="1"/>
  <c r="GX156" i="8"/>
  <c r="GW156" i="8" s="1"/>
  <c r="GX148" i="8"/>
  <c r="GW148" i="8" s="1"/>
  <c r="GX126" i="8"/>
  <c r="GW126" i="8" s="1"/>
  <c r="GX122" i="8"/>
  <c r="GW122" i="8" s="1"/>
  <c r="GX118" i="8"/>
  <c r="GW118" i="8" s="1"/>
  <c r="GX114" i="8"/>
  <c r="GW114" i="8" s="1"/>
  <c r="GX110" i="8"/>
  <c r="GW110" i="8" s="1"/>
  <c r="GX106" i="8"/>
  <c r="GW106" i="8" s="1"/>
  <c r="GX102" i="8"/>
  <c r="GW102" i="8" s="1"/>
  <c r="GX125" i="8"/>
  <c r="GW125" i="8" s="1"/>
  <c r="GX117" i="8"/>
  <c r="GW117" i="8" s="1"/>
  <c r="GX109" i="8"/>
  <c r="GW109" i="8" s="1"/>
  <c r="GX101" i="8"/>
  <c r="GW101" i="8" s="1"/>
  <c r="GX36" i="8"/>
  <c r="GW36" i="8" s="1"/>
  <c r="GX35" i="8"/>
  <c r="GW35" i="8" s="1"/>
  <c r="GX34" i="8"/>
  <c r="GW34" i="8" s="1"/>
  <c r="GX129" i="8"/>
  <c r="GW129" i="8" s="1"/>
  <c r="GX121" i="8"/>
  <c r="GW121" i="8" s="1"/>
  <c r="GX113" i="8"/>
  <c r="GW113" i="8" s="1"/>
  <c r="GX105" i="8"/>
  <c r="GW105" i="8" s="1"/>
  <c r="GX30" i="8"/>
  <c r="GW30" i="8" s="1"/>
  <c r="GX27" i="8"/>
  <c r="GW27" i="8" s="1"/>
  <c r="GX189" i="8"/>
  <c r="GW189" i="8" s="1"/>
  <c r="GX90" i="8"/>
  <c r="GW90" i="8" s="1"/>
  <c r="GX86" i="8"/>
  <c r="GW86" i="8" s="1"/>
  <c r="GX82" i="8"/>
  <c r="GW82" i="8" s="1"/>
  <c r="GX78" i="8"/>
  <c r="GW78" i="8" s="1"/>
  <c r="GX74" i="8"/>
  <c r="GW74" i="8" s="1"/>
  <c r="GX70" i="8"/>
  <c r="GW70" i="8" s="1"/>
  <c r="GX66" i="8"/>
  <c r="GW66" i="8" s="1"/>
  <c r="GX60" i="8"/>
  <c r="GW60" i="8" s="1"/>
  <c r="GX56" i="8"/>
  <c r="GW56" i="8" s="1"/>
  <c r="GX48" i="8"/>
  <c r="GW48" i="8" s="1"/>
  <c r="GX51" i="8"/>
  <c r="GW51" i="8" s="1"/>
  <c r="GX43" i="8"/>
  <c r="GW43" i="8" s="1"/>
  <c r="GX89" i="8"/>
  <c r="GW89" i="8" s="1"/>
  <c r="GX81" i="8"/>
  <c r="GW81" i="8" s="1"/>
  <c r="GX77" i="8"/>
  <c r="GW77" i="8" s="1"/>
  <c r="GX73" i="8"/>
  <c r="GW73" i="8" s="1"/>
  <c r="GX69" i="8"/>
  <c r="GW69" i="8" s="1"/>
  <c r="GX65" i="8"/>
  <c r="GW65" i="8" s="1"/>
  <c r="GX61" i="8"/>
  <c r="GW61" i="8" s="1"/>
  <c r="GX57" i="8"/>
  <c r="GW57" i="8" s="1"/>
  <c r="GX53" i="8"/>
  <c r="GW53" i="8" s="1"/>
  <c r="GX49" i="8"/>
  <c r="GW49" i="8" s="1"/>
  <c r="GX45" i="8"/>
  <c r="GW45" i="8" s="1"/>
  <c r="GX41" i="8"/>
  <c r="GW41" i="8" s="1"/>
  <c r="GX32" i="8"/>
  <c r="GX31" i="8"/>
  <c r="GW31" i="8" s="1"/>
  <c r="GX83" i="8"/>
  <c r="GW83" i="8" s="1"/>
  <c r="GX71" i="8"/>
  <c r="GW71" i="8" s="1"/>
  <c r="GX67" i="8"/>
  <c r="GW67" i="8" s="1"/>
  <c r="GX55" i="8"/>
  <c r="GW55" i="8" s="1"/>
  <c r="GX88" i="8"/>
  <c r="GW88" i="8" s="1"/>
  <c r="GX84" i="8"/>
  <c r="GW84" i="8" s="1"/>
  <c r="GX80" i="8"/>
  <c r="GW80" i="8" s="1"/>
  <c r="GX72" i="8"/>
  <c r="GW72" i="8" s="1"/>
  <c r="GX68" i="8"/>
  <c r="GW68" i="8" s="1"/>
  <c r="GX64" i="8"/>
  <c r="GW64" i="8" s="1"/>
  <c r="GX62" i="8"/>
  <c r="GW62" i="8" s="1"/>
  <c r="GX58" i="8"/>
  <c r="GW58" i="8" s="1"/>
  <c r="GX54" i="8"/>
  <c r="GX50" i="8"/>
  <c r="GW50" i="8" s="1"/>
  <c r="GX46" i="8"/>
  <c r="GW46" i="8" s="1"/>
  <c r="GX42" i="8"/>
  <c r="GW42" i="8" s="1"/>
  <c r="GX40" i="8"/>
  <c r="GW40" i="8" s="1"/>
  <c r="GX38" i="8"/>
  <c r="GW38" i="8" s="1"/>
  <c r="GX87" i="8"/>
  <c r="GW87" i="8" s="1"/>
  <c r="GX79" i="8"/>
  <c r="GW79" i="8" s="1"/>
  <c r="GX75" i="8"/>
  <c r="GW75" i="8" s="1"/>
  <c r="GX63" i="8"/>
  <c r="GW63" i="8" s="1"/>
  <c r="GX59" i="8"/>
  <c r="GW59" i="8" s="1"/>
  <c r="GX47" i="8"/>
  <c r="GW47" i="8" s="1"/>
  <c r="GX26" i="8"/>
  <c r="GW26" i="8" s="1"/>
  <c r="FX45" i="8"/>
  <c r="FF79" i="8"/>
  <c r="FE79" i="8" s="1"/>
  <c r="FF95" i="8"/>
  <c r="FE95" i="8" s="1"/>
  <c r="FF132" i="8"/>
  <c r="FE132" i="8" s="1"/>
  <c r="FF97" i="8"/>
  <c r="FE97" i="8" s="1"/>
  <c r="FF49" i="8"/>
  <c r="FE49" i="8" s="1"/>
  <c r="FF38" i="8"/>
  <c r="FE38" i="8" s="1"/>
  <c r="FF222" i="8"/>
  <c r="FE222" i="8" s="1"/>
  <c r="FF46" i="8"/>
  <c r="FE46" i="8" s="1"/>
  <c r="FF88" i="8"/>
  <c r="FE88" i="8" s="1"/>
  <c r="FF48" i="8"/>
  <c r="FE48" i="8" s="1"/>
  <c r="FF31" i="8"/>
  <c r="FE31" i="8" s="1"/>
  <c r="FF43" i="8"/>
  <c r="FE43" i="8" s="1"/>
  <c r="FF80" i="8"/>
  <c r="FE80" i="8" s="1"/>
  <c r="FF45" i="8"/>
  <c r="FE45" i="8" s="1"/>
  <c r="FF32" i="8"/>
  <c r="FF34" i="8"/>
  <c r="FE34" i="8" s="1"/>
  <c r="FF51" i="8"/>
  <c r="FE51" i="8" s="1"/>
  <c r="FF59" i="8"/>
  <c r="FE59" i="8" s="1"/>
  <c r="FF67" i="8"/>
  <c r="FE67" i="8" s="1"/>
  <c r="FF75" i="8"/>
  <c r="FE75" i="8" s="1"/>
  <c r="FF119" i="8"/>
  <c r="FE119" i="8" s="1"/>
  <c r="FF166" i="8"/>
  <c r="FE166" i="8" s="1"/>
  <c r="FF260" i="8"/>
  <c r="FE260" i="8" s="1"/>
  <c r="FF252" i="8"/>
  <c r="FE252" i="8" s="1"/>
  <c r="FF257" i="8"/>
  <c r="FE257" i="8" s="1"/>
  <c r="FF249" i="8"/>
  <c r="FE249" i="8" s="1"/>
  <c r="FF241" i="8"/>
  <c r="FE241" i="8" s="1"/>
  <c r="FF233" i="8"/>
  <c r="FE233" i="8" s="1"/>
  <c r="FF225" i="8"/>
  <c r="FE225" i="8" s="1"/>
  <c r="FF240" i="8"/>
  <c r="FE240" i="8" s="1"/>
  <c r="FF215" i="8"/>
  <c r="FE215" i="8" s="1"/>
  <c r="FF202" i="8"/>
  <c r="FE202" i="8" s="1"/>
  <c r="FF194" i="8"/>
  <c r="FE194" i="8" s="1"/>
  <c r="FF186" i="8"/>
  <c r="FE186" i="8" s="1"/>
  <c r="FF178" i="8"/>
  <c r="FE178" i="8" s="1"/>
  <c r="FF234" i="8"/>
  <c r="FE234" i="8" s="1"/>
  <c r="FF244" i="8"/>
  <c r="FE244" i="8" s="1"/>
  <c r="FF210" i="8"/>
  <c r="FE210" i="8" s="1"/>
  <c r="FF181" i="8"/>
  <c r="FE181" i="8" s="1"/>
  <c r="FF47" i="8"/>
  <c r="FE47" i="8" s="1"/>
  <c r="FF53" i="8"/>
  <c r="FE53" i="8" s="1"/>
  <c r="FF61" i="8"/>
  <c r="FE61" i="8" s="1"/>
  <c r="FF69" i="8"/>
  <c r="FE69" i="8" s="1"/>
  <c r="FF89" i="8"/>
  <c r="FE89" i="8" s="1"/>
  <c r="FF125" i="8"/>
  <c r="FE125" i="8" s="1"/>
  <c r="FF263" i="8"/>
  <c r="FE263" i="8" s="1"/>
  <c r="FF255" i="8"/>
  <c r="FE255" i="8" s="1"/>
  <c r="FF247" i="8"/>
  <c r="FE247" i="8" s="1"/>
  <c r="FF239" i="8"/>
  <c r="FE239" i="8" s="1"/>
  <c r="FF231" i="8"/>
  <c r="FE231" i="8" s="1"/>
  <c r="FF223" i="8"/>
  <c r="FE223" i="8" s="1"/>
  <c r="FF232" i="8"/>
  <c r="FE232" i="8" s="1"/>
  <c r="FF208" i="8"/>
  <c r="FE208" i="8" s="1"/>
  <c r="FF200" i="8"/>
  <c r="FE200" i="8" s="1"/>
  <c r="FF192" i="8"/>
  <c r="FE192" i="8" s="1"/>
  <c r="FF184" i="8"/>
  <c r="FE184" i="8" s="1"/>
  <c r="FF176" i="8"/>
  <c r="FE176" i="8" s="1"/>
  <c r="FF226" i="8"/>
  <c r="FE226" i="8" s="1"/>
  <c r="FF236" i="8"/>
  <c r="FE236" i="8" s="1"/>
  <c r="FF205" i="8"/>
  <c r="FE205" i="8" s="1"/>
  <c r="FF134" i="8"/>
  <c r="FE134" i="8" s="1"/>
  <c r="FF55" i="8"/>
  <c r="FE55" i="8" s="1"/>
  <c r="FF63" i="8"/>
  <c r="FE63" i="8" s="1"/>
  <c r="FF71" i="8"/>
  <c r="FE71" i="8" s="1"/>
  <c r="FF81" i="8"/>
  <c r="FE81" i="8" s="1"/>
  <c r="FF90" i="8"/>
  <c r="FE90" i="8" s="1"/>
  <c r="FF264" i="8"/>
  <c r="FE264" i="8" s="1"/>
  <c r="FF256" i="8"/>
  <c r="FE256" i="8" s="1"/>
  <c r="FF261" i="8"/>
  <c r="FE261" i="8" s="1"/>
  <c r="FF253" i="8"/>
  <c r="FE253" i="8" s="1"/>
  <c r="FF245" i="8"/>
  <c r="FE245" i="8" s="1"/>
  <c r="FF237" i="8"/>
  <c r="FE237" i="8" s="1"/>
  <c r="FF229" i="8"/>
  <c r="FE229" i="8" s="1"/>
  <c r="FF221" i="8"/>
  <c r="FE221" i="8" s="1"/>
  <c r="FF224" i="8"/>
  <c r="FE224" i="8" s="1"/>
  <c r="FF206" i="8"/>
  <c r="FE206" i="8" s="1"/>
  <c r="FF198" i="8"/>
  <c r="FE198" i="8" s="1"/>
  <c r="FF190" i="8"/>
  <c r="FE190" i="8" s="1"/>
  <c r="FF182" i="8"/>
  <c r="FE182" i="8" s="1"/>
  <c r="FF250" i="8"/>
  <c r="FE250" i="8" s="1"/>
  <c r="FF214" i="8"/>
  <c r="FE214" i="8" s="1"/>
  <c r="FF220" i="8"/>
  <c r="FE220" i="8" s="1"/>
  <c r="FF197" i="8"/>
  <c r="FE197" i="8" s="1"/>
  <c r="FF35" i="8"/>
  <c r="FE35" i="8" s="1"/>
  <c r="FF42" i="8"/>
  <c r="FE42" i="8" s="1"/>
  <c r="FF201" i="8"/>
  <c r="FE201" i="8" s="1"/>
  <c r="FF57" i="8"/>
  <c r="FE57" i="8" s="1"/>
  <c r="FF65" i="8"/>
  <c r="FE65" i="8" s="1"/>
  <c r="FF73" i="8"/>
  <c r="FE73" i="8" s="1"/>
  <c r="FF82" i="8"/>
  <c r="FE82" i="8" s="1"/>
  <c r="FF164" i="8"/>
  <c r="FE164" i="8" s="1"/>
  <c r="FF262" i="8"/>
  <c r="FE262" i="8" s="1"/>
  <c r="FF254" i="8"/>
  <c r="FE254" i="8" s="1"/>
  <c r="FF259" i="8"/>
  <c r="FE259" i="8" s="1"/>
  <c r="FF251" i="8"/>
  <c r="FE251" i="8" s="1"/>
  <c r="FF243" i="8"/>
  <c r="FE243" i="8" s="1"/>
  <c r="FF235" i="8"/>
  <c r="FE235" i="8" s="1"/>
  <c r="FF227" i="8"/>
  <c r="FE227" i="8" s="1"/>
  <c r="FF248" i="8"/>
  <c r="FE248" i="8" s="1"/>
  <c r="FF216" i="8"/>
  <c r="FE216" i="8" s="1"/>
  <c r="FF204" i="8"/>
  <c r="FE204" i="8" s="1"/>
  <c r="FF196" i="8"/>
  <c r="FE196" i="8" s="1"/>
  <c r="FF188" i="8"/>
  <c r="FE188" i="8" s="1"/>
  <c r="FF180" i="8"/>
  <c r="FE180" i="8" s="1"/>
  <c r="FF242" i="8"/>
  <c r="FE242" i="8" s="1"/>
  <c r="FF213" i="8"/>
  <c r="FE213" i="8" s="1"/>
  <c r="FF211" i="8"/>
  <c r="FE211" i="8" s="1"/>
  <c r="FF162" i="8"/>
  <c r="FE162" i="8" s="1"/>
  <c r="FF146" i="8"/>
  <c r="FE146" i="8" s="1"/>
  <c r="FF130" i="8"/>
  <c r="FE130" i="8" s="1"/>
  <c r="FF246" i="8"/>
  <c r="FE246" i="8" s="1"/>
  <c r="FF191" i="8"/>
  <c r="FE191" i="8" s="1"/>
  <c r="FF158" i="8"/>
  <c r="FE158" i="8" s="1"/>
  <c r="FF136" i="8"/>
  <c r="FE136" i="8" s="1"/>
  <c r="FF123" i="8"/>
  <c r="FE123" i="8" s="1"/>
  <c r="FF112" i="8"/>
  <c r="FE112" i="8" s="1"/>
  <c r="FF104" i="8"/>
  <c r="FE104" i="8" s="1"/>
  <c r="FF96" i="8"/>
  <c r="FE96" i="8" s="1"/>
  <c r="FF209" i="8"/>
  <c r="FE209" i="8" s="1"/>
  <c r="FF173" i="8"/>
  <c r="FE173" i="8" s="1"/>
  <c r="FF148" i="8"/>
  <c r="FE148" i="8" s="1"/>
  <c r="FF212" i="8"/>
  <c r="FE212" i="8" s="1"/>
  <c r="FF175" i="8"/>
  <c r="FE175" i="8" s="1"/>
  <c r="FF165" i="8"/>
  <c r="FE165" i="8" s="1"/>
  <c r="FF140" i="8"/>
  <c r="FE140" i="8" s="1"/>
  <c r="FF115" i="8"/>
  <c r="FE115" i="8" s="1"/>
  <c r="FF107" i="8"/>
  <c r="FE107" i="8" s="1"/>
  <c r="FF83" i="8"/>
  <c r="FE83" i="8" s="1"/>
  <c r="FF92" i="8"/>
  <c r="FE92" i="8" s="1"/>
  <c r="FF131" i="8"/>
  <c r="FE131" i="8" s="1"/>
  <c r="FF217" i="8"/>
  <c r="FE217" i="8" s="1"/>
  <c r="FF56" i="8"/>
  <c r="FE56" i="8" s="1"/>
  <c r="FF64" i="8"/>
  <c r="FE64" i="8" s="1"/>
  <c r="FF72" i="8"/>
  <c r="FE72" i="8" s="1"/>
  <c r="FF93" i="8"/>
  <c r="FE93" i="8" s="1"/>
  <c r="FF167" i="8"/>
  <c r="FE167" i="8" s="1"/>
  <c r="FF189" i="8"/>
  <c r="FE189" i="8" s="1"/>
  <c r="FF161" i="8"/>
  <c r="FE161" i="8" s="1"/>
  <c r="FF145" i="8"/>
  <c r="FE145" i="8" s="1"/>
  <c r="FF129" i="8"/>
  <c r="FE129" i="8" s="1"/>
  <c r="FF230" i="8"/>
  <c r="FE230" i="8" s="1"/>
  <c r="FF177" i="8"/>
  <c r="FE177" i="8" s="1"/>
  <c r="FF156" i="8"/>
  <c r="FE156" i="8" s="1"/>
  <c r="FF127" i="8"/>
  <c r="FE127" i="8" s="1"/>
  <c r="FF118" i="8"/>
  <c r="FE118" i="8" s="1"/>
  <c r="FF110" i="8"/>
  <c r="FE110" i="8" s="1"/>
  <c r="FF102" i="8"/>
  <c r="FE102" i="8" s="1"/>
  <c r="FF238" i="8"/>
  <c r="FE238" i="8" s="1"/>
  <c r="FF203" i="8"/>
  <c r="FE203" i="8" s="1"/>
  <c r="FF160" i="8"/>
  <c r="FE160" i="8" s="1"/>
  <c r="FF147" i="8"/>
  <c r="FE147" i="8" s="1"/>
  <c r="FF207" i="8"/>
  <c r="FE207" i="8" s="1"/>
  <c r="FF174" i="8"/>
  <c r="FE174" i="8" s="1"/>
  <c r="FF152" i="8"/>
  <c r="FE152" i="8" s="1"/>
  <c r="FF139" i="8"/>
  <c r="FE139" i="8" s="1"/>
  <c r="FF113" i="8"/>
  <c r="FE113" i="8" s="1"/>
  <c r="FF105" i="8"/>
  <c r="FE105" i="8" s="1"/>
  <c r="FF135" i="8"/>
  <c r="FE135" i="8" s="1"/>
  <c r="FF50" i="8"/>
  <c r="FE50" i="8" s="1"/>
  <c r="FF58" i="8"/>
  <c r="FE58" i="8" s="1"/>
  <c r="FF66" i="8"/>
  <c r="FE66" i="8" s="1"/>
  <c r="FF74" i="8"/>
  <c r="FE74" i="8" s="1"/>
  <c r="FF94" i="8"/>
  <c r="FE94" i="8" s="1"/>
  <c r="FF120" i="8"/>
  <c r="FE120" i="8" s="1"/>
  <c r="FF170" i="8"/>
  <c r="FE170" i="8" s="1"/>
  <c r="FF154" i="8"/>
  <c r="FE154" i="8" s="1"/>
  <c r="FF138" i="8"/>
  <c r="FE138" i="8" s="1"/>
  <c r="FF122" i="8"/>
  <c r="FE122" i="8" s="1"/>
  <c r="FF228" i="8"/>
  <c r="FE228" i="8" s="1"/>
  <c r="FF168" i="8"/>
  <c r="FE168" i="8" s="1"/>
  <c r="FF155" i="8"/>
  <c r="FE155" i="8" s="1"/>
  <c r="FF126" i="8"/>
  <c r="FE126" i="8" s="1"/>
  <c r="FF116" i="8"/>
  <c r="FE116" i="8" s="1"/>
  <c r="FF108" i="8"/>
  <c r="FE108" i="8" s="1"/>
  <c r="FF100" i="8"/>
  <c r="FE100" i="8" s="1"/>
  <c r="FF219" i="8"/>
  <c r="FE219" i="8" s="1"/>
  <c r="FF199" i="8"/>
  <c r="FE199" i="8" s="1"/>
  <c r="FF151" i="8"/>
  <c r="FE151" i="8" s="1"/>
  <c r="FF141" i="8"/>
  <c r="FE141" i="8" s="1"/>
  <c r="FF193" i="8"/>
  <c r="FE193" i="8" s="1"/>
  <c r="FF172" i="8"/>
  <c r="FE172" i="8" s="1"/>
  <c r="FF143" i="8"/>
  <c r="FE143" i="8" s="1"/>
  <c r="FF133" i="8"/>
  <c r="FE133" i="8" s="1"/>
  <c r="FF111" i="8"/>
  <c r="FE111" i="8" s="1"/>
  <c r="FF103" i="8"/>
  <c r="FE103" i="8" s="1"/>
  <c r="FF183" i="8"/>
  <c r="FE183" i="8" s="1"/>
  <c r="FF60" i="8"/>
  <c r="FE60" i="8" s="1"/>
  <c r="FF68" i="8"/>
  <c r="FE68" i="8" s="1"/>
  <c r="FF77" i="8"/>
  <c r="FE77" i="8" s="1"/>
  <c r="FF99" i="8"/>
  <c r="FE99" i="8" s="1"/>
  <c r="FF144" i="8"/>
  <c r="FE144" i="8" s="1"/>
  <c r="FF187" i="8"/>
  <c r="FE187" i="8" s="1"/>
  <c r="FF169" i="8"/>
  <c r="FE169" i="8" s="1"/>
  <c r="FF153" i="8"/>
  <c r="FE153" i="8" s="1"/>
  <c r="FF137" i="8"/>
  <c r="FE137" i="8" s="1"/>
  <c r="FF121" i="8"/>
  <c r="FE121" i="8" s="1"/>
  <c r="FF195" i="8"/>
  <c r="FE195" i="8" s="1"/>
  <c r="FF159" i="8"/>
  <c r="FE159" i="8" s="1"/>
  <c r="FF149" i="8"/>
  <c r="FE149" i="8" s="1"/>
  <c r="FF124" i="8"/>
  <c r="FE124" i="8" s="1"/>
  <c r="FF114" i="8"/>
  <c r="FE114" i="8" s="1"/>
  <c r="FF106" i="8"/>
  <c r="FE106" i="8" s="1"/>
  <c r="FF98" i="8"/>
  <c r="FE98" i="8" s="1"/>
  <c r="FF218" i="8"/>
  <c r="FE218" i="8" s="1"/>
  <c r="FF185" i="8"/>
  <c r="FE185" i="8" s="1"/>
  <c r="FF150" i="8"/>
  <c r="FE150" i="8" s="1"/>
  <c r="FF128" i="8"/>
  <c r="FE128" i="8" s="1"/>
  <c r="FF179" i="8"/>
  <c r="FE179" i="8" s="1"/>
  <c r="FF171" i="8"/>
  <c r="FE171" i="8" s="1"/>
  <c r="FF142" i="8"/>
  <c r="FE142" i="8" s="1"/>
  <c r="FF117" i="8"/>
  <c r="FE117" i="8" s="1"/>
  <c r="FF109" i="8"/>
  <c r="FE109" i="8" s="1"/>
  <c r="FF101" i="8"/>
  <c r="FE101" i="8" s="1"/>
  <c r="FF91" i="8"/>
  <c r="FE91" i="8" s="1"/>
  <c r="FF157" i="8"/>
  <c r="FE157" i="8" s="1"/>
  <c r="FF54" i="8"/>
  <c r="FF62" i="8"/>
  <c r="FE62" i="8" s="1"/>
  <c r="FF70" i="8"/>
  <c r="FE70" i="8" s="1"/>
  <c r="FF78" i="8"/>
  <c r="FE78" i="8" s="1"/>
  <c r="FF163" i="8"/>
  <c r="FE163" i="8" s="1"/>
  <c r="DO60" i="8"/>
  <c r="DN60" i="8" s="1"/>
  <c r="DO92" i="8"/>
  <c r="DN92" i="8" s="1"/>
  <c r="DO108" i="8"/>
  <c r="DN108" i="8" s="1"/>
  <c r="DO124" i="8"/>
  <c r="DN124" i="8" s="1"/>
  <c r="DO140" i="8"/>
  <c r="DN140" i="8" s="1"/>
  <c r="DO156" i="8"/>
  <c r="DN156" i="8" s="1"/>
  <c r="DO172" i="8"/>
  <c r="DN172" i="8" s="1"/>
  <c r="DO188" i="8"/>
  <c r="DN188" i="8" s="1"/>
  <c r="DO204" i="8"/>
  <c r="DN204" i="8" s="1"/>
  <c r="DO220" i="8"/>
  <c r="DN220" i="8" s="1"/>
  <c r="DO236" i="8"/>
  <c r="DN236" i="8" s="1"/>
  <c r="DO252" i="8"/>
  <c r="DN252" i="8" s="1"/>
  <c r="DO43" i="8"/>
  <c r="DN43" i="8" s="1"/>
  <c r="DO79" i="8"/>
  <c r="DN79" i="8" s="1"/>
  <c r="DO123" i="8"/>
  <c r="DN123" i="8" s="1"/>
  <c r="DO163" i="8"/>
  <c r="DN163" i="8" s="1"/>
  <c r="DO207" i="8"/>
  <c r="DN207" i="8" s="1"/>
  <c r="DO255" i="8"/>
  <c r="DN255" i="8" s="1"/>
  <c r="DO49" i="8"/>
  <c r="DN49" i="8" s="1"/>
  <c r="DO65" i="8"/>
  <c r="DN65" i="8" s="1"/>
  <c r="DO81" i="8"/>
  <c r="DN81" i="8" s="1"/>
  <c r="DO97" i="8"/>
  <c r="DN97" i="8" s="1"/>
  <c r="DO113" i="8"/>
  <c r="DN113" i="8" s="1"/>
  <c r="DO129" i="8"/>
  <c r="DN129" i="8" s="1"/>
  <c r="DO145" i="8"/>
  <c r="DN145" i="8" s="1"/>
  <c r="DO161" i="8"/>
  <c r="DN161" i="8" s="1"/>
  <c r="DO177" i="8"/>
  <c r="DN177" i="8" s="1"/>
  <c r="DO193" i="8"/>
  <c r="DN193" i="8" s="1"/>
  <c r="DO209" i="8"/>
  <c r="DN209" i="8" s="1"/>
  <c r="DO225" i="8"/>
  <c r="DN225" i="8" s="1"/>
  <c r="DO241" i="8"/>
  <c r="DN241" i="8" s="1"/>
  <c r="DO257" i="8"/>
  <c r="DN257" i="8" s="1"/>
  <c r="DO91" i="8"/>
  <c r="DN91" i="8" s="1"/>
  <c r="DO147" i="8"/>
  <c r="DN147" i="8" s="1"/>
  <c r="DO195" i="8"/>
  <c r="DN195" i="8" s="1"/>
  <c r="DO251" i="8"/>
  <c r="DN251" i="8" s="1"/>
  <c r="DO38" i="8"/>
  <c r="DN38" i="8" s="1"/>
  <c r="DO54" i="8"/>
  <c r="DO70" i="8"/>
  <c r="DN70" i="8" s="1"/>
  <c r="DO102" i="8"/>
  <c r="DN102" i="8" s="1"/>
  <c r="DO118" i="8"/>
  <c r="DN118" i="8" s="1"/>
  <c r="DO134" i="8"/>
  <c r="DN134" i="8" s="1"/>
  <c r="DO150" i="8"/>
  <c r="DN150" i="8" s="1"/>
  <c r="DO166" i="8"/>
  <c r="DN166" i="8" s="1"/>
  <c r="DO182" i="8"/>
  <c r="DN182" i="8" s="1"/>
  <c r="DO198" i="8"/>
  <c r="DN198" i="8" s="1"/>
  <c r="DO214" i="8"/>
  <c r="DN214" i="8" s="1"/>
  <c r="DO230" i="8"/>
  <c r="DN230" i="8" s="1"/>
  <c r="DO246" i="8"/>
  <c r="DN246" i="8" s="1"/>
  <c r="DO262" i="8"/>
  <c r="DN262" i="8" s="1"/>
  <c r="DO63" i="8"/>
  <c r="DN63" i="8" s="1"/>
  <c r="DO107" i="8"/>
  <c r="DN107" i="8" s="1"/>
  <c r="DO155" i="8"/>
  <c r="DN155" i="8" s="1"/>
  <c r="DO203" i="8"/>
  <c r="DN203" i="8" s="1"/>
  <c r="DO247" i="8"/>
  <c r="DN247" i="8" s="1"/>
  <c r="DO48" i="8"/>
  <c r="DN48" i="8" s="1"/>
  <c r="DO64" i="8"/>
  <c r="DN64" i="8" s="1"/>
  <c r="DO80" i="8"/>
  <c r="DN80" i="8" s="1"/>
  <c r="DO96" i="8"/>
  <c r="DN96" i="8" s="1"/>
  <c r="DO112" i="8"/>
  <c r="DN112" i="8" s="1"/>
  <c r="DO128" i="8"/>
  <c r="DN128" i="8" s="1"/>
  <c r="DO144" i="8"/>
  <c r="DN144" i="8" s="1"/>
  <c r="DO160" i="8"/>
  <c r="DN160" i="8" s="1"/>
  <c r="DO176" i="8"/>
  <c r="DN176" i="8" s="1"/>
  <c r="DO192" i="8"/>
  <c r="DN192" i="8" s="1"/>
  <c r="DO208" i="8"/>
  <c r="DN208" i="8" s="1"/>
  <c r="DO224" i="8"/>
  <c r="DN224" i="8" s="1"/>
  <c r="DO240" i="8"/>
  <c r="DN240" i="8" s="1"/>
  <c r="DO256" i="8"/>
  <c r="DN256" i="8" s="1"/>
  <c r="DO51" i="8"/>
  <c r="DN51" i="8" s="1"/>
  <c r="DO131" i="8"/>
  <c r="DN131" i="8" s="1"/>
  <c r="DO175" i="8"/>
  <c r="DN175" i="8" s="1"/>
  <c r="DO219" i="8"/>
  <c r="DN219" i="8" s="1"/>
  <c r="DO53" i="8"/>
  <c r="DN53" i="8" s="1"/>
  <c r="DO69" i="8"/>
  <c r="DN69" i="8" s="1"/>
  <c r="DO101" i="8"/>
  <c r="DN101" i="8" s="1"/>
  <c r="DO117" i="8"/>
  <c r="DN117" i="8" s="1"/>
  <c r="DO133" i="8"/>
  <c r="DN133" i="8" s="1"/>
  <c r="DO149" i="8"/>
  <c r="DN149" i="8" s="1"/>
  <c r="DO165" i="8"/>
  <c r="DN165" i="8" s="1"/>
  <c r="DO181" i="8"/>
  <c r="DN181" i="8" s="1"/>
  <c r="DO197" i="8"/>
  <c r="DN197" i="8" s="1"/>
  <c r="DO213" i="8"/>
  <c r="DN213" i="8" s="1"/>
  <c r="DO229" i="8"/>
  <c r="DN229" i="8" s="1"/>
  <c r="DO245" i="8"/>
  <c r="DN245" i="8" s="1"/>
  <c r="DO261" i="8"/>
  <c r="DN261" i="8" s="1"/>
  <c r="DO103" i="8"/>
  <c r="DN103" i="8" s="1"/>
  <c r="DO159" i="8"/>
  <c r="DN159" i="8" s="1"/>
  <c r="DO211" i="8"/>
  <c r="DN211" i="8" s="1"/>
  <c r="DO263" i="8"/>
  <c r="DN263" i="8" s="1"/>
  <c r="DO42" i="8"/>
  <c r="DN42" i="8" s="1"/>
  <c r="DO58" i="8"/>
  <c r="DN58" i="8" s="1"/>
  <c r="DO74" i="8"/>
  <c r="DN74" i="8" s="1"/>
  <c r="DO90" i="8"/>
  <c r="DN90" i="8" s="1"/>
  <c r="DO106" i="8"/>
  <c r="DN106" i="8" s="1"/>
  <c r="DO122" i="8"/>
  <c r="DN122" i="8" s="1"/>
  <c r="DO138" i="8"/>
  <c r="DN138" i="8" s="1"/>
  <c r="DO154" i="8"/>
  <c r="DN154" i="8" s="1"/>
  <c r="DO170" i="8"/>
  <c r="DN170" i="8" s="1"/>
  <c r="DO186" i="8"/>
  <c r="DN186" i="8" s="1"/>
  <c r="DO202" i="8"/>
  <c r="DN202" i="8" s="1"/>
  <c r="DO218" i="8"/>
  <c r="DN218" i="8" s="1"/>
  <c r="DO234" i="8"/>
  <c r="DN234" i="8" s="1"/>
  <c r="DO250" i="8"/>
  <c r="DN250" i="8" s="1"/>
  <c r="DO31" i="8"/>
  <c r="DN31" i="8" s="1"/>
  <c r="DO71" i="8"/>
  <c r="DN71" i="8" s="1"/>
  <c r="DO115" i="8"/>
  <c r="DN115" i="8" s="1"/>
  <c r="DO167" i="8"/>
  <c r="DN167" i="8" s="1"/>
  <c r="DO215" i="8"/>
  <c r="DN215" i="8" s="1"/>
  <c r="DO259" i="8"/>
  <c r="DN259" i="8" s="1"/>
  <c r="DO32" i="8"/>
  <c r="DO68" i="8"/>
  <c r="DN68" i="8" s="1"/>
  <c r="DO100" i="8"/>
  <c r="DN100" i="8" s="1"/>
  <c r="DO116" i="8"/>
  <c r="DN116" i="8" s="1"/>
  <c r="DO132" i="8"/>
  <c r="DN132" i="8" s="1"/>
  <c r="DO148" i="8"/>
  <c r="DN148" i="8" s="1"/>
  <c r="DO164" i="8"/>
  <c r="DN164" i="8" s="1"/>
  <c r="DO180" i="8"/>
  <c r="DN180" i="8" s="1"/>
  <c r="DO196" i="8"/>
  <c r="DN196" i="8" s="1"/>
  <c r="DO212" i="8"/>
  <c r="DN212" i="8" s="1"/>
  <c r="DO228" i="8"/>
  <c r="DN228" i="8" s="1"/>
  <c r="DO244" i="8"/>
  <c r="DN244" i="8" s="1"/>
  <c r="DO260" i="8"/>
  <c r="DN260" i="8" s="1"/>
  <c r="DO59" i="8"/>
  <c r="DN59" i="8" s="1"/>
  <c r="DO99" i="8"/>
  <c r="DN99" i="8" s="1"/>
  <c r="DO143" i="8"/>
  <c r="DN143" i="8" s="1"/>
  <c r="DO187" i="8"/>
  <c r="DN187" i="8" s="1"/>
  <c r="DO235" i="8"/>
  <c r="DN235" i="8" s="1"/>
  <c r="DO57" i="8"/>
  <c r="DN57" i="8" s="1"/>
  <c r="DO73" i="8"/>
  <c r="DN73" i="8" s="1"/>
  <c r="DO89" i="8"/>
  <c r="DN89" i="8" s="1"/>
  <c r="DO105" i="8"/>
  <c r="DN105" i="8" s="1"/>
  <c r="DO121" i="8"/>
  <c r="DN121" i="8" s="1"/>
  <c r="DO137" i="8"/>
  <c r="DN137" i="8" s="1"/>
  <c r="DO153" i="8"/>
  <c r="DN153" i="8" s="1"/>
  <c r="DO169" i="8"/>
  <c r="DN169" i="8" s="1"/>
  <c r="DO185" i="8"/>
  <c r="DN185" i="8" s="1"/>
  <c r="DO201" i="8"/>
  <c r="DN201" i="8" s="1"/>
  <c r="DO217" i="8"/>
  <c r="DN217" i="8" s="1"/>
  <c r="DO233" i="8"/>
  <c r="DN233" i="8" s="1"/>
  <c r="DO249" i="8"/>
  <c r="DN249" i="8" s="1"/>
  <c r="DO35" i="8"/>
  <c r="DN35" i="8" s="1"/>
  <c r="DO119" i="8"/>
  <c r="DN119" i="8" s="1"/>
  <c r="DO171" i="8"/>
  <c r="DN171" i="8" s="1"/>
  <c r="DO227" i="8"/>
  <c r="DN227" i="8" s="1"/>
  <c r="DO30" i="8"/>
  <c r="DO46" i="8"/>
  <c r="DN46" i="8" s="1"/>
  <c r="DO62" i="8"/>
  <c r="DN62" i="8" s="1"/>
  <c r="DO78" i="8"/>
  <c r="DN78" i="8" s="1"/>
  <c r="DO94" i="8"/>
  <c r="DN94" i="8" s="1"/>
  <c r="DO110" i="8"/>
  <c r="DN110" i="8" s="1"/>
  <c r="DO126" i="8"/>
  <c r="DN126" i="8" s="1"/>
  <c r="DO142" i="8"/>
  <c r="DN142" i="8" s="1"/>
  <c r="DO158" i="8"/>
  <c r="DN158" i="8" s="1"/>
  <c r="DO174" i="8"/>
  <c r="DN174" i="8" s="1"/>
  <c r="DO190" i="8"/>
  <c r="DN190" i="8" s="1"/>
  <c r="DO206" i="8"/>
  <c r="DN206" i="8" s="1"/>
  <c r="DO222" i="8"/>
  <c r="DN222" i="8" s="1"/>
  <c r="DO238" i="8"/>
  <c r="DN238" i="8" s="1"/>
  <c r="DO254" i="8"/>
  <c r="DN254" i="8" s="1"/>
  <c r="DO47" i="8"/>
  <c r="DN47" i="8" s="1"/>
  <c r="DO83" i="8"/>
  <c r="DN83" i="8" s="1"/>
  <c r="DO127" i="8"/>
  <c r="DN127" i="8" s="1"/>
  <c r="DO179" i="8"/>
  <c r="DN179" i="8" s="1"/>
  <c r="DO223" i="8"/>
  <c r="DN223" i="8" s="1"/>
  <c r="DO56" i="8"/>
  <c r="DN56" i="8" s="1"/>
  <c r="DO72" i="8"/>
  <c r="DN72" i="8" s="1"/>
  <c r="DO88" i="8"/>
  <c r="DN88" i="8" s="1"/>
  <c r="DO104" i="8"/>
  <c r="DN104" i="8" s="1"/>
  <c r="DO120" i="8"/>
  <c r="DN120" i="8" s="1"/>
  <c r="DO136" i="8"/>
  <c r="DN136" i="8" s="1"/>
  <c r="DO152" i="8"/>
  <c r="DN152" i="8" s="1"/>
  <c r="DO168" i="8"/>
  <c r="DN168" i="8" s="1"/>
  <c r="DO184" i="8"/>
  <c r="DN184" i="8" s="1"/>
  <c r="DO200" i="8"/>
  <c r="DN200" i="8" s="1"/>
  <c r="DO216" i="8"/>
  <c r="DN216" i="8" s="1"/>
  <c r="DO232" i="8"/>
  <c r="DN232" i="8" s="1"/>
  <c r="DO248" i="8"/>
  <c r="DN248" i="8" s="1"/>
  <c r="DO264" i="8"/>
  <c r="DN264" i="8" s="1"/>
  <c r="DO67" i="8"/>
  <c r="DN67" i="8" s="1"/>
  <c r="DO111" i="8"/>
  <c r="DN111" i="8" s="1"/>
  <c r="DO151" i="8"/>
  <c r="DN151" i="8" s="1"/>
  <c r="DO199" i="8"/>
  <c r="DN199" i="8" s="1"/>
  <c r="DO243" i="8"/>
  <c r="DN243" i="8" s="1"/>
  <c r="DO45" i="8"/>
  <c r="DN45" i="8" s="1"/>
  <c r="DO61" i="8"/>
  <c r="DN61" i="8" s="1"/>
  <c r="DO77" i="8"/>
  <c r="DN77" i="8" s="1"/>
  <c r="DO93" i="8"/>
  <c r="DN93" i="8" s="1"/>
  <c r="DO109" i="8"/>
  <c r="DN109" i="8" s="1"/>
  <c r="DO125" i="8"/>
  <c r="DN125" i="8" s="1"/>
  <c r="DO141" i="8"/>
  <c r="DN141" i="8" s="1"/>
  <c r="DO157" i="8"/>
  <c r="DN157" i="8" s="1"/>
  <c r="DO173" i="8"/>
  <c r="DN173" i="8" s="1"/>
  <c r="DO189" i="8"/>
  <c r="DN189" i="8" s="1"/>
  <c r="DO205" i="8"/>
  <c r="DN205" i="8" s="1"/>
  <c r="DO221" i="8"/>
  <c r="DN221" i="8" s="1"/>
  <c r="DO237" i="8"/>
  <c r="DN237" i="8" s="1"/>
  <c r="DO253" i="8"/>
  <c r="DN253" i="8" s="1"/>
  <c r="DO75" i="8"/>
  <c r="DN75" i="8" s="1"/>
  <c r="DO135" i="8"/>
  <c r="DN135" i="8" s="1"/>
  <c r="DO183" i="8"/>
  <c r="DN183" i="8" s="1"/>
  <c r="DO239" i="8"/>
  <c r="DN239" i="8" s="1"/>
  <c r="DO34" i="8"/>
  <c r="DO50" i="8"/>
  <c r="DN50" i="8" s="1"/>
  <c r="DO66" i="8"/>
  <c r="DN66" i="8" s="1"/>
  <c r="DO82" i="8"/>
  <c r="DN82" i="8" s="1"/>
  <c r="DO98" i="8"/>
  <c r="DN98" i="8" s="1"/>
  <c r="DO114" i="8"/>
  <c r="DN114" i="8" s="1"/>
  <c r="DO130" i="8"/>
  <c r="DN130" i="8" s="1"/>
  <c r="DO146" i="8"/>
  <c r="DN146" i="8" s="1"/>
  <c r="DO162" i="8"/>
  <c r="DN162" i="8" s="1"/>
  <c r="DO178" i="8"/>
  <c r="DN178" i="8" s="1"/>
  <c r="DO194" i="8"/>
  <c r="DN194" i="8" s="1"/>
  <c r="DO210" i="8"/>
  <c r="DN210" i="8" s="1"/>
  <c r="DO226" i="8"/>
  <c r="DN226" i="8" s="1"/>
  <c r="DO242" i="8"/>
  <c r="DN242" i="8" s="1"/>
  <c r="DO55" i="8"/>
  <c r="DN55" i="8" s="1"/>
  <c r="DO95" i="8"/>
  <c r="DN95" i="8" s="1"/>
  <c r="DO139" i="8"/>
  <c r="DN139" i="8" s="1"/>
  <c r="DO191" i="8"/>
  <c r="DN191" i="8" s="1"/>
  <c r="DO231" i="8"/>
  <c r="DN231" i="8" s="1"/>
  <c r="EF27" i="8"/>
  <c r="EY28" i="8"/>
  <c r="EZ28" i="8" s="1"/>
  <c r="GQ45" i="8" l="1"/>
  <c r="GR44" i="8"/>
  <c r="FX46" i="8"/>
  <c r="EY29" i="8"/>
  <c r="EZ29" i="8" s="1"/>
  <c r="EF28" i="8"/>
  <c r="GQ46" i="8" l="1"/>
  <c r="GR45" i="8"/>
  <c r="FX47" i="8"/>
  <c r="EF29" i="8"/>
  <c r="EY30" i="8"/>
  <c r="EZ30" i="8" s="1"/>
  <c r="GQ47" i="8" l="1"/>
  <c r="GR46" i="8"/>
  <c r="FX48" i="8"/>
  <c r="EY31" i="8"/>
  <c r="EZ31" i="8" s="1"/>
  <c r="EF30" i="8"/>
  <c r="GQ48" i="8" l="1"/>
  <c r="GR47" i="8"/>
  <c r="FX49" i="8"/>
  <c r="EY32" i="8"/>
  <c r="EZ32" i="8" s="1"/>
  <c r="EF31" i="8"/>
  <c r="GQ49" i="8" l="1"/>
  <c r="GR48" i="8"/>
  <c r="FX50" i="8"/>
  <c r="EF32" i="8"/>
  <c r="EY33" i="8"/>
  <c r="EZ33" i="8" s="1"/>
  <c r="GQ50" i="8" l="1"/>
  <c r="GR49" i="8"/>
  <c r="FX51" i="8"/>
  <c r="EF33" i="8"/>
  <c r="EY34" i="8"/>
  <c r="EZ34" i="8" s="1"/>
  <c r="GQ51" i="8" l="1"/>
  <c r="GR50" i="8"/>
  <c r="FX52" i="8"/>
  <c r="EY35" i="8"/>
  <c r="EZ35" i="8" s="1"/>
  <c r="EF34" i="8"/>
  <c r="GQ52" i="8" l="1"/>
  <c r="GR51" i="8"/>
  <c r="FX53" i="8"/>
  <c r="EF35" i="8"/>
  <c r="EY36" i="8"/>
  <c r="EZ36" i="8" s="1"/>
  <c r="GQ53" i="8" l="1"/>
  <c r="GR52" i="8"/>
  <c r="FX54" i="8"/>
  <c r="EF36" i="8"/>
  <c r="EY37" i="8"/>
  <c r="EZ37" i="8" s="1"/>
  <c r="GQ54" i="8" l="1"/>
  <c r="GR53" i="8"/>
  <c r="FX55" i="8"/>
  <c r="EY38" i="8"/>
  <c r="EZ38" i="8" s="1"/>
  <c r="EF37" i="8"/>
  <c r="GQ55" i="8" l="1"/>
  <c r="GR54" i="8"/>
  <c r="FX56" i="8"/>
  <c r="EF38" i="8"/>
  <c r="EY39" i="8"/>
  <c r="EZ39" i="8" s="1"/>
  <c r="GQ56" i="8" l="1"/>
  <c r="GR55" i="8"/>
  <c r="FX57" i="8"/>
  <c r="EY40" i="8"/>
  <c r="EZ40" i="8" s="1"/>
  <c r="EF39" i="8"/>
  <c r="GQ57" i="8" l="1"/>
  <c r="GR56" i="8"/>
  <c r="FX58" i="8"/>
  <c r="EF40" i="8"/>
  <c r="EY41" i="8"/>
  <c r="EZ41" i="8" s="1"/>
  <c r="GQ58" i="8" l="1"/>
  <c r="GR57" i="8"/>
  <c r="FX59" i="8"/>
  <c r="EY42" i="8"/>
  <c r="EZ42" i="8" s="1"/>
  <c r="EF41" i="8"/>
  <c r="GQ59" i="8" l="1"/>
  <c r="GR58" i="8"/>
  <c r="FX60" i="8"/>
  <c r="EF42" i="8"/>
  <c r="EY43" i="8"/>
  <c r="EZ43" i="8" s="1"/>
  <c r="GQ60" i="8" l="1"/>
  <c r="GR59" i="8"/>
  <c r="FX61" i="8"/>
  <c r="EF43" i="8"/>
  <c r="EY44" i="8"/>
  <c r="EZ44" i="8" s="1"/>
  <c r="GQ61" i="8" l="1"/>
  <c r="GR60" i="8"/>
  <c r="FX62" i="8"/>
  <c r="EY45" i="8"/>
  <c r="EZ45" i="8" s="1"/>
  <c r="EF44" i="8"/>
  <c r="GQ62" i="8" l="1"/>
  <c r="GR61" i="8"/>
  <c r="FX63" i="8"/>
  <c r="EY46" i="8"/>
  <c r="EZ46" i="8" s="1"/>
  <c r="EF45" i="8"/>
  <c r="GQ63" i="8" l="1"/>
  <c r="GR62" i="8"/>
  <c r="FX64" i="8"/>
  <c r="EF46" i="8"/>
  <c r="EY47" i="8"/>
  <c r="EZ47" i="8" s="1"/>
  <c r="GQ64" i="8" l="1"/>
  <c r="GR63" i="8"/>
  <c r="FX65" i="8"/>
  <c r="EY48" i="8"/>
  <c r="EZ48" i="8" s="1"/>
  <c r="EF47" i="8"/>
  <c r="GQ65" i="8" l="1"/>
  <c r="GR64" i="8"/>
  <c r="FX66" i="8"/>
  <c r="EY49" i="8"/>
  <c r="EZ49" i="8" s="1"/>
  <c r="EF48" i="8"/>
  <c r="GQ66" i="8" l="1"/>
  <c r="GR65" i="8"/>
  <c r="FX67" i="8"/>
  <c r="EF49" i="8"/>
  <c r="EY50" i="8"/>
  <c r="EZ50" i="8" s="1"/>
  <c r="GQ67" i="8" l="1"/>
  <c r="GR66" i="8"/>
  <c r="FX68" i="8"/>
  <c r="EY51" i="8"/>
  <c r="EZ51" i="8" s="1"/>
  <c r="EF50" i="8"/>
  <c r="GQ68" i="8" l="1"/>
  <c r="GR67" i="8"/>
  <c r="FX69" i="8"/>
  <c r="EY52" i="8"/>
  <c r="EZ52" i="8" s="1"/>
  <c r="EF51" i="8"/>
  <c r="CR16" i="8"/>
  <c r="DC266" i="8"/>
  <c r="CO24" i="8"/>
  <c r="DG25" i="8"/>
  <c r="DG26" i="8" s="1"/>
  <c r="DH26" i="8" s="1"/>
  <c r="CU23" i="8"/>
  <c r="CT23" i="8"/>
  <c r="CY1" i="8"/>
  <c r="CN24" i="8" s="1"/>
  <c r="CN25" i="8" s="1"/>
  <c r="CN26" i="8" s="1"/>
  <c r="GQ69" i="8" l="1"/>
  <c r="GR68" i="8"/>
  <c r="FX70" i="8"/>
  <c r="EF52" i="8"/>
  <c r="EY53" i="8"/>
  <c r="EZ53" i="8" s="1"/>
  <c r="CN27" i="8"/>
  <c r="DG27" i="8"/>
  <c r="DH27" i="8" s="1"/>
  <c r="GQ70" i="8" l="1"/>
  <c r="GR69" i="8"/>
  <c r="FX71" i="8"/>
  <c r="EY54" i="8"/>
  <c r="EZ54" i="8" s="1"/>
  <c r="EF53" i="8"/>
  <c r="DG28" i="8"/>
  <c r="DH28" i="8" s="1"/>
  <c r="CN28" i="8"/>
  <c r="GQ71" i="8" l="1"/>
  <c r="GR70" i="8"/>
  <c r="FX72" i="8"/>
  <c r="EF54" i="8"/>
  <c r="EY55" i="8"/>
  <c r="EZ55" i="8" s="1"/>
  <c r="CN29" i="8"/>
  <c r="DG29" i="8"/>
  <c r="DH29" i="8" s="1"/>
  <c r="GQ72" i="8" l="1"/>
  <c r="GR71" i="8"/>
  <c r="FX73" i="8"/>
  <c r="EF55" i="8"/>
  <c r="EY56" i="8"/>
  <c r="EZ56" i="8" s="1"/>
  <c r="DG30" i="8"/>
  <c r="DH30" i="8" s="1"/>
  <c r="CN30" i="8"/>
  <c r="GQ73" i="8" l="1"/>
  <c r="GR72" i="8"/>
  <c r="FX74" i="8"/>
  <c r="EY57" i="8"/>
  <c r="EZ57" i="8" s="1"/>
  <c r="EF56" i="8"/>
  <c r="DG31" i="8"/>
  <c r="DH31" i="8" s="1"/>
  <c r="CN31" i="8"/>
  <c r="GQ74" i="8" l="1"/>
  <c r="GR73" i="8"/>
  <c r="FX75" i="8"/>
  <c r="EY58" i="8"/>
  <c r="EZ58" i="8" s="1"/>
  <c r="EF57" i="8"/>
  <c r="DG32" i="8"/>
  <c r="DH32" i="8" s="1"/>
  <c r="CN32" i="8"/>
  <c r="GQ75" i="8" l="1"/>
  <c r="GR74" i="8"/>
  <c r="FX76" i="8"/>
  <c r="EF58" i="8"/>
  <c r="EY59" i="8"/>
  <c r="EZ59" i="8" s="1"/>
  <c r="CN33" i="8"/>
  <c r="DG33" i="8"/>
  <c r="DH33" i="8" s="1"/>
  <c r="GQ76" i="8" l="1"/>
  <c r="GR75" i="8"/>
  <c r="FX77" i="8"/>
  <c r="EY60" i="8"/>
  <c r="EZ60" i="8" s="1"/>
  <c r="EF59" i="8"/>
  <c r="DG34" i="8"/>
  <c r="DH34" i="8" s="1"/>
  <c r="CN34" i="8"/>
  <c r="GQ77" i="8" l="1"/>
  <c r="GR76" i="8"/>
  <c r="FX78" i="8"/>
  <c r="EY61" i="8"/>
  <c r="EZ61" i="8" s="1"/>
  <c r="EF60" i="8"/>
  <c r="CN35" i="8"/>
  <c r="DG35" i="8"/>
  <c r="DH35" i="8" s="1"/>
  <c r="GQ78" i="8" l="1"/>
  <c r="GR77" i="8"/>
  <c r="FX79" i="8"/>
  <c r="EY62" i="8"/>
  <c r="EZ62" i="8" s="1"/>
  <c r="EF61" i="8"/>
  <c r="CN36" i="8"/>
  <c r="DG36" i="8"/>
  <c r="DH36" i="8" s="1"/>
  <c r="GQ79" i="8" l="1"/>
  <c r="GR78" i="8"/>
  <c r="FX80" i="8"/>
  <c r="EF62" i="8"/>
  <c r="EY63" i="8"/>
  <c r="EZ63" i="8" s="1"/>
  <c r="CN37" i="8"/>
  <c r="DG37" i="8"/>
  <c r="GQ80" i="8" l="1"/>
  <c r="GR79" i="8"/>
  <c r="FX81" i="8"/>
  <c r="EF63" i="8"/>
  <c r="EY64" i="8"/>
  <c r="EZ64" i="8" s="1"/>
  <c r="DG38" i="8"/>
  <c r="DH38" i="8" s="1"/>
  <c r="CN38" i="8"/>
  <c r="GQ81" i="8" l="1"/>
  <c r="GR80" i="8"/>
  <c r="FX82" i="8"/>
  <c r="EF64" i="8"/>
  <c r="EY65" i="8"/>
  <c r="EZ65" i="8" s="1"/>
  <c r="DG39" i="8"/>
  <c r="DH39" i="8" s="1"/>
  <c r="CN39" i="8"/>
  <c r="GQ82" i="8" l="1"/>
  <c r="GR81" i="8"/>
  <c r="FX83" i="8"/>
  <c r="EY66" i="8"/>
  <c r="EZ66" i="8" s="1"/>
  <c r="EF65" i="8"/>
  <c r="CN40" i="8"/>
  <c r="DG40" i="8"/>
  <c r="DH40" i="8" s="1"/>
  <c r="GQ83" i="8" l="1"/>
  <c r="GR82" i="8"/>
  <c r="FX84" i="8"/>
  <c r="EY67" i="8"/>
  <c r="EZ67" i="8" s="1"/>
  <c r="EF66" i="8"/>
  <c r="CN41" i="8"/>
  <c r="DG41" i="8"/>
  <c r="DH41" i="8" s="1"/>
  <c r="GQ84" i="8" l="1"/>
  <c r="GR83" i="8"/>
  <c r="FX85" i="8"/>
  <c r="EF67" i="8"/>
  <c r="EY68" i="8"/>
  <c r="EZ68" i="8" s="1"/>
  <c r="CN42" i="8"/>
  <c r="DG42" i="8"/>
  <c r="DH42" i="8" s="1"/>
  <c r="GQ85" i="8" l="1"/>
  <c r="GR84" i="8"/>
  <c r="FX86" i="8"/>
  <c r="EF68" i="8"/>
  <c r="EY69" i="8"/>
  <c r="EZ69" i="8" s="1"/>
  <c r="CN43" i="8"/>
  <c r="DG43" i="8"/>
  <c r="DH43" i="8" s="1"/>
  <c r="GQ86" i="8" l="1"/>
  <c r="GR85" i="8"/>
  <c r="FX87" i="8"/>
  <c r="EF69" i="8"/>
  <c r="EY70" i="8"/>
  <c r="EZ70" i="8" s="1"/>
  <c r="DG44" i="8"/>
  <c r="DH44" i="8" s="1"/>
  <c r="CN44" i="8"/>
  <c r="GQ87" i="8" l="1"/>
  <c r="GR86" i="8"/>
  <c r="FX88" i="8"/>
  <c r="EY71" i="8"/>
  <c r="EZ71" i="8" s="1"/>
  <c r="EF70" i="8"/>
  <c r="DG45" i="8"/>
  <c r="DH45" i="8" s="1"/>
  <c r="CN45" i="8"/>
  <c r="GQ88" i="8" l="1"/>
  <c r="GR87" i="8"/>
  <c r="FX89" i="8"/>
  <c r="EF71" i="8"/>
  <c r="EY72" i="8"/>
  <c r="EZ72" i="8" s="1"/>
  <c r="DG46" i="8"/>
  <c r="DH46" i="8" s="1"/>
  <c r="CN46" i="8"/>
  <c r="GQ89" i="8" l="1"/>
  <c r="GR88" i="8"/>
  <c r="FX90" i="8"/>
  <c r="EY73" i="8"/>
  <c r="EZ73" i="8" s="1"/>
  <c r="EF72" i="8"/>
  <c r="CN47" i="8"/>
  <c r="DG47" i="8"/>
  <c r="DH47" i="8" s="1"/>
  <c r="GQ90" i="8" l="1"/>
  <c r="GR89" i="8"/>
  <c r="FX91" i="8"/>
  <c r="EF73" i="8"/>
  <c r="EY74" i="8"/>
  <c r="EZ74" i="8" s="1"/>
  <c r="CN48" i="8"/>
  <c r="DG48" i="8"/>
  <c r="DH48" i="8" s="1"/>
  <c r="GQ91" i="8" l="1"/>
  <c r="GR90" i="8"/>
  <c r="FX92" i="8"/>
  <c r="EY75" i="8"/>
  <c r="EZ75" i="8" s="1"/>
  <c r="EF74" i="8"/>
  <c r="DG49" i="8"/>
  <c r="CN49" i="8"/>
  <c r="GQ92" i="8" l="1"/>
  <c r="GR91" i="8"/>
  <c r="FX93" i="8"/>
  <c r="EF75" i="8"/>
  <c r="EY76" i="8"/>
  <c r="EZ76" i="8" s="1"/>
  <c r="CN50" i="8"/>
  <c r="DG50" i="8"/>
  <c r="DH50" i="8" s="1"/>
  <c r="GQ93" i="8" l="1"/>
  <c r="GR92" i="8"/>
  <c r="FX94" i="8"/>
  <c r="EY77" i="8"/>
  <c r="EZ77" i="8" s="1"/>
  <c r="EF76" i="8"/>
  <c r="CN51" i="8"/>
  <c r="DG51" i="8"/>
  <c r="DH51" i="8" s="1"/>
  <c r="GQ94" i="8" l="1"/>
  <c r="GR93" i="8"/>
  <c r="FX95" i="8"/>
  <c r="EY78" i="8"/>
  <c r="EZ78" i="8" s="1"/>
  <c r="EF77" i="8"/>
  <c r="DG52" i="8"/>
  <c r="DH52" i="8" s="1"/>
  <c r="CN52" i="8"/>
  <c r="GQ95" i="8" l="1"/>
  <c r="GR94" i="8"/>
  <c r="FX96" i="8"/>
  <c r="EF78" i="8"/>
  <c r="EY79" i="8"/>
  <c r="EZ79" i="8" s="1"/>
  <c r="DG53" i="8"/>
  <c r="DH53" i="8" s="1"/>
  <c r="CN53" i="8"/>
  <c r="GQ96" i="8" l="1"/>
  <c r="GR95" i="8"/>
  <c r="FX97" i="8"/>
  <c r="EF79" i="8"/>
  <c r="EY80" i="8"/>
  <c r="EZ80" i="8" s="1"/>
  <c r="DG54" i="8"/>
  <c r="DH54" i="8" s="1"/>
  <c r="CN54" i="8"/>
  <c r="GQ97" i="8" l="1"/>
  <c r="GR96" i="8"/>
  <c r="FX98" i="8"/>
  <c r="EY81" i="8"/>
  <c r="EZ81" i="8" s="1"/>
  <c r="EF80" i="8"/>
  <c r="CN55" i="8"/>
  <c r="DG55" i="8"/>
  <c r="DH55" i="8" s="1"/>
  <c r="GQ98" i="8" l="1"/>
  <c r="GR97" i="8"/>
  <c r="FX99" i="8"/>
  <c r="EY82" i="8"/>
  <c r="EZ82" i="8" s="1"/>
  <c r="EF81" i="8"/>
  <c r="DG56" i="8"/>
  <c r="DH56" i="8" s="1"/>
  <c r="CN56" i="8"/>
  <c r="GQ99" i="8" l="1"/>
  <c r="GR98" i="8"/>
  <c r="FX100" i="8"/>
  <c r="EF82" i="8"/>
  <c r="EY83" i="8"/>
  <c r="EZ83" i="8" s="1"/>
  <c r="CN57" i="8"/>
  <c r="DG57" i="8"/>
  <c r="DH57" i="8" s="1"/>
  <c r="GQ100" i="8" l="1"/>
  <c r="GR99" i="8"/>
  <c r="FX101" i="8"/>
  <c r="EY84" i="8"/>
  <c r="EZ84" i="8" s="1"/>
  <c r="EF83" i="8"/>
  <c r="CN58" i="8"/>
  <c r="DG58" i="8"/>
  <c r="DH58" i="8" s="1"/>
  <c r="GQ101" i="8" l="1"/>
  <c r="GR100" i="8"/>
  <c r="FX102" i="8"/>
  <c r="EY85" i="8"/>
  <c r="EZ85" i="8" s="1"/>
  <c r="EF84" i="8"/>
  <c r="DG59" i="8"/>
  <c r="DH59" i="8" s="1"/>
  <c r="CN59" i="8"/>
  <c r="GQ102" i="8" l="1"/>
  <c r="GR101" i="8"/>
  <c r="FX103" i="8"/>
  <c r="EF85" i="8"/>
  <c r="EY86" i="8"/>
  <c r="EZ86" i="8" s="1"/>
  <c r="DG60" i="8"/>
  <c r="DH60" i="8" s="1"/>
  <c r="CN60" i="8"/>
  <c r="GQ103" i="8" l="1"/>
  <c r="GR102" i="8"/>
  <c r="FX104" i="8"/>
  <c r="EY87" i="8"/>
  <c r="EZ87" i="8" s="1"/>
  <c r="EF86" i="8"/>
  <c r="DG61" i="8"/>
  <c r="CN61" i="8"/>
  <c r="GQ104" i="8" l="1"/>
  <c r="GR103" i="8"/>
  <c r="FX105" i="8"/>
  <c r="EF87" i="8"/>
  <c r="EY88" i="8"/>
  <c r="EZ88" i="8" s="1"/>
  <c r="CN62" i="8"/>
  <c r="DG62" i="8"/>
  <c r="DH62" i="8" s="1"/>
  <c r="GQ105" i="8" l="1"/>
  <c r="GR104" i="8"/>
  <c r="FX106" i="8"/>
  <c r="EY89" i="8"/>
  <c r="EZ89" i="8" s="1"/>
  <c r="EF88" i="8"/>
  <c r="CN63" i="8"/>
  <c r="DG63" i="8"/>
  <c r="DH63" i="8" s="1"/>
  <c r="GQ106" i="8" l="1"/>
  <c r="GR105" i="8"/>
  <c r="FX107" i="8"/>
  <c r="EF89" i="8"/>
  <c r="EY90" i="8"/>
  <c r="EZ90" i="8" s="1"/>
  <c r="CN64" i="8"/>
  <c r="DG64" i="8"/>
  <c r="DH64" i="8" s="1"/>
  <c r="GQ107" i="8" l="1"/>
  <c r="GR106" i="8"/>
  <c r="FX108" i="8"/>
  <c r="EF90" i="8"/>
  <c r="EY91" i="8"/>
  <c r="EZ91" i="8" s="1"/>
  <c r="DG65" i="8"/>
  <c r="DH65" i="8" s="1"/>
  <c r="CN65" i="8"/>
  <c r="GQ108" i="8" l="1"/>
  <c r="GR107" i="8"/>
  <c r="FX109" i="8"/>
  <c r="EY92" i="8"/>
  <c r="EZ92" i="8" s="1"/>
  <c r="EF91" i="8"/>
  <c r="DG66" i="8"/>
  <c r="DH66" i="8" s="1"/>
  <c r="CN66" i="8"/>
  <c r="GQ109" i="8" l="1"/>
  <c r="GR108" i="8"/>
  <c r="FX110" i="8"/>
  <c r="EF92" i="8"/>
  <c r="EY93" i="8"/>
  <c r="EZ93" i="8" s="1"/>
  <c r="DG67" i="8"/>
  <c r="DH67" i="8" s="1"/>
  <c r="CN67" i="8"/>
  <c r="GQ110" i="8" l="1"/>
  <c r="GR109" i="8"/>
  <c r="FX111" i="8"/>
  <c r="EY94" i="8"/>
  <c r="EZ94" i="8" s="1"/>
  <c r="EF93" i="8"/>
  <c r="DG68" i="8"/>
  <c r="DH68" i="8" s="1"/>
  <c r="CN68" i="8"/>
  <c r="GQ111" i="8" l="1"/>
  <c r="GR110" i="8"/>
  <c r="FX112" i="8"/>
  <c r="EY95" i="8"/>
  <c r="EZ95" i="8" s="1"/>
  <c r="EF94" i="8"/>
  <c r="CN69" i="8"/>
  <c r="DG69" i="8"/>
  <c r="DH69" i="8" s="1"/>
  <c r="GQ112" i="8" l="1"/>
  <c r="GR111" i="8"/>
  <c r="FX113" i="8"/>
  <c r="EF95" i="8"/>
  <c r="EY96" i="8"/>
  <c r="EZ96" i="8" s="1"/>
  <c r="DG70" i="8"/>
  <c r="DH70" i="8" s="1"/>
  <c r="CN70" i="8"/>
  <c r="GQ113" i="8" l="1"/>
  <c r="GR112" i="8"/>
  <c r="FX114" i="8"/>
  <c r="EY97" i="8"/>
  <c r="EZ97" i="8" s="1"/>
  <c r="EF96" i="8"/>
  <c r="CN71" i="8"/>
  <c r="DG71" i="8"/>
  <c r="DH71" i="8" s="1"/>
  <c r="GQ114" i="8" l="1"/>
  <c r="GR113" i="8"/>
  <c r="FX115" i="8"/>
  <c r="EF97" i="8"/>
  <c r="EY98" i="8"/>
  <c r="EZ98" i="8" s="1"/>
  <c r="DG72" i="8"/>
  <c r="DH72" i="8" s="1"/>
  <c r="CN72" i="8"/>
  <c r="GQ115" i="8" l="1"/>
  <c r="GR114" i="8"/>
  <c r="FX116" i="8"/>
  <c r="EY99" i="8"/>
  <c r="EZ99" i="8" s="1"/>
  <c r="EF98" i="8"/>
  <c r="CN73" i="8"/>
  <c r="DG73" i="8"/>
  <c r="GQ116" i="8" l="1"/>
  <c r="GR115" i="8"/>
  <c r="FX117" i="8"/>
  <c r="EF99" i="8"/>
  <c r="EY100" i="8"/>
  <c r="EZ100" i="8" s="1"/>
  <c r="CN74" i="8"/>
  <c r="DG74" i="8"/>
  <c r="DH74" i="8" s="1"/>
  <c r="GQ117" i="8" l="1"/>
  <c r="GR116" i="8"/>
  <c r="FX118" i="8"/>
  <c r="EY101" i="8"/>
  <c r="EZ101" i="8" s="1"/>
  <c r="EF100" i="8"/>
  <c r="CN75" i="8"/>
  <c r="DG75" i="8"/>
  <c r="DH75" i="8" s="1"/>
  <c r="GQ118" i="8" l="1"/>
  <c r="GR117" i="8"/>
  <c r="FX119" i="8"/>
  <c r="EY102" i="8"/>
  <c r="EZ102" i="8" s="1"/>
  <c r="EF101" i="8"/>
  <c r="DG76" i="8"/>
  <c r="DH76" i="8" s="1"/>
  <c r="CN76" i="8"/>
  <c r="GQ119" i="8" l="1"/>
  <c r="GR118" i="8"/>
  <c r="FX120" i="8"/>
  <c r="EY103" i="8"/>
  <c r="EZ103" i="8" s="1"/>
  <c r="EF102" i="8"/>
  <c r="DG77" i="8"/>
  <c r="DH77" i="8" s="1"/>
  <c r="CN77" i="8"/>
  <c r="GQ120" i="8" l="1"/>
  <c r="GR119" i="8"/>
  <c r="FX121" i="8"/>
  <c r="EF103" i="8"/>
  <c r="EY104" i="8"/>
  <c r="EZ104" i="8" s="1"/>
  <c r="CN78" i="8"/>
  <c r="DG78" i="8"/>
  <c r="DH78" i="8" s="1"/>
  <c r="GQ121" i="8" l="1"/>
  <c r="GR120" i="8"/>
  <c r="FX122" i="8"/>
  <c r="EY105" i="8"/>
  <c r="EZ105" i="8" s="1"/>
  <c r="EF104" i="8"/>
  <c r="DG79" i="8"/>
  <c r="DH79" i="8" s="1"/>
  <c r="CN79" i="8"/>
  <c r="GQ122" i="8" l="1"/>
  <c r="GR121" i="8"/>
  <c r="FX123" i="8"/>
  <c r="EF105" i="8"/>
  <c r="EY106" i="8"/>
  <c r="EZ106" i="8" s="1"/>
  <c r="CN80" i="8"/>
  <c r="DG80" i="8"/>
  <c r="DH80" i="8" s="1"/>
  <c r="GQ123" i="8" l="1"/>
  <c r="GR122" i="8"/>
  <c r="FX124" i="8"/>
  <c r="EF106" i="8"/>
  <c r="EY107" i="8"/>
  <c r="EZ107" i="8" s="1"/>
  <c r="CN81" i="8"/>
  <c r="DG81" i="8"/>
  <c r="DH81" i="8" s="1"/>
  <c r="GQ124" i="8" l="1"/>
  <c r="GR123" i="8"/>
  <c r="FX125" i="8"/>
  <c r="EF107" i="8"/>
  <c r="EY108" i="8"/>
  <c r="EZ108" i="8" s="1"/>
  <c r="DG82" i="8"/>
  <c r="DH82" i="8" s="1"/>
  <c r="CN82" i="8"/>
  <c r="GQ125" i="8" l="1"/>
  <c r="GR124" i="8"/>
  <c r="FX126" i="8"/>
  <c r="EF108" i="8"/>
  <c r="EY109" i="8"/>
  <c r="EZ109" i="8" s="1"/>
  <c r="DG83" i="8"/>
  <c r="DH83" i="8" s="1"/>
  <c r="CN83" i="8"/>
  <c r="GQ126" i="8" l="1"/>
  <c r="GR125" i="8"/>
  <c r="FX127" i="8"/>
  <c r="EY110" i="8"/>
  <c r="EZ110" i="8" s="1"/>
  <c r="EF109" i="8"/>
  <c r="DG84" i="8"/>
  <c r="DH84" i="8" s="1"/>
  <c r="CN84" i="8"/>
  <c r="GQ127" i="8" l="1"/>
  <c r="GR126" i="8"/>
  <c r="FX128" i="8"/>
  <c r="EF110" i="8"/>
  <c r="EY111" i="8"/>
  <c r="EZ111" i="8" s="1"/>
  <c r="DG85" i="8"/>
  <c r="CN85" i="8"/>
  <c r="GQ128" i="8" l="1"/>
  <c r="GR127" i="8"/>
  <c r="FX129" i="8"/>
  <c r="EF111" i="8"/>
  <c r="EY112" i="8"/>
  <c r="EZ112" i="8" s="1"/>
  <c r="DG86" i="8"/>
  <c r="DH86" i="8" s="1"/>
  <c r="CN86" i="8"/>
  <c r="GQ129" i="8" l="1"/>
  <c r="GR128" i="8"/>
  <c r="FX130" i="8"/>
  <c r="EF112" i="8"/>
  <c r="EY113" i="8"/>
  <c r="EZ113" i="8" s="1"/>
  <c r="CN87" i="8"/>
  <c r="DG87" i="8"/>
  <c r="DH87" i="8" s="1"/>
  <c r="GQ130" i="8" l="1"/>
  <c r="GR129" i="8"/>
  <c r="FX131" i="8"/>
  <c r="EF113" i="8"/>
  <c r="EY114" i="8"/>
  <c r="EZ114" i="8" s="1"/>
  <c r="CN88" i="8"/>
  <c r="DG88" i="8"/>
  <c r="DH88" i="8" s="1"/>
  <c r="GQ131" i="8" l="1"/>
  <c r="GR130" i="8"/>
  <c r="FX132" i="8"/>
  <c r="EF114" i="8"/>
  <c r="EY115" i="8"/>
  <c r="EZ115" i="8" s="1"/>
  <c r="DG89" i="8"/>
  <c r="DH89" i="8" s="1"/>
  <c r="CN89" i="8"/>
  <c r="GQ132" i="8" l="1"/>
  <c r="GR131" i="8"/>
  <c r="FX133" i="8"/>
  <c r="EY116" i="8"/>
  <c r="EZ116" i="8" s="1"/>
  <c r="EF115" i="8"/>
  <c r="CN90" i="8"/>
  <c r="DG90" i="8"/>
  <c r="DH90" i="8" s="1"/>
  <c r="GQ133" i="8" l="1"/>
  <c r="GR132" i="8"/>
  <c r="FX134" i="8"/>
  <c r="EF116" i="8"/>
  <c r="EY117" i="8"/>
  <c r="EZ117" i="8" s="1"/>
  <c r="DG91" i="8"/>
  <c r="DH91" i="8" s="1"/>
  <c r="CN91" i="8"/>
  <c r="GQ134" i="8" l="1"/>
  <c r="GR133" i="8"/>
  <c r="FX135" i="8"/>
  <c r="EF117" i="8"/>
  <c r="EY118" i="8"/>
  <c r="EZ118" i="8" s="1"/>
  <c r="CN92" i="8"/>
  <c r="DG92" i="8"/>
  <c r="DH92" i="8" s="1"/>
  <c r="GQ135" i="8" l="1"/>
  <c r="GR134" i="8"/>
  <c r="FX136" i="8"/>
  <c r="EY119" i="8"/>
  <c r="EZ119" i="8" s="1"/>
  <c r="EF118" i="8"/>
  <c r="DG93" i="8"/>
  <c r="DH93" i="8" s="1"/>
  <c r="CN93" i="8"/>
  <c r="GQ136" i="8" l="1"/>
  <c r="GR135" i="8"/>
  <c r="FX137" i="8"/>
  <c r="EF119" i="8"/>
  <c r="EY120" i="8"/>
  <c r="EZ120" i="8" s="1"/>
  <c r="CN94" i="8"/>
  <c r="DG94" i="8"/>
  <c r="DH94" i="8" s="1"/>
  <c r="GQ137" i="8" l="1"/>
  <c r="GR136" i="8"/>
  <c r="FX138" i="8"/>
  <c r="EF120" i="8"/>
  <c r="EY121" i="8"/>
  <c r="EZ121" i="8" s="1"/>
  <c r="CN95" i="8"/>
  <c r="DG95" i="8"/>
  <c r="DH95" i="8" s="1"/>
  <c r="GQ138" i="8" l="1"/>
  <c r="GR137" i="8"/>
  <c r="FX139" i="8"/>
  <c r="EF121" i="8"/>
  <c r="EY122" i="8"/>
  <c r="EZ122" i="8" s="1"/>
  <c r="CN96" i="8"/>
  <c r="DG96" i="8"/>
  <c r="DH96" i="8" s="1"/>
  <c r="GQ139" i="8" l="1"/>
  <c r="GR138" i="8"/>
  <c r="FX140" i="8"/>
  <c r="EF122" i="8"/>
  <c r="EY123" i="8"/>
  <c r="EZ123" i="8" s="1"/>
  <c r="CN97" i="8"/>
  <c r="DG97" i="8"/>
  <c r="GQ140" i="8" l="1"/>
  <c r="GR139" i="8"/>
  <c r="FX141" i="8"/>
  <c r="EY124" i="8"/>
  <c r="EZ124" i="8" s="1"/>
  <c r="EF123" i="8"/>
  <c r="DG98" i="8"/>
  <c r="DH98" i="8" s="1"/>
  <c r="CN98" i="8"/>
  <c r="GQ141" i="8" l="1"/>
  <c r="GR140" i="8"/>
  <c r="FX142" i="8"/>
  <c r="EF124" i="8"/>
  <c r="EY125" i="8"/>
  <c r="EZ125" i="8" s="1"/>
  <c r="CN99" i="8"/>
  <c r="DG99" i="8"/>
  <c r="DH99" i="8" s="1"/>
  <c r="GQ142" i="8" l="1"/>
  <c r="GR141" i="8"/>
  <c r="FX143" i="8"/>
  <c r="EF125" i="8"/>
  <c r="EY126" i="8"/>
  <c r="EZ126" i="8" s="1"/>
  <c r="CN100" i="8"/>
  <c r="DG100" i="8"/>
  <c r="DH100" i="8" s="1"/>
  <c r="GQ143" i="8" l="1"/>
  <c r="GR142" i="8"/>
  <c r="FX144" i="8"/>
  <c r="EY127" i="8"/>
  <c r="EZ127" i="8" s="1"/>
  <c r="EF126" i="8"/>
  <c r="DG101" i="8"/>
  <c r="DH101" i="8" s="1"/>
  <c r="CN101" i="8"/>
  <c r="GQ144" i="8" l="1"/>
  <c r="GR143" i="8"/>
  <c r="FX145" i="8"/>
  <c r="EF127" i="8"/>
  <c r="EY128" i="8"/>
  <c r="EZ128" i="8" s="1"/>
  <c r="DG102" i="8"/>
  <c r="DH102" i="8" s="1"/>
  <c r="CN102" i="8"/>
  <c r="GQ145" i="8" l="1"/>
  <c r="GR144" i="8"/>
  <c r="FX146" i="8"/>
  <c r="EF128" i="8"/>
  <c r="EY129" i="8"/>
  <c r="EZ129" i="8" s="1"/>
  <c r="CN103" i="8"/>
  <c r="DG103" i="8"/>
  <c r="DH103" i="8" s="1"/>
  <c r="GQ146" i="8" l="1"/>
  <c r="GR145" i="8"/>
  <c r="FX147" i="8"/>
  <c r="EY130" i="8"/>
  <c r="EZ130" i="8" s="1"/>
  <c r="EF129" i="8"/>
  <c r="DG104" i="8"/>
  <c r="DH104" i="8" s="1"/>
  <c r="CN104" i="8"/>
  <c r="GQ147" i="8" l="1"/>
  <c r="GR146" i="8"/>
  <c r="FX148" i="8"/>
  <c r="EY131" i="8"/>
  <c r="EZ131" i="8" s="1"/>
  <c r="EF130" i="8"/>
  <c r="CN105" i="8"/>
  <c r="DG105" i="8"/>
  <c r="DH105" i="8" s="1"/>
  <c r="GQ148" i="8" l="1"/>
  <c r="GR147" i="8"/>
  <c r="FX149" i="8"/>
  <c r="EF131" i="8"/>
  <c r="EY132" i="8"/>
  <c r="EZ132" i="8" s="1"/>
  <c r="DG106" i="8"/>
  <c r="DH106" i="8" s="1"/>
  <c r="CN106" i="8"/>
  <c r="GQ149" i="8" l="1"/>
  <c r="GR148" i="8"/>
  <c r="FX150" i="8"/>
  <c r="EF132" i="8"/>
  <c r="EY133" i="8"/>
  <c r="EZ133" i="8" s="1"/>
  <c r="CN107" i="8"/>
  <c r="DG107" i="8"/>
  <c r="DH107" i="8" s="1"/>
  <c r="GQ150" i="8" l="1"/>
  <c r="GR149" i="8"/>
  <c r="FX151" i="8"/>
  <c r="EF133" i="8"/>
  <c r="EY134" i="8"/>
  <c r="EZ134" i="8" s="1"/>
  <c r="CN108" i="8"/>
  <c r="DG108" i="8"/>
  <c r="DH108" i="8" s="1"/>
  <c r="GQ151" i="8" l="1"/>
  <c r="GR150" i="8"/>
  <c r="FX152" i="8"/>
  <c r="EF134" i="8"/>
  <c r="EY135" i="8"/>
  <c r="EZ135" i="8" s="1"/>
  <c r="CN109" i="8"/>
  <c r="DG109" i="8"/>
  <c r="GQ152" i="8" l="1"/>
  <c r="GR151" i="8"/>
  <c r="FX153" i="8"/>
  <c r="EF135" i="8"/>
  <c r="EY136" i="8"/>
  <c r="EZ136" i="8" s="1"/>
  <c r="CN110" i="8"/>
  <c r="DG110" i="8"/>
  <c r="DH110" i="8" s="1"/>
  <c r="GQ153" i="8" l="1"/>
  <c r="GR152" i="8"/>
  <c r="FX154" i="8"/>
  <c r="EY137" i="8"/>
  <c r="EZ137" i="8" s="1"/>
  <c r="EF136" i="8"/>
  <c r="CN111" i="8"/>
  <c r="DG111" i="8"/>
  <c r="DH111" i="8" s="1"/>
  <c r="GQ154" i="8" l="1"/>
  <c r="GR153" i="8"/>
  <c r="FX155" i="8"/>
  <c r="EY138" i="8"/>
  <c r="EZ138" i="8" s="1"/>
  <c r="EF137" i="8"/>
  <c r="CN112" i="8"/>
  <c r="DG112" i="8"/>
  <c r="DH112" i="8" s="1"/>
  <c r="GQ155" i="8" l="1"/>
  <c r="GR154" i="8"/>
  <c r="FX156" i="8"/>
  <c r="EY139" i="8"/>
  <c r="EZ139" i="8" s="1"/>
  <c r="EF138" i="8"/>
  <c r="CN113" i="8"/>
  <c r="DG113" i="8"/>
  <c r="DH113" i="8" s="1"/>
  <c r="GQ156" i="8" l="1"/>
  <c r="GR155" i="8"/>
  <c r="FX157" i="8"/>
  <c r="EF139" i="8"/>
  <c r="EY140" i="8"/>
  <c r="EZ140" i="8" s="1"/>
  <c r="CN114" i="8"/>
  <c r="DG114" i="8"/>
  <c r="DH114" i="8" s="1"/>
  <c r="GQ157" i="8" l="1"/>
  <c r="GR156" i="8"/>
  <c r="FX158" i="8"/>
  <c r="EY141" i="8"/>
  <c r="EZ141" i="8" s="1"/>
  <c r="EF140" i="8"/>
  <c r="DG115" i="8"/>
  <c r="DH115" i="8" s="1"/>
  <c r="CN115" i="8"/>
  <c r="GQ158" i="8" l="1"/>
  <c r="GR157" i="8"/>
  <c r="FX159" i="8"/>
  <c r="EF141" i="8"/>
  <c r="EY142" i="8"/>
  <c r="EZ142" i="8" s="1"/>
  <c r="DG116" i="8"/>
  <c r="DH116" i="8" s="1"/>
  <c r="CN116" i="8"/>
  <c r="GQ159" i="8" l="1"/>
  <c r="GR158" i="8"/>
  <c r="FX160" i="8"/>
  <c r="EF142" i="8"/>
  <c r="EY143" i="8"/>
  <c r="EZ143" i="8" s="1"/>
  <c r="DG117" i="8"/>
  <c r="DH117" i="8" s="1"/>
  <c r="CN117" i="8"/>
  <c r="GQ160" i="8" l="1"/>
  <c r="GR159" i="8"/>
  <c r="FX161" i="8"/>
  <c r="EY144" i="8"/>
  <c r="EZ144" i="8" s="1"/>
  <c r="EF143" i="8"/>
  <c r="DG118" i="8"/>
  <c r="DH118" i="8" s="1"/>
  <c r="CN118" i="8"/>
  <c r="GQ161" i="8" l="1"/>
  <c r="GR160" i="8"/>
  <c r="FX162" i="8"/>
  <c r="EF144" i="8"/>
  <c r="EY145" i="8"/>
  <c r="EZ145" i="8" s="1"/>
  <c r="DG119" i="8"/>
  <c r="DH119" i="8" s="1"/>
  <c r="CN119" i="8"/>
  <c r="GQ162" i="8" l="1"/>
  <c r="GR161" i="8"/>
  <c r="FX163" i="8"/>
  <c r="EF145" i="8"/>
  <c r="EY146" i="8"/>
  <c r="EZ146" i="8" s="1"/>
  <c r="DG120" i="8"/>
  <c r="DH120" i="8" s="1"/>
  <c r="CN120" i="8"/>
  <c r="GQ163" i="8" l="1"/>
  <c r="GR162" i="8"/>
  <c r="FX164" i="8"/>
  <c r="EF146" i="8"/>
  <c r="EY147" i="8"/>
  <c r="EZ147" i="8" s="1"/>
  <c r="DG121" i="8"/>
  <c r="CN121" i="8"/>
  <c r="GQ164" i="8" l="1"/>
  <c r="GR163" i="8"/>
  <c r="FX165" i="8"/>
  <c r="EF147" i="8"/>
  <c r="EY148" i="8"/>
  <c r="EZ148" i="8" s="1"/>
  <c r="CN122" i="8"/>
  <c r="DG122" i="8"/>
  <c r="DH122" i="8" s="1"/>
  <c r="GQ165" i="8" l="1"/>
  <c r="GR164" i="8"/>
  <c r="FX166" i="8"/>
  <c r="EF148" i="8"/>
  <c r="EY149" i="8"/>
  <c r="EZ149" i="8" s="1"/>
  <c r="CN123" i="8"/>
  <c r="DG123" i="8"/>
  <c r="DH123" i="8" s="1"/>
  <c r="GQ166" i="8" l="1"/>
  <c r="GR165" i="8"/>
  <c r="FX167" i="8"/>
  <c r="EY150" i="8"/>
  <c r="EZ150" i="8" s="1"/>
  <c r="EF149" i="8"/>
  <c r="CN124" i="8"/>
  <c r="DG124" i="8"/>
  <c r="DH124" i="8" s="1"/>
  <c r="GQ167" i="8" l="1"/>
  <c r="GR166" i="8"/>
  <c r="FX168" i="8"/>
  <c r="EF150" i="8"/>
  <c r="EY151" i="8"/>
  <c r="EZ151" i="8" s="1"/>
  <c r="CN125" i="8"/>
  <c r="DG125" i="8"/>
  <c r="DH125" i="8" s="1"/>
  <c r="GQ168" i="8" l="1"/>
  <c r="GR167" i="8"/>
  <c r="FX169" i="8"/>
  <c r="EF151" i="8"/>
  <c r="EY152" i="8"/>
  <c r="EZ152" i="8" s="1"/>
  <c r="CN126" i="8"/>
  <c r="DG126" i="8"/>
  <c r="DH126" i="8" s="1"/>
  <c r="GQ169" i="8" l="1"/>
  <c r="GR168" i="8"/>
  <c r="FX170" i="8"/>
  <c r="EY153" i="8"/>
  <c r="EZ153" i="8" s="1"/>
  <c r="EF152" i="8"/>
  <c r="CN127" i="8"/>
  <c r="DG127" i="8"/>
  <c r="DH127" i="8" s="1"/>
  <c r="GQ170" i="8" l="1"/>
  <c r="GR169" i="8"/>
  <c r="FX171" i="8"/>
  <c r="EF153" i="8"/>
  <c r="EY154" i="8"/>
  <c r="EZ154" i="8" s="1"/>
  <c r="CN128" i="8"/>
  <c r="DG128" i="8"/>
  <c r="DH128" i="8" s="1"/>
  <c r="GQ171" i="8" l="1"/>
  <c r="GR170" i="8"/>
  <c r="FX172" i="8"/>
  <c r="EY155" i="8"/>
  <c r="EZ155" i="8" s="1"/>
  <c r="EF154" i="8"/>
  <c r="CN129" i="8"/>
  <c r="DG129" i="8"/>
  <c r="DH129" i="8" s="1"/>
  <c r="GQ172" i="8" l="1"/>
  <c r="GR171" i="8"/>
  <c r="FX173" i="8"/>
  <c r="EF155" i="8"/>
  <c r="EY156" i="8"/>
  <c r="EZ156" i="8" s="1"/>
  <c r="CN130" i="8"/>
  <c r="DG130" i="8"/>
  <c r="DH130" i="8" s="1"/>
  <c r="GQ173" i="8" l="1"/>
  <c r="GR172" i="8"/>
  <c r="FX174" i="8"/>
  <c r="EF156" i="8"/>
  <c r="EY157" i="8"/>
  <c r="EZ157" i="8" s="1"/>
  <c r="DG131" i="8"/>
  <c r="DH131" i="8" s="1"/>
  <c r="CN131" i="8"/>
  <c r="GQ174" i="8" l="1"/>
  <c r="GR173" i="8"/>
  <c r="FX175" i="8"/>
  <c r="EY158" i="8"/>
  <c r="EZ158" i="8" s="1"/>
  <c r="EF157" i="8"/>
  <c r="DG132" i="8"/>
  <c r="DH132" i="8" s="1"/>
  <c r="CN132" i="8"/>
  <c r="GQ175" i="8" l="1"/>
  <c r="GR174" i="8"/>
  <c r="FX176" i="8"/>
  <c r="EF158" i="8"/>
  <c r="EY159" i="8"/>
  <c r="EZ159" i="8" s="1"/>
  <c r="CN133" i="8"/>
  <c r="DG133" i="8"/>
  <c r="GQ176" i="8" l="1"/>
  <c r="GR175" i="8"/>
  <c r="FX177" i="8"/>
  <c r="EF159" i="8"/>
  <c r="EY160" i="8"/>
  <c r="EZ160" i="8" s="1"/>
  <c r="CN134" i="8"/>
  <c r="DG134" i="8"/>
  <c r="DH134" i="8" s="1"/>
  <c r="GQ177" i="8" l="1"/>
  <c r="GR176" i="8"/>
  <c r="FX178" i="8"/>
  <c r="EF160" i="8"/>
  <c r="EY161" i="8"/>
  <c r="EZ161" i="8" s="1"/>
  <c r="DG135" i="8"/>
  <c r="DH135" i="8" s="1"/>
  <c r="CN135" i="8"/>
  <c r="GQ178" i="8" l="1"/>
  <c r="GR177" i="8"/>
  <c r="FX179" i="8"/>
  <c r="EF161" i="8"/>
  <c r="EY162" i="8"/>
  <c r="EZ162" i="8" s="1"/>
  <c r="CN136" i="8"/>
  <c r="DG136" i="8"/>
  <c r="DH136" i="8" s="1"/>
  <c r="GQ179" i="8" l="1"/>
  <c r="GR178" i="8"/>
  <c r="FX180" i="8"/>
  <c r="EY163" i="8"/>
  <c r="EZ163" i="8" s="1"/>
  <c r="EF162" i="8"/>
  <c r="CN137" i="8"/>
  <c r="DG137" i="8"/>
  <c r="DH137" i="8" s="1"/>
  <c r="GQ180" i="8" l="1"/>
  <c r="GR179" i="8"/>
  <c r="FX181" i="8"/>
  <c r="EF163" i="8"/>
  <c r="EY164" i="8"/>
  <c r="EZ164" i="8" s="1"/>
  <c r="DG138" i="8"/>
  <c r="DH138" i="8" s="1"/>
  <c r="CN138" i="8"/>
  <c r="GQ181" i="8" l="1"/>
  <c r="GR180" i="8"/>
  <c r="FX182" i="8"/>
  <c r="EF164" i="8"/>
  <c r="EY165" i="8"/>
  <c r="EZ165" i="8" s="1"/>
  <c r="DG139" i="8"/>
  <c r="DH139" i="8" s="1"/>
  <c r="CN139" i="8"/>
  <c r="GQ182" i="8" l="1"/>
  <c r="GR181" i="8"/>
  <c r="FX183" i="8"/>
  <c r="EY166" i="8"/>
  <c r="EZ166" i="8" s="1"/>
  <c r="EF165" i="8"/>
  <c r="DG140" i="8"/>
  <c r="DH140" i="8" s="1"/>
  <c r="CN140" i="8"/>
  <c r="GQ183" i="8" l="1"/>
  <c r="GR182" i="8"/>
  <c r="FX184" i="8"/>
  <c r="EF166" i="8"/>
  <c r="EY167" i="8"/>
  <c r="EZ167" i="8" s="1"/>
  <c r="CN141" i="8"/>
  <c r="DG141" i="8"/>
  <c r="DH141" i="8" s="1"/>
  <c r="GQ184" i="8" l="1"/>
  <c r="GR183" i="8"/>
  <c r="FX185" i="8"/>
  <c r="EF167" i="8"/>
  <c r="EY168" i="8"/>
  <c r="EZ168" i="8" s="1"/>
  <c r="DG142" i="8"/>
  <c r="DH142" i="8" s="1"/>
  <c r="CN142" i="8"/>
  <c r="GQ185" i="8" l="1"/>
  <c r="GR184" i="8"/>
  <c r="FX186" i="8"/>
  <c r="EY169" i="8"/>
  <c r="EZ169" i="8" s="1"/>
  <c r="EF168" i="8"/>
  <c r="CN143" i="8"/>
  <c r="DG143" i="8"/>
  <c r="DH143" i="8" s="1"/>
  <c r="GQ186" i="8" l="1"/>
  <c r="GR185" i="8"/>
  <c r="FX187" i="8"/>
  <c r="EF169" i="8"/>
  <c r="EY170" i="8"/>
  <c r="EZ170" i="8" s="1"/>
  <c r="CN144" i="8"/>
  <c r="DG144" i="8"/>
  <c r="DH144" i="8" s="1"/>
  <c r="GQ187" i="8" l="1"/>
  <c r="GR186" i="8"/>
  <c r="FX188" i="8"/>
  <c r="EY171" i="8"/>
  <c r="EZ171" i="8" s="1"/>
  <c r="EF170" i="8"/>
  <c r="CN145" i="8"/>
  <c r="DG145" i="8"/>
  <c r="GQ188" i="8" l="1"/>
  <c r="GR187" i="8"/>
  <c r="FX189" i="8"/>
  <c r="EF171" i="8"/>
  <c r="EY172" i="8"/>
  <c r="EZ172" i="8" s="1"/>
  <c r="DG146" i="8"/>
  <c r="DH146" i="8" s="1"/>
  <c r="CN146" i="8"/>
  <c r="GQ189" i="8" l="1"/>
  <c r="GR188" i="8"/>
  <c r="FX190" i="8"/>
  <c r="EF172" i="8"/>
  <c r="EY173" i="8"/>
  <c r="EZ173" i="8" s="1"/>
  <c r="DG147" i="8"/>
  <c r="DH147" i="8" s="1"/>
  <c r="CN147" i="8"/>
  <c r="GQ190" i="8" l="1"/>
  <c r="GR189" i="8"/>
  <c r="FX191" i="8"/>
  <c r="EF173" i="8"/>
  <c r="EY174" i="8"/>
  <c r="EZ174" i="8" s="1"/>
  <c r="DG148" i="8"/>
  <c r="DH148" i="8" s="1"/>
  <c r="CN148" i="8"/>
  <c r="GQ191" i="8" l="1"/>
  <c r="GR190" i="8"/>
  <c r="FX192" i="8"/>
  <c r="EY175" i="8"/>
  <c r="EZ175" i="8" s="1"/>
  <c r="EF174" i="8"/>
  <c r="CN149" i="8"/>
  <c r="DG149" i="8"/>
  <c r="DH149" i="8" s="1"/>
  <c r="GQ192" i="8" l="1"/>
  <c r="GR191" i="8"/>
  <c r="FX193" i="8"/>
  <c r="EF175" i="8"/>
  <c r="EY176" i="8"/>
  <c r="EZ176" i="8" s="1"/>
  <c r="CN150" i="8"/>
  <c r="DG150" i="8"/>
  <c r="DH150" i="8" s="1"/>
  <c r="GQ193" i="8" l="1"/>
  <c r="GR192" i="8"/>
  <c r="FX194" i="8"/>
  <c r="EF176" i="8"/>
  <c r="EY177" i="8"/>
  <c r="EZ177" i="8" s="1"/>
  <c r="DG151" i="8"/>
  <c r="DH151" i="8" s="1"/>
  <c r="CN151" i="8"/>
  <c r="GQ194" i="8" l="1"/>
  <c r="GR193" i="8"/>
  <c r="FX195" i="8"/>
  <c r="EF177" i="8"/>
  <c r="EY178" i="8"/>
  <c r="EZ178" i="8" s="1"/>
  <c r="DG152" i="8"/>
  <c r="DH152" i="8" s="1"/>
  <c r="CN152" i="8"/>
  <c r="GQ195" i="8" l="1"/>
  <c r="GR194" i="8"/>
  <c r="FX196" i="8"/>
  <c r="EY179" i="8"/>
  <c r="EZ179" i="8" s="1"/>
  <c r="EF178" i="8"/>
  <c r="DG153" i="8"/>
  <c r="DH153" i="8" s="1"/>
  <c r="CN153" i="8"/>
  <c r="GQ196" i="8" l="1"/>
  <c r="GR195" i="8"/>
  <c r="FX197" i="8"/>
  <c r="EF179" i="8"/>
  <c r="EY180" i="8"/>
  <c r="EZ180" i="8" s="1"/>
  <c r="CN154" i="8"/>
  <c r="DG154" i="8"/>
  <c r="DH154" i="8" s="1"/>
  <c r="GQ197" i="8" l="1"/>
  <c r="GR196" i="8"/>
  <c r="FX198" i="8"/>
  <c r="EY181" i="8"/>
  <c r="EZ181" i="8" s="1"/>
  <c r="EF180" i="8"/>
  <c r="DG155" i="8"/>
  <c r="DH155" i="8" s="1"/>
  <c r="CN155" i="8"/>
  <c r="GQ198" i="8" l="1"/>
  <c r="GR197" i="8"/>
  <c r="FX199" i="8"/>
  <c r="EY182" i="8"/>
  <c r="EZ182" i="8" s="1"/>
  <c r="EF181" i="8"/>
  <c r="DG156" i="8"/>
  <c r="DH156" i="8" s="1"/>
  <c r="CN156" i="8"/>
  <c r="GQ199" i="8" l="1"/>
  <c r="GR198" i="8"/>
  <c r="FX200" i="8"/>
  <c r="EY183" i="8"/>
  <c r="EZ183" i="8" s="1"/>
  <c r="EF182" i="8"/>
  <c r="DG157" i="8"/>
  <c r="CN157" i="8"/>
  <c r="GQ200" i="8" l="1"/>
  <c r="GR199" i="8"/>
  <c r="FX201" i="8"/>
  <c r="EY184" i="8"/>
  <c r="EZ184" i="8" s="1"/>
  <c r="EF183" i="8"/>
  <c r="DG158" i="8"/>
  <c r="DH158" i="8" s="1"/>
  <c r="CN158" i="8"/>
  <c r="GQ201" i="8" l="1"/>
  <c r="GR200" i="8"/>
  <c r="FX202" i="8"/>
  <c r="EY185" i="8"/>
  <c r="EZ185" i="8" s="1"/>
  <c r="EF184" i="8"/>
  <c r="DG159" i="8"/>
  <c r="DH159" i="8" s="1"/>
  <c r="CN159" i="8"/>
  <c r="GQ202" i="8" l="1"/>
  <c r="GR201" i="8"/>
  <c r="FX203" i="8"/>
  <c r="EF185" i="8"/>
  <c r="EY186" i="8"/>
  <c r="EZ186" i="8" s="1"/>
  <c r="DG160" i="8"/>
  <c r="DH160" i="8" s="1"/>
  <c r="CN160" i="8"/>
  <c r="GQ203" i="8" l="1"/>
  <c r="GR202" i="8"/>
  <c r="FX204" i="8"/>
  <c r="EY187" i="8"/>
  <c r="EZ187" i="8" s="1"/>
  <c r="EF186" i="8"/>
  <c r="CN161" i="8"/>
  <c r="DG161" i="8"/>
  <c r="DH161" i="8" s="1"/>
  <c r="GQ204" i="8" l="1"/>
  <c r="GR203" i="8"/>
  <c r="FX205" i="8"/>
  <c r="EY188" i="8"/>
  <c r="EZ188" i="8" s="1"/>
  <c r="EF187" i="8"/>
  <c r="CN162" i="8"/>
  <c r="DG162" i="8"/>
  <c r="DH162" i="8" s="1"/>
  <c r="GQ205" i="8" l="1"/>
  <c r="GR204" i="8"/>
  <c r="FX206" i="8"/>
  <c r="EF188" i="8"/>
  <c r="EY189" i="8"/>
  <c r="EZ189" i="8" s="1"/>
  <c r="CN163" i="8"/>
  <c r="DG163" i="8"/>
  <c r="DH163" i="8" s="1"/>
  <c r="GQ206" i="8" l="1"/>
  <c r="GR205" i="8"/>
  <c r="FX207" i="8"/>
  <c r="EF189" i="8"/>
  <c r="EY190" i="8"/>
  <c r="EZ190" i="8" s="1"/>
  <c r="CN164" i="8"/>
  <c r="DG164" i="8"/>
  <c r="DH164" i="8" s="1"/>
  <c r="GQ207" i="8" l="1"/>
  <c r="GR206" i="8"/>
  <c r="FX208" i="8"/>
  <c r="EF190" i="8"/>
  <c r="EY191" i="8"/>
  <c r="EZ191" i="8" s="1"/>
  <c r="DG165" i="8"/>
  <c r="DH165" i="8" s="1"/>
  <c r="CN165" i="8"/>
  <c r="GQ208" i="8" l="1"/>
  <c r="GR207" i="8"/>
  <c r="FX209" i="8"/>
  <c r="EF191" i="8"/>
  <c r="EY192" i="8"/>
  <c r="EZ192" i="8" s="1"/>
  <c r="DG166" i="8"/>
  <c r="DH166" i="8" s="1"/>
  <c r="CN166" i="8"/>
  <c r="GQ209" i="8" l="1"/>
  <c r="GR208" i="8"/>
  <c r="FX210" i="8"/>
  <c r="EY193" i="8"/>
  <c r="EZ193" i="8" s="1"/>
  <c r="EF192" i="8"/>
  <c r="DG167" i="8"/>
  <c r="DH167" i="8" s="1"/>
  <c r="CN167" i="8"/>
  <c r="GQ210" i="8" l="1"/>
  <c r="GR209" i="8"/>
  <c r="FX211" i="8"/>
  <c r="EF193" i="8"/>
  <c r="EY194" i="8"/>
  <c r="EZ194" i="8" s="1"/>
  <c r="DG168" i="8"/>
  <c r="DH168" i="8" s="1"/>
  <c r="CN168" i="8"/>
  <c r="GQ211" i="8" l="1"/>
  <c r="GR210" i="8"/>
  <c r="FX212" i="8"/>
  <c r="EY195" i="8"/>
  <c r="EZ195" i="8" s="1"/>
  <c r="EF194" i="8"/>
  <c r="DG169" i="8"/>
  <c r="CN169" i="8"/>
  <c r="GQ212" i="8" l="1"/>
  <c r="GR211" i="8"/>
  <c r="FX213" i="8"/>
  <c r="EF195" i="8"/>
  <c r="EY196" i="8"/>
  <c r="EZ196" i="8" s="1"/>
  <c r="DG170" i="8"/>
  <c r="DH170" i="8" s="1"/>
  <c r="CN170" i="8"/>
  <c r="GQ213" i="8" l="1"/>
  <c r="GR212" i="8"/>
  <c r="FX214" i="8"/>
  <c r="EY197" i="8"/>
  <c r="EZ197" i="8" s="1"/>
  <c r="EF196" i="8"/>
  <c r="DG171" i="8"/>
  <c r="DH171" i="8" s="1"/>
  <c r="CN171" i="8"/>
  <c r="GQ214" i="8" l="1"/>
  <c r="GR213" i="8"/>
  <c r="FX215" i="8"/>
  <c r="EF197" i="8"/>
  <c r="EY198" i="8"/>
  <c r="EZ198" i="8" s="1"/>
  <c r="DG172" i="8"/>
  <c r="DH172" i="8" s="1"/>
  <c r="CN172" i="8"/>
  <c r="GQ215" i="8" l="1"/>
  <c r="GR214" i="8"/>
  <c r="FX216" i="8"/>
  <c r="EF198" i="8"/>
  <c r="EY199" i="8"/>
  <c r="EZ199" i="8" s="1"/>
  <c r="DG173" i="8"/>
  <c r="DH173" i="8" s="1"/>
  <c r="CN173" i="8"/>
  <c r="GQ216" i="8" l="1"/>
  <c r="GR215" i="8"/>
  <c r="FX217" i="8"/>
  <c r="EF199" i="8"/>
  <c r="EY200" i="8"/>
  <c r="EZ200" i="8" s="1"/>
  <c r="DG174" i="8"/>
  <c r="DH174" i="8" s="1"/>
  <c r="CN174" i="8"/>
  <c r="GQ217" i="8" l="1"/>
  <c r="GR216" i="8"/>
  <c r="FX218" i="8"/>
  <c r="EY201" i="8"/>
  <c r="EZ201" i="8" s="1"/>
  <c r="EF200" i="8"/>
  <c r="DG175" i="8"/>
  <c r="DH175" i="8" s="1"/>
  <c r="CN175" i="8"/>
  <c r="GQ218" i="8" l="1"/>
  <c r="GR217" i="8"/>
  <c r="FX219" i="8"/>
  <c r="EF201" i="8"/>
  <c r="EY202" i="8"/>
  <c r="EZ202" i="8" s="1"/>
  <c r="DG176" i="8"/>
  <c r="DH176" i="8" s="1"/>
  <c r="CN176" i="8"/>
  <c r="GQ219" i="8" l="1"/>
  <c r="GR218" i="8"/>
  <c r="FX220" i="8"/>
  <c r="EF202" i="8"/>
  <c r="EY203" i="8"/>
  <c r="EZ203" i="8" s="1"/>
  <c r="DG177" i="8"/>
  <c r="DH177" i="8" s="1"/>
  <c r="CN177" i="8"/>
  <c r="GQ220" i="8" l="1"/>
  <c r="GR219" i="8"/>
  <c r="FX221" i="8"/>
  <c r="EF203" i="8"/>
  <c r="EY204" i="8"/>
  <c r="EZ204" i="8" s="1"/>
  <c r="DG178" i="8"/>
  <c r="DH178" i="8" s="1"/>
  <c r="CN178" i="8"/>
  <c r="GQ221" i="8" l="1"/>
  <c r="GR220" i="8"/>
  <c r="FX222" i="8"/>
  <c r="EY205" i="8"/>
  <c r="EZ205" i="8" s="1"/>
  <c r="EF204" i="8"/>
  <c r="DG179" i="8"/>
  <c r="DH179" i="8" s="1"/>
  <c r="CN179" i="8"/>
  <c r="GQ222" i="8" l="1"/>
  <c r="GR221" i="8"/>
  <c r="FX223" i="8"/>
  <c r="EF205" i="8"/>
  <c r="EY206" i="8"/>
  <c r="EZ206" i="8" s="1"/>
  <c r="DG180" i="8"/>
  <c r="DH180" i="8" s="1"/>
  <c r="CN180" i="8"/>
  <c r="GQ223" i="8" l="1"/>
  <c r="GR222" i="8"/>
  <c r="FX224" i="8"/>
  <c r="EY207" i="8"/>
  <c r="EZ207" i="8" s="1"/>
  <c r="EF206" i="8"/>
  <c r="DG181" i="8"/>
  <c r="CN181" i="8"/>
  <c r="GQ224" i="8" l="1"/>
  <c r="GR223" i="8"/>
  <c r="FX225" i="8"/>
  <c r="EF207" i="8"/>
  <c r="EY208" i="8"/>
  <c r="EZ208" i="8" s="1"/>
  <c r="CN182" i="8"/>
  <c r="DG182" i="8"/>
  <c r="DH182" i="8" s="1"/>
  <c r="GQ225" i="8" l="1"/>
  <c r="GR224" i="8"/>
  <c r="FX226" i="8"/>
  <c r="EF208" i="8"/>
  <c r="EY209" i="8"/>
  <c r="EZ209" i="8" s="1"/>
  <c r="CN183" i="8"/>
  <c r="DG183" i="8"/>
  <c r="DH183" i="8" s="1"/>
  <c r="GQ226" i="8" l="1"/>
  <c r="GR225" i="8"/>
  <c r="FX227" i="8"/>
  <c r="EY210" i="8"/>
  <c r="EZ210" i="8" s="1"/>
  <c r="EF209" i="8"/>
  <c r="CN184" i="8"/>
  <c r="DG184" i="8"/>
  <c r="DH184" i="8" s="1"/>
  <c r="GQ227" i="8" l="1"/>
  <c r="GR226" i="8"/>
  <c r="FX228" i="8"/>
  <c r="EF210" i="8"/>
  <c r="EY211" i="8"/>
  <c r="EZ211" i="8" s="1"/>
  <c r="DG185" i="8"/>
  <c r="DH185" i="8" s="1"/>
  <c r="CN185" i="8"/>
  <c r="GQ228" i="8" l="1"/>
  <c r="GR227" i="8"/>
  <c r="FX229" i="8"/>
  <c r="EY212" i="8"/>
  <c r="EZ212" i="8" s="1"/>
  <c r="EF211" i="8"/>
  <c r="CN186" i="8"/>
  <c r="DG186" i="8"/>
  <c r="DH186" i="8" s="1"/>
  <c r="GQ229" i="8" l="1"/>
  <c r="GR228" i="8"/>
  <c r="FX230" i="8"/>
  <c r="EF212" i="8"/>
  <c r="EY213" i="8"/>
  <c r="EZ213" i="8" s="1"/>
  <c r="CN187" i="8"/>
  <c r="DG187" i="8"/>
  <c r="DH187" i="8" s="1"/>
  <c r="GQ230" i="8" l="1"/>
  <c r="GR229" i="8"/>
  <c r="FX231" i="8"/>
  <c r="EY214" i="8"/>
  <c r="EZ214" i="8" s="1"/>
  <c r="EF213" i="8"/>
  <c r="DG188" i="8"/>
  <c r="DH188" i="8" s="1"/>
  <c r="CN188" i="8"/>
  <c r="GQ231" i="8" l="1"/>
  <c r="GR230" i="8"/>
  <c r="FX232" i="8"/>
  <c r="EY215" i="8"/>
  <c r="EZ215" i="8" s="1"/>
  <c r="EF214" i="8"/>
  <c r="DG189" i="8"/>
  <c r="DH189" i="8" s="1"/>
  <c r="CN189" i="8"/>
  <c r="GQ232" i="8" l="1"/>
  <c r="GR231" i="8"/>
  <c r="FX233" i="8"/>
  <c r="EF215" i="8"/>
  <c r="EY216" i="8"/>
  <c r="EZ216" i="8" s="1"/>
  <c r="CN190" i="8"/>
  <c r="DG190" i="8"/>
  <c r="DH190" i="8" s="1"/>
  <c r="GQ233" i="8" l="1"/>
  <c r="GR232" i="8"/>
  <c r="FX234" i="8"/>
  <c r="EY217" i="8"/>
  <c r="EZ217" i="8" s="1"/>
  <c r="EF216" i="8"/>
  <c r="CN191" i="8"/>
  <c r="DG191" i="8"/>
  <c r="DH191" i="8" s="1"/>
  <c r="GQ234" i="8" l="1"/>
  <c r="GR233" i="8"/>
  <c r="FX235" i="8"/>
  <c r="EF217" i="8"/>
  <c r="EY218" i="8"/>
  <c r="EZ218" i="8" s="1"/>
  <c r="DG192" i="8"/>
  <c r="DH192" i="8" s="1"/>
  <c r="CN192" i="8"/>
  <c r="GQ235" i="8" l="1"/>
  <c r="GR234" i="8"/>
  <c r="FX236" i="8"/>
  <c r="EY219" i="8"/>
  <c r="EZ219" i="8" s="1"/>
  <c r="EF218" i="8"/>
  <c r="DG193" i="8"/>
  <c r="CN193" i="8"/>
  <c r="GQ236" i="8" l="1"/>
  <c r="GR235" i="8"/>
  <c r="FX237" i="8"/>
  <c r="EF219" i="8"/>
  <c r="EY220" i="8"/>
  <c r="EZ220" i="8" s="1"/>
  <c r="CN194" i="8"/>
  <c r="DG194" i="8"/>
  <c r="DH194" i="8" s="1"/>
  <c r="GQ237" i="8" l="1"/>
  <c r="GR236" i="8"/>
  <c r="FX238" i="8"/>
  <c r="EY221" i="8"/>
  <c r="EZ221" i="8" s="1"/>
  <c r="EF220" i="8"/>
  <c r="CN195" i="8"/>
  <c r="DG195" i="8"/>
  <c r="DH195" i="8" s="1"/>
  <c r="GQ238" i="8" l="1"/>
  <c r="GR237" i="8"/>
  <c r="FX239" i="8"/>
  <c r="EY222" i="8"/>
  <c r="EZ222" i="8" s="1"/>
  <c r="EF221" i="8"/>
  <c r="CN196" i="8"/>
  <c r="DG196" i="8"/>
  <c r="DH196" i="8" s="1"/>
  <c r="GQ239" i="8" l="1"/>
  <c r="GR238" i="8"/>
  <c r="FX240" i="8"/>
  <c r="EY223" i="8"/>
  <c r="EZ223" i="8" s="1"/>
  <c r="EF222" i="8"/>
  <c r="CN197" i="8"/>
  <c r="DG197" i="8"/>
  <c r="DH197" i="8" s="1"/>
  <c r="GQ240" i="8" l="1"/>
  <c r="GR239" i="8"/>
  <c r="FX241" i="8"/>
  <c r="EF223" i="8"/>
  <c r="EY224" i="8"/>
  <c r="EZ224" i="8" s="1"/>
  <c r="DG198" i="8"/>
  <c r="DH198" i="8" s="1"/>
  <c r="CN198" i="8"/>
  <c r="GQ241" i="8" l="1"/>
  <c r="GR240" i="8"/>
  <c r="FX242" i="8"/>
  <c r="EF224" i="8"/>
  <c r="EY225" i="8"/>
  <c r="EZ225" i="8" s="1"/>
  <c r="CN199" i="8"/>
  <c r="DG199" i="8"/>
  <c r="DH199" i="8" s="1"/>
  <c r="GQ242" i="8" l="1"/>
  <c r="GR241" i="8"/>
  <c r="FX243" i="8"/>
  <c r="EY226" i="8"/>
  <c r="EZ226" i="8" s="1"/>
  <c r="EF225" i="8"/>
  <c r="DG200" i="8"/>
  <c r="DH200" i="8" s="1"/>
  <c r="CN200" i="8"/>
  <c r="GQ243" i="8" l="1"/>
  <c r="GR242" i="8"/>
  <c r="FX244" i="8"/>
  <c r="EY227" i="8"/>
  <c r="EZ227" i="8" s="1"/>
  <c r="EF226" i="8"/>
  <c r="DG201" i="8"/>
  <c r="DH201" i="8" s="1"/>
  <c r="CN201" i="8"/>
  <c r="GQ244" i="8" l="1"/>
  <c r="GR243" i="8"/>
  <c r="FX245" i="8"/>
  <c r="EF227" i="8"/>
  <c r="EY228" i="8"/>
  <c r="EZ228" i="8" s="1"/>
  <c r="DG202" i="8"/>
  <c r="DH202" i="8" s="1"/>
  <c r="CN202" i="8"/>
  <c r="GQ245" i="8" l="1"/>
  <c r="GR244" i="8"/>
  <c r="FX246" i="8"/>
  <c r="EY229" i="8"/>
  <c r="EZ229" i="8" s="1"/>
  <c r="EF228" i="8"/>
  <c r="DG203" i="8"/>
  <c r="DH203" i="8" s="1"/>
  <c r="CN203" i="8"/>
  <c r="GQ246" i="8" l="1"/>
  <c r="GR245" i="8"/>
  <c r="FX247" i="8"/>
  <c r="EY230" i="8"/>
  <c r="EZ230" i="8" s="1"/>
  <c r="EF229" i="8"/>
  <c r="DG204" i="8"/>
  <c r="DH204" i="8" s="1"/>
  <c r="CN204" i="8"/>
  <c r="GQ247" i="8" l="1"/>
  <c r="GR246" i="8"/>
  <c r="FX248" i="8"/>
  <c r="EF230" i="8"/>
  <c r="EY231" i="8"/>
  <c r="EZ231" i="8" s="1"/>
  <c r="DG205" i="8"/>
  <c r="CN205" i="8"/>
  <c r="GQ248" i="8" l="1"/>
  <c r="GR247" i="8"/>
  <c r="FX249" i="8"/>
  <c r="EF231" i="8"/>
  <c r="EY232" i="8"/>
  <c r="EZ232" i="8" s="1"/>
  <c r="DG206" i="8"/>
  <c r="DH206" i="8" s="1"/>
  <c r="CN206" i="8"/>
  <c r="GQ249" i="8" l="1"/>
  <c r="GR248" i="8"/>
  <c r="FX250" i="8"/>
  <c r="EF232" i="8"/>
  <c r="EY233" i="8"/>
  <c r="EZ233" i="8" s="1"/>
  <c r="DG207" i="8"/>
  <c r="DH207" i="8" s="1"/>
  <c r="CN207" i="8"/>
  <c r="GQ250" i="8" l="1"/>
  <c r="GR249" i="8"/>
  <c r="FX251" i="8"/>
  <c r="EY234" i="8"/>
  <c r="EZ234" i="8" s="1"/>
  <c r="EF233" i="8"/>
  <c r="DG208" i="8"/>
  <c r="DH208" i="8" s="1"/>
  <c r="CN208" i="8"/>
  <c r="GQ251" i="8" l="1"/>
  <c r="GR250" i="8"/>
  <c r="FX252" i="8"/>
  <c r="EY235" i="8"/>
  <c r="EZ235" i="8" s="1"/>
  <c r="EF234" i="8"/>
  <c r="DG209" i="8"/>
  <c r="DH209" i="8" s="1"/>
  <c r="CN209" i="8"/>
  <c r="GQ252" i="8" l="1"/>
  <c r="GR251" i="8"/>
  <c r="FX253" i="8"/>
  <c r="EF235" i="8"/>
  <c r="EY236" i="8"/>
  <c r="EZ236" i="8" s="1"/>
  <c r="DG210" i="8"/>
  <c r="DH210" i="8" s="1"/>
  <c r="CN210" i="8"/>
  <c r="GQ253" i="8" l="1"/>
  <c r="GR252" i="8"/>
  <c r="FX254" i="8"/>
  <c r="EY237" i="8"/>
  <c r="EZ237" i="8" s="1"/>
  <c r="EF236" i="8"/>
  <c r="DG211" i="8"/>
  <c r="DH211" i="8" s="1"/>
  <c r="CN211" i="8"/>
  <c r="GQ254" i="8" l="1"/>
  <c r="GR253" i="8"/>
  <c r="FX255" i="8"/>
  <c r="EY238" i="8"/>
  <c r="EZ238" i="8" s="1"/>
  <c r="EF237" i="8"/>
  <c r="DG212" i="8"/>
  <c r="DH212" i="8" s="1"/>
  <c r="CN212" i="8"/>
  <c r="GQ255" i="8" l="1"/>
  <c r="GR254" i="8"/>
  <c r="FX256" i="8"/>
  <c r="EF238" i="8"/>
  <c r="EY239" i="8"/>
  <c r="EZ239" i="8" s="1"/>
  <c r="DG213" i="8"/>
  <c r="DH213" i="8" s="1"/>
  <c r="CN213" i="8"/>
  <c r="GQ256" i="8" l="1"/>
  <c r="GR255" i="8"/>
  <c r="FX257" i="8"/>
  <c r="EF239" i="8"/>
  <c r="EY240" i="8"/>
  <c r="EZ240" i="8" s="1"/>
  <c r="DG214" i="8"/>
  <c r="DH214" i="8" s="1"/>
  <c r="CN214" i="8"/>
  <c r="GQ257" i="8" l="1"/>
  <c r="GR256" i="8"/>
  <c r="FX258" i="8"/>
  <c r="EY241" i="8"/>
  <c r="EZ241" i="8" s="1"/>
  <c r="EF240" i="8"/>
  <c r="DG215" i="8"/>
  <c r="DH215" i="8" s="1"/>
  <c r="CN215" i="8"/>
  <c r="GQ258" i="8" l="1"/>
  <c r="GR257" i="8"/>
  <c r="FX259" i="8"/>
  <c r="EF241" i="8"/>
  <c r="EY242" i="8"/>
  <c r="EZ242" i="8" s="1"/>
  <c r="CN216" i="8"/>
  <c r="DG216" i="8"/>
  <c r="DH216" i="8" s="1"/>
  <c r="GQ259" i="8" l="1"/>
  <c r="GR258" i="8"/>
  <c r="FX260" i="8"/>
  <c r="EY243" i="8"/>
  <c r="EZ243" i="8" s="1"/>
  <c r="EF242" i="8"/>
  <c r="CN217" i="8"/>
  <c r="DG217" i="8"/>
  <c r="GQ260" i="8" l="1"/>
  <c r="GR259" i="8"/>
  <c r="FX261" i="8"/>
  <c r="EY244" i="8"/>
  <c r="EZ244" i="8" s="1"/>
  <c r="EF243" i="8"/>
  <c r="DG218" i="8"/>
  <c r="DH218" i="8" s="1"/>
  <c r="CN218" i="8"/>
  <c r="GQ261" i="8" l="1"/>
  <c r="GR260" i="8"/>
  <c r="FX262" i="8"/>
  <c r="EF244" i="8"/>
  <c r="EY245" i="8"/>
  <c r="EZ245" i="8" s="1"/>
  <c r="DG219" i="8"/>
  <c r="DH219" i="8" s="1"/>
  <c r="CN219" i="8"/>
  <c r="GQ262" i="8" l="1"/>
  <c r="GR261" i="8"/>
  <c r="FX263" i="8"/>
  <c r="EY246" i="8"/>
  <c r="EZ246" i="8" s="1"/>
  <c r="EF245" i="8"/>
  <c r="DG220" i="8"/>
  <c r="DH220" i="8" s="1"/>
  <c r="CN220" i="8"/>
  <c r="GQ263" i="8" l="1"/>
  <c r="GR262" i="8"/>
  <c r="FX264" i="8"/>
  <c r="EY247" i="8"/>
  <c r="EZ247" i="8" s="1"/>
  <c r="EF246" i="8"/>
  <c r="DG221" i="8"/>
  <c r="DH221" i="8" s="1"/>
  <c r="CN221" i="8"/>
  <c r="GQ264" i="8" l="1"/>
  <c r="GR264" i="8" s="1"/>
  <c r="GR263" i="8"/>
  <c r="EF247" i="8"/>
  <c r="EY248" i="8"/>
  <c r="EZ248" i="8" s="1"/>
  <c r="DG222" i="8"/>
  <c r="DH222" i="8" s="1"/>
  <c r="CN222" i="8"/>
  <c r="EF248" i="8" l="1"/>
  <c r="EY249" i="8"/>
  <c r="EZ249" i="8" s="1"/>
  <c r="DG223" i="8"/>
  <c r="DH223" i="8" s="1"/>
  <c r="CN223" i="8"/>
  <c r="EF249" i="8" l="1"/>
  <c r="EY250" i="8"/>
  <c r="EZ250" i="8" s="1"/>
  <c r="CN224" i="8"/>
  <c r="DG224" i="8"/>
  <c r="DH224" i="8" s="1"/>
  <c r="EY251" i="8" l="1"/>
  <c r="EZ251" i="8" s="1"/>
  <c r="EF250" i="8"/>
  <c r="DG225" i="8"/>
  <c r="DH225" i="8" s="1"/>
  <c r="CN225" i="8"/>
  <c r="EF251" i="8" l="1"/>
  <c r="EY252" i="8"/>
  <c r="EZ252" i="8" s="1"/>
  <c r="DG226" i="8"/>
  <c r="DH226" i="8" s="1"/>
  <c r="CN226" i="8"/>
  <c r="EY253" i="8" l="1"/>
  <c r="EZ253" i="8" s="1"/>
  <c r="EF252" i="8"/>
  <c r="DG227" i="8"/>
  <c r="DH227" i="8" s="1"/>
  <c r="CN227" i="8"/>
  <c r="EF253" i="8" l="1"/>
  <c r="EY254" i="8"/>
  <c r="EZ254" i="8" s="1"/>
  <c r="DG228" i="8"/>
  <c r="DH228" i="8" s="1"/>
  <c r="CN228" i="8"/>
  <c r="EY255" i="8" l="1"/>
  <c r="EZ255" i="8" s="1"/>
  <c r="EF254" i="8"/>
  <c r="CN229" i="8"/>
  <c r="DG229" i="8"/>
  <c r="EF255" i="8" l="1"/>
  <c r="EY256" i="8"/>
  <c r="EZ256" i="8" s="1"/>
  <c r="DG230" i="8"/>
  <c r="DH230" i="8" s="1"/>
  <c r="CN230" i="8"/>
  <c r="EF256" i="8" l="1"/>
  <c r="EY257" i="8"/>
  <c r="EZ257" i="8" s="1"/>
  <c r="DG231" i="8"/>
  <c r="DH231" i="8" s="1"/>
  <c r="CN231" i="8"/>
  <c r="EY258" i="8" l="1"/>
  <c r="EZ258" i="8" s="1"/>
  <c r="EF257" i="8"/>
  <c r="CN232" i="8"/>
  <c r="DG232" i="8"/>
  <c r="DH232" i="8" s="1"/>
  <c r="EF258" i="8" l="1"/>
  <c r="EY259" i="8"/>
  <c r="EZ259" i="8" s="1"/>
  <c r="DG233" i="8"/>
  <c r="DH233" i="8" s="1"/>
  <c r="CN233" i="8"/>
  <c r="EF259" i="8" l="1"/>
  <c r="EY260" i="8"/>
  <c r="EZ260" i="8" s="1"/>
  <c r="CN234" i="8"/>
  <c r="DG234" i="8"/>
  <c r="DH234" i="8" s="1"/>
  <c r="EY261" i="8" l="1"/>
  <c r="EZ261" i="8" s="1"/>
  <c r="EF260" i="8"/>
  <c r="DG235" i="8"/>
  <c r="DH235" i="8" s="1"/>
  <c r="CN235" i="8"/>
  <c r="EF261" i="8" l="1"/>
  <c r="EY262" i="8"/>
  <c r="EZ262" i="8" s="1"/>
  <c r="DG236" i="8"/>
  <c r="DH236" i="8" s="1"/>
  <c r="CN236" i="8"/>
  <c r="EY263" i="8" l="1"/>
  <c r="EZ263" i="8" s="1"/>
  <c r="EF262" i="8"/>
  <c r="DG237" i="8"/>
  <c r="DH237" i="8" s="1"/>
  <c r="CN237" i="8"/>
  <c r="EF263" i="8" l="1"/>
  <c r="EY264" i="8"/>
  <c r="EZ264" i="8" s="1"/>
  <c r="DG238" i="8"/>
  <c r="DH238" i="8" s="1"/>
  <c r="CN238" i="8"/>
  <c r="EF264" i="8" l="1"/>
  <c r="CN239" i="8"/>
  <c r="DG239" i="8"/>
  <c r="DH239" i="8" s="1"/>
  <c r="CN240" i="8" l="1"/>
  <c r="DG240" i="8"/>
  <c r="DH240" i="8" s="1"/>
  <c r="DG241" i="8" l="1"/>
  <c r="CN241" i="8"/>
  <c r="DG242" i="8" l="1"/>
  <c r="DH242" i="8" s="1"/>
  <c r="CN242" i="8"/>
  <c r="DG243" i="8" l="1"/>
  <c r="DH243" i="8" s="1"/>
  <c r="CN243" i="8"/>
  <c r="DG244" i="8" l="1"/>
  <c r="DH244" i="8" s="1"/>
  <c r="CN244" i="8"/>
  <c r="CN245" i="8" l="1"/>
  <c r="DG245" i="8"/>
  <c r="DH245" i="8" s="1"/>
  <c r="DG246" i="8" l="1"/>
  <c r="DH246" i="8" s="1"/>
  <c r="CN246" i="8"/>
  <c r="CN247" i="8" l="1"/>
  <c r="DG247" i="8"/>
  <c r="DH247" i="8" s="1"/>
  <c r="DG248" i="8" l="1"/>
  <c r="DH248" i="8" s="1"/>
  <c r="CN248" i="8"/>
  <c r="CN249" i="8" l="1"/>
  <c r="DG249" i="8"/>
  <c r="DH249" i="8" s="1"/>
  <c r="CN250" i="8" l="1"/>
  <c r="DG250" i="8"/>
  <c r="DH250" i="8" s="1"/>
  <c r="DG251" i="8" l="1"/>
  <c r="DH251" i="8" s="1"/>
  <c r="CN251" i="8"/>
  <c r="DG252" i="8" l="1"/>
  <c r="DH252" i="8" s="1"/>
  <c r="CN252" i="8"/>
  <c r="DG253" i="8" l="1"/>
  <c r="CN253" i="8"/>
  <c r="CN254" i="8" l="1"/>
  <c r="DG254" i="8"/>
  <c r="DH254" i="8" s="1"/>
  <c r="CN255" i="8" l="1"/>
  <c r="DG255" i="8"/>
  <c r="DH255" i="8" s="1"/>
  <c r="CN256" i="8" l="1"/>
  <c r="DG256" i="8"/>
  <c r="DH256" i="8" s="1"/>
  <c r="DG257" i="8" l="1"/>
  <c r="DH257" i="8" s="1"/>
  <c r="CN257" i="8"/>
  <c r="CN258" i="8" l="1"/>
  <c r="DG258" i="8"/>
  <c r="DH258" i="8" s="1"/>
  <c r="CN259" i="8" l="1"/>
  <c r="DG259" i="8"/>
  <c r="DH259" i="8" s="1"/>
  <c r="CN260" i="8" l="1"/>
  <c r="DG260" i="8"/>
  <c r="DH260" i="8" s="1"/>
  <c r="CN261" i="8" l="1"/>
  <c r="DG261" i="8"/>
  <c r="DH261" i="8" s="1"/>
  <c r="DG262" i="8" l="1"/>
  <c r="DH262" i="8" s="1"/>
  <c r="CN262" i="8"/>
  <c r="DG263" i="8" l="1"/>
  <c r="DH263" i="8" s="1"/>
  <c r="CN263" i="8"/>
  <c r="DG264" i="8" l="1"/>
  <c r="DH264" i="8" s="1"/>
  <c r="CN264" i="8"/>
  <c r="AB82" i="1" l="1"/>
  <c r="FI26" i="8" l="1"/>
  <c r="FH26" i="8" s="1"/>
  <c r="N15" i="22" l="1"/>
  <c r="BZ5" i="8"/>
  <c r="E120" i="4" l="1"/>
  <c r="E118" i="4"/>
  <c r="E115" i="4"/>
  <c r="E116" i="4"/>
  <c r="E117" i="4"/>
  <c r="H9" i="4" l="1"/>
  <c r="X1" i="1" s="1"/>
  <c r="S1" i="1"/>
  <c r="C260" i="7" l="1"/>
  <c r="C261" i="7"/>
  <c r="CF25" i="8" l="1"/>
  <c r="CF26" i="8" s="1"/>
  <c r="CG26" i="8" s="1"/>
  <c r="BY1" i="8"/>
  <c r="BO24" i="8" s="1"/>
  <c r="BO25" i="8" s="1"/>
  <c r="BO26" i="8" s="1"/>
  <c r="CF27" i="8" l="1"/>
  <c r="CG27" i="8" s="1"/>
  <c r="BO27" i="8"/>
  <c r="CF28" i="8" l="1"/>
  <c r="CG28" i="8" s="1"/>
  <c r="BO28" i="8"/>
  <c r="CF29" i="8" l="1"/>
  <c r="CG29" i="8" s="1"/>
  <c r="BO29" i="8"/>
  <c r="BO30" i="8" l="1"/>
  <c r="CF30" i="8"/>
  <c r="CG30" i="8" s="1"/>
  <c r="DH37" i="8" l="1"/>
  <c r="DH253" i="8"/>
  <c r="DH205" i="8"/>
  <c r="DH157" i="8"/>
  <c r="DH109" i="8"/>
  <c r="DH61" i="8"/>
  <c r="DH241" i="8"/>
  <c r="DH193" i="8"/>
  <c r="DH145" i="8"/>
  <c r="DH97" i="8"/>
  <c r="DH49" i="8"/>
  <c r="DH217" i="8"/>
  <c r="DH169" i="8"/>
  <c r="DH121" i="8"/>
  <c r="DH73" i="8"/>
  <c r="DH229" i="8"/>
  <c r="DH181" i="8"/>
  <c r="DH133" i="8"/>
  <c r="DH85" i="8"/>
  <c r="BO31" i="8"/>
  <c r="CF31" i="8"/>
  <c r="CG31" i="8" s="1"/>
  <c r="L259" i="7"/>
  <c r="C272" i="7" s="1"/>
  <c r="BO32" i="8" l="1"/>
  <c r="CF32" i="8"/>
  <c r="CG32" i="8" s="1"/>
  <c r="BO33" i="8" l="1"/>
  <c r="CF33" i="8"/>
  <c r="CG33" i="8" s="1"/>
  <c r="AC12" i="7"/>
  <c r="BO34" i="8" l="1"/>
  <c r="CF34" i="8"/>
  <c r="CG34" i="8" s="1"/>
  <c r="BO35" i="8" l="1"/>
  <c r="CF35" i="8"/>
  <c r="CG35" i="8" s="1"/>
  <c r="BO36" i="8" l="1"/>
  <c r="CF36" i="8"/>
  <c r="CG36" i="8" s="1"/>
  <c r="O117" i="2" l="1"/>
  <c r="C117" i="2"/>
  <c r="W117" i="2"/>
  <c r="K117" i="2"/>
  <c r="S117" i="2"/>
  <c r="D10" i="4"/>
  <c r="AE12" i="7"/>
  <c r="CF37" i="8"/>
  <c r="CG37" i="8" s="1"/>
  <c r="BO37" i="8"/>
  <c r="AD82" i="1"/>
  <c r="AF89" i="1" l="1"/>
  <c r="AC329" i="1"/>
  <c r="AF331" i="1"/>
  <c r="AE331" i="1" s="1"/>
  <c r="AC337" i="1"/>
  <c r="AF339" i="1"/>
  <c r="AE339" i="1" s="1"/>
  <c r="AC345" i="1"/>
  <c r="AF347" i="1"/>
  <c r="AE347" i="1" s="1"/>
  <c r="AC353" i="1"/>
  <c r="AF355" i="1"/>
  <c r="AE355" i="1" s="1"/>
  <c r="AC361" i="1"/>
  <c r="AF363" i="1"/>
  <c r="AE363" i="1" s="1"/>
  <c r="AC369" i="1"/>
  <c r="AF371" i="1"/>
  <c r="AE371" i="1" s="1"/>
  <c r="AC377" i="1"/>
  <c r="AF379" i="1"/>
  <c r="AE379" i="1" s="1"/>
  <c r="AC385" i="1"/>
  <c r="AC332" i="1"/>
  <c r="AF334" i="1"/>
  <c r="AE334" i="1" s="1"/>
  <c r="AC340" i="1"/>
  <c r="AF342" i="1"/>
  <c r="AE342" i="1" s="1"/>
  <c r="AC348" i="1"/>
  <c r="AF350" i="1"/>
  <c r="AE350" i="1" s="1"/>
  <c r="AC356" i="1"/>
  <c r="AF358" i="1"/>
  <c r="AE358" i="1" s="1"/>
  <c r="AC364" i="1"/>
  <c r="AF366" i="1"/>
  <c r="AE366" i="1" s="1"/>
  <c r="AC372" i="1"/>
  <c r="AF374" i="1"/>
  <c r="AE374" i="1" s="1"/>
  <c r="AC380" i="1"/>
  <c r="AF382" i="1"/>
  <c r="AE382" i="1" s="1"/>
  <c r="AC387" i="1"/>
  <c r="AF329" i="1"/>
  <c r="AE329" i="1" s="1"/>
  <c r="AC335" i="1"/>
  <c r="AF337" i="1"/>
  <c r="AE337" i="1" s="1"/>
  <c r="AC343" i="1"/>
  <c r="AF345" i="1"/>
  <c r="AE345" i="1" s="1"/>
  <c r="AC351" i="1"/>
  <c r="AF353" i="1"/>
  <c r="AE353" i="1" s="1"/>
  <c r="AC359" i="1"/>
  <c r="AF361" i="1"/>
  <c r="AE361" i="1" s="1"/>
  <c r="AC367" i="1"/>
  <c r="AF369" i="1"/>
  <c r="AE369" i="1" s="1"/>
  <c r="AC375" i="1"/>
  <c r="AF377" i="1"/>
  <c r="AE377" i="1" s="1"/>
  <c r="AC383" i="1"/>
  <c r="AF385" i="1"/>
  <c r="AE385" i="1" s="1"/>
  <c r="AC330" i="1"/>
  <c r="AF332" i="1"/>
  <c r="AE332" i="1" s="1"/>
  <c r="AC338" i="1"/>
  <c r="AF340" i="1"/>
  <c r="AE340" i="1" s="1"/>
  <c r="AC346" i="1"/>
  <c r="AF348" i="1"/>
  <c r="AE348" i="1" s="1"/>
  <c r="AC354" i="1"/>
  <c r="AF356" i="1"/>
  <c r="AE356" i="1" s="1"/>
  <c r="AC362" i="1"/>
  <c r="AF364" i="1"/>
  <c r="AE364" i="1" s="1"/>
  <c r="AC370" i="1"/>
  <c r="AF372" i="1"/>
  <c r="AE372" i="1" s="1"/>
  <c r="AC378" i="1"/>
  <c r="AF380" i="1"/>
  <c r="AE380" i="1" s="1"/>
  <c r="AC386" i="1"/>
  <c r="AF387" i="1"/>
  <c r="AE387" i="1" s="1"/>
  <c r="AC333" i="1"/>
  <c r="AF335" i="1"/>
  <c r="AE335" i="1" s="1"/>
  <c r="AC341" i="1"/>
  <c r="AF343" i="1"/>
  <c r="AE343" i="1" s="1"/>
  <c r="AC349" i="1"/>
  <c r="AF351" i="1"/>
  <c r="AE351" i="1" s="1"/>
  <c r="AC357" i="1"/>
  <c r="AF359" i="1"/>
  <c r="AE359" i="1" s="1"/>
  <c r="AC365" i="1"/>
  <c r="AF367" i="1"/>
  <c r="AE367" i="1" s="1"/>
  <c r="AC373" i="1"/>
  <c r="AF375" i="1"/>
  <c r="AE375" i="1" s="1"/>
  <c r="AC381" i="1"/>
  <c r="AF383" i="1"/>
  <c r="AE383" i="1" s="1"/>
  <c r="AC328" i="1"/>
  <c r="AF330" i="1"/>
  <c r="AE330" i="1" s="1"/>
  <c r="AC336" i="1"/>
  <c r="AF338" i="1"/>
  <c r="AE338" i="1" s="1"/>
  <c r="AC344" i="1"/>
  <c r="AF346" i="1"/>
  <c r="AE346" i="1" s="1"/>
  <c r="AC352" i="1"/>
  <c r="AF354" i="1"/>
  <c r="AE354" i="1" s="1"/>
  <c r="AC360" i="1"/>
  <c r="AF362" i="1"/>
  <c r="AE362" i="1" s="1"/>
  <c r="AC368" i="1"/>
  <c r="AF370" i="1"/>
  <c r="AE370" i="1" s="1"/>
  <c r="AC376" i="1"/>
  <c r="AF378" i="1"/>
  <c r="AE378" i="1" s="1"/>
  <c r="AC384" i="1"/>
  <c r="AF386" i="1"/>
  <c r="AE386" i="1" s="1"/>
  <c r="AC331" i="1"/>
  <c r="AF333" i="1"/>
  <c r="AE333" i="1" s="1"/>
  <c r="AC339" i="1"/>
  <c r="AF341" i="1"/>
  <c r="AE341" i="1" s="1"/>
  <c r="AC347" i="1"/>
  <c r="AF349" i="1"/>
  <c r="AE349" i="1" s="1"/>
  <c r="AC355" i="1"/>
  <c r="AF357" i="1"/>
  <c r="AE357" i="1" s="1"/>
  <c r="AC363" i="1"/>
  <c r="AF365" i="1"/>
  <c r="AE365" i="1" s="1"/>
  <c r="AC371" i="1"/>
  <c r="AF373" i="1"/>
  <c r="AE373" i="1" s="1"/>
  <c r="AC379" i="1"/>
  <c r="AF381" i="1"/>
  <c r="AE381" i="1" s="1"/>
  <c r="AF328" i="1"/>
  <c r="AE328" i="1" s="1"/>
  <c r="AC334" i="1"/>
  <c r="AF336" i="1"/>
  <c r="AE336" i="1" s="1"/>
  <c r="AC342" i="1"/>
  <c r="AF344" i="1"/>
  <c r="AE344" i="1" s="1"/>
  <c r="AC350" i="1"/>
  <c r="AF352" i="1"/>
  <c r="AE352" i="1" s="1"/>
  <c r="AC358" i="1"/>
  <c r="AF360" i="1"/>
  <c r="AE360" i="1" s="1"/>
  <c r="AC366" i="1"/>
  <c r="AF368" i="1"/>
  <c r="AE368" i="1" s="1"/>
  <c r="AC374" i="1"/>
  <c r="AF376" i="1"/>
  <c r="AE376" i="1" s="1"/>
  <c r="AC382" i="1"/>
  <c r="AF384" i="1"/>
  <c r="AE384" i="1" s="1"/>
  <c r="C78" i="1"/>
  <c r="AB117" i="2"/>
  <c r="E117" i="2"/>
  <c r="E123" i="2" s="1"/>
  <c r="G117" i="2"/>
  <c r="U117" i="2"/>
  <c r="T117" i="2"/>
  <c r="Y117" i="2"/>
  <c r="X117" i="2"/>
  <c r="BN3" i="4"/>
  <c r="AG4" i="4" s="1"/>
  <c r="AG218" i="7"/>
  <c r="AF218" i="7" s="1"/>
  <c r="AD234" i="7"/>
  <c r="AD85" i="7"/>
  <c r="AD203" i="7"/>
  <c r="AD37" i="7"/>
  <c r="AD83" i="7"/>
  <c r="AD155" i="7"/>
  <c r="AD138" i="7"/>
  <c r="AD19" i="7"/>
  <c r="AD123" i="7"/>
  <c r="AD201" i="7"/>
  <c r="AD195" i="7"/>
  <c r="AD218" i="7"/>
  <c r="AD223" i="7"/>
  <c r="AD179" i="7"/>
  <c r="AD158" i="7"/>
  <c r="AD143" i="7"/>
  <c r="AD202" i="7"/>
  <c r="AD207" i="7"/>
  <c r="AD154" i="7"/>
  <c r="AD126" i="7"/>
  <c r="AD214" i="7"/>
  <c r="AD233" i="7"/>
  <c r="AD144" i="7"/>
  <c r="AD61" i="7"/>
  <c r="AD167" i="7"/>
  <c r="AD159" i="7"/>
  <c r="AD147" i="7"/>
  <c r="AD177" i="7"/>
  <c r="AD68" i="7"/>
  <c r="AD118" i="7"/>
  <c r="AD227" i="7"/>
  <c r="AD250" i="7"/>
  <c r="AD186" i="7"/>
  <c r="AD239" i="7"/>
  <c r="AD135" i="7"/>
  <c r="AD246" i="7"/>
  <c r="AD170" i="7"/>
  <c r="AD257" i="7"/>
  <c r="AD153" i="7"/>
  <c r="AD176" i="7"/>
  <c r="AD102" i="7"/>
  <c r="AD72" i="7"/>
  <c r="AG172" i="7"/>
  <c r="AF172" i="7" s="1"/>
  <c r="AD235" i="7"/>
  <c r="AD230" i="7"/>
  <c r="AD109" i="7"/>
  <c r="AD92" i="7"/>
  <c r="AD225" i="7"/>
  <c r="AD121" i="7"/>
  <c r="AD208" i="7"/>
  <c r="AD99" i="7"/>
  <c r="AD70" i="7"/>
  <c r="AD255" i="7"/>
  <c r="AD191" i="7"/>
  <c r="AD69" i="7"/>
  <c r="AD198" i="7"/>
  <c r="AD45" i="7"/>
  <c r="AD122" i="7"/>
  <c r="AD241" i="7"/>
  <c r="AD193" i="7"/>
  <c r="AD89" i="7"/>
  <c r="AD224" i="7"/>
  <c r="AD104" i="7"/>
  <c r="AG257" i="7"/>
  <c r="AF257" i="7" s="1"/>
  <c r="AG193" i="7"/>
  <c r="AF193" i="7" s="1"/>
  <c r="AG123" i="7"/>
  <c r="AF123" i="7" s="1"/>
  <c r="AD249" i="7"/>
  <c r="AD209" i="7"/>
  <c r="AD169" i="7"/>
  <c r="AD57" i="7"/>
  <c r="AD240" i="7"/>
  <c r="AD160" i="7"/>
  <c r="AD40" i="7"/>
  <c r="AD35" i="7"/>
  <c r="AD38" i="7"/>
  <c r="AG229" i="7"/>
  <c r="AF229" i="7" s="1"/>
  <c r="AG151" i="7"/>
  <c r="AF151" i="7" s="1"/>
  <c r="AG187" i="7"/>
  <c r="AF187" i="7" s="1"/>
  <c r="AG244" i="7"/>
  <c r="AF244" i="7" s="1"/>
  <c r="AG69" i="7"/>
  <c r="AF69" i="7" s="1"/>
  <c r="AG144" i="7"/>
  <c r="AF144" i="7" s="1"/>
  <c r="AG223" i="7"/>
  <c r="AF223" i="7" s="1"/>
  <c r="AD217" i="7"/>
  <c r="AD185" i="7"/>
  <c r="AD137" i="7"/>
  <c r="AD256" i="7"/>
  <c r="AD192" i="7"/>
  <c r="AD128" i="7"/>
  <c r="AD115" i="7"/>
  <c r="AD51" i="7"/>
  <c r="AD86" i="7"/>
  <c r="AG236" i="7"/>
  <c r="AF236" i="7" s="1"/>
  <c r="AG101" i="7"/>
  <c r="AF101" i="7" s="1"/>
  <c r="AG208" i="7"/>
  <c r="AF208" i="7" s="1"/>
  <c r="AG180" i="7"/>
  <c r="AF180" i="7" s="1"/>
  <c r="AG137" i="7"/>
  <c r="AF137" i="7" s="1"/>
  <c r="AG159" i="7"/>
  <c r="AF159" i="7" s="1"/>
  <c r="AG81" i="7"/>
  <c r="AF81" i="7" s="1"/>
  <c r="AG253" i="7"/>
  <c r="AF253" i="7" s="1"/>
  <c r="AG46" i="7"/>
  <c r="AF46" i="7" s="1"/>
  <c r="AG168" i="7"/>
  <c r="AF168" i="7" s="1"/>
  <c r="AG79" i="7"/>
  <c r="AF79" i="7" s="1"/>
  <c r="AG125" i="7"/>
  <c r="AF125" i="7" s="1"/>
  <c r="AG250" i="7"/>
  <c r="AF250" i="7" s="1"/>
  <c r="AG64" i="7"/>
  <c r="AF64" i="7" s="1"/>
  <c r="AG162" i="7"/>
  <c r="AF162" i="7" s="1"/>
  <c r="AD54" i="7"/>
  <c r="AG215" i="7"/>
  <c r="AF215" i="7" s="1"/>
  <c r="AG129" i="7"/>
  <c r="AF129" i="7" s="1"/>
  <c r="AG251" i="7"/>
  <c r="AF251" i="7" s="1"/>
  <c r="AG165" i="7"/>
  <c r="AF165" i="7" s="1"/>
  <c r="AG59" i="7"/>
  <c r="AF59" i="7" s="1"/>
  <c r="AG201" i="7"/>
  <c r="AF201" i="7" s="1"/>
  <c r="AG113" i="7"/>
  <c r="AF113" i="7" s="1"/>
  <c r="AG211" i="7"/>
  <c r="AF211" i="7" s="1"/>
  <c r="AG111" i="7"/>
  <c r="AF111" i="7" s="1"/>
  <c r="AG138" i="7"/>
  <c r="AF138" i="7" s="1"/>
  <c r="AG170" i="7"/>
  <c r="AF170" i="7" s="1"/>
  <c r="AG198" i="7"/>
  <c r="AF198" i="7" s="1"/>
  <c r="AG222" i="7"/>
  <c r="AF222" i="7" s="1"/>
  <c r="AG238" i="7"/>
  <c r="AF238" i="7" s="1"/>
  <c r="AG254" i="7"/>
  <c r="AF254" i="7" s="1"/>
  <c r="AG34" i="7"/>
  <c r="AF34" i="7" s="1"/>
  <c r="AG115" i="7"/>
  <c r="AF115" i="7" s="1"/>
  <c r="AG39" i="7"/>
  <c r="AF39" i="7" s="1"/>
  <c r="AG72" i="7"/>
  <c r="AF72" i="7" s="1"/>
  <c r="AG104" i="7"/>
  <c r="AF104" i="7" s="1"/>
  <c r="AG131" i="7"/>
  <c r="AF131" i="7" s="1"/>
  <c r="AG152" i="7"/>
  <c r="AF152" i="7" s="1"/>
  <c r="AG173" i="7"/>
  <c r="AF173" i="7" s="1"/>
  <c r="AG195" i="7"/>
  <c r="AF195" i="7" s="1"/>
  <c r="AG216" i="7"/>
  <c r="AF216" i="7" s="1"/>
  <c r="AG237" i="7"/>
  <c r="AF237" i="7" s="1"/>
  <c r="AG56" i="7"/>
  <c r="AF56" i="7" s="1"/>
  <c r="AG89" i="7"/>
  <c r="AF89" i="7" s="1"/>
  <c r="AG121" i="7"/>
  <c r="AF121" i="7" s="1"/>
  <c r="AG143" i="7"/>
  <c r="AF143" i="7" s="1"/>
  <c r="AG164" i="7"/>
  <c r="AF164" i="7" s="1"/>
  <c r="AG185" i="7"/>
  <c r="AF185" i="7" s="1"/>
  <c r="AG207" i="7"/>
  <c r="AF207" i="7" s="1"/>
  <c r="AG228" i="7"/>
  <c r="AF228" i="7" s="1"/>
  <c r="AG249" i="7"/>
  <c r="AF249" i="7" s="1"/>
  <c r="AG35" i="7"/>
  <c r="AF35" i="7" s="1"/>
  <c r="AG68" i="7"/>
  <c r="AF68" i="7" s="1"/>
  <c r="AG128" i="7"/>
  <c r="AF128" i="7" s="1"/>
  <c r="AG149" i="7"/>
  <c r="AF149" i="7" s="1"/>
  <c r="AG171" i="7"/>
  <c r="AF171" i="7" s="1"/>
  <c r="AG192" i="7"/>
  <c r="AF192" i="7" s="1"/>
  <c r="AG213" i="7"/>
  <c r="AF213" i="7" s="1"/>
  <c r="AG235" i="7"/>
  <c r="AF235" i="7" s="1"/>
  <c r="AG256" i="7"/>
  <c r="AF256" i="7" s="1"/>
  <c r="AG44" i="7"/>
  <c r="AF44" i="7" s="1"/>
  <c r="AG109" i="7"/>
  <c r="AF109" i="7" s="1"/>
  <c r="AG135" i="7"/>
  <c r="AF135" i="7" s="1"/>
  <c r="AG156" i="7"/>
  <c r="AF156" i="7" s="1"/>
  <c r="AG177" i="7"/>
  <c r="AF177" i="7" s="1"/>
  <c r="AG199" i="7"/>
  <c r="AF199" i="7" s="1"/>
  <c r="AG220" i="7"/>
  <c r="AF220" i="7" s="1"/>
  <c r="AG241" i="7"/>
  <c r="AF241" i="7" s="1"/>
  <c r="AD22" i="7"/>
  <c r="AD42" i="7"/>
  <c r="AD74" i="7"/>
  <c r="AD90" i="7"/>
  <c r="AD39" i="7"/>
  <c r="AD55" i="7"/>
  <c r="AD71" i="7"/>
  <c r="AD87" i="7"/>
  <c r="AD103" i="7"/>
  <c r="AD119" i="7"/>
  <c r="AD80" i="7"/>
  <c r="AD112" i="7"/>
  <c r="AD132" i="7"/>
  <c r="AD148" i="7"/>
  <c r="AD164" i="7"/>
  <c r="AD180" i="7"/>
  <c r="AD196" i="7"/>
  <c r="AD212" i="7"/>
  <c r="AD228" i="7"/>
  <c r="AD244" i="7"/>
  <c r="AD28" i="7"/>
  <c r="AD84" i="7"/>
  <c r="AD134" i="7"/>
  <c r="AD166" i="7"/>
  <c r="AD65" i="7"/>
  <c r="AD97" i="7"/>
  <c r="AD125" i="7"/>
  <c r="AD141" i="7"/>
  <c r="AD157" i="7"/>
  <c r="AG94" i="7"/>
  <c r="AF94" i="7" s="1"/>
  <c r="AG142" i="7"/>
  <c r="AF142" i="7" s="1"/>
  <c r="AG178" i="7"/>
  <c r="AF178" i="7" s="1"/>
  <c r="AG210" i="7"/>
  <c r="AF210" i="7" s="1"/>
  <c r="AG226" i="7"/>
  <c r="AF226" i="7" s="1"/>
  <c r="AG242" i="7"/>
  <c r="AF242" i="7" s="1"/>
  <c r="AG38" i="7"/>
  <c r="AF38" i="7" s="1"/>
  <c r="AG54" i="7"/>
  <c r="AF54" i="7" s="1"/>
  <c r="AG71" i="7"/>
  <c r="AF71" i="7" s="1"/>
  <c r="AG87" i="7"/>
  <c r="AF87" i="7" s="1"/>
  <c r="AG103" i="7"/>
  <c r="AF103" i="7" s="1"/>
  <c r="AG47" i="7"/>
  <c r="AF47" i="7" s="1"/>
  <c r="AG80" i="7"/>
  <c r="AF80" i="7" s="1"/>
  <c r="AG112" i="7"/>
  <c r="AF112" i="7" s="1"/>
  <c r="AG136" i="7"/>
  <c r="AF136" i="7" s="1"/>
  <c r="AG157" i="7"/>
  <c r="AF157" i="7" s="1"/>
  <c r="AG179" i="7"/>
  <c r="AF179" i="7" s="1"/>
  <c r="AG200" i="7"/>
  <c r="AF200" i="7" s="1"/>
  <c r="AG221" i="7"/>
  <c r="AF221" i="7" s="1"/>
  <c r="AG243" i="7"/>
  <c r="AF243" i="7" s="1"/>
  <c r="AG65" i="7"/>
  <c r="AF65" i="7" s="1"/>
  <c r="AG97" i="7"/>
  <c r="AF97" i="7" s="1"/>
  <c r="AG127" i="7"/>
  <c r="AF127" i="7" s="1"/>
  <c r="AG148" i="7"/>
  <c r="AF148" i="7" s="1"/>
  <c r="AG169" i="7"/>
  <c r="AF169" i="7" s="1"/>
  <c r="AG191" i="7"/>
  <c r="AF191" i="7" s="1"/>
  <c r="AG212" i="7"/>
  <c r="AF212" i="7" s="1"/>
  <c r="AG233" i="7"/>
  <c r="AF233" i="7" s="1"/>
  <c r="AG108" i="7"/>
  <c r="AF108" i="7" s="1"/>
  <c r="AG133" i="7"/>
  <c r="AF133" i="7" s="1"/>
  <c r="AG155" i="7"/>
  <c r="AF155" i="7" s="1"/>
  <c r="AG176" i="7"/>
  <c r="AF176" i="7" s="1"/>
  <c r="AG197" i="7"/>
  <c r="AF197" i="7" s="1"/>
  <c r="AG219" i="7"/>
  <c r="AF219" i="7" s="1"/>
  <c r="AG240" i="7"/>
  <c r="AF240" i="7" s="1"/>
  <c r="AG20" i="7"/>
  <c r="AF20" i="7" s="1"/>
  <c r="AG85" i="7"/>
  <c r="AF85" i="7" s="1"/>
  <c r="AG117" i="7"/>
  <c r="AF117" i="7" s="1"/>
  <c r="AG140" i="7"/>
  <c r="AF140" i="7" s="1"/>
  <c r="AG161" i="7"/>
  <c r="AF161" i="7" s="1"/>
  <c r="AG183" i="7"/>
  <c r="AF183" i="7" s="1"/>
  <c r="AG204" i="7"/>
  <c r="AF204" i="7" s="1"/>
  <c r="AG225" i="7"/>
  <c r="AF225" i="7" s="1"/>
  <c r="AG247" i="7"/>
  <c r="AF247" i="7" s="1"/>
  <c r="AD46" i="7"/>
  <c r="AD78" i="7"/>
  <c r="AD94" i="7"/>
  <c r="AD110" i="7"/>
  <c r="AD59" i="7"/>
  <c r="AD75" i="7"/>
  <c r="AD91" i="7"/>
  <c r="AD107" i="7"/>
  <c r="AD56" i="7"/>
  <c r="AD88" i="7"/>
  <c r="AD120" i="7"/>
  <c r="AD136" i="7"/>
  <c r="AD152" i="7"/>
  <c r="AD168" i="7"/>
  <c r="AD184" i="7"/>
  <c r="AD200" i="7"/>
  <c r="AD216" i="7"/>
  <c r="AD232" i="7"/>
  <c r="AD248" i="7"/>
  <c r="AD100" i="7"/>
  <c r="AD142" i="7"/>
  <c r="AD174" i="7"/>
  <c r="AD41" i="7"/>
  <c r="AD73" i="7"/>
  <c r="AD105" i="7"/>
  <c r="AD129" i="7"/>
  <c r="AD145" i="7"/>
  <c r="AD161" i="7"/>
  <c r="AD243" i="7"/>
  <c r="AD175" i="7"/>
  <c r="AD20" i="7"/>
  <c r="AD226" i="7"/>
  <c r="AD194" i="7"/>
  <c r="AD139" i="7"/>
  <c r="AD29" i="7"/>
  <c r="AD231" i="7"/>
  <c r="AD199" i="7"/>
  <c r="AD151" i="7"/>
  <c r="AD53" i="7"/>
  <c r="AD219" i="7"/>
  <c r="AD127" i="7"/>
  <c r="AD238" i="7"/>
  <c r="AD206" i="7"/>
  <c r="AD163" i="7"/>
  <c r="AD162" i="7"/>
  <c r="AD130" i="7"/>
  <c r="AD253" i="7"/>
  <c r="AD237" i="7"/>
  <c r="AD221" i="7"/>
  <c r="AD205" i="7"/>
  <c r="AD189" i="7"/>
  <c r="AD173" i="7"/>
  <c r="AD149" i="7"/>
  <c r="AD113" i="7"/>
  <c r="AD150" i="7"/>
  <c r="AD52" i="7"/>
  <c r="AD236" i="7"/>
  <c r="AD204" i="7"/>
  <c r="AD172" i="7"/>
  <c r="AD140" i="7"/>
  <c r="AD96" i="7"/>
  <c r="AD32" i="7"/>
  <c r="AD95" i="7"/>
  <c r="AD63" i="7"/>
  <c r="AD98" i="7"/>
  <c r="AD66" i="7"/>
  <c r="AD34" i="7"/>
  <c r="AG231" i="7"/>
  <c r="AF231" i="7" s="1"/>
  <c r="AG188" i="7"/>
  <c r="AF188" i="7" s="1"/>
  <c r="AG224" i="7"/>
  <c r="AF224" i="7" s="1"/>
  <c r="AG181" i="7"/>
  <c r="AF181" i="7" s="1"/>
  <c r="AG139" i="7"/>
  <c r="AF139" i="7" s="1"/>
  <c r="AG84" i="7"/>
  <c r="AF84" i="7" s="1"/>
  <c r="AG19" i="7"/>
  <c r="AF19" i="7" s="1"/>
  <c r="AG217" i="7"/>
  <c r="AF217" i="7" s="1"/>
  <c r="AG175" i="7"/>
  <c r="AF175" i="7" s="1"/>
  <c r="AG132" i="7"/>
  <c r="AF132" i="7" s="1"/>
  <c r="AG73" i="7"/>
  <c r="AF73" i="7" s="1"/>
  <c r="AG248" i="7"/>
  <c r="AF248" i="7" s="1"/>
  <c r="AG205" i="7"/>
  <c r="AF205" i="7" s="1"/>
  <c r="AG163" i="7"/>
  <c r="AF163" i="7" s="1"/>
  <c r="AG120" i="7"/>
  <c r="AF120" i="7" s="1"/>
  <c r="AG107" i="7"/>
  <c r="AF107" i="7" s="1"/>
  <c r="AG42" i="7"/>
  <c r="AF42" i="7" s="1"/>
  <c r="AG246" i="7"/>
  <c r="AF246" i="7" s="1"/>
  <c r="AG214" i="7"/>
  <c r="AF214" i="7" s="1"/>
  <c r="AG146" i="7"/>
  <c r="AF146" i="7" s="1"/>
  <c r="AG232" i="7"/>
  <c r="AF232" i="7" s="1"/>
  <c r="AG189" i="7"/>
  <c r="AF189" i="7" s="1"/>
  <c r="AG147" i="7"/>
  <c r="AF147" i="7" s="1"/>
  <c r="AG96" i="7"/>
  <c r="AF96" i="7" s="1"/>
  <c r="AG31" i="7"/>
  <c r="AF31" i="7" s="1"/>
  <c r="AG95" i="7"/>
  <c r="AF95" i="7" s="1"/>
  <c r="AG234" i="7"/>
  <c r="AF234" i="7" s="1"/>
  <c r="AG194" i="7"/>
  <c r="AF194" i="7" s="1"/>
  <c r="AG114" i="7"/>
  <c r="AF114" i="7" s="1"/>
  <c r="AD211" i="7"/>
  <c r="AD101" i="7"/>
  <c r="AD242" i="7"/>
  <c r="AD210" i="7"/>
  <c r="AD171" i="7"/>
  <c r="AD93" i="7"/>
  <c r="AD247" i="7"/>
  <c r="AD215" i="7"/>
  <c r="AD183" i="7"/>
  <c r="AD117" i="7"/>
  <c r="AD251" i="7"/>
  <c r="AD187" i="7"/>
  <c r="AD254" i="7"/>
  <c r="AD222" i="7"/>
  <c r="AD190" i="7"/>
  <c r="AD131" i="7"/>
  <c r="AD178" i="7"/>
  <c r="AD146" i="7"/>
  <c r="AD108" i="7"/>
  <c r="AD44" i="7"/>
  <c r="AD245" i="7"/>
  <c r="AD229" i="7"/>
  <c r="AD213" i="7"/>
  <c r="AD197" i="7"/>
  <c r="AD181" i="7"/>
  <c r="AD165" i="7"/>
  <c r="AD133" i="7"/>
  <c r="AD81" i="7"/>
  <c r="AD182" i="7"/>
  <c r="AD116" i="7"/>
  <c r="AD252" i="7"/>
  <c r="AD220" i="7"/>
  <c r="AD188" i="7"/>
  <c r="AD156" i="7"/>
  <c r="AD124" i="7"/>
  <c r="AD64" i="7"/>
  <c r="AD111" i="7"/>
  <c r="AD79" i="7"/>
  <c r="AD47" i="7"/>
  <c r="AD114" i="7"/>
  <c r="AD82" i="7"/>
  <c r="AG252" i="7"/>
  <c r="AF252" i="7" s="1"/>
  <c r="AG209" i="7"/>
  <c r="AF209" i="7" s="1"/>
  <c r="AG167" i="7"/>
  <c r="AF167" i="7" s="1"/>
  <c r="AG124" i="7"/>
  <c r="AF124" i="7" s="1"/>
  <c r="AG245" i="7"/>
  <c r="AF245" i="7" s="1"/>
  <c r="AG203" i="7"/>
  <c r="AF203" i="7" s="1"/>
  <c r="AG160" i="7"/>
  <c r="AF160" i="7" s="1"/>
  <c r="AG116" i="7"/>
  <c r="AF116" i="7" s="1"/>
  <c r="AG51" i="7"/>
  <c r="AF51" i="7" s="1"/>
  <c r="AG239" i="7"/>
  <c r="AF239" i="7" s="1"/>
  <c r="AG196" i="7"/>
  <c r="AF196" i="7" s="1"/>
  <c r="AG153" i="7"/>
  <c r="AF153" i="7" s="1"/>
  <c r="AG105" i="7"/>
  <c r="AF105" i="7" s="1"/>
  <c r="AG40" i="7"/>
  <c r="AF40" i="7" s="1"/>
  <c r="AG227" i="7"/>
  <c r="AF227" i="7" s="1"/>
  <c r="AG184" i="7"/>
  <c r="AF184" i="7" s="1"/>
  <c r="AG141" i="7"/>
  <c r="AF141" i="7" s="1"/>
  <c r="AG88" i="7"/>
  <c r="AF88" i="7" s="1"/>
  <c r="AG91" i="7"/>
  <c r="AF91" i="7" s="1"/>
  <c r="AG58" i="7"/>
  <c r="AF58" i="7" s="1"/>
  <c r="AG230" i="7"/>
  <c r="AF230" i="7" s="1"/>
  <c r="AG186" i="7"/>
  <c r="AF186" i="7" s="1"/>
  <c r="AG122" i="7"/>
  <c r="AF122" i="7" s="1"/>
  <c r="AG82" i="7"/>
  <c r="AF82" i="7" s="1"/>
  <c r="AG74" i="7"/>
  <c r="AF74" i="7" s="1"/>
  <c r="AG202" i="7"/>
  <c r="AF202" i="7" s="1"/>
  <c r="AG182" i="7"/>
  <c r="AF182" i="7" s="1"/>
  <c r="AG158" i="7"/>
  <c r="AF158" i="7" s="1"/>
  <c r="AG126" i="7"/>
  <c r="AF126" i="7" s="1"/>
  <c r="AG98" i="7"/>
  <c r="AF98" i="7" s="1"/>
  <c r="AG78" i="7"/>
  <c r="AF78" i="7" s="1"/>
  <c r="AG206" i="7"/>
  <c r="AF206" i="7" s="1"/>
  <c r="AG190" i="7"/>
  <c r="AF190" i="7" s="1"/>
  <c r="AG174" i="7"/>
  <c r="AF174" i="7" s="1"/>
  <c r="AG154" i="7"/>
  <c r="AF154" i="7" s="1"/>
  <c r="AG130" i="7"/>
  <c r="AF130" i="7" s="1"/>
  <c r="AG110" i="7"/>
  <c r="AF110" i="7" s="1"/>
  <c r="AG90" i="7"/>
  <c r="AF90" i="7" s="1"/>
  <c r="AG166" i="7"/>
  <c r="AF166" i="7" s="1"/>
  <c r="AG150" i="7"/>
  <c r="AF150" i="7" s="1"/>
  <c r="AG134" i="7"/>
  <c r="AF134" i="7" s="1"/>
  <c r="AG118" i="7"/>
  <c r="AF118" i="7" s="1"/>
  <c r="AG102" i="7"/>
  <c r="AF102" i="7" s="1"/>
  <c r="AG86" i="7"/>
  <c r="AF86" i="7" s="1"/>
  <c r="AG45" i="7"/>
  <c r="AF45" i="7" s="1"/>
  <c r="AG70" i="7"/>
  <c r="AF70" i="7" s="1"/>
  <c r="AG37" i="7"/>
  <c r="AF37" i="7" s="1"/>
  <c r="AC99" i="1"/>
  <c r="AC115" i="1"/>
  <c r="AC123" i="1"/>
  <c r="AC135" i="1"/>
  <c r="AC139" i="1"/>
  <c r="AC143" i="1"/>
  <c r="AC147" i="1"/>
  <c r="AC151" i="1"/>
  <c r="AC159" i="1"/>
  <c r="AC163" i="1"/>
  <c r="AC168" i="1"/>
  <c r="AC180" i="1"/>
  <c r="AC188" i="1"/>
  <c r="AC192" i="1"/>
  <c r="AC196" i="1"/>
  <c r="AC200" i="1"/>
  <c r="AC204" i="1"/>
  <c r="AC212" i="1"/>
  <c r="AC216" i="1"/>
  <c r="AC220" i="1"/>
  <c r="AC224" i="1"/>
  <c r="AC228" i="1"/>
  <c r="AC232" i="1"/>
  <c r="AC236" i="1"/>
  <c r="AC240" i="1"/>
  <c r="AC244" i="1"/>
  <c r="AC248" i="1"/>
  <c r="AC252" i="1"/>
  <c r="AC256" i="1"/>
  <c r="AC260" i="1"/>
  <c r="AC264" i="1"/>
  <c r="AC268" i="1"/>
  <c r="AC272" i="1"/>
  <c r="AC276" i="1"/>
  <c r="AC280" i="1"/>
  <c r="AC284" i="1"/>
  <c r="AC288" i="1"/>
  <c r="AC292" i="1"/>
  <c r="AC296" i="1"/>
  <c r="AC300" i="1"/>
  <c r="AC304" i="1"/>
  <c r="AC308" i="1"/>
  <c r="AC312" i="1"/>
  <c r="AC316" i="1"/>
  <c r="AC320" i="1"/>
  <c r="AC324" i="1"/>
  <c r="AC89" i="1"/>
  <c r="AC112" i="1"/>
  <c r="AC116" i="1"/>
  <c r="AC120" i="1"/>
  <c r="AC124" i="1"/>
  <c r="AC128" i="1"/>
  <c r="AC132" i="1"/>
  <c r="AC144" i="1"/>
  <c r="AC152" i="1"/>
  <c r="AC160" i="1"/>
  <c r="AC164" i="1"/>
  <c r="AC177" i="1"/>
  <c r="AC181" i="1"/>
  <c r="AC185" i="1"/>
  <c r="AC189" i="1"/>
  <c r="AC109" i="1"/>
  <c r="AC125" i="1"/>
  <c r="AC149" i="1"/>
  <c r="AC157" i="1"/>
  <c r="AC182" i="1"/>
  <c r="AC190" i="1"/>
  <c r="AC195" i="1"/>
  <c r="AC201" i="1"/>
  <c r="AC206" i="1"/>
  <c r="AC211" i="1"/>
  <c r="AC217" i="1"/>
  <c r="AC222" i="1"/>
  <c r="AC227" i="1"/>
  <c r="AC233" i="1"/>
  <c r="AC238" i="1"/>
  <c r="AC243" i="1"/>
  <c r="AC249" i="1"/>
  <c r="AC254" i="1"/>
  <c r="AC259" i="1"/>
  <c r="AC265" i="1"/>
  <c r="AC270" i="1"/>
  <c r="AC275" i="1"/>
  <c r="AC281" i="1"/>
  <c r="AC286" i="1"/>
  <c r="AC291" i="1"/>
  <c r="AC297" i="1"/>
  <c r="AC302" i="1"/>
  <c r="AC307" i="1"/>
  <c r="AC313" i="1"/>
  <c r="AC318" i="1"/>
  <c r="AC323" i="1"/>
  <c r="AC110" i="1"/>
  <c r="AC118" i="1"/>
  <c r="AC134" i="1"/>
  <c r="AC142" i="1"/>
  <c r="AC150" i="1"/>
  <c r="AC158" i="1"/>
  <c r="AC167" i="1"/>
  <c r="AC175" i="1"/>
  <c r="AC191" i="1"/>
  <c r="AC197" i="1"/>
  <c r="AC202" i="1"/>
  <c r="AC207" i="1"/>
  <c r="AC213" i="1"/>
  <c r="AC218" i="1"/>
  <c r="AC223" i="1"/>
  <c r="AC229" i="1"/>
  <c r="AC234" i="1"/>
  <c r="AC239" i="1"/>
  <c r="AC245" i="1"/>
  <c r="AC250" i="1"/>
  <c r="AC255" i="1"/>
  <c r="AC261" i="1"/>
  <c r="AC266" i="1"/>
  <c r="AC271" i="1"/>
  <c r="AC277" i="1"/>
  <c r="AC282" i="1"/>
  <c r="AC287" i="1"/>
  <c r="AC293" i="1"/>
  <c r="AC298" i="1"/>
  <c r="AC303" i="1"/>
  <c r="AC309" i="1"/>
  <c r="AC314" i="1"/>
  <c r="AC319" i="1"/>
  <c r="AC105" i="1"/>
  <c r="AC121" i="1"/>
  <c r="AC129" i="1"/>
  <c r="AC145" i="1"/>
  <c r="AC161" i="1"/>
  <c r="AC170" i="1"/>
  <c r="AC178" i="1"/>
  <c r="AC186" i="1"/>
  <c r="AC198" i="1"/>
  <c r="AC203" i="1"/>
  <c r="AC209" i="1"/>
  <c r="AC214" i="1"/>
  <c r="AC219" i="1"/>
  <c r="AC225" i="1"/>
  <c r="AC230" i="1"/>
  <c r="AC235" i="1"/>
  <c r="AC241" i="1"/>
  <c r="AC246" i="1"/>
  <c r="AC251" i="1"/>
  <c r="AC257" i="1"/>
  <c r="AC262" i="1"/>
  <c r="AC267" i="1"/>
  <c r="AC273" i="1"/>
  <c r="AC278" i="1"/>
  <c r="AC283" i="1"/>
  <c r="AC289" i="1"/>
  <c r="AC294" i="1"/>
  <c r="AC299" i="1"/>
  <c r="AC305" i="1"/>
  <c r="AC310" i="1"/>
  <c r="AC315" i="1"/>
  <c r="AC321" i="1"/>
  <c r="AC326" i="1"/>
  <c r="AC90" i="1"/>
  <c r="AC106" i="1"/>
  <c r="AC114" i="1"/>
  <c r="AC122" i="1"/>
  <c r="AC146" i="1"/>
  <c r="AC154" i="1"/>
  <c r="AC162" i="1"/>
  <c r="AC171" i="1"/>
  <c r="AC179" i="1"/>
  <c r="AC187" i="1"/>
  <c r="AC194" i="1"/>
  <c r="AC199" i="1"/>
  <c r="AC205" i="1"/>
  <c r="AC210" i="1"/>
  <c r="AC215" i="1"/>
  <c r="AC221" i="1"/>
  <c r="AC226" i="1"/>
  <c r="AC231" i="1"/>
  <c r="AC237" i="1"/>
  <c r="AC242" i="1"/>
  <c r="AC247" i="1"/>
  <c r="AC253" i="1"/>
  <c r="AC258" i="1"/>
  <c r="AC263" i="1"/>
  <c r="AC269" i="1"/>
  <c r="AC274" i="1"/>
  <c r="AC279" i="1"/>
  <c r="AC285" i="1"/>
  <c r="AC290" i="1"/>
  <c r="AC295" i="1"/>
  <c r="AC301" i="1"/>
  <c r="AC306" i="1"/>
  <c r="AC311" i="1"/>
  <c r="AC317" i="1"/>
  <c r="AC322" i="1"/>
  <c r="AC327" i="1"/>
  <c r="BO38" i="8"/>
  <c r="CF38" i="8"/>
  <c r="CG38" i="8" s="1"/>
  <c r="AF103" i="1"/>
  <c r="AF112" i="1"/>
  <c r="AF116" i="1"/>
  <c r="AF144" i="1"/>
  <c r="AF156" i="1"/>
  <c r="AF164" i="1"/>
  <c r="AF188" i="1"/>
  <c r="AF192" i="1"/>
  <c r="AF196" i="1"/>
  <c r="AF200" i="1"/>
  <c r="AF204" i="1"/>
  <c r="AF212" i="1"/>
  <c r="AF216" i="1"/>
  <c r="AF220" i="1"/>
  <c r="AF224" i="1"/>
  <c r="AF228" i="1"/>
  <c r="AF232" i="1"/>
  <c r="AF236" i="1"/>
  <c r="AF240" i="1"/>
  <c r="AF244" i="1"/>
  <c r="AF252" i="1"/>
  <c r="AF256" i="1"/>
  <c r="AF260" i="1"/>
  <c r="AF264" i="1"/>
  <c r="AF268" i="1"/>
  <c r="AF272" i="1"/>
  <c r="AF276" i="1"/>
  <c r="AF280" i="1"/>
  <c r="AF284" i="1"/>
  <c r="AF288" i="1"/>
  <c r="AF292" i="1"/>
  <c r="AF296" i="1"/>
  <c r="AF300" i="1"/>
  <c r="AF304" i="1"/>
  <c r="AF308" i="1"/>
  <c r="AF312" i="1"/>
  <c r="AF316" i="1"/>
  <c r="AF320" i="1"/>
  <c r="AF122" i="1"/>
  <c r="AF130" i="1"/>
  <c r="AF146" i="1"/>
  <c r="AF170" i="1"/>
  <c r="AF178" i="1"/>
  <c r="AF186" i="1"/>
  <c r="AF194" i="1"/>
  <c r="AF109" i="1"/>
  <c r="AF121" i="1"/>
  <c r="AF157" i="1"/>
  <c r="AF177" i="1"/>
  <c r="AF185" i="1"/>
  <c r="AF189" i="1"/>
  <c r="AF197" i="1"/>
  <c r="AF201" i="1"/>
  <c r="AF205" i="1"/>
  <c r="AF209" i="1"/>
  <c r="AF213" i="1"/>
  <c r="AF221" i="1"/>
  <c r="AF225" i="1"/>
  <c r="AF229" i="1"/>
  <c r="AF233" i="1"/>
  <c r="AF237" i="1"/>
  <c r="AF241" i="1"/>
  <c r="AF249" i="1"/>
  <c r="AF253" i="1"/>
  <c r="AF257" i="1"/>
  <c r="AF261" i="1"/>
  <c r="AF265" i="1"/>
  <c r="AF269" i="1"/>
  <c r="AF273" i="1"/>
  <c r="AF277" i="1"/>
  <c r="AF281" i="1"/>
  <c r="AF285" i="1"/>
  <c r="AF289" i="1"/>
  <c r="AF293" i="1"/>
  <c r="AF301" i="1"/>
  <c r="AF305" i="1"/>
  <c r="AF309" i="1"/>
  <c r="AF313" i="1"/>
  <c r="AF317" i="1"/>
  <c r="AF321" i="1"/>
  <c r="AF105" i="1"/>
  <c r="AF118" i="1"/>
  <c r="AF134" i="1"/>
  <c r="AF142" i="1"/>
  <c r="AF158" i="1"/>
  <c r="AF190" i="1"/>
  <c r="AF143" i="1"/>
  <c r="AF159" i="1"/>
  <c r="AF202" i="1"/>
  <c r="AF210" i="1"/>
  <c r="AF226" i="1"/>
  <c r="AF234" i="1"/>
  <c r="AF242" i="1"/>
  <c r="AF250" i="1"/>
  <c r="AF258" i="1"/>
  <c r="AF266" i="1"/>
  <c r="AF274" i="1"/>
  <c r="AF282" i="1"/>
  <c r="AF290" i="1"/>
  <c r="AF298" i="1"/>
  <c r="AF306" i="1"/>
  <c r="AF314" i="1"/>
  <c r="AF322" i="1"/>
  <c r="AF131" i="1"/>
  <c r="AF163" i="1"/>
  <c r="AF179" i="1"/>
  <c r="AF195" i="1"/>
  <c r="AF211" i="1"/>
  <c r="AF219" i="1"/>
  <c r="AF227" i="1"/>
  <c r="AF235" i="1"/>
  <c r="AF243" i="1"/>
  <c r="AF251" i="1"/>
  <c r="AF259" i="1"/>
  <c r="AF267" i="1"/>
  <c r="AF275" i="1"/>
  <c r="AF283" i="1"/>
  <c r="AF291" i="1"/>
  <c r="AF299" i="1"/>
  <c r="AF307" i="1"/>
  <c r="AF315" i="1"/>
  <c r="AF135" i="1"/>
  <c r="AF151" i="1"/>
  <c r="AF167" i="1"/>
  <c r="AF198" i="1"/>
  <c r="AF206" i="1"/>
  <c r="AF214" i="1"/>
  <c r="AF222" i="1"/>
  <c r="AF230" i="1"/>
  <c r="AF238" i="1"/>
  <c r="AF246" i="1"/>
  <c r="AF254" i="1"/>
  <c r="AF262" i="1"/>
  <c r="AF270" i="1"/>
  <c r="AF278" i="1"/>
  <c r="AF286" i="1"/>
  <c r="AF294" i="1"/>
  <c r="AF302" i="1"/>
  <c r="AF310" i="1"/>
  <c r="AF187" i="1"/>
  <c r="AF199" i="1"/>
  <c r="AF223" i="1"/>
  <c r="AF231" i="1"/>
  <c r="AF239" i="1"/>
  <c r="AF247" i="1"/>
  <c r="AF255" i="1"/>
  <c r="AF263" i="1"/>
  <c r="AF279" i="1"/>
  <c r="AF287" i="1"/>
  <c r="AF295" i="1"/>
  <c r="AF311" i="1"/>
  <c r="AF319" i="1"/>
  <c r="AB334" i="1" l="1"/>
  <c r="AB355" i="1"/>
  <c r="AB374" i="1"/>
  <c r="AB342" i="1"/>
  <c r="AB371" i="1"/>
  <c r="AB339" i="1"/>
  <c r="AB382" i="1"/>
  <c r="AB331" i="1"/>
  <c r="AB350" i="1"/>
  <c r="AB366" i="1"/>
  <c r="AB358" i="1"/>
  <c r="AB379" i="1"/>
  <c r="AB347" i="1"/>
  <c r="AB360" i="1"/>
  <c r="AB363" i="1"/>
  <c r="AB384" i="1"/>
  <c r="AB381" i="1"/>
  <c r="AB378" i="1"/>
  <c r="AB375" i="1"/>
  <c r="AB372" i="1"/>
  <c r="AB345" i="1"/>
  <c r="AB357" i="1"/>
  <c r="AB354" i="1"/>
  <c r="AB351" i="1"/>
  <c r="AB348" i="1"/>
  <c r="AB385" i="1"/>
  <c r="AB336" i="1"/>
  <c r="AB333" i="1"/>
  <c r="AB330" i="1"/>
  <c r="AB387" i="1"/>
  <c r="AB361" i="1"/>
  <c r="AB376" i="1"/>
  <c r="AB373" i="1"/>
  <c r="AB370" i="1"/>
  <c r="AB367" i="1"/>
  <c r="AB364" i="1"/>
  <c r="AB337" i="1"/>
  <c r="AB352" i="1"/>
  <c r="AB349" i="1"/>
  <c r="AB346" i="1"/>
  <c r="AB343" i="1"/>
  <c r="AB340" i="1"/>
  <c r="AB377" i="1"/>
  <c r="AB328" i="1"/>
  <c r="AB386" i="1"/>
  <c r="AB383" i="1"/>
  <c r="AB380" i="1"/>
  <c r="AB353" i="1"/>
  <c r="AB368" i="1"/>
  <c r="AB365" i="1"/>
  <c r="AB362" i="1"/>
  <c r="AB359" i="1"/>
  <c r="AB356" i="1"/>
  <c r="AB329" i="1"/>
  <c r="AB344" i="1"/>
  <c r="AB341" i="1"/>
  <c r="AB338" i="1"/>
  <c r="AB335" i="1"/>
  <c r="AB332" i="1"/>
  <c r="AB369" i="1"/>
  <c r="AE6" i="4"/>
  <c r="U123" i="2"/>
  <c r="Y123" i="2"/>
  <c r="AC218" i="7"/>
  <c r="AC114" i="7"/>
  <c r="AC150" i="7"/>
  <c r="AC206" i="7"/>
  <c r="AC110" i="7"/>
  <c r="AC244" i="7"/>
  <c r="AC166" i="7"/>
  <c r="AC142" i="7"/>
  <c r="AC171" i="7"/>
  <c r="AC211" i="7"/>
  <c r="AC38" i="7"/>
  <c r="AC131" i="7"/>
  <c r="AC210" i="7"/>
  <c r="AC200" i="7"/>
  <c r="AC177" i="7"/>
  <c r="AC104" i="7"/>
  <c r="AC69" i="7"/>
  <c r="AC70" i="7"/>
  <c r="AC86" i="7"/>
  <c r="AC213" i="7"/>
  <c r="AC246" i="7"/>
  <c r="AC227" i="7"/>
  <c r="AC229" i="7"/>
  <c r="AC224" i="7"/>
  <c r="AC143" i="7"/>
  <c r="AC45" i="7"/>
  <c r="AC118" i="7"/>
  <c r="AC239" i="7"/>
  <c r="AC108" i="7"/>
  <c r="AC152" i="7"/>
  <c r="AC138" i="7"/>
  <c r="AC85" i="7"/>
  <c r="AC247" i="7"/>
  <c r="AC226" i="7"/>
  <c r="AC149" i="7"/>
  <c r="AC203" i="7"/>
  <c r="AC182" i="7"/>
  <c r="AC130" i="7"/>
  <c r="AC243" i="7"/>
  <c r="AC19" i="7"/>
  <c r="AC191" i="7"/>
  <c r="AC127" i="7"/>
  <c r="AC123" i="7"/>
  <c r="AC129" i="7"/>
  <c r="AC156" i="7"/>
  <c r="AC234" i="7"/>
  <c r="AC257" i="7"/>
  <c r="AC154" i="7"/>
  <c r="AC195" i="7"/>
  <c r="AC158" i="7"/>
  <c r="AC37" i="7"/>
  <c r="AC126" i="7"/>
  <c r="AC201" i="7"/>
  <c r="AC155" i="7"/>
  <c r="AC202" i="7"/>
  <c r="AC214" i="7"/>
  <c r="AC235" i="7"/>
  <c r="AC179" i="7"/>
  <c r="AC176" i="7"/>
  <c r="AC250" i="7"/>
  <c r="AC233" i="7"/>
  <c r="AC167" i="7"/>
  <c r="AC68" i="7"/>
  <c r="AC207" i="7"/>
  <c r="AC223" i="7"/>
  <c r="AC135" i="7"/>
  <c r="AC144" i="7"/>
  <c r="AC153" i="7"/>
  <c r="AC172" i="7"/>
  <c r="AC147" i="7"/>
  <c r="AC186" i="7"/>
  <c r="AC102" i="7"/>
  <c r="AC72" i="7"/>
  <c r="AC170" i="7"/>
  <c r="AC159" i="7"/>
  <c r="AC208" i="7"/>
  <c r="AC230" i="7"/>
  <c r="AC225" i="7"/>
  <c r="AC121" i="7"/>
  <c r="AC109" i="7"/>
  <c r="AC193" i="7"/>
  <c r="AC198" i="7"/>
  <c r="AC122" i="7"/>
  <c r="AC241" i="7"/>
  <c r="AC89" i="7"/>
  <c r="AC217" i="7"/>
  <c r="AC249" i="7"/>
  <c r="AC240" i="7"/>
  <c r="AC160" i="7"/>
  <c r="AC209" i="7"/>
  <c r="AC40" i="7"/>
  <c r="AC256" i="7"/>
  <c r="AC51" i="7"/>
  <c r="AC169" i="7"/>
  <c r="AC35" i="7"/>
  <c r="AC236" i="7"/>
  <c r="AC137" i="7"/>
  <c r="AC151" i="7"/>
  <c r="AC187" i="7"/>
  <c r="AC128" i="7"/>
  <c r="AC180" i="7"/>
  <c r="AC185" i="7"/>
  <c r="AC115" i="7"/>
  <c r="AC101" i="7"/>
  <c r="AC192" i="7"/>
  <c r="AC81" i="7"/>
  <c r="AC253" i="7"/>
  <c r="AC46" i="7"/>
  <c r="AC79" i="7"/>
  <c r="AC168" i="7"/>
  <c r="AC105" i="7"/>
  <c r="AC215" i="7"/>
  <c r="AC59" i="7"/>
  <c r="AC103" i="7"/>
  <c r="AC54" i="7"/>
  <c r="AC82" i="7"/>
  <c r="AC165" i="7"/>
  <c r="AC146" i="7"/>
  <c r="AC117" i="7"/>
  <c r="AC73" i="7"/>
  <c r="AC204" i="7"/>
  <c r="AC125" i="7"/>
  <c r="AC39" i="7"/>
  <c r="AC64" i="7"/>
  <c r="AC205" i="7"/>
  <c r="AC183" i="7"/>
  <c r="AC219" i="7"/>
  <c r="AC111" i="7"/>
  <c r="AC42" i="7"/>
  <c r="AC222" i="7"/>
  <c r="AC162" i="7"/>
  <c r="AC65" i="7"/>
  <c r="AC184" i="7"/>
  <c r="AC95" i="7"/>
  <c r="AC175" i="7"/>
  <c r="AC248" i="7"/>
  <c r="AC148" i="7"/>
  <c r="AC188" i="7"/>
  <c r="AC199" i="7"/>
  <c r="AC88" i="7"/>
  <c r="AC140" i="7"/>
  <c r="AC20" i="7"/>
  <c r="AC212" i="7"/>
  <c r="AC157" i="7"/>
  <c r="AC71" i="7"/>
  <c r="AC112" i="7"/>
  <c r="AC44" i="7"/>
  <c r="AC254" i="7"/>
  <c r="AC133" i="7"/>
  <c r="AC251" i="7"/>
  <c r="AC139" i="7"/>
  <c r="AC107" i="7"/>
  <c r="AC197" i="7"/>
  <c r="AC141" i="7"/>
  <c r="AC84" i="7"/>
  <c r="AC113" i="7"/>
  <c r="AC216" i="7"/>
  <c r="AC245" i="7"/>
  <c r="AC96" i="7"/>
  <c r="AC163" i="7"/>
  <c r="AC231" i="7"/>
  <c r="AC221" i="7"/>
  <c r="AC136" i="7"/>
  <c r="AC94" i="7"/>
  <c r="AC97" i="7"/>
  <c r="AC228" i="7"/>
  <c r="AC220" i="7"/>
  <c r="AC134" i="7"/>
  <c r="AC232" i="7"/>
  <c r="AC74" i="7"/>
  <c r="AC91" i="7"/>
  <c r="AC116" i="7"/>
  <c r="AC47" i="7"/>
  <c r="AC124" i="7"/>
  <c r="AC252" i="7"/>
  <c r="AC242" i="7"/>
  <c r="AC194" i="7"/>
  <c r="AC189" i="7"/>
  <c r="AC181" i="7"/>
  <c r="AC173" i="7"/>
  <c r="AC237" i="7"/>
  <c r="AC238" i="7"/>
  <c r="AC120" i="7"/>
  <c r="AC161" i="7"/>
  <c r="AC80" i="7"/>
  <c r="AC87" i="7"/>
  <c r="AC178" i="7"/>
  <c r="AC196" i="7"/>
  <c r="AC132" i="7"/>
  <c r="AC164" i="7"/>
  <c r="AC56" i="7"/>
  <c r="AC34" i="7"/>
  <c r="AC90" i="7"/>
  <c r="AC78" i="7"/>
  <c r="AC190" i="7"/>
  <c r="AC174" i="7"/>
  <c r="AC98" i="7"/>
  <c r="CF39" i="8"/>
  <c r="CG39" i="8" s="1"/>
  <c r="BO39" i="8"/>
  <c r="O389" i="1"/>
  <c r="C403" i="1" s="1"/>
  <c r="F9" i="8" l="1"/>
  <c r="AF6" i="4"/>
  <c r="AK81" i="1"/>
  <c r="AR81" i="1"/>
  <c r="AX9" i="8"/>
  <c r="AC9" i="8"/>
  <c r="HE5" i="4"/>
  <c r="EL23" i="8"/>
  <c r="BO40" i="8"/>
  <c r="CF40" i="8"/>
  <c r="CG40" i="8" s="1"/>
  <c r="AN25" i="8"/>
  <c r="AN26" i="8" s="1"/>
  <c r="R25" i="8"/>
  <c r="R26" i="8" s="1"/>
  <c r="S26" i="8" s="1"/>
  <c r="AN27" i="8" l="1"/>
  <c r="CF41" i="8"/>
  <c r="CG41" i="8" s="1"/>
  <c r="BO41" i="8"/>
  <c r="R27" i="8"/>
  <c r="S27" i="8" s="1"/>
  <c r="W18" i="7"/>
  <c r="W19" i="7" s="1"/>
  <c r="AN28" i="8" l="1"/>
  <c r="BO42" i="8"/>
  <c r="CF42" i="8"/>
  <c r="CG42" i="8" s="1"/>
  <c r="R28" i="8"/>
  <c r="S28" i="8" s="1"/>
  <c r="W20" i="7"/>
  <c r="AN29" i="8" l="1"/>
  <c r="CF43" i="8"/>
  <c r="CG43" i="8" s="1"/>
  <c r="BO43" i="8"/>
  <c r="R29" i="8"/>
  <c r="S29" i="8" s="1"/>
  <c r="W21" i="7"/>
  <c r="AN30" i="8" l="1"/>
  <c r="BO44" i="8"/>
  <c r="CF44" i="8"/>
  <c r="CG44" i="8" s="1"/>
  <c r="R30" i="8"/>
  <c r="S30" i="8" s="1"/>
  <c r="W22" i="7"/>
  <c r="AN31" i="8" l="1"/>
  <c r="CF45" i="8"/>
  <c r="CG45" i="8" s="1"/>
  <c r="BO45" i="8"/>
  <c r="R31" i="8"/>
  <c r="S31" i="8" s="1"/>
  <c r="W23" i="7"/>
  <c r="AN32" i="8" l="1"/>
  <c r="BO46" i="8"/>
  <c r="CF46" i="8"/>
  <c r="CG46" i="8" s="1"/>
  <c r="R32" i="8"/>
  <c r="S32" i="8" s="1"/>
  <c r="W24" i="7"/>
  <c r="AN33" i="8" l="1"/>
  <c r="CF47" i="8"/>
  <c r="CG47" i="8" s="1"/>
  <c r="BO47" i="8"/>
  <c r="R33" i="8"/>
  <c r="S33" i="8" s="1"/>
  <c r="W25" i="7"/>
  <c r="AN34" i="8" l="1"/>
  <c r="BO48" i="8"/>
  <c r="CF48" i="8"/>
  <c r="CG48" i="8" s="1"/>
  <c r="R34" i="8"/>
  <c r="S34" i="8" s="1"/>
  <c r="W26" i="7"/>
  <c r="AN35" i="8" l="1"/>
  <c r="CF49" i="8"/>
  <c r="CG49" i="8" s="1"/>
  <c r="BO49" i="8"/>
  <c r="R35" i="8"/>
  <c r="S35" i="8" s="1"/>
  <c r="W27" i="7"/>
  <c r="AN36" i="8" l="1"/>
  <c r="BO50" i="8"/>
  <c r="CF50" i="8"/>
  <c r="CG50" i="8" s="1"/>
  <c r="R36" i="8"/>
  <c r="S36" i="8" s="1"/>
  <c r="W28" i="7"/>
  <c r="AN37" i="8" l="1"/>
  <c r="AN38" i="8" s="1"/>
  <c r="CF51" i="8"/>
  <c r="CG51" i="8" s="1"/>
  <c r="BO51" i="8"/>
  <c r="R37" i="8"/>
  <c r="W29" i="7"/>
  <c r="R38" i="8" l="1"/>
  <c r="S38" i="8" s="1"/>
  <c r="S37" i="8"/>
  <c r="AN39" i="8"/>
  <c r="BO52" i="8"/>
  <c r="CF52" i="8"/>
  <c r="CG52" i="8" s="1"/>
  <c r="R39" i="8"/>
  <c r="S39" i="8" s="1"/>
  <c r="W30" i="7"/>
  <c r="AN40" i="8" l="1"/>
  <c r="BO53" i="8"/>
  <c r="CF53" i="8"/>
  <c r="CG53" i="8" s="1"/>
  <c r="R40" i="8"/>
  <c r="S40" i="8" s="1"/>
  <c r="W31" i="7"/>
  <c r="AN41" i="8" l="1"/>
  <c r="BO54" i="8"/>
  <c r="CF54" i="8"/>
  <c r="CG54" i="8" s="1"/>
  <c r="R41" i="8"/>
  <c r="S41" i="8" s="1"/>
  <c r="W32" i="7"/>
  <c r="AN42" i="8" l="1"/>
  <c r="CF55" i="8"/>
  <c r="CG55" i="8" s="1"/>
  <c r="BO55" i="8"/>
  <c r="R42" i="8"/>
  <c r="S42" i="8" s="1"/>
  <c r="W33" i="7"/>
  <c r="AN43" i="8" l="1"/>
  <c r="BO56" i="8"/>
  <c r="CF56" i="8"/>
  <c r="CG56" i="8" s="1"/>
  <c r="R43" i="8"/>
  <c r="S43" i="8" s="1"/>
  <c r="W34" i="7"/>
  <c r="AN44" i="8" l="1"/>
  <c r="CF57" i="8"/>
  <c r="CG57" i="8" s="1"/>
  <c r="BO57" i="8"/>
  <c r="R44" i="8"/>
  <c r="S44" i="8" s="1"/>
  <c r="W35" i="7"/>
  <c r="AN45" i="8" l="1"/>
  <c r="CF58" i="8"/>
  <c r="CG58" i="8" s="1"/>
  <c r="BO58" i="8"/>
  <c r="R45" i="8"/>
  <c r="S45" i="8" s="1"/>
  <c r="W36" i="7"/>
  <c r="AN46" i="8" l="1"/>
  <c r="CF59" i="8"/>
  <c r="CG59" i="8" s="1"/>
  <c r="BO59" i="8"/>
  <c r="R46" i="8"/>
  <c r="S46" i="8" s="1"/>
  <c r="W37" i="7"/>
  <c r="AN47" i="8" l="1"/>
  <c r="CF60" i="8"/>
  <c r="CG60" i="8" s="1"/>
  <c r="BO60" i="8"/>
  <c r="R47" i="8"/>
  <c r="S47" i="8" s="1"/>
  <c r="W38" i="7"/>
  <c r="AN48" i="8" l="1"/>
  <c r="BO61" i="8"/>
  <c r="CF61" i="8"/>
  <c r="CG61" i="8" s="1"/>
  <c r="R48" i="8"/>
  <c r="S48" i="8" s="1"/>
  <c r="W39" i="7"/>
  <c r="AN49" i="8" l="1"/>
  <c r="AN50" i="8" s="1"/>
  <c r="CF62" i="8"/>
  <c r="CG62" i="8" s="1"/>
  <c r="BO62" i="8"/>
  <c r="R49" i="8"/>
  <c r="W40" i="7"/>
  <c r="R50" i="8" l="1"/>
  <c r="S50" i="8" s="1"/>
  <c r="S49" i="8"/>
  <c r="AN51" i="8"/>
  <c r="BO63" i="8"/>
  <c r="CF63" i="8"/>
  <c r="CG63" i="8" s="1"/>
  <c r="R51" i="8"/>
  <c r="S51" i="8" s="1"/>
  <c r="W41" i="7"/>
  <c r="W42" i="7" l="1"/>
  <c r="AN52" i="8"/>
  <c r="CF64" i="8"/>
  <c r="CG64" i="8" s="1"/>
  <c r="BO64" i="8"/>
  <c r="R52" i="8"/>
  <c r="S52" i="8" s="1"/>
  <c r="W43" i="7"/>
  <c r="AN53" i="8" l="1"/>
  <c r="BO65" i="8"/>
  <c r="CF65" i="8"/>
  <c r="CG65" i="8" s="1"/>
  <c r="R53" i="8"/>
  <c r="S53" i="8" s="1"/>
  <c r="W44" i="7"/>
  <c r="AN54" i="8" l="1"/>
  <c r="CF66" i="8"/>
  <c r="CG66" i="8" s="1"/>
  <c r="BO66" i="8"/>
  <c r="R54" i="8"/>
  <c r="S54" i="8" s="1"/>
  <c r="W45" i="7"/>
  <c r="AN55" i="8" l="1"/>
  <c r="CF67" i="8"/>
  <c r="CG67" i="8" s="1"/>
  <c r="BO67" i="8"/>
  <c r="R55" i="8"/>
  <c r="S55" i="8" s="1"/>
  <c r="W46" i="7"/>
  <c r="AN56" i="8" l="1"/>
  <c r="BO68" i="8"/>
  <c r="CF68" i="8"/>
  <c r="CG68" i="8" s="1"/>
  <c r="R56" i="8"/>
  <c r="S56" i="8" s="1"/>
  <c r="W47" i="7"/>
  <c r="AN57" i="8" l="1"/>
  <c r="BO69" i="8"/>
  <c r="CF69" i="8"/>
  <c r="CG69" i="8" s="1"/>
  <c r="R57" i="8"/>
  <c r="S57" i="8" s="1"/>
  <c r="W48" i="7"/>
  <c r="AN58" i="8" l="1"/>
  <c r="CF70" i="8"/>
  <c r="CG70" i="8" s="1"/>
  <c r="BO70" i="8"/>
  <c r="R58" i="8"/>
  <c r="S58" i="8" s="1"/>
  <c r="W49" i="7"/>
  <c r="AN59" i="8" l="1"/>
  <c r="CF71" i="8"/>
  <c r="CG71" i="8" s="1"/>
  <c r="BO71" i="8"/>
  <c r="R59" i="8"/>
  <c r="S59" i="8" s="1"/>
  <c r="W50" i="7"/>
  <c r="AN60" i="8" l="1"/>
  <c r="CF72" i="8"/>
  <c r="CG72" i="8" s="1"/>
  <c r="BO72" i="8"/>
  <c r="R60" i="8"/>
  <c r="S60" i="8" s="1"/>
  <c r="W51" i="7"/>
  <c r="AN61" i="8" l="1"/>
  <c r="AN62" i="8" s="1"/>
  <c r="CF73" i="8"/>
  <c r="CG73" i="8" s="1"/>
  <c r="BO73" i="8"/>
  <c r="R61" i="8"/>
  <c r="W52" i="7"/>
  <c r="R62" i="8" l="1"/>
  <c r="S62" i="8" s="1"/>
  <c r="S61" i="8"/>
  <c r="AN63" i="8"/>
  <c r="CF74" i="8"/>
  <c r="CG74" i="8" s="1"/>
  <c r="BO74" i="8"/>
  <c r="R63" i="8"/>
  <c r="S63" i="8" s="1"/>
  <c r="W53" i="7"/>
  <c r="AN64" i="8" l="1"/>
  <c r="CF75" i="8"/>
  <c r="CG75" i="8" s="1"/>
  <c r="BO75" i="8"/>
  <c r="R64" i="8"/>
  <c r="S64" i="8" s="1"/>
  <c r="W54" i="7"/>
  <c r="AN65" i="8" l="1"/>
  <c r="CF76" i="8"/>
  <c r="CG76" i="8" s="1"/>
  <c r="BO76" i="8"/>
  <c r="R65" i="8"/>
  <c r="S65" i="8" s="1"/>
  <c r="W55" i="7"/>
  <c r="AN66" i="8" l="1"/>
  <c r="CF77" i="8"/>
  <c r="CG77" i="8" s="1"/>
  <c r="BO77" i="8"/>
  <c r="R66" i="8"/>
  <c r="S66" i="8" s="1"/>
  <c r="W56" i="7"/>
  <c r="AN67" i="8" l="1"/>
  <c r="CF78" i="8"/>
  <c r="CG78" i="8" s="1"/>
  <c r="BO78" i="8"/>
  <c r="R67" i="8"/>
  <c r="S67" i="8" s="1"/>
  <c r="W57" i="7"/>
  <c r="AN68" i="8" l="1"/>
  <c r="CF79" i="8"/>
  <c r="CG79" i="8" s="1"/>
  <c r="BO79" i="8"/>
  <c r="R68" i="8"/>
  <c r="S68" i="8" s="1"/>
  <c r="W58" i="7"/>
  <c r="AN69" i="8" l="1"/>
  <c r="CF80" i="8"/>
  <c r="CG80" i="8" s="1"/>
  <c r="BO80" i="8"/>
  <c r="R69" i="8"/>
  <c r="S69" i="8" s="1"/>
  <c r="W59" i="7"/>
  <c r="AN70" i="8" l="1"/>
  <c r="CF81" i="8"/>
  <c r="CG81" i="8" s="1"/>
  <c r="BO81" i="8"/>
  <c r="R70" i="8"/>
  <c r="S70" i="8" s="1"/>
  <c r="W60" i="7"/>
  <c r="AN71" i="8" l="1"/>
  <c r="CF82" i="8"/>
  <c r="CG82" i="8" s="1"/>
  <c r="BO82" i="8"/>
  <c r="R71" i="8"/>
  <c r="S71" i="8" s="1"/>
  <c r="W61" i="7"/>
  <c r="AN72" i="8" l="1"/>
  <c r="CF83" i="8"/>
  <c r="CG83" i="8" s="1"/>
  <c r="BO83" i="8"/>
  <c r="R72" i="8"/>
  <c r="S72" i="8" s="1"/>
  <c r="W62" i="7"/>
  <c r="AN73" i="8" l="1"/>
  <c r="AN74" i="8" s="1"/>
  <c r="CF84" i="8"/>
  <c r="CG84" i="8" s="1"/>
  <c r="BO84" i="8"/>
  <c r="R73" i="8"/>
  <c r="W63" i="7"/>
  <c r="R74" i="8" l="1"/>
  <c r="S74" i="8" s="1"/>
  <c r="S73" i="8"/>
  <c r="AN75" i="8"/>
  <c r="CF85" i="8"/>
  <c r="CG85" i="8" s="1"/>
  <c r="BO85" i="8"/>
  <c r="R75" i="8"/>
  <c r="S75" i="8" s="1"/>
  <c r="W64" i="7"/>
  <c r="AN76" i="8" l="1"/>
  <c r="CF86" i="8"/>
  <c r="CG86" i="8" s="1"/>
  <c r="BO86" i="8"/>
  <c r="R76" i="8"/>
  <c r="S76" i="8" s="1"/>
  <c r="W65" i="7"/>
  <c r="AN77" i="8" l="1"/>
  <c r="CF87" i="8"/>
  <c r="CG87" i="8" s="1"/>
  <c r="BO87" i="8"/>
  <c r="R77" i="8"/>
  <c r="S77" i="8" s="1"/>
  <c r="W66" i="7"/>
  <c r="AN78" i="8" l="1"/>
  <c r="BO88" i="8"/>
  <c r="CF88" i="8"/>
  <c r="CG88" i="8" s="1"/>
  <c r="R78" i="8"/>
  <c r="S78" i="8" s="1"/>
  <c r="W67" i="7"/>
  <c r="AN79" i="8" l="1"/>
  <c r="BO89" i="8"/>
  <c r="CF89" i="8"/>
  <c r="CG89" i="8" s="1"/>
  <c r="R79" i="8"/>
  <c r="S79" i="8" s="1"/>
  <c r="W68" i="7"/>
  <c r="AN80" i="8" l="1"/>
  <c r="CF90" i="8"/>
  <c r="CG90" i="8" s="1"/>
  <c r="BO90" i="8"/>
  <c r="R80" i="8"/>
  <c r="S80" i="8" s="1"/>
  <c r="W69" i="7"/>
  <c r="AN81" i="8" l="1"/>
  <c r="CF91" i="8"/>
  <c r="CG91" i="8" s="1"/>
  <c r="BO91" i="8"/>
  <c r="R81" i="8"/>
  <c r="S81" i="8" s="1"/>
  <c r="W70" i="7"/>
  <c r="AN82" i="8" l="1"/>
  <c r="CF92" i="8"/>
  <c r="CG92" i="8" s="1"/>
  <c r="BO92" i="8"/>
  <c r="R82" i="8"/>
  <c r="S82" i="8" s="1"/>
  <c r="W71" i="7"/>
  <c r="AN83" i="8" l="1"/>
  <c r="CF93" i="8"/>
  <c r="CG93" i="8" s="1"/>
  <c r="BO93" i="8"/>
  <c r="R83" i="8"/>
  <c r="S83" i="8" s="1"/>
  <c r="W72" i="7"/>
  <c r="AN84" i="8" l="1"/>
  <c r="CF94" i="8"/>
  <c r="CG94" i="8" s="1"/>
  <c r="BO94" i="8"/>
  <c r="R84" i="8"/>
  <c r="S84" i="8" s="1"/>
  <c r="W73" i="7"/>
  <c r="AN85" i="8" l="1"/>
  <c r="AN86" i="8" s="1"/>
  <c r="CF95" i="8"/>
  <c r="CG95" i="8" s="1"/>
  <c r="BO95" i="8"/>
  <c r="R85" i="8"/>
  <c r="W74" i="7"/>
  <c r="R86" i="8" l="1"/>
  <c r="S86" i="8" s="1"/>
  <c r="S85" i="8"/>
  <c r="AN87" i="8"/>
  <c r="CF96" i="8"/>
  <c r="CG96" i="8" s="1"/>
  <c r="BO96" i="8"/>
  <c r="R87" i="8"/>
  <c r="S87" i="8" s="1"/>
  <c r="W75" i="7"/>
  <c r="AN88" i="8" l="1"/>
  <c r="CF97" i="8"/>
  <c r="CG97" i="8" s="1"/>
  <c r="BO97" i="8"/>
  <c r="R88" i="8"/>
  <c r="S88" i="8" s="1"/>
  <c r="W76" i="7"/>
  <c r="AN89" i="8" l="1"/>
  <c r="CF98" i="8"/>
  <c r="CG98" i="8" s="1"/>
  <c r="BO98" i="8"/>
  <c r="R89" i="8"/>
  <c r="S89" i="8" s="1"/>
  <c r="W77" i="7"/>
  <c r="AN90" i="8" l="1"/>
  <c r="CF99" i="8"/>
  <c r="CG99" i="8" s="1"/>
  <c r="BO99" i="8"/>
  <c r="R90" i="8"/>
  <c r="S90" i="8" s="1"/>
  <c r="W78" i="7"/>
  <c r="AN91" i="8" l="1"/>
  <c r="CF100" i="8"/>
  <c r="CG100" i="8" s="1"/>
  <c r="BO100" i="8"/>
  <c r="R91" i="8"/>
  <c r="S91" i="8" s="1"/>
  <c r="W79" i="7"/>
  <c r="AN92" i="8" l="1"/>
  <c r="CF101" i="8"/>
  <c r="CG101" i="8" s="1"/>
  <c r="BO101" i="8"/>
  <c r="R92" i="8"/>
  <c r="S92" i="8" s="1"/>
  <c r="W80" i="7"/>
  <c r="AN93" i="8" l="1"/>
  <c r="CF102" i="8"/>
  <c r="CG102" i="8" s="1"/>
  <c r="BO102" i="8"/>
  <c r="R93" i="8"/>
  <c r="S93" i="8" s="1"/>
  <c r="W81" i="7"/>
  <c r="AN94" i="8" l="1"/>
  <c r="CF103" i="8"/>
  <c r="CG103" i="8" s="1"/>
  <c r="BO103" i="8"/>
  <c r="R94" i="8"/>
  <c r="S94" i="8" s="1"/>
  <c r="W82" i="7"/>
  <c r="AN95" i="8" l="1"/>
  <c r="CF104" i="8"/>
  <c r="CG104" i="8" s="1"/>
  <c r="BO104" i="8"/>
  <c r="R95" i="8"/>
  <c r="S95" i="8" s="1"/>
  <c r="W83" i="7"/>
  <c r="AN96" i="8" l="1"/>
  <c r="CF105" i="8"/>
  <c r="CG105" i="8" s="1"/>
  <c r="BO105" i="8"/>
  <c r="R96" i="8"/>
  <c r="S96" i="8" s="1"/>
  <c r="W84" i="7"/>
  <c r="AN97" i="8" l="1"/>
  <c r="AN98" i="8" s="1"/>
  <c r="CF106" i="8"/>
  <c r="CG106" i="8" s="1"/>
  <c r="BO106" i="8"/>
  <c r="R97" i="8"/>
  <c r="W85" i="7"/>
  <c r="R98" i="8" l="1"/>
  <c r="S98" i="8" s="1"/>
  <c r="S97" i="8"/>
  <c r="AN99" i="8"/>
  <c r="CF107" i="8"/>
  <c r="CG107" i="8" s="1"/>
  <c r="BO107" i="8"/>
  <c r="R99" i="8"/>
  <c r="S99" i="8" s="1"/>
  <c r="W86" i="7"/>
  <c r="AN100" i="8" l="1"/>
  <c r="CF108" i="8"/>
  <c r="CG108" i="8" s="1"/>
  <c r="BO108" i="8"/>
  <c r="R100" i="8"/>
  <c r="S100" i="8" s="1"/>
  <c r="W87" i="7"/>
  <c r="AN101" i="8" l="1"/>
  <c r="CF109" i="8"/>
  <c r="CG109" i="8" s="1"/>
  <c r="BO109" i="8"/>
  <c r="R101" i="8"/>
  <c r="S101" i="8" s="1"/>
  <c r="W88" i="7"/>
  <c r="AN102" i="8" l="1"/>
  <c r="CF110" i="8"/>
  <c r="CG110" i="8" s="1"/>
  <c r="BO110" i="8"/>
  <c r="R102" i="8"/>
  <c r="S102" i="8" s="1"/>
  <c r="W89" i="7"/>
  <c r="AN103" i="8" l="1"/>
  <c r="CF111" i="8"/>
  <c r="CG111" i="8" s="1"/>
  <c r="BO111" i="8"/>
  <c r="R103" i="8"/>
  <c r="S103" i="8" s="1"/>
  <c r="W90" i="7"/>
  <c r="AN104" i="8" l="1"/>
  <c r="CF112" i="8"/>
  <c r="CG112" i="8" s="1"/>
  <c r="BO112" i="8"/>
  <c r="R104" i="8"/>
  <c r="S104" i="8" s="1"/>
  <c r="W91" i="7"/>
  <c r="AN105" i="8" l="1"/>
  <c r="CF113" i="8"/>
  <c r="CG113" i="8" s="1"/>
  <c r="BO113" i="8"/>
  <c r="R105" i="8"/>
  <c r="S105" i="8" s="1"/>
  <c r="W92" i="7"/>
  <c r="AN106" i="8" l="1"/>
  <c r="CF114" i="8"/>
  <c r="CG114" i="8" s="1"/>
  <c r="BO114" i="8"/>
  <c r="R106" i="8"/>
  <c r="S106" i="8" s="1"/>
  <c r="W93" i="7"/>
  <c r="AN107" i="8" l="1"/>
  <c r="CF115" i="8"/>
  <c r="CG115" i="8" s="1"/>
  <c r="BO115" i="8"/>
  <c r="R107" i="8"/>
  <c r="S107" i="8" s="1"/>
  <c r="W94" i="7"/>
  <c r="AN108" i="8" l="1"/>
  <c r="CF116" i="8"/>
  <c r="CG116" i="8" s="1"/>
  <c r="BO116" i="8"/>
  <c r="R108" i="8"/>
  <c r="S108" i="8" s="1"/>
  <c r="W95" i="7"/>
  <c r="AN109" i="8" l="1"/>
  <c r="AN110" i="8" s="1"/>
  <c r="CF117" i="8"/>
  <c r="CG117" i="8" s="1"/>
  <c r="BO117" i="8"/>
  <c r="R109" i="8"/>
  <c r="W96" i="7"/>
  <c r="R110" i="8" l="1"/>
  <c r="S110" i="8" s="1"/>
  <c r="S109" i="8"/>
  <c r="AN111" i="8"/>
  <c r="CF118" i="8"/>
  <c r="CG118" i="8" s="1"/>
  <c r="BO118" i="8"/>
  <c r="R111" i="8"/>
  <c r="S111" i="8" s="1"/>
  <c r="W97" i="7"/>
  <c r="AN112" i="8" l="1"/>
  <c r="CF119" i="8"/>
  <c r="CG119" i="8" s="1"/>
  <c r="BO119" i="8"/>
  <c r="R112" i="8"/>
  <c r="S112" i="8" s="1"/>
  <c r="W98" i="7"/>
  <c r="AN113" i="8" l="1"/>
  <c r="CF120" i="8"/>
  <c r="CG120" i="8" s="1"/>
  <c r="BO120" i="8"/>
  <c r="R113" i="8"/>
  <c r="S113" i="8" s="1"/>
  <c r="W99" i="7"/>
  <c r="AN114" i="8" l="1"/>
  <c r="CF121" i="8"/>
  <c r="CG121" i="8" s="1"/>
  <c r="BO121" i="8"/>
  <c r="R114" i="8"/>
  <c r="S114" i="8" s="1"/>
  <c r="W100" i="7"/>
  <c r="AN115" i="8" l="1"/>
  <c r="CF122" i="8"/>
  <c r="CG122" i="8" s="1"/>
  <c r="BO122" i="8"/>
  <c r="R115" i="8"/>
  <c r="S115" i="8" s="1"/>
  <c r="W101" i="7"/>
  <c r="AN116" i="8" l="1"/>
  <c r="CF123" i="8"/>
  <c r="CG123" i="8" s="1"/>
  <c r="BO123" i="8"/>
  <c r="R116" i="8"/>
  <c r="S116" i="8" s="1"/>
  <c r="W102" i="7"/>
  <c r="AN117" i="8" l="1"/>
  <c r="CF124" i="8"/>
  <c r="CG124" i="8" s="1"/>
  <c r="BO124" i="8"/>
  <c r="R117" i="8"/>
  <c r="S117" i="8" s="1"/>
  <c r="W103" i="7"/>
  <c r="AN118" i="8" l="1"/>
  <c r="CF125" i="8"/>
  <c r="CG125" i="8" s="1"/>
  <c r="BO125" i="8"/>
  <c r="R118" i="8"/>
  <c r="S118" i="8" s="1"/>
  <c r="W104" i="7"/>
  <c r="AN119" i="8" l="1"/>
  <c r="CF126" i="8"/>
  <c r="CG126" i="8" s="1"/>
  <c r="BO126" i="8"/>
  <c r="R119" i="8"/>
  <c r="S119" i="8" s="1"/>
  <c r="W105" i="7"/>
  <c r="AN120" i="8" l="1"/>
  <c r="CF127" i="8"/>
  <c r="CG127" i="8" s="1"/>
  <c r="BO127" i="8"/>
  <c r="R120" i="8"/>
  <c r="S120" i="8" s="1"/>
  <c r="W106" i="7"/>
  <c r="AN121" i="8" l="1"/>
  <c r="AN122" i="8" s="1"/>
  <c r="CF128" i="8"/>
  <c r="CG128" i="8" s="1"/>
  <c r="BO128" i="8"/>
  <c r="R121" i="8"/>
  <c r="W107" i="7"/>
  <c r="R122" i="8" l="1"/>
  <c r="S122" i="8" s="1"/>
  <c r="S121" i="8"/>
  <c r="AN123" i="8"/>
  <c r="CF129" i="8"/>
  <c r="CG129" i="8" s="1"/>
  <c r="BO129" i="8"/>
  <c r="R123" i="8"/>
  <c r="S123" i="8" s="1"/>
  <c r="W108" i="7"/>
  <c r="AN124" i="8" l="1"/>
  <c r="CF130" i="8"/>
  <c r="CG130" i="8" s="1"/>
  <c r="BO130" i="8"/>
  <c r="R124" i="8"/>
  <c r="S124" i="8" s="1"/>
  <c r="W109" i="7"/>
  <c r="AN125" i="8" l="1"/>
  <c r="CF131" i="8"/>
  <c r="CG131" i="8" s="1"/>
  <c r="BO131" i="8"/>
  <c r="R125" i="8"/>
  <c r="S125" i="8" s="1"/>
  <c r="W110" i="7"/>
  <c r="AN126" i="8" l="1"/>
  <c r="BO132" i="8"/>
  <c r="CF132" i="8"/>
  <c r="CG132" i="8" s="1"/>
  <c r="R126" i="8"/>
  <c r="S126" i="8" s="1"/>
  <c r="W111" i="7"/>
  <c r="AN127" i="8" l="1"/>
  <c r="CF133" i="8"/>
  <c r="CG133" i="8" s="1"/>
  <c r="BO133" i="8"/>
  <c r="R127" i="8"/>
  <c r="S127" i="8" s="1"/>
  <c r="W112" i="7"/>
  <c r="AN128" i="8" l="1"/>
  <c r="BO134" i="8"/>
  <c r="CF134" i="8"/>
  <c r="CG134" i="8" s="1"/>
  <c r="R128" i="8"/>
  <c r="S128" i="8" s="1"/>
  <c r="W113" i="7"/>
  <c r="AN129" i="8" l="1"/>
  <c r="CF135" i="8"/>
  <c r="CG135" i="8" s="1"/>
  <c r="BO135" i="8"/>
  <c r="R129" i="8"/>
  <c r="S129" i="8" s="1"/>
  <c r="W114" i="7"/>
  <c r="AN130" i="8" l="1"/>
  <c r="BO136" i="8"/>
  <c r="CF136" i="8"/>
  <c r="CG136" i="8" s="1"/>
  <c r="R130" i="8"/>
  <c r="S130" i="8" s="1"/>
  <c r="W115" i="7"/>
  <c r="AN131" i="8" l="1"/>
  <c r="CF137" i="8"/>
  <c r="CG137" i="8" s="1"/>
  <c r="BO137" i="8"/>
  <c r="R131" i="8"/>
  <c r="S131" i="8" s="1"/>
  <c r="W116" i="7"/>
  <c r="AN132" i="8" l="1"/>
  <c r="BO138" i="8"/>
  <c r="CF138" i="8"/>
  <c r="CG138" i="8" s="1"/>
  <c r="R132" i="8"/>
  <c r="S132" i="8" s="1"/>
  <c r="W117" i="7"/>
  <c r="AN133" i="8" l="1"/>
  <c r="AN134" i="8" s="1"/>
  <c r="CF139" i="8"/>
  <c r="CG139" i="8" s="1"/>
  <c r="BO139" i="8"/>
  <c r="R133" i="8"/>
  <c r="W118" i="7"/>
  <c r="R134" i="8" l="1"/>
  <c r="S134" i="8" s="1"/>
  <c r="S133" i="8"/>
  <c r="AN135" i="8"/>
  <c r="BO140" i="8"/>
  <c r="CF140" i="8"/>
  <c r="CG140" i="8" s="1"/>
  <c r="W119" i="7"/>
  <c r="R135" i="8" l="1"/>
  <c r="S135" i="8" s="1"/>
  <c r="AN136" i="8"/>
  <c r="CF141" i="8"/>
  <c r="CG141" i="8" s="1"/>
  <c r="BO141" i="8"/>
  <c r="R136" i="8"/>
  <c r="S136" i="8" s="1"/>
  <c r="W120" i="7"/>
  <c r="AN137" i="8" l="1"/>
  <c r="BO142" i="8"/>
  <c r="CF142" i="8"/>
  <c r="CG142" i="8" s="1"/>
  <c r="R137" i="8"/>
  <c r="S137" i="8" s="1"/>
  <c r="W121" i="7"/>
  <c r="AN138" i="8" l="1"/>
  <c r="CF143" i="8"/>
  <c r="CG143" i="8" s="1"/>
  <c r="BO143" i="8"/>
  <c r="R138" i="8"/>
  <c r="S138" i="8" s="1"/>
  <c r="W122" i="7"/>
  <c r="AN139" i="8" l="1"/>
  <c r="BO144" i="8"/>
  <c r="CF144" i="8"/>
  <c r="CG144" i="8" s="1"/>
  <c r="R139" i="8"/>
  <c r="S139" i="8" s="1"/>
  <c r="W123" i="7"/>
  <c r="AN140" i="8" l="1"/>
  <c r="CF145" i="8"/>
  <c r="CG145" i="8" s="1"/>
  <c r="BO145" i="8"/>
  <c r="R140" i="8"/>
  <c r="S140" i="8" s="1"/>
  <c r="W124" i="7"/>
  <c r="AN141" i="8" l="1"/>
  <c r="BO146" i="8"/>
  <c r="CF146" i="8"/>
  <c r="CG146" i="8" s="1"/>
  <c r="R141" i="8"/>
  <c r="S141" i="8" s="1"/>
  <c r="W125" i="7"/>
  <c r="AN142" i="8" l="1"/>
  <c r="CF147" i="8"/>
  <c r="CG147" i="8" s="1"/>
  <c r="BO147" i="8"/>
  <c r="R142" i="8"/>
  <c r="S142" i="8" s="1"/>
  <c r="W126" i="7"/>
  <c r="AN143" i="8" l="1"/>
  <c r="BO148" i="8"/>
  <c r="CF148" i="8"/>
  <c r="CG148" i="8" s="1"/>
  <c r="R143" i="8"/>
  <c r="S143" i="8" s="1"/>
  <c r="W127" i="7"/>
  <c r="AN144" i="8" l="1"/>
  <c r="CF149" i="8"/>
  <c r="CG149" i="8" s="1"/>
  <c r="BO149" i="8"/>
  <c r="R144" i="8"/>
  <c r="S144" i="8" s="1"/>
  <c r="W128" i="7"/>
  <c r="AN145" i="8" l="1"/>
  <c r="AN146" i="8" s="1"/>
  <c r="BO150" i="8"/>
  <c r="CF150" i="8"/>
  <c r="CG150" i="8" s="1"/>
  <c r="R145" i="8"/>
  <c r="W129" i="7"/>
  <c r="R146" i="8" l="1"/>
  <c r="S146" i="8" s="1"/>
  <c r="S145" i="8"/>
  <c r="AN147" i="8"/>
  <c r="CF151" i="8"/>
  <c r="CG151" i="8" s="1"/>
  <c r="BO151" i="8"/>
  <c r="R147" i="8"/>
  <c r="S147" i="8" s="1"/>
  <c r="W130" i="7"/>
  <c r="AN148" i="8" l="1"/>
  <c r="BO152" i="8"/>
  <c r="CF152" i="8"/>
  <c r="CG152" i="8" s="1"/>
  <c r="R148" i="8"/>
  <c r="S148" i="8" s="1"/>
  <c r="W131" i="7"/>
  <c r="AN149" i="8" l="1"/>
  <c r="CF153" i="8"/>
  <c r="CG153" i="8" s="1"/>
  <c r="BO153" i="8"/>
  <c r="R149" i="8"/>
  <c r="S149" i="8" s="1"/>
  <c r="W132" i="7"/>
  <c r="AN150" i="8" l="1"/>
  <c r="BO154" i="8"/>
  <c r="CF154" i="8"/>
  <c r="CG154" i="8" s="1"/>
  <c r="R150" i="8"/>
  <c r="S150" i="8" s="1"/>
  <c r="W133" i="7"/>
  <c r="AN151" i="8" l="1"/>
  <c r="CF155" i="8"/>
  <c r="CG155" i="8" s="1"/>
  <c r="BO155" i="8"/>
  <c r="R151" i="8"/>
  <c r="S151" i="8" s="1"/>
  <c r="W134" i="7"/>
  <c r="AN152" i="8" l="1"/>
  <c r="BO156" i="8"/>
  <c r="CF156" i="8"/>
  <c r="CG156" i="8" s="1"/>
  <c r="R152" i="8"/>
  <c r="S152" i="8" s="1"/>
  <c r="W135" i="7"/>
  <c r="AN153" i="8" l="1"/>
  <c r="CF157" i="8"/>
  <c r="CG157" i="8" s="1"/>
  <c r="BO157" i="8"/>
  <c r="R153" i="8"/>
  <c r="S153" i="8" s="1"/>
  <c r="W136" i="7"/>
  <c r="AN154" i="8" l="1"/>
  <c r="BO158" i="8"/>
  <c r="CF158" i="8"/>
  <c r="CG158" i="8" s="1"/>
  <c r="R154" i="8"/>
  <c r="S154" i="8" s="1"/>
  <c r="W137" i="7"/>
  <c r="AN155" i="8" l="1"/>
  <c r="CF159" i="8"/>
  <c r="CG159" i="8" s="1"/>
  <c r="BO159" i="8"/>
  <c r="R155" i="8"/>
  <c r="S155" i="8" s="1"/>
  <c r="W138" i="7"/>
  <c r="AN156" i="8" l="1"/>
  <c r="BO160" i="8"/>
  <c r="CF160" i="8"/>
  <c r="CG160" i="8" s="1"/>
  <c r="R156" i="8"/>
  <c r="S156" i="8" s="1"/>
  <c r="W139" i="7"/>
  <c r="AN157" i="8" l="1"/>
  <c r="AN158" i="8" s="1"/>
  <c r="CF161" i="8"/>
  <c r="CG161" i="8" s="1"/>
  <c r="BO161" i="8"/>
  <c r="R157" i="8"/>
  <c r="W140" i="7"/>
  <c r="R158" i="8" l="1"/>
  <c r="S158" i="8" s="1"/>
  <c r="S157" i="8"/>
  <c r="AN159" i="8"/>
  <c r="BO162" i="8"/>
  <c r="CF162" i="8"/>
  <c r="CG162" i="8" s="1"/>
  <c r="R159" i="8"/>
  <c r="S159" i="8" s="1"/>
  <c r="W141" i="7"/>
  <c r="AN160" i="8" l="1"/>
  <c r="CF163" i="8"/>
  <c r="CG163" i="8" s="1"/>
  <c r="BO163" i="8"/>
  <c r="R160" i="8"/>
  <c r="S160" i="8" s="1"/>
  <c r="W142" i="7"/>
  <c r="AN161" i="8" l="1"/>
  <c r="BO164" i="8"/>
  <c r="CF164" i="8"/>
  <c r="CG164" i="8" s="1"/>
  <c r="R161" i="8"/>
  <c r="S161" i="8" s="1"/>
  <c r="W143" i="7"/>
  <c r="AN162" i="8" l="1"/>
  <c r="CF165" i="8"/>
  <c r="CG165" i="8" s="1"/>
  <c r="BO165" i="8"/>
  <c r="R162" i="8"/>
  <c r="S162" i="8" s="1"/>
  <c r="W144" i="7"/>
  <c r="AN163" i="8" l="1"/>
  <c r="BO166" i="8"/>
  <c r="CF166" i="8"/>
  <c r="CG166" i="8" s="1"/>
  <c r="R163" i="8"/>
  <c r="S163" i="8" s="1"/>
  <c r="W145" i="7"/>
  <c r="AN164" i="8" l="1"/>
  <c r="CF167" i="8"/>
  <c r="CG167" i="8" s="1"/>
  <c r="BO167" i="8"/>
  <c r="R164" i="8"/>
  <c r="S164" i="8" s="1"/>
  <c r="W146" i="7"/>
  <c r="AN165" i="8" l="1"/>
  <c r="BO168" i="8"/>
  <c r="CF168" i="8"/>
  <c r="CG168" i="8" s="1"/>
  <c r="R165" i="8"/>
  <c r="S165" i="8" s="1"/>
  <c r="W147" i="7"/>
  <c r="AN166" i="8" l="1"/>
  <c r="CF169" i="8"/>
  <c r="CG169" i="8" s="1"/>
  <c r="BO169" i="8"/>
  <c r="R166" i="8"/>
  <c r="S166" i="8" s="1"/>
  <c r="W148" i="7"/>
  <c r="AN167" i="8" l="1"/>
  <c r="BO170" i="8"/>
  <c r="CF170" i="8"/>
  <c r="CG170" i="8" s="1"/>
  <c r="R167" i="8"/>
  <c r="S167" i="8" s="1"/>
  <c r="W149" i="7"/>
  <c r="AN168" i="8" l="1"/>
  <c r="CF171" i="8"/>
  <c r="CG171" i="8" s="1"/>
  <c r="BO171" i="8"/>
  <c r="R168" i="8"/>
  <c r="S168" i="8" s="1"/>
  <c r="W150" i="7"/>
  <c r="AN169" i="8" l="1"/>
  <c r="AN170" i="8" s="1"/>
  <c r="BO172" i="8"/>
  <c r="CF172" i="8"/>
  <c r="CG172" i="8" s="1"/>
  <c r="R169" i="8"/>
  <c r="W151" i="7"/>
  <c r="R170" i="8" l="1"/>
  <c r="S170" i="8" s="1"/>
  <c r="S169" i="8"/>
  <c r="AN171" i="8"/>
  <c r="CF173" i="8"/>
  <c r="CG173" i="8" s="1"/>
  <c r="BO173" i="8"/>
  <c r="R171" i="8"/>
  <c r="S171" i="8" s="1"/>
  <c r="W152" i="7"/>
  <c r="AN172" i="8" l="1"/>
  <c r="BO174" i="8"/>
  <c r="CF174" i="8"/>
  <c r="CG174" i="8" s="1"/>
  <c r="R172" i="8"/>
  <c r="S172" i="8" s="1"/>
  <c r="W153" i="7"/>
  <c r="AN173" i="8" l="1"/>
  <c r="CF175" i="8"/>
  <c r="CG175" i="8" s="1"/>
  <c r="BO175" i="8"/>
  <c r="R173" i="8"/>
  <c r="S173" i="8" s="1"/>
  <c r="W154" i="7"/>
  <c r="AN174" i="8" l="1"/>
  <c r="BO176" i="8"/>
  <c r="CF176" i="8"/>
  <c r="CG176" i="8" s="1"/>
  <c r="R174" i="8"/>
  <c r="S174" i="8" s="1"/>
  <c r="W155" i="7"/>
  <c r="AN175" i="8" l="1"/>
  <c r="CF177" i="8"/>
  <c r="CG177" i="8" s="1"/>
  <c r="BO177" i="8"/>
  <c r="R175" i="8"/>
  <c r="S175" i="8" s="1"/>
  <c r="W156" i="7"/>
  <c r="AN176" i="8" l="1"/>
  <c r="BO178" i="8"/>
  <c r="CF178" i="8"/>
  <c r="CG178" i="8" s="1"/>
  <c r="R176" i="8"/>
  <c r="S176" i="8" s="1"/>
  <c r="W157" i="7"/>
  <c r="AN177" i="8" l="1"/>
  <c r="CF179" i="8"/>
  <c r="CG179" i="8" s="1"/>
  <c r="BO179" i="8"/>
  <c r="R177" i="8"/>
  <c r="S177" i="8" s="1"/>
  <c r="W158" i="7"/>
  <c r="AN178" i="8" l="1"/>
  <c r="BO180" i="8"/>
  <c r="CF180" i="8"/>
  <c r="CG180" i="8" s="1"/>
  <c r="R178" i="8"/>
  <c r="S178" i="8" s="1"/>
  <c r="W159" i="7"/>
  <c r="AN179" i="8" l="1"/>
  <c r="CF181" i="8"/>
  <c r="CG181" i="8" s="1"/>
  <c r="BO181" i="8"/>
  <c r="R179" i="8"/>
  <c r="S179" i="8" s="1"/>
  <c r="W160" i="7"/>
  <c r="AN180" i="8" l="1"/>
  <c r="BO182" i="8"/>
  <c r="CF182" i="8"/>
  <c r="CG182" i="8" s="1"/>
  <c r="R180" i="8"/>
  <c r="S180" i="8" s="1"/>
  <c r="W161" i="7"/>
  <c r="AN181" i="8" l="1"/>
  <c r="AN182" i="8" s="1"/>
  <c r="CF183" i="8"/>
  <c r="CG183" i="8" s="1"/>
  <c r="BO183" i="8"/>
  <c r="R181" i="8"/>
  <c r="W162" i="7"/>
  <c r="R182" i="8" l="1"/>
  <c r="S182" i="8" s="1"/>
  <c r="S181" i="8"/>
  <c r="AN183" i="8"/>
  <c r="BO184" i="8"/>
  <c r="CF184" i="8"/>
  <c r="CG184" i="8" s="1"/>
  <c r="R183" i="8"/>
  <c r="S183" i="8" s="1"/>
  <c r="W163" i="7"/>
  <c r="AN184" i="8" l="1"/>
  <c r="CF185" i="8"/>
  <c r="CG185" i="8" s="1"/>
  <c r="BO185" i="8"/>
  <c r="R184" i="8"/>
  <c r="S184" i="8" s="1"/>
  <c r="W164" i="7"/>
  <c r="AN185" i="8" l="1"/>
  <c r="BO186" i="8"/>
  <c r="CF186" i="8"/>
  <c r="CG186" i="8" s="1"/>
  <c r="R185" i="8"/>
  <c r="S185" i="8" s="1"/>
  <c r="W165" i="7"/>
  <c r="AN186" i="8" l="1"/>
  <c r="CF187" i="8"/>
  <c r="CG187" i="8" s="1"/>
  <c r="BO187" i="8"/>
  <c r="R186" i="8"/>
  <c r="S186" i="8" s="1"/>
  <c r="W166" i="7"/>
  <c r="AN187" i="8" l="1"/>
  <c r="BO188" i="8"/>
  <c r="CF188" i="8"/>
  <c r="CG188" i="8" s="1"/>
  <c r="R187" i="8"/>
  <c r="S187" i="8" s="1"/>
  <c r="W167" i="7"/>
  <c r="AN188" i="8" l="1"/>
  <c r="CF189" i="8"/>
  <c r="CG189" i="8" s="1"/>
  <c r="BO189" i="8"/>
  <c r="R188" i="8"/>
  <c r="S188" i="8" s="1"/>
  <c r="W168" i="7"/>
  <c r="AN189" i="8" l="1"/>
  <c r="BO190" i="8"/>
  <c r="CF190" i="8"/>
  <c r="CG190" i="8" s="1"/>
  <c r="R189" i="8"/>
  <c r="S189" i="8" s="1"/>
  <c r="W169" i="7"/>
  <c r="AN190" i="8" l="1"/>
  <c r="CF191" i="8"/>
  <c r="CG191" i="8" s="1"/>
  <c r="BO191" i="8"/>
  <c r="R190" i="8"/>
  <c r="S190" i="8" s="1"/>
  <c r="W170" i="7"/>
  <c r="AN191" i="8" l="1"/>
  <c r="BO192" i="8"/>
  <c r="CF192" i="8"/>
  <c r="CG192" i="8" s="1"/>
  <c r="R191" i="8"/>
  <c r="S191" i="8" s="1"/>
  <c r="W171" i="7"/>
  <c r="AN192" i="8" l="1"/>
  <c r="CF193" i="8"/>
  <c r="CG193" i="8" s="1"/>
  <c r="BO193" i="8"/>
  <c r="R192" i="8"/>
  <c r="S192" i="8" s="1"/>
  <c r="W172" i="7"/>
  <c r="AN193" i="8" l="1"/>
  <c r="AN194" i="8" s="1"/>
  <c r="BO194" i="8"/>
  <c r="CF194" i="8"/>
  <c r="CG194" i="8" s="1"/>
  <c r="R193" i="8"/>
  <c r="W173" i="7"/>
  <c r="R194" i="8" l="1"/>
  <c r="S194" i="8" s="1"/>
  <c r="S193" i="8"/>
  <c r="AN195" i="8"/>
  <c r="CF195" i="8"/>
  <c r="CG195" i="8" s="1"/>
  <c r="BO195" i="8"/>
  <c r="R195" i="8"/>
  <c r="S195" i="8" s="1"/>
  <c r="W174" i="7"/>
  <c r="AN196" i="8" l="1"/>
  <c r="BO196" i="8"/>
  <c r="CF196" i="8"/>
  <c r="CG196" i="8" s="1"/>
  <c r="R196" i="8"/>
  <c r="S196" i="8" s="1"/>
  <c r="W175" i="7"/>
  <c r="AN197" i="8" l="1"/>
  <c r="CF197" i="8"/>
  <c r="CG197" i="8" s="1"/>
  <c r="BO197" i="8"/>
  <c r="R197" i="8"/>
  <c r="S197" i="8" s="1"/>
  <c r="W176" i="7"/>
  <c r="AN198" i="8" l="1"/>
  <c r="BO198" i="8"/>
  <c r="CF198" i="8"/>
  <c r="CG198" i="8" s="1"/>
  <c r="R198" i="8"/>
  <c r="S198" i="8" s="1"/>
  <c r="W177" i="7"/>
  <c r="AN199" i="8" l="1"/>
  <c r="CF199" i="8"/>
  <c r="CG199" i="8" s="1"/>
  <c r="BO199" i="8"/>
  <c r="R199" i="8"/>
  <c r="S199" i="8" s="1"/>
  <c r="W178" i="7"/>
  <c r="AN200" i="8" l="1"/>
  <c r="BO200" i="8"/>
  <c r="CF200" i="8"/>
  <c r="CG200" i="8" s="1"/>
  <c r="R200" i="8"/>
  <c r="S200" i="8" s="1"/>
  <c r="W179" i="7"/>
  <c r="AN201" i="8" l="1"/>
  <c r="CF201" i="8"/>
  <c r="CG201" i="8" s="1"/>
  <c r="BO201" i="8"/>
  <c r="R201" i="8"/>
  <c r="S201" i="8" s="1"/>
  <c r="W180" i="7"/>
  <c r="AN202" i="8" l="1"/>
  <c r="BO202" i="8"/>
  <c r="CF202" i="8"/>
  <c r="CG202" i="8" s="1"/>
  <c r="R202" i="8"/>
  <c r="S202" i="8" s="1"/>
  <c r="W181" i="7"/>
  <c r="AN203" i="8" l="1"/>
  <c r="CF203" i="8"/>
  <c r="CG203" i="8" s="1"/>
  <c r="BO203" i="8"/>
  <c r="R203" i="8"/>
  <c r="S203" i="8" s="1"/>
  <c r="W182" i="7"/>
  <c r="AN204" i="8" l="1"/>
  <c r="BO204" i="8"/>
  <c r="CF204" i="8"/>
  <c r="CG204" i="8" s="1"/>
  <c r="R204" i="8"/>
  <c r="S204" i="8" s="1"/>
  <c r="W183" i="7"/>
  <c r="AN205" i="8" l="1"/>
  <c r="AN206" i="8" s="1"/>
  <c r="BO205" i="8"/>
  <c r="CF205" i="8"/>
  <c r="CG205" i="8" s="1"/>
  <c r="R205" i="8"/>
  <c r="W184" i="7"/>
  <c r="R206" i="8" l="1"/>
  <c r="S206" i="8" s="1"/>
  <c r="S205" i="8"/>
  <c r="AN207" i="8"/>
  <c r="BO206" i="8"/>
  <c r="CF206" i="8"/>
  <c r="CG206" i="8" s="1"/>
  <c r="R207" i="8"/>
  <c r="S207" i="8" s="1"/>
  <c r="W185" i="7"/>
  <c r="AN208" i="8" l="1"/>
  <c r="BO207" i="8"/>
  <c r="CF207" i="8"/>
  <c r="CG207" i="8" s="1"/>
  <c r="R208" i="8"/>
  <c r="S208" i="8" s="1"/>
  <c r="W186" i="7"/>
  <c r="AN209" i="8" l="1"/>
  <c r="BO208" i="8"/>
  <c r="CF208" i="8"/>
  <c r="CG208" i="8" s="1"/>
  <c r="R209" i="8"/>
  <c r="S209" i="8" s="1"/>
  <c r="W187" i="7"/>
  <c r="AN210" i="8" l="1"/>
  <c r="CF209" i="8"/>
  <c r="CG209" i="8" s="1"/>
  <c r="BO209" i="8"/>
  <c r="R210" i="8"/>
  <c r="S210" i="8" s="1"/>
  <c r="W188" i="7"/>
  <c r="AN211" i="8" l="1"/>
  <c r="BO210" i="8"/>
  <c r="CF210" i="8"/>
  <c r="CG210" i="8" s="1"/>
  <c r="R211" i="8"/>
  <c r="S211" i="8" s="1"/>
  <c r="W189" i="7"/>
  <c r="AN212" i="8" l="1"/>
  <c r="BO211" i="8"/>
  <c r="CF211" i="8"/>
  <c r="CG211" i="8" s="1"/>
  <c r="R212" i="8"/>
  <c r="S212" i="8" s="1"/>
  <c r="W190" i="7"/>
  <c r="AN213" i="8" l="1"/>
  <c r="BO212" i="8"/>
  <c r="CF212" i="8"/>
  <c r="CG212" i="8" s="1"/>
  <c r="R213" i="8"/>
  <c r="S213" i="8" s="1"/>
  <c r="W191" i="7"/>
  <c r="AN214" i="8" l="1"/>
  <c r="BO213" i="8"/>
  <c r="CF213" i="8"/>
  <c r="CG213" i="8" s="1"/>
  <c r="R214" i="8"/>
  <c r="S214" i="8" s="1"/>
  <c r="W192" i="7"/>
  <c r="AN215" i="8" l="1"/>
  <c r="BO214" i="8"/>
  <c r="CF214" i="8"/>
  <c r="CG214" i="8" s="1"/>
  <c r="R215" i="8"/>
  <c r="S215" i="8" s="1"/>
  <c r="W193" i="7"/>
  <c r="AN216" i="8" l="1"/>
  <c r="CF215" i="8"/>
  <c r="CG215" i="8" s="1"/>
  <c r="BO215" i="8"/>
  <c r="R216" i="8"/>
  <c r="S216" i="8" s="1"/>
  <c r="W194" i="7"/>
  <c r="AN217" i="8" l="1"/>
  <c r="AN218" i="8" s="1"/>
  <c r="CF216" i="8"/>
  <c r="CG216" i="8" s="1"/>
  <c r="BO216" i="8"/>
  <c r="R217" i="8"/>
  <c r="W195" i="7"/>
  <c r="R218" i="8" l="1"/>
  <c r="S218" i="8" s="1"/>
  <c r="S217" i="8"/>
  <c r="AN219" i="8"/>
  <c r="CF217" i="8"/>
  <c r="CG217" i="8" s="1"/>
  <c r="BO217" i="8"/>
  <c r="W196" i="7"/>
  <c r="R219" i="8" l="1"/>
  <c r="S219" i="8" s="1"/>
  <c r="AN220" i="8"/>
  <c r="CF218" i="8"/>
  <c r="CG218" i="8" s="1"/>
  <c r="BO218" i="8"/>
  <c r="W197" i="7"/>
  <c r="R220" i="8" l="1"/>
  <c r="S220" i="8" s="1"/>
  <c r="AN221" i="8"/>
  <c r="BO219" i="8"/>
  <c r="CF219" i="8"/>
  <c r="CG219" i="8" s="1"/>
  <c r="R221" i="8"/>
  <c r="S221" i="8" s="1"/>
  <c r="W198" i="7"/>
  <c r="AN222" i="8" l="1"/>
  <c r="BO220" i="8"/>
  <c r="CF220" i="8"/>
  <c r="CG220" i="8" s="1"/>
  <c r="R222" i="8"/>
  <c r="S222" i="8" s="1"/>
  <c r="W199" i="7"/>
  <c r="AN223" i="8" l="1"/>
  <c r="BO221" i="8"/>
  <c r="CF221" i="8"/>
  <c r="CG221" i="8" s="1"/>
  <c r="R223" i="8"/>
  <c r="S223" i="8" s="1"/>
  <c r="W200" i="7"/>
  <c r="AN224" i="8" l="1"/>
  <c r="BO222" i="8"/>
  <c r="CF222" i="8"/>
  <c r="CG222" i="8" s="1"/>
  <c r="R224" i="8"/>
  <c r="S224" i="8" s="1"/>
  <c r="W201" i="7"/>
  <c r="AN225" i="8" l="1"/>
  <c r="CF223" i="8"/>
  <c r="CG223" i="8" s="1"/>
  <c r="BO223" i="8"/>
  <c r="R225" i="8"/>
  <c r="S225" i="8" s="1"/>
  <c r="W202" i="7"/>
  <c r="AN226" i="8" l="1"/>
  <c r="CF224" i="8"/>
  <c r="CG224" i="8" s="1"/>
  <c r="BO224" i="8"/>
  <c r="R226" i="8"/>
  <c r="S226" i="8" s="1"/>
  <c r="W203" i="7"/>
  <c r="AN227" i="8" l="1"/>
  <c r="CF225" i="8"/>
  <c r="CG225" i="8" s="1"/>
  <c r="BO225" i="8"/>
  <c r="R227" i="8"/>
  <c r="S227" i="8" s="1"/>
  <c r="W204" i="7"/>
  <c r="AN228" i="8" l="1"/>
  <c r="CF226" i="8"/>
  <c r="CG226" i="8" s="1"/>
  <c r="BO226" i="8"/>
  <c r="R228" i="8"/>
  <c r="S228" i="8" s="1"/>
  <c r="W205" i="7"/>
  <c r="AN229" i="8" l="1"/>
  <c r="AN230" i="8" s="1"/>
  <c r="BO227" i="8"/>
  <c r="CF227" i="8"/>
  <c r="CG227" i="8" s="1"/>
  <c r="R229" i="8"/>
  <c r="W206" i="7"/>
  <c r="R230" i="8" l="1"/>
  <c r="S230" i="8" s="1"/>
  <c r="S229" i="8"/>
  <c r="AN231" i="8"/>
  <c r="BO228" i="8"/>
  <c r="CF228" i="8"/>
  <c r="CG228" i="8" s="1"/>
  <c r="R231" i="8"/>
  <c r="S231" i="8" s="1"/>
  <c r="W207" i="7"/>
  <c r="AN232" i="8" l="1"/>
  <c r="BO229" i="8"/>
  <c r="CF229" i="8"/>
  <c r="CG229" i="8" s="1"/>
  <c r="R232" i="8"/>
  <c r="S232" i="8" s="1"/>
  <c r="W208" i="7"/>
  <c r="AN233" i="8" l="1"/>
  <c r="BO230" i="8"/>
  <c r="CF230" i="8"/>
  <c r="CG230" i="8" s="1"/>
  <c r="R233" i="8"/>
  <c r="S233" i="8" s="1"/>
  <c r="W209" i="7"/>
  <c r="AN234" i="8" l="1"/>
  <c r="CF231" i="8"/>
  <c r="CG231" i="8" s="1"/>
  <c r="BO231" i="8"/>
  <c r="R234" i="8"/>
  <c r="S234" i="8" s="1"/>
  <c r="W210" i="7"/>
  <c r="AN235" i="8" l="1"/>
  <c r="CF232" i="8"/>
  <c r="CG232" i="8" s="1"/>
  <c r="BO232" i="8"/>
  <c r="R235" i="8"/>
  <c r="S235" i="8" s="1"/>
  <c r="W211" i="7"/>
  <c r="AN236" i="8" l="1"/>
  <c r="CF233" i="8"/>
  <c r="CG233" i="8" s="1"/>
  <c r="BO233" i="8"/>
  <c r="R236" i="8"/>
  <c r="S236" i="8" s="1"/>
  <c r="W212" i="7"/>
  <c r="AN237" i="8" l="1"/>
  <c r="BO234" i="8"/>
  <c r="CF234" i="8"/>
  <c r="CG234" i="8" s="1"/>
  <c r="R237" i="8"/>
  <c r="S237" i="8" s="1"/>
  <c r="W213" i="7"/>
  <c r="AN238" i="8" l="1"/>
  <c r="CF235" i="8"/>
  <c r="CG235" i="8" s="1"/>
  <c r="BO235" i="8"/>
  <c r="R238" i="8"/>
  <c r="S238" i="8" s="1"/>
  <c r="W214" i="7"/>
  <c r="AN239" i="8" l="1"/>
  <c r="BO236" i="8"/>
  <c r="CF236" i="8"/>
  <c r="CG236" i="8" s="1"/>
  <c r="R239" i="8"/>
  <c r="S239" i="8" s="1"/>
  <c r="W215" i="7"/>
  <c r="AN240" i="8" l="1"/>
  <c r="CF237" i="8"/>
  <c r="CG237" i="8" s="1"/>
  <c r="BO237" i="8"/>
  <c r="R240" i="8"/>
  <c r="S240" i="8" s="1"/>
  <c r="W216" i="7"/>
  <c r="AN241" i="8" l="1"/>
  <c r="AN242" i="8" s="1"/>
  <c r="BO238" i="8"/>
  <c r="CF238" i="8"/>
  <c r="CG238" i="8" s="1"/>
  <c r="R241" i="8"/>
  <c r="W217" i="7"/>
  <c r="R242" i="8" l="1"/>
  <c r="S242" i="8" s="1"/>
  <c r="S241" i="8"/>
  <c r="AN243" i="8"/>
  <c r="CF239" i="8"/>
  <c r="CG239" i="8" s="1"/>
  <c r="BO239" i="8"/>
  <c r="R243" i="8"/>
  <c r="S243" i="8" s="1"/>
  <c r="W218" i="7"/>
  <c r="AN244" i="8" l="1"/>
  <c r="BO240" i="8"/>
  <c r="CF240" i="8"/>
  <c r="CG240" i="8" s="1"/>
  <c r="R244" i="8"/>
  <c r="S244" i="8" s="1"/>
  <c r="W219" i="7"/>
  <c r="AN245" i="8" l="1"/>
  <c r="CF241" i="8"/>
  <c r="CG241" i="8" s="1"/>
  <c r="BO241" i="8"/>
  <c r="R245" i="8"/>
  <c r="S245" i="8" s="1"/>
  <c r="W220" i="7"/>
  <c r="AN246" i="8" l="1"/>
  <c r="BO242" i="8"/>
  <c r="CF242" i="8"/>
  <c r="CG242" i="8" s="1"/>
  <c r="R246" i="8"/>
  <c r="S246" i="8" s="1"/>
  <c r="W221" i="7"/>
  <c r="AN247" i="8" l="1"/>
  <c r="CF243" i="8"/>
  <c r="CG243" i="8" s="1"/>
  <c r="BO243" i="8"/>
  <c r="R247" i="8"/>
  <c r="S247" i="8" s="1"/>
  <c r="W222" i="7"/>
  <c r="AN248" i="8" l="1"/>
  <c r="BO244" i="8"/>
  <c r="CF244" i="8"/>
  <c r="CG244" i="8" s="1"/>
  <c r="R248" i="8"/>
  <c r="S248" i="8" s="1"/>
  <c r="W223" i="7"/>
  <c r="AN249" i="8" l="1"/>
  <c r="CF245" i="8"/>
  <c r="CG245" i="8" s="1"/>
  <c r="BO245" i="8"/>
  <c r="R249" i="8"/>
  <c r="S249" i="8" s="1"/>
  <c r="W224" i="7"/>
  <c r="AN250" i="8" l="1"/>
  <c r="BO246" i="8"/>
  <c r="CF246" i="8"/>
  <c r="CG246" i="8" s="1"/>
  <c r="R250" i="8"/>
  <c r="S250" i="8" s="1"/>
  <c r="W225" i="7"/>
  <c r="AN251" i="8" l="1"/>
  <c r="CF247" i="8"/>
  <c r="CG247" i="8" s="1"/>
  <c r="BO247" i="8"/>
  <c r="R251" i="8"/>
  <c r="S251" i="8" s="1"/>
  <c r="W226" i="7"/>
  <c r="AN252" i="8" l="1"/>
  <c r="BO248" i="8"/>
  <c r="CF248" i="8"/>
  <c r="CG248" i="8" s="1"/>
  <c r="R252" i="8"/>
  <c r="S252" i="8" s="1"/>
  <c r="W227" i="7"/>
  <c r="AN253" i="8" l="1"/>
  <c r="AN254" i="8" s="1"/>
  <c r="CF249" i="8"/>
  <c r="CG249" i="8" s="1"/>
  <c r="BO249" i="8"/>
  <c r="R253" i="8"/>
  <c r="W228" i="7"/>
  <c r="R254" i="8" l="1"/>
  <c r="S254" i="8" s="1"/>
  <c r="S253" i="8"/>
  <c r="AN255" i="8"/>
  <c r="BO250" i="8"/>
  <c r="CF250" i="8"/>
  <c r="CG250" i="8" s="1"/>
  <c r="R255" i="8"/>
  <c r="S255" i="8" s="1"/>
  <c r="W229" i="7"/>
  <c r="AN256" i="8" l="1"/>
  <c r="CF251" i="8"/>
  <c r="CG251" i="8" s="1"/>
  <c r="BO251" i="8"/>
  <c r="R256" i="8"/>
  <c r="S256" i="8" s="1"/>
  <c r="W230" i="7"/>
  <c r="AN257" i="8" l="1"/>
  <c r="BO252" i="8"/>
  <c r="CF252" i="8"/>
  <c r="CG252" i="8" s="1"/>
  <c r="R257" i="8"/>
  <c r="S257" i="8" s="1"/>
  <c r="W231" i="7"/>
  <c r="AN258" i="8" l="1"/>
  <c r="CF253" i="8"/>
  <c r="CG253" i="8" s="1"/>
  <c r="BO253" i="8"/>
  <c r="R258" i="8"/>
  <c r="S258" i="8" s="1"/>
  <c r="W232" i="7"/>
  <c r="AN259" i="8" l="1"/>
  <c r="BO254" i="8"/>
  <c r="CF254" i="8"/>
  <c r="CG254" i="8" s="1"/>
  <c r="R259" i="8"/>
  <c r="S259" i="8" s="1"/>
  <c r="W233" i="7"/>
  <c r="AN260" i="8" l="1"/>
  <c r="CF255" i="8"/>
  <c r="CG255" i="8" s="1"/>
  <c r="BO255" i="8"/>
  <c r="R260" i="8"/>
  <c r="S260" i="8" s="1"/>
  <c r="W234" i="7"/>
  <c r="AN261" i="8" l="1"/>
  <c r="BO256" i="8"/>
  <c r="CF256" i="8"/>
  <c r="CG256" i="8" s="1"/>
  <c r="R261" i="8"/>
  <c r="S261" i="8" s="1"/>
  <c r="W235" i="7"/>
  <c r="AN262" i="8" l="1"/>
  <c r="CF257" i="8"/>
  <c r="CG257" i="8" s="1"/>
  <c r="BO257" i="8"/>
  <c r="R262" i="8"/>
  <c r="S262" i="8" s="1"/>
  <c r="W236" i="7"/>
  <c r="AN263" i="8" l="1"/>
  <c r="BO258" i="8"/>
  <c r="CF258" i="8"/>
  <c r="CG258" i="8" s="1"/>
  <c r="R263" i="8"/>
  <c r="S263" i="8" s="1"/>
  <c r="W237" i="7"/>
  <c r="AN264" i="8" l="1"/>
  <c r="BO259" i="8"/>
  <c r="CF259" i="8"/>
  <c r="CG259" i="8" s="1"/>
  <c r="R264" i="8"/>
  <c r="S264" i="8" s="1"/>
  <c r="W238" i="7"/>
  <c r="BO260" i="8" l="1"/>
  <c r="CF260" i="8"/>
  <c r="CG260" i="8" s="1"/>
  <c r="W239" i="7"/>
  <c r="BO261" i="8" l="1"/>
  <c r="CF261" i="8"/>
  <c r="CG261" i="8" s="1"/>
  <c r="W240" i="7"/>
  <c r="CF262" i="8" l="1"/>
  <c r="CG262" i="8" s="1"/>
  <c r="BO262" i="8"/>
  <c r="W241" i="7"/>
  <c r="CF263" i="8" l="1"/>
  <c r="CG263" i="8" s="1"/>
  <c r="BO263" i="8"/>
  <c r="W242" i="7"/>
  <c r="CF264" i="8" l="1"/>
  <c r="CG264" i="8" s="1"/>
  <c r="BO264" i="8"/>
  <c r="W243" i="7"/>
  <c r="W244" i="7" l="1"/>
  <c r="W245" i="7" l="1"/>
  <c r="W246" i="7" l="1"/>
  <c r="W247" i="7" l="1"/>
  <c r="W248" i="7" l="1"/>
  <c r="W249" i="7" l="1"/>
  <c r="W250" i="7" l="1"/>
  <c r="W251" i="7" l="1"/>
  <c r="W252" i="7" l="1"/>
  <c r="W253" i="7" l="1"/>
  <c r="W254" i="7" l="1"/>
  <c r="W255" i="7" l="1"/>
  <c r="W256" i="7" l="1"/>
  <c r="W257" i="7" l="1"/>
  <c r="V88" i="1" l="1"/>
  <c r="V89" i="1" s="1"/>
  <c r="W89" i="1" s="1"/>
  <c r="V90" i="1" l="1"/>
  <c r="W90" i="1" s="1"/>
  <c r="B87" i="1" l="1"/>
  <c r="B17" i="7"/>
  <c r="V91" i="1"/>
  <c r="W91" i="1" s="1"/>
  <c r="H35" i="1" l="1"/>
  <c r="C22" i="4"/>
  <c r="B43" i="2" s="1"/>
  <c r="O6" i="4"/>
  <c r="O4" i="4" s="1"/>
  <c r="K86" i="1" s="1"/>
  <c r="V92" i="1"/>
  <c r="W92" i="1" s="1"/>
  <c r="W7" i="4"/>
  <c r="E4" i="4"/>
  <c r="G7" i="4"/>
  <c r="H118" i="4" l="1"/>
  <c r="B6" i="2" s="1"/>
  <c r="B40" i="2"/>
  <c r="C37" i="1"/>
  <c r="J65" i="1"/>
  <c r="C18" i="4"/>
  <c r="G9" i="4"/>
  <c r="C33" i="1"/>
  <c r="V93" i="1"/>
  <c r="W93" i="1" s="1"/>
  <c r="AA11" i="4"/>
  <c r="F4" i="4"/>
  <c r="J31" i="1"/>
  <c r="C10" i="4"/>
  <c r="C8" i="4"/>
  <c r="C6" i="4"/>
  <c r="W1" i="1" s="1"/>
  <c r="C12" i="4"/>
  <c r="P86" i="1"/>
  <c r="B60" i="2"/>
  <c r="B66" i="2"/>
  <c r="K31" i="1"/>
  <c r="E7" i="4"/>
  <c r="G13" i="4"/>
  <c r="B69" i="2" l="1"/>
  <c r="B80" i="2"/>
  <c r="C80" i="2" s="1"/>
  <c r="W2" i="1"/>
  <c r="C39" i="1" s="1"/>
  <c r="L44" i="1" s="1"/>
  <c r="BB125" i="2"/>
  <c r="BB128" i="2" s="1"/>
  <c r="BF125" i="2"/>
  <c r="BF128" i="2" s="1"/>
  <c r="BJ125" i="2"/>
  <c r="BJ128" i="2" s="1"/>
  <c r="AX125" i="2"/>
  <c r="AX128" i="2" s="1"/>
  <c r="AP125" i="2"/>
  <c r="AP128" i="2" s="1"/>
  <c r="C113" i="2"/>
  <c r="W113" i="2"/>
  <c r="O113" i="2"/>
  <c r="S113" i="2"/>
  <c r="K113" i="2"/>
  <c r="S125" i="2"/>
  <c r="O125" i="2"/>
  <c r="K125" i="2"/>
  <c r="C125" i="2"/>
  <c r="W125" i="2"/>
  <c r="F30" i="2"/>
  <c r="D30" i="2"/>
  <c r="F43" i="2"/>
  <c r="F44" i="2" s="1"/>
  <c r="F48" i="2" s="1"/>
  <c r="D43" i="2"/>
  <c r="D44" i="2" s="1"/>
  <c r="D48" i="2" s="1"/>
  <c r="C43" i="2"/>
  <c r="C44" i="2" s="1"/>
  <c r="C48" i="2" s="1"/>
  <c r="E43" i="2"/>
  <c r="E44" i="2" s="1"/>
  <c r="E48" i="2" s="1"/>
  <c r="G43" i="2"/>
  <c r="G44" i="2" s="1"/>
  <c r="G48" i="2" s="1"/>
  <c r="E30" i="2"/>
  <c r="G30" i="2"/>
  <c r="Q110" i="2"/>
  <c r="I110" i="2" s="1"/>
  <c r="M110" i="2"/>
  <c r="B67" i="2"/>
  <c r="G16" i="4"/>
  <c r="G4" i="4" s="1"/>
  <c r="C126" i="2"/>
  <c r="AB126" i="2" s="1"/>
  <c r="Q126" i="2"/>
  <c r="I126" i="2" s="1"/>
  <c r="M126" i="2"/>
  <c r="CZ12" i="8"/>
  <c r="BZ12" i="8"/>
  <c r="V94" i="1"/>
  <c r="W94" i="1" s="1"/>
  <c r="C262" i="7"/>
  <c r="C263" i="7"/>
  <c r="C264" i="7"/>
  <c r="C265" i="7"/>
  <c r="C267" i="7"/>
  <c r="C268" i="7"/>
  <c r="C269" i="7"/>
  <c r="E47" i="1" l="1"/>
  <c r="H44" i="1"/>
  <c r="AD110" i="2"/>
  <c r="AD126" i="2"/>
  <c r="K17" i="18"/>
  <c r="J45" i="1"/>
  <c r="N45" i="1"/>
  <c r="N56" i="1" s="1"/>
  <c r="G47" i="2"/>
  <c r="E47" i="2"/>
  <c r="D47" i="2"/>
  <c r="F47" i="2"/>
  <c r="C47" i="2"/>
  <c r="H45" i="1"/>
  <c r="G58" i="1" s="1"/>
  <c r="L45" i="1"/>
  <c r="L61" i="1" s="1"/>
  <c r="J77" i="1"/>
  <c r="M76" i="1"/>
  <c r="AB113" i="2"/>
  <c r="L8" i="8" s="1"/>
  <c r="M79" i="1"/>
  <c r="AB125" i="2"/>
  <c r="N65" i="1"/>
  <c r="N70" i="1" s="1"/>
  <c r="BO125" i="2"/>
  <c r="AT125" i="2"/>
  <c r="G113" i="2"/>
  <c r="K84" i="1"/>
  <c r="G125" i="2"/>
  <c r="B68" i="2"/>
  <c r="AE135" i="1"/>
  <c r="AE277" i="1"/>
  <c r="AE252" i="1"/>
  <c r="AE198" i="1"/>
  <c r="AE289" i="1"/>
  <c r="AE244" i="1"/>
  <c r="AE167" i="1"/>
  <c r="AE285" i="1"/>
  <c r="AE260" i="1"/>
  <c r="AE214" i="1"/>
  <c r="AE272" i="1"/>
  <c r="AE196" i="1"/>
  <c r="AE192" i="1"/>
  <c r="AE204" i="1"/>
  <c r="AE220" i="1"/>
  <c r="AE163" i="1"/>
  <c r="AE189" i="1"/>
  <c r="AE144" i="1"/>
  <c r="AE205" i="1"/>
  <c r="AE195" i="1"/>
  <c r="AE201" i="1"/>
  <c r="AE156" i="1"/>
  <c r="AE219" i="1"/>
  <c r="AE213" i="1"/>
  <c r="AE225" i="1"/>
  <c r="AE305" i="1"/>
  <c r="AE301" i="1"/>
  <c r="AE313" i="1"/>
  <c r="AE238" i="1"/>
  <c r="AE309" i="1"/>
  <c r="AE284" i="1"/>
  <c r="AE262" i="1"/>
  <c r="AE321" i="1"/>
  <c r="AE280" i="1"/>
  <c r="AE254" i="1"/>
  <c r="AE317" i="1"/>
  <c r="AE292" i="1"/>
  <c r="AE278" i="1"/>
  <c r="AE304" i="1"/>
  <c r="AE264" i="1"/>
  <c r="AE276" i="1"/>
  <c r="AE288" i="1"/>
  <c r="AE211" i="1"/>
  <c r="AE209" i="1"/>
  <c r="AE235" i="1"/>
  <c r="AE221" i="1"/>
  <c r="AE164" i="1"/>
  <c r="AE227" i="1"/>
  <c r="AE188" i="1"/>
  <c r="AE251" i="1"/>
  <c r="AE229" i="1"/>
  <c r="AE200" i="1"/>
  <c r="AE290" i="1"/>
  <c r="AE230" i="1"/>
  <c r="AE222" i="1"/>
  <c r="AE246" i="1"/>
  <c r="AE239" i="1"/>
  <c r="AE226" i="1"/>
  <c r="AE186" i="1"/>
  <c r="AE263" i="1"/>
  <c r="AE250" i="1"/>
  <c r="AE255" i="1"/>
  <c r="AE242" i="1"/>
  <c r="AE279" i="1"/>
  <c r="AE266" i="1"/>
  <c r="AE109" i="1"/>
  <c r="AE206" i="1"/>
  <c r="AE268" i="1"/>
  <c r="AE130" i="1"/>
  <c r="AE122" i="1"/>
  <c r="AE275" i="1"/>
  <c r="AE241" i="1"/>
  <c r="AE216" i="1"/>
  <c r="AE299" i="1"/>
  <c r="AE257" i="1"/>
  <c r="AE212" i="1"/>
  <c r="AE291" i="1"/>
  <c r="AE253" i="1"/>
  <c r="AE224" i="1"/>
  <c r="AE315" i="1"/>
  <c r="AE265" i="1"/>
  <c r="AE236" i="1"/>
  <c r="AE199" i="1"/>
  <c r="AE258" i="1"/>
  <c r="AE295" i="1"/>
  <c r="AE282" i="1"/>
  <c r="AE121" i="1"/>
  <c r="AE287" i="1"/>
  <c r="AE274" i="1"/>
  <c r="AE311" i="1"/>
  <c r="AE298" i="1"/>
  <c r="AE293" i="1"/>
  <c r="AE143" i="1"/>
  <c r="AE190" i="1"/>
  <c r="AE202" i="1"/>
  <c r="AE270" i="1"/>
  <c r="AE300" i="1"/>
  <c r="AE294" i="1"/>
  <c r="AE105" i="1"/>
  <c r="AE296" i="1"/>
  <c r="AE286" i="1"/>
  <c r="AE308" i="1"/>
  <c r="AE310" i="1"/>
  <c r="AE320" i="1"/>
  <c r="AE243" i="1"/>
  <c r="AE319" i="1"/>
  <c r="AE116" i="1"/>
  <c r="AE322" i="1"/>
  <c r="AE112" i="1"/>
  <c r="AE185" i="1"/>
  <c r="AE103" i="1"/>
  <c r="AE131" i="1"/>
  <c r="AE179" i="1"/>
  <c r="AE197" i="1"/>
  <c r="AE267" i="1"/>
  <c r="AE306" i="1"/>
  <c r="AE302" i="1"/>
  <c r="AE118" i="1"/>
  <c r="AE316" i="1"/>
  <c r="AE142" i="1"/>
  <c r="AE312" i="1"/>
  <c r="AE134" i="1"/>
  <c r="AE157" i="1"/>
  <c r="AE177" i="1"/>
  <c r="AE307" i="1"/>
  <c r="AE261" i="1"/>
  <c r="AE232" i="1"/>
  <c r="AE273" i="1"/>
  <c r="AE228" i="1"/>
  <c r="AE269" i="1"/>
  <c r="AE240" i="1"/>
  <c r="AE151" i="1"/>
  <c r="AE281" i="1"/>
  <c r="AE256" i="1"/>
  <c r="AE158" i="1"/>
  <c r="AE314" i="1"/>
  <c r="AE259" i="1"/>
  <c r="AE283" i="1"/>
  <c r="AE187" i="1"/>
  <c r="AE159" i="1"/>
  <c r="AE146" i="1"/>
  <c r="AE231" i="1"/>
  <c r="AE178" i="1"/>
  <c r="AE223" i="1"/>
  <c r="AE210" i="1"/>
  <c r="AE170" i="1"/>
  <c r="AE247" i="1"/>
  <c r="AE234" i="1"/>
  <c r="AE194" i="1"/>
  <c r="AE237" i="1"/>
  <c r="AE233" i="1"/>
  <c r="AE249" i="1"/>
  <c r="V95" i="1"/>
  <c r="W95" i="1" s="1"/>
  <c r="K1" i="8"/>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s="1"/>
  <c r="A104" i="8" s="1"/>
  <c r="A105" i="8" s="1"/>
  <c r="A106" i="8" s="1"/>
  <c r="A107" i="8" s="1"/>
  <c r="A108" i="8" s="1"/>
  <c r="A109" i="8" s="1"/>
  <c r="A110" i="8" s="1"/>
  <c r="A111" i="8" s="1"/>
  <c r="A112" i="8" s="1"/>
  <c r="A113" i="8" s="1"/>
  <c r="A114" i="8" s="1"/>
  <c r="A115" i="8" s="1"/>
  <c r="A116" i="8" s="1"/>
  <c r="A117" i="8" s="1"/>
  <c r="A118" i="8" s="1"/>
  <c r="A119" i="8" s="1"/>
  <c r="A120" i="8" s="1"/>
  <c r="A121" i="8" s="1"/>
  <c r="A122" i="8" s="1"/>
  <c r="A123" i="8" s="1"/>
  <c r="A124" i="8" s="1"/>
  <c r="A125" i="8" s="1"/>
  <c r="A126" i="8" s="1"/>
  <c r="A127" i="8" s="1"/>
  <c r="A128" i="8" s="1"/>
  <c r="A129" i="8" s="1"/>
  <c r="A130" i="8" s="1"/>
  <c r="A131" i="8" s="1"/>
  <c r="A132" i="8" s="1"/>
  <c r="A133" i="8" s="1"/>
  <c r="A134" i="8" s="1"/>
  <c r="A135" i="8" s="1"/>
  <c r="A136" i="8" s="1"/>
  <c r="A137" i="8" s="1"/>
  <c r="A138" i="8" s="1"/>
  <c r="A139" i="8" s="1"/>
  <c r="A140" i="8" s="1"/>
  <c r="A141" i="8" s="1"/>
  <c r="A142" i="8" s="1"/>
  <c r="A143" i="8" s="1"/>
  <c r="A144" i="8" s="1"/>
  <c r="A145" i="8" s="1"/>
  <c r="A146" i="8" s="1"/>
  <c r="A147" i="8" s="1"/>
  <c r="A148" i="8" s="1"/>
  <c r="A149" i="8" s="1"/>
  <c r="A150" i="8" s="1"/>
  <c r="A151" i="8" s="1"/>
  <c r="A152" i="8" s="1"/>
  <c r="A153" i="8" s="1"/>
  <c r="A154" i="8" s="1"/>
  <c r="A155" i="8" s="1"/>
  <c r="A156" i="8" s="1"/>
  <c r="A157" i="8" s="1"/>
  <c r="A158" i="8" s="1"/>
  <c r="A159" i="8" s="1"/>
  <c r="A160" i="8" s="1"/>
  <c r="A161" i="8" s="1"/>
  <c r="A162" i="8" s="1"/>
  <c r="A163" i="8" s="1"/>
  <c r="A164" i="8" s="1"/>
  <c r="A165" i="8" s="1"/>
  <c r="A166" i="8" s="1"/>
  <c r="A167" i="8" s="1"/>
  <c r="A168" i="8" s="1"/>
  <c r="A169" i="8" s="1"/>
  <c r="A170" i="8" s="1"/>
  <c r="A171" i="8" s="1"/>
  <c r="A172" i="8" s="1"/>
  <c r="A173" i="8" s="1"/>
  <c r="A174" i="8" s="1"/>
  <c r="A175" i="8" s="1"/>
  <c r="A176" i="8" s="1"/>
  <c r="A177" i="8" s="1"/>
  <c r="A178" i="8" s="1"/>
  <c r="A179" i="8" s="1"/>
  <c r="A180" i="8" s="1"/>
  <c r="A181" i="8" s="1"/>
  <c r="A182" i="8" s="1"/>
  <c r="A183" i="8" s="1"/>
  <c r="A184" i="8" s="1"/>
  <c r="A185" i="8" s="1"/>
  <c r="A186" i="8" s="1"/>
  <c r="A187" i="8" s="1"/>
  <c r="A188" i="8" s="1"/>
  <c r="A189" i="8" s="1"/>
  <c r="A190" i="8" s="1"/>
  <c r="A191" i="8" s="1"/>
  <c r="A192" i="8" s="1"/>
  <c r="A193" i="8" s="1"/>
  <c r="A194" i="8" s="1"/>
  <c r="A195" i="8" s="1"/>
  <c r="A196" i="8" s="1"/>
  <c r="A197" i="8" s="1"/>
  <c r="A198" i="8" s="1"/>
  <c r="A199" i="8" s="1"/>
  <c r="A200" i="8" s="1"/>
  <c r="A201" i="8" s="1"/>
  <c r="A202" i="8" s="1"/>
  <c r="A203" i="8" s="1"/>
  <c r="A204" i="8" s="1"/>
  <c r="A205" i="8" s="1"/>
  <c r="A206" i="8" s="1"/>
  <c r="A207" i="8" s="1"/>
  <c r="A208" i="8" s="1"/>
  <c r="A209" i="8" s="1"/>
  <c r="A210" i="8" s="1"/>
  <c r="A211" i="8" s="1"/>
  <c r="A212" i="8" s="1"/>
  <c r="A213" i="8" s="1"/>
  <c r="A214" i="8" s="1"/>
  <c r="A215" i="8" s="1"/>
  <c r="A216" i="8" s="1"/>
  <c r="A217" i="8" s="1"/>
  <c r="A218" i="8" s="1"/>
  <c r="A219" i="8" s="1"/>
  <c r="A220" i="8" s="1"/>
  <c r="A221" i="8" s="1"/>
  <c r="A222" i="8" s="1"/>
  <c r="A223" i="8" s="1"/>
  <c r="A224" i="8" s="1"/>
  <c r="A225" i="8" s="1"/>
  <c r="A226" i="8" s="1"/>
  <c r="A227" i="8" s="1"/>
  <c r="A228" i="8" s="1"/>
  <c r="A229" i="8" s="1"/>
  <c r="A230" i="8" s="1"/>
  <c r="A231" i="8" s="1"/>
  <c r="A232" i="8" s="1"/>
  <c r="A233" i="8" s="1"/>
  <c r="A234" i="8" s="1"/>
  <c r="A235" i="8" s="1"/>
  <c r="A236" i="8" s="1"/>
  <c r="A237" i="8" s="1"/>
  <c r="A238" i="8" s="1"/>
  <c r="A239" i="8" s="1"/>
  <c r="A240" i="8" s="1"/>
  <c r="A241" i="8" s="1"/>
  <c r="A242" i="8" s="1"/>
  <c r="A243" i="8" s="1"/>
  <c r="A244" i="8" s="1"/>
  <c r="A245" i="8" s="1"/>
  <c r="A246" i="8" s="1"/>
  <c r="A247" i="8" s="1"/>
  <c r="A248" i="8" s="1"/>
  <c r="A249" i="8" s="1"/>
  <c r="A250" i="8" s="1"/>
  <c r="A251" i="8" s="1"/>
  <c r="A252" i="8" s="1"/>
  <c r="A253" i="8" s="1"/>
  <c r="A254" i="8" s="1"/>
  <c r="A255" i="8" s="1"/>
  <c r="A256" i="8" s="1"/>
  <c r="A257" i="8" s="1"/>
  <c r="A258" i="8" s="1"/>
  <c r="A259" i="8" s="1"/>
  <c r="A260" i="8" s="1"/>
  <c r="A261" i="8" s="1"/>
  <c r="A262" i="8" s="1"/>
  <c r="A263" i="8" s="1"/>
  <c r="A264" i="8" s="1"/>
  <c r="A265" i="8" s="1"/>
  <c r="G69" i="1" l="1"/>
  <c r="G65" i="1"/>
  <c r="G64" i="1"/>
  <c r="A266" i="8"/>
  <c r="H57" i="1"/>
  <c r="G51" i="1"/>
  <c r="F50" i="2"/>
  <c r="J48" i="1"/>
  <c r="J61" i="1"/>
  <c r="J58" i="1"/>
  <c r="J56" i="1"/>
  <c r="J55" i="1"/>
  <c r="J47" i="1"/>
  <c r="D50" i="2"/>
  <c r="E50" i="2"/>
  <c r="B84" i="2"/>
  <c r="A71" i="2"/>
  <c r="C49" i="2"/>
  <c r="C51" i="2" s="1"/>
  <c r="C52" i="2" s="1"/>
  <c r="H18" i="18"/>
  <c r="D18" i="18"/>
  <c r="L57" i="1"/>
  <c r="M80" i="1"/>
  <c r="C50" i="2"/>
  <c r="L69" i="1"/>
  <c r="G70" i="1"/>
  <c r="N59" i="1"/>
  <c r="G62" i="1"/>
  <c r="G61" i="1"/>
  <c r="G49" i="1"/>
  <c r="N49" i="1"/>
  <c r="H69" i="1"/>
  <c r="N52" i="1"/>
  <c r="N58" i="1"/>
  <c r="G50" i="1"/>
  <c r="G56" i="1"/>
  <c r="H58" i="1"/>
  <c r="G66" i="1"/>
  <c r="H47" i="1"/>
  <c r="G50" i="2"/>
  <c r="G49" i="2" s="1"/>
  <c r="L65" i="1"/>
  <c r="H61" i="1"/>
  <c r="H68" i="1"/>
  <c r="G54" i="1"/>
  <c r="H65" i="1"/>
  <c r="G47" i="1"/>
  <c r="G48" i="1"/>
  <c r="G60" i="1"/>
  <c r="G67" i="1"/>
  <c r="G57" i="1"/>
  <c r="G55" i="1"/>
  <c r="G68" i="1"/>
  <c r="G52" i="1"/>
  <c r="G59" i="1"/>
  <c r="G46" i="1"/>
  <c r="L68" i="1"/>
  <c r="N48" i="1"/>
  <c r="N57" i="1"/>
  <c r="N51" i="1"/>
  <c r="N50" i="1"/>
  <c r="L58" i="1"/>
  <c r="N46" i="1"/>
  <c r="L47" i="1"/>
  <c r="C401" i="1"/>
  <c r="M86" i="1"/>
  <c r="AT128" i="2"/>
  <c r="BO128" i="2"/>
  <c r="AA69" i="17" s="1"/>
  <c r="AA71" i="17" s="1"/>
  <c r="IG25" i="8" s="1"/>
  <c r="C327" i="17"/>
  <c r="C271" i="20" s="1"/>
  <c r="E49" i="2"/>
  <c r="C68" i="2"/>
  <c r="F49" i="2"/>
  <c r="D49" i="2"/>
  <c r="IW267" i="8"/>
  <c r="V96" i="1"/>
  <c r="W96" i="1" s="1"/>
  <c r="A267" i="8" l="1"/>
  <c r="IG23" i="8"/>
  <c r="G51" i="2"/>
  <c r="G52" i="2" s="1"/>
  <c r="D51" i="2"/>
  <c r="F51" i="2"/>
  <c r="E51" i="2"/>
  <c r="V97" i="1"/>
  <c r="W97" i="1" s="1"/>
  <c r="K1" i="7"/>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K7" i="7"/>
  <c r="E7" i="7"/>
  <c r="E5" i="7"/>
  <c r="A268" i="8" l="1"/>
  <c r="L119" i="2"/>
  <c r="L124" i="2" s="1"/>
  <c r="D52" i="2"/>
  <c r="P119" i="2"/>
  <c r="P110" i="2" s="1"/>
  <c r="E52" i="2"/>
  <c r="T119" i="2"/>
  <c r="T129" i="2" s="1"/>
  <c r="F52" i="2"/>
  <c r="X119" i="2"/>
  <c r="X123" i="2" s="1"/>
  <c r="X105" i="2"/>
  <c r="L105" i="2"/>
  <c r="P105" i="2"/>
  <c r="T105" i="2"/>
  <c r="V98" i="1"/>
  <c r="W98" i="1" s="1"/>
  <c r="A269" i="8" l="1"/>
  <c r="L110" i="2"/>
  <c r="P124" i="2"/>
  <c r="H105" i="2"/>
  <c r="M45" i="1" s="1"/>
  <c r="X124" i="2"/>
  <c r="X110" i="2"/>
  <c r="T124" i="2"/>
  <c r="X129" i="2"/>
  <c r="T110" i="2"/>
  <c r="T123" i="2"/>
  <c r="V99" i="1"/>
  <c r="W99" i="1" s="1"/>
  <c r="A270" i="8" l="1"/>
  <c r="H119" i="2"/>
  <c r="M48" i="1" s="1"/>
  <c r="H124" i="2"/>
  <c r="M56" i="1" s="1"/>
  <c r="H110" i="2"/>
  <c r="M65" i="1" s="1"/>
  <c r="M70" i="1" s="1"/>
  <c r="M46" i="1"/>
  <c r="M49" i="1"/>
  <c r="M58" i="1"/>
  <c r="M51" i="1"/>
  <c r="M52" i="1"/>
  <c r="M57" i="1"/>
  <c r="M50" i="1"/>
  <c r="V100" i="1"/>
  <c r="W100" i="1" s="1"/>
  <c r="A271" i="8" l="1"/>
  <c r="V101" i="1"/>
  <c r="W101" i="1" s="1"/>
  <c r="A272" i="8" l="1"/>
  <c r="V102" i="1"/>
  <c r="W102" i="1" s="1"/>
  <c r="A273" i="8" l="1"/>
  <c r="V103" i="1"/>
  <c r="W103" i="1" s="1"/>
  <c r="N1" i="1"/>
  <c r="A87" i="1" s="1"/>
  <c r="A88" i="1" s="1"/>
  <c r="A89" i="1" s="1"/>
  <c r="A274" i="8" l="1"/>
  <c r="V104" i="1"/>
  <c r="W104" i="1" s="1"/>
  <c r="A90" i="1"/>
  <c r="O2" i="1"/>
  <c r="C12" i="20" s="1"/>
  <c r="A275" i="8" l="1"/>
  <c r="C84" i="1"/>
  <c r="C14" i="18"/>
  <c r="V105" i="1"/>
  <c r="W105" i="1" s="1"/>
  <c r="A91" i="1"/>
  <c r="C14" i="7"/>
  <c r="A276" i="8" l="1"/>
  <c r="V106" i="1"/>
  <c r="W106" i="1" s="1"/>
  <c r="A92" i="1"/>
  <c r="A277" i="8" l="1"/>
  <c r="V107" i="1"/>
  <c r="W107" i="1" s="1"/>
  <c r="A93" i="1"/>
  <c r="C5" i="2"/>
  <c r="A278" i="8" l="1"/>
  <c r="O107" i="2"/>
  <c r="K107" i="2"/>
  <c r="C107" i="2"/>
  <c r="W107" i="2"/>
  <c r="S107" i="2"/>
  <c r="C8" i="2"/>
  <c r="C9" i="2" s="1"/>
  <c r="D5" i="2"/>
  <c r="V108" i="1"/>
  <c r="W108" i="1" s="1"/>
  <c r="A94" i="1"/>
  <c r="A105" i="2"/>
  <c r="A279" i="8" l="1"/>
  <c r="J75" i="1"/>
  <c r="E45" i="1"/>
  <c r="G107" i="2"/>
  <c r="AB107" i="2"/>
  <c r="S108" i="2"/>
  <c r="S112" i="2"/>
  <c r="W108" i="2"/>
  <c r="W112" i="2"/>
  <c r="C108" i="2"/>
  <c r="K112" i="2"/>
  <c r="K108" i="2"/>
  <c r="O112" i="2"/>
  <c r="O108" i="2"/>
  <c r="D8" i="2"/>
  <c r="D9" i="2" s="1"/>
  <c r="D10" i="2" s="1"/>
  <c r="E5" i="2"/>
  <c r="C112" i="2"/>
  <c r="H66" i="1" s="1"/>
  <c r="V109" i="1"/>
  <c r="W109" i="1" s="1"/>
  <c r="A95" i="1"/>
  <c r="AB112" i="2" l="1"/>
  <c r="M77" i="1" s="1"/>
  <c r="A280" i="8"/>
  <c r="J76" i="1"/>
  <c r="E46" i="1"/>
  <c r="AB108" i="2"/>
  <c r="F7" i="8" s="1"/>
  <c r="D11" i="2"/>
  <c r="G112" i="2"/>
  <c r="L66" i="1" s="1"/>
  <c r="G108" i="2"/>
  <c r="F5" i="2"/>
  <c r="E8" i="2"/>
  <c r="E9" i="2" s="1"/>
  <c r="E10" i="2" s="1"/>
  <c r="DO26" i="8"/>
  <c r="DN26" i="8" s="1"/>
  <c r="V110" i="1"/>
  <c r="W110" i="1" s="1"/>
  <c r="A96" i="1"/>
  <c r="A281" i="8" l="1"/>
  <c r="E11" i="2"/>
  <c r="F8" i="2"/>
  <c r="F9" i="2" s="1"/>
  <c r="F10" i="2" s="1"/>
  <c r="G5" i="2"/>
  <c r="G8" i="2" s="1"/>
  <c r="G9" i="2" s="1"/>
  <c r="G10" i="2" s="1"/>
  <c r="FF26" i="8"/>
  <c r="FE26" i="8" s="1"/>
  <c r="V111" i="1"/>
  <c r="W111" i="1" s="1"/>
  <c r="A97" i="1"/>
  <c r="F5" i="8"/>
  <c r="A282" i="8" l="1"/>
  <c r="F11" i="2"/>
  <c r="G11" i="2"/>
  <c r="V112" i="1"/>
  <c r="W112" i="1" s="1"/>
  <c r="A98" i="1"/>
  <c r="A283" i="8" l="1"/>
  <c r="V113" i="1"/>
  <c r="W113" i="1" s="1"/>
  <c r="A99" i="1"/>
  <c r="A284" i="8" l="1"/>
  <c r="V114" i="1"/>
  <c r="W114" i="1" s="1"/>
  <c r="A100" i="1"/>
  <c r="A285" i="8" l="1"/>
  <c r="GX28" i="8"/>
  <c r="FI27" i="8"/>
  <c r="FH27" i="8" s="1"/>
  <c r="V115" i="1"/>
  <c r="W115" i="1" s="1"/>
  <c r="A101" i="1"/>
  <c r="A286" i="8" l="1"/>
  <c r="FF27" i="8"/>
  <c r="FE27" i="8" s="1"/>
  <c r="HA28" i="8"/>
  <c r="GZ28" i="8" s="1"/>
  <c r="GW28" i="8" s="1"/>
  <c r="V116" i="1"/>
  <c r="W116" i="1" s="1"/>
  <c r="A102" i="1"/>
  <c r="A287" i="8" l="1"/>
  <c r="V117" i="1"/>
  <c r="W117" i="1" s="1"/>
  <c r="A103" i="1"/>
  <c r="A288" i="8" l="1"/>
  <c r="V118" i="1"/>
  <c r="W118" i="1" s="1"/>
  <c r="A104" i="1"/>
  <c r="A289" i="8" l="1"/>
  <c r="V119" i="1"/>
  <c r="W119" i="1" s="1"/>
  <c r="A105" i="1"/>
  <c r="A290" i="8" l="1"/>
  <c r="V120" i="1"/>
  <c r="W120" i="1" s="1"/>
  <c r="A106" i="1"/>
  <c r="A291" i="8" l="1"/>
  <c r="V121" i="1"/>
  <c r="W121" i="1" s="1"/>
  <c r="A107" i="1"/>
  <c r="A292" i="8" l="1"/>
  <c r="V122" i="1"/>
  <c r="W122" i="1" s="1"/>
  <c r="A108" i="1"/>
  <c r="A293" i="8" l="1"/>
  <c r="V123" i="1"/>
  <c r="W123" i="1" s="1"/>
  <c r="A109" i="1"/>
  <c r="A294" i="8" l="1"/>
  <c r="V124" i="1"/>
  <c r="W124" i="1" s="1"/>
  <c r="A110" i="1"/>
  <c r="A295" i="8" l="1"/>
  <c r="V125" i="1"/>
  <c r="W125" i="1" s="1"/>
  <c r="A111" i="1"/>
  <c r="A296" i="8" l="1"/>
  <c r="V126" i="1"/>
  <c r="W126" i="1" s="1"/>
  <c r="A112" i="1"/>
  <c r="A297" i="8" l="1"/>
  <c r="V127" i="1"/>
  <c r="W127" i="1" s="1"/>
  <c r="A113" i="1"/>
  <c r="A298" i="8" l="1"/>
  <c r="V128" i="1"/>
  <c r="W128" i="1" s="1"/>
  <c r="A114" i="1"/>
  <c r="A299" i="8" l="1"/>
  <c r="V129" i="1"/>
  <c r="W129" i="1" s="1"/>
  <c r="A115" i="1"/>
  <c r="A300" i="8" l="1"/>
  <c r="V130" i="1"/>
  <c r="W130" i="1" s="1"/>
  <c r="A116" i="1"/>
  <c r="A301" i="8" l="1"/>
  <c r="V131" i="1"/>
  <c r="W131" i="1" s="1"/>
  <c r="A117" i="1"/>
  <c r="A302" i="8" l="1"/>
  <c r="V132" i="1"/>
  <c r="W132" i="1" s="1"/>
  <c r="A118" i="1"/>
  <c r="A303" i="8" l="1"/>
  <c r="V133" i="1"/>
  <c r="W133" i="1" s="1"/>
  <c r="A119" i="1"/>
  <c r="A304" i="8" l="1"/>
  <c r="V134" i="1"/>
  <c r="W134" i="1" s="1"/>
  <c r="A120" i="1"/>
  <c r="A305" i="8" l="1"/>
  <c r="V135" i="1"/>
  <c r="W135" i="1" s="1"/>
  <c r="A121" i="1"/>
  <c r="A306" i="8" l="1"/>
  <c r="V136" i="1"/>
  <c r="W136" i="1" s="1"/>
  <c r="A122" i="1"/>
  <c r="A307" i="8" l="1"/>
  <c r="V137" i="1"/>
  <c r="W137" i="1" s="1"/>
  <c r="A123" i="1"/>
  <c r="A308" i="8" l="1"/>
  <c r="V138" i="1"/>
  <c r="W138" i="1" s="1"/>
  <c r="A124" i="1"/>
  <c r="A309" i="8" l="1"/>
  <c r="V139" i="1"/>
  <c r="W139" i="1" s="1"/>
  <c r="A125" i="1"/>
  <c r="A310" i="8" l="1"/>
  <c r="V140" i="1"/>
  <c r="W140" i="1" s="1"/>
  <c r="A126" i="1"/>
  <c r="A311" i="8" l="1"/>
  <c r="V141" i="1"/>
  <c r="W141" i="1" s="1"/>
  <c r="A127" i="1"/>
  <c r="A312" i="8" l="1"/>
  <c r="V142" i="1"/>
  <c r="W142" i="1" s="1"/>
  <c r="A128" i="1"/>
  <c r="A313" i="8" l="1"/>
  <c r="V143" i="1"/>
  <c r="W143" i="1" s="1"/>
  <c r="A129" i="1"/>
  <c r="A314" i="8" l="1"/>
  <c r="V144" i="1"/>
  <c r="W144" i="1" s="1"/>
  <c r="A130" i="1"/>
  <c r="A315" i="8" l="1"/>
  <c r="V145" i="1"/>
  <c r="W145" i="1" s="1"/>
  <c r="A131" i="1"/>
  <c r="A316" i="8" l="1"/>
  <c r="V146" i="1"/>
  <c r="W146" i="1" s="1"/>
  <c r="A132" i="1"/>
  <c r="A317" i="8" l="1"/>
  <c r="V147" i="1"/>
  <c r="W147" i="1" s="1"/>
  <c r="A133" i="1"/>
  <c r="A318" i="8" l="1"/>
  <c r="V148" i="1"/>
  <c r="W148" i="1" s="1"/>
  <c r="A134" i="1"/>
  <c r="A319" i="8" l="1"/>
  <c r="V149" i="1"/>
  <c r="W149" i="1" s="1"/>
  <c r="A135" i="1"/>
  <c r="A320" i="8" l="1"/>
  <c r="BC85" i="22"/>
  <c r="BB85" i="22" s="1"/>
  <c r="AU85" i="22" s="1"/>
  <c r="V150" i="1"/>
  <c r="W150" i="1" s="1"/>
  <c r="A136" i="1"/>
  <c r="A321" i="8" l="1"/>
  <c r="V151" i="1"/>
  <c r="W151" i="1" s="1"/>
  <c r="A137" i="1"/>
  <c r="A322" i="8" l="1"/>
  <c r="V152" i="1"/>
  <c r="W152" i="1" s="1"/>
  <c r="A138" i="1"/>
  <c r="A323" i="8" l="1"/>
  <c r="V153" i="1"/>
  <c r="W153" i="1" s="1"/>
  <c r="A139" i="1"/>
  <c r="A324" i="8" l="1"/>
  <c r="V154" i="1"/>
  <c r="W154" i="1" s="1"/>
  <c r="A140" i="1"/>
  <c r="V155" i="1" l="1"/>
  <c r="W155" i="1" s="1"/>
  <c r="A141" i="1"/>
  <c r="V156" i="1" l="1"/>
  <c r="W156" i="1" s="1"/>
  <c r="A142" i="1"/>
  <c r="V157" i="1" l="1"/>
  <c r="W157" i="1" s="1"/>
  <c r="A143" i="1"/>
  <c r="V158" i="1" l="1"/>
  <c r="W158" i="1" s="1"/>
  <c r="A144" i="1"/>
  <c r="V159" i="1" l="1"/>
  <c r="W159" i="1" s="1"/>
  <c r="A145" i="1"/>
  <c r="V160" i="1" l="1"/>
  <c r="W160" i="1" s="1"/>
  <c r="A146" i="1"/>
  <c r="V161" i="1" l="1"/>
  <c r="W161" i="1" s="1"/>
  <c r="A147" i="1"/>
  <c r="V162" i="1" l="1"/>
  <c r="W162" i="1" s="1"/>
  <c r="A148" i="1"/>
  <c r="V163" i="1" l="1"/>
  <c r="W163" i="1" s="1"/>
  <c r="A149" i="1"/>
  <c r="V164" i="1" l="1"/>
  <c r="W164" i="1" s="1"/>
  <c r="A150" i="1"/>
  <c r="V165" i="1" l="1"/>
  <c r="W165" i="1" s="1"/>
  <c r="A151" i="1"/>
  <c r="V166" i="1" l="1"/>
  <c r="W166" i="1" s="1"/>
  <c r="A152" i="1"/>
  <c r="V167" i="1" l="1"/>
  <c r="W167" i="1" s="1"/>
  <c r="A153" i="1"/>
  <c r="V168" i="1" l="1"/>
  <c r="W168" i="1" s="1"/>
  <c r="A154" i="1"/>
  <c r="V169" i="1" l="1"/>
  <c r="W169" i="1" s="1"/>
  <c r="A155" i="1"/>
  <c r="V170" i="1" l="1"/>
  <c r="W170" i="1" s="1"/>
  <c r="A156" i="1"/>
  <c r="V171" i="1" l="1"/>
  <c r="W171" i="1" s="1"/>
  <c r="A157" i="1"/>
  <c r="V172" i="1" l="1"/>
  <c r="W172" i="1" s="1"/>
  <c r="A158" i="1"/>
  <c r="V173" i="1" l="1"/>
  <c r="W173" i="1" s="1"/>
  <c r="A159" i="1"/>
  <c r="V174" i="1" l="1"/>
  <c r="W174" i="1" s="1"/>
  <c r="A160" i="1"/>
  <c r="V175" i="1" l="1"/>
  <c r="W175" i="1" s="1"/>
  <c r="A161" i="1"/>
  <c r="V176" i="1" l="1"/>
  <c r="W176" i="1" s="1"/>
  <c r="A162" i="1"/>
  <c r="V177" i="1" l="1"/>
  <c r="W177" i="1" s="1"/>
  <c r="A163" i="1"/>
  <c r="V178" i="1" l="1"/>
  <c r="W178" i="1" s="1"/>
  <c r="A164" i="1"/>
  <c r="V179" i="1" l="1"/>
  <c r="W179" i="1" s="1"/>
  <c r="A165" i="1"/>
  <c r="V180" i="1" l="1"/>
  <c r="W180" i="1" s="1"/>
  <c r="A166" i="1"/>
  <c r="V181" i="1" l="1"/>
  <c r="W181" i="1" s="1"/>
  <c r="A167" i="1"/>
  <c r="V182" i="1" l="1"/>
  <c r="W182" i="1" s="1"/>
  <c r="A168" i="1"/>
  <c r="V183" i="1" l="1"/>
  <c r="W183" i="1" s="1"/>
  <c r="A169" i="1"/>
  <c r="V184" i="1" l="1"/>
  <c r="W184" i="1" s="1"/>
  <c r="A170" i="1"/>
  <c r="V185" i="1" l="1"/>
  <c r="W185" i="1" s="1"/>
  <c r="A171" i="1"/>
  <c r="V186" i="1" l="1"/>
  <c r="W186" i="1" s="1"/>
  <c r="A172" i="1"/>
  <c r="V187" i="1" l="1"/>
  <c r="W187" i="1" s="1"/>
  <c r="A173" i="1"/>
  <c r="V188" i="1" l="1"/>
  <c r="W188" i="1" s="1"/>
  <c r="A174" i="1"/>
  <c r="V189" i="1" l="1"/>
  <c r="W189" i="1" s="1"/>
  <c r="A175" i="1"/>
  <c r="V190" i="1" l="1"/>
  <c r="W190" i="1" s="1"/>
  <c r="A176" i="1"/>
  <c r="V191" i="1" l="1"/>
  <c r="W191" i="1" s="1"/>
  <c r="A177" i="1"/>
  <c r="V192" i="1" l="1"/>
  <c r="W192" i="1" s="1"/>
  <c r="A178" i="1"/>
  <c r="V193" i="1" l="1"/>
  <c r="W193" i="1" s="1"/>
  <c r="A179" i="1"/>
  <c r="V194" i="1" l="1"/>
  <c r="W194" i="1" s="1"/>
  <c r="A180" i="1"/>
  <c r="V195" i="1" l="1"/>
  <c r="W195" i="1" s="1"/>
  <c r="A181" i="1"/>
  <c r="V196" i="1" l="1"/>
  <c r="W196" i="1" s="1"/>
  <c r="A182" i="1"/>
  <c r="V197" i="1" l="1"/>
  <c r="W197" i="1" s="1"/>
  <c r="A183" i="1"/>
  <c r="V198" i="1" l="1"/>
  <c r="W198" i="1" s="1"/>
  <c r="A184" i="1"/>
  <c r="V199" i="1" l="1"/>
  <c r="W199" i="1" s="1"/>
  <c r="A185" i="1"/>
  <c r="V200" i="1" l="1"/>
  <c r="W200" i="1" s="1"/>
  <c r="A186" i="1"/>
  <c r="V201" i="1" l="1"/>
  <c r="W201" i="1" s="1"/>
  <c r="A187" i="1"/>
  <c r="V202" i="1" l="1"/>
  <c r="W202" i="1" s="1"/>
  <c r="A188" i="1"/>
  <c r="V203" i="1" l="1"/>
  <c r="W203" i="1" s="1"/>
  <c r="A189" i="1"/>
  <c r="V204" i="1" l="1"/>
  <c r="W204" i="1" s="1"/>
  <c r="A190" i="1"/>
  <c r="V205" i="1" l="1"/>
  <c r="W205" i="1" s="1"/>
  <c r="A191" i="1"/>
  <c r="V206" i="1" l="1"/>
  <c r="W206" i="1" s="1"/>
  <c r="A192" i="1"/>
  <c r="V207" i="1" l="1"/>
  <c r="W207" i="1" s="1"/>
  <c r="A193" i="1"/>
  <c r="V208" i="1" l="1"/>
  <c r="W208" i="1" s="1"/>
  <c r="A194" i="1"/>
  <c r="V209" i="1" l="1"/>
  <c r="W209" i="1" s="1"/>
  <c r="A195" i="1"/>
  <c r="V210" i="1" l="1"/>
  <c r="W210" i="1" s="1"/>
  <c r="A196" i="1"/>
  <c r="V211" i="1" l="1"/>
  <c r="W211" i="1" s="1"/>
  <c r="A197" i="1"/>
  <c r="V212" i="1" l="1"/>
  <c r="W212" i="1" s="1"/>
  <c r="A198" i="1"/>
  <c r="V213" i="1" l="1"/>
  <c r="W213" i="1" s="1"/>
  <c r="A199" i="1"/>
  <c r="V214" i="1" l="1"/>
  <c r="W214" i="1" s="1"/>
  <c r="A200" i="1"/>
  <c r="V215" i="1" l="1"/>
  <c r="W215" i="1" s="1"/>
  <c r="A201" i="1"/>
  <c r="V216" i="1" l="1"/>
  <c r="W216" i="1" s="1"/>
  <c r="A202" i="1"/>
  <c r="V217" i="1" l="1"/>
  <c r="W217" i="1" s="1"/>
  <c r="A203" i="1"/>
  <c r="V218" i="1" l="1"/>
  <c r="W218" i="1" s="1"/>
  <c r="A204" i="1"/>
  <c r="V219" i="1" l="1"/>
  <c r="W219" i="1" s="1"/>
  <c r="A205" i="1"/>
  <c r="V220" i="1" l="1"/>
  <c r="W220" i="1" s="1"/>
  <c r="A206" i="1"/>
  <c r="V221" i="1" l="1"/>
  <c r="W221" i="1" s="1"/>
  <c r="A207" i="1"/>
  <c r="V222" i="1" l="1"/>
  <c r="W222" i="1" s="1"/>
  <c r="A208" i="1"/>
  <c r="V223" i="1" l="1"/>
  <c r="W223" i="1" s="1"/>
  <c r="A209" i="1"/>
  <c r="V224" i="1" l="1"/>
  <c r="W224" i="1" s="1"/>
  <c r="A210" i="1"/>
  <c r="V225" i="1" l="1"/>
  <c r="W225" i="1" s="1"/>
  <c r="A211" i="1"/>
  <c r="V226" i="1" l="1"/>
  <c r="W226" i="1" s="1"/>
  <c r="A212" i="1"/>
  <c r="V227" i="1" l="1"/>
  <c r="W227" i="1" s="1"/>
  <c r="A213" i="1"/>
  <c r="V228" i="1" l="1"/>
  <c r="W228" i="1" s="1"/>
  <c r="A214" i="1"/>
  <c r="V229" i="1" l="1"/>
  <c r="W229" i="1" s="1"/>
  <c r="A215" i="1"/>
  <c r="V230" i="1" l="1"/>
  <c r="W230" i="1" s="1"/>
  <c r="A216" i="1"/>
  <c r="V231" i="1" l="1"/>
  <c r="W231" i="1" s="1"/>
  <c r="A217" i="1"/>
  <c r="V232" i="1" l="1"/>
  <c r="W232" i="1" s="1"/>
  <c r="A218" i="1"/>
  <c r="V233" i="1" l="1"/>
  <c r="W233" i="1" s="1"/>
  <c r="A219" i="1"/>
  <c r="V234" i="1" l="1"/>
  <c r="W234" i="1" s="1"/>
  <c r="A220" i="1"/>
  <c r="V235" i="1" l="1"/>
  <c r="W235" i="1" s="1"/>
  <c r="A221" i="1"/>
  <c r="V236" i="1" l="1"/>
  <c r="W236" i="1" s="1"/>
  <c r="A222" i="1"/>
  <c r="V237" i="1" l="1"/>
  <c r="W237" i="1" s="1"/>
  <c r="A223" i="1"/>
  <c r="V238" i="1" l="1"/>
  <c r="W238" i="1" s="1"/>
  <c r="A224" i="1"/>
  <c r="V239" i="1" l="1"/>
  <c r="W239" i="1" s="1"/>
  <c r="A225" i="1"/>
  <c r="V240" i="1" l="1"/>
  <c r="W240" i="1" s="1"/>
  <c r="A226" i="1"/>
  <c r="V241" i="1" l="1"/>
  <c r="W241" i="1" s="1"/>
  <c r="A227" i="1"/>
  <c r="V242" i="1" l="1"/>
  <c r="W242" i="1" s="1"/>
  <c r="A228" i="1"/>
  <c r="V243" i="1" l="1"/>
  <c r="W243" i="1" s="1"/>
  <c r="A229" i="1"/>
  <c r="V244" i="1" l="1"/>
  <c r="W244" i="1" s="1"/>
  <c r="A230" i="1"/>
  <c r="V245" i="1" l="1"/>
  <c r="W245" i="1" s="1"/>
  <c r="A231" i="1"/>
  <c r="V246" i="1" l="1"/>
  <c r="W246" i="1" s="1"/>
  <c r="A232" i="1"/>
  <c r="V247" i="1" l="1"/>
  <c r="W247" i="1" s="1"/>
  <c r="A233" i="1"/>
  <c r="V248" i="1" l="1"/>
  <c r="W248" i="1" s="1"/>
  <c r="A234" i="1"/>
  <c r="V249" i="1" l="1"/>
  <c r="W249" i="1" s="1"/>
  <c r="A235" i="1"/>
  <c r="V250" i="1" l="1"/>
  <c r="W250" i="1" s="1"/>
  <c r="A236" i="1"/>
  <c r="V251" i="1" l="1"/>
  <c r="W251" i="1" s="1"/>
  <c r="A237" i="1"/>
  <c r="V252" i="1" l="1"/>
  <c r="W252" i="1" s="1"/>
  <c r="A238" i="1"/>
  <c r="V253" i="1" l="1"/>
  <c r="W253" i="1" s="1"/>
  <c r="A239" i="1"/>
  <c r="V254" i="1" l="1"/>
  <c r="W254" i="1" s="1"/>
  <c r="A240" i="1"/>
  <c r="V255" i="1" l="1"/>
  <c r="W255" i="1" s="1"/>
  <c r="A241" i="1"/>
  <c r="V256" i="1" l="1"/>
  <c r="W256" i="1" s="1"/>
  <c r="A242" i="1"/>
  <c r="V257" i="1" l="1"/>
  <c r="W257" i="1" s="1"/>
  <c r="A243" i="1"/>
  <c r="V258" i="1" l="1"/>
  <c r="W258" i="1" s="1"/>
  <c r="A244" i="1"/>
  <c r="V259" i="1" l="1"/>
  <c r="W259" i="1" s="1"/>
  <c r="A245" i="1"/>
  <c r="V260" i="1" l="1"/>
  <c r="W260" i="1" s="1"/>
  <c r="A246" i="1"/>
  <c r="V261" i="1" l="1"/>
  <c r="W261" i="1" s="1"/>
  <c r="A247" i="1"/>
  <c r="V262" i="1" l="1"/>
  <c r="W262" i="1" s="1"/>
  <c r="A248" i="1"/>
  <c r="V263" i="1" l="1"/>
  <c r="W263" i="1" s="1"/>
  <c r="A249" i="1"/>
  <c r="V264" i="1" l="1"/>
  <c r="W264" i="1" s="1"/>
  <c r="A250" i="1"/>
  <c r="V265" i="1" l="1"/>
  <c r="W265" i="1" s="1"/>
  <c r="A251" i="1"/>
  <c r="V266" i="1" l="1"/>
  <c r="W266" i="1" s="1"/>
  <c r="A252" i="1"/>
  <c r="V267" i="1" l="1"/>
  <c r="W267" i="1" s="1"/>
  <c r="A253" i="1"/>
  <c r="V268" i="1" l="1"/>
  <c r="W268" i="1" s="1"/>
  <c r="A254" i="1"/>
  <c r="V269" i="1" l="1"/>
  <c r="W269" i="1" s="1"/>
  <c r="A255" i="1"/>
  <c r="V270" i="1" l="1"/>
  <c r="W270" i="1" s="1"/>
  <c r="A256" i="1"/>
  <c r="V271" i="1" l="1"/>
  <c r="W271" i="1" s="1"/>
  <c r="A257" i="1"/>
  <c r="V272" i="1" l="1"/>
  <c r="W272" i="1" s="1"/>
  <c r="A258" i="1"/>
  <c r="V273" i="1" l="1"/>
  <c r="W273" i="1" s="1"/>
  <c r="A259" i="1"/>
  <c r="V274" i="1" l="1"/>
  <c r="W274" i="1" s="1"/>
  <c r="A260" i="1"/>
  <c r="V275" i="1" l="1"/>
  <c r="W275" i="1" s="1"/>
  <c r="A261" i="1"/>
  <c r="V276" i="1" l="1"/>
  <c r="W276" i="1" s="1"/>
  <c r="A262" i="1"/>
  <c r="V277" i="1" l="1"/>
  <c r="W277" i="1" s="1"/>
  <c r="A263" i="1"/>
  <c r="V278" i="1" l="1"/>
  <c r="W278" i="1" s="1"/>
  <c r="A264" i="1"/>
  <c r="V279" i="1" l="1"/>
  <c r="W279" i="1" s="1"/>
  <c r="A265" i="1"/>
  <c r="V280" i="1" l="1"/>
  <c r="W280" i="1" s="1"/>
  <c r="A266" i="1"/>
  <c r="V281" i="1" l="1"/>
  <c r="W281" i="1" s="1"/>
  <c r="A267" i="1"/>
  <c r="V282" i="1" l="1"/>
  <c r="W282" i="1" s="1"/>
  <c r="A268" i="1"/>
  <c r="V283" i="1" l="1"/>
  <c r="W283" i="1" s="1"/>
  <c r="A269" i="1"/>
  <c r="V284" i="1" l="1"/>
  <c r="W284" i="1" s="1"/>
  <c r="A270" i="1"/>
  <c r="V285" i="1" l="1"/>
  <c r="W285" i="1" s="1"/>
  <c r="A271" i="1"/>
  <c r="V286" i="1" l="1"/>
  <c r="W286" i="1" s="1"/>
  <c r="A272" i="1"/>
  <c r="V287" i="1" l="1"/>
  <c r="W287" i="1" s="1"/>
  <c r="A273" i="1"/>
  <c r="V288" i="1" l="1"/>
  <c r="W288" i="1" s="1"/>
  <c r="A274" i="1"/>
  <c r="V289" i="1" l="1"/>
  <c r="W289" i="1" s="1"/>
  <c r="A275" i="1"/>
  <c r="V290" i="1" l="1"/>
  <c r="W290" i="1" s="1"/>
  <c r="A276" i="1"/>
  <c r="V291" i="1" l="1"/>
  <c r="W291" i="1" s="1"/>
  <c r="A277" i="1"/>
  <c r="V292" i="1" l="1"/>
  <c r="W292" i="1" s="1"/>
  <c r="A278" i="1"/>
  <c r="V293" i="1" l="1"/>
  <c r="W293" i="1" s="1"/>
  <c r="A279" i="1"/>
  <c r="V294" i="1" l="1"/>
  <c r="W294" i="1" s="1"/>
  <c r="A280" i="1"/>
  <c r="V295" i="1" l="1"/>
  <c r="W295" i="1" s="1"/>
  <c r="A281" i="1"/>
  <c r="V296" i="1" l="1"/>
  <c r="W296" i="1" s="1"/>
  <c r="A282" i="1"/>
  <c r="V297" i="1" l="1"/>
  <c r="W297" i="1" s="1"/>
  <c r="A283" i="1"/>
  <c r="V298" i="1" l="1"/>
  <c r="W298" i="1" s="1"/>
  <c r="A284" i="1"/>
  <c r="V299" i="1" l="1"/>
  <c r="W299" i="1" s="1"/>
  <c r="A285" i="1"/>
  <c r="V300" i="1" l="1"/>
  <c r="W300" i="1" s="1"/>
  <c r="A286" i="1"/>
  <c r="V301" i="1" l="1"/>
  <c r="W301" i="1" s="1"/>
  <c r="A287" i="1"/>
  <c r="V302" i="1" l="1"/>
  <c r="W302" i="1" s="1"/>
  <c r="A288" i="1"/>
  <c r="V303" i="1" l="1"/>
  <c r="W303" i="1" s="1"/>
  <c r="A289" i="1"/>
  <c r="V304" i="1" l="1"/>
  <c r="W304" i="1" s="1"/>
  <c r="A290" i="1"/>
  <c r="V305" i="1" l="1"/>
  <c r="W305" i="1" s="1"/>
  <c r="A291" i="1"/>
  <c r="V306" i="1" l="1"/>
  <c r="W306" i="1" s="1"/>
  <c r="A292" i="1"/>
  <c r="V307" i="1" l="1"/>
  <c r="W307" i="1" s="1"/>
  <c r="A293" i="1"/>
  <c r="V308" i="1" l="1"/>
  <c r="W308" i="1" s="1"/>
  <c r="A294" i="1"/>
  <c r="V309" i="1" l="1"/>
  <c r="W309" i="1" s="1"/>
  <c r="A295" i="1"/>
  <c r="V310" i="1" l="1"/>
  <c r="W310" i="1" s="1"/>
  <c r="A296" i="1"/>
  <c r="V311" i="1" l="1"/>
  <c r="W311" i="1" s="1"/>
  <c r="A297" i="1"/>
  <c r="V312" i="1" l="1"/>
  <c r="W312" i="1" s="1"/>
  <c r="A298" i="1"/>
  <c r="V313" i="1" l="1"/>
  <c r="W313" i="1" s="1"/>
  <c r="A299" i="1"/>
  <c r="V314" i="1" l="1"/>
  <c r="W314" i="1" s="1"/>
  <c r="A300" i="1"/>
  <c r="V315" i="1" l="1"/>
  <c r="W315" i="1" s="1"/>
  <c r="A301" i="1"/>
  <c r="V316" i="1" l="1"/>
  <c r="W316" i="1" s="1"/>
  <c r="A302" i="1"/>
  <c r="V317" i="1" l="1"/>
  <c r="W317" i="1" s="1"/>
  <c r="A303" i="1"/>
  <c r="V318" i="1" l="1"/>
  <c r="W318" i="1" s="1"/>
  <c r="A304" i="1"/>
  <c r="V319" i="1" l="1"/>
  <c r="W319" i="1" s="1"/>
  <c r="A305" i="1"/>
  <c r="V320" i="1" l="1"/>
  <c r="W320" i="1" s="1"/>
  <c r="A306" i="1"/>
  <c r="V321" i="1" l="1"/>
  <c r="W321" i="1" s="1"/>
  <c r="A307" i="1"/>
  <c r="V322" i="1" l="1"/>
  <c r="W322" i="1" s="1"/>
  <c r="A308" i="1"/>
  <c r="V323" i="1" l="1"/>
  <c r="W323" i="1" s="1"/>
  <c r="A309" i="1"/>
  <c r="V324" i="1" l="1"/>
  <c r="W324" i="1" s="1"/>
  <c r="A310" i="1"/>
  <c r="V325" i="1" l="1"/>
  <c r="W325" i="1" s="1"/>
  <c r="A311" i="1"/>
  <c r="V326" i="1" l="1"/>
  <c r="W326" i="1" s="1"/>
  <c r="A312" i="1"/>
  <c r="V327" i="1" l="1"/>
  <c r="W327" i="1" s="1"/>
  <c r="A313" i="1"/>
  <c r="A314" i="1" l="1"/>
  <c r="A315" i="1" l="1"/>
  <c r="A316" i="1" l="1"/>
  <c r="A317" i="1" l="1"/>
  <c r="A318" i="1" l="1"/>
  <c r="A319" i="1" l="1"/>
  <c r="A320" i="1" l="1"/>
  <c r="A321" i="1" l="1"/>
  <c r="A322" i="1" l="1"/>
  <c r="A323" i="1" l="1"/>
  <c r="A324" i="1" l="1"/>
  <c r="A325" i="1" l="1"/>
  <c r="A326" i="1" l="1"/>
  <c r="A327" i="1" l="1"/>
  <c r="A328" i="1" s="1"/>
  <c r="A329" i="1" l="1"/>
  <c r="A330" i="1" l="1"/>
  <c r="A331" i="1" l="1"/>
  <c r="A332" i="1" l="1"/>
  <c r="A333" i="1" l="1"/>
  <c r="A334" i="1" l="1"/>
  <c r="A335" i="1" l="1"/>
  <c r="A336" i="1" l="1"/>
  <c r="A337" i="1" l="1"/>
  <c r="A338" i="1" l="1"/>
  <c r="A339" i="1" l="1"/>
  <c r="A340" i="1" l="1"/>
  <c r="A341" i="1" l="1"/>
  <c r="A342" i="1" l="1"/>
  <c r="A343" i="1" l="1"/>
  <c r="A344" i="1" l="1"/>
  <c r="A345" i="1" l="1"/>
  <c r="AG30" i="7"/>
  <c r="AF30" i="7" s="1"/>
  <c r="A346" i="1" l="1"/>
  <c r="A347" i="1" l="1"/>
  <c r="A348" i="1" l="1"/>
  <c r="A349" i="1" l="1"/>
  <c r="A350" i="1" l="1"/>
  <c r="A351" i="1" l="1"/>
  <c r="A352" i="1" l="1"/>
  <c r="A353" i="1" l="1"/>
  <c r="A354" i="1" l="1"/>
  <c r="AB105" i="1"/>
  <c r="A355" i="1" l="1"/>
  <c r="A356" i="1" l="1"/>
  <c r="A357" i="1" l="1"/>
  <c r="A358" i="1" l="1"/>
  <c r="AB109" i="1"/>
  <c r="A359" i="1" l="1"/>
  <c r="A360" i="1" l="1"/>
  <c r="A361" i="1" l="1"/>
  <c r="AB112" i="1"/>
  <c r="A362" i="1" l="1"/>
  <c r="A363" i="1" l="1"/>
  <c r="A364" i="1" l="1"/>
  <c r="A365" i="1" l="1"/>
  <c r="AB116" i="1"/>
  <c r="A366" i="1" l="1"/>
  <c r="A367" i="1" l="1"/>
  <c r="A368" i="1" l="1"/>
  <c r="AB118" i="1"/>
  <c r="AD30" i="7"/>
  <c r="AC30" i="7" s="1"/>
  <c r="A369" i="1" l="1"/>
  <c r="A370" i="1" l="1"/>
  <c r="AF120" i="1"/>
  <c r="AE120" i="1" s="1"/>
  <c r="AB120" i="1" s="1"/>
  <c r="A371" i="1" l="1"/>
  <c r="AB121" i="1"/>
  <c r="A372" i="1" l="1"/>
  <c r="AB122" i="1"/>
  <c r="A373" i="1" l="1"/>
  <c r="A374" i="1" l="1"/>
  <c r="A375" i="1" l="1"/>
  <c r="A376" i="1" l="1"/>
  <c r="A377" i="1" l="1"/>
  <c r="A378" i="1" l="1"/>
  <c r="A379" i="1" l="1"/>
  <c r="AG43" i="7"/>
  <c r="AF43" i="7" s="1"/>
  <c r="A380" i="1" l="1"/>
  <c r="A381" i="1" l="1"/>
  <c r="A382" i="1" l="1"/>
  <c r="A383" i="1" l="1"/>
  <c r="A384" i="1" l="1"/>
  <c r="A385" i="1" l="1"/>
  <c r="A386" i="1" l="1"/>
  <c r="A387" i="1" l="1"/>
  <c r="AG75" i="7" l="1"/>
  <c r="AF75" i="7" s="1"/>
  <c r="AC75" i="7" s="1"/>
  <c r="AG119" i="7" l="1"/>
  <c r="AF119" i="7" s="1"/>
  <c r="AC119" i="7" s="1"/>
  <c r="AG145" i="7" l="1"/>
  <c r="AF145" i="7" s="1"/>
  <c r="AC145" i="7" s="1"/>
  <c r="AB134" i="1" l="1"/>
  <c r="AB135" i="1" l="1"/>
  <c r="AF137" i="1" l="1"/>
  <c r="AE137" i="1" s="1"/>
  <c r="AB142" i="1" l="1"/>
  <c r="AB143" i="1" l="1"/>
  <c r="AB144" i="1" l="1"/>
  <c r="AB146" i="1" l="1"/>
  <c r="AF150" i="1" l="1"/>
  <c r="AE150" i="1" s="1"/>
  <c r="AB150" i="1" s="1"/>
  <c r="AB151" i="1" l="1"/>
  <c r="AB157" i="1" l="1"/>
  <c r="AB158" i="1" l="1"/>
  <c r="AB159" i="1" l="1"/>
  <c r="AF160" i="1" l="1"/>
  <c r="AE160" i="1" s="1"/>
  <c r="AB160" i="1" s="1"/>
  <c r="AB163" i="1" l="1"/>
  <c r="AB164" i="1" l="1"/>
  <c r="AB167" i="1" l="1"/>
  <c r="AF169" i="1" l="1"/>
  <c r="AE169" i="1" s="1"/>
  <c r="AB170" i="1" l="1"/>
  <c r="AF175" i="1" l="1"/>
  <c r="AE175" i="1" s="1"/>
  <c r="AB175" i="1" s="1"/>
  <c r="AB177" i="1" l="1"/>
  <c r="AB178" i="1" l="1"/>
  <c r="AB179" i="1" l="1"/>
  <c r="AF182" i="1" l="1"/>
  <c r="AE182" i="1" s="1"/>
  <c r="AB182" i="1" l="1"/>
  <c r="AB185" i="1" l="1"/>
  <c r="AB186" i="1" l="1"/>
  <c r="AB187" i="1" l="1"/>
  <c r="AB188" i="1" l="1"/>
  <c r="AB189" i="1" l="1"/>
  <c r="AB190" i="1" l="1"/>
  <c r="AB192" i="1" l="1"/>
  <c r="AB194" i="1" l="1"/>
  <c r="AB195" i="1" l="1"/>
  <c r="AB196" i="1" l="1"/>
  <c r="AB197" i="1" l="1"/>
  <c r="AB198" i="1" l="1"/>
  <c r="AB199" i="1" l="1"/>
  <c r="AB200" i="1" l="1"/>
  <c r="AB201" i="1" l="1"/>
  <c r="AB202" i="1" l="1"/>
  <c r="AB204" i="1" l="1"/>
  <c r="AB205" i="1" l="1"/>
  <c r="AB206" i="1" l="1"/>
  <c r="AF207" i="1" l="1"/>
  <c r="AE207" i="1" s="1"/>
  <c r="AB207" i="1" s="1"/>
  <c r="AB209" i="1" l="1"/>
  <c r="AB210" i="1" l="1"/>
  <c r="AB211" i="1" l="1"/>
  <c r="AB212" i="1" l="1"/>
  <c r="AB213" i="1" l="1"/>
  <c r="AB214" i="1" l="1"/>
  <c r="AF215" i="1" l="1"/>
  <c r="AE215" i="1" s="1"/>
  <c r="AB215" i="1" s="1"/>
  <c r="AB216" i="1" l="1"/>
  <c r="AB219" i="1" l="1"/>
  <c r="AB220" i="1" l="1"/>
  <c r="AB221" i="1" l="1"/>
  <c r="AB222" i="1" l="1"/>
  <c r="AB223" i="1" l="1"/>
  <c r="AB224" i="1" l="1"/>
  <c r="AB225" i="1" l="1"/>
  <c r="AB226" i="1" l="1"/>
  <c r="AB227" i="1" l="1"/>
  <c r="AB228" i="1" l="1"/>
  <c r="AB229" i="1" l="1"/>
  <c r="AB230" i="1" l="1"/>
  <c r="AB231" i="1" l="1"/>
  <c r="AB232" i="1" l="1"/>
  <c r="AB233" i="1" l="1"/>
  <c r="AB234" i="1" l="1"/>
  <c r="AB235" i="1" l="1"/>
  <c r="AB236" i="1" l="1"/>
  <c r="AB237" i="1" l="1"/>
  <c r="AB238" i="1" l="1"/>
  <c r="AB239" i="1" l="1"/>
  <c r="AB240" i="1" l="1"/>
  <c r="AB241" i="1" l="1"/>
  <c r="AB242" i="1" l="1"/>
  <c r="AB243" i="1" l="1"/>
  <c r="AB244" i="1" l="1"/>
  <c r="AB246" i="1" l="1"/>
  <c r="AB247" i="1" l="1"/>
  <c r="AF248" i="1" l="1"/>
  <c r="AE248" i="1" s="1"/>
  <c r="AB248" i="1" s="1"/>
  <c r="AB249" i="1"/>
  <c r="AB250" i="1" l="1"/>
  <c r="AB251" i="1" l="1"/>
  <c r="AB252" i="1" l="1"/>
  <c r="AB253" i="1" l="1"/>
  <c r="AB254" i="1" l="1"/>
  <c r="AB255" i="1" l="1"/>
  <c r="AB256" i="1" l="1"/>
  <c r="AB257" i="1" l="1"/>
  <c r="AB258" i="1" l="1"/>
  <c r="AB259" i="1" l="1"/>
  <c r="AB260" i="1" l="1"/>
  <c r="AB261" i="1" l="1"/>
  <c r="AB262" i="1" l="1"/>
  <c r="AB263" i="1" l="1"/>
  <c r="AB264" i="1" l="1"/>
  <c r="AB265" i="1" l="1"/>
  <c r="AB266" i="1" l="1"/>
  <c r="AB267" i="1" l="1"/>
  <c r="AB280" i="1" l="1"/>
  <c r="AB283" i="1" l="1"/>
  <c r="AB287" i="1" l="1"/>
  <c r="AB300" i="1" l="1"/>
  <c r="AC325" i="1" l="1"/>
  <c r="AF318" i="1" l="1"/>
  <c r="AE318" i="1" s="1"/>
  <c r="AB318" i="1" s="1"/>
  <c r="AG93" i="7"/>
  <c r="AF93" i="7" s="1"/>
  <c r="AC93" i="7" s="1"/>
  <c r="AF208" i="1" l="1"/>
  <c r="AE208" i="1" s="1"/>
  <c r="AF166" i="1" l="1"/>
  <c r="AE166" i="1" s="1"/>
  <c r="AG33" i="7" l="1"/>
  <c r="AF33" i="7" s="1"/>
  <c r="AG67" i="7" l="1"/>
  <c r="AF67" i="7" s="1"/>
  <c r="AD77" i="7"/>
  <c r="AG77" i="7"/>
  <c r="AF77" i="7" s="1"/>
  <c r="AD67" i="7"/>
  <c r="AD60" i="7"/>
  <c r="AG60" i="7"/>
  <c r="AF60" i="7" s="1"/>
  <c r="AD43" i="7"/>
  <c r="AC43" i="7" s="1"/>
  <c r="AD33" i="7"/>
  <c r="AC33" i="7" s="1"/>
  <c r="AC107" i="1"/>
  <c r="AC111" i="1"/>
  <c r="AF111" i="1"/>
  <c r="AE111" i="1" s="1"/>
  <c r="AC133" i="1"/>
  <c r="AC137" i="1"/>
  <c r="AC166" i="1"/>
  <c r="AC169" i="1"/>
  <c r="AC208" i="1"/>
  <c r="AB322" i="1"/>
  <c r="AB320" i="1"/>
  <c r="AB321" i="1"/>
  <c r="AB319" i="1"/>
  <c r="AB317" i="1"/>
  <c r="AB316" i="1"/>
  <c r="AB315" i="1"/>
  <c r="AB314" i="1"/>
  <c r="AB313" i="1"/>
  <c r="AB312" i="1"/>
  <c r="AB311" i="1"/>
  <c r="AB310" i="1"/>
  <c r="AB309" i="1"/>
  <c r="AB308" i="1"/>
  <c r="AB307" i="1"/>
  <c r="AB306" i="1"/>
  <c r="AB305" i="1"/>
  <c r="AB304" i="1"/>
  <c r="AB302" i="1"/>
  <c r="AB301" i="1"/>
  <c r="AB299" i="1"/>
  <c r="AB298" i="1"/>
  <c r="AB296" i="1"/>
  <c r="AB295" i="1"/>
  <c r="AB294" i="1"/>
  <c r="AB293" i="1"/>
  <c r="AB291" i="1"/>
  <c r="AB292" i="1"/>
  <c r="AB290" i="1"/>
  <c r="AB289" i="1"/>
  <c r="AB288" i="1"/>
  <c r="AB286" i="1"/>
  <c r="AB285" i="1"/>
  <c r="AB284" i="1"/>
  <c r="AB282" i="1"/>
  <c r="AB281" i="1"/>
  <c r="AB279" i="1"/>
  <c r="AB278" i="1"/>
  <c r="AB277" i="1"/>
  <c r="AB276" i="1"/>
  <c r="AB275" i="1"/>
  <c r="AB274" i="1"/>
  <c r="AB273" i="1"/>
  <c r="AB272" i="1"/>
  <c r="AB270" i="1"/>
  <c r="AB269" i="1"/>
  <c r="AB268" i="1"/>
  <c r="AB208" i="1" l="1"/>
  <c r="AB137" i="1"/>
  <c r="AB169" i="1"/>
  <c r="AB166" i="1"/>
  <c r="AC67" i="7"/>
  <c r="AC60" i="7"/>
  <c r="AC77" i="7"/>
  <c r="AB111" i="1"/>
  <c r="BC299" i="22" l="1"/>
  <c r="BB299" i="22" s="1"/>
  <c r="AF108" i="1" l="1"/>
  <c r="AE108" i="1" s="1"/>
  <c r="AG52" i="7" l="1"/>
  <c r="AF52" i="7" s="1"/>
  <c r="AC52" i="7" s="1"/>
  <c r="AF165" i="1" l="1"/>
  <c r="AE165" i="1" s="1"/>
  <c r="AF193" i="1" l="1"/>
  <c r="AE193" i="1" s="1"/>
  <c r="AC193" i="1"/>
  <c r="AC156" i="1"/>
  <c r="AF136" i="1"/>
  <c r="AE136" i="1" s="1"/>
  <c r="AC108" i="1"/>
  <c r="AB108" i="1" l="1"/>
  <c r="AB156" i="1"/>
  <c r="AB193" i="1"/>
  <c r="AC94" i="1" l="1"/>
  <c r="AG27" i="7" l="1"/>
  <c r="AF27" i="7" s="1"/>
  <c r="AG32" i="7" l="1"/>
  <c r="AF32" i="7" s="1"/>
  <c r="AC32" i="7" s="1"/>
  <c r="AG36" i="7" l="1"/>
  <c r="AF36" i="7" s="1"/>
  <c r="AG41" i="7" l="1"/>
  <c r="AF41" i="7" s="1"/>
  <c r="AC41" i="7" s="1"/>
  <c r="AG62" i="7" l="1"/>
  <c r="AF62" i="7" s="1"/>
  <c r="AF133" i="1" l="1"/>
  <c r="AE133" i="1" s="1"/>
  <c r="AB133" i="1" s="1"/>
  <c r="AC136" i="1" l="1"/>
  <c r="AB136" i="1" l="1"/>
  <c r="AC138" i="1"/>
  <c r="AF149" i="1" l="1"/>
  <c r="AE149" i="1" s="1"/>
  <c r="AB149" i="1" s="1"/>
  <c r="AF155" i="1" l="1"/>
  <c r="AE155" i="1" s="1"/>
  <c r="AF162" i="1" l="1"/>
  <c r="AE162" i="1" s="1"/>
  <c r="AB162" i="1" s="1"/>
  <c r="AC155" i="1" l="1"/>
  <c r="AB155" i="1" l="1"/>
  <c r="AF180" i="1"/>
  <c r="AE180" i="1" s="1"/>
  <c r="AB180" i="1" s="1"/>
  <c r="AF183" i="1" l="1"/>
  <c r="AE183" i="1" s="1"/>
  <c r="AC173" i="1" l="1"/>
  <c r="AF191" i="1" l="1"/>
  <c r="AE191" i="1" s="1"/>
  <c r="AB191" i="1" s="1"/>
  <c r="AC183" i="1" l="1"/>
  <c r="AB183" i="1" l="1"/>
  <c r="AG57" i="7" l="1"/>
  <c r="AF57" i="7" s="1"/>
  <c r="AC57" i="7" s="1"/>
  <c r="AG92" i="7" l="1"/>
  <c r="AF92" i="7" s="1"/>
  <c r="AC92" i="7" s="1"/>
  <c r="AF203" i="1" l="1"/>
  <c r="AE203" i="1" s="1"/>
  <c r="AB203" i="1" s="1"/>
  <c r="AF176" i="1" l="1"/>
  <c r="AE176" i="1" s="1"/>
  <c r="AF173" i="1"/>
  <c r="AE173" i="1" s="1"/>
  <c r="AB173" i="1" s="1"/>
  <c r="AF172" i="1"/>
  <c r="AE172" i="1" s="1"/>
  <c r="AC172" i="1"/>
  <c r="AF171" i="1"/>
  <c r="AE171" i="1" s="1"/>
  <c r="AB171" i="1" s="1"/>
  <c r="AC140" i="1"/>
  <c r="AF138" i="1"/>
  <c r="AE138" i="1" s="1"/>
  <c r="AB138" i="1" s="1"/>
  <c r="AF127" i="1"/>
  <c r="AE127" i="1" s="1"/>
  <c r="AG66" i="7"/>
  <c r="AF66" i="7" s="1"/>
  <c r="AC66" i="7" s="1"/>
  <c r="AG55" i="7"/>
  <c r="AF55" i="7" s="1"/>
  <c r="AC55" i="7" s="1"/>
  <c r="AD27" i="7"/>
  <c r="AC27" i="7" s="1"/>
  <c r="AB172" i="1" l="1"/>
  <c r="DO27" i="8" l="1"/>
  <c r="DN27" i="8" s="1"/>
  <c r="C10" i="2"/>
  <c r="C11" i="2" l="1"/>
  <c r="FF28" i="8"/>
  <c r="FI28" i="8" l="1"/>
  <c r="FH28" i="8" s="1"/>
  <c r="FE28" i="8" s="1"/>
  <c r="HV25" i="8" l="1"/>
  <c r="HO25" i="8"/>
  <c r="FI30" i="8"/>
  <c r="FH30" i="8" s="1"/>
  <c r="DO28" i="8" l="1"/>
  <c r="B71" i="17"/>
  <c r="C71" i="17"/>
  <c r="IX24" i="8"/>
  <c r="IS25" i="8" s="1"/>
  <c r="P127" i="2" l="1"/>
  <c r="DR28" i="8"/>
  <c r="DQ28" i="8" s="1"/>
  <c r="DN28" i="8" s="1"/>
  <c r="P116" i="2"/>
  <c r="IN25" i="8"/>
  <c r="IU25" i="8"/>
  <c r="Q116" i="2"/>
  <c r="I116" i="2" s="1"/>
  <c r="P129" i="2" l="1"/>
  <c r="Q127" i="2"/>
  <c r="I127" i="2" s="1"/>
  <c r="L116" i="2"/>
  <c r="M116" i="2"/>
  <c r="DQ30" i="8"/>
  <c r="DN30" i="8" s="1"/>
  <c r="H116" i="2" l="1"/>
  <c r="M47" i="1" s="1"/>
  <c r="N47" i="1"/>
  <c r="AD116" i="2"/>
  <c r="L129" i="2"/>
  <c r="H129" i="2" s="1"/>
  <c r="M127" i="2"/>
  <c r="L127" i="2"/>
  <c r="L117" i="2"/>
  <c r="M117" i="2"/>
  <c r="AD117" i="2" s="1"/>
  <c r="Q117" i="2"/>
  <c r="I117" i="2" s="1"/>
  <c r="P117" i="2"/>
  <c r="HP25" i="8"/>
  <c r="HQ25" i="8" s="1"/>
  <c r="H117" i="2" l="1"/>
  <c r="H127" i="2"/>
  <c r="M61" i="1" s="1"/>
  <c r="M59" i="1"/>
  <c r="N61" i="1"/>
  <c r="AD127" i="2"/>
  <c r="E71" i="17"/>
  <c r="AF4" i="4"/>
  <c r="IO25" i="8"/>
  <c r="IP25" i="8" s="1"/>
  <c r="AK88" i="1"/>
  <c r="P123" i="2"/>
  <c r="L123" i="2"/>
  <c r="G18" i="18" l="1"/>
  <c r="J71" i="17"/>
  <c r="AK82" i="1"/>
  <c r="AC11" i="8"/>
  <c r="AX11" i="8"/>
  <c r="F11" i="8"/>
  <c r="BI49" i="8"/>
  <c r="BI121" i="8"/>
  <c r="BI193" i="8"/>
  <c r="BI169" i="8"/>
  <c r="BI241" i="8"/>
  <c r="BI37" i="8"/>
  <c r="BI61" i="8"/>
  <c r="BI85" i="8"/>
  <c r="BI109" i="8"/>
  <c r="BI133" i="8"/>
  <c r="BI157" i="8"/>
  <c r="BI181" i="8"/>
  <c r="BI205" i="8"/>
  <c r="BI229" i="8"/>
  <c r="BI253" i="8"/>
  <c r="BI73" i="8"/>
  <c r="BI97" i="8"/>
  <c r="BI145" i="8"/>
  <c r="BI217" i="8"/>
  <c r="H123" i="2"/>
  <c r="M55" i="1" s="1"/>
  <c r="M60" i="1" s="1"/>
  <c r="FF30" i="8"/>
  <c r="FE30" i="8" s="1"/>
  <c r="AR88" i="1"/>
  <c r="AS88" i="1" s="1"/>
  <c r="AU88" i="1" s="1"/>
  <c r="AR83" i="1"/>
  <c r="AK83" i="1"/>
  <c r="HS25" i="8"/>
  <c r="HW25" i="8" s="1"/>
  <c r="HX25" i="8" s="1"/>
  <c r="IR25" i="8"/>
  <c r="IV25" i="8" s="1"/>
  <c r="IZ25" i="8" s="1"/>
  <c r="X174" i="18"/>
  <c r="X222" i="18"/>
  <c r="X198" i="18"/>
  <c r="X126" i="18"/>
  <c r="X210" i="18"/>
  <c r="X162" i="18"/>
  <c r="X186" i="18"/>
  <c r="X114" i="18"/>
  <c r="X78" i="18"/>
  <c r="X66" i="18"/>
  <c r="X30" i="18"/>
  <c r="X246" i="18"/>
  <c r="X150" i="18"/>
  <c r="X102" i="18"/>
  <c r="X54" i="18"/>
  <c r="X138" i="18"/>
  <c r="X90" i="18"/>
  <c r="X42" i="18"/>
  <c r="X234" i="18"/>
  <c r="D45" i="17"/>
  <c r="D47" i="17"/>
  <c r="Q123" i="2"/>
  <c r="I123" i="2" s="1"/>
  <c r="M123" i="2"/>
  <c r="AD123" i="2" l="1"/>
  <c r="J60" i="1" s="1"/>
  <c r="N55" i="1"/>
  <c r="N60" i="1" s="1"/>
  <c r="IQ25" i="8"/>
  <c r="IX25" i="8" s="1"/>
  <c r="IS26" i="8" s="1"/>
  <c r="AR89" i="1"/>
  <c r="AT89" i="1" s="1"/>
  <c r="AS89" i="1" s="1"/>
  <c r="AU89" i="1" s="1"/>
  <c r="AQ89" i="1"/>
  <c r="AM88" i="1"/>
  <c r="AL88" i="1" s="1"/>
  <c r="AN88" i="1" s="1"/>
  <c r="AK89" i="1" s="1"/>
  <c r="HR25" i="8"/>
  <c r="K71" i="17"/>
  <c r="L71" i="17" s="1"/>
  <c r="D68" i="2" l="1"/>
  <c r="C71" i="2"/>
  <c r="C73" i="2" s="1"/>
  <c r="IU26" i="8"/>
  <c r="IO26" i="8"/>
  <c r="IP26" i="8" s="1"/>
  <c r="IR26" i="8" s="1"/>
  <c r="IN26" i="8"/>
  <c r="AQ90" i="1"/>
  <c r="AR90" i="1"/>
  <c r="AT90" i="1" s="1"/>
  <c r="AS90" i="1" s="1"/>
  <c r="AU90" i="1" s="1"/>
  <c r="IG26" i="8"/>
  <c r="IG27" i="8" s="1"/>
  <c r="IG28" i="8" s="1"/>
  <c r="HY25" i="8"/>
  <c r="F71" i="17"/>
  <c r="IA25" i="8"/>
  <c r="AJ89" i="1"/>
  <c r="AI88" i="1"/>
  <c r="C72" i="2" l="1"/>
  <c r="HT26" i="8"/>
  <c r="HU26" i="8"/>
  <c r="D71" i="2"/>
  <c r="D73" i="2" s="1"/>
  <c r="E68" i="2"/>
  <c r="IQ26" i="8"/>
  <c r="IX26" i="8" s="1"/>
  <c r="IS27" i="8" s="1"/>
  <c r="IV26" i="8"/>
  <c r="IZ26" i="8" s="1"/>
  <c r="AQ91" i="1"/>
  <c r="AR91" i="1"/>
  <c r="AT91" i="1" s="1"/>
  <c r="AS91" i="1" s="1"/>
  <c r="AU91" i="1" s="1"/>
  <c r="AR92" i="1" s="1"/>
  <c r="AG88" i="1"/>
  <c r="AJ18" i="7"/>
  <c r="AH18" i="7" s="1"/>
  <c r="AJ18" i="18"/>
  <c r="AH18" i="18" s="1"/>
  <c r="IH26" i="8"/>
  <c r="HV26" i="8"/>
  <c r="HO26" i="8"/>
  <c r="HP26" i="8"/>
  <c r="IH27" i="8"/>
  <c r="IG29" i="8"/>
  <c r="IG30" i="8" s="1"/>
  <c r="IH28" i="8"/>
  <c r="AM89" i="1"/>
  <c r="AL89" i="1" s="1"/>
  <c r="AN89" i="1" s="1"/>
  <c r="AK90" i="1" s="1"/>
  <c r="AG22" i="7"/>
  <c r="AF22" i="7" s="1"/>
  <c r="AC22" i="7" s="1"/>
  <c r="C74" i="2" l="1"/>
  <c r="C76" i="2" s="1"/>
  <c r="B79" i="2" s="1"/>
  <c r="C79" i="2" s="1"/>
  <c r="D72" i="2"/>
  <c r="D74" i="2" s="1"/>
  <c r="D76" i="2" s="1"/>
  <c r="F68" i="2"/>
  <c r="E71" i="2"/>
  <c r="E73" i="2" s="1"/>
  <c r="AX14" i="8"/>
  <c r="BC24" i="8"/>
  <c r="AX25" i="8" s="1"/>
  <c r="HQ26" i="8"/>
  <c r="IN27" i="8"/>
  <c r="IO27" i="8"/>
  <c r="IP27" i="8" s="1"/>
  <c r="IR27" i="8" s="1"/>
  <c r="IQ27" i="8" s="1"/>
  <c r="IX27" i="8" s="1"/>
  <c r="IS28" i="8" s="1"/>
  <c r="IU27" i="8"/>
  <c r="HA33" i="8"/>
  <c r="GZ33" i="8" s="1"/>
  <c r="AT92" i="1"/>
  <c r="AS92" i="1" s="1"/>
  <c r="AU92" i="1" s="1"/>
  <c r="AR93" i="1" s="1"/>
  <c r="AQ92" i="1"/>
  <c r="I18" i="18"/>
  <c r="B18" i="18"/>
  <c r="C18" i="18"/>
  <c r="E18" i="18"/>
  <c r="IH29" i="8"/>
  <c r="IG31" i="8"/>
  <c r="IG32" i="8" s="1"/>
  <c r="IH30" i="8"/>
  <c r="AJ90" i="1"/>
  <c r="AI89" i="1"/>
  <c r="E85" i="2" l="1"/>
  <c r="E84" i="2"/>
  <c r="E87" i="2"/>
  <c r="E86" i="2"/>
  <c r="D77" i="2"/>
  <c r="K118" i="2" s="1"/>
  <c r="K119" i="2"/>
  <c r="K129" i="2" s="1"/>
  <c r="C77" i="2"/>
  <c r="C119" i="2"/>
  <c r="B85" i="2"/>
  <c r="B91" i="2"/>
  <c r="O120" i="2" s="1"/>
  <c r="E72" i="2"/>
  <c r="E74" i="2" s="1"/>
  <c r="E76" i="2" s="1"/>
  <c r="HS26" i="8"/>
  <c r="HR26" i="8" s="1"/>
  <c r="AY25" i="8"/>
  <c r="AV25" i="8"/>
  <c r="G68" i="2"/>
  <c r="G71" i="2" s="1"/>
  <c r="G73" i="2" s="1"/>
  <c r="F71" i="2"/>
  <c r="F73" i="2" s="1"/>
  <c r="IN28" i="8"/>
  <c r="IO28" i="8"/>
  <c r="IP28" i="8" s="1"/>
  <c r="IR28" i="8" s="1"/>
  <c r="IU28" i="8"/>
  <c r="IV27" i="8"/>
  <c r="IZ27" i="8" s="1"/>
  <c r="AT93" i="1"/>
  <c r="AS93" i="1" s="1"/>
  <c r="AU93" i="1" s="1"/>
  <c r="AR94" i="1" s="1"/>
  <c r="AQ93" i="1"/>
  <c r="AG89" i="1"/>
  <c r="AJ19" i="18"/>
  <c r="AH19" i="18" s="1"/>
  <c r="AJ19" i="7"/>
  <c r="AH19" i="7" s="1"/>
  <c r="BA25" i="8"/>
  <c r="AU25" i="8"/>
  <c r="IH31" i="8"/>
  <c r="IG33" i="8"/>
  <c r="IG34" i="8" s="1"/>
  <c r="IH32" i="8"/>
  <c r="AM90" i="1"/>
  <c r="AL90" i="1" s="1"/>
  <c r="AN90" i="1" s="1"/>
  <c r="AK91" i="1" s="1"/>
  <c r="E89" i="2" l="1"/>
  <c r="B94" i="2"/>
  <c r="C115" i="2"/>
  <c r="H67" i="1" s="1"/>
  <c r="C129" i="2"/>
  <c r="H59" i="1" s="1"/>
  <c r="B95" i="2"/>
  <c r="W122" i="2" s="1"/>
  <c r="K110" i="2"/>
  <c r="K115" i="2"/>
  <c r="C110" i="2"/>
  <c r="H64" i="1" s="1"/>
  <c r="H48" i="1"/>
  <c r="E77" i="2"/>
  <c r="O118" i="2" s="1"/>
  <c r="O119" i="2"/>
  <c r="O129" i="2" s="1"/>
  <c r="B92" i="2"/>
  <c r="K121" i="2" s="1"/>
  <c r="B93" i="2"/>
  <c r="O122" i="2"/>
  <c r="K120" i="2"/>
  <c r="K123" i="2" s="1"/>
  <c r="S120" i="2"/>
  <c r="C120" i="2"/>
  <c r="C123" i="2" s="1"/>
  <c r="W120" i="2"/>
  <c r="G72" i="2"/>
  <c r="G74" i="2" s="1"/>
  <c r="G76" i="2" s="1"/>
  <c r="F72" i="2"/>
  <c r="F74" i="2" s="1"/>
  <c r="F76" i="2" s="1"/>
  <c r="HW26" i="8"/>
  <c r="HX26" i="8" s="1"/>
  <c r="IA26" i="8" s="1"/>
  <c r="IQ28" i="8"/>
  <c r="IX28" i="8" s="1"/>
  <c r="IS29" i="8" s="1"/>
  <c r="IV28" i="8"/>
  <c r="IZ28" i="8" s="1"/>
  <c r="AT94" i="1"/>
  <c r="AS94" i="1" s="1"/>
  <c r="AU94" i="1" s="1"/>
  <c r="AR95" i="1" s="1"/>
  <c r="AQ94" i="1"/>
  <c r="F18" i="18"/>
  <c r="K18" i="18" s="1"/>
  <c r="H19" i="18" s="1"/>
  <c r="J18" i="18"/>
  <c r="IH33" i="8"/>
  <c r="IG35" i="8"/>
  <c r="IG36" i="8" s="1"/>
  <c r="IH34" i="8"/>
  <c r="AI90" i="1"/>
  <c r="C122" i="2" l="1"/>
  <c r="H51" i="1" s="1"/>
  <c r="S122" i="2"/>
  <c r="K122" i="2"/>
  <c r="G122" i="2" s="1"/>
  <c r="L51" i="1" s="1"/>
  <c r="O123" i="2"/>
  <c r="H70" i="1"/>
  <c r="S121" i="2"/>
  <c r="O110" i="2"/>
  <c r="O115" i="2"/>
  <c r="O124" i="2"/>
  <c r="O121" i="2"/>
  <c r="B96" i="2"/>
  <c r="C121" i="2"/>
  <c r="H50" i="1" s="1"/>
  <c r="W121" i="2"/>
  <c r="G77" i="2"/>
  <c r="W118" i="2" s="1"/>
  <c r="W119" i="2"/>
  <c r="W129" i="2" s="1"/>
  <c r="F77" i="2"/>
  <c r="S118" i="2" s="1"/>
  <c r="G118" i="2" s="1"/>
  <c r="L46" i="1" s="1"/>
  <c r="S119" i="2"/>
  <c r="S124" i="2" s="1"/>
  <c r="AB120" i="2"/>
  <c r="AB122" i="2"/>
  <c r="P103" i="1"/>
  <c r="M40" i="8"/>
  <c r="M28" i="8"/>
  <c r="H49" i="1"/>
  <c r="C124" i="2"/>
  <c r="H56" i="1" s="1"/>
  <c r="K124" i="2"/>
  <c r="G120" i="2"/>
  <c r="L49" i="1" s="1"/>
  <c r="HY26" i="8"/>
  <c r="HT27" i="8" s="1"/>
  <c r="IO29" i="8"/>
  <c r="IU29" i="8"/>
  <c r="IN29" i="8"/>
  <c r="AT95" i="1"/>
  <c r="AS95" i="1" s="1"/>
  <c r="AU95" i="1" s="1"/>
  <c r="AR96" i="1" s="1"/>
  <c r="AQ95" i="1"/>
  <c r="B19" i="18"/>
  <c r="C19" i="18"/>
  <c r="D19" i="18"/>
  <c r="I19" i="18"/>
  <c r="AG90" i="1"/>
  <c r="AJ20" i="18"/>
  <c r="AH20" i="18" s="1"/>
  <c r="AG20" i="18" s="1"/>
  <c r="AF20" i="18" s="1"/>
  <c r="AJ20" i="7"/>
  <c r="AH20" i="7" s="1"/>
  <c r="IH35" i="8"/>
  <c r="IG37" i="8"/>
  <c r="IG38" i="8" s="1"/>
  <c r="IH36" i="8"/>
  <c r="AJ91" i="1"/>
  <c r="AM91" i="1"/>
  <c r="AL91" i="1" s="1"/>
  <c r="AN91" i="1" s="1"/>
  <c r="AK92" i="1" s="1"/>
  <c r="P93" i="1" l="1"/>
  <c r="M33" i="8"/>
  <c r="P90" i="1"/>
  <c r="M27" i="8"/>
  <c r="P96" i="1"/>
  <c r="AB121" i="2"/>
  <c r="S123" i="2"/>
  <c r="S128" i="2" s="1"/>
  <c r="W123" i="2"/>
  <c r="M30" i="8"/>
  <c r="G121" i="2"/>
  <c r="L50" i="1" s="1"/>
  <c r="P99" i="1"/>
  <c r="M36" i="8"/>
  <c r="P95" i="1"/>
  <c r="P91" i="1"/>
  <c r="W124" i="2"/>
  <c r="G124" i="2" s="1"/>
  <c r="L56" i="1" s="1"/>
  <c r="O128" i="2"/>
  <c r="M32" i="8"/>
  <c r="S115" i="2"/>
  <c r="S129" i="2"/>
  <c r="W110" i="2"/>
  <c r="W115" i="2"/>
  <c r="AB119" i="2"/>
  <c r="S110" i="2"/>
  <c r="G119" i="2"/>
  <c r="L48" i="1" s="1"/>
  <c r="K128" i="2"/>
  <c r="H55" i="1"/>
  <c r="H60" i="1" s="1"/>
  <c r="G123" i="2"/>
  <c r="L55" i="1" s="1"/>
  <c r="HV27" i="8"/>
  <c r="HP27" i="8"/>
  <c r="HQ27" i="8" s="1"/>
  <c r="HS27" i="8" s="1"/>
  <c r="HR27" i="8" s="1"/>
  <c r="HO27" i="8"/>
  <c r="HU27" i="8"/>
  <c r="IP29" i="8"/>
  <c r="IR29" i="8" s="1"/>
  <c r="E19" i="18"/>
  <c r="G19" i="18" s="1"/>
  <c r="AT96" i="1"/>
  <c r="AS96" i="1" s="1"/>
  <c r="AU96" i="1" s="1"/>
  <c r="AR97" i="1" s="1"/>
  <c r="AQ96" i="1"/>
  <c r="IH37" i="8"/>
  <c r="IG39" i="8"/>
  <c r="IG40" i="8" s="1"/>
  <c r="IH38" i="8"/>
  <c r="AI91" i="1"/>
  <c r="DQ34" i="8"/>
  <c r="DN34" i="8" s="1"/>
  <c r="AB123" i="2" l="1"/>
  <c r="AB124" i="2"/>
  <c r="AB115" i="2"/>
  <c r="M78" i="1" s="1"/>
  <c r="M81" i="1" s="1"/>
  <c r="W128" i="2"/>
  <c r="G128" i="2" s="1"/>
  <c r="L52" i="1" s="1"/>
  <c r="G115" i="2"/>
  <c r="L67" i="1" s="1"/>
  <c r="AB129" i="2"/>
  <c r="G129" i="2"/>
  <c r="L59" i="1" s="1"/>
  <c r="L60" i="1" s="1"/>
  <c r="AB110" i="2"/>
  <c r="G110" i="2"/>
  <c r="L64" i="1" s="1"/>
  <c r="N87" i="1"/>
  <c r="J81" i="1"/>
  <c r="F14" i="8"/>
  <c r="HW27" i="8"/>
  <c r="HX27" i="8" s="1"/>
  <c r="HY27" i="8" s="1"/>
  <c r="IQ29" i="8"/>
  <c r="IX29" i="8" s="1"/>
  <c r="IS30" i="8" s="1"/>
  <c r="IV29" i="8"/>
  <c r="IZ29" i="8" s="1"/>
  <c r="F19" i="18"/>
  <c r="K19" i="18" s="1"/>
  <c r="H20" i="18" s="1"/>
  <c r="J19" i="18"/>
  <c r="AD20" i="18"/>
  <c r="AC20" i="18" s="1"/>
  <c r="AT97" i="1"/>
  <c r="AS97" i="1" s="1"/>
  <c r="AU97" i="1" s="1"/>
  <c r="AR98" i="1" s="1"/>
  <c r="AQ97" i="1"/>
  <c r="AG91" i="1"/>
  <c r="AJ21" i="18"/>
  <c r="AH21" i="18" s="1"/>
  <c r="AJ21" i="7"/>
  <c r="AH21" i="7" s="1"/>
  <c r="IH39" i="8"/>
  <c r="IG41" i="8"/>
  <c r="IG42" i="8" s="1"/>
  <c r="IH40" i="8"/>
  <c r="AJ92" i="1"/>
  <c r="AM92" i="1"/>
  <c r="AL92" i="1" s="1"/>
  <c r="AN92" i="1" s="1"/>
  <c r="AK93" i="1" s="1"/>
  <c r="L70" i="1" l="1"/>
  <c r="L7" i="8"/>
  <c r="L10" i="8" s="1"/>
  <c r="M75" i="1"/>
  <c r="D88" i="1"/>
  <c r="AD84" i="1" s="1"/>
  <c r="H88" i="1"/>
  <c r="C88" i="1"/>
  <c r="J88" i="1"/>
  <c r="I88" i="1"/>
  <c r="L24" i="8"/>
  <c r="B88" i="1"/>
  <c r="AE89" i="1"/>
  <c r="AB89" i="1" s="1"/>
  <c r="IA27" i="8"/>
  <c r="HU28" i="8"/>
  <c r="HV28" i="8"/>
  <c r="HT28" i="8"/>
  <c r="HO28" i="8"/>
  <c r="HP28" i="8"/>
  <c r="HQ28" i="8" s="1"/>
  <c r="HS28" i="8" s="1"/>
  <c r="HR28" i="8" s="1"/>
  <c r="C20" i="18"/>
  <c r="I20" i="18"/>
  <c r="B20" i="18"/>
  <c r="D20" i="18"/>
  <c r="E20" i="18" s="1"/>
  <c r="G20" i="18" s="1"/>
  <c r="IU30" i="8"/>
  <c r="IN30" i="8"/>
  <c r="IO30" i="8"/>
  <c r="AT98" i="1"/>
  <c r="AS98" i="1" s="1"/>
  <c r="AU98" i="1" s="1"/>
  <c r="AR99" i="1" s="1"/>
  <c r="AQ98" i="1"/>
  <c r="IH41" i="8"/>
  <c r="IG43" i="8"/>
  <c r="IG44" i="8" s="1"/>
  <c r="IH42" i="8"/>
  <c r="AM93" i="1"/>
  <c r="AL93" i="1" s="1"/>
  <c r="AN93" i="1" s="1"/>
  <c r="AK94" i="1" s="1"/>
  <c r="AI92" i="1"/>
  <c r="E88" i="1" l="1"/>
  <c r="C25" i="8"/>
  <c r="H25" i="8"/>
  <c r="D25" i="8"/>
  <c r="F25" i="8" s="1"/>
  <c r="E25" i="8" s="1"/>
  <c r="I25" i="8"/>
  <c r="G25" i="8"/>
  <c r="HW28" i="8"/>
  <c r="HX28" i="8" s="1"/>
  <c r="HY28" i="8" s="1"/>
  <c r="J20" i="18"/>
  <c r="IP30" i="8"/>
  <c r="IR30" i="8" s="1"/>
  <c r="F20" i="18"/>
  <c r="K20" i="18" s="1"/>
  <c r="H21" i="18" s="1"/>
  <c r="FI33" i="8"/>
  <c r="FH33" i="8" s="1"/>
  <c r="AT99" i="1"/>
  <c r="AS99" i="1" s="1"/>
  <c r="AU99" i="1" s="1"/>
  <c r="AQ99" i="1"/>
  <c r="AD21" i="18"/>
  <c r="AG92" i="1"/>
  <c r="AJ22" i="18"/>
  <c r="AH22" i="18" s="1"/>
  <c r="AJ22" i="7"/>
  <c r="AH22" i="7" s="1"/>
  <c r="IH43" i="8"/>
  <c r="IG45" i="8"/>
  <c r="IG46" i="8" s="1"/>
  <c r="IH44" i="8"/>
  <c r="AJ93" i="1"/>
  <c r="AM94" i="1"/>
  <c r="AL94" i="1" s="1"/>
  <c r="AN94" i="1" s="1"/>
  <c r="AK95" i="1" s="1"/>
  <c r="AI93" i="1"/>
  <c r="AR100" i="1" l="1"/>
  <c r="AT100" i="1" s="1"/>
  <c r="AS100" i="1" s="1"/>
  <c r="AU100" i="1" s="1"/>
  <c r="AR101" i="1" s="1"/>
  <c r="G88" i="1"/>
  <c r="K88" i="1"/>
  <c r="J25" i="8"/>
  <c r="HT29" i="8"/>
  <c r="HU29" i="8"/>
  <c r="B21" i="18"/>
  <c r="DR33" i="8"/>
  <c r="DQ33" i="8" s="1"/>
  <c r="IV30" i="8"/>
  <c r="IZ30" i="8" s="1"/>
  <c r="IQ30" i="8"/>
  <c r="IX30" i="8" s="1"/>
  <c r="IS31" i="8" s="1"/>
  <c r="IA28" i="8"/>
  <c r="HP29" i="8"/>
  <c r="HV29" i="8"/>
  <c r="HO29" i="8"/>
  <c r="I21" i="18"/>
  <c r="D21" i="18"/>
  <c r="E21" i="18" s="1"/>
  <c r="C21" i="18"/>
  <c r="AG21" i="18"/>
  <c r="AF21" i="18" s="1"/>
  <c r="AC21" i="18" s="1"/>
  <c r="AQ100" i="1"/>
  <c r="AD21" i="7"/>
  <c r="AG93" i="1"/>
  <c r="AJ23" i="7"/>
  <c r="AH23" i="7" s="1"/>
  <c r="AJ23" i="18"/>
  <c r="AH23" i="18" s="1"/>
  <c r="IH45" i="8"/>
  <c r="IG47" i="8"/>
  <c r="IG48" i="8" s="1"/>
  <c r="IH46" i="8"/>
  <c r="AJ94" i="1"/>
  <c r="AJ95" i="1" s="1"/>
  <c r="AI94" i="1"/>
  <c r="FI36" i="8"/>
  <c r="FH36" i="8" s="1"/>
  <c r="K25" i="8" l="1"/>
  <c r="F88" i="1"/>
  <c r="L88" i="1"/>
  <c r="M88" i="1" s="1"/>
  <c r="IN31" i="8"/>
  <c r="IO31" i="8"/>
  <c r="IU31" i="8"/>
  <c r="HQ29" i="8"/>
  <c r="G21" i="18"/>
  <c r="J21" i="18" s="1"/>
  <c r="AF90" i="1"/>
  <c r="AE90" i="1" s="1"/>
  <c r="AB90" i="1" s="1"/>
  <c r="AT101" i="1"/>
  <c r="AS101" i="1" s="1"/>
  <c r="AU101" i="1" s="1"/>
  <c r="AR102" i="1" s="1"/>
  <c r="AQ101" i="1"/>
  <c r="AG21" i="7"/>
  <c r="AF21" i="7" s="1"/>
  <c r="AC21" i="7" s="1"/>
  <c r="AG94" i="1"/>
  <c r="AJ24" i="18"/>
  <c r="AJ24" i="7"/>
  <c r="IH47" i="8"/>
  <c r="IG49" i="8"/>
  <c r="IG50" i="8" s="1"/>
  <c r="IH48" i="8"/>
  <c r="AM95" i="1"/>
  <c r="AL95" i="1" s="1"/>
  <c r="AN95" i="1" s="1"/>
  <c r="AK96" i="1" s="1"/>
  <c r="O25" i="8" l="1"/>
  <c r="L25" i="8"/>
  <c r="N88" i="1"/>
  <c r="HS29" i="8"/>
  <c r="HW29" i="8" s="1"/>
  <c r="HX29" i="8" s="1"/>
  <c r="F21" i="18"/>
  <c r="K21" i="18" s="1"/>
  <c r="H22" i="18" s="1"/>
  <c r="IP31" i="8"/>
  <c r="IR31" i="8" s="1"/>
  <c r="AT102" i="1"/>
  <c r="AS102" i="1" s="1"/>
  <c r="AU102" i="1" s="1"/>
  <c r="AR103" i="1" s="1"/>
  <c r="AQ102" i="1"/>
  <c r="IH49" i="8"/>
  <c r="IG51" i="8"/>
  <c r="IG52" i="8" s="1"/>
  <c r="IH50" i="8"/>
  <c r="AH24" i="7"/>
  <c r="AH24" i="18"/>
  <c r="AJ96" i="1"/>
  <c r="AI95" i="1"/>
  <c r="AM96" i="1"/>
  <c r="C26" i="8" l="1"/>
  <c r="G26" i="8"/>
  <c r="H26" i="8"/>
  <c r="I26" i="8"/>
  <c r="D26" i="8"/>
  <c r="F26" i="8" s="1"/>
  <c r="E26" i="8" s="1"/>
  <c r="C89" i="1"/>
  <c r="AD89" i="1"/>
  <c r="B89" i="1"/>
  <c r="J89" i="1"/>
  <c r="H89" i="1"/>
  <c r="D89" i="1"/>
  <c r="E89" i="1" s="1"/>
  <c r="K89" i="1" s="1"/>
  <c r="I89" i="1"/>
  <c r="C22" i="18"/>
  <c r="D22" i="18"/>
  <c r="E22" i="18" s="1"/>
  <c r="G22" i="18" s="1"/>
  <c r="I22" i="18"/>
  <c r="B22" i="18"/>
  <c r="HR29" i="8"/>
  <c r="IA29" i="8"/>
  <c r="IQ31" i="8"/>
  <c r="IX31" i="8" s="1"/>
  <c r="IS32" i="8" s="1"/>
  <c r="IV31" i="8"/>
  <c r="IZ31" i="8" s="1"/>
  <c r="GX37" i="8"/>
  <c r="AT103" i="1"/>
  <c r="AS103" i="1" s="1"/>
  <c r="AU103" i="1" s="1"/>
  <c r="AR104" i="1" s="1"/>
  <c r="AQ103" i="1"/>
  <c r="AG95" i="1"/>
  <c r="AJ25" i="18"/>
  <c r="AJ25" i="7"/>
  <c r="IH51" i="8"/>
  <c r="IG53" i="8"/>
  <c r="IG54" i="8" s="1"/>
  <c r="IH52" i="8"/>
  <c r="AL96" i="1"/>
  <c r="AN96" i="1" s="1"/>
  <c r="AK97" i="1" s="1"/>
  <c r="J26" i="8" l="1"/>
  <c r="G89" i="1"/>
  <c r="HY29" i="8"/>
  <c r="IN32" i="8"/>
  <c r="IO32" i="8"/>
  <c r="IU32" i="8"/>
  <c r="F22" i="18"/>
  <c r="K22" i="18" s="1"/>
  <c r="H23" i="18" s="1"/>
  <c r="J22" i="18"/>
  <c r="AC91" i="1"/>
  <c r="HA37" i="8"/>
  <c r="GZ37" i="8" s="1"/>
  <c r="GW37" i="8" s="1"/>
  <c r="AT104" i="1"/>
  <c r="AS104" i="1" s="1"/>
  <c r="AU104" i="1" s="1"/>
  <c r="AR105" i="1" s="1"/>
  <c r="AQ104" i="1"/>
  <c r="IH53" i="8"/>
  <c r="IG55" i="8"/>
  <c r="IG56" i="8" s="1"/>
  <c r="IH54" i="8"/>
  <c r="AD23" i="18"/>
  <c r="AH25" i="7"/>
  <c r="AH25" i="18"/>
  <c r="AJ97" i="1"/>
  <c r="AI96" i="1"/>
  <c r="L89" i="1" l="1"/>
  <c r="F89" i="1"/>
  <c r="HT30" i="8"/>
  <c r="HU30" i="8"/>
  <c r="B23" i="18"/>
  <c r="D23" i="18"/>
  <c r="AG23" i="18" s="1"/>
  <c r="AF23" i="18" s="1"/>
  <c r="AC23" i="18" s="1"/>
  <c r="HP30" i="8"/>
  <c r="HQ30" i="8" s="1"/>
  <c r="HS30" i="8" s="1"/>
  <c r="HR30" i="8" s="1"/>
  <c r="HO30" i="8"/>
  <c r="HV30" i="8"/>
  <c r="C23" i="18"/>
  <c r="I23" i="18"/>
  <c r="IP32" i="8"/>
  <c r="IR32" i="8" s="1"/>
  <c r="AD23" i="7"/>
  <c r="AT105" i="1"/>
  <c r="AS105" i="1" s="1"/>
  <c r="AU105" i="1" s="1"/>
  <c r="AR106" i="1" s="1"/>
  <c r="AQ105" i="1"/>
  <c r="AG23" i="7"/>
  <c r="AF23" i="7" s="1"/>
  <c r="AG96" i="1"/>
  <c r="AJ26" i="18"/>
  <c r="AJ26" i="7"/>
  <c r="IH55" i="8"/>
  <c r="IG57" i="8"/>
  <c r="IG58" i="8" s="1"/>
  <c r="IH56" i="8"/>
  <c r="AM97" i="1"/>
  <c r="AL97" i="1" s="1"/>
  <c r="AN97" i="1" s="1"/>
  <c r="AK98" i="1" s="1"/>
  <c r="AG28" i="7"/>
  <c r="AF28" i="7" s="1"/>
  <c r="AC28" i="7" s="1"/>
  <c r="E23" i="18" l="1"/>
  <c r="G23" i="18" s="1"/>
  <c r="J23" i="18" s="1"/>
  <c r="HW30" i="8"/>
  <c r="IQ32" i="8"/>
  <c r="IX32" i="8" s="1"/>
  <c r="IS33" i="8" s="1"/>
  <c r="IV32" i="8"/>
  <c r="IZ32" i="8" s="1"/>
  <c r="DO36" i="8"/>
  <c r="DN36" i="8" s="1"/>
  <c r="AC23" i="7"/>
  <c r="AT106" i="1"/>
  <c r="AS106" i="1" s="1"/>
  <c r="AU106" i="1" s="1"/>
  <c r="AR107" i="1" s="1"/>
  <c r="AQ106" i="1"/>
  <c r="AG25" i="7"/>
  <c r="AF25" i="7" s="1"/>
  <c r="IH57" i="8"/>
  <c r="IG59" i="8"/>
  <c r="IG60" i="8" s="1"/>
  <c r="IH58" i="8"/>
  <c r="AH26" i="7"/>
  <c r="AH26" i="18"/>
  <c r="AJ98" i="1"/>
  <c r="AI97" i="1"/>
  <c r="AM98" i="1"/>
  <c r="HX30" i="8" l="1"/>
  <c r="IA30" i="8" s="1"/>
  <c r="F23" i="18"/>
  <c r="K23" i="18" s="1"/>
  <c r="H24" i="18" s="1"/>
  <c r="IO33" i="8"/>
  <c r="IN33" i="8"/>
  <c r="IU33" i="8"/>
  <c r="AD24" i="18"/>
  <c r="AQ107" i="1"/>
  <c r="AT107" i="1"/>
  <c r="AS107" i="1" s="1"/>
  <c r="AU107" i="1" s="1"/>
  <c r="AR108" i="1" s="1"/>
  <c r="AG97" i="1"/>
  <c r="AJ27" i="18"/>
  <c r="AJ27" i="7"/>
  <c r="IH59" i="8"/>
  <c r="IG61" i="8"/>
  <c r="IG62" i="8" s="1"/>
  <c r="IH60" i="8"/>
  <c r="AL98" i="1"/>
  <c r="AN98" i="1" s="1"/>
  <c r="AK99" i="1" s="1"/>
  <c r="HY30" i="8" l="1"/>
  <c r="HT31" i="8" s="1"/>
  <c r="D24" i="18"/>
  <c r="E24" i="18" s="1"/>
  <c r="C24" i="18"/>
  <c r="B24" i="18"/>
  <c r="I24" i="18"/>
  <c r="IP33" i="8"/>
  <c r="IR33" i="8" s="1"/>
  <c r="FF36" i="8"/>
  <c r="FE36" i="8" s="1"/>
  <c r="AT108" i="1"/>
  <c r="AS108" i="1" s="1"/>
  <c r="AU108" i="1" s="1"/>
  <c r="AR109" i="1" s="1"/>
  <c r="AQ108" i="1"/>
  <c r="IH61" i="8"/>
  <c r="IG63" i="8"/>
  <c r="IG64" i="8" s="1"/>
  <c r="IH62" i="8"/>
  <c r="AG24" i="18"/>
  <c r="AF24" i="18" s="1"/>
  <c r="AC24" i="18" s="1"/>
  <c r="AH27" i="7"/>
  <c r="AH27" i="18"/>
  <c r="AJ99" i="1"/>
  <c r="AI98" i="1"/>
  <c r="AM99" i="1"/>
  <c r="AG29" i="7"/>
  <c r="AF29" i="7" s="1"/>
  <c r="AC29" i="7" s="1"/>
  <c r="AF98" i="1"/>
  <c r="AE98" i="1" s="1"/>
  <c r="HO31" i="8" l="1"/>
  <c r="HP31" i="8"/>
  <c r="HQ31" i="8" s="1"/>
  <c r="HS31" i="8" s="1"/>
  <c r="HR31" i="8" s="1"/>
  <c r="HV31" i="8"/>
  <c r="HU31" i="8"/>
  <c r="AF92" i="1"/>
  <c r="AE92" i="1" s="1"/>
  <c r="G24" i="18"/>
  <c r="J24" i="18" s="1"/>
  <c r="IQ33" i="8"/>
  <c r="IX33" i="8" s="1"/>
  <c r="IS34" i="8" s="1"/>
  <c r="IV33" i="8"/>
  <c r="IZ33" i="8" s="1"/>
  <c r="DO37" i="8"/>
  <c r="AT109" i="1"/>
  <c r="AS109" i="1" s="1"/>
  <c r="AU109" i="1" s="1"/>
  <c r="AR110" i="1" s="1"/>
  <c r="AQ109" i="1"/>
  <c r="AG98" i="1"/>
  <c r="AJ28" i="18"/>
  <c r="AJ28" i="7"/>
  <c r="IH63" i="8"/>
  <c r="IG65" i="8"/>
  <c r="IG66" i="8" s="1"/>
  <c r="IH64" i="8"/>
  <c r="AL99" i="1"/>
  <c r="AN99" i="1" s="1"/>
  <c r="AK100" i="1" s="1"/>
  <c r="F24" i="18" l="1"/>
  <c r="K24" i="18" s="1"/>
  <c r="H25" i="18" s="1"/>
  <c r="HW31" i="8"/>
  <c r="HX31" i="8"/>
  <c r="HY31" i="8" s="1"/>
  <c r="IO34" i="8"/>
  <c r="IN34" i="8"/>
  <c r="IU34" i="8"/>
  <c r="AD25" i="7"/>
  <c r="AC25" i="7" s="1"/>
  <c r="DR37" i="8"/>
  <c r="DQ37" i="8" s="1"/>
  <c r="DN37" i="8" s="1"/>
  <c r="AT110" i="1"/>
  <c r="AS110" i="1" s="1"/>
  <c r="AU110" i="1" s="1"/>
  <c r="AR111" i="1" s="1"/>
  <c r="AQ110" i="1"/>
  <c r="IH65" i="8"/>
  <c r="IG67" i="8"/>
  <c r="IG68" i="8" s="1"/>
  <c r="IH66" i="8"/>
  <c r="AH28" i="7"/>
  <c r="AH28" i="18"/>
  <c r="AM100" i="1"/>
  <c r="AI99" i="1"/>
  <c r="D25" i="18" l="1"/>
  <c r="E25" i="18" s="1"/>
  <c r="B25" i="18"/>
  <c r="I25" i="18"/>
  <c r="C25" i="18"/>
  <c r="IA31" i="8"/>
  <c r="HV32" i="8"/>
  <c r="HO32" i="8"/>
  <c r="HP32" i="8"/>
  <c r="HQ32" i="8" s="1"/>
  <c r="HS32" i="8" s="1"/>
  <c r="HR32" i="8" s="1"/>
  <c r="HT32" i="8"/>
  <c r="HU32" i="8"/>
  <c r="IP34" i="8"/>
  <c r="IR34" i="8" s="1"/>
  <c r="G25" i="18"/>
  <c r="AT111" i="1"/>
  <c r="AS111" i="1" s="1"/>
  <c r="AU111" i="1" s="1"/>
  <c r="AR112" i="1" s="1"/>
  <c r="AQ111" i="1"/>
  <c r="AG99" i="1"/>
  <c r="AJ29" i="18"/>
  <c r="AJ29" i="7"/>
  <c r="IH67" i="8"/>
  <c r="IG69" i="8"/>
  <c r="IG70" i="8" s="1"/>
  <c r="IH68" i="8"/>
  <c r="AL100" i="1"/>
  <c r="AN100" i="1" s="1"/>
  <c r="AK101" i="1" s="1"/>
  <c r="AJ100" i="1"/>
  <c r="J25" i="18" l="1"/>
  <c r="HW32" i="8"/>
  <c r="HX32" i="8" s="1"/>
  <c r="F25" i="18"/>
  <c r="K25" i="18" s="1"/>
  <c r="H26" i="18" s="1"/>
  <c r="IQ34" i="8"/>
  <c r="IX34" i="8" s="1"/>
  <c r="IS35" i="8" s="1"/>
  <c r="IV34" i="8"/>
  <c r="IZ34" i="8" s="1"/>
  <c r="FF37" i="8"/>
  <c r="AT112" i="1"/>
  <c r="AS112" i="1" s="1"/>
  <c r="AU112" i="1" s="1"/>
  <c r="AR113" i="1" s="1"/>
  <c r="AQ112" i="1"/>
  <c r="AF94" i="1"/>
  <c r="AE94" i="1" s="1"/>
  <c r="AB94" i="1" s="1"/>
  <c r="AD26" i="7"/>
  <c r="IH69" i="8"/>
  <c r="IG71" i="8"/>
  <c r="IH71" i="8" s="1"/>
  <c r="IH70" i="8"/>
  <c r="AH29" i="7"/>
  <c r="AH29" i="18"/>
  <c r="AJ101" i="1"/>
  <c r="AI100" i="1"/>
  <c r="AM101" i="1"/>
  <c r="AF99" i="1"/>
  <c r="AE99" i="1" s="1"/>
  <c r="AB99" i="1" s="1"/>
  <c r="IA32" i="8" l="1"/>
  <c r="HY32" i="8"/>
  <c r="HT33" i="8" s="1"/>
  <c r="I26" i="18"/>
  <c r="B26" i="18"/>
  <c r="C26" i="18"/>
  <c r="D26" i="18"/>
  <c r="E26" i="18" s="1"/>
  <c r="G26" i="18" s="1"/>
  <c r="IO35" i="8"/>
  <c r="IN35" i="8"/>
  <c r="IU35" i="8"/>
  <c r="AG26" i="7"/>
  <c r="AF26" i="7" s="1"/>
  <c r="AC26" i="7" s="1"/>
  <c r="FI37" i="8"/>
  <c r="FH37" i="8" s="1"/>
  <c r="FE37" i="8" s="1"/>
  <c r="AT113" i="1"/>
  <c r="AS113" i="1" s="1"/>
  <c r="AU113" i="1" s="1"/>
  <c r="AR114" i="1" s="1"/>
  <c r="AQ113" i="1"/>
  <c r="AG100" i="1"/>
  <c r="AJ30" i="18"/>
  <c r="AJ30" i="7"/>
  <c r="IG72" i="8"/>
  <c r="IG73" i="8" s="1"/>
  <c r="IG74" i="8" s="1"/>
  <c r="AL101" i="1"/>
  <c r="AN101" i="1" s="1"/>
  <c r="AK102" i="1" s="1"/>
  <c r="HO33" i="8" l="1"/>
  <c r="HV33" i="8"/>
  <c r="HP33" i="8"/>
  <c r="HQ33" i="8" s="1"/>
  <c r="HU33" i="8"/>
  <c r="J26" i="18"/>
  <c r="F26" i="18"/>
  <c r="K26" i="18" s="1"/>
  <c r="H27" i="18" s="1"/>
  <c r="IP35" i="8"/>
  <c r="IR35" i="8" s="1"/>
  <c r="AD27" i="18"/>
  <c r="AT114" i="1"/>
  <c r="AS114" i="1" s="1"/>
  <c r="AU114" i="1" s="1"/>
  <c r="AR115" i="1" s="1"/>
  <c r="AQ114" i="1"/>
  <c r="IH72" i="8"/>
  <c r="IH73" i="8"/>
  <c r="IG75" i="8"/>
  <c r="IG76" i="8" s="1"/>
  <c r="IH74" i="8"/>
  <c r="AJ102" i="1"/>
  <c r="AI101" i="1"/>
  <c r="HS33" i="8" l="1"/>
  <c r="HW33" i="8" s="1"/>
  <c r="D27" i="18"/>
  <c r="E27" i="18" s="1"/>
  <c r="I27" i="18"/>
  <c r="C27" i="18"/>
  <c r="B27" i="18"/>
  <c r="IQ35" i="8"/>
  <c r="IX35" i="8" s="1"/>
  <c r="IS36" i="8" s="1"/>
  <c r="IV35" i="8"/>
  <c r="IZ35" i="8" s="1"/>
  <c r="AG27" i="18"/>
  <c r="AF27" i="18" s="1"/>
  <c r="AC27" i="18" s="1"/>
  <c r="AT115" i="1"/>
  <c r="AS115" i="1" s="1"/>
  <c r="AU115" i="1" s="1"/>
  <c r="AR116" i="1" s="1"/>
  <c r="AQ115" i="1"/>
  <c r="AG101" i="1"/>
  <c r="AJ31" i="7"/>
  <c r="AJ31" i="18"/>
  <c r="IH75" i="8"/>
  <c r="IG77" i="8"/>
  <c r="IG78" i="8" s="1"/>
  <c r="IH76" i="8"/>
  <c r="AM102" i="1"/>
  <c r="AL102" i="1" s="1"/>
  <c r="AN102" i="1" s="1"/>
  <c r="AK103" i="1" s="1"/>
  <c r="HR33" i="8" l="1"/>
  <c r="HX33" i="8"/>
  <c r="IA33" i="8" s="1"/>
  <c r="G27" i="18"/>
  <c r="J27" i="18" s="1"/>
  <c r="IU36" i="8"/>
  <c r="IO36" i="8"/>
  <c r="IN36" i="8"/>
  <c r="AT116" i="1"/>
  <c r="AS116" i="1" s="1"/>
  <c r="AU116" i="1" s="1"/>
  <c r="AR117" i="1" s="1"/>
  <c r="AQ116" i="1"/>
  <c r="IH77" i="8"/>
  <c r="IG79" i="8"/>
  <c r="IG80" i="8" s="1"/>
  <c r="IH78" i="8"/>
  <c r="AJ103" i="1"/>
  <c r="AI102" i="1"/>
  <c r="HY33" i="8" l="1"/>
  <c r="HT34" i="8" s="1"/>
  <c r="F27" i="18"/>
  <c r="K27" i="18" s="1"/>
  <c r="H28" i="18" s="1"/>
  <c r="IP36" i="8"/>
  <c r="IR36" i="8" s="1"/>
  <c r="AT117" i="1"/>
  <c r="AS117" i="1" s="1"/>
  <c r="AU117" i="1" s="1"/>
  <c r="AR118" i="1" s="1"/>
  <c r="AQ117" i="1"/>
  <c r="AG102" i="1"/>
  <c r="AJ32" i="18"/>
  <c r="AJ32" i="7"/>
  <c r="IH79" i="8"/>
  <c r="IG81" i="8"/>
  <c r="IG82" i="8" s="1"/>
  <c r="IH80" i="8"/>
  <c r="AM103" i="1"/>
  <c r="AL103" i="1" s="1"/>
  <c r="AN103" i="1" s="1"/>
  <c r="AK104" i="1" s="1"/>
  <c r="AF101" i="1"/>
  <c r="AE101" i="1" s="1"/>
  <c r="HP34" i="8" l="1"/>
  <c r="HQ34" i="8" s="1"/>
  <c r="HV34" i="8"/>
  <c r="HO34" i="8"/>
  <c r="HU34" i="8"/>
  <c r="C28" i="18"/>
  <c r="B28" i="18"/>
  <c r="D28" i="18"/>
  <c r="E28" i="18" s="1"/>
  <c r="G28" i="18" s="1"/>
  <c r="I28" i="18"/>
  <c r="IQ36" i="8"/>
  <c r="IX36" i="8" s="1"/>
  <c r="IS37" i="8" s="1"/>
  <c r="IV36" i="8"/>
  <c r="IZ36" i="8" s="1"/>
  <c r="AT118" i="1"/>
  <c r="AS118" i="1" s="1"/>
  <c r="AU118" i="1" s="1"/>
  <c r="AR119" i="1" s="1"/>
  <c r="AQ118" i="1"/>
  <c r="IH81" i="8"/>
  <c r="IG83" i="8"/>
  <c r="IG84" i="8" s="1"/>
  <c r="IH82" i="8"/>
  <c r="AJ104" i="1"/>
  <c r="AI103" i="1"/>
  <c r="J28" i="18" l="1"/>
  <c r="F28" i="18"/>
  <c r="K28" i="18" s="1"/>
  <c r="H29" i="18" s="1"/>
  <c r="HS34" i="8"/>
  <c r="HR34" i="8" s="1"/>
  <c r="IU37" i="8"/>
  <c r="IO37" i="8"/>
  <c r="IN37" i="8"/>
  <c r="DO40" i="8"/>
  <c r="DN40" i="8" s="1"/>
  <c r="AT119" i="1"/>
  <c r="AS119" i="1" s="1"/>
  <c r="AU119" i="1" s="1"/>
  <c r="AR120" i="1" s="1"/>
  <c r="AQ119" i="1"/>
  <c r="AG103" i="1"/>
  <c r="AJ33" i="18"/>
  <c r="AJ33" i="7"/>
  <c r="IH83" i="8"/>
  <c r="IG85" i="8"/>
  <c r="IG86" i="8" s="1"/>
  <c r="IH84" i="8"/>
  <c r="AM104" i="1"/>
  <c r="AL104" i="1" s="1"/>
  <c r="AN104" i="1" s="1"/>
  <c r="AK105" i="1" s="1"/>
  <c r="B29" i="18" l="1"/>
  <c r="D29" i="18"/>
  <c r="E29" i="18" s="1"/>
  <c r="G29" i="18" s="1"/>
  <c r="I29" i="18"/>
  <c r="C29" i="18"/>
  <c r="HW34" i="8"/>
  <c r="IP37" i="8"/>
  <c r="IR37" i="8" s="1"/>
  <c r="AC96" i="1"/>
  <c r="AT120" i="1"/>
  <c r="AS120" i="1" s="1"/>
  <c r="AU120" i="1" s="1"/>
  <c r="AR121" i="1" s="1"/>
  <c r="AQ120" i="1"/>
  <c r="IH85" i="8"/>
  <c r="IG87" i="8"/>
  <c r="IG88" i="8" s="1"/>
  <c r="IH86" i="8"/>
  <c r="AJ105" i="1"/>
  <c r="AI104" i="1"/>
  <c r="HX34" i="8" l="1"/>
  <c r="IA34" i="8" s="1"/>
  <c r="IQ37" i="8"/>
  <c r="IX37" i="8" s="1"/>
  <c r="IS38" i="8" s="1"/>
  <c r="IV37" i="8"/>
  <c r="IZ37" i="8" s="1"/>
  <c r="FI39" i="8"/>
  <c r="FH39" i="8" s="1"/>
  <c r="F29" i="18"/>
  <c r="K29" i="18" s="1"/>
  <c r="H30" i="18" s="1"/>
  <c r="J29" i="18"/>
  <c r="AT121" i="1"/>
  <c r="AS121" i="1" s="1"/>
  <c r="AU121" i="1" s="1"/>
  <c r="AR122" i="1" s="1"/>
  <c r="AQ121" i="1"/>
  <c r="AG104" i="1"/>
  <c r="AJ34" i="7"/>
  <c r="AJ34" i="18"/>
  <c r="IH87" i="8"/>
  <c r="IG89" i="8"/>
  <c r="IG90" i="8" s="1"/>
  <c r="IH88" i="8"/>
  <c r="AM105" i="1"/>
  <c r="AL105" i="1" s="1"/>
  <c r="AN105" i="1" s="1"/>
  <c r="AK106" i="1" s="1"/>
  <c r="AD36" i="7"/>
  <c r="AC36" i="7" s="1"/>
  <c r="HY34" i="8" l="1"/>
  <c r="HU35" i="8" s="1"/>
  <c r="C30" i="18"/>
  <c r="I30" i="18"/>
  <c r="D30" i="18"/>
  <c r="E30" i="18" s="1"/>
  <c r="G30" i="18" s="1"/>
  <c r="B30" i="18"/>
  <c r="IO38" i="8"/>
  <c r="IN38" i="8"/>
  <c r="IU38" i="8"/>
  <c r="DO41" i="8"/>
  <c r="DN41" i="8" s="1"/>
  <c r="AT122" i="1"/>
  <c r="AS122" i="1" s="1"/>
  <c r="AU122" i="1" s="1"/>
  <c r="AR123" i="1" s="1"/>
  <c r="AQ122" i="1"/>
  <c r="IH89" i="8"/>
  <c r="IG91" i="8"/>
  <c r="IG92" i="8" s="1"/>
  <c r="IH90" i="8"/>
  <c r="AJ106" i="1"/>
  <c r="AI105" i="1"/>
  <c r="AM106" i="1"/>
  <c r="HO35" i="8" l="1"/>
  <c r="HT35" i="8"/>
  <c r="HP35" i="8"/>
  <c r="HQ35" i="8" s="1"/>
  <c r="HS35" i="8" s="1"/>
  <c r="HR35" i="8" s="1"/>
  <c r="HV35" i="8"/>
  <c r="J30" i="18"/>
  <c r="IP38" i="8"/>
  <c r="IR38" i="8" s="1"/>
  <c r="FF40" i="8"/>
  <c r="FE40" i="8" s="1"/>
  <c r="GX44" i="8"/>
  <c r="AT123" i="1"/>
  <c r="AS123" i="1" s="1"/>
  <c r="AU123" i="1" s="1"/>
  <c r="AR124" i="1" s="1"/>
  <c r="AQ123" i="1"/>
  <c r="AG105" i="1"/>
  <c r="AJ35" i="18"/>
  <c r="AJ35" i="7"/>
  <c r="IH91" i="8"/>
  <c r="IG93" i="8"/>
  <c r="IG94" i="8" s="1"/>
  <c r="IH92" i="8"/>
  <c r="AL106" i="1"/>
  <c r="AN106" i="1" s="1"/>
  <c r="AK107" i="1" s="1"/>
  <c r="F30" i="18"/>
  <c r="K30" i="18" s="1"/>
  <c r="H31" i="18" s="1"/>
  <c r="HW35" i="8" l="1"/>
  <c r="HX35" i="8" s="1"/>
  <c r="HY35" i="8" s="1"/>
  <c r="IQ38" i="8"/>
  <c r="IX38" i="8" s="1"/>
  <c r="IS39" i="8" s="1"/>
  <c r="IV38" i="8"/>
  <c r="IZ38" i="8" s="1"/>
  <c r="HA44" i="8"/>
  <c r="GZ44" i="8" s="1"/>
  <c r="GW44" i="8" s="1"/>
  <c r="AT124" i="1"/>
  <c r="AS124" i="1" s="1"/>
  <c r="AU124" i="1" s="1"/>
  <c r="AR125" i="1" s="1"/>
  <c r="AQ124" i="1"/>
  <c r="AD31" i="7"/>
  <c r="AC31" i="7" s="1"/>
  <c r="IH93" i="8"/>
  <c r="IG95" i="8"/>
  <c r="IG96" i="8" s="1"/>
  <c r="IH94" i="8"/>
  <c r="AJ107" i="1"/>
  <c r="AI106" i="1"/>
  <c r="AM107" i="1"/>
  <c r="D31" i="18"/>
  <c r="E31" i="18" s="1"/>
  <c r="C31" i="18"/>
  <c r="B31" i="18"/>
  <c r="I31" i="18"/>
  <c r="IA35" i="8" l="1"/>
  <c r="HP36" i="8"/>
  <c r="HQ36" i="8" s="1"/>
  <c r="HO36" i="8"/>
  <c r="HU36" i="8"/>
  <c r="HT36" i="8"/>
  <c r="HV36" i="8"/>
  <c r="IN39" i="8"/>
  <c r="IO39" i="8"/>
  <c r="IU39" i="8"/>
  <c r="AC98" i="1"/>
  <c r="AB98" i="1" s="1"/>
  <c r="AT125" i="1"/>
  <c r="AS125" i="1" s="1"/>
  <c r="AU125" i="1" s="1"/>
  <c r="AR126" i="1" s="1"/>
  <c r="AQ125" i="1"/>
  <c r="AG106" i="1"/>
  <c r="AJ36" i="18"/>
  <c r="AJ36" i="7"/>
  <c r="IH95" i="8"/>
  <c r="IH96" i="8"/>
  <c r="IG97" i="8"/>
  <c r="AL107" i="1"/>
  <c r="AN107" i="1" s="1"/>
  <c r="AK108" i="1" s="1"/>
  <c r="G31" i="18"/>
  <c r="J31" i="18" s="1"/>
  <c r="HS36" i="8" l="1"/>
  <c r="HR36" i="8" s="1"/>
  <c r="IP39" i="8"/>
  <c r="IR39" i="8" s="1"/>
  <c r="FF41" i="8"/>
  <c r="FE41" i="8" s="1"/>
  <c r="AT126" i="1"/>
  <c r="AS126" i="1" s="1"/>
  <c r="AU126" i="1" s="1"/>
  <c r="AR127" i="1" s="1"/>
  <c r="AQ126" i="1"/>
  <c r="IG98" i="8"/>
  <c r="IH97" i="8"/>
  <c r="AJ108" i="1"/>
  <c r="AI107" i="1"/>
  <c r="F31" i="18"/>
  <c r="K31" i="18" s="1"/>
  <c r="H32" i="18" s="1"/>
  <c r="HW36" i="8" l="1"/>
  <c r="IQ39" i="8"/>
  <c r="IX39" i="8" s="1"/>
  <c r="IS40" i="8" s="1"/>
  <c r="IV39" i="8"/>
  <c r="IZ39" i="8" s="1"/>
  <c r="AT127" i="1"/>
  <c r="AS127" i="1" s="1"/>
  <c r="AU127" i="1" s="1"/>
  <c r="AR128" i="1" s="1"/>
  <c r="AQ127" i="1"/>
  <c r="AG107" i="1"/>
  <c r="AJ37" i="18"/>
  <c r="AJ37" i="7"/>
  <c r="IG99" i="8"/>
  <c r="IG100" i="8" s="1"/>
  <c r="IH98" i="8"/>
  <c r="AM108" i="1"/>
  <c r="AL108" i="1" s="1"/>
  <c r="AN108" i="1" s="1"/>
  <c r="AK109" i="1" s="1"/>
  <c r="C32" i="18"/>
  <c r="I32" i="18"/>
  <c r="B32" i="18"/>
  <c r="D32" i="18"/>
  <c r="E32" i="18" s="1"/>
  <c r="HX36" i="8" l="1"/>
  <c r="IA36" i="8" s="1"/>
  <c r="IN40" i="8"/>
  <c r="IU40" i="8"/>
  <c r="IO40" i="8"/>
  <c r="DO44" i="8"/>
  <c r="AT128" i="1"/>
  <c r="AS128" i="1" s="1"/>
  <c r="AU128" i="1" s="1"/>
  <c r="AR129" i="1" s="1"/>
  <c r="AQ128" i="1"/>
  <c r="IH99" i="8"/>
  <c r="IG101" i="8"/>
  <c r="IG102" i="8" s="1"/>
  <c r="IH100" i="8"/>
  <c r="AJ109" i="1"/>
  <c r="AI108" i="1"/>
  <c r="G32" i="18"/>
  <c r="J32" i="18" s="1"/>
  <c r="HY36" i="8" l="1"/>
  <c r="IP40" i="8"/>
  <c r="IR40" i="8" s="1"/>
  <c r="DR44" i="8"/>
  <c r="DQ44" i="8" s="1"/>
  <c r="DN44" i="8" s="1"/>
  <c r="AT129" i="1"/>
  <c r="AS129" i="1" s="1"/>
  <c r="AU129" i="1" s="1"/>
  <c r="AR130" i="1" s="1"/>
  <c r="AQ129" i="1"/>
  <c r="AG108" i="1"/>
  <c r="AJ38" i="18"/>
  <c r="AJ38" i="7"/>
  <c r="IH101" i="8"/>
  <c r="IG103" i="8"/>
  <c r="IG104" i="8" s="1"/>
  <c r="IH102" i="8"/>
  <c r="AM109" i="1"/>
  <c r="AL109" i="1" s="1"/>
  <c r="AN109" i="1" s="1"/>
  <c r="AK110" i="1" s="1"/>
  <c r="F32" i="18"/>
  <c r="K32" i="18" s="1"/>
  <c r="H33" i="18" s="1"/>
  <c r="HO37" i="8" l="1"/>
  <c r="HV37" i="8"/>
  <c r="HU37" i="8"/>
  <c r="HT37" i="8"/>
  <c r="HP37" i="8"/>
  <c r="HQ37" i="8" s="1"/>
  <c r="HS37" i="8" s="1"/>
  <c r="IQ40" i="8"/>
  <c r="IX40" i="8" s="1"/>
  <c r="IS41" i="8" s="1"/>
  <c r="IV40" i="8"/>
  <c r="IZ40" i="8" s="1"/>
  <c r="AC100" i="1"/>
  <c r="AT130" i="1"/>
  <c r="AS130" i="1" s="1"/>
  <c r="AU130" i="1" s="1"/>
  <c r="AR131" i="1" s="1"/>
  <c r="AQ130" i="1"/>
  <c r="IH103" i="8"/>
  <c r="IG105" i="8"/>
  <c r="IG106" i="8" s="1"/>
  <c r="IH104" i="8"/>
  <c r="AJ110" i="1"/>
  <c r="AI109" i="1"/>
  <c r="AM110" i="1"/>
  <c r="B33" i="18"/>
  <c r="D33" i="18"/>
  <c r="AG33" i="18" s="1"/>
  <c r="AF33" i="18" s="1"/>
  <c r="AC33" i="18" s="1"/>
  <c r="I33" i="18"/>
  <c r="C33" i="18"/>
  <c r="HW37" i="8" l="1"/>
  <c r="HX37" i="8" s="1"/>
  <c r="IA37" i="8" s="1"/>
  <c r="HR37" i="8"/>
  <c r="IO41" i="8"/>
  <c r="IN41" i="8"/>
  <c r="IU41" i="8"/>
  <c r="E33" i="18"/>
  <c r="G33" i="18" s="1"/>
  <c r="J33" i="18" s="1"/>
  <c r="AT131" i="1"/>
  <c r="AS131" i="1" s="1"/>
  <c r="AU131" i="1" s="1"/>
  <c r="AR132" i="1" s="1"/>
  <c r="AQ131" i="1"/>
  <c r="AG109" i="1"/>
  <c r="AJ39" i="7"/>
  <c r="AJ39" i="18"/>
  <c r="IH105" i="8"/>
  <c r="IG107" i="8"/>
  <c r="IG108" i="8" s="1"/>
  <c r="IH106" i="8"/>
  <c r="AL110" i="1"/>
  <c r="AN110" i="1" s="1"/>
  <c r="AK111" i="1" s="1"/>
  <c r="HY37" i="8" l="1"/>
  <c r="IP41" i="8"/>
  <c r="IR41" i="8" s="1"/>
  <c r="AF100" i="1"/>
  <c r="AE100" i="1" s="1"/>
  <c r="AB100" i="1" s="1"/>
  <c r="AT132" i="1"/>
  <c r="AS132" i="1" s="1"/>
  <c r="AU132" i="1" s="1"/>
  <c r="AR133" i="1" s="1"/>
  <c r="AQ132" i="1"/>
  <c r="IH107" i="8"/>
  <c r="IG109" i="8"/>
  <c r="IG110" i="8" s="1"/>
  <c r="IH108" i="8"/>
  <c r="AJ111" i="1"/>
  <c r="AI110" i="1"/>
  <c r="AM111" i="1"/>
  <c r="F33" i="18"/>
  <c r="K33" i="18" s="1"/>
  <c r="H34" i="18" s="1"/>
  <c r="HV38" i="8" l="1"/>
  <c r="HT38" i="8"/>
  <c r="HP38" i="8"/>
  <c r="HQ38" i="8" s="1"/>
  <c r="HS38" i="8" s="1"/>
  <c r="HR38" i="8" s="1"/>
  <c r="HO38" i="8"/>
  <c r="HU38" i="8"/>
  <c r="IQ41" i="8"/>
  <c r="IX41" i="8" s="1"/>
  <c r="IS42" i="8" s="1"/>
  <c r="IV41" i="8"/>
  <c r="IZ41" i="8" s="1"/>
  <c r="AQ133" i="1"/>
  <c r="AT133" i="1"/>
  <c r="AS133" i="1" s="1"/>
  <c r="AU133" i="1" s="1"/>
  <c r="AR134" i="1" s="1"/>
  <c r="AG110" i="1"/>
  <c r="AJ40" i="18"/>
  <c r="AJ40" i="7"/>
  <c r="IH109" i="8"/>
  <c r="IH110" i="8"/>
  <c r="IG111" i="8"/>
  <c r="AL111" i="1"/>
  <c r="AN111" i="1" s="1"/>
  <c r="AK112" i="1" s="1"/>
  <c r="I34" i="18"/>
  <c r="D34" i="18"/>
  <c r="E34" i="18" s="1"/>
  <c r="C34" i="18"/>
  <c r="B34" i="18"/>
  <c r="HW38" i="8" l="1"/>
  <c r="HX38" i="8" s="1"/>
  <c r="HY38" i="8" s="1"/>
  <c r="IN42" i="8"/>
  <c r="IU42" i="8"/>
  <c r="IO42" i="8"/>
  <c r="FF44" i="8"/>
  <c r="AT134" i="1"/>
  <c r="AS134" i="1" s="1"/>
  <c r="AU134" i="1" s="1"/>
  <c r="AR135" i="1" s="1"/>
  <c r="AQ134" i="1"/>
  <c r="IG112" i="8"/>
  <c r="IH111" i="8"/>
  <c r="AI111" i="1"/>
  <c r="G34" i="18"/>
  <c r="J34" i="18" s="1"/>
  <c r="HT39" i="8" l="1"/>
  <c r="HU39" i="8"/>
  <c r="IP42" i="8"/>
  <c r="IR42" i="8" s="1"/>
  <c r="IA38" i="8"/>
  <c r="HV39" i="8"/>
  <c r="HO39" i="8"/>
  <c r="HP39" i="8"/>
  <c r="FI44" i="8"/>
  <c r="FH44" i="8" s="1"/>
  <c r="FE44" i="8" s="1"/>
  <c r="AT135" i="1"/>
  <c r="AS135" i="1" s="1"/>
  <c r="AU135" i="1" s="1"/>
  <c r="AR136" i="1" s="1"/>
  <c r="AQ135" i="1"/>
  <c r="AF102" i="1"/>
  <c r="AE102" i="1" s="1"/>
  <c r="AG111" i="1"/>
  <c r="AJ41" i="18"/>
  <c r="AJ41" i="7"/>
  <c r="IG113" i="8"/>
  <c r="IG114" i="8" s="1"/>
  <c r="IH112" i="8"/>
  <c r="AJ112" i="1"/>
  <c r="AM112" i="1"/>
  <c r="AL112" i="1" s="1"/>
  <c r="AN112" i="1" s="1"/>
  <c r="AK113" i="1" s="1"/>
  <c r="F34" i="18"/>
  <c r="K34" i="18" s="1"/>
  <c r="H35" i="18" s="1"/>
  <c r="IQ42" i="8" l="1"/>
  <c r="IX42" i="8" s="1"/>
  <c r="IS43" i="8" s="1"/>
  <c r="IV42" i="8"/>
  <c r="IZ42" i="8" s="1"/>
  <c r="HQ39" i="8"/>
  <c r="AQ136" i="1"/>
  <c r="AT136" i="1"/>
  <c r="AS136" i="1" s="1"/>
  <c r="AU136" i="1" s="1"/>
  <c r="IH113" i="8"/>
  <c r="IG115" i="8"/>
  <c r="IG116" i="8" s="1"/>
  <c r="IH114" i="8"/>
  <c r="AJ113" i="1"/>
  <c r="AI112" i="1"/>
  <c r="B35" i="18"/>
  <c r="D35" i="18"/>
  <c r="E35" i="18" s="1"/>
  <c r="C35" i="18"/>
  <c r="I35" i="18"/>
  <c r="HS39" i="8" l="1"/>
  <c r="HR39" i="8" s="1"/>
  <c r="IO43" i="8"/>
  <c r="IU43" i="8"/>
  <c r="IN43" i="8"/>
  <c r="AR137" i="1"/>
  <c r="AT137" i="1" s="1"/>
  <c r="AS137" i="1" s="1"/>
  <c r="AU137" i="1" s="1"/>
  <c r="AQ137" i="1"/>
  <c r="AG112" i="1"/>
  <c r="AJ42" i="18"/>
  <c r="AJ42" i="7"/>
  <c r="IH115" i="8"/>
  <c r="IG117" i="8"/>
  <c r="IH117" i="8" s="1"/>
  <c r="IH116" i="8"/>
  <c r="AM113" i="1"/>
  <c r="AL113" i="1" s="1"/>
  <c r="AN113" i="1" s="1"/>
  <c r="AK114" i="1" s="1"/>
  <c r="G35" i="18"/>
  <c r="J35" i="18" s="1"/>
  <c r="HW39" i="8" l="1"/>
  <c r="HX39" i="8" s="1"/>
  <c r="IP43" i="8"/>
  <c r="IR43" i="8" s="1"/>
  <c r="AR138" i="1"/>
  <c r="AT138" i="1" s="1"/>
  <c r="AS138" i="1" s="1"/>
  <c r="AU138" i="1" s="1"/>
  <c r="AQ138" i="1"/>
  <c r="AC102" i="1"/>
  <c r="AB102" i="1" s="1"/>
  <c r="IG118" i="8"/>
  <c r="IG119" i="8" s="1"/>
  <c r="AJ114" i="1"/>
  <c r="AI113" i="1"/>
  <c r="F35" i="18"/>
  <c r="K35" i="18" s="1"/>
  <c r="H36" i="18" s="1"/>
  <c r="IA39" i="8" l="1"/>
  <c r="HY39" i="8"/>
  <c r="IV43" i="8"/>
  <c r="IZ43" i="8" s="1"/>
  <c r="IQ43" i="8"/>
  <c r="IX43" i="8" s="1"/>
  <c r="IS44" i="8" s="1"/>
  <c r="AR139" i="1"/>
  <c r="AT139" i="1" s="1"/>
  <c r="AS139" i="1" s="1"/>
  <c r="AU139" i="1" s="1"/>
  <c r="AQ139" i="1"/>
  <c r="AG113" i="1"/>
  <c r="AJ43" i="18"/>
  <c r="AJ43" i="7"/>
  <c r="IH118" i="8"/>
  <c r="IG120" i="8"/>
  <c r="IH119" i="8"/>
  <c r="AM114" i="1"/>
  <c r="AL114" i="1" s="1"/>
  <c r="AN114" i="1" s="1"/>
  <c r="AK115" i="1" s="1"/>
  <c r="C36" i="18"/>
  <c r="B36" i="18"/>
  <c r="I36" i="18"/>
  <c r="D36" i="18"/>
  <c r="E36" i="18" s="1"/>
  <c r="HT40" i="8" l="1"/>
  <c r="HU40" i="8"/>
  <c r="HP40" i="8"/>
  <c r="HQ40" i="8" s="1"/>
  <c r="HS40" i="8" s="1"/>
  <c r="HV40" i="8"/>
  <c r="HO40" i="8"/>
  <c r="IN44" i="8"/>
  <c r="IU44" i="8"/>
  <c r="IO44" i="8"/>
  <c r="AR140" i="1"/>
  <c r="AT140" i="1" s="1"/>
  <c r="AS140" i="1" s="1"/>
  <c r="AU140" i="1" s="1"/>
  <c r="AR141" i="1" s="1"/>
  <c r="AQ140" i="1"/>
  <c r="IG121" i="8"/>
  <c r="IG122" i="8" s="1"/>
  <c r="IH120" i="8"/>
  <c r="AJ115" i="1"/>
  <c r="AI114" i="1"/>
  <c r="G36" i="18"/>
  <c r="J36" i="18" s="1"/>
  <c r="IP44" i="8" l="1"/>
  <c r="IR44" i="8" s="1"/>
  <c r="HR40" i="8"/>
  <c r="HW40" i="8"/>
  <c r="HX40" i="8" s="1"/>
  <c r="AQ141" i="1"/>
  <c r="AT141" i="1"/>
  <c r="AS141" i="1" s="1"/>
  <c r="AU141" i="1" s="1"/>
  <c r="AR142" i="1" s="1"/>
  <c r="AG114" i="1"/>
  <c r="AJ44" i="18"/>
  <c r="AJ44" i="7"/>
  <c r="IH121" i="8"/>
  <c r="IG123" i="8"/>
  <c r="IG124" i="8" s="1"/>
  <c r="IH122" i="8"/>
  <c r="AM115" i="1"/>
  <c r="AL115" i="1" s="1"/>
  <c r="AN115" i="1" s="1"/>
  <c r="AK116" i="1" s="1"/>
  <c r="F36" i="18"/>
  <c r="K36" i="18" s="1"/>
  <c r="H37" i="18" s="1"/>
  <c r="IQ44" i="8" l="1"/>
  <c r="IX44" i="8" s="1"/>
  <c r="IS45" i="8" s="1"/>
  <c r="IV44" i="8"/>
  <c r="IZ44" i="8" s="1"/>
  <c r="HY40" i="8"/>
  <c r="AQ142" i="1"/>
  <c r="AT142" i="1"/>
  <c r="AS142" i="1" s="1"/>
  <c r="AU142" i="1" s="1"/>
  <c r="AR143" i="1" s="1"/>
  <c r="AC103" i="1"/>
  <c r="AB103" i="1" s="1"/>
  <c r="IH123" i="8"/>
  <c r="IG125" i="8"/>
  <c r="IG126" i="8" s="1"/>
  <c r="IH124" i="8"/>
  <c r="AJ116" i="1"/>
  <c r="AI115" i="1"/>
  <c r="D37" i="18"/>
  <c r="E37" i="18" s="1"/>
  <c r="B37" i="18"/>
  <c r="I37" i="18"/>
  <c r="C37" i="18"/>
  <c r="HT41" i="8" l="1"/>
  <c r="HU41" i="8"/>
  <c r="AT143" i="1"/>
  <c r="AS143" i="1" s="1"/>
  <c r="AU143" i="1" s="1"/>
  <c r="AR144" i="1" s="1"/>
  <c r="IA40" i="8"/>
  <c r="IN45" i="8"/>
  <c r="IO45" i="8"/>
  <c r="IU45" i="8"/>
  <c r="HO41" i="8"/>
  <c r="HV41" i="8"/>
  <c r="HP41" i="8"/>
  <c r="AQ143" i="1"/>
  <c r="AG115" i="1"/>
  <c r="AJ45" i="18"/>
  <c r="AJ45" i="7"/>
  <c r="IH125" i="8"/>
  <c r="IG127" i="8"/>
  <c r="IG128" i="8" s="1"/>
  <c r="IH126" i="8"/>
  <c r="AM116" i="1"/>
  <c r="AL116" i="1" s="1"/>
  <c r="AN116" i="1" s="1"/>
  <c r="AK117" i="1" s="1"/>
  <c r="G37" i="18"/>
  <c r="J37" i="18" s="1"/>
  <c r="AT144" i="1" l="1"/>
  <c r="AS144" i="1" s="1"/>
  <c r="AU144" i="1" s="1"/>
  <c r="AR145" i="1" s="1"/>
  <c r="AQ144" i="1"/>
  <c r="IP45" i="8"/>
  <c r="IR45" i="8" s="1"/>
  <c r="HQ41" i="8"/>
  <c r="IH127" i="8"/>
  <c r="IG129" i="8"/>
  <c r="IG130" i="8" s="1"/>
  <c r="IH128" i="8"/>
  <c r="AJ117" i="1"/>
  <c r="AI116" i="1"/>
  <c r="F37" i="18"/>
  <c r="K37" i="18" s="1"/>
  <c r="H38" i="18" s="1"/>
  <c r="HS41" i="8" l="1"/>
  <c r="HR41" i="8" s="1"/>
  <c r="AT145" i="1"/>
  <c r="AS145" i="1" s="1"/>
  <c r="AU145" i="1" s="1"/>
  <c r="AR146" i="1" s="1"/>
  <c r="AQ145" i="1"/>
  <c r="IQ45" i="8"/>
  <c r="IX45" i="8" s="1"/>
  <c r="IS46" i="8" s="1"/>
  <c r="IV45" i="8"/>
  <c r="IZ45" i="8" s="1"/>
  <c r="AG116" i="1"/>
  <c r="AJ46" i="18"/>
  <c r="AJ46" i="7"/>
  <c r="IH129" i="8"/>
  <c r="IG131" i="8"/>
  <c r="IG132" i="8" s="1"/>
  <c r="IH130" i="8"/>
  <c r="AM117" i="1"/>
  <c r="AL117" i="1" s="1"/>
  <c r="AN117" i="1" s="1"/>
  <c r="AK118" i="1" s="1"/>
  <c r="I38" i="18"/>
  <c r="D38" i="18"/>
  <c r="E38" i="18" s="1"/>
  <c r="C38" i="18"/>
  <c r="B38" i="18"/>
  <c r="HW41" i="8" l="1"/>
  <c r="HX41" i="8" s="1"/>
  <c r="HY41" i="8" s="1"/>
  <c r="AT146" i="1"/>
  <c r="AS146" i="1" s="1"/>
  <c r="AU146" i="1" s="1"/>
  <c r="AR147" i="1" s="1"/>
  <c r="AQ146" i="1"/>
  <c r="IN46" i="8"/>
  <c r="IO46" i="8"/>
  <c r="IU46" i="8"/>
  <c r="GX52" i="8"/>
  <c r="IH131" i="8"/>
  <c r="IG133" i="8"/>
  <c r="IG134" i="8" s="1"/>
  <c r="IH132" i="8"/>
  <c r="AJ118" i="1"/>
  <c r="AI117" i="1"/>
  <c r="G38" i="18"/>
  <c r="J38" i="18" s="1"/>
  <c r="HT42" i="8" l="1"/>
  <c r="HU42" i="8"/>
  <c r="AT147" i="1"/>
  <c r="AS147" i="1" s="1"/>
  <c r="AU147" i="1" s="1"/>
  <c r="AR148" i="1" s="1"/>
  <c r="AQ147" i="1"/>
  <c r="IA41" i="8"/>
  <c r="IP46" i="8"/>
  <c r="IR46" i="8" s="1"/>
  <c r="HP42" i="8"/>
  <c r="HV42" i="8"/>
  <c r="HO42" i="8"/>
  <c r="HA52" i="8"/>
  <c r="GZ52" i="8" s="1"/>
  <c r="GW52" i="8" s="1"/>
  <c r="AG117" i="1"/>
  <c r="AJ47" i="7"/>
  <c r="AJ47" i="18"/>
  <c r="IH133" i="8"/>
  <c r="IG135" i="8"/>
  <c r="IG136" i="8" s="1"/>
  <c r="IH134" i="8"/>
  <c r="AM118" i="1"/>
  <c r="AL118" i="1" s="1"/>
  <c r="AN118" i="1" s="1"/>
  <c r="AK119" i="1" s="1"/>
  <c r="F38" i="18"/>
  <c r="K38" i="18" s="1"/>
  <c r="H39" i="18" s="1"/>
  <c r="AQ148" i="1" l="1"/>
  <c r="AT148" i="1"/>
  <c r="AS148" i="1" s="1"/>
  <c r="AU148" i="1" s="1"/>
  <c r="AR149" i="1" s="1"/>
  <c r="IQ46" i="8"/>
  <c r="IX46" i="8" s="1"/>
  <c r="IS47" i="8" s="1"/>
  <c r="IV46" i="8"/>
  <c r="IZ46" i="8" s="1"/>
  <c r="HQ42" i="8"/>
  <c r="AF104" i="1"/>
  <c r="AE104" i="1" s="1"/>
  <c r="IH135" i="8"/>
  <c r="IG137" i="8"/>
  <c r="IG138" i="8" s="1"/>
  <c r="IH136" i="8"/>
  <c r="AJ119" i="1"/>
  <c r="AI118" i="1"/>
  <c r="D39" i="18"/>
  <c r="E39" i="18" s="1"/>
  <c r="B39" i="18"/>
  <c r="C39" i="18"/>
  <c r="I39" i="18"/>
  <c r="AD49" i="7"/>
  <c r="AE39" i="20" l="1"/>
  <c r="AD39" i="20" s="1"/>
  <c r="AC39" i="20" s="1"/>
  <c r="AT149" i="1"/>
  <c r="AS149" i="1" s="1"/>
  <c r="AU149" i="1" s="1"/>
  <c r="AR150" i="1" s="1"/>
  <c r="AT150" i="1" s="1"/>
  <c r="AS150" i="1" s="1"/>
  <c r="AU150" i="1" s="1"/>
  <c r="AR151" i="1" s="1"/>
  <c r="AQ149" i="1"/>
  <c r="HS42" i="8"/>
  <c r="HR42" i="8" s="1"/>
  <c r="IU47" i="8"/>
  <c r="IN47" i="8"/>
  <c r="IO47" i="8"/>
  <c r="IP47" i="8" s="1"/>
  <c r="G39" i="18"/>
  <c r="J39" i="18" s="1"/>
  <c r="AG118" i="1"/>
  <c r="AJ48" i="18"/>
  <c r="AJ48" i="7"/>
  <c r="IH137" i="8"/>
  <c r="IG139" i="8"/>
  <c r="IG140" i="8" s="1"/>
  <c r="IH138" i="8"/>
  <c r="AM119" i="1"/>
  <c r="AL119" i="1" s="1"/>
  <c r="AN119" i="1" s="1"/>
  <c r="AK120" i="1" s="1"/>
  <c r="AQ150" i="1" l="1"/>
  <c r="AQ151" i="1" s="1"/>
  <c r="F39" i="18"/>
  <c r="K39" i="18" s="1"/>
  <c r="H40" i="18" s="1"/>
  <c r="HW42" i="8"/>
  <c r="IR47" i="8"/>
  <c r="AT151" i="1"/>
  <c r="AS151" i="1" s="1"/>
  <c r="AU151" i="1" s="1"/>
  <c r="AR152" i="1" s="1"/>
  <c r="IH139" i="8"/>
  <c r="IG141" i="8"/>
  <c r="IG142" i="8" s="1"/>
  <c r="IH140" i="8"/>
  <c r="AJ120" i="1"/>
  <c r="AI119" i="1"/>
  <c r="HX42" i="8" l="1"/>
  <c r="IA42" i="8" s="1"/>
  <c r="C40" i="18"/>
  <c r="I40" i="18"/>
  <c r="B40" i="18"/>
  <c r="D40" i="18"/>
  <c r="E40" i="18" s="1"/>
  <c r="G40" i="18" s="1"/>
  <c r="IV47" i="8"/>
  <c r="IZ47" i="8" s="1"/>
  <c r="IQ47" i="8"/>
  <c r="IX47" i="8" s="1"/>
  <c r="IS48" i="8" s="1"/>
  <c r="AT152" i="1"/>
  <c r="AS152" i="1" s="1"/>
  <c r="AU152" i="1" s="1"/>
  <c r="AR153" i="1" s="1"/>
  <c r="AQ152" i="1"/>
  <c r="AG119" i="1"/>
  <c r="AJ49" i="18"/>
  <c r="AJ49" i="7"/>
  <c r="IH141" i="8"/>
  <c r="IG143" i="8"/>
  <c r="IG144" i="8" s="1"/>
  <c r="IH142" i="8"/>
  <c r="AM120" i="1"/>
  <c r="AL120" i="1" s="1"/>
  <c r="AN120" i="1" s="1"/>
  <c r="AK121" i="1" s="1"/>
  <c r="HY42" i="8" l="1"/>
  <c r="HT43" i="8" s="1"/>
  <c r="J40" i="18"/>
  <c r="IU48" i="8"/>
  <c r="IN48" i="8"/>
  <c r="IO48" i="8"/>
  <c r="AT153" i="1"/>
  <c r="AS153" i="1" s="1"/>
  <c r="AU153" i="1" s="1"/>
  <c r="AR154" i="1" s="1"/>
  <c r="AQ153" i="1"/>
  <c r="IH143" i="8"/>
  <c r="IG145" i="8"/>
  <c r="IG146" i="8" s="1"/>
  <c r="IH144" i="8"/>
  <c r="AJ121" i="1"/>
  <c r="AI120" i="1"/>
  <c r="F40" i="18"/>
  <c r="K40" i="18" s="1"/>
  <c r="H41" i="18" s="1"/>
  <c r="HV43" i="8" l="1"/>
  <c r="HU43" i="8"/>
  <c r="HP43" i="8"/>
  <c r="HQ43" i="8" s="1"/>
  <c r="HS43" i="8" s="1"/>
  <c r="HR43" i="8" s="1"/>
  <c r="HO43" i="8"/>
  <c r="IP48" i="8"/>
  <c r="IR48" i="8" s="1"/>
  <c r="DO52" i="8"/>
  <c r="AT154" i="1"/>
  <c r="AS154" i="1" s="1"/>
  <c r="AU154" i="1" s="1"/>
  <c r="AR155" i="1" s="1"/>
  <c r="AQ154" i="1"/>
  <c r="AG120" i="1"/>
  <c r="AJ50" i="7"/>
  <c r="AJ50" i="18"/>
  <c r="DR52" i="8"/>
  <c r="DQ52" i="8" s="1"/>
  <c r="IH145" i="8"/>
  <c r="IG147" i="8"/>
  <c r="IG148" i="8" s="1"/>
  <c r="IH146" i="8"/>
  <c r="AM121" i="1"/>
  <c r="AL121" i="1" s="1"/>
  <c r="AN121" i="1" s="1"/>
  <c r="AK122" i="1" s="1"/>
  <c r="D41" i="18"/>
  <c r="AG41" i="18" s="1"/>
  <c r="AF41" i="18" s="1"/>
  <c r="AC41" i="18" s="1"/>
  <c r="C41" i="18"/>
  <c r="B41" i="18"/>
  <c r="I41" i="18"/>
  <c r="HW43" i="8" l="1"/>
  <c r="HX43" i="8" s="1"/>
  <c r="HY43" i="8" s="1"/>
  <c r="IQ48" i="8"/>
  <c r="IX48" i="8" s="1"/>
  <c r="IS49" i="8" s="1"/>
  <c r="IV48" i="8"/>
  <c r="IZ48" i="8" s="1"/>
  <c r="E41" i="18"/>
  <c r="G41" i="18" s="1"/>
  <c r="J41" i="18" s="1"/>
  <c r="DN52" i="8"/>
  <c r="AT155" i="1"/>
  <c r="AS155" i="1" s="1"/>
  <c r="AU155" i="1" s="1"/>
  <c r="AR156" i="1" s="1"/>
  <c r="AQ155" i="1"/>
  <c r="IH147" i="8"/>
  <c r="IG149" i="8"/>
  <c r="IG150" i="8" s="1"/>
  <c r="IH148" i="8"/>
  <c r="AJ122" i="1"/>
  <c r="AI121" i="1"/>
  <c r="IA43" i="8" l="1"/>
  <c r="HP44" i="8"/>
  <c r="HQ44" i="8" s="1"/>
  <c r="HT44" i="8"/>
  <c r="HV44" i="8"/>
  <c r="HU44" i="8"/>
  <c r="HO44" i="8"/>
  <c r="IN49" i="8"/>
  <c r="IU49" i="8"/>
  <c r="IO49" i="8"/>
  <c r="AT156" i="1"/>
  <c r="AS156" i="1" s="1"/>
  <c r="AU156" i="1" s="1"/>
  <c r="AR157" i="1" s="1"/>
  <c r="AQ156" i="1"/>
  <c r="AG121" i="1"/>
  <c r="AJ51" i="18"/>
  <c r="AJ51" i="7"/>
  <c r="IH149" i="8"/>
  <c r="IG151" i="8"/>
  <c r="IG152" i="8" s="1"/>
  <c r="IH150" i="8"/>
  <c r="AM122" i="1"/>
  <c r="AL122" i="1" s="1"/>
  <c r="AN122" i="1" s="1"/>
  <c r="AK123" i="1" s="1"/>
  <c r="F41" i="18"/>
  <c r="K41" i="18" s="1"/>
  <c r="H42" i="18" s="1"/>
  <c r="HS44" i="8" l="1"/>
  <c r="HR44" i="8" s="1"/>
  <c r="IP49" i="8"/>
  <c r="IR49" i="8" s="1"/>
  <c r="AT157" i="1"/>
  <c r="AS157" i="1" s="1"/>
  <c r="AU157" i="1" s="1"/>
  <c r="AR158" i="1" s="1"/>
  <c r="AQ157" i="1"/>
  <c r="IH151" i="8"/>
  <c r="IG153" i="8"/>
  <c r="IH153" i="8" s="1"/>
  <c r="IH152" i="8"/>
  <c r="AJ123" i="1"/>
  <c r="AI122" i="1"/>
  <c r="AM123" i="1"/>
  <c r="B42" i="18"/>
  <c r="I42" i="18"/>
  <c r="D42" i="18"/>
  <c r="E42" i="18" s="1"/>
  <c r="C42" i="18"/>
  <c r="HW44" i="8" l="1"/>
  <c r="IQ49" i="8"/>
  <c r="IX49" i="8" s="1"/>
  <c r="IS50" i="8" s="1"/>
  <c r="IV49" i="8"/>
  <c r="IZ49" i="8" s="1"/>
  <c r="AT158" i="1"/>
  <c r="AS158" i="1" s="1"/>
  <c r="AU158" i="1" s="1"/>
  <c r="AR159" i="1" s="1"/>
  <c r="AQ158" i="1"/>
  <c r="AG122" i="1"/>
  <c r="AJ52" i="18"/>
  <c r="AJ52" i="7"/>
  <c r="IG154" i="8"/>
  <c r="IG155" i="8" s="1"/>
  <c r="IG156" i="8" s="1"/>
  <c r="AL123" i="1"/>
  <c r="AN123" i="1" s="1"/>
  <c r="AK124" i="1" s="1"/>
  <c r="G42" i="18"/>
  <c r="J42" i="18" s="1"/>
  <c r="HX44" i="8" l="1"/>
  <c r="IA44" i="8" s="1"/>
  <c r="IN50" i="8"/>
  <c r="IU50" i="8"/>
  <c r="IO50" i="8"/>
  <c r="FF52" i="8"/>
  <c r="AT159" i="1"/>
  <c r="AS159" i="1" s="1"/>
  <c r="AU159" i="1" s="1"/>
  <c r="AR160" i="1" s="1"/>
  <c r="AQ159" i="1"/>
  <c r="IH154" i="8"/>
  <c r="IH155" i="8"/>
  <c r="IG157" i="8"/>
  <c r="IG158" i="8" s="1"/>
  <c r="IH156" i="8"/>
  <c r="AI123" i="1"/>
  <c r="F42" i="18"/>
  <c r="K42" i="18" s="1"/>
  <c r="H43" i="18" s="1"/>
  <c r="AG53" i="7"/>
  <c r="AF53" i="7" s="1"/>
  <c r="AC53" i="7" s="1"/>
  <c r="HY44" i="8" l="1"/>
  <c r="HT45" i="8" s="1"/>
  <c r="IP50" i="8"/>
  <c r="IR50" i="8" s="1"/>
  <c r="FI52" i="8"/>
  <c r="FH52" i="8" s="1"/>
  <c r="FE52" i="8" s="1"/>
  <c r="AF113" i="1"/>
  <c r="AE113" i="1" s="1"/>
  <c r="AT160" i="1"/>
  <c r="AS160" i="1" s="1"/>
  <c r="AU160" i="1" s="1"/>
  <c r="AR161" i="1" s="1"/>
  <c r="AQ160" i="1"/>
  <c r="AG123" i="1"/>
  <c r="AJ53" i="18"/>
  <c r="AJ53" i="7"/>
  <c r="IH157" i="8"/>
  <c r="IG159" i="8"/>
  <c r="IG160" i="8" s="1"/>
  <c r="IH158" i="8"/>
  <c r="AJ124" i="1"/>
  <c r="AM124" i="1"/>
  <c r="AL124" i="1" s="1"/>
  <c r="AN124" i="1" s="1"/>
  <c r="AK125" i="1" s="1"/>
  <c r="I43" i="18"/>
  <c r="D43" i="18"/>
  <c r="C43" i="18"/>
  <c r="B43" i="18"/>
  <c r="HP45" i="8" l="1"/>
  <c r="HQ45" i="8" s="1"/>
  <c r="HS45" i="8" s="1"/>
  <c r="HR45" i="8" s="1"/>
  <c r="HV45" i="8"/>
  <c r="HU45" i="8"/>
  <c r="HO45" i="8"/>
  <c r="IQ50" i="8"/>
  <c r="IX50" i="8" s="1"/>
  <c r="IS51" i="8" s="1"/>
  <c r="IV50" i="8"/>
  <c r="IZ50" i="8" s="1"/>
  <c r="E43" i="18"/>
  <c r="G43" i="18" s="1"/>
  <c r="AT161" i="1"/>
  <c r="AS161" i="1" s="1"/>
  <c r="AU161" i="1" s="1"/>
  <c r="AR162" i="1" s="1"/>
  <c r="AQ161" i="1"/>
  <c r="IH159" i="8"/>
  <c r="IG161" i="8"/>
  <c r="IH161" i="8" s="1"/>
  <c r="IH160" i="8"/>
  <c r="AJ125" i="1"/>
  <c r="AI124" i="1"/>
  <c r="AM125" i="1"/>
  <c r="HW45" i="8" l="1"/>
  <c r="HX45" i="8" s="1"/>
  <c r="HY45" i="8" s="1"/>
  <c r="IN51" i="8"/>
  <c r="IO51" i="8"/>
  <c r="IU51" i="8"/>
  <c r="F43" i="18"/>
  <c r="K43" i="18" s="1"/>
  <c r="H44" i="18" s="1"/>
  <c r="J43" i="18"/>
  <c r="AT162" i="1"/>
  <c r="AS162" i="1" s="1"/>
  <c r="AU162" i="1" s="1"/>
  <c r="AR163" i="1" s="1"/>
  <c r="AQ162" i="1"/>
  <c r="AG124" i="1"/>
  <c r="AJ54" i="18"/>
  <c r="AJ54" i="7"/>
  <c r="IG162" i="8"/>
  <c r="IG163" i="8" s="1"/>
  <c r="AL125" i="1"/>
  <c r="AN125" i="1" s="1"/>
  <c r="AK126" i="1" s="1"/>
  <c r="HT46" i="8" l="1"/>
  <c r="HU46" i="8"/>
  <c r="B44" i="18"/>
  <c r="D44" i="18"/>
  <c r="E44" i="18" s="1"/>
  <c r="G44" i="18" s="1"/>
  <c r="C44" i="18"/>
  <c r="HO46" i="8"/>
  <c r="HP46" i="8"/>
  <c r="HQ46" i="8" s="1"/>
  <c r="HS46" i="8" s="1"/>
  <c r="HV46" i="8"/>
  <c r="IA45" i="8"/>
  <c r="IP51" i="8"/>
  <c r="IR51" i="8" s="1"/>
  <c r="I44" i="18"/>
  <c r="AT163" i="1"/>
  <c r="AS163" i="1" s="1"/>
  <c r="AU163" i="1" s="1"/>
  <c r="AR164" i="1" s="1"/>
  <c r="AQ163" i="1"/>
  <c r="IH162" i="8"/>
  <c r="IG164" i="8"/>
  <c r="IH163" i="8"/>
  <c r="AJ126" i="1"/>
  <c r="AI125" i="1"/>
  <c r="HW46" i="8" l="1"/>
  <c r="HX46" i="8" s="1"/>
  <c r="HR46" i="8"/>
  <c r="IQ51" i="8"/>
  <c r="IX51" i="8" s="1"/>
  <c r="IS52" i="8" s="1"/>
  <c r="IV51" i="8"/>
  <c r="IZ51" i="8" s="1"/>
  <c r="F44" i="18"/>
  <c r="K44" i="18" s="1"/>
  <c r="H45" i="18" s="1"/>
  <c r="J44" i="18"/>
  <c r="AF114" i="1"/>
  <c r="AE114" i="1" s="1"/>
  <c r="AB114" i="1" s="1"/>
  <c r="AT164" i="1"/>
  <c r="AS164" i="1" s="1"/>
  <c r="AU164" i="1" s="1"/>
  <c r="AR165" i="1" s="1"/>
  <c r="AQ164" i="1"/>
  <c r="AG125" i="1"/>
  <c r="AJ55" i="7"/>
  <c r="AJ55" i="18"/>
  <c r="IG165" i="8"/>
  <c r="IG166" i="8" s="1"/>
  <c r="IH164" i="8"/>
  <c r="AM126" i="1"/>
  <c r="AL126" i="1" s="1"/>
  <c r="AN126" i="1" s="1"/>
  <c r="AK127" i="1" s="1"/>
  <c r="D45" i="18" l="1"/>
  <c r="E45" i="18" s="1"/>
  <c r="G45" i="18" s="1"/>
  <c r="IA46" i="8"/>
  <c r="I45" i="18"/>
  <c r="C45" i="18"/>
  <c r="B45" i="18"/>
  <c r="HY46" i="8"/>
  <c r="IO52" i="8"/>
  <c r="IN52" i="8"/>
  <c r="IU52" i="8"/>
  <c r="AT165" i="1"/>
  <c r="AS165" i="1" s="1"/>
  <c r="AU165" i="1" s="1"/>
  <c r="AR166" i="1" s="1"/>
  <c r="AQ165" i="1"/>
  <c r="AF115" i="1"/>
  <c r="AE115" i="1" s="1"/>
  <c r="AB115" i="1" s="1"/>
  <c r="IH165" i="8"/>
  <c r="IG167" i="8"/>
  <c r="IG168" i="8" s="1"/>
  <c r="IH166" i="8"/>
  <c r="AJ127" i="1"/>
  <c r="AI126" i="1"/>
  <c r="HT47" i="8" l="1"/>
  <c r="HU47" i="8"/>
  <c r="J45" i="18"/>
  <c r="HV47" i="8"/>
  <c r="HO47" i="8"/>
  <c r="HP47" i="8"/>
  <c r="HQ47" i="8" s="1"/>
  <c r="HS47" i="8" s="1"/>
  <c r="IP52" i="8"/>
  <c r="IR52" i="8" s="1"/>
  <c r="AT166" i="1"/>
  <c r="AS166" i="1" s="1"/>
  <c r="AU166" i="1" s="1"/>
  <c r="AR167" i="1" s="1"/>
  <c r="AQ166" i="1"/>
  <c r="AG126" i="1"/>
  <c r="AJ56" i="18"/>
  <c r="AJ56" i="7"/>
  <c r="IH167" i="8"/>
  <c r="IG169" i="8"/>
  <c r="IG170" i="8" s="1"/>
  <c r="IH168" i="8"/>
  <c r="AM127" i="1"/>
  <c r="AL127" i="1" s="1"/>
  <c r="AN127" i="1" s="1"/>
  <c r="AK128" i="1" s="1"/>
  <c r="F45" i="18"/>
  <c r="K45" i="18" s="1"/>
  <c r="H46" i="18" s="1"/>
  <c r="HW47" i="8" l="1"/>
  <c r="HX47" i="8" s="1"/>
  <c r="HR47" i="8"/>
  <c r="IV52" i="8"/>
  <c r="IZ52" i="8" s="1"/>
  <c r="IQ52" i="8"/>
  <c r="IX52" i="8" s="1"/>
  <c r="IS53" i="8" s="1"/>
  <c r="AC113" i="1"/>
  <c r="AB113" i="1" s="1"/>
  <c r="AT167" i="1"/>
  <c r="AS167" i="1" s="1"/>
  <c r="AU167" i="1" s="1"/>
  <c r="AR168" i="1" s="1"/>
  <c r="AQ167" i="1"/>
  <c r="IH169" i="8"/>
  <c r="IG171" i="8"/>
  <c r="IG172" i="8" s="1"/>
  <c r="IH170" i="8"/>
  <c r="B46" i="18"/>
  <c r="AJ128" i="1"/>
  <c r="AI127" i="1"/>
  <c r="C46" i="18"/>
  <c r="I46" i="18"/>
  <c r="D46" i="18"/>
  <c r="HY47" i="8" l="1"/>
  <c r="IU53" i="8"/>
  <c r="IO53" i="8"/>
  <c r="IN53" i="8"/>
  <c r="IA47" i="8"/>
  <c r="E46" i="18"/>
  <c r="G46" i="18" s="1"/>
  <c r="AT168" i="1"/>
  <c r="AS168" i="1" s="1"/>
  <c r="AU168" i="1" s="1"/>
  <c r="AR169" i="1" s="1"/>
  <c r="AQ168" i="1"/>
  <c r="AG127" i="1"/>
  <c r="AJ57" i="18"/>
  <c r="AJ57" i="7"/>
  <c r="IH171" i="8"/>
  <c r="IG173" i="8"/>
  <c r="IG174" i="8" s="1"/>
  <c r="IH172" i="8"/>
  <c r="AM128" i="1"/>
  <c r="AL128" i="1" s="1"/>
  <c r="AN128" i="1" s="1"/>
  <c r="AK129" i="1" s="1"/>
  <c r="HT48" i="8" l="1"/>
  <c r="HU48" i="8"/>
  <c r="HP48" i="8"/>
  <c r="HQ48" i="8" s="1"/>
  <c r="HO48" i="8"/>
  <c r="HV48" i="8"/>
  <c r="IP53" i="8"/>
  <c r="IR53" i="8" s="1"/>
  <c r="J46" i="18"/>
  <c r="F46" i="18"/>
  <c r="K46" i="18" s="1"/>
  <c r="H47" i="18" s="1"/>
  <c r="AT169" i="1"/>
  <c r="AS169" i="1" s="1"/>
  <c r="AU169" i="1" s="1"/>
  <c r="AR170" i="1" s="1"/>
  <c r="AQ169" i="1"/>
  <c r="IH173" i="8"/>
  <c r="IG175" i="8"/>
  <c r="IG176" i="8" s="1"/>
  <c r="IH174" i="8"/>
  <c r="AJ129" i="1"/>
  <c r="AI128" i="1"/>
  <c r="B47" i="18" l="1"/>
  <c r="HS48" i="8"/>
  <c r="HW48" i="8" s="1"/>
  <c r="HX48" i="8" s="1"/>
  <c r="IQ53" i="8"/>
  <c r="IX53" i="8" s="1"/>
  <c r="IS54" i="8" s="1"/>
  <c r="IV53" i="8"/>
  <c r="IZ53" i="8" s="1"/>
  <c r="D47" i="18"/>
  <c r="E47" i="18" s="1"/>
  <c r="G47" i="18" s="1"/>
  <c r="I47" i="18"/>
  <c r="C47" i="18"/>
  <c r="AT170" i="1"/>
  <c r="AS170" i="1" s="1"/>
  <c r="AU170" i="1" s="1"/>
  <c r="AR171" i="1" s="1"/>
  <c r="AQ170" i="1"/>
  <c r="AG128" i="1"/>
  <c r="AJ58" i="18"/>
  <c r="AJ58" i="7"/>
  <c r="IH175" i="8"/>
  <c r="IG177" i="8"/>
  <c r="IG178" i="8" s="1"/>
  <c r="IH176" i="8"/>
  <c r="AM129" i="1"/>
  <c r="AL129" i="1" s="1"/>
  <c r="AN129" i="1" s="1"/>
  <c r="AK130" i="1" s="1"/>
  <c r="HR48" i="8" l="1"/>
  <c r="J47" i="18"/>
  <c r="IO54" i="8"/>
  <c r="IU54" i="8"/>
  <c r="IN54" i="8"/>
  <c r="AT171" i="1"/>
  <c r="AS171" i="1" s="1"/>
  <c r="AU171" i="1" s="1"/>
  <c r="AR172" i="1" s="1"/>
  <c r="AQ171" i="1"/>
  <c r="IH177" i="8"/>
  <c r="IH178" i="8"/>
  <c r="IG179" i="8"/>
  <c r="AJ130" i="1"/>
  <c r="AI129" i="1"/>
  <c r="AM130" i="1"/>
  <c r="F47" i="18"/>
  <c r="K47" i="18" s="1"/>
  <c r="H48" i="18" s="1"/>
  <c r="HY48" i="8" l="1"/>
  <c r="IA48" i="8"/>
  <c r="IP54" i="8"/>
  <c r="IR54" i="8" s="1"/>
  <c r="AT172" i="1"/>
  <c r="AS172" i="1" s="1"/>
  <c r="AU172" i="1" s="1"/>
  <c r="AR173" i="1" s="1"/>
  <c r="AQ172" i="1"/>
  <c r="AG129" i="1"/>
  <c r="AJ59" i="18"/>
  <c r="AJ59" i="7"/>
  <c r="IG180" i="8"/>
  <c r="IH179" i="8"/>
  <c r="AL130" i="1"/>
  <c r="AN130" i="1" s="1"/>
  <c r="AK131" i="1" s="1"/>
  <c r="D48" i="18"/>
  <c r="E48" i="18" s="1"/>
  <c r="C48" i="18"/>
  <c r="I48" i="18"/>
  <c r="B48" i="18"/>
  <c r="HT49" i="8" l="1"/>
  <c r="HU49" i="8"/>
  <c r="HP49" i="8"/>
  <c r="HQ49" i="8" s="1"/>
  <c r="HS49" i="8" s="1"/>
  <c r="HR49" i="8" s="1"/>
  <c r="HO49" i="8"/>
  <c r="HV49" i="8"/>
  <c r="IQ54" i="8"/>
  <c r="IX54" i="8" s="1"/>
  <c r="IS55" i="8" s="1"/>
  <c r="IV54" i="8"/>
  <c r="IZ54" i="8" s="1"/>
  <c r="AT173" i="1"/>
  <c r="AS173" i="1" s="1"/>
  <c r="AU173" i="1" s="1"/>
  <c r="AR174" i="1" s="1"/>
  <c r="AQ173" i="1"/>
  <c r="IG181" i="8"/>
  <c r="IH181" i="8" s="1"/>
  <c r="IH180" i="8"/>
  <c r="AJ131" i="1"/>
  <c r="AI130" i="1"/>
  <c r="G48" i="18"/>
  <c r="J48" i="18" s="1"/>
  <c r="HW49" i="8" l="1"/>
  <c r="IN55" i="8"/>
  <c r="IO55" i="8"/>
  <c r="IU55" i="8"/>
  <c r="AT174" i="1"/>
  <c r="AS174" i="1" s="1"/>
  <c r="AU174" i="1" s="1"/>
  <c r="AR175" i="1" s="1"/>
  <c r="AQ174" i="1"/>
  <c r="AG130" i="1"/>
  <c r="AJ60" i="18"/>
  <c r="AJ60" i="7"/>
  <c r="IG182" i="8"/>
  <c r="IG183" i="8" s="1"/>
  <c r="IG184" i="8" s="1"/>
  <c r="AM131" i="1"/>
  <c r="AL131" i="1" s="1"/>
  <c r="AN131" i="1" s="1"/>
  <c r="AK132" i="1" s="1"/>
  <c r="F48" i="18"/>
  <c r="K48" i="18" s="1"/>
  <c r="H49" i="18" s="1"/>
  <c r="AF123" i="1"/>
  <c r="AE123" i="1" s="1"/>
  <c r="AB123" i="1" s="1"/>
  <c r="HX49" i="8" l="1"/>
  <c r="IA49" i="8" s="1"/>
  <c r="IP55" i="8"/>
  <c r="IR55" i="8" s="1"/>
  <c r="AT175" i="1"/>
  <c r="AS175" i="1" s="1"/>
  <c r="AU175" i="1" s="1"/>
  <c r="AR176" i="1" s="1"/>
  <c r="AQ175" i="1"/>
  <c r="IH182" i="8"/>
  <c r="IH183" i="8"/>
  <c r="IG185" i="8"/>
  <c r="IG186" i="8" s="1"/>
  <c r="IH184" i="8"/>
  <c r="AJ132" i="1"/>
  <c r="AI131" i="1"/>
  <c r="D49" i="18"/>
  <c r="AG49" i="18" s="1"/>
  <c r="AF49" i="18" s="1"/>
  <c r="AC49" i="18" s="1"/>
  <c r="C49" i="18"/>
  <c r="B49" i="18"/>
  <c r="I49" i="18"/>
  <c r="HY49" i="8" l="1"/>
  <c r="IQ55" i="8"/>
  <c r="IX55" i="8" s="1"/>
  <c r="IS56" i="8" s="1"/>
  <c r="IV55" i="8"/>
  <c r="IZ55" i="8" s="1"/>
  <c r="E49" i="18"/>
  <c r="G49" i="18" s="1"/>
  <c r="J49" i="18" s="1"/>
  <c r="AT176" i="1"/>
  <c r="AS176" i="1" s="1"/>
  <c r="AU176" i="1" s="1"/>
  <c r="AR177" i="1" s="1"/>
  <c r="AQ176" i="1"/>
  <c r="AG131" i="1"/>
  <c r="AJ61" i="18"/>
  <c r="AJ61" i="7"/>
  <c r="IH185" i="8"/>
  <c r="IG187" i="8"/>
  <c r="IG188" i="8" s="1"/>
  <c r="IH186" i="8"/>
  <c r="AM132" i="1"/>
  <c r="AL132" i="1" s="1"/>
  <c r="AN132" i="1" s="1"/>
  <c r="AK133" i="1" s="1"/>
  <c r="HP50" i="8" l="1"/>
  <c r="HQ50" i="8" s="1"/>
  <c r="HS50" i="8" s="1"/>
  <c r="HR50" i="8" s="1"/>
  <c r="HU50" i="8"/>
  <c r="HV50" i="8"/>
  <c r="HT50" i="8"/>
  <c r="HO50" i="8"/>
  <c r="IN56" i="8"/>
  <c r="IO56" i="8"/>
  <c r="IU56" i="8"/>
  <c r="AD48" i="7"/>
  <c r="AT177" i="1"/>
  <c r="AS177" i="1" s="1"/>
  <c r="AU177" i="1" s="1"/>
  <c r="AR178" i="1" s="1"/>
  <c r="AQ177" i="1"/>
  <c r="IH187" i="8"/>
  <c r="IG189" i="8"/>
  <c r="IG190" i="8" s="1"/>
  <c r="IH188" i="8"/>
  <c r="AJ133" i="1"/>
  <c r="AI132" i="1"/>
  <c r="F49" i="18"/>
  <c r="K49" i="18" s="1"/>
  <c r="H50" i="18" s="1"/>
  <c r="HW50" i="8" l="1"/>
  <c r="IP56" i="8"/>
  <c r="IR56" i="8" s="1"/>
  <c r="AT178" i="1"/>
  <c r="AS178" i="1" s="1"/>
  <c r="AU178" i="1" s="1"/>
  <c r="AR179" i="1" s="1"/>
  <c r="AQ178" i="1"/>
  <c r="AG132" i="1"/>
  <c r="AJ62" i="18"/>
  <c r="AJ62" i="7"/>
  <c r="IH189" i="8"/>
  <c r="IG191" i="8"/>
  <c r="IG192" i="8" s="1"/>
  <c r="IH190" i="8"/>
  <c r="AM133" i="1"/>
  <c r="AL133" i="1" s="1"/>
  <c r="AN133" i="1" s="1"/>
  <c r="AK134" i="1" s="1"/>
  <c r="C50" i="18"/>
  <c r="B50" i="18"/>
  <c r="I50" i="18"/>
  <c r="D50" i="18"/>
  <c r="E50" i="18" s="1"/>
  <c r="HX50" i="8" l="1"/>
  <c r="HY50" i="8" s="1"/>
  <c r="HV51" i="8" s="1"/>
  <c r="IV56" i="8"/>
  <c r="IZ56" i="8" s="1"/>
  <c r="IQ56" i="8"/>
  <c r="IX56" i="8" s="1"/>
  <c r="IS57" i="8" s="1"/>
  <c r="AC119" i="1"/>
  <c r="AT179" i="1"/>
  <c r="AS179" i="1" s="1"/>
  <c r="AU179" i="1" s="1"/>
  <c r="AR180" i="1" s="1"/>
  <c r="AQ179" i="1"/>
  <c r="IH191" i="8"/>
  <c r="IG193" i="8"/>
  <c r="IG194" i="8" s="1"/>
  <c r="IH192" i="8"/>
  <c r="AJ134" i="1"/>
  <c r="AI133" i="1"/>
  <c r="AM134" i="1"/>
  <c r="G50" i="18"/>
  <c r="J50" i="18" s="1"/>
  <c r="HP51" i="8" l="1"/>
  <c r="HQ51" i="8" s="1"/>
  <c r="HS51" i="8" s="1"/>
  <c r="HR51" i="8" s="1"/>
  <c r="HO51" i="8"/>
  <c r="HU51" i="8"/>
  <c r="HT51" i="8"/>
  <c r="IA50" i="8"/>
  <c r="IU57" i="8"/>
  <c r="IO57" i="8"/>
  <c r="IN57" i="8"/>
  <c r="AT180" i="1"/>
  <c r="AS180" i="1" s="1"/>
  <c r="AU180" i="1" s="1"/>
  <c r="AR181" i="1" s="1"/>
  <c r="AQ180" i="1"/>
  <c r="AG133" i="1"/>
  <c r="AJ63" i="7"/>
  <c r="AJ63" i="18"/>
  <c r="IH193" i="8"/>
  <c r="IG195" i="8"/>
  <c r="IG196" i="8" s="1"/>
  <c r="IH194" i="8"/>
  <c r="AL134" i="1"/>
  <c r="AN134" i="1" s="1"/>
  <c r="AK135" i="1" s="1"/>
  <c r="F50" i="18"/>
  <c r="K50" i="18" s="1"/>
  <c r="H51" i="18" s="1"/>
  <c r="HW51" i="8" l="1"/>
  <c r="HX51" i="8" s="1"/>
  <c r="HY51" i="8" s="1"/>
  <c r="IP57" i="8"/>
  <c r="IR57" i="8" s="1"/>
  <c r="AT181" i="1"/>
  <c r="AS181" i="1" s="1"/>
  <c r="AU181" i="1" s="1"/>
  <c r="AR182" i="1" s="1"/>
  <c r="AQ181" i="1"/>
  <c r="IH195" i="8"/>
  <c r="IG197" i="8"/>
  <c r="IG198" i="8" s="1"/>
  <c r="IH196" i="8"/>
  <c r="AJ135" i="1"/>
  <c r="AI134" i="1"/>
  <c r="B51" i="18"/>
  <c r="I51" i="18"/>
  <c r="D51" i="18"/>
  <c r="E51" i="18" s="1"/>
  <c r="C51" i="18"/>
  <c r="IA51" i="8" l="1"/>
  <c r="HT52" i="8"/>
  <c r="HU52" i="8"/>
  <c r="HP52" i="8"/>
  <c r="HQ52" i="8" s="1"/>
  <c r="HS52" i="8" s="1"/>
  <c r="HR52" i="8" s="1"/>
  <c r="HV52" i="8"/>
  <c r="HO52" i="8"/>
  <c r="IQ57" i="8"/>
  <c r="IX57" i="8" s="1"/>
  <c r="IS58" i="8" s="1"/>
  <c r="IV57" i="8"/>
  <c r="IZ57" i="8" s="1"/>
  <c r="AT182" i="1"/>
  <c r="AS182" i="1" s="1"/>
  <c r="AU182" i="1" s="1"/>
  <c r="AR183" i="1" s="1"/>
  <c r="AQ182" i="1"/>
  <c r="AG134" i="1"/>
  <c r="AJ64" i="18"/>
  <c r="AJ64" i="7"/>
  <c r="IH197" i="8"/>
  <c r="IG199" i="8"/>
  <c r="IG200" i="8" s="1"/>
  <c r="IH198" i="8"/>
  <c r="AF126" i="1"/>
  <c r="AE126" i="1" s="1"/>
  <c r="AM135" i="1"/>
  <c r="AL135" i="1" s="1"/>
  <c r="AN135" i="1" s="1"/>
  <c r="AK136" i="1" s="1"/>
  <c r="G51" i="18"/>
  <c r="J51" i="18" s="1"/>
  <c r="HW52" i="8" l="1"/>
  <c r="HX52" i="8" s="1"/>
  <c r="IU58" i="8"/>
  <c r="IO58" i="8"/>
  <c r="IN58" i="8"/>
  <c r="AT183" i="1"/>
  <c r="AS183" i="1" s="1"/>
  <c r="AU183" i="1" s="1"/>
  <c r="AR184" i="1" s="1"/>
  <c r="AQ183" i="1"/>
  <c r="IH199" i="8"/>
  <c r="IH200" i="8"/>
  <c r="IG201" i="8"/>
  <c r="AI135" i="1"/>
  <c r="F51" i="18"/>
  <c r="K51" i="18" s="1"/>
  <c r="H52" i="18" s="1"/>
  <c r="AG61" i="7"/>
  <c r="AF61" i="7" s="1"/>
  <c r="AC61" i="7" s="1"/>
  <c r="IA52" i="8" l="1"/>
  <c r="HY52" i="8"/>
  <c r="IP58" i="8"/>
  <c r="IR58" i="8" s="1"/>
  <c r="AT184" i="1"/>
  <c r="AS184" i="1" s="1"/>
  <c r="AU184" i="1" s="1"/>
  <c r="AR185" i="1" s="1"/>
  <c r="AQ184" i="1"/>
  <c r="AG135" i="1"/>
  <c r="AJ65" i="18"/>
  <c r="AJ65" i="7"/>
  <c r="IG202" i="8"/>
  <c r="IH201" i="8"/>
  <c r="AJ136" i="1"/>
  <c r="AM136" i="1"/>
  <c r="AL136" i="1" s="1"/>
  <c r="AN136" i="1" s="1"/>
  <c r="AK137" i="1" s="1"/>
  <c r="I52" i="18"/>
  <c r="D52" i="18"/>
  <c r="E52" i="18" s="1"/>
  <c r="C52" i="18"/>
  <c r="B52" i="18"/>
  <c r="HT53" i="8" l="1"/>
  <c r="HU53" i="8"/>
  <c r="HO53" i="8"/>
  <c r="HV53" i="8"/>
  <c r="HP53" i="8"/>
  <c r="HQ53" i="8" s="1"/>
  <c r="HS53" i="8" s="1"/>
  <c r="IV58" i="8"/>
  <c r="IZ58" i="8" s="1"/>
  <c r="IQ58" i="8"/>
  <c r="IX58" i="8" s="1"/>
  <c r="IS59" i="8" s="1"/>
  <c r="AT185" i="1"/>
  <c r="AS185" i="1" s="1"/>
  <c r="AU185" i="1" s="1"/>
  <c r="AR186" i="1" s="1"/>
  <c r="AQ185" i="1"/>
  <c r="IH202" i="8"/>
  <c r="IG203" i="8"/>
  <c r="AJ137" i="1"/>
  <c r="AI136" i="1"/>
  <c r="G52" i="18"/>
  <c r="J52" i="18" s="1"/>
  <c r="AD62" i="7"/>
  <c r="AC62" i="7" s="1"/>
  <c r="HR53" i="8" l="1"/>
  <c r="HW53" i="8"/>
  <c r="HX53" i="8" s="1"/>
  <c r="IN59" i="8"/>
  <c r="IU59" i="8"/>
  <c r="IO59" i="8"/>
  <c r="AT186" i="1"/>
  <c r="AS186" i="1" s="1"/>
  <c r="AU186" i="1" s="1"/>
  <c r="AR187" i="1" s="1"/>
  <c r="AQ186" i="1"/>
  <c r="AG136" i="1"/>
  <c r="AJ66" i="7"/>
  <c r="AJ66" i="18"/>
  <c r="AF124" i="1"/>
  <c r="AE124" i="1" s="1"/>
  <c r="AB124" i="1" s="1"/>
  <c r="IG204" i="8"/>
  <c r="IH203" i="8"/>
  <c r="AM137" i="1"/>
  <c r="AL137" i="1" s="1"/>
  <c r="AN137" i="1" s="1"/>
  <c r="AK138" i="1" s="1"/>
  <c r="F52" i="18"/>
  <c r="K52" i="18" s="1"/>
  <c r="H53" i="18" s="1"/>
  <c r="IA53" i="8" l="1"/>
  <c r="HY53" i="8"/>
  <c r="IP59" i="8"/>
  <c r="IR59" i="8" s="1"/>
  <c r="AT187" i="1"/>
  <c r="AS187" i="1" s="1"/>
  <c r="AU187" i="1" s="1"/>
  <c r="AR188" i="1" s="1"/>
  <c r="AQ187" i="1"/>
  <c r="IH204" i="8"/>
  <c r="IG205" i="8"/>
  <c r="AJ138" i="1"/>
  <c r="AI137" i="1"/>
  <c r="B53" i="18"/>
  <c r="C53" i="18"/>
  <c r="D53" i="18"/>
  <c r="E53" i="18" s="1"/>
  <c r="I53" i="18"/>
  <c r="HT54" i="8" l="1"/>
  <c r="HU54" i="8"/>
  <c r="HO54" i="8"/>
  <c r="HP54" i="8"/>
  <c r="HQ54" i="8" s="1"/>
  <c r="HS54" i="8" s="1"/>
  <c r="HV54" i="8"/>
  <c r="IQ59" i="8"/>
  <c r="IX59" i="8" s="1"/>
  <c r="IS60" i="8" s="1"/>
  <c r="IV59" i="8"/>
  <c r="IZ59" i="8" s="1"/>
  <c r="AT188" i="1"/>
  <c r="AS188" i="1" s="1"/>
  <c r="AU188" i="1" s="1"/>
  <c r="AR189" i="1" s="1"/>
  <c r="AQ188" i="1"/>
  <c r="AG137" i="1"/>
  <c r="AJ67" i="18"/>
  <c r="AJ67" i="7"/>
  <c r="IG206" i="8"/>
  <c r="IH205" i="8"/>
  <c r="AM138" i="1"/>
  <c r="AL138" i="1" s="1"/>
  <c r="AN138" i="1" s="1"/>
  <c r="AK139" i="1" s="1"/>
  <c r="G53" i="18"/>
  <c r="J53" i="18" s="1"/>
  <c r="HR54" i="8" l="1"/>
  <c r="HW54" i="8"/>
  <c r="HX54" i="8" s="1"/>
  <c r="IN60" i="8"/>
  <c r="IO60" i="8"/>
  <c r="IU60" i="8"/>
  <c r="AT189" i="1"/>
  <c r="AS189" i="1" s="1"/>
  <c r="AU189" i="1" s="1"/>
  <c r="AR190" i="1" s="1"/>
  <c r="AQ189" i="1"/>
  <c r="IG207" i="8"/>
  <c r="IG208" i="8" s="1"/>
  <c r="IH206" i="8"/>
  <c r="AJ139" i="1"/>
  <c r="AI138" i="1"/>
  <c r="AM139" i="1"/>
  <c r="F53" i="18"/>
  <c r="K53" i="18" s="1"/>
  <c r="H54" i="18" s="1"/>
  <c r="IA54" i="8" l="1"/>
  <c r="HY54" i="8"/>
  <c r="IP60" i="8"/>
  <c r="IR60" i="8" s="1"/>
  <c r="AT190" i="1"/>
  <c r="AS190" i="1" s="1"/>
  <c r="AU190" i="1" s="1"/>
  <c r="AR191" i="1" s="1"/>
  <c r="AQ190" i="1"/>
  <c r="AG138" i="1"/>
  <c r="AJ68" i="18"/>
  <c r="AJ68" i="7"/>
  <c r="IH207" i="8"/>
  <c r="IG209" i="8"/>
  <c r="IH209" i="8" s="1"/>
  <c r="IH208" i="8"/>
  <c r="C54" i="18"/>
  <c r="AL139" i="1"/>
  <c r="AN139" i="1" s="1"/>
  <c r="AK140" i="1" s="1"/>
  <c r="I54" i="18"/>
  <c r="D54" i="18"/>
  <c r="B54" i="18"/>
  <c r="HT55" i="8" l="1"/>
  <c r="HU55" i="8"/>
  <c r="HV55" i="8"/>
  <c r="HO55" i="8"/>
  <c r="HP55" i="8"/>
  <c r="HQ55" i="8" s="1"/>
  <c r="HS55" i="8" s="1"/>
  <c r="IQ60" i="8"/>
  <c r="IX60" i="8" s="1"/>
  <c r="IS61" i="8" s="1"/>
  <c r="IV60" i="8"/>
  <c r="IZ60" i="8" s="1"/>
  <c r="E54" i="18"/>
  <c r="G54" i="18" s="1"/>
  <c r="AT191" i="1"/>
  <c r="AS191" i="1" s="1"/>
  <c r="AU191" i="1" s="1"/>
  <c r="AR192" i="1" s="1"/>
  <c r="AQ191" i="1"/>
  <c r="IG210" i="8"/>
  <c r="IG211" i="8" s="1"/>
  <c r="IG212" i="8" s="1"/>
  <c r="AJ140" i="1"/>
  <c r="AI139" i="1"/>
  <c r="HR55" i="8" l="1"/>
  <c r="HW55" i="8"/>
  <c r="IO61" i="8"/>
  <c r="IU61" i="8"/>
  <c r="IN61" i="8"/>
  <c r="J54" i="18"/>
  <c r="F54" i="18"/>
  <c r="K54" i="18" s="1"/>
  <c r="H55" i="18" s="1"/>
  <c r="AT192" i="1"/>
  <c r="AS192" i="1" s="1"/>
  <c r="AU192" i="1" s="1"/>
  <c r="AR193" i="1" s="1"/>
  <c r="AQ192" i="1"/>
  <c r="AG139" i="1"/>
  <c r="AJ69" i="18"/>
  <c r="AJ69" i="7"/>
  <c r="IH210" i="8"/>
  <c r="IH211" i="8"/>
  <c r="IG213" i="8"/>
  <c r="IG214" i="8" s="1"/>
  <c r="IH212" i="8"/>
  <c r="AM140" i="1"/>
  <c r="AL140" i="1" s="1"/>
  <c r="AN140" i="1" s="1"/>
  <c r="AK141" i="1" s="1"/>
  <c r="HX55" i="8" l="1"/>
  <c r="IA55" i="8" s="1"/>
  <c r="I55" i="18"/>
  <c r="B55" i="18"/>
  <c r="C55" i="18"/>
  <c r="IP61" i="8"/>
  <c r="IR61" i="8" s="1"/>
  <c r="D55" i="18"/>
  <c r="E55" i="18" s="1"/>
  <c r="G55" i="18" s="1"/>
  <c r="AT193" i="1"/>
  <c r="AS193" i="1" s="1"/>
  <c r="AU193" i="1" s="1"/>
  <c r="AR194" i="1" s="1"/>
  <c r="AQ193" i="1"/>
  <c r="IH213" i="8"/>
  <c r="IG215" i="8"/>
  <c r="IG216" i="8" s="1"/>
  <c r="IH214" i="8"/>
  <c r="AJ141" i="1"/>
  <c r="AI140" i="1"/>
  <c r="HY55" i="8" l="1"/>
  <c r="HT56" i="8" s="1"/>
  <c r="IQ61" i="8"/>
  <c r="IX61" i="8" s="1"/>
  <c r="IS62" i="8" s="1"/>
  <c r="IV61" i="8"/>
  <c r="IZ61" i="8" s="1"/>
  <c r="F55" i="18"/>
  <c r="K55" i="18" s="1"/>
  <c r="H56" i="18" s="1"/>
  <c r="J55" i="18"/>
  <c r="AD56" i="18"/>
  <c r="AC126" i="1"/>
  <c r="AB126" i="1" s="1"/>
  <c r="AT194" i="1"/>
  <c r="AS194" i="1" s="1"/>
  <c r="AU194" i="1" s="1"/>
  <c r="AR195" i="1" s="1"/>
  <c r="AQ194" i="1"/>
  <c r="AG140" i="1"/>
  <c r="AJ70" i="18"/>
  <c r="AJ70" i="7"/>
  <c r="IH215" i="8"/>
  <c r="IH216" i="8"/>
  <c r="IG217" i="8"/>
  <c r="AM141" i="1"/>
  <c r="AL141" i="1" s="1"/>
  <c r="AN141" i="1" s="1"/>
  <c r="AK142" i="1" s="1"/>
  <c r="HV56" i="8" l="1"/>
  <c r="HP56" i="8"/>
  <c r="HQ56" i="8" s="1"/>
  <c r="HS56" i="8" s="1"/>
  <c r="HR56" i="8" s="1"/>
  <c r="HO56" i="8"/>
  <c r="HU56" i="8"/>
  <c r="B56" i="18"/>
  <c r="D56" i="18"/>
  <c r="E56" i="18" s="1"/>
  <c r="I56" i="18"/>
  <c r="C56" i="18"/>
  <c r="IU62" i="8"/>
  <c r="IO62" i="8"/>
  <c r="IN62" i="8"/>
  <c r="AT195" i="1"/>
  <c r="AS195" i="1" s="1"/>
  <c r="AU195" i="1" s="1"/>
  <c r="AR196" i="1" s="1"/>
  <c r="AQ195" i="1"/>
  <c r="IH217" i="8"/>
  <c r="IG218" i="8"/>
  <c r="AJ142" i="1"/>
  <c r="AI141" i="1"/>
  <c r="HW56" i="8" l="1"/>
  <c r="HX56" i="8" s="1"/>
  <c r="HY56" i="8" s="1"/>
  <c r="IP62" i="8"/>
  <c r="IR62" i="8" s="1"/>
  <c r="AC127" i="1"/>
  <c r="AB127" i="1" s="1"/>
  <c r="AT196" i="1"/>
  <c r="AS196" i="1" s="1"/>
  <c r="AU196" i="1" s="1"/>
  <c r="AR197" i="1" s="1"/>
  <c r="AQ196" i="1"/>
  <c r="AG141" i="1"/>
  <c r="AJ71" i="7"/>
  <c r="AJ71" i="18"/>
  <c r="IG219" i="8"/>
  <c r="IG220" i="8" s="1"/>
  <c r="IH218" i="8"/>
  <c r="AM142" i="1"/>
  <c r="AL142" i="1" s="1"/>
  <c r="AN142" i="1" s="1"/>
  <c r="AK143" i="1" s="1"/>
  <c r="IA56" i="8" l="1"/>
  <c r="HT57" i="8"/>
  <c r="HU57" i="8"/>
  <c r="HV57" i="8"/>
  <c r="HP57" i="8"/>
  <c r="HQ57" i="8" s="1"/>
  <c r="HS57" i="8" s="1"/>
  <c r="HO57" i="8"/>
  <c r="IQ62" i="8"/>
  <c r="IX62" i="8" s="1"/>
  <c r="IS63" i="8" s="1"/>
  <c r="IV62" i="8"/>
  <c r="IZ62" i="8" s="1"/>
  <c r="AT197" i="1"/>
  <c r="AS197" i="1" s="1"/>
  <c r="AU197" i="1" s="1"/>
  <c r="AR198" i="1" s="1"/>
  <c r="AQ197" i="1"/>
  <c r="IH219" i="8"/>
  <c r="IG221" i="8"/>
  <c r="IG222" i="8" s="1"/>
  <c r="IH220" i="8"/>
  <c r="AJ143" i="1"/>
  <c r="AI142" i="1"/>
  <c r="AM143" i="1"/>
  <c r="IU63" i="8" l="1"/>
  <c r="IN63" i="8"/>
  <c r="IO63" i="8"/>
  <c r="HR57" i="8"/>
  <c r="HW57" i="8"/>
  <c r="HX57" i="8" s="1"/>
  <c r="AF128" i="1"/>
  <c r="AE128" i="1" s="1"/>
  <c r="AB128" i="1" s="1"/>
  <c r="AT198" i="1"/>
  <c r="AS198" i="1" s="1"/>
  <c r="AU198" i="1" s="1"/>
  <c r="AR199" i="1" s="1"/>
  <c r="AQ198" i="1"/>
  <c r="AG142" i="1"/>
  <c r="AJ72" i="18"/>
  <c r="AJ72" i="7"/>
  <c r="IH221" i="8"/>
  <c r="IG223" i="8"/>
  <c r="IG224" i="8" s="1"/>
  <c r="IH222" i="8"/>
  <c r="AL143" i="1"/>
  <c r="AN143" i="1" s="1"/>
  <c r="AK144" i="1" s="1"/>
  <c r="IA57" i="8" l="1"/>
  <c r="IP63" i="8"/>
  <c r="IR63" i="8" s="1"/>
  <c r="AT199" i="1"/>
  <c r="AS199" i="1" s="1"/>
  <c r="AU199" i="1" s="1"/>
  <c r="AR200" i="1" s="1"/>
  <c r="AQ199" i="1"/>
  <c r="IH223" i="8"/>
  <c r="IG225" i="8"/>
  <c r="IG226" i="8" s="1"/>
  <c r="IH224" i="8"/>
  <c r="AJ144" i="1"/>
  <c r="AI143" i="1"/>
  <c r="AF132" i="1"/>
  <c r="AE132" i="1" s="1"/>
  <c r="AB132" i="1" s="1"/>
  <c r="HY57" i="8" l="1"/>
  <c r="IQ63" i="8"/>
  <c r="IX63" i="8" s="1"/>
  <c r="IS64" i="8" s="1"/>
  <c r="IV63" i="8"/>
  <c r="IZ63" i="8" s="1"/>
  <c r="AF129" i="1"/>
  <c r="AE129" i="1" s="1"/>
  <c r="AB129" i="1" s="1"/>
  <c r="AT200" i="1"/>
  <c r="AS200" i="1" s="1"/>
  <c r="AU200" i="1" s="1"/>
  <c r="AR201" i="1" s="1"/>
  <c r="AQ200" i="1"/>
  <c r="AG143" i="1"/>
  <c r="AJ73" i="18"/>
  <c r="AJ73" i="7"/>
  <c r="IH225" i="8"/>
  <c r="IG227" i="8"/>
  <c r="IG228" i="8" s="1"/>
  <c r="IH226" i="8"/>
  <c r="AM144" i="1"/>
  <c r="AL144" i="1" s="1"/>
  <c r="AN144" i="1" s="1"/>
  <c r="AK145" i="1" s="1"/>
  <c r="HT58" i="8" l="1"/>
  <c r="HU58" i="8"/>
  <c r="HP58" i="8"/>
  <c r="HQ58" i="8" s="1"/>
  <c r="HS58" i="8" s="1"/>
  <c r="HR58" i="8" s="1"/>
  <c r="HO58" i="8"/>
  <c r="HV58" i="8"/>
  <c r="IN64" i="8"/>
  <c r="IU64" i="8"/>
  <c r="IO64" i="8"/>
  <c r="AT201" i="1"/>
  <c r="AS201" i="1" s="1"/>
  <c r="AU201" i="1" s="1"/>
  <c r="AR202" i="1" s="1"/>
  <c r="AQ201" i="1"/>
  <c r="IH227" i="8"/>
  <c r="IG229" i="8"/>
  <c r="IH229" i="8" s="1"/>
  <c r="IH228" i="8"/>
  <c r="AJ145" i="1"/>
  <c r="AI144" i="1"/>
  <c r="AM145" i="1"/>
  <c r="HW58" i="8" l="1"/>
  <c r="IP64" i="8"/>
  <c r="IR64" i="8" s="1"/>
  <c r="AT202" i="1"/>
  <c r="AS202" i="1" s="1"/>
  <c r="AU202" i="1" s="1"/>
  <c r="AR203" i="1" s="1"/>
  <c r="AQ202" i="1"/>
  <c r="AG144" i="1"/>
  <c r="AJ74" i="7"/>
  <c r="AJ74" i="18"/>
  <c r="IG230" i="8"/>
  <c r="IG231" i="8" s="1"/>
  <c r="AL145" i="1"/>
  <c r="AN145" i="1" s="1"/>
  <c r="AK146" i="1" s="1"/>
  <c r="HX58" i="8" l="1"/>
  <c r="IA58" i="8" s="1"/>
  <c r="IQ64" i="8"/>
  <c r="IX64" i="8" s="1"/>
  <c r="IS65" i="8" s="1"/>
  <c r="IV64" i="8"/>
  <c r="IZ64" i="8" s="1"/>
  <c r="AT203" i="1"/>
  <c r="AS203" i="1" s="1"/>
  <c r="AU203" i="1" s="1"/>
  <c r="AR204" i="1" s="1"/>
  <c r="AQ203" i="1"/>
  <c r="IH230" i="8"/>
  <c r="IG232" i="8"/>
  <c r="IG233" i="8" s="1"/>
  <c r="IH233" i="8" s="1"/>
  <c r="IH231" i="8"/>
  <c r="AJ146" i="1"/>
  <c r="AI145" i="1"/>
  <c r="HY58" i="8" l="1"/>
  <c r="HT59" i="8" s="1"/>
  <c r="IO65" i="8"/>
  <c r="IN65" i="8"/>
  <c r="IU65" i="8"/>
  <c r="AT204" i="1"/>
  <c r="AS204" i="1" s="1"/>
  <c r="AU204" i="1" s="1"/>
  <c r="AR205" i="1" s="1"/>
  <c r="AQ204" i="1"/>
  <c r="AG145" i="1"/>
  <c r="AJ75" i="18"/>
  <c r="AJ75" i="7"/>
  <c r="IH232" i="8"/>
  <c r="IG234" i="8"/>
  <c r="IG235" i="8" s="1"/>
  <c r="IG236" i="8" s="1"/>
  <c r="AM146" i="1"/>
  <c r="AL146" i="1" s="1"/>
  <c r="AN146" i="1" s="1"/>
  <c r="AK147" i="1" s="1"/>
  <c r="HV59" i="8" l="1"/>
  <c r="HP59" i="8"/>
  <c r="HQ59" i="8" s="1"/>
  <c r="HS59" i="8" s="1"/>
  <c r="HR59" i="8" s="1"/>
  <c r="HO59" i="8"/>
  <c r="HU59" i="8"/>
  <c r="IP65" i="8"/>
  <c r="IR65" i="8" s="1"/>
  <c r="AC130" i="1"/>
  <c r="AB130" i="1" s="1"/>
  <c r="AT205" i="1"/>
  <c r="AS205" i="1" s="1"/>
  <c r="AU205" i="1" s="1"/>
  <c r="AR206" i="1" s="1"/>
  <c r="AQ205" i="1"/>
  <c r="IH234" i="8"/>
  <c r="IH235" i="8"/>
  <c r="IG237" i="8"/>
  <c r="IG238" i="8" s="1"/>
  <c r="IH236" i="8"/>
  <c r="AJ147" i="1"/>
  <c r="AI146" i="1"/>
  <c r="AM147" i="1"/>
  <c r="HW59" i="8" l="1"/>
  <c r="HX59" i="8" s="1"/>
  <c r="IV65" i="8"/>
  <c r="IZ65" i="8" s="1"/>
  <c r="IQ65" i="8"/>
  <c r="IX65" i="8" s="1"/>
  <c r="IS66" i="8" s="1"/>
  <c r="AT206" i="1"/>
  <c r="AS206" i="1" s="1"/>
  <c r="AU206" i="1" s="1"/>
  <c r="AR207" i="1" s="1"/>
  <c r="AQ206" i="1"/>
  <c r="AG146" i="1"/>
  <c r="AJ76" i="18"/>
  <c r="AJ76" i="7"/>
  <c r="IH237" i="8"/>
  <c r="IG239" i="8"/>
  <c r="IG240" i="8" s="1"/>
  <c r="IH238" i="8"/>
  <c r="AL147" i="1"/>
  <c r="AN147" i="1" s="1"/>
  <c r="AK148" i="1" s="1"/>
  <c r="IA59" i="8" l="1"/>
  <c r="HY59" i="8"/>
  <c r="HT60" i="8" s="1"/>
  <c r="IN66" i="8"/>
  <c r="IU66" i="8"/>
  <c r="IO66" i="8"/>
  <c r="AT207" i="1"/>
  <c r="AS207" i="1" s="1"/>
  <c r="AU207" i="1" s="1"/>
  <c r="AR208" i="1" s="1"/>
  <c r="AQ207" i="1"/>
  <c r="IH239" i="8"/>
  <c r="IH240" i="8"/>
  <c r="IG241" i="8"/>
  <c r="AI147" i="1"/>
  <c r="HO60" i="8" l="1"/>
  <c r="HV60" i="8"/>
  <c r="HU60" i="8"/>
  <c r="HP60" i="8"/>
  <c r="HQ60" i="8" s="1"/>
  <c r="HS60" i="8" s="1"/>
  <c r="IP66" i="8"/>
  <c r="IR66" i="8" s="1"/>
  <c r="AC131" i="1"/>
  <c r="AB131" i="1" s="1"/>
  <c r="AT208" i="1"/>
  <c r="AS208" i="1" s="1"/>
  <c r="AU208" i="1" s="1"/>
  <c r="AR209" i="1" s="1"/>
  <c r="AQ208" i="1"/>
  <c r="AG147" i="1"/>
  <c r="AJ77" i="18"/>
  <c r="AJ77" i="7"/>
  <c r="IH241" i="8"/>
  <c r="IG242" i="8"/>
  <c r="AJ148" i="1"/>
  <c r="AM148" i="1"/>
  <c r="AL148" i="1" s="1"/>
  <c r="AN148" i="1" s="1"/>
  <c r="AK149" i="1" s="1"/>
  <c r="HW60" i="8" l="1"/>
  <c r="HX60" i="8" s="1"/>
  <c r="HR60" i="8"/>
  <c r="IQ66" i="8"/>
  <c r="IX66" i="8" s="1"/>
  <c r="IS67" i="8" s="1"/>
  <c r="IV66" i="8"/>
  <c r="IZ66" i="8" s="1"/>
  <c r="AT209" i="1"/>
  <c r="AS209" i="1" s="1"/>
  <c r="AU209" i="1" s="1"/>
  <c r="AR210" i="1" s="1"/>
  <c r="AQ209" i="1"/>
  <c r="IH242" i="8"/>
  <c r="IG243" i="8"/>
  <c r="AJ149" i="1"/>
  <c r="AI148" i="1"/>
  <c r="AM149" i="1"/>
  <c r="HY60" i="8" l="1"/>
  <c r="HT61" i="8" s="1"/>
  <c r="IA60" i="8"/>
  <c r="IO67" i="8"/>
  <c r="IU67" i="8"/>
  <c r="IN67" i="8"/>
  <c r="AT210" i="1"/>
  <c r="AS210" i="1" s="1"/>
  <c r="AU210" i="1" s="1"/>
  <c r="AR211" i="1" s="1"/>
  <c r="AQ210" i="1"/>
  <c r="AG148" i="1"/>
  <c r="AJ78" i="18"/>
  <c r="AJ78" i="7"/>
  <c r="IG244" i="8"/>
  <c r="IH243" i="8"/>
  <c r="AL149" i="1"/>
  <c r="AN149" i="1" s="1"/>
  <c r="AK150" i="1" s="1"/>
  <c r="HV61" i="8" l="1"/>
  <c r="HO61" i="8"/>
  <c r="HP61" i="8"/>
  <c r="HQ61" i="8" s="1"/>
  <c r="HS61" i="8" s="1"/>
  <c r="HU61" i="8"/>
  <c r="IP67" i="8"/>
  <c r="IR67" i="8" s="1"/>
  <c r="AT211" i="1"/>
  <c r="AS211" i="1" s="1"/>
  <c r="AU211" i="1" s="1"/>
  <c r="AR212" i="1" s="1"/>
  <c r="AQ211" i="1"/>
  <c r="IH244" i="8"/>
  <c r="IG245" i="8"/>
  <c r="AJ150" i="1"/>
  <c r="AI149" i="1"/>
  <c r="HW61" i="8" l="1"/>
  <c r="HX61" i="8" s="1"/>
  <c r="IA61" i="8" s="1"/>
  <c r="HR61" i="8"/>
  <c r="IV67" i="8"/>
  <c r="IZ67" i="8" s="1"/>
  <c r="IQ67" i="8"/>
  <c r="IX67" i="8" s="1"/>
  <c r="IS68" i="8" s="1"/>
  <c r="AT212" i="1"/>
  <c r="AS212" i="1" s="1"/>
  <c r="AU212" i="1" s="1"/>
  <c r="AR213" i="1" s="1"/>
  <c r="AQ212" i="1"/>
  <c r="AG149" i="1"/>
  <c r="AJ79" i="7"/>
  <c r="AJ79" i="18"/>
  <c r="IG246" i="8"/>
  <c r="IH245" i="8"/>
  <c r="AM150" i="1"/>
  <c r="AL150" i="1" s="1"/>
  <c r="AN150" i="1" s="1"/>
  <c r="AK151" i="1" s="1"/>
  <c r="HY61" i="8" l="1"/>
  <c r="HO62" i="8" s="1"/>
  <c r="IO68" i="8"/>
  <c r="IU68" i="8"/>
  <c r="IN68" i="8"/>
  <c r="GX76" i="8"/>
  <c r="GW76" i="8" s="1"/>
  <c r="AT213" i="1"/>
  <c r="AS213" i="1" s="1"/>
  <c r="AU213" i="1" s="1"/>
  <c r="AR214" i="1" s="1"/>
  <c r="AQ213" i="1"/>
  <c r="IG247" i="8"/>
  <c r="IG248" i="8" s="1"/>
  <c r="IH246" i="8"/>
  <c r="AJ151" i="1"/>
  <c r="AI150" i="1"/>
  <c r="HU62" i="8" l="1"/>
  <c r="HP62" i="8"/>
  <c r="HQ62" i="8" s="1"/>
  <c r="HS62" i="8" s="1"/>
  <c r="HR62" i="8" s="1"/>
  <c r="HV62" i="8"/>
  <c r="HT62" i="8"/>
  <c r="IP68" i="8"/>
  <c r="IR68" i="8" s="1"/>
  <c r="AT214" i="1"/>
  <c r="AS214" i="1" s="1"/>
  <c r="AU214" i="1" s="1"/>
  <c r="AR215" i="1" s="1"/>
  <c r="AQ214" i="1"/>
  <c r="AG150" i="1"/>
  <c r="AJ80" i="18"/>
  <c r="AJ80" i="7"/>
  <c r="IH247" i="8"/>
  <c r="IG249" i="8"/>
  <c r="IH249" i="8" s="1"/>
  <c r="IH248" i="8"/>
  <c r="AM151" i="1"/>
  <c r="AL151" i="1" s="1"/>
  <c r="AN151" i="1" s="1"/>
  <c r="AK152" i="1" s="1"/>
  <c r="HW62" i="8" l="1"/>
  <c r="HX62" i="8" s="1"/>
  <c r="HY62" i="8" s="1"/>
  <c r="IQ68" i="8"/>
  <c r="IX68" i="8" s="1"/>
  <c r="IS69" i="8" s="1"/>
  <c r="IV68" i="8"/>
  <c r="IZ68" i="8" s="1"/>
  <c r="AT215" i="1"/>
  <c r="AS215" i="1" s="1"/>
  <c r="AU215" i="1" s="1"/>
  <c r="AR216" i="1" s="1"/>
  <c r="AQ215" i="1"/>
  <c r="IG250" i="8"/>
  <c r="IG251" i="8" s="1"/>
  <c r="AJ152" i="1"/>
  <c r="AI151" i="1"/>
  <c r="AM152" i="1"/>
  <c r="IA62" i="8" l="1"/>
  <c r="HT63" i="8"/>
  <c r="HU63" i="8"/>
  <c r="HV63" i="8"/>
  <c r="HP63" i="8"/>
  <c r="HQ63" i="8" s="1"/>
  <c r="HS63" i="8" s="1"/>
  <c r="HR63" i="8" s="1"/>
  <c r="HO63" i="8"/>
  <c r="IN69" i="8"/>
  <c r="IO69" i="8"/>
  <c r="IU69" i="8"/>
  <c r="AT216" i="1"/>
  <c r="AS216" i="1" s="1"/>
  <c r="AU216" i="1" s="1"/>
  <c r="AR217" i="1" s="1"/>
  <c r="AQ216" i="1"/>
  <c r="AG151" i="1"/>
  <c r="AJ81" i="18"/>
  <c r="AJ81" i="7"/>
  <c r="IH250" i="8"/>
  <c r="IG252" i="8"/>
  <c r="IG253" i="8" s="1"/>
  <c r="IG254" i="8" s="1"/>
  <c r="IH251" i="8"/>
  <c r="AL152" i="1"/>
  <c r="AN152" i="1" s="1"/>
  <c r="AK153" i="1" s="1"/>
  <c r="HW63" i="8" l="1"/>
  <c r="HX63" i="8" s="1"/>
  <c r="IP69" i="8"/>
  <c r="IR69" i="8" s="1"/>
  <c r="AT217" i="1"/>
  <c r="AS217" i="1" s="1"/>
  <c r="AU217" i="1" s="1"/>
  <c r="AR218" i="1" s="1"/>
  <c r="AQ217" i="1"/>
  <c r="IH252" i="8"/>
  <c r="IH253" i="8"/>
  <c r="IG255" i="8"/>
  <c r="IG256" i="8" s="1"/>
  <c r="IH254" i="8"/>
  <c r="AJ153" i="1"/>
  <c r="AI152" i="1"/>
  <c r="AM153" i="1"/>
  <c r="IA63" i="8" l="1"/>
  <c r="HY63" i="8"/>
  <c r="IQ69" i="8"/>
  <c r="IX69" i="8" s="1"/>
  <c r="IS70" i="8" s="1"/>
  <c r="IV69" i="8"/>
  <c r="IZ69" i="8" s="1"/>
  <c r="AT218" i="1"/>
  <c r="AS218" i="1" s="1"/>
  <c r="AU218" i="1" s="1"/>
  <c r="AR219" i="1" s="1"/>
  <c r="AQ218" i="1"/>
  <c r="AG152" i="1"/>
  <c r="AJ82" i="18"/>
  <c r="AJ82" i="7"/>
  <c r="IH255" i="8"/>
  <c r="IG257" i="8"/>
  <c r="IG258" i="8" s="1"/>
  <c r="IH256" i="8"/>
  <c r="AL153" i="1"/>
  <c r="AN153" i="1" s="1"/>
  <c r="AK154" i="1" s="1"/>
  <c r="HT64" i="8" l="1"/>
  <c r="HU64" i="8"/>
  <c r="HO64" i="8"/>
  <c r="HP64" i="8"/>
  <c r="HQ64" i="8" s="1"/>
  <c r="HS64" i="8" s="1"/>
  <c r="HR64" i="8" s="1"/>
  <c r="HV64" i="8"/>
  <c r="IN70" i="8"/>
  <c r="IU70" i="8"/>
  <c r="IO70" i="8"/>
  <c r="AT219" i="1"/>
  <c r="AS219" i="1" s="1"/>
  <c r="AU219" i="1" s="1"/>
  <c r="AR220" i="1" s="1"/>
  <c r="AQ219" i="1"/>
  <c r="IH257" i="8"/>
  <c r="IG259" i="8"/>
  <c r="IG260" i="8" s="1"/>
  <c r="IH258" i="8"/>
  <c r="AJ154" i="1"/>
  <c r="AI153" i="1"/>
  <c r="HW64" i="8" l="1"/>
  <c r="IP70" i="8"/>
  <c r="IR70" i="8" s="1"/>
  <c r="AT220" i="1"/>
  <c r="AS220" i="1" s="1"/>
  <c r="AU220" i="1" s="1"/>
  <c r="AR221" i="1" s="1"/>
  <c r="AQ220" i="1"/>
  <c r="AG153" i="1"/>
  <c r="AJ83" i="18"/>
  <c r="AJ83" i="7"/>
  <c r="IH259" i="8"/>
  <c r="IG261" i="8"/>
  <c r="IG262" i="8" s="1"/>
  <c r="IH260" i="8"/>
  <c r="AM154" i="1"/>
  <c r="AL154" i="1" s="1"/>
  <c r="AN154" i="1" s="1"/>
  <c r="AK155" i="1" s="1"/>
  <c r="HX64" i="8" l="1"/>
  <c r="IA64" i="8" s="1"/>
  <c r="IV70" i="8"/>
  <c r="IZ70" i="8" s="1"/>
  <c r="IQ70" i="8"/>
  <c r="IX70" i="8" s="1"/>
  <c r="IS71" i="8" s="1"/>
  <c r="AT221" i="1"/>
  <c r="AS221" i="1" s="1"/>
  <c r="AU221" i="1" s="1"/>
  <c r="AR222" i="1" s="1"/>
  <c r="AQ221" i="1"/>
  <c r="IH261" i="8"/>
  <c r="IG263" i="8"/>
  <c r="IH263" i="8" s="1"/>
  <c r="IH262" i="8"/>
  <c r="AJ155" i="1"/>
  <c r="AI154" i="1"/>
  <c r="HY64" i="8" l="1"/>
  <c r="IU71" i="8"/>
  <c r="IO71" i="8"/>
  <c r="IN71" i="8"/>
  <c r="AT222" i="1"/>
  <c r="AS222" i="1" s="1"/>
  <c r="AU222" i="1" s="1"/>
  <c r="AR223" i="1" s="1"/>
  <c r="AQ222" i="1"/>
  <c r="AG154" i="1"/>
  <c r="AJ84" i="18"/>
  <c r="AJ84" i="7"/>
  <c r="IG264" i="8"/>
  <c r="IH264" i="8" s="1"/>
  <c r="AM155" i="1"/>
  <c r="AL155" i="1" s="1"/>
  <c r="AN155" i="1" s="1"/>
  <c r="AK156" i="1" s="1"/>
  <c r="HP65" i="8" l="1"/>
  <c r="HQ65" i="8" s="1"/>
  <c r="HS65" i="8" s="1"/>
  <c r="HT65" i="8"/>
  <c r="HU65" i="8"/>
  <c r="HO65" i="8"/>
  <c r="HV65" i="8"/>
  <c r="IP71" i="8"/>
  <c r="IR71" i="8" s="1"/>
  <c r="AF139" i="1"/>
  <c r="AE139" i="1" s="1"/>
  <c r="AB139" i="1" s="1"/>
  <c r="AT223" i="1"/>
  <c r="AS223" i="1" s="1"/>
  <c r="AU223" i="1" s="1"/>
  <c r="AR224" i="1" s="1"/>
  <c r="AQ223" i="1"/>
  <c r="AJ156" i="1"/>
  <c r="AI155" i="1"/>
  <c r="HR65" i="8" l="1"/>
  <c r="HW65" i="8"/>
  <c r="IV71" i="8"/>
  <c r="IZ71" i="8" s="1"/>
  <c r="IQ71" i="8"/>
  <c r="IX71" i="8" s="1"/>
  <c r="IS72" i="8" s="1"/>
  <c r="AT224" i="1"/>
  <c r="AS224" i="1" s="1"/>
  <c r="AU224" i="1" s="1"/>
  <c r="AR225" i="1" s="1"/>
  <c r="AQ224" i="1"/>
  <c r="AG155" i="1"/>
  <c r="AJ85" i="18"/>
  <c r="AJ85" i="7"/>
  <c r="AM156" i="1"/>
  <c r="AL156" i="1" s="1"/>
  <c r="AN156" i="1" s="1"/>
  <c r="AK157" i="1" s="1"/>
  <c r="HX65" i="8" l="1"/>
  <c r="IA65" i="8" s="1"/>
  <c r="IN72" i="8"/>
  <c r="IU72" i="8"/>
  <c r="IO72" i="8"/>
  <c r="AT225" i="1"/>
  <c r="AS225" i="1" s="1"/>
  <c r="AU225" i="1" s="1"/>
  <c r="AR226" i="1" s="1"/>
  <c r="AQ225" i="1"/>
  <c r="AJ157" i="1"/>
  <c r="AI156" i="1"/>
  <c r="HY65" i="8" l="1"/>
  <c r="HO66" i="8" s="1"/>
  <c r="IP72" i="8"/>
  <c r="IR72" i="8" s="1"/>
  <c r="AF140" i="1"/>
  <c r="AE140" i="1" s="1"/>
  <c r="AB140" i="1" s="1"/>
  <c r="AT226" i="1"/>
  <c r="AS226" i="1" s="1"/>
  <c r="AU226" i="1" s="1"/>
  <c r="AR227" i="1" s="1"/>
  <c r="AQ226" i="1"/>
  <c r="AG156" i="1"/>
  <c r="AJ86" i="18"/>
  <c r="AJ86" i="7"/>
  <c r="AM157" i="1"/>
  <c r="AL157" i="1" s="1"/>
  <c r="AN157" i="1" s="1"/>
  <c r="AK158" i="1" s="1"/>
  <c r="AF141" i="1"/>
  <c r="AE141" i="1" s="1"/>
  <c r="HV66" i="8" l="1"/>
  <c r="HT66" i="8"/>
  <c r="HP66" i="8"/>
  <c r="HQ66" i="8" s="1"/>
  <c r="HS66" i="8" s="1"/>
  <c r="HR66" i="8" s="1"/>
  <c r="HU66" i="8"/>
  <c r="IQ72" i="8"/>
  <c r="IX72" i="8" s="1"/>
  <c r="IS73" i="8" s="1"/>
  <c r="IV72" i="8"/>
  <c r="IZ72" i="8" s="1"/>
  <c r="AT227" i="1"/>
  <c r="AS227" i="1" s="1"/>
  <c r="AU227" i="1" s="1"/>
  <c r="AR228" i="1" s="1"/>
  <c r="AQ227" i="1"/>
  <c r="AJ158" i="1"/>
  <c r="AI157" i="1"/>
  <c r="HW66" i="8" l="1"/>
  <c r="HX66" i="8" s="1"/>
  <c r="HY66" i="8" s="1"/>
  <c r="HU67" i="8" s="1"/>
  <c r="IO73" i="8"/>
  <c r="IU73" i="8"/>
  <c r="IN73" i="8"/>
  <c r="FF76" i="8"/>
  <c r="FE76" i="8" s="1"/>
  <c r="AT228" i="1"/>
  <c r="AS228" i="1" s="1"/>
  <c r="AU228" i="1" s="1"/>
  <c r="AR229" i="1" s="1"/>
  <c r="AQ228" i="1"/>
  <c r="AG157" i="1"/>
  <c r="AJ87" i="7"/>
  <c r="AJ87" i="18"/>
  <c r="AM158" i="1"/>
  <c r="AL158" i="1" s="1"/>
  <c r="AN158" i="1" s="1"/>
  <c r="AK159" i="1" s="1"/>
  <c r="HO67" i="8" l="1"/>
  <c r="HT67" i="8"/>
  <c r="HP67" i="8"/>
  <c r="HQ67" i="8" s="1"/>
  <c r="HS67" i="8" s="1"/>
  <c r="HR67" i="8" s="1"/>
  <c r="HV67" i="8"/>
  <c r="IA66" i="8"/>
  <c r="IP73" i="8"/>
  <c r="IR73" i="8" s="1"/>
  <c r="AC141" i="1"/>
  <c r="AB141" i="1" s="1"/>
  <c r="AT229" i="1"/>
  <c r="AS229" i="1" s="1"/>
  <c r="AU229" i="1" s="1"/>
  <c r="AR230" i="1" s="1"/>
  <c r="AQ229" i="1"/>
  <c r="AJ159" i="1"/>
  <c r="AI158" i="1"/>
  <c r="AM159" i="1"/>
  <c r="HW67" i="8" l="1"/>
  <c r="HX67" i="8" s="1"/>
  <c r="HY67" i="8" s="1"/>
  <c r="IQ73" i="8"/>
  <c r="IX73" i="8" s="1"/>
  <c r="IS74" i="8" s="1"/>
  <c r="IV73" i="8"/>
  <c r="IZ73" i="8" s="1"/>
  <c r="AT230" i="1"/>
  <c r="AS230" i="1" s="1"/>
  <c r="AU230" i="1" s="1"/>
  <c r="AR231" i="1" s="1"/>
  <c r="AQ230" i="1"/>
  <c r="AG158" i="1"/>
  <c r="AJ88" i="18"/>
  <c r="AJ88" i="7"/>
  <c r="AL159" i="1"/>
  <c r="AN159" i="1" s="1"/>
  <c r="AK160" i="1" s="1"/>
  <c r="IA67" i="8" l="1"/>
  <c r="HT68" i="8"/>
  <c r="HU68" i="8"/>
  <c r="HO68" i="8"/>
  <c r="HV68" i="8"/>
  <c r="HP68" i="8"/>
  <c r="HQ68" i="8" s="1"/>
  <c r="HS68" i="8" s="1"/>
  <c r="IO74" i="8"/>
  <c r="IU74" i="8"/>
  <c r="IN74" i="8"/>
  <c r="DO76" i="8"/>
  <c r="DN76" i="8" s="1"/>
  <c r="AT231" i="1"/>
  <c r="AS231" i="1" s="1"/>
  <c r="AU231" i="1" s="1"/>
  <c r="AR232" i="1" s="1"/>
  <c r="AQ231" i="1"/>
  <c r="AI159" i="1"/>
  <c r="HW68" i="8" l="1"/>
  <c r="HR68" i="8"/>
  <c r="IP74" i="8"/>
  <c r="IR74" i="8" s="1"/>
  <c r="AT232" i="1"/>
  <c r="AS232" i="1" s="1"/>
  <c r="AU232" i="1" s="1"/>
  <c r="AR233" i="1" s="1"/>
  <c r="AQ232" i="1"/>
  <c r="AG159" i="1"/>
  <c r="AJ89" i="18"/>
  <c r="AJ89" i="7"/>
  <c r="AJ160" i="1"/>
  <c r="AM160" i="1"/>
  <c r="AL160" i="1" s="1"/>
  <c r="AN160" i="1" s="1"/>
  <c r="AK161" i="1" s="1"/>
  <c r="HX68" i="8" l="1"/>
  <c r="HY68" i="8" s="1"/>
  <c r="HT69" i="8" s="1"/>
  <c r="IQ74" i="8"/>
  <c r="IX74" i="8" s="1"/>
  <c r="IS75" i="8" s="1"/>
  <c r="IV74" i="8"/>
  <c r="IZ74" i="8" s="1"/>
  <c r="AT233" i="1"/>
  <c r="AS233" i="1" s="1"/>
  <c r="AU233" i="1" s="1"/>
  <c r="AR234" i="1" s="1"/>
  <c r="AQ233" i="1"/>
  <c r="AJ161" i="1"/>
  <c r="AI160" i="1"/>
  <c r="HO69" i="8" l="1"/>
  <c r="HV69" i="8"/>
  <c r="HP69" i="8"/>
  <c r="HQ69" i="8" s="1"/>
  <c r="HS69" i="8" s="1"/>
  <c r="HU69" i="8"/>
  <c r="IA68" i="8"/>
  <c r="IU75" i="8"/>
  <c r="IO75" i="8"/>
  <c r="IN75" i="8"/>
  <c r="AT234" i="1"/>
  <c r="AS234" i="1" s="1"/>
  <c r="AU234" i="1" s="1"/>
  <c r="AR235" i="1" s="1"/>
  <c r="AQ234" i="1"/>
  <c r="AG160" i="1"/>
  <c r="AJ90" i="7"/>
  <c r="AJ90" i="18"/>
  <c r="AM161" i="1"/>
  <c r="AL161" i="1" s="1"/>
  <c r="AN161" i="1" s="1"/>
  <c r="AK162" i="1" s="1"/>
  <c r="HW69" i="8" l="1"/>
  <c r="HX69" i="8" s="1"/>
  <c r="IP75" i="8"/>
  <c r="IR75" i="8" s="1"/>
  <c r="AT235" i="1"/>
  <c r="AS235" i="1" s="1"/>
  <c r="AU235" i="1" s="1"/>
  <c r="AR236" i="1" s="1"/>
  <c r="AQ235" i="1"/>
  <c r="AJ162" i="1"/>
  <c r="AI161" i="1"/>
  <c r="HR69" i="8"/>
  <c r="IA69" i="8" l="1"/>
  <c r="IQ75" i="8"/>
  <c r="IX75" i="8" s="1"/>
  <c r="IS76" i="8" s="1"/>
  <c r="IV75" i="8"/>
  <c r="IZ75" i="8" s="1"/>
  <c r="AT236" i="1"/>
  <c r="AS236" i="1" s="1"/>
  <c r="AU236" i="1" s="1"/>
  <c r="AR237" i="1" s="1"/>
  <c r="AQ236" i="1"/>
  <c r="AG161" i="1"/>
  <c r="AJ91" i="18"/>
  <c r="AJ91" i="7"/>
  <c r="AM162" i="1"/>
  <c r="AL162" i="1" s="1"/>
  <c r="AN162" i="1" s="1"/>
  <c r="AK163" i="1" s="1"/>
  <c r="HY69" i="8"/>
  <c r="HT70" i="8" l="1"/>
  <c r="HU70" i="8"/>
  <c r="IU76" i="8"/>
  <c r="IN76" i="8"/>
  <c r="IO76" i="8"/>
  <c r="AT237" i="1"/>
  <c r="AS237" i="1" s="1"/>
  <c r="AU237" i="1" s="1"/>
  <c r="AR238" i="1" s="1"/>
  <c r="AQ237" i="1"/>
  <c r="AJ163" i="1"/>
  <c r="AI162" i="1"/>
  <c r="AM163" i="1"/>
  <c r="HP70" i="8"/>
  <c r="HV70" i="8"/>
  <c r="HO70" i="8"/>
  <c r="IP76" i="8" l="1"/>
  <c r="IR76" i="8" s="1"/>
  <c r="HQ70" i="8"/>
  <c r="AT238" i="1"/>
  <c r="AS238" i="1" s="1"/>
  <c r="AU238" i="1" s="1"/>
  <c r="AR239" i="1" s="1"/>
  <c r="AQ238" i="1"/>
  <c r="AG162" i="1"/>
  <c r="AJ92" i="18"/>
  <c r="AJ92" i="7"/>
  <c r="AL163" i="1"/>
  <c r="AN163" i="1" s="1"/>
  <c r="AK164" i="1" s="1"/>
  <c r="AF145" i="1"/>
  <c r="AE145" i="1" s="1"/>
  <c r="AB145" i="1" s="1"/>
  <c r="HS70" i="8" l="1"/>
  <c r="HW70" i="8" s="1"/>
  <c r="HX70" i="8" s="1"/>
  <c r="IQ76" i="8"/>
  <c r="IX76" i="8" s="1"/>
  <c r="IS77" i="8" s="1"/>
  <c r="IV76" i="8"/>
  <c r="IZ76" i="8" s="1"/>
  <c r="AT239" i="1"/>
  <c r="AS239" i="1" s="1"/>
  <c r="AU239" i="1" s="1"/>
  <c r="AR240" i="1" s="1"/>
  <c r="AQ239" i="1"/>
  <c r="AJ164" i="1"/>
  <c r="AI163" i="1"/>
  <c r="AM164" i="1"/>
  <c r="HR70" i="8" l="1"/>
  <c r="HY70" i="8" s="1"/>
  <c r="IA70" i="8"/>
  <c r="IO77" i="8"/>
  <c r="IN77" i="8"/>
  <c r="IU77" i="8"/>
  <c r="HA85" i="8"/>
  <c r="GZ85" i="8" s="1"/>
  <c r="AT240" i="1"/>
  <c r="AS240" i="1" s="1"/>
  <c r="AU240" i="1" s="1"/>
  <c r="AR241" i="1" s="1"/>
  <c r="AQ240" i="1"/>
  <c r="AG163" i="1"/>
  <c r="AJ93" i="18"/>
  <c r="AJ93" i="7"/>
  <c r="AL164" i="1"/>
  <c r="AN164" i="1" s="1"/>
  <c r="AK165" i="1" s="1"/>
  <c r="HT71" i="8" l="1"/>
  <c r="HU71" i="8"/>
  <c r="IP77" i="8"/>
  <c r="IR77" i="8" s="1"/>
  <c r="AT241" i="1"/>
  <c r="AS241" i="1" s="1"/>
  <c r="AU241" i="1" s="1"/>
  <c r="AR242" i="1" s="1"/>
  <c r="AQ241" i="1"/>
  <c r="AJ165" i="1"/>
  <c r="AI164" i="1"/>
  <c r="HV71" i="8"/>
  <c r="HO71" i="8"/>
  <c r="HP71" i="8"/>
  <c r="FI85" i="8"/>
  <c r="FH85" i="8" s="1"/>
  <c r="IQ77" i="8" l="1"/>
  <c r="IX77" i="8" s="1"/>
  <c r="IS78" i="8" s="1"/>
  <c r="IV77" i="8"/>
  <c r="IZ77" i="8" s="1"/>
  <c r="HQ71" i="8"/>
  <c r="AT242" i="1"/>
  <c r="AS242" i="1" s="1"/>
  <c r="AU242" i="1" s="1"/>
  <c r="AR243" i="1" s="1"/>
  <c r="AQ242" i="1"/>
  <c r="AG164" i="1"/>
  <c r="AJ94" i="18"/>
  <c r="AJ94" i="7"/>
  <c r="AM165" i="1"/>
  <c r="AL165" i="1" s="1"/>
  <c r="AN165" i="1" s="1"/>
  <c r="AK166" i="1" s="1"/>
  <c r="HS71" i="8" l="1"/>
  <c r="HW71" i="8" s="1"/>
  <c r="HX71" i="8" s="1"/>
  <c r="IU78" i="8"/>
  <c r="IN78" i="8"/>
  <c r="IO78" i="8"/>
  <c r="AT243" i="1"/>
  <c r="AS243" i="1" s="1"/>
  <c r="AU243" i="1" s="1"/>
  <c r="AR244" i="1" s="1"/>
  <c r="AQ243" i="1"/>
  <c r="AJ166" i="1"/>
  <c r="AI165" i="1"/>
  <c r="AM166" i="1"/>
  <c r="AF147" i="1"/>
  <c r="AE147" i="1" s="1"/>
  <c r="AB147" i="1" s="1"/>
  <c r="HR71" i="8" l="1"/>
  <c r="HY71" i="8" s="1"/>
  <c r="IA71" i="8"/>
  <c r="IP78" i="8"/>
  <c r="IR78" i="8" s="1"/>
  <c r="AT244" i="1"/>
  <c r="AS244" i="1" s="1"/>
  <c r="AU244" i="1" s="1"/>
  <c r="AR245" i="1" s="1"/>
  <c r="AQ244" i="1"/>
  <c r="AG165" i="1"/>
  <c r="AJ95" i="7"/>
  <c r="AJ95" i="18"/>
  <c r="AL166" i="1"/>
  <c r="AN166" i="1" s="1"/>
  <c r="AK167" i="1" s="1"/>
  <c r="FI86" i="8"/>
  <c r="FH86" i="8" s="1"/>
  <c r="HT72" i="8" l="1"/>
  <c r="HU72" i="8"/>
  <c r="IQ78" i="8"/>
  <c r="IX78" i="8" s="1"/>
  <c r="IS79" i="8" s="1"/>
  <c r="IV78" i="8"/>
  <c r="IZ78" i="8" s="1"/>
  <c r="AT245" i="1"/>
  <c r="AS245" i="1" s="1"/>
  <c r="AU245" i="1" s="1"/>
  <c r="AR246" i="1" s="1"/>
  <c r="AQ245" i="1"/>
  <c r="AJ167" i="1"/>
  <c r="AI166" i="1"/>
  <c r="HO72" i="8"/>
  <c r="HP72" i="8"/>
  <c r="HV72" i="8"/>
  <c r="IN79" i="8" l="1"/>
  <c r="IU79" i="8"/>
  <c r="IO79" i="8"/>
  <c r="HQ72" i="8"/>
  <c r="AT246" i="1"/>
  <c r="AS246" i="1" s="1"/>
  <c r="AU246" i="1" s="1"/>
  <c r="AR247" i="1" s="1"/>
  <c r="AQ246" i="1"/>
  <c r="AG166" i="1"/>
  <c r="AJ96" i="18"/>
  <c r="AJ96" i="7"/>
  <c r="AM167" i="1"/>
  <c r="AL167" i="1" s="1"/>
  <c r="AN167" i="1" s="1"/>
  <c r="AK168" i="1" s="1"/>
  <c r="AF148" i="1"/>
  <c r="AE148" i="1" s="1"/>
  <c r="HS72" i="8" l="1"/>
  <c r="HW72" i="8" s="1"/>
  <c r="HX72" i="8" s="1"/>
  <c r="IA72" i="8" s="1"/>
  <c r="IP79" i="8"/>
  <c r="IR79" i="8" s="1"/>
  <c r="AT247" i="1"/>
  <c r="AS247" i="1" s="1"/>
  <c r="AU247" i="1" s="1"/>
  <c r="AR248" i="1" s="1"/>
  <c r="AQ247" i="1"/>
  <c r="AJ168" i="1"/>
  <c r="AI167" i="1"/>
  <c r="HR72" i="8" l="1"/>
  <c r="HY72" i="8" s="1"/>
  <c r="IQ79" i="8"/>
  <c r="IX79" i="8" s="1"/>
  <c r="IS80" i="8" s="1"/>
  <c r="IV79" i="8"/>
  <c r="IZ79" i="8" s="1"/>
  <c r="AT248" i="1"/>
  <c r="AS248" i="1" s="1"/>
  <c r="AU248" i="1" s="1"/>
  <c r="AR249" i="1" s="1"/>
  <c r="AQ248" i="1"/>
  <c r="AG167" i="1"/>
  <c r="AJ97" i="18"/>
  <c r="AJ97" i="7"/>
  <c r="AM168" i="1"/>
  <c r="AL168" i="1" s="1"/>
  <c r="AN168" i="1" s="1"/>
  <c r="AK169" i="1" s="1"/>
  <c r="HT73" i="8" l="1"/>
  <c r="HU73" i="8"/>
  <c r="IO80" i="8"/>
  <c r="IN80" i="8"/>
  <c r="IU80" i="8"/>
  <c r="AT249" i="1"/>
  <c r="AS249" i="1" s="1"/>
  <c r="AU249" i="1" s="1"/>
  <c r="AR250" i="1" s="1"/>
  <c r="AQ249" i="1"/>
  <c r="AJ169" i="1"/>
  <c r="AI168" i="1"/>
  <c r="HP73" i="8"/>
  <c r="HQ73" i="8" s="1"/>
  <c r="HV73" i="8"/>
  <c r="HO73" i="8"/>
  <c r="IP80" i="8" l="1"/>
  <c r="IR80" i="8" s="1"/>
  <c r="HS73" i="8"/>
  <c r="HW73" i="8" s="1"/>
  <c r="HX73" i="8" s="1"/>
  <c r="AT250" i="1"/>
  <c r="AS250" i="1" s="1"/>
  <c r="AU250" i="1" s="1"/>
  <c r="AR251" i="1" s="1"/>
  <c r="AQ250" i="1"/>
  <c r="AG168" i="1"/>
  <c r="AJ98" i="18"/>
  <c r="AJ98" i="7"/>
  <c r="AM169" i="1"/>
  <c r="AL169" i="1" s="1"/>
  <c r="AN169" i="1" s="1"/>
  <c r="AK170" i="1" s="1"/>
  <c r="IQ80" i="8" l="1"/>
  <c r="IX80" i="8" s="1"/>
  <c r="IS81" i="8" s="1"/>
  <c r="IV80" i="8"/>
  <c r="IZ80" i="8" s="1"/>
  <c r="AT251" i="1"/>
  <c r="AS251" i="1" s="1"/>
  <c r="AU251" i="1" s="1"/>
  <c r="AR252" i="1" s="1"/>
  <c r="AQ251" i="1"/>
  <c r="AJ170" i="1"/>
  <c r="AI169" i="1"/>
  <c r="IA73" i="8"/>
  <c r="HR73" i="8"/>
  <c r="IO81" i="8" l="1"/>
  <c r="IN81" i="8"/>
  <c r="IU81" i="8"/>
  <c r="FF84" i="8"/>
  <c r="AT252" i="1"/>
  <c r="AS252" i="1" s="1"/>
  <c r="AU252" i="1" s="1"/>
  <c r="AR253" i="1" s="1"/>
  <c r="AQ252" i="1"/>
  <c r="AG169" i="1"/>
  <c r="AJ99" i="18"/>
  <c r="AJ99" i="7"/>
  <c r="FI84" i="8"/>
  <c r="FH84" i="8" s="1"/>
  <c r="AM170" i="1"/>
  <c r="AL170" i="1" s="1"/>
  <c r="AN170" i="1" s="1"/>
  <c r="AK171" i="1" s="1"/>
  <c r="HY73" i="8"/>
  <c r="HT74" i="8" l="1"/>
  <c r="HU74" i="8"/>
  <c r="FE84" i="8"/>
  <c r="IP81" i="8"/>
  <c r="IR81" i="8" s="1"/>
  <c r="AT253" i="1"/>
  <c r="AS253" i="1" s="1"/>
  <c r="AU253" i="1" s="1"/>
  <c r="AR254" i="1" s="1"/>
  <c r="AQ253" i="1"/>
  <c r="AJ171" i="1"/>
  <c r="AI170" i="1"/>
  <c r="HV74" i="8"/>
  <c r="HO74" i="8"/>
  <c r="HP74" i="8"/>
  <c r="IV81" i="8" l="1"/>
  <c r="IZ81" i="8" s="1"/>
  <c r="IQ81" i="8"/>
  <c r="IX81" i="8" s="1"/>
  <c r="IS82" i="8" s="1"/>
  <c r="HQ74" i="8"/>
  <c r="AT254" i="1"/>
  <c r="AS254" i="1" s="1"/>
  <c r="AU254" i="1" s="1"/>
  <c r="AR255" i="1" s="1"/>
  <c r="AQ254" i="1"/>
  <c r="AG170" i="1"/>
  <c r="AJ100" i="18"/>
  <c r="AJ100" i="7"/>
  <c r="AM171" i="1"/>
  <c r="AL171" i="1" s="1"/>
  <c r="AN171" i="1" s="1"/>
  <c r="AK172" i="1" s="1"/>
  <c r="HS74" i="8" l="1"/>
  <c r="HW74" i="8" s="1"/>
  <c r="HX74" i="8" s="1"/>
  <c r="IA74" i="8" s="1"/>
  <c r="IN82" i="8"/>
  <c r="IO82" i="8"/>
  <c r="IU82" i="8"/>
  <c r="FF85" i="8"/>
  <c r="FE85" i="8" s="1"/>
  <c r="AT255" i="1"/>
  <c r="AS255" i="1" s="1"/>
  <c r="AU255" i="1" s="1"/>
  <c r="AR256" i="1" s="1"/>
  <c r="AQ255" i="1"/>
  <c r="AI171" i="1"/>
  <c r="HR74" i="8" l="1"/>
  <c r="HY74" i="8" s="1"/>
  <c r="IP82" i="8"/>
  <c r="IR82" i="8" s="1"/>
  <c r="AT256" i="1"/>
  <c r="AS256" i="1" s="1"/>
  <c r="AU256" i="1" s="1"/>
  <c r="AR257" i="1" s="1"/>
  <c r="AQ256" i="1"/>
  <c r="AG171" i="1"/>
  <c r="AJ101" i="18"/>
  <c r="AJ101" i="7"/>
  <c r="AJ172" i="1"/>
  <c r="AM172" i="1"/>
  <c r="AL172" i="1" s="1"/>
  <c r="AN172" i="1" s="1"/>
  <c r="AK173" i="1" s="1"/>
  <c r="AF152" i="1"/>
  <c r="AE152" i="1" s="1"/>
  <c r="AB152" i="1" s="1"/>
  <c r="HT75" i="8" l="1"/>
  <c r="HU75" i="8"/>
  <c r="IQ82" i="8"/>
  <c r="IX82" i="8" s="1"/>
  <c r="IS83" i="8" s="1"/>
  <c r="IV82" i="8"/>
  <c r="IZ82" i="8" s="1"/>
  <c r="AT257" i="1"/>
  <c r="AS257" i="1" s="1"/>
  <c r="AU257" i="1" s="1"/>
  <c r="AR258" i="1" s="1"/>
  <c r="AQ257" i="1"/>
  <c r="AJ173" i="1"/>
  <c r="AI172" i="1"/>
  <c r="HO75" i="8"/>
  <c r="HP75" i="8"/>
  <c r="HV75" i="8"/>
  <c r="IN83" i="8" l="1"/>
  <c r="IO83" i="8"/>
  <c r="IU83" i="8"/>
  <c r="HQ75" i="8"/>
  <c r="FF86" i="8"/>
  <c r="FE86" i="8" s="1"/>
  <c r="DO84" i="8"/>
  <c r="DN84" i="8" s="1"/>
  <c r="AT258" i="1"/>
  <c r="AS258" i="1" s="1"/>
  <c r="AU258" i="1" s="1"/>
  <c r="AR259" i="1" s="1"/>
  <c r="AQ258" i="1"/>
  <c r="AG172" i="1"/>
  <c r="AJ102" i="18"/>
  <c r="AJ102" i="7"/>
  <c r="AM173" i="1"/>
  <c r="AL173" i="1" s="1"/>
  <c r="AN173" i="1" s="1"/>
  <c r="AK174" i="1" s="1"/>
  <c r="HS75" i="8" l="1"/>
  <c r="HW75" i="8" s="1"/>
  <c r="HX75" i="8" s="1"/>
  <c r="IP83" i="8"/>
  <c r="IR83" i="8" s="1"/>
  <c r="AT259" i="1"/>
  <c r="AS259" i="1" s="1"/>
  <c r="AU259" i="1" s="1"/>
  <c r="AR260" i="1" s="1"/>
  <c r="AQ259" i="1"/>
  <c r="AC153" i="1"/>
  <c r="AJ174" i="1"/>
  <c r="AI173" i="1"/>
  <c r="IA75" i="8" l="1"/>
  <c r="HR75" i="8"/>
  <c r="HY75" i="8" s="1"/>
  <c r="IV83" i="8"/>
  <c r="IZ83" i="8" s="1"/>
  <c r="IQ83" i="8"/>
  <c r="IX83" i="8" s="1"/>
  <c r="IS84" i="8" s="1"/>
  <c r="AT260" i="1"/>
  <c r="AS260" i="1" s="1"/>
  <c r="AU260" i="1" s="1"/>
  <c r="AR261" i="1" s="1"/>
  <c r="AQ260" i="1"/>
  <c r="AG173" i="1"/>
  <c r="AJ103" i="7"/>
  <c r="AJ103" i="18"/>
  <c r="AM174" i="1"/>
  <c r="AL174" i="1" s="1"/>
  <c r="AN174" i="1" s="1"/>
  <c r="AK175" i="1" s="1"/>
  <c r="HT76" i="8" l="1"/>
  <c r="HU76" i="8"/>
  <c r="IN84" i="8"/>
  <c r="IU84" i="8"/>
  <c r="IO84" i="8"/>
  <c r="FF87" i="8"/>
  <c r="DO85" i="8"/>
  <c r="DN85" i="8" s="1"/>
  <c r="AT261" i="1"/>
  <c r="AS261" i="1" s="1"/>
  <c r="AU261" i="1" s="1"/>
  <c r="AR262" i="1" s="1"/>
  <c r="AQ261" i="1"/>
  <c r="FI87" i="8"/>
  <c r="FH87" i="8" s="1"/>
  <c r="AJ175" i="1"/>
  <c r="AI174" i="1"/>
  <c r="HV76" i="8"/>
  <c r="HO76" i="8"/>
  <c r="HP76" i="8"/>
  <c r="FE87" i="8" l="1"/>
  <c r="IP84" i="8"/>
  <c r="IR84" i="8" s="1"/>
  <c r="HQ76" i="8"/>
  <c r="AT262" i="1"/>
  <c r="AS262" i="1" s="1"/>
  <c r="AU262" i="1" s="1"/>
  <c r="AR263" i="1" s="1"/>
  <c r="AQ262" i="1"/>
  <c r="AG174" i="1"/>
  <c r="AJ104" i="18"/>
  <c r="AJ104" i="7"/>
  <c r="AM175" i="1"/>
  <c r="AL175" i="1" s="1"/>
  <c r="AN175" i="1" s="1"/>
  <c r="AK176" i="1" s="1"/>
  <c r="HS76" i="8" l="1"/>
  <c r="HW76" i="8" s="1"/>
  <c r="HX76" i="8" s="1"/>
  <c r="IQ84" i="8"/>
  <c r="IX84" i="8" s="1"/>
  <c r="IS85" i="8" s="1"/>
  <c r="IV84" i="8"/>
  <c r="IZ84" i="8" s="1"/>
  <c r="AT263" i="1"/>
  <c r="AS263" i="1" s="1"/>
  <c r="AU263" i="1" s="1"/>
  <c r="AR264" i="1" s="1"/>
  <c r="AQ263" i="1"/>
  <c r="AJ176" i="1"/>
  <c r="AI175" i="1"/>
  <c r="AM176" i="1"/>
  <c r="HR76" i="8" l="1"/>
  <c r="HY76" i="8" s="1"/>
  <c r="IA76" i="8"/>
  <c r="IO85" i="8"/>
  <c r="IU85" i="8"/>
  <c r="IN85" i="8"/>
  <c r="DO86" i="8"/>
  <c r="DN86" i="8" s="1"/>
  <c r="AT264" i="1"/>
  <c r="AS264" i="1" s="1"/>
  <c r="AU264" i="1" s="1"/>
  <c r="AR265" i="1" s="1"/>
  <c r="AQ264" i="1"/>
  <c r="AG175" i="1"/>
  <c r="AJ105" i="18"/>
  <c r="AJ105" i="7"/>
  <c r="AL176" i="1"/>
  <c r="AN176" i="1" s="1"/>
  <c r="AK177" i="1" s="1"/>
  <c r="HT77" i="8" l="1"/>
  <c r="HU77" i="8"/>
  <c r="IP85" i="8"/>
  <c r="IR85" i="8" s="1"/>
  <c r="AT265" i="1"/>
  <c r="AS265" i="1" s="1"/>
  <c r="AU265" i="1" s="1"/>
  <c r="AR266" i="1" s="1"/>
  <c r="AQ265" i="1"/>
  <c r="AJ177" i="1"/>
  <c r="AI176" i="1"/>
  <c r="AM177" i="1"/>
  <c r="HP77" i="8"/>
  <c r="HQ77" i="8" s="1"/>
  <c r="HV77" i="8"/>
  <c r="HO77" i="8"/>
  <c r="IQ85" i="8" l="1"/>
  <c r="IX85" i="8" s="1"/>
  <c r="IS86" i="8" s="1"/>
  <c r="IV85" i="8"/>
  <c r="IZ85" i="8" s="1"/>
  <c r="HS77" i="8"/>
  <c r="HW77" i="8" s="1"/>
  <c r="HX77" i="8" s="1"/>
  <c r="AT266" i="1"/>
  <c r="AS266" i="1" s="1"/>
  <c r="AU266" i="1" s="1"/>
  <c r="AR267" i="1" s="1"/>
  <c r="AQ266" i="1"/>
  <c r="AG176" i="1"/>
  <c r="AJ106" i="7"/>
  <c r="AJ106" i="18"/>
  <c r="AL177" i="1"/>
  <c r="AN177" i="1" s="1"/>
  <c r="AK178" i="1" s="1"/>
  <c r="IO86" i="8" l="1"/>
  <c r="IU86" i="8"/>
  <c r="IN86" i="8"/>
  <c r="AT267" i="1"/>
  <c r="AS267" i="1" s="1"/>
  <c r="AU267" i="1" s="1"/>
  <c r="AR268" i="1" s="1"/>
  <c r="AQ267" i="1"/>
  <c r="IA77" i="8"/>
  <c r="AJ178" i="1"/>
  <c r="AI177" i="1"/>
  <c r="HR77" i="8"/>
  <c r="IP86" i="8" l="1"/>
  <c r="IR86" i="8" s="1"/>
  <c r="DO87" i="8"/>
  <c r="DN87" i="8" s="1"/>
  <c r="AT268" i="1"/>
  <c r="AS268" i="1" s="1"/>
  <c r="AU268" i="1" s="1"/>
  <c r="AR269" i="1" s="1"/>
  <c r="AQ268" i="1"/>
  <c r="AG177" i="1"/>
  <c r="AJ107" i="18"/>
  <c r="AJ107" i="7"/>
  <c r="AM178" i="1"/>
  <c r="AL178" i="1" s="1"/>
  <c r="AN178" i="1" s="1"/>
  <c r="AK179" i="1" s="1"/>
  <c r="HY77" i="8"/>
  <c r="HT78" i="8" l="1"/>
  <c r="HU78" i="8"/>
  <c r="IV86" i="8"/>
  <c r="IZ86" i="8" s="1"/>
  <c r="IQ86" i="8"/>
  <c r="IX86" i="8" s="1"/>
  <c r="IS87" i="8" s="1"/>
  <c r="AT269" i="1"/>
  <c r="AS269" i="1" s="1"/>
  <c r="AU269" i="1" s="1"/>
  <c r="AR270" i="1" s="1"/>
  <c r="AQ269" i="1"/>
  <c r="AJ179" i="1"/>
  <c r="AI178" i="1"/>
  <c r="AM179" i="1"/>
  <c r="HP78" i="8"/>
  <c r="HV78" i="8"/>
  <c r="HO78" i="8"/>
  <c r="IN87" i="8" l="1"/>
  <c r="IO87" i="8"/>
  <c r="IU87" i="8"/>
  <c r="HQ78" i="8"/>
  <c r="AT270" i="1"/>
  <c r="AS270" i="1" s="1"/>
  <c r="AU270" i="1" s="1"/>
  <c r="AR271" i="1" s="1"/>
  <c r="AQ270" i="1"/>
  <c r="AG178" i="1"/>
  <c r="AJ108" i="18"/>
  <c r="AJ108" i="7"/>
  <c r="AL179" i="1"/>
  <c r="AN179" i="1" s="1"/>
  <c r="AK180" i="1" s="1"/>
  <c r="HS78" i="8" l="1"/>
  <c r="HW78" i="8" s="1"/>
  <c r="HX78" i="8" s="1"/>
  <c r="IA78" i="8" s="1"/>
  <c r="IP87" i="8"/>
  <c r="IR87" i="8" s="1"/>
  <c r="AT271" i="1"/>
  <c r="AS271" i="1" s="1"/>
  <c r="AU271" i="1" s="1"/>
  <c r="AR272" i="1" s="1"/>
  <c r="AQ271" i="1"/>
  <c r="AJ180" i="1"/>
  <c r="AI179" i="1"/>
  <c r="AM180" i="1"/>
  <c r="HR78" i="8" l="1"/>
  <c r="HY78" i="8" s="1"/>
  <c r="IQ87" i="8"/>
  <c r="IX87" i="8" s="1"/>
  <c r="IS88" i="8" s="1"/>
  <c r="IV87" i="8"/>
  <c r="IZ87" i="8" s="1"/>
  <c r="AT272" i="1"/>
  <c r="AS272" i="1" s="1"/>
  <c r="AU272" i="1" s="1"/>
  <c r="AR273" i="1" s="1"/>
  <c r="AQ272" i="1"/>
  <c r="AG179" i="1"/>
  <c r="AJ109" i="18"/>
  <c r="AJ109" i="7"/>
  <c r="AL180" i="1"/>
  <c r="AN180" i="1" s="1"/>
  <c r="AK181" i="1" s="1"/>
  <c r="HT79" i="8" l="1"/>
  <c r="HU79" i="8"/>
  <c r="IO88" i="8"/>
  <c r="IU88" i="8"/>
  <c r="IN88" i="8"/>
  <c r="AT273" i="1"/>
  <c r="AS273" i="1" s="1"/>
  <c r="AU273" i="1" s="1"/>
  <c r="AR274" i="1" s="1"/>
  <c r="AQ273" i="1"/>
  <c r="AJ181" i="1"/>
  <c r="AI180" i="1"/>
  <c r="AM181" i="1"/>
  <c r="HP79" i="8"/>
  <c r="HV79" i="8"/>
  <c r="HO79" i="8"/>
  <c r="IP88" i="8" l="1"/>
  <c r="IR88" i="8" s="1"/>
  <c r="HQ79" i="8"/>
  <c r="AT274" i="1"/>
  <c r="AS274" i="1" s="1"/>
  <c r="AU274" i="1" s="1"/>
  <c r="AR275" i="1" s="1"/>
  <c r="AQ274" i="1"/>
  <c r="AG180" i="1"/>
  <c r="AJ110" i="18"/>
  <c r="AJ110" i="7"/>
  <c r="AL181" i="1"/>
  <c r="AN181" i="1" s="1"/>
  <c r="AK182" i="1" s="1"/>
  <c r="HS79" i="8" l="1"/>
  <c r="HW79" i="8" s="1"/>
  <c r="HX79" i="8" s="1"/>
  <c r="IA79" i="8" s="1"/>
  <c r="IQ88" i="8"/>
  <c r="IX88" i="8" s="1"/>
  <c r="IS89" i="8" s="1"/>
  <c r="IV88" i="8"/>
  <c r="IZ88" i="8" s="1"/>
  <c r="AT275" i="1"/>
  <c r="AS275" i="1" s="1"/>
  <c r="AU275" i="1" s="1"/>
  <c r="AR276" i="1" s="1"/>
  <c r="AQ275" i="1"/>
  <c r="AJ182" i="1"/>
  <c r="AI181" i="1"/>
  <c r="HR79" i="8" l="1"/>
  <c r="HY79" i="8" s="1"/>
  <c r="IO89" i="8"/>
  <c r="IU89" i="8"/>
  <c r="IN89" i="8"/>
  <c r="AT276" i="1"/>
  <c r="AS276" i="1" s="1"/>
  <c r="AU276" i="1" s="1"/>
  <c r="AR277" i="1" s="1"/>
  <c r="AQ276" i="1"/>
  <c r="AG181" i="1"/>
  <c r="AJ111" i="7"/>
  <c r="AJ111" i="18"/>
  <c r="AM182" i="1"/>
  <c r="AL182" i="1" s="1"/>
  <c r="AN182" i="1" s="1"/>
  <c r="AK183" i="1" s="1"/>
  <c r="HT80" i="8" l="1"/>
  <c r="HU80" i="8"/>
  <c r="IP89" i="8"/>
  <c r="IR89" i="8" s="1"/>
  <c r="AT277" i="1"/>
  <c r="AS277" i="1" s="1"/>
  <c r="AU277" i="1" s="1"/>
  <c r="AR278" i="1" s="1"/>
  <c r="AQ277" i="1"/>
  <c r="AJ183" i="1"/>
  <c r="AI182" i="1"/>
  <c r="HP80" i="8"/>
  <c r="HQ80" i="8" s="1"/>
  <c r="HV80" i="8"/>
  <c r="HO80" i="8"/>
  <c r="IQ89" i="8" l="1"/>
  <c r="IX89" i="8" s="1"/>
  <c r="IS90" i="8" s="1"/>
  <c r="IV89" i="8"/>
  <c r="IZ89" i="8" s="1"/>
  <c r="HS80" i="8"/>
  <c r="HW80" i="8" s="1"/>
  <c r="HX80" i="8" s="1"/>
  <c r="AT278" i="1"/>
  <c r="AS278" i="1" s="1"/>
  <c r="AU278" i="1" s="1"/>
  <c r="AR279" i="1" s="1"/>
  <c r="AQ278" i="1"/>
  <c r="AG182" i="1"/>
  <c r="AJ112" i="18"/>
  <c r="AJ112" i="7"/>
  <c r="AM183" i="1"/>
  <c r="AL183" i="1" s="1"/>
  <c r="AN183" i="1" s="1"/>
  <c r="AK184" i="1" s="1"/>
  <c r="IO90" i="8" l="1"/>
  <c r="IN90" i="8"/>
  <c r="IU90" i="8"/>
  <c r="AT279" i="1"/>
  <c r="AS279" i="1" s="1"/>
  <c r="AU279" i="1" s="1"/>
  <c r="AR280" i="1" s="1"/>
  <c r="AQ279" i="1"/>
  <c r="AI183" i="1"/>
  <c r="IA80" i="8"/>
  <c r="HR80" i="8"/>
  <c r="IP90" i="8" l="1"/>
  <c r="IR90" i="8" s="1"/>
  <c r="AT280" i="1"/>
  <c r="AS280" i="1" s="1"/>
  <c r="AU280" i="1" s="1"/>
  <c r="AR281" i="1" s="1"/>
  <c r="AQ280" i="1"/>
  <c r="AG183" i="1"/>
  <c r="AJ113" i="18"/>
  <c r="AJ113" i="7"/>
  <c r="AJ184" i="1"/>
  <c r="AM184" i="1"/>
  <c r="AL184" i="1" s="1"/>
  <c r="AN184" i="1" s="1"/>
  <c r="AK185" i="1" s="1"/>
  <c r="HY80" i="8"/>
  <c r="HT81" i="8" l="1"/>
  <c r="HU81" i="8"/>
  <c r="IQ90" i="8"/>
  <c r="IX90" i="8" s="1"/>
  <c r="IS91" i="8" s="1"/>
  <c r="IV90" i="8"/>
  <c r="IZ90" i="8" s="1"/>
  <c r="AT281" i="1"/>
  <c r="AS281" i="1" s="1"/>
  <c r="AU281" i="1" s="1"/>
  <c r="AR282" i="1" s="1"/>
  <c r="AQ281" i="1"/>
  <c r="AJ185" i="1"/>
  <c r="AI184" i="1"/>
  <c r="AM185" i="1"/>
  <c r="HP81" i="8"/>
  <c r="HV81" i="8"/>
  <c r="HO81" i="8"/>
  <c r="IN91" i="8" l="1"/>
  <c r="IU91" i="8"/>
  <c r="IO91" i="8"/>
  <c r="HQ81" i="8"/>
  <c r="AT282" i="1"/>
  <c r="AS282" i="1" s="1"/>
  <c r="AU282" i="1" s="1"/>
  <c r="AR283" i="1" s="1"/>
  <c r="AQ282" i="1"/>
  <c r="AG184" i="1"/>
  <c r="AJ114" i="18"/>
  <c r="AJ114" i="7"/>
  <c r="AL185" i="1"/>
  <c r="AN185" i="1" s="1"/>
  <c r="AK186" i="1" s="1"/>
  <c r="AG99" i="7"/>
  <c r="AF99" i="7" s="1"/>
  <c r="AC99" i="7" s="1"/>
  <c r="HS81" i="8" l="1"/>
  <c r="HW81" i="8" s="1"/>
  <c r="HX81" i="8" s="1"/>
  <c r="IP91" i="8"/>
  <c r="IR91" i="8" s="1"/>
  <c r="AT283" i="1"/>
  <c r="AS283" i="1" s="1"/>
  <c r="AU283" i="1" s="1"/>
  <c r="AR284" i="1" s="1"/>
  <c r="AQ283" i="1"/>
  <c r="AJ186" i="1"/>
  <c r="AI185" i="1"/>
  <c r="IA81" i="8" l="1"/>
  <c r="HR81" i="8"/>
  <c r="HY81" i="8" s="1"/>
  <c r="IQ91" i="8"/>
  <c r="IX91" i="8" s="1"/>
  <c r="IS92" i="8" s="1"/>
  <c r="IV91" i="8"/>
  <c r="IZ91" i="8" s="1"/>
  <c r="AT284" i="1"/>
  <c r="AS284" i="1" s="1"/>
  <c r="AU284" i="1" s="1"/>
  <c r="AR285" i="1" s="1"/>
  <c r="AQ284" i="1"/>
  <c r="AG185" i="1"/>
  <c r="AJ115" i="18"/>
  <c r="AJ115" i="7"/>
  <c r="AM186" i="1"/>
  <c r="AL186" i="1" s="1"/>
  <c r="AN186" i="1" s="1"/>
  <c r="AK187" i="1" s="1"/>
  <c r="HT82" i="8" l="1"/>
  <c r="HU82" i="8"/>
  <c r="IN92" i="8"/>
  <c r="IU92" i="8"/>
  <c r="IO92" i="8"/>
  <c r="AT285" i="1"/>
  <c r="AS285" i="1" s="1"/>
  <c r="AU285" i="1" s="1"/>
  <c r="AR286" i="1" s="1"/>
  <c r="AQ285" i="1"/>
  <c r="AJ187" i="1"/>
  <c r="AI186" i="1"/>
  <c r="HP82" i="8"/>
  <c r="HV82" i="8"/>
  <c r="HO82" i="8"/>
  <c r="IP92" i="8" l="1"/>
  <c r="IR92" i="8" s="1"/>
  <c r="HQ82" i="8"/>
  <c r="AT286" i="1"/>
  <c r="AS286" i="1" s="1"/>
  <c r="AU286" i="1" s="1"/>
  <c r="AR287" i="1" s="1"/>
  <c r="AQ286" i="1"/>
  <c r="AG186" i="1"/>
  <c r="AJ116" i="18"/>
  <c r="AJ116" i="7"/>
  <c r="AM187" i="1"/>
  <c r="AL187" i="1" s="1"/>
  <c r="AN187" i="1" s="1"/>
  <c r="AK188" i="1" s="1"/>
  <c r="HS82" i="8" l="1"/>
  <c r="HW82" i="8" s="1"/>
  <c r="HX82" i="8" s="1"/>
  <c r="IA82" i="8" s="1"/>
  <c r="IQ92" i="8"/>
  <c r="IX92" i="8" s="1"/>
  <c r="IS93" i="8" s="1"/>
  <c r="IV92" i="8"/>
  <c r="IZ92" i="8" s="1"/>
  <c r="AT287" i="1"/>
  <c r="AS287" i="1" s="1"/>
  <c r="AU287" i="1" s="1"/>
  <c r="AR288" i="1" s="1"/>
  <c r="AQ287" i="1"/>
  <c r="AJ188" i="1"/>
  <c r="AI187" i="1"/>
  <c r="HR82" i="8" l="1"/>
  <c r="HY82" i="8" s="1"/>
  <c r="IO93" i="8"/>
  <c r="IU93" i="8"/>
  <c r="IN93" i="8"/>
  <c r="AT288" i="1"/>
  <c r="AS288" i="1" s="1"/>
  <c r="AU288" i="1" s="1"/>
  <c r="AR289" i="1" s="1"/>
  <c r="AQ288" i="1"/>
  <c r="AG187" i="1"/>
  <c r="AJ117" i="18"/>
  <c r="AJ117" i="7"/>
  <c r="AM188" i="1"/>
  <c r="AL188" i="1" s="1"/>
  <c r="AN188" i="1" s="1"/>
  <c r="AK189" i="1" s="1"/>
  <c r="HT83" i="8" l="1"/>
  <c r="HU83" i="8"/>
  <c r="IP93" i="8"/>
  <c r="IR93" i="8" s="1"/>
  <c r="AT289" i="1"/>
  <c r="AS289" i="1" s="1"/>
  <c r="AU289" i="1" s="1"/>
  <c r="AR290" i="1" s="1"/>
  <c r="AQ289" i="1"/>
  <c r="AJ189" i="1"/>
  <c r="AI188" i="1"/>
  <c r="HP83" i="8"/>
  <c r="HV83" i="8"/>
  <c r="HO83" i="8"/>
  <c r="IV93" i="8" l="1"/>
  <c r="IZ93" i="8" s="1"/>
  <c r="IQ93" i="8"/>
  <c r="IX93" i="8" s="1"/>
  <c r="IS94" i="8" s="1"/>
  <c r="HQ83" i="8"/>
  <c r="AT290" i="1"/>
  <c r="AS290" i="1" s="1"/>
  <c r="AU290" i="1" s="1"/>
  <c r="AR291" i="1" s="1"/>
  <c r="AQ290" i="1"/>
  <c r="AG188" i="1"/>
  <c r="AJ118" i="18"/>
  <c r="AJ118" i="7"/>
  <c r="AM189" i="1"/>
  <c r="AL189" i="1" s="1"/>
  <c r="AN189" i="1" s="1"/>
  <c r="AK190" i="1" s="1"/>
  <c r="HS83" i="8" l="1"/>
  <c r="HW83" i="8" s="1"/>
  <c r="HX83" i="8" s="1"/>
  <c r="IO94" i="8"/>
  <c r="IU94" i="8"/>
  <c r="IN94" i="8"/>
  <c r="AT291" i="1"/>
  <c r="AS291" i="1" s="1"/>
  <c r="AU291" i="1" s="1"/>
  <c r="AR292" i="1" s="1"/>
  <c r="AQ291" i="1"/>
  <c r="AJ190" i="1"/>
  <c r="AI189" i="1"/>
  <c r="HR83" i="8" l="1"/>
  <c r="HY83" i="8" s="1"/>
  <c r="IA83" i="8"/>
  <c r="IP94" i="8"/>
  <c r="IR94" i="8" s="1"/>
  <c r="AT292" i="1"/>
  <c r="AS292" i="1" s="1"/>
  <c r="AU292" i="1" s="1"/>
  <c r="AR293" i="1" s="1"/>
  <c r="AQ292" i="1"/>
  <c r="AG189" i="1"/>
  <c r="AJ119" i="7"/>
  <c r="AJ119" i="18"/>
  <c r="AM190" i="1"/>
  <c r="AL190" i="1" s="1"/>
  <c r="AN190" i="1" s="1"/>
  <c r="AK191" i="1" s="1"/>
  <c r="HT84" i="8" l="1"/>
  <c r="HU84" i="8"/>
  <c r="IQ94" i="8"/>
  <c r="IX94" i="8" s="1"/>
  <c r="IS95" i="8" s="1"/>
  <c r="IV94" i="8"/>
  <c r="IZ94" i="8" s="1"/>
  <c r="AT293" i="1"/>
  <c r="AS293" i="1" s="1"/>
  <c r="AU293" i="1" s="1"/>
  <c r="AR294" i="1" s="1"/>
  <c r="AQ293" i="1"/>
  <c r="AJ191" i="1"/>
  <c r="AI190" i="1"/>
  <c r="AM191" i="1"/>
  <c r="HP84" i="8"/>
  <c r="HV84" i="8"/>
  <c r="HO84" i="8"/>
  <c r="IU95" i="8" l="1"/>
  <c r="IO95" i="8"/>
  <c r="IN95" i="8"/>
  <c r="HQ84" i="8"/>
  <c r="AT294" i="1"/>
  <c r="AS294" i="1" s="1"/>
  <c r="AU294" i="1" s="1"/>
  <c r="AR295" i="1" s="1"/>
  <c r="AQ294" i="1"/>
  <c r="AG190" i="1"/>
  <c r="AJ120" i="18"/>
  <c r="AJ120" i="7"/>
  <c r="AL191" i="1"/>
  <c r="AN191" i="1" s="1"/>
  <c r="AK192" i="1" s="1"/>
  <c r="HS84" i="8" l="1"/>
  <c r="HW84" i="8" s="1"/>
  <c r="HX84" i="8" s="1"/>
  <c r="IP95" i="8"/>
  <c r="IR95" i="8" s="1"/>
  <c r="AT295" i="1"/>
  <c r="AS295" i="1" s="1"/>
  <c r="AU295" i="1" s="1"/>
  <c r="AR296" i="1" s="1"/>
  <c r="AQ295" i="1"/>
  <c r="AJ192" i="1"/>
  <c r="AI191" i="1"/>
  <c r="AM192" i="1"/>
  <c r="HR84" i="8" l="1"/>
  <c r="HY84" i="8" s="1"/>
  <c r="IA84" i="8"/>
  <c r="IQ95" i="8"/>
  <c r="IX95" i="8" s="1"/>
  <c r="IS96" i="8" s="1"/>
  <c r="IV95" i="8"/>
  <c r="IZ95" i="8" s="1"/>
  <c r="AT296" i="1"/>
  <c r="AS296" i="1" s="1"/>
  <c r="AU296" i="1" s="1"/>
  <c r="AR297" i="1" s="1"/>
  <c r="AQ296" i="1"/>
  <c r="AG191" i="1"/>
  <c r="AJ121" i="18"/>
  <c r="AJ121" i="7"/>
  <c r="AL192" i="1"/>
  <c r="AN192" i="1" s="1"/>
  <c r="AK193" i="1" s="1"/>
  <c r="HT85" i="8" l="1"/>
  <c r="HU85" i="8"/>
  <c r="IO96" i="8"/>
  <c r="IU96" i="8"/>
  <c r="IN96" i="8"/>
  <c r="AT297" i="1"/>
  <c r="AS297" i="1" s="1"/>
  <c r="AU297" i="1" s="1"/>
  <c r="AR298" i="1" s="1"/>
  <c r="AQ297" i="1"/>
  <c r="AJ193" i="1"/>
  <c r="AI192" i="1"/>
  <c r="HV85" i="8"/>
  <c r="HO85" i="8"/>
  <c r="HP85" i="8"/>
  <c r="IP96" i="8" l="1"/>
  <c r="IR96" i="8" s="1"/>
  <c r="HQ85" i="8"/>
  <c r="AT298" i="1"/>
  <c r="AS298" i="1" s="1"/>
  <c r="AU298" i="1" s="1"/>
  <c r="AR299" i="1" s="1"/>
  <c r="AQ298" i="1"/>
  <c r="AG192" i="1"/>
  <c r="AJ122" i="7"/>
  <c r="AJ122" i="18"/>
  <c r="AM193" i="1"/>
  <c r="AL193" i="1" s="1"/>
  <c r="AN193" i="1" s="1"/>
  <c r="AK194" i="1" s="1"/>
  <c r="HS85" i="8" l="1"/>
  <c r="HR85" i="8" s="1"/>
  <c r="IV96" i="8"/>
  <c r="IZ96" i="8" s="1"/>
  <c r="IQ96" i="8"/>
  <c r="IX96" i="8" s="1"/>
  <c r="IS97" i="8" s="1"/>
  <c r="AT299" i="1"/>
  <c r="AS299" i="1" s="1"/>
  <c r="AU299" i="1" s="1"/>
  <c r="AR300" i="1" s="1"/>
  <c r="AQ299" i="1"/>
  <c r="AJ194" i="1"/>
  <c r="AI193" i="1"/>
  <c r="HW85" i="8" l="1"/>
  <c r="HX85" i="8" s="1"/>
  <c r="HY85" i="8" s="1"/>
  <c r="IU97" i="8"/>
  <c r="IN97" i="8"/>
  <c r="IO97" i="8"/>
  <c r="AT300" i="1"/>
  <c r="AS300" i="1" s="1"/>
  <c r="AU300" i="1" s="1"/>
  <c r="AR301" i="1" s="1"/>
  <c r="AQ300" i="1"/>
  <c r="AG193" i="1"/>
  <c r="AJ123" i="18"/>
  <c r="AJ123" i="7"/>
  <c r="AM194" i="1"/>
  <c r="AL194" i="1" s="1"/>
  <c r="AN194" i="1" s="1"/>
  <c r="AK195" i="1" s="1"/>
  <c r="AF168" i="1"/>
  <c r="AE168" i="1" s="1"/>
  <c r="AB168" i="1" s="1"/>
  <c r="IA85" i="8" l="1"/>
  <c r="HT86" i="8"/>
  <c r="HU86" i="8"/>
  <c r="IP97" i="8"/>
  <c r="IR97" i="8" s="1"/>
  <c r="AT301" i="1"/>
  <c r="AS301" i="1" s="1"/>
  <c r="AU301" i="1" s="1"/>
  <c r="AR302" i="1" s="1"/>
  <c r="AQ301" i="1"/>
  <c r="HV86" i="8"/>
  <c r="AJ195" i="1"/>
  <c r="AI194" i="1"/>
  <c r="HO86" i="8"/>
  <c r="HP86" i="8"/>
  <c r="HQ86" i="8" s="1"/>
  <c r="AD106" i="7"/>
  <c r="IQ97" i="8" l="1"/>
  <c r="IX97" i="8" s="1"/>
  <c r="IS98" i="8" s="1"/>
  <c r="IV97" i="8"/>
  <c r="IZ97" i="8" s="1"/>
  <c r="HS86" i="8"/>
  <c r="HR86" i="8" s="1"/>
  <c r="AT302" i="1"/>
  <c r="AS302" i="1" s="1"/>
  <c r="AU302" i="1" s="1"/>
  <c r="AR303" i="1" s="1"/>
  <c r="AQ302" i="1"/>
  <c r="AG194" i="1"/>
  <c r="AJ124" i="18"/>
  <c r="AJ124" i="7"/>
  <c r="AM195" i="1"/>
  <c r="AL195" i="1" s="1"/>
  <c r="AN195" i="1" s="1"/>
  <c r="AK196" i="1" s="1"/>
  <c r="HW86" i="8" l="1"/>
  <c r="HX86" i="8" s="1"/>
  <c r="HY86" i="8" s="1"/>
  <c r="IN98" i="8"/>
  <c r="IU98" i="8"/>
  <c r="IO98" i="8"/>
  <c r="AT303" i="1"/>
  <c r="AS303" i="1" s="1"/>
  <c r="AU303" i="1" s="1"/>
  <c r="AR304" i="1" s="1"/>
  <c r="AQ303" i="1"/>
  <c r="AI195" i="1"/>
  <c r="HT87" i="8" l="1"/>
  <c r="HU87" i="8"/>
  <c r="IP98" i="8"/>
  <c r="IR98" i="8" s="1"/>
  <c r="AT304" i="1"/>
  <c r="AS304" i="1" s="1"/>
  <c r="AU304" i="1" s="1"/>
  <c r="AR305" i="1" s="1"/>
  <c r="AQ304" i="1"/>
  <c r="AG195" i="1"/>
  <c r="AJ125" i="18"/>
  <c r="AJ125" i="7"/>
  <c r="HP87" i="8"/>
  <c r="IA86" i="8"/>
  <c r="AJ196" i="1"/>
  <c r="AM196" i="1"/>
  <c r="AL196" i="1" s="1"/>
  <c r="AN196" i="1" s="1"/>
  <c r="AK197" i="1" s="1"/>
  <c r="HO87" i="8"/>
  <c r="HV87" i="8"/>
  <c r="IQ98" i="8" l="1"/>
  <c r="IX98" i="8" s="1"/>
  <c r="IS99" i="8" s="1"/>
  <c r="IV98" i="8"/>
  <c r="IZ98" i="8" s="1"/>
  <c r="HQ87" i="8"/>
  <c r="AT305" i="1"/>
  <c r="AS305" i="1" s="1"/>
  <c r="AU305" i="1" s="1"/>
  <c r="AR306" i="1" s="1"/>
  <c r="AQ305" i="1"/>
  <c r="AJ197" i="1"/>
  <c r="AI196" i="1"/>
  <c r="HS87" i="8" l="1"/>
  <c r="HR87" i="8" s="1"/>
  <c r="IN99" i="8"/>
  <c r="IO99" i="8"/>
  <c r="IU99" i="8"/>
  <c r="AT306" i="1"/>
  <c r="AS306" i="1" s="1"/>
  <c r="AU306" i="1" s="1"/>
  <c r="AR307" i="1" s="1"/>
  <c r="AQ306" i="1"/>
  <c r="AG196" i="1"/>
  <c r="AJ126" i="18"/>
  <c r="AJ126" i="7"/>
  <c r="AM197" i="1"/>
  <c r="AL197" i="1" s="1"/>
  <c r="AN197" i="1" s="1"/>
  <c r="AK198" i="1" s="1"/>
  <c r="HW87" i="8" l="1"/>
  <c r="HX87" i="8" s="1"/>
  <c r="HY87" i="8" s="1"/>
  <c r="IP99" i="8"/>
  <c r="IR99" i="8" s="1"/>
  <c r="AT307" i="1"/>
  <c r="AS307" i="1" s="1"/>
  <c r="AU307" i="1" s="1"/>
  <c r="AR308" i="1" s="1"/>
  <c r="AQ307" i="1"/>
  <c r="AJ198" i="1"/>
  <c r="AI197" i="1"/>
  <c r="AM198" i="1"/>
  <c r="IA87" i="8" l="1"/>
  <c r="HT88" i="8"/>
  <c r="HU88" i="8"/>
  <c r="IQ99" i="8"/>
  <c r="IX99" i="8" s="1"/>
  <c r="IS100" i="8" s="1"/>
  <c r="IV99" i="8"/>
  <c r="IZ99" i="8" s="1"/>
  <c r="AC148" i="1"/>
  <c r="AB148" i="1" s="1"/>
  <c r="AT308" i="1"/>
  <c r="AS308" i="1" s="1"/>
  <c r="AU308" i="1" s="1"/>
  <c r="AR309" i="1" s="1"/>
  <c r="AQ308" i="1"/>
  <c r="AG197" i="1"/>
  <c r="AJ127" i="7"/>
  <c r="AJ127" i="18"/>
  <c r="HV88" i="8"/>
  <c r="HP88" i="8"/>
  <c r="HQ88" i="8" s="1"/>
  <c r="HO88" i="8"/>
  <c r="AL198" i="1"/>
  <c r="AN198" i="1" s="1"/>
  <c r="AK199" i="1" s="1"/>
  <c r="IN100" i="8" l="1"/>
  <c r="IU100" i="8"/>
  <c r="IO100" i="8"/>
  <c r="HS88" i="8"/>
  <c r="HW88" i="8" s="1"/>
  <c r="AT309" i="1"/>
  <c r="AS309" i="1" s="1"/>
  <c r="AU309" i="1" s="1"/>
  <c r="AR310" i="1" s="1"/>
  <c r="AQ309" i="1"/>
  <c r="AJ199" i="1"/>
  <c r="AI198" i="1"/>
  <c r="HX88" i="8" l="1"/>
  <c r="IA88" i="8" s="1"/>
  <c r="HR88" i="8"/>
  <c r="IP100" i="8"/>
  <c r="IR100" i="8" s="1"/>
  <c r="AT310" i="1"/>
  <c r="AS310" i="1" s="1"/>
  <c r="AU310" i="1" s="1"/>
  <c r="AR311" i="1" s="1"/>
  <c r="AQ310" i="1"/>
  <c r="AG198" i="1"/>
  <c r="AJ128" i="18"/>
  <c r="AJ128" i="7"/>
  <c r="AM199" i="1"/>
  <c r="AL199" i="1" s="1"/>
  <c r="AN199" i="1" s="1"/>
  <c r="AK200" i="1" s="1"/>
  <c r="HY88" i="8" l="1"/>
  <c r="HT89" i="8" s="1"/>
  <c r="IV100" i="8"/>
  <c r="IZ100" i="8" s="1"/>
  <c r="IQ100" i="8"/>
  <c r="IX100" i="8" s="1"/>
  <c r="IS101" i="8" s="1"/>
  <c r="AT311" i="1"/>
  <c r="AS311" i="1" s="1"/>
  <c r="AU311" i="1" s="1"/>
  <c r="AR312" i="1" s="1"/>
  <c r="AQ311" i="1"/>
  <c r="AJ200" i="1"/>
  <c r="AI199" i="1"/>
  <c r="HV89" i="8" l="1"/>
  <c r="HP89" i="8"/>
  <c r="HQ89" i="8" s="1"/>
  <c r="HO89" i="8"/>
  <c r="HU89" i="8"/>
  <c r="IN101" i="8"/>
  <c r="IU101" i="8"/>
  <c r="IO101" i="8"/>
  <c r="AT312" i="1"/>
  <c r="AS312" i="1" s="1"/>
  <c r="AU312" i="1" s="1"/>
  <c r="AR313" i="1" s="1"/>
  <c r="AQ312" i="1"/>
  <c r="AG199" i="1"/>
  <c r="AJ129" i="18"/>
  <c r="AJ129" i="7"/>
  <c r="AM200" i="1"/>
  <c r="AL200" i="1" s="1"/>
  <c r="AN200" i="1" s="1"/>
  <c r="AK201" i="1" s="1"/>
  <c r="HS89" i="8" l="1"/>
  <c r="HW89" i="8" s="1"/>
  <c r="HX89" i="8" s="1"/>
  <c r="IP101" i="8"/>
  <c r="IR101" i="8" s="1"/>
  <c r="AT313" i="1"/>
  <c r="AS313" i="1" s="1"/>
  <c r="AU313" i="1" s="1"/>
  <c r="AR314" i="1" s="1"/>
  <c r="AQ313" i="1"/>
  <c r="AJ201" i="1"/>
  <c r="AI200" i="1"/>
  <c r="IA89" i="8" l="1"/>
  <c r="HR89" i="8"/>
  <c r="HY89" i="8" s="1"/>
  <c r="IQ101" i="8"/>
  <c r="IX101" i="8" s="1"/>
  <c r="IS102" i="8" s="1"/>
  <c r="IV101" i="8"/>
  <c r="IZ101" i="8" s="1"/>
  <c r="AT314" i="1"/>
  <c r="AS314" i="1" s="1"/>
  <c r="AU314" i="1" s="1"/>
  <c r="AR315" i="1" s="1"/>
  <c r="AQ314" i="1"/>
  <c r="AG200" i="1"/>
  <c r="AJ130" i="7"/>
  <c r="AJ130" i="18"/>
  <c r="AM201" i="1"/>
  <c r="AL201" i="1" s="1"/>
  <c r="AN201" i="1" s="1"/>
  <c r="AK202" i="1" s="1"/>
  <c r="HT90" i="8" l="1"/>
  <c r="HU90" i="8"/>
  <c r="IN102" i="8"/>
  <c r="IU102" i="8"/>
  <c r="IO102" i="8"/>
  <c r="IP102" i="8" s="1"/>
  <c r="AT315" i="1"/>
  <c r="AS315" i="1" s="1"/>
  <c r="AU315" i="1" s="1"/>
  <c r="AR316" i="1" s="1"/>
  <c r="AQ315" i="1"/>
  <c r="AJ202" i="1"/>
  <c r="AI201" i="1"/>
  <c r="HV90" i="8"/>
  <c r="HP90" i="8"/>
  <c r="HO90" i="8"/>
  <c r="IR102" i="8" l="1"/>
  <c r="HQ90" i="8"/>
  <c r="AT316" i="1"/>
  <c r="AS316" i="1" s="1"/>
  <c r="AU316" i="1" s="1"/>
  <c r="AR317" i="1" s="1"/>
  <c r="AQ316" i="1"/>
  <c r="AG201" i="1"/>
  <c r="AJ131" i="18"/>
  <c r="AJ131" i="7"/>
  <c r="AM202" i="1"/>
  <c r="AL202" i="1" s="1"/>
  <c r="AN202" i="1" s="1"/>
  <c r="AK203" i="1" s="1"/>
  <c r="HS90" i="8" l="1"/>
  <c r="HW90" i="8" s="1"/>
  <c r="HX90" i="8" s="1"/>
  <c r="IV102" i="8"/>
  <c r="IZ102" i="8" s="1"/>
  <c r="IQ102" i="8"/>
  <c r="IX102" i="8" s="1"/>
  <c r="IS103" i="8" s="1"/>
  <c r="AT317" i="1"/>
  <c r="AS317" i="1" s="1"/>
  <c r="AU317" i="1" s="1"/>
  <c r="AR318" i="1" s="1"/>
  <c r="AQ317" i="1"/>
  <c r="AJ203" i="1"/>
  <c r="AI202" i="1"/>
  <c r="AC174" i="1"/>
  <c r="IA90" i="8" l="1"/>
  <c r="HR90" i="8"/>
  <c r="HY90" i="8" s="1"/>
  <c r="IO103" i="8"/>
  <c r="IN103" i="8"/>
  <c r="IU103" i="8"/>
  <c r="AT318" i="1"/>
  <c r="AS318" i="1" s="1"/>
  <c r="AU318" i="1" s="1"/>
  <c r="AR319" i="1" s="1"/>
  <c r="AQ318" i="1"/>
  <c r="AG202" i="1"/>
  <c r="AJ132" i="18"/>
  <c r="AJ132" i="7"/>
  <c r="AM203" i="1"/>
  <c r="AL203" i="1" s="1"/>
  <c r="AN203" i="1" s="1"/>
  <c r="AK204" i="1" s="1"/>
  <c r="AF174" i="1"/>
  <c r="AE174" i="1" s="1"/>
  <c r="AB174" i="1" s="1"/>
  <c r="HT91" i="8" l="1"/>
  <c r="HU91" i="8"/>
  <c r="IP103" i="8"/>
  <c r="IR103" i="8" s="1"/>
  <c r="AT319" i="1"/>
  <c r="AS319" i="1" s="1"/>
  <c r="AU319" i="1" s="1"/>
  <c r="AR320" i="1" s="1"/>
  <c r="AQ319" i="1"/>
  <c r="AJ204" i="1"/>
  <c r="AI203" i="1"/>
  <c r="HV91" i="8"/>
  <c r="HO91" i="8"/>
  <c r="HP91" i="8"/>
  <c r="IQ103" i="8" l="1"/>
  <c r="IX103" i="8" s="1"/>
  <c r="IS104" i="8" s="1"/>
  <c r="IV103" i="8"/>
  <c r="IZ103" i="8" s="1"/>
  <c r="HQ91" i="8"/>
  <c r="AT320" i="1"/>
  <c r="AS320" i="1" s="1"/>
  <c r="AU320" i="1" s="1"/>
  <c r="AR321" i="1" s="1"/>
  <c r="AQ320" i="1"/>
  <c r="AG203" i="1"/>
  <c r="AJ133" i="18"/>
  <c r="AJ133" i="7"/>
  <c r="AM204" i="1"/>
  <c r="AL204" i="1" s="1"/>
  <c r="AN204" i="1" s="1"/>
  <c r="AK205" i="1" s="1"/>
  <c r="HS91" i="8" l="1"/>
  <c r="HW91" i="8" s="1"/>
  <c r="HX91" i="8" s="1"/>
  <c r="IO104" i="8"/>
  <c r="IU104" i="8"/>
  <c r="IN104" i="8"/>
  <c r="AT321" i="1"/>
  <c r="AS321" i="1" s="1"/>
  <c r="AU321" i="1" s="1"/>
  <c r="AR322" i="1" s="1"/>
  <c r="AQ321" i="1"/>
  <c r="AJ205" i="1"/>
  <c r="AI204" i="1"/>
  <c r="IA91" i="8" l="1"/>
  <c r="HR91" i="8"/>
  <c r="HY91" i="8" s="1"/>
  <c r="IP104" i="8"/>
  <c r="IR104" i="8" s="1"/>
  <c r="AT322" i="1"/>
  <c r="AS322" i="1" s="1"/>
  <c r="AU322" i="1" s="1"/>
  <c r="AR323" i="1" s="1"/>
  <c r="AQ322" i="1"/>
  <c r="AG204" i="1"/>
  <c r="AJ134" i="18"/>
  <c r="AJ134" i="7"/>
  <c r="AM205" i="1"/>
  <c r="AL205" i="1" s="1"/>
  <c r="AN205" i="1" s="1"/>
  <c r="AK206" i="1" s="1"/>
  <c r="HT92" i="8" l="1"/>
  <c r="HU92" i="8"/>
  <c r="IQ104" i="8"/>
  <c r="IX104" i="8" s="1"/>
  <c r="IS105" i="8" s="1"/>
  <c r="IV104" i="8"/>
  <c r="IZ104" i="8" s="1"/>
  <c r="AT323" i="1"/>
  <c r="AS323" i="1" s="1"/>
  <c r="AU323" i="1" s="1"/>
  <c r="AR324" i="1" s="1"/>
  <c r="AQ323" i="1"/>
  <c r="AJ206" i="1"/>
  <c r="AI205" i="1"/>
  <c r="HP92" i="8"/>
  <c r="HV92" i="8"/>
  <c r="HO92" i="8"/>
  <c r="IN105" i="8" l="1"/>
  <c r="IU105" i="8"/>
  <c r="IO105" i="8"/>
  <c r="HQ92" i="8"/>
  <c r="AT324" i="1"/>
  <c r="AS324" i="1" s="1"/>
  <c r="AU324" i="1" s="1"/>
  <c r="AR325" i="1" s="1"/>
  <c r="AQ324" i="1"/>
  <c r="AG205" i="1"/>
  <c r="AJ135" i="7"/>
  <c r="AJ135" i="18"/>
  <c r="AM206" i="1"/>
  <c r="AL206" i="1" s="1"/>
  <c r="AN206" i="1" s="1"/>
  <c r="AK207" i="1" s="1"/>
  <c r="HS92" i="8" l="1"/>
  <c r="HW92" i="8" s="1"/>
  <c r="HX92" i="8" s="1"/>
  <c r="IP105" i="8"/>
  <c r="IR105" i="8" s="1"/>
  <c r="AT325" i="1"/>
  <c r="AS325" i="1" s="1"/>
  <c r="AU325" i="1" s="1"/>
  <c r="AR326" i="1" s="1"/>
  <c r="AQ325" i="1"/>
  <c r="AJ207" i="1"/>
  <c r="AI206" i="1"/>
  <c r="HR92" i="8" l="1"/>
  <c r="HY92" i="8" s="1"/>
  <c r="IA92" i="8"/>
  <c r="IQ105" i="8"/>
  <c r="IX105" i="8" s="1"/>
  <c r="IS106" i="8" s="1"/>
  <c r="IV105" i="8"/>
  <c r="IZ105" i="8" s="1"/>
  <c r="AT326" i="1"/>
  <c r="AS326" i="1" s="1"/>
  <c r="AU326" i="1" s="1"/>
  <c r="AR327" i="1" s="1"/>
  <c r="AQ326" i="1"/>
  <c r="AG206" i="1"/>
  <c r="AJ136" i="18"/>
  <c r="AJ136" i="7"/>
  <c r="AM207" i="1"/>
  <c r="AL207" i="1" s="1"/>
  <c r="AN207" i="1" s="1"/>
  <c r="AK208" i="1" s="1"/>
  <c r="HT93" i="8" l="1"/>
  <c r="HU93" i="8"/>
  <c r="IN106" i="8"/>
  <c r="IU106" i="8"/>
  <c r="IO106" i="8"/>
  <c r="AT327" i="1"/>
  <c r="AS327" i="1" s="1"/>
  <c r="AU327" i="1" s="1"/>
  <c r="AQ327" i="1"/>
  <c r="AI207" i="1"/>
  <c r="HV93" i="8"/>
  <c r="HO93" i="8"/>
  <c r="HP93" i="8"/>
  <c r="AQ328" i="1" l="1"/>
  <c r="AR328" i="1"/>
  <c r="IP106" i="8"/>
  <c r="IR106" i="8" s="1"/>
  <c r="HQ93" i="8"/>
  <c r="AG207" i="1"/>
  <c r="AJ137" i="18"/>
  <c r="AJ137" i="7"/>
  <c r="AJ208" i="1"/>
  <c r="AM208" i="1"/>
  <c r="AL208" i="1" s="1"/>
  <c r="AN208" i="1" s="1"/>
  <c r="AK209" i="1" s="1"/>
  <c r="AT328" i="1" l="1"/>
  <c r="AS328" i="1" s="1"/>
  <c r="AU328" i="1" s="1"/>
  <c r="HS93" i="8"/>
  <c r="HW93" i="8" s="1"/>
  <c r="HX93" i="8" s="1"/>
  <c r="IQ106" i="8"/>
  <c r="IX106" i="8" s="1"/>
  <c r="IS107" i="8" s="1"/>
  <c r="IV106" i="8"/>
  <c r="IZ106" i="8" s="1"/>
  <c r="AJ209" i="1"/>
  <c r="AI208" i="1"/>
  <c r="AQ329" i="1" l="1"/>
  <c r="AR329" i="1"/>
  <c r="AT329" i="1" s="1"/>
  <c r="AS329" i="1" s="1"/>
  <c r="AU329" i="1" s="1"/>
  <c r="AR330" i="1" s="1"/>
  <c r="HR93" i="8"/>
  <c r="HY93" i="8" s="1"/>
  <c r="IA93" i="8"/>
  <c r="IO107" i="8"/>
  <c r="IN107" i="8"/>
  <c r="IU107" i="8"/>
  <c r="AG208" i="1"/>
  <c r="AJ138" i="7"/>
  <c r="AJ138" i="18"/>
  <c r="AM209" i="1"/>
  <c r="AL209" i="1" s="1"/>
  <c r="AN209" i="1" s="1"/>
  <c r="AK210" i="1" s="1"/>
  <c r="AQ330" i="1" l="1"/>
  <c r="AT330" i="1"/>
  <c r="AS330" i="1" s="1"/>
  <c r="AU330" i="1" s="1"/>
  <c r="AR331" i="1" s="1"/>
  <c r="AT331" i="1" s="1"/>
  <c r="AS331" i="1" s="1"/>
  <c r="AU331" i="1" s="1"/>
  <c r="HT94" i="8"/>
  <c r="HU94" i="8"/>
  <c r="IP107" i="8"/>
  <c r="IR107" i="8" s="1"/>
  <c r="AJ210" i="1"/>
  <c r="AI209" i="1"/>
  <c r="HP94" i="8"/>
  <c r="HQ94" i="8" s="1"/>
  <c r="HV94" i="8"/>
  <c r="HO94" i="8"/>
  <c r="AQ331" i="1" l="1"/>
  <c r="AQ332" i="1" s="1"/>
  <c r="AR332" i="1"/>
  <c r="AT332" i="1" s="1"/>
  <c r="AS332" i="1" s="1"/>
  <c r="AU332" i="1" s="1"/>
  <c r="IQ107" i="8"/>
  <c r="IX107" i="8" s="1"/>
  <c r="IS108" i="8" s="1"/>
  <c r="IV107" i="8"/>
  <c r="IZ107" i="8" s="1"/>
  <c r="HS94" i="8"/>
  <c r="HR94" i="8" s="1"/>
  <c r="AG209" i="1"/>
  <c r="AJ139" i="18"/>
  <c r="AJ139" i="7"/>
  <c r="AM210" i="1"/>
  <c r="AL210" i="1" s="1"/>
  <c r="AN210" i="1" s="1"/>
  <c r="AK211" i="1" s="1"/>
  <c r="AQ333" i="1" l="1"/>
  <c r="AR333" i="1"/>
  <c r="AT333" i="1" s="1"/>
  <c r="AS333" i="1" s="1"/>
  <c r="AU333" i="1" s="1"/>
  <c r="IN108" i="8"/>
  <c r="IU108" i="8"/>
  <c r="IO108" i="8"/>
  <c r="AJ211" i="1"/>
  <c r="AI210" i="1"/>
  <c r="HW94" i="8"/>
  <c r="HX94" i="8" s="1"/>
  <c r="AQ334" i="1" l="1"/>
  <c r="AR334" i="1"/>
  <c r="AT334" i="1" s="1"/>
  <c r="AS334" i="1" s="1"/>
  <c r="AU334" i="1" s="1"/>
  <c r="IP108" i="8"/>
  <c r="IR108" i="8" s="1"/>
  <c r="AG210" i="1"/>
  <c r="AJ140" i="18"/>
  <c r="AJ140" i="7"/>
  <c r="AM211" i="1"/>
  <c r="AL211" i="1" s="1"/>
  <c r="AN211" i="1" s="1"/>
  <c r="AK212" i="1" s="1"/>
  <c r="HY94" i="8"/>
  <c r="AQ335" i="1" l="1"/>
  <c r="AR335" i="1"/>
  <c r="AT335" i="1" s="1"/>
  <c r="AS335" i="1" s="1"/>
  <c r="AU335" i="1" s="1"/>
  <c r="HT95" i="8"/>
  <c r="HU95" i="8"/>
  <c r="IQ108" i="8"/>
  <c r="IX108" i="8" s="1"/>
  <c r="IS109" i="8" s="1"/>
  <c r="IV108" i="8"/>
  <c r="IZ108" i="8" s="1"/>
  <c r="HV95" i="8"/>
  <c r="IA94" i="8"/>
  <c r="AJ212" i="1"/>
  <c r="AI211" i="1"/>
  <c r="HO95" i="8"/>
  <c r="HP95" i="8"/>
  <c r="HQ95" i="8" s="1"/>
  <c r="AQ336" i="1" l="1"/>
  <c r="AR336" i="1"/>
  <c r="AT336" i="1" s="1"/>
  <c r="AS336" i="1" s="1"/>
  <c r="AU336" i="1" s="1"/>
  <c r="IN109" i="8"/>
  <c r="IU109" i="8"/>
  <c r="IO109" i="8"/>
  <c r="HS95" i="8"/>
  <c r="HW95" i="8" s="1"/>
  <c r="HX95" i="8" s="1"/>
  <c r="AJ141" i="18"/>
  <c r="AJ141" i="7"/>
  <c r="AM212" i="1"/>
  <c r="AL212" i="1" s="1"/>
  <c r="AN212" i="1" s="1"/>
  <c r="AK213" i="1" s="1"/>
  <c r="AG212" i="1"/>
  <c r="AG211" i="1"/>
  <c r="AF181" i="1"/>
  <c r="AE181" i="1" s="1"/>
  <c r="AB181" i="1" s="1"/>
  <c r="AQ337" i="1" l="1"/>
  <c r="AR337" i="1"/>
  <c r="AT337" i="1" s="1"/>
  <c r="AS337" i="1" s="1"/>
  <c r="AU337" i="1" s="1"/>
  <c r="HR95" i="8"/>
  <c r="IP109" i="8"/>
  <c r="IR109" i="8" s="1"/>
  <c r="IA95" i="8"/>
  <c r="AJ213" i="1"/>
  <c r="AI212" i="1"/>
  <c r="AR338" i="1" l="1"/>
  <c r="AT338" i="1" s="1"/>
  <c r="AS338" i="1" s="1"/>
  <c r="AU338" i="1" s="1"/>
  <c r="AQ338" i="1"/>
  <c r="IQ109" i="8"/>
  <c r="IX109" i="8" s="1"/>
  <c r="IS110" i="8" s="1"/>
  <c r="IV109" i="8"/>
  <c r="IZ109" i="8" s="1"/>
  <c r="AJ142" i="18"/>
  <c r="AJ142" i="7"/>
  <c r="HY95" i="8"/>
  <c r="AM213" i="1"/>
  <c r="AL213" i="1" s="1"/>
  <c r="AN213" i="1" s="1"/>
  <c r="AK214" i="1" s="1"/>
  <c r="AQ339" i="1" l="1"/>
  <c r="AR339" i="1"/>
  <c r="AT339" i="1" s="1"/>
  <c r="AS339" i="1" s="1"/>
  <c r="AU339" i="1" s="1"/>
  <c r="HT96" i="8"/>
  <c r="HU96" i="8"/>
  <c r="IO110" i="8"/>
  <c r="IN110" i="8"/>
  <c r="IU110" i="8"/>
  <c r="HO96" i="8"/>
  <c r="HV96" i="8"/>
  <c r="HP96" i="8"/>
  <c r="AJ214" i="1"/>
  <c r="AI213" i="1"/>
  <c r="AQ340" i="1" l="1"/>
  <c r="AR340" i="1"/>
  <c r="IP110" i="8"/>
  <c r="IR110" i="8" s="1"/>
  <c r="HQ96" i="8"/>
  <c r="AG213" i="1"/>
  <c r="AJ143" i="7"/>
  <c r="AJ143" i="18"/>
  <c r="AM214" i="1"/>
  <c r="AL214" i="1" s="1"/>
  <c r="AN214" i="1" s="1"/>
  <c r="AK215" i="1" s="1"/>
  <c r="AT340" i="1" l="1"/>
  <c r="AS340" i="1" s="1"/>
  <c r="AU340" i="1" s="1"/>
  <c r="HS96" i="8"/>
  <c r="HR96" i="8" s="1"/>
  <c r="IQ110" i="8"/>
  <c r="IX110" i="8" s="1"/>
  <c r="IS111" i="8" s="1"/>
  <c r="IV110" i="8"/>
  <c r="IZ110" i="8" s="1"/>
  <c r="AJ215" i="1"/>
  <c r="AI214" i="1"/>
  <c r="AQ341" i="1" l="1"/>
  <c r="AR341" i="1"/>
  <c r="AT341" i="1" s="1"/>
  <c r="AS341" i="1" s="1"/>
  <c r="AU341" i="1" s="1"/>
  <c r="HW96" i="8"/>
  <c r="HX96" i="8" s="1"/>
  <c r="IU111" i="8"/>
  <c r="IN111" i="8"/>
  <c r="IO111" i="8"/>
  <c r="AG214" i="1"/>
  <c r="AJ144" i="18"/>
  <c r="AJ144" i="7"/>
  <c r="AM215" i="1"/>
  <c r="AL215" i="1" s="1"/>
  <c r="AN215" i="1" s="1"/>
  <c r="AK216" i="1" s="1"/>
  <c r="AQ342" i="1" l="1"/>
  <c r="AR342" i="1"/>
  <c r="AT342" i="1" s="1"/>
  <c r="AS342" i="1" s="1"/>
  <c r="AU342" i="1" s="1"/>
  <c r="IA96" i="8"/>
  <c r="HY96" i="8"/>
  <c r="HT97" i="8" s="1"/>
  <c r="IP111" i="8"/>
  <c r="IR111" i="8" s="1"/>
  <c r="AJ216" i="1"/>
  <c r="AI215" i="1"/>
  <c r="AQ343" i="1" l="1"/>
  <c r="AR343" i="1"/>
  <c r="AT343" i="1" s="1"/>
  <c r="AS343" i="1" s="1"/>
  <c r="AU343" i="1" s="1"/>
  <c r="HO97" i="8"/>
  <c r="HV97" i="8"/>
  <c r="HP97" i="8"/>
  <c r="HQ97" i="8" s="1"/>
  <c r="HS97" i="8" s="1"/>
  <c r="HR97" i="8" s="1"/>
  <c r="HU97" i="8"/>
  <c r="IQ111" i="8"/>
  <c r="IX111" i="8" s="1"/>
  <c r="IS112" i="8" s="1"/>
  <c r="IV111" i="8"/>
  <c r="IZ111" i="8" s="1"/>
  <c r="AG215" i="1"/>
  <c r="AJ145" i="18"/>
  <c r="AJ145" i="7"/>
  <c r="AM216" i="1"/>
  <c r="AL216" i="1" s="1"/>
  <c r="AN216" i="1" s="1"/>
  <c r="AK217" i="1" s="1"/>
  <c r="AQ344" i="1" l="1"/>
  <c r="AR344" i="1"/>
  <c r="AT344" i="1" s="1"/>
  <c r="AS344" i="1" s="1"/>
  <c r="AU344" i="1" s="1"/>
  <c r="AR345" i="1" s="1"/>
  <c r="AT345" i="1" s="1"/>
  <c r="AS345" i="1" s="1"/>
  <c r="AU345" i="1" s="1"/>
  <c r="HW97" i="8"/>
  <c r="HX97" i="8" s="1"/>
  <c r="HY97" i="8" s="1"/>
  <c r="IU112" i="8"/>
  <c r="IN112" i="8"/>
  <c r="IO112" i="8"/>
  <c r="AJ217" i="1"/>
  <c r="AI216" i="1"/>
  <c r="AQ345" i="1" l="1"/>
  <c r="AQ346" i="1" s="1"/>
  <c r="AR346" i="1"/>
  <c r="AT346" i="1" s="1"/>
  <c r="AS346" i="1" s="1"/>
  <c r="AU346" i="1" s="1"/>
  <c r="IA97" i="8"/>
  <c r="HT98" i="8"/>
  <c r="HU98" i="8"/>
  <c r="IP112" i="8"/>
  <c r="IR112" i="8" s="1"/>
  <c r="AG216" i="1"/>
  <c r="AJ146" i="18"/>
  <c r="AJ146" i="7"/>
  <c r="AM217" i="1"/>
  <c r="AL217" i="1" s="1"/>
  <c r="AN217" i="1" s="1"/>
  <c r="AK218" i="1" s="1"/>
  <c r="HV98" i="8"/>
  <c r="HO98" i="8"/>
  <c r="HP98" i="8"/>
  <c r="HQ98" i="8" s="1"/>
  <c r="AR347" i="1" l="1"/>
  <c r="AT347" i="1" s="1"/>
  <c r="AS347" i="1" s="1"/>
  <c r="AU347" i="1" s="1"/>
  <c r="AQ347" i="1"/>
  <c r="IV112" i="8"/>
  <c r="IZ112" i="8" s="1"/>
  <c r="IQ112" i="8"/>
  <c r="IX112" i="8" s="1"/>
  <c r="IS113" i="8" s="1"/>
  <c r="AJ218" i="1"/>
  <c r="AI217" i="1"/>
  <c r="HS98" i="8"/>
  <c r="HR98" i="8" s="1"/>
  <c r="AQ348" i="1" l="1"/>
  <c r="AR348" i="1"/>
  <c r="AT348" i="1" s="1"/>
  <c r="AS348" i="1" s="1"/>
  <c r="AU348" i="1" s="1"/>
  <c r="IO113" i="8"/>
  <c r="IU113" i="8"/>
  <c r="IN113" i="8"/>
  <c r="AG217" i="1"/>
  <c r="AJ147" i="18"/>
  <c r="AJ147" i="7"/>
  <c r="AM218" i="1"/>
  <c r="AL218" i="1" s="1"/>
  <c r="AN218" i="1" s="1"/>
  <c r="AK219" i="1" s="1"/>
  <c r="HW98" i="8"/>
  <c r="HX98" i="8" s="1"/>
  <c r="AQ349" i="1" l="1"/>
  <c r="AR349" i="1"/>
  <c r="AT349" i="1" s="1"/>
  <c r="AS349" i="1" s="1"/>
  <c r="AU349" i="1" s="1"/>
  <c r="IP113" i="8"/>
  <c r="IR113" i="8" s="1"/>
  <c r="IA98" i="8"/>
  <c r="AJ219" i="1"/>
  <c r="AI218" i="1"/>
  <c r="AQ350" i="1" l="1"/>
  <c r="AR350" i="1"/>
  <c r="AT350" i="1" s="1"/>
  <c r="AS350" i="1" s="1"/>
  <c r="AU350" i="1" s="1"/>
  <c r="IV113" i="8"/>
  <c r="IZ113" i="8" s="1"/>
  <c r="IQ113" i="8"/>
  <c r="IX113" i="8" s="1"/>
  <c r="IS114" i="8" s="1"/>
  <c r="AG218" i="1"/>
  <c r="AJ148" i="18"/>
  <c r="AJ148" i="7"/>
  <c r="HY98" i="8"/>
  <c r="AM219" i="1"/>
  <c r="AL219" i="1" s="1"/>
  <c r="AN219" i="1" s="1"/>
  <c r="AK220" i="1" s="1"/>
  <c r="AR351" i="1" l="1"/>
  <c r="AT351" i="1" s="1"/>
  <c r="AS351" i="1" s="1"/>
  <c r="AU351" i="1" s="1"/>
  <c r="AQ351" i="1"/>
  <c r="HT99" i="8"/>
  <c r="HU99" i="8"/>
  <c r="IO114" i="8"/>
  <c r="IN114" i="8"/>
  <c r="IU114" i="8"/>
  <c r="HV99" i="8"/>
  <c r="HO99" i="8"/>
  <c r="HP99" i="8"/>
  <c r="AI219" i="1"/>
  <c r="AR352" i="1" l="1"/>
  <c r="AT352" i="1" s="1"/>
  <c r="AS352" i="1" s="1"/>
  <c r="AU352" i="1" s="1"/>
  <c r="AQ352" i="1"/>
  <c r="IP114" i="8"/>
  <c r="IR114" i="8" s="1"/>
  <c r="HQ99" i="8"/>
  <c r="AG219" i="1"/>
  <c r="AJ149" i="18"/>
  <c r="AJ149" i="7"/>
  <c r="AJ220" i="1"/>
  <c r="AM220" i="1"/>
  <c r="AL220" i="1" s="1"/>
  <c r="AN220" i="1" s="1"/>
  <c r="AK221" i="1" s="1"/>
  <c r="AR353" i="1" l="1"/>
  <c r="AT353" i="1" s="1"/>
  <c r="AS353" i="1" s="1"/>
  <c r="AU353" i="1" s="1"/>
  <c r="AQ353" i="1"/>
  <c r="HS99" i="8"/>
  <c r="HR99" i="8" s="1"/>
  <c r="IQ114" i="8"/>
  <c r="IX114" i="8" s="1"/>
  <c r="IS115" i="8" s="1"/>
  <c r="IV114" i="8"/>
  <c r="IZ114" i="8" s="1"/>
  <c r="AJ221" i="1"/>
  <c r="AI220" i="1"/>
  <c r="AQ354" i="1" l="1"/>
  <c r="AR354" i="1"/>
  <c r="AT354" i="1" s="1"/>
  <c r="AS354" i="1" s="1"/>
  <c r="AU354" i="1" s="1"/>
  <c r="HW99" i="8"/>
  <c r="HX99" i="8" s="1"/>
  <c r="HY99" i="8" s="1"/>
  <c r="IN115" i="8"/>
  <c r="IO115" i="8"/>
  <c r="IP115" i="8" s="1"/>
  <c r="IU115" i="8"/>
  <c r="AG220" i="1"/>
  <c r="AJ150" i="18"/>
  <c r="AJ150" i="7"/>
  <c r="AM221" i="1"/>
  <c r="AL221" i="1" s="1"/>
  <c r="AN221" i="1" s="1"/>
  <c r="AK222" i="1" s="1"/>
  <c r="AR355" i="1" l="1"/>
  <c r="AT355" i="1" s="1"/>
  <c r="AS355" i="1" s="1"/>
  <c r="AU355" i="1" s="1"/>
  <c r="AQ355" i="1"/>
  <c r="IA99" i="8"/>
  <c r="HT100" i="8"/>
  <c r="HU100" i="8"/>
  <c r="HP100" i="8"/>
  <c r="HQ100" i="8" s="1"/>
  <c r="HS100" i="8" s="1"/>
  <c r="HR100" i="8" s="1"/>
  <c r="HV100" i="8"/>
  <c r="HO100" i="8"/>
  <c r="IR115" i="8"/>
  <c r="AJ222" i="1"/>
  <c r="AI221" i="1"/>
  <c r="AQ356" i="1" l="1"/>
  <c r="AR356" i="1"/>
  <c r="AT356" i="1" s="1"/>
  <c r="AS356" i="1" s="1"/>
  <c r="AU356" i="1" s="1"/>
  <c r="HW100" i="8"/>
  <c r="IV115" i="8"/>
  <c r="IZ115" i="8" s="1"/>
  <c r="IQ115" i="8"/>
  <c r="IX115" i="8" s="1"/>
  <c r="IS116" i="8" s="1"/>
  <c r="AG221" i="1"/>
  <c r="AJ151" i="7"/>
  <c r="AJ151" i="18"/>
  <c r="AM222" i="1"/>
  <c r="AL222" i="1" s="1"/>
  <c r="AN222" i="1" s="1"/>
  <c r="AK223" i="1" s="1"/>
  <c r="AQ357" i="1" l="1"/>
  <c r="AR357" i="1"/>
  <c r="AT357" i="1" s="1"/>
  <c r="AS357" i="1" s="1"/>
  <c r="AU357" i="1" s="1"/>
  <c r="HX100" i="8"/>
  <c r="IA100" i="8" s="1"/>
  <c r="IN116" i="8"/>
  <c r="IO116" i="8"/>
  <c r="IU116" i="8"/>
  <c r="AJ223" i="1"/>
  <c r="AI222" i="1"/>
  <c r="AQ358" i="1" l="1"/>
  <c r="AR358" i="1"/>
  <c r="AT358" i="1" s="1"/>
  <c r="AS358" i="1" s="1"/>
  <c r="AU358" i="1" s="1"/>
  <c r="HY100" i="8"/>
  <c r="IP116" i="8"/>
  <c r="IR116" i="8" s="1"/>
  <c r="AG222" i="1"/>
  <c r="AJ152" i="18"/>
  <c r="AJ152" i="7"/>
  <c r="AM223" i="1"/>
  <c r="AL223" i="1" s="1"/>
  <c r="AN223" i="1" s="1"/>
  <c r="AK224" i="1" s="1"/>
  <c r="AQ359" i="1" l="1"/>
  <c r="AR359" i="1"/>
  <c r="AT359" i="1" s="1"/>
  <c r="AS359" i="1" s="1"/>
  <c r="AU359" i="1" s="1"/>
  <c r="HP101" i="8"/>
  <c r="HQ101" i="8" s="1"/>
  <c r="HS101" i="8" s="1"/>
  <c r="HU101" i="8"/>
  <c r="HV101" i="8"/>
  <c r="HT101" i="8"/>
  <c r="HO101" i="8"/>
  <c r="IQ116" i="8"/>
  <c r="IX116" i="8" s="1"/>
  <c r="IS117" i="8" s="1"/>
  <c r="IV116" i="8"/>
  <c r="IZ116" i="8" s="1"/>
  <c r="AJ224" i="1"/>
  <c r="AI223" i="1"/>
  <c r="AQ360" i="1" l="1"/>
  <c r="AR360" i="1"/>
  <c r="AT360" i="1" s="1"/>
  <c r="AS360" i="1" s="1"/>
  <c r="AU360" i="1" s="1"/>
  <c r="HR101" i="8"/>
  <c r="HW101" i="8"/>
  <c r="IO117" i="8"/>
  <c r="IN117" i="8"/>
  <c r="IU117" i="8"/>
  <c r="AG223" i="1"/>
  <c r="AJ153" i="18"/>
  <c r="AJ153" i="7"/>
  <c r="AM224" i="1"/>
  <c r="AL224" i="1" s="1"/>
  <c r="AN224" i="1" s="1"/>
  <c r="AK225" i="1" s="1"/>
  <c r="AQ361" i="1" l="1"/>
  <c r="AR361" i="1"/>
  <c r="AT361" i="1" s="1"/>
  <c r="AS361" i="1" s="1"/>
  <c r="AU361" i="1" s="1"/>
  <c r="HX101" i="8"/>
  <c r="IA101" i="8" s="1"/>
  <c r="IP117" i="8"/>
  <c r="IR117" i="8" s="1"/>
  <c r="AJ225" i="1"/>
  <c r="AI224" i="1"/>
  <c r="AR362" i="1" l="1"/>
  <c r="AT362" i="1" s="1"/>
  <c r="AS362" i="1" s="1"/>
  <c r="AU362" i="1" s="1"/>
  <c r="AQ362" i="1"/>
  <c r="HY101" i="8"/>
  <c r="HV102" i="8" s="1"/>
  <c r="IQ117" i="8"/>
  <c r="IX117" i="8" s="1"/>
  <c r="IS118" i="8" s="1"/>
  <c r="IV117" i="8"/>
  <c r="IZ117" i="8" s="1"/>
  <c r="AG224" i="1"/>
  <c r="AJ154" i="7"/>
  <c r="AJ154" i="18"/>
  <c r="AM225" i="1"/>
  <c r="AL225" i="1" s="1"/>
  <c r="AN225" i="1" s="1"/>
  <c r="AK226" i="1" s="1"/>
  <c r="AR363" i="1" l="1"/>
  <c r="AT363" i="1" s="1"/>
  <c r="AS363" i="1" s="1"/>
  <c r="AU363" i="1" s="1"/>
  <c r="AQ363" i="1"/>
  <c r="HU102" i="8"/>
  <c r="HP102" i="8"/>
  <c r="HQ102" i="8" s="1"/>
  <c r="HS102" i="8" s="1"/>
  <c r="HR102" i="8" s="1"/>
  <c r="HO102" i="8"/>
  <c r="HT102" i="8"/>
  <c r="IO118" i="8"/>
  <c r="IU118" i="8"/>
  <c r="IN118" i="8"/>
  <c r="AJ226" i="1"/>
  <c r="AI225" i="1"/>
  <c r="AQ364" i="1" l="1"/>
  <c r="AR364" i="1"/>
  <c r="HW102" i="8"/>
  <c r="HX102" i="8" s="1"/>
  <c r="IA102" i="8" s="1"/>
  <c r="IP118" i="8"/>
  <c r="IR118" i="8" s="1"/>
  <c r="AG225" i="1"/>
  <c r="AJ155" i="18"/>
  <c r="AJ155" i="7"/>
  <c r="AM226" i="1"/>
  <c r="AL226" i="1" s="1"/>
  <c r="AN226" i="1" s="1"/>
  <c r="AK227" i="1" s="1"/>
  <c r="AT364" i="1" l="1"/>
  <c r="AS364" i="1" s="1"/>
  <c r="AU364" i="1" s="1"/>
  <c r="HY102" i="8"/>
  <c r="HT103" i="8" s="1"/>
  <c r="IQ118" i="8"/>
  <c r="IX118" i="8" s="1"/>
  <c r="IS119" i="8" s="1"/>
  <c r="IV118" i="8"/>
  <c r="IZ118" i="8" s="1"/>
  <c r="AJ227" i="1"/>
  <c r="AI226" i="1"/>
  <c r="AQ365" i="1" l="1"/>
  <c r="AR365" i="1"/>
  <c r="AT365" i="1" s="1"/>
  <c r="AS365" i="1" s="1"/>
  <c r="AU365" i="1" s="1"/>
  <c r="AQ366" i="1" s="1"/>
  <c r="HV103" i="8"/>
  <c r="HU103" i="8"/>
  <c r="HO103" i="8"/>
  <c r="HP103" i="8"/>
  <c r="HQ103" i="8" s="1"/>
  <c r="HS103" i="8" s="1"/>
  <c r="HR103" i="8" s="1"/>
  <c r="IU119" i="8"/>
  <c r="IO119" i="8"/>
  <c r="IP119" i="8" s="1"/>
  <c r="IN119" i="8"/>
  <c r="AG226" i="1"/>
  <c r="AJ156" i="18"/>
  <c r="AJ156" i="7"/>
  <c r="AM227" i="1"/>
  <c r="AL227" i="1" s="1"/>
  <c r="AN227" i="1" s="1"/>
  <c r="AK228" i="1" s="1"/>
  <c r="AR366" i="1" l="1"/>
  <c r="AT366" i="1" s="1"/>
  <c r="AS366" i="1" s="1"/>
  <c r="AU366" i="1" s="1"/>
  <c r="AQ367" i="1" s="1"/>
  <c r="HW103" i="8"/>
  <c r="HX103" i="8" s="1"/>
  <c r="HY103" i="8" s="1"/>
  <c r="IR119" i="8"/>
  <c r="AJ228" i="1"/>
  <c r="AI227" i="1"/>
  <c r="AR367" i="1" l="1"/>
  <c r="AT367" i="1" s="1"/>
  <c r="AS367" i="1" s="1"/>
  <c r="AU367" i="1" s="1"/>
  <c r="AQ368" i="1" s="1"/>
  <c r="IA103" i="8"/>
  <c r="HT104" i="8"/>
  <c r="HU104" i="8"/>
  <c r="HV104" i="8"/>
  <c r="HP104" i="8"/>
  <c r="HQ104" i="8" s="1"/>
  <c r="HS104" i="8" s="1"/>
  <c r="HR104" i="8" s="1"/>
  <c r="HO104" i="8"/>
  <c r="IQ119" i="8"/>
  <c r="IX119" i="8" s="1"/>
  <c r="IS120" i="8" s="1"/>
  <c r="IV119" i="8"/>
  <c r="IZ119" i="8" s="1"/>
  <c r="AG227" i="1"/>
  <c r="AJ157" i="18"/>
  <c r="AJ157" i="7"/>
  <c r="AM228" i="1"/>
  <c r="AL228" i="1" s="1"/>
  <c r="AN228" i="1" s="1"/>
  <c r="AK229" i="1" s="1"/>
  <c r="AR368" i="1" l="1"/>
  <c r="AT368" i="1" s="1"/>
  <c r="AS368" i="1" s="1"/>
  <c r="AU368" i="1" s="1"/>
  <c r="AQ369" i="1" s="1"/>
  <c r="HW104" i="8"/>
  <c r="HX104" i="8" s="1"/>
  <c r="IN120" i="8"/>
  <c r="IU120" i="8"/>
  <c r="IO120" i="8"/>
  <c r="IT267" i="8"/>
  <c r="AJ229" i="1"/>
  <c r="AI228" i="1"/>
  <c r="AR369" i="1" l="1"/>
  <c r="AT369" i="1" s="1"/>
  <c r="AS369" i="1" s="1"/>
  <c r="AU369" i="1" s="1"/>
  <c r="AQ370" i="1" s="1"/>
  <c r="IP120" i="8"/>
  <c r="IR120" i="8" s="1"/>
  <c r="AC165" i="1"/>
  <c r="AB165" i="1" s="1"/>
  <c r="AG228" i="1"/>
  <c r="AJ158" i="18"/>
  <c r="AJ158" i="7"/>
  <c r="AM229" i="1"/>
  <c r="AL229" i="1" s="1"/>
  <c r="AN229" i="1" s="1"/>
  <c r="AK230" i="1" s="1"/>
  <c r="AR370" i="1" l="1"/>
  <c r="AT370" i="1" s="1"/>
  <c r="AS370" i="1" s="1"/>
  <c r="AU370" i="1" s="1"/>
  <c r="AR371" i="1" s="1"/>
  <c r="AT371" i="1" s="1"/>
  <c r="AS371" i="1" s="1"/>
  <c r="AU371" i="1" s="1"/>
  <c r="IA104" i="8"/>
  <c r="HY104" i="8"/>
  <c r="IQ120" i="8"/>
  <c r="IX120" i="8" s="1"/>
  <c r="IS121" i="8" s="1"/>
  <c r="IV120" i="8"/>
  <c r="IZ120" i="8" s="1"/>
  <c r="AJ230" i="1"/>
  <c r="AI229" i="1"/>
  <c r="AQ371" i="1" l="1"/>
  <c r="AQ372" i="1" s="1"/>
  <c r="AR372" i="1"/>
  <c r="AT372" i="1" s="1"/>
  <c r="AS372" i="1" s="1"/>
  <c r="AU372" i="1" s="1"/>
  <c r="HT105" i="8"/>
  <c r="HU105" i="8"/>
  <c r="HV105" i="8"/>
  <c r="HO105" i="8"/>
  <c r="HP105" i="8"/>
  <c r="HQ105" i="8" s="1"/>
  <c r="HS105" i="8" s="1"/>
  <c r="HR105" i="8" s="1"/>
  <c r="IU121" i="8"/>
  <c r="IO121" i="8"/>
  <c r="IP121" i="8" s="1"/>
  <c r="IN121" i="8"/>
  <c r="AG229" i="1"/>
  <c r="AJ159" i="7"/>
  <c r="AJ159" i="18"/>
  <c r="AM230" i="1"/>
  <c r="AL230" i="1" s="1"/>
  <c r="AN230" i="1" s="1"/>
  <c r="AK231" i="1" s="1"/>
  <c r="AQ373" i="1" l="1"/>
  <c r="AR373" i="1"/>
  <c r="AT373" i="1" s="1"/>
  <c r="AS373" i="1" s="1"/>
  <c r="AU373" i="1" s="1"/>
  <c r="HW105" i="8"/>
  <c r="IR121" i="8"/>
  <c r="AJ231" i="1"/>
  <c r="AI230" i="1"/>
  <c r="AM231" i="1"/>
  <c r="AQ374" i="1" l="1"/>
  <c r="AR374" i="1"/>
  <c r="AT374" i="1" s="1"/>
  <c r="AS374" i="1" s="1"/>
  <c r="AU374" i="1" s="1"/>
  <c r="HX105" i="8"/>
  <c r="IQ121" i="8"/>
  <c r="IX121" i="8" s="1"/>
  <c r="IS122" i="8" s="1"/>
  <c r="IV121" i="8"/>
  <c r="IZ121" i="8" s="1"/>
  <c r="AG230" i="1"/>
  <c r="AJ160" i="18"/>
  <c r="AJ160" i="7"/>
  <c r="AL231" i="1"/>
  <c r="AN231" i="1" s="1"/>
  <c r="AK232" i="1" s="1"/>
  <c r="AQ375" i="1" l="1"/>
  <c r="AR375" i="1"/>
  <c r="AT375" i="1" s="1"/>
  <c r="AS375" i="1" s="1"/>
  <c r="AU375" i="1" s="1"/>
  <c r="IA105" i="8"/>
  <c r="HY105" i="8"/>
  <c r="IO122" i="8"/>
  <c r="IN122" i="8"/>
  <c r="IU122" i="8"/>
  <c r="AI231" i="1"/>
  <c r="AQ376" i="1" l="1"/>
  <c r="AR376" i="1"/>
  <c r="HO106" i="8"/>
  <c r="HP106" i="8"/>
  <c r="HQ106" i="8" s="1"/>
  <c r="HS106" i="8" s="1"/>
  <c r="HR106" i="8" s="1"/>
  <c r="HT106" i="8"/>
  <c r="HV106" i="8"/>
  <c r="HU106" i="8"/>
  <c r="IP122" i="8"/>
  <c r="IR122" i="8" s="1"/>
  <c r="AG231" i="1"/>
  <c r="AJ161" i="18"/>
  <c r="AJ161" i="7"/>
  <c r="AJ232" i="1"/>
  <c r="AM232" i="1"/>
  <c r="AL232" i="1" s="1"/>
  <c r="AN232" i="1" s="1"/>
  <c r="AK233" i="1" s="1"/>
  <c r="AT376" i="1" l="1"/>
  <c r="AS376" i="1" s="1"/>
  <c r="AU376" i="1" s="1"/>
  <c r="HW106" i="8"/>
  <c r="IV122" i="8"/>
  <c r="IZ122" i="8" s="1"/>
  <c r="IQ122" i="8"/>
  <c r="IX122" i="8" s="1"/>
  <c r="IS123" i="8" s="1"/>
  <c r="AJ233" i="1"/>
  <c r="AI232" i="1"/>
  <c r="AQ377" i="1" l="1"/>
  <c r="AR377" i="1"/>
  <c r="AT377" i="1" s="1"/>
  <c r="AS377" i="1" s="1"/>
  <c r="AU377" i="1" s="1"/>
  <c r="HX106" i="8"/>
  <c r="HY106" i="8" s="1"/>
  <c r="HP107" i="8" s="1"/>
  <c r="HQ107" i="8" s="1"/>
  <c r="IO123" i="8"/>
  <c r="IN123" i="8"/>
  <c r="IU123" i="8"/>
  <c r="AG232" i="1"/>
  <c r="AJ162" i="7"/>
  <c r="AJ162" i="18"/>
  <c r="AM233" i="1"/>
  <c r="AL233" i="1" s="1"/>
  <c r="AN233" i="1" s="1"/>
  <c r="AK234" i="1" s="1"/>
  <c r="AQ378" i="1" l="1"/>
  <c r="AR378" i="1"/>
  <c r="AT378" i="1" s="1"/>
  <c r="AS378" i="1" s="1"/>
  <c r="AU378" i="1" s="1"/>
  <c r="AR379" i="1" s="1"/>
  <c r="AT379" i="1" s="1"/>
  <c r="AS379" i="1" s="1"/>
  <c r="AU379" i="1" s="1"/>
  <c r="HU107" i="8"/>
  <c r="HV107" i="8"/>
  <c r="HO107" i="8"/>
  <c r="HT107" i="8"/>
  <c r="IA106" i="8"/>
  <c r="IP123" i="8"/>
  <c r="IR123" i="8" s="1"/>
  <c r="AJ234" i="1"/>
  <c r="AI233" i="1"/>
  <c r="HS107" i="8"/>
  <c r="AQ379" i="1" l="1"/>
  <c r="AQ380" i="1" s="1"/>
  <c r="AR380" i="1"/>
  <c r="AT380" i="1" s="1"/>
  <c r="AS380" i="1" s="1"/>
  <c r="AU380" i="1" s="1"/>
  <c r="HW107" i="8"/>
  <c r="HX107" i="8" s="1"/>
  <c r="IQ123" i="8"/>
  <c r="IX123" i="8" s="1"/>
  <c r="IS124" i="8" s="1"/>
  <c r="IV123" i="8"/>
  <c r="IZ123" i="8" s="1"/>
  <c r="AG233" i="1"/>
  <c r="AJ163" i="18"/>
  <c r="AJ163" i="7"/>
  <c r="AM234" i="1"/>
  <c r="AL234" i="1" s="1"/>
  <c r="AN234" i="1" s="1"/>
  <c r="AK235" i="1" s="1"/>
  <c r="HR107" i="8"/>
  <c r="AQ381" i="1" l="1"/>
  <c r="AR381" i="1"/>
  <c r="AT381" i="1" s="1"/>
  <c r="AS381" i="1" s="1"/>
  <c r="AU381" i="1" s="1"/>
  <c r="IA107" i="8"/>
  <c r="IN124" i="8"/>
  <c r="IO124" i="8"/>
  <c r="IU124" i="8"/>
  <c r="AJ235" i="1"/>
  <c r="AI234" i="1"/>
  <c r="HY107" i="8"/>
  <c r="AQ382" i="1" l="1"/>
  <c r="AR382" i="1"/>
  <c r="AT382" i="1" s="1"/>
  <c r="AS382" i="1" s="1"/>
  <c r="AU382" i="1" s="1"/>
  <c r="HT108" i="8"/>
  <c r="HU108" i="8"/>
  <c r="IP124" i="8"/>
  <c r="IR124" i="8" s="1"/>
  <c r="AG234" i="1"/>
  <c r="AJ164" i="18"/>
  <c r="AJ164" i="7"/>
  <c r="AM235" i="1"/>
  <c r="AL235" i="1" s="1"/>
  <c r="AN235" i="1" s="1"/>
  <c r="AK236" i="1" s="1"/>
  <c r="HO108" i="8"/>
  <c r="HV108" i="8"/>
  <c r="HP108" i="8"/>
  <c r="HQ108" i="8" s="1"/>
  <c r="AQ383" i="1" l="1"/>
  <c r="AR383" i="1"/>
  <c r="AT383" i="1" s="1"/>
  <c r="AS383" i="1" s="1"/>
  <c r="AU383" i="1" s="1"/>
  <c r="IQ124" i="8"/>
  <c r="IX124" i="8" s="1"/>
  <c r="IS125" i="8" s="1"/>
  <c r="IV124" i="8"/>
  <c r="IZ124" i="8" s="1"/>
  <c r="AJ236" i="1"/>
  <c r="AI235" i="1"/>
  <c r="HS108" i="8"/>
  <c r="HR108" i="8" s="1"/>
  <c r="AQ384" i="1" l="1"/>
  <c r="AR384" i="1"/>
  <c r="AT384" i="1" s="1"/>
  <c r="AS384" i="1" s="1"/>
  <c r="AU384" i="1" s="1"/>
  <c r="IU125" i="8"/>
  <c r="IO125" i="8"/>
  <c r="IP125" i="8" s="1"/>
  <c r="IN125" i="8"/>
  <c r="AG235" i="1"/>
  <c r="AJ165" i="18"/>
  <c r="AJ165" i="7"/>
  <c r="AM236" i="1"/>
  <c r="AL236" i="1" s="1"/>
  <c r="AN236" i="1" s="1"/>
  <c r="AK237" i="1" s="1"/>
  <c r="HW108" i="8"/>
  <c r="HX108" i="8" s="1"/>
  <c r="AQ385" i="1" l="1"/>
  <c r="AR385" i="1"/>
  <c r="AT385" i="1" s="1"/>
  <c r="AS385" i="1" s="1"/>
  <c r="AU385" i="1" s="1"/>
  <c r="IR125" i="8"/>
  <c r="AJ237" i="1"/>
  <c r="AI236" i="1"/>
  <c r="HY108" i="8"/>
  <c r="AQ386" i="1" l="1"/>
  <c r="AR386" i="1"/>
  <c r="AT386" i="1" s="1"/>
  <c r="AS386" i="1" s="1"/>
  <c r="AU386" i="1" s="1"/>
  <c r="HT109" i="8"/>
  <c r="HU109" i="8"/>
  <c r="IQ125" i="8"/>
  <c r="IX125" i="8" s="1"/>
  <c r="IS126" i="8" s="1"/>
  <c r="IV125" i="8"/>
  <c r="IZ125" i="8" s="1"/>
  <c r="AG236" i="1"/>
  <c r="AJ166" i="18"/>
  <c r="AJ166" i="7"/>
  <c r="IA108" i="8"/>
  <c r="AM237" i="1"/>
  <c r="AL237" i="1" s="1"/>
  <c r="AN237" i="1" s="1"/>
  <c r="AK238" i="1" s="1"/>
  <c r="HV109" i="8"/>
  <c r="HO109" i="8"/>
  <c r="HP109" i="8"/>
  <c r="AQ387" i="1" l="1"/>
  <c r="AR387" i="1"/>
  <c r="AT387" i="1" s="1"/>
  <c r="AS387" i="1" s="1"/>
  <c r="AU387" i="1" s="1"/>
  <c r="IN126" i="8"/>
  <c r="IU126" i="8"/>
  <c r="IO126" i="8"/>
  <c r="HQ109" i="8"/>
  <c r="AJ238" i="1"/>
  <c r="AI237" i="1"/>
  <c r="HS109" i="8" l="1"/>
  <c r="HR109" i="8" s="1"/>
  <c r="IP126" i="8"/>
  <c r="IR126" i="8" s="1"/>
  <c r="AG237" i="1"/>
  <c r="AJ167" i="7"/>
  <c r="AJ167" i="18"/>
  <c r="AM238" i="1"/>
  <c r="AL238" i="1" s="1"/>
  <c r="AN238" i="1" s="1"/>
  <c r="AK239" i="1" s="1"/>
  <c r="HW109" i="8" l="1"/>
  <c r="HX109" i="8" s="1"/>
  <c r="HY109" i="8" s="1"/>
  <c r="IQ126" i="8"/>
  <c r="IX126" i="8" s="1"/>
  <c r="IS127" i="8" s="1"/>
  <c r="IV126" i="8"/>
  <c r="IZ126" i="8" s="1"/>
  <c r="AJ239" i="1"/>
  <c r="AI238" i="1"/>
  <c r="IA109" i="8" l="1"/>
  <c r="HT110" i="8"/>
  <c r="HU110" i="8"/>
  <c r="IN127" i="8"/>
  <c r="IU127" i="8"/>
  <c r="IO127" i="8"/>
  <c r="AG238" i="1"/>
  <c r="AJ168" i="18"/>
  <c r="AJ168" i="7"/>
  <c r="HP110" i="8"/>
  <c r="HQ110" i="8" s="1"/>
  <c r="HO110" i="8"/>
  <c r="HV110" i="8"/>
  <c r="AM239" i="1"/>
  <c r="AL239" i="1" s="1"/>
  <c r="AN239" i="1" s="1"/>
  <c r="AK240" i="1" s="1"/>
  <c r="IP127" i="8" l="1"/>
  <c r="IR127" i="8" s="1"/>
  <c r="HS110" i="8"/>
  <c r="HR110" i="8" s="1"/>
  <c r="AJ240" i="1"/>
  <c r="AI239" i="1"/>
  <c r="HW110" i="8" l="1"/>
  <c r="IQ127" i="8"/>
  <c r="IX127" i="8" s="1"/>
  <c r="IS128" i="8" s="1"/>
  <c r="IV127" i="8"/>
  <c r="IZ127" i="8" s="1"/>
  <c r="AG239" i="1"/>
  <c r="AJ169" i="18"/>
  <c r="AJ169" i="7"/>
  <c r="AM240" i="1"/>
  <c r="AL240" i="1" s="1"/>
  <c r="AN240" i="1" s="1"/>
  <c r="AK241" i="1" s="1"/>
  <c r="HX110" i="8" l="1"/>
  <c r="HY110" i="8" s="1"/>
  <c r="IU128" i="8"/>
  <c r="IO128" i="8"/>
  <c r="IP128" i="8" s="1"/>
  <c r="IN128" i="8"/>
  <c r="AJ241" i="1"/>
  <c r="AI240" i="1"/>
  <c r="IA110" i="8" l="1"/>
  <c r="HV111" i="8"/>
  <c r="HP111" i="8"/>
  <c r="HQ111" i="8" s="1"/>
  <c r="HS111" i="8" s="1"/>
  <c r="HR111" i="8" s="1"/>
  <c r="HU111" i="8"/>
  <c r="HO111" i="8"/>
  <c r="HT111" i="8"/>
  <c r="IR128" i="8"/>
  <c r="AG240" i="1"/>
  <c r="AJ170" i="18"/>
  <c r="AJ170" i="7"/>
  <c r="AM241" i="1"/>
  <c r="AL241" i="1" s="1"/>
  <c r="AN241" i="1" s="1"/>
  <c r="AK242" i="1" s="1"/>
  <c r="HW111" i="8" l="1"/>
  <c r="HX111" i="8" s="1"/>
  <c r="HY111" i="8" s="1"/>
  <c r="IV128" i="8"/>
  <c r="IZ128" i="8" s="1"/>
  <c r="IQ128" i="8"/>
  <c r="IX128" i="8" s="1"/>
  <c r="IS129" i="8" s="1"/>
  <c r="AJ242" i="1"/>
  <c r="AI241" i="1"/>
  <c r="IA111" i="8" l="1"/>
  <c r="HT112" i="8"/>
  <c r="HU112" i="8"/>
  <c r="IN129" i="8"/>
  <c r="IU129" i="8"/>
  <c r="IO129" i="8"/>
  <c r="IP129" i="8" s="1"/>
  <c r="AG241" i="1"/>
  <c r="AJ171" i="18"/>
  <c r="AJ171" i="7"/>
  <c r="AM242" i="1"/>
  <c r="AL242" i="1" s="1"/>
  <c r="AN242" i="1" s="1"/>
  <c r="AK243" i="1" s="1"/>
  <c r="HV112" i="8"/>
  <c r="HP112" i="8"/>
  <c r="HO112" i="8"/>
  <c r="IR129" i="8" l="1"/>
  <c r="HQ112" i="8"/>
  <c r="AJ243" i="1"/>
  <c r="AI242" i="1"/>
  <c r="HS112" i="8" l="1"/>
  <c r="HW112" i="8" s="1"/>
  <c r="HX112" i="8" s="1"/>
  <c r="IQ129" i="8"/>
  <c r="IX129" i="8" s="1"/>
  <c r="IS130" i="8" s="1"/>
  <c r="IV129" i="8"/>
  <c r="IZ129" i="8" s="1"/>
  <c r="AG242" i="1"/>
  <c r="AJ172" i="18"/>
  <c r="AJ172" i="7"/>
  <c r="AM243" i="1"/>
  <c r="AL243" i="1" s="1"/>
  <c r="AN243" i="1" s="1"/>
  <c r="AK244" i="1" s="1"/>
  <c r="HR112" i="8" l="1"/>
  <c r="HY112" i="8" s="1"/>
  <c r="IA112" i="8"/>
  <c r="IU130" i="8"/>
  <c r="IO130" i="8"/>
  <c r="IP130" i="8" s="1"/>
  <c r="IN130" i="8"/>
  <c r="AI243" i="1"/>
  <c r="HT113" i="8" l="1"/>
  <c r="HU113" i="8"/>
  <c r="IR130" i="8"/>
  <c r="AG243" i="1"/>
  <c r="AJ173" i="18"/>
  <c r="AJ173" i="7"/>
  <c r="AJ244" i="1"/>
  <c r="AM244" i="1"/>
  <c r="AL244" i="1" s="1"/>
  <c r="AN244" i="1" s="1"/>
  <c r="AK245" i="1" s="1"/>
  <c r="HP113" i="8"/>
  <c r="HQ113" i="8" s="1"/>
  <c r="HO113" i="8"/>
  <c r="HV113" i="8"/>
  <c r="IQ130" i="8" l="1"/>
  <c r="IX130" i="8" s="1"/>
  <c r="IS131" i="8" s="1"/>
  <c r="IV130" i="8"/>
  <c r="IZ130" i="8" s="1"/>
  <c r="AJ245" i="1"/>
  <c r="AI244" i="1"/>
  <c r="HS113" i="8"/>
  <c r="HR113" i="8" s="1"/>
  <c r="IO131" i="8" l="1"/>
  <c r="IN131" i="8"/>
  <c r="IU131" i="8"/>
  <c r="AG244" i="1"/>
  <c r="AJ174" i="18"/>
  <c r="AJ174" i="7"/>
  <c r="AM245" i="1"/>
  <c r="AL245" i="1" s="1"/>
  <c r="AN245" i="1" s="1"/>
  <c r="AK246" i="1" s="1"/>
  <c r="HW113" i="8"/>
  <c r="HX113" i="8" s="1"/>
  <c r="IP131" i="8" l="1"/>
  <c r="IR131" i="8" s="1"/>
  <c r="AJ246" i="1"/>
  <c r="AI245" i="1"/>
  <c r="AM246" i="1"/>
  <c r="HY113" i="8"/>
  <c r="HT114" i="8" l="1"/>
  <c r="HU114" i="8"/>
  <c r="IQ131" i="8"/>
  <c r="IX131" i="8" s="1"/>
  <c r="IS132" i="8" s="1"/>
  <c r="IV131" i="8"/>
  <c r="IZ131" i="8" s="1"/>
  <c r="AG245" i="1"/>
  <c r="AJ175" i="7"/>
  <c r="AJ175" i="18"/>
  <c r="HO114" i="8"/>
  <c r="IA113" i="8"/>
  <c r="AL246" i="1"/>
  <c r="AN246" i="1" s="1"/>
  <c r="AK247" i="1" s="1"/>
  <c r="HP114" i="8"/>
  <c r="HV114" i="8"/>
  <c r="IN132" i="8" l="1"/>
  <c r="IU132" i="8"/>
  <c r="IO132" i="8"/>
  <c r="IP132" i="8" s="1"/>
  <c r="HQ114" i="8"/>
  <c r="AJ247" i="1"/>
  <c r="AI246" i="1"/>
  <c r="AM247" i="1"/>
  <c r="HS114" i="8" l="1"/>
  <c r="HW114" i="8" s="1"/>
  <c r="HX114" i="8" s="1"/>
  <c r="IR132" i="8"/>
  <c r="AG246" i="1"/>
  <c r="AJ176" i="18"/>
  <c r="AJ176" i="7"/>
  <c r="AL247" i="1"/>
  <c r="AN247" i="1" s="1"/>
  <c r="AK248" i="1" s="1"/>
  <c r="HR114" i="8" l="1"/>
  <c r="HY114" i="8" s="1"/>
  <c r="IA114" i="8"/>
  <c r="IQ132" i="8"/>
  <c r="IX132" i="8" s="1"/>
  <c r="IS133" i="8" s="1"/>
  <c r="IV132" i="8"/>
  <c r="IZ132" i="8" s="1"/>
  <c r="AJ248" i="1"/>
  <c r="AI247" i="1"/>
  <c r="HT115" i="8" l="1"/>
  <c r="HU115" i="8"/>
  <c r="IU133" i="8"/>
  <c r="IN133" i="8"/>
  <c r="IO133" i="8"/>
  <c r="IP133" i="8" s="1"/>
  <c r="AG247" i="1"/>
  <c r="AJ177" i="18"/>
  <c r="AJ177" i="7"/>
  <c r="HO115" i="8"/>
  <c r="HV115" i="8"/>
  <c r="HP115" i="8"/>
  <c r="HQ115" i="8" s="1"/>
  <c r="AM248" i="1"/>
  <c r="AL248" i="1" s="1"/>
  <c r="AN248" i="1" s="1"/>
  <c r="AK249" i="1" s="1"/>
  <c r="IR133" i="8" l="1"/>
  <c r="HS115" i="8"/>
  <c r="HR115" i="8" s="1"/>
  <c r="AJ249" i="1"/>
  <c r="AI248" i="1"/>
  <c r="HW115" i="8" l="1"/>
  <c r="IV133" i="8"/>
  <c r="IZ133" i="8" s="1"/>
  <c r="IQ133" i="8"/>
  <c r="IX133" i="8" s="1"/>
  <c r="IS134" i="8" s="1"/>
  <c r="AC176" i="1"/>
  <c r="AB176" i="1" s="1"/>
  <c r="AG248" i="1"/>
  <c r="AJ178" i="7"/>
  <c r="AJ178" i="18"/>
  <c r="AM249" i="1"/>
  <c r="AL249" i="1" s="1"/>
  <c r="AN249" i="1" s="1"/>
  <c r="AK250" i="1" s="1"/>
  <c r="HX115" i="8" l="1"/>
  <c r="IA115" i="8" s="1"/>
  <c r="IN134" i="8"/>
  <c r="IO134" i="8"/>
  <c r="IP134" i="8" s="1"/>
  <c r="IU134" i="8"/>
  <c r="AJ250" i="1"/>
  <c r="AI249" i="1"/>
  <c r="HY115" i="8" l="1"/>
  <c r="IR134" i="8"/>
  <c r="AG249" i="1"/>
  <c r="AJ179" i="18"/>
  <c r="AJ179" i="7"/>
  <c r="AM250" i="1"/>
  <c r="AL250" i="1" s="1"/>
  <c r="AN250" i="1" s="1"/>
  <c r="AK251" i="1" s="1"/>
  <c r="HP116" i="8" l="1"/>
  <c r="HQ116" i="8" s="1"/>
  <c r="HS116" i="8" s="1"/>
  <c r="HR116" i="8" s="1"/>
  <c r="HO116" i="8"/>
  <c r="HT116" i="8"/>
  <c r="HU116" i="8"/>
  <c r="HV116" i="8"/>
  <c r="IV134" i="8"/>
  <c r="IZ134" i="8" s="1"/>
  <c r="IQ134" i="8"/>
  <c r="IX134" i="8" s="1"/>
  <c r="IS135" i="8" s="1"/>
  <c r="AJ251" i="1"/>
  <c r="AI250" i="1"/>
  <c r="HW116" i="8" l="1"/>
  <c r="HX116" i="8" s="1"/>
  <c r="IA116" i="8" s="1"/>
  <c r="IO135" i="8"/>
  <c r="IN135" i="8"/>
  <c r="IU135" i="8"/>
  <c r="AG250" i="1"/>
  <c r="AJ180" i="18"/>
  <c r="AJ180" i="7"/>
  <c r="AM251" i="1"/>
  <c r="AL251" i="1" s="1"/>
  <c r="AN251" i="1" s="1"/>
  <c r="AK252" i="1" s="1"/>
  <c r="HY116" i="8" l="1"/>
  <c r="HT117" i="8" s="1"/>
  <c r="IP135" i="8"/>
  <c r="IR135" i="8" s="1"/>
  <c r="AJ252" i="1"/>
  <c r="AI251" i="1"/>
  <c r="HV117" i="8" l="1"/>
  <c r="HO117" i="8"/>
  <c r="HP117" i="8"/>
  <c r="HQ117" i="8" s="1"/>
  <c r="HU117" i="8"/>
  <c r="IQ135" i="8"/>
  <c r="IX135" i="8" s="1"/>
  <c r="IS136" i="8" s="1"/>
  <c r="IV135" i="8"/>
  <c r="IZ135" i="8" s="1"/>
  <c r="AG251" i="1"/>
  <c r="AJ181" i="18"/>
  <c r="AJ181" i="7"/>
  <c r="AM252" i="1"/>
  <c r="AL252" i="1" s="1"/>
  <c r="AN252" i="1" s="1"/>
  <c r="AK253" i="1" s="1"/>
  <c r="HS117" i="8" l="1"/>
  <c r="HR117" i="8" s="1"/>
  <c r="IU136" i="8"/>
  <c r="IN136" i="8"/>
  <c r="IO136" i="8"/>
  <c r="AJ253" i="1"/>
  <c r="AI252" i="1"/>
  <c r="AM253" i="1"/>
  <c r="HW117" i="8" l="1"/>
  <c r="HX117" i="8" s="1"/>
  <c r="HY117" i="8" s="1"/>
  <c r="IP136" i="8"/>
  <c r="IR136" i="8" s="1"/>
  <c r="AG252" i="1"/>
  <c r="AJ182" i="18"/>
  <c r="AJ182" i="7"/>
  <c r="AL253" i="1"/>
  <c r="AN253" i="1" s="1"/>
  <c r="AK254" i="1" s="1"/>
  <c r="IA117" i="8" l="1"/>
  <c r="HT118" i="8"/>
  <c r="HU118" i="8"/>
  <c r="HO118" i="8"/>
  <c r="HV118" i="8"/>
  <c r="HP118" i="8"/>
  <c r="HQ118" i="8" s="1"/>
  <c r="HS118" i="8" s="1"/>
  <c r="IQ136" i="8"/>
  <c r="IX136" i="8" s="1"/>
  <c r="IS137" i="8" s="1"/>
  <c r="IV136" i="8"/>
  <c r="IZ136" i="8" s="1"/>
  <c r="AJ254" i="1"/>
  <c r="AI253" i="1"/>
  <c r="HW118" i="8" l="1"/>
  <c r="HX118" i="8" s="1"/>
  <c r="IU137" i="8"/>
  <c r="IN137" i="8"/>
  <c r="IO137" i="8"/>
  <c r="AG253" i="1"/>
  <c r="AJ183" i="7"/>
  <c r="AJ183" i="18"/>
  <c r="AM254" i="1"/>
  <c r="AL254" i="1" s="1"/>
  <c r="AN254" i="1" s="1"/>
  <c r="AK255" i="1" s="1"/>
  <c r="HR118" i="8"/>
  <c r="IA118" i="8" l="1"/>
  <c r="IP137" i="8"/>
  <c r="IR137" i="8" s="1"/>
  <c r="AJ255" i="1"/>
  <c r="AI254" i="1"/>
  <c r="AM255" i="1"/>
  <c r="HY118" i="8"/>
  <c r="HT119" i="8" l="1"/>
  <c r="HU119" i="8"/>
  <c r="IQ137" i="8"/>
  <c r="IX137" i="8" s="1"/>
  <c r="IS138" i="8" s="1"/>
  <c r="IV137" i="8"/>
  <c r="IZ137" i="8" s="1"/>
  <c r="AG254" i="1"/>
  <c r="AJ184" i="18"/>
  <c r="AJ184" i="7"/>
  <c r="AL255" i="1"/>
  <c r="AN255" i="1" s="1"/>
  <c r="AK256" i="1" s="1"/>
  <c r="HP119" i="8"/>
  <c r="HQ119" i="8" s="1"/>
  <c r="HO119" i="8"/>
  <c r="HV119" i="8"/>
  <c r="IU138" i="8" l="1"/>
  <c r="IO138" i="8"/>
  <c r="IN138" i="8"/>
  <c r="HS119" i="8"/>
  <c r="HW119" i="8" s="1"/>
  <c r="HX119" i="8" s="1"/>
  <c r="AI255" i="1"/>
  <c r="IP138" i="8" l="1"/>
  <c r="AG255" i="1"/>
  <c r="AJ185" i="18"/>
  <c r="AJ185" i="7"/>
  <c r="AJ256" i="1"/>
  <c r="AM256" i="1"/>
  <c r="AL256" i="1" s="1"/>
  <c r="AN256" i="1" s="1"/>
  <c r="AK257" i="1" s="1"/>
  <c r="IA119" i="8"/>
  <c r="HR119" i="8"/>
  <c r="IR138" i="8" l="1"/>
  <c r="AJ257" i="1"/>
  <c r="AI256" i="1"/>
  <c r="AM257" i="1"/>
  <c r="HY119" i="8"/>
  <c r="HT120" i="8" l="1"/>
  <c r="HU120" i="8"/>
  <c r="IQ138" i="8"/>
  <c r="IV138" i="8"/>
  <c r="AG256" i="1"/>
  <c r="AJ186" i="7"/>
  <c r="AJ186" i="18"/>
  <c r="AL257" i="1"/>
  <c r="AN257" i="1" s="1"/>
  <c r="AK258" i="1" s="1"/>
  <c r="HV120" i="8"/>
  <c r="HP120" i="8"/>
  <c r="HO120" i="8"/>
  <c r="IZ138" i="8" l="1"/>
  <c r="IX138" i="8"/>
  <c r="IS139" i="8" s="1"/>
  <c r="HQ120" i="8"/>
  <c r="AJ258" i="1"/>
  <c r="AI257" i="1"/>
  <c r="HS120" i="8" l="1"/>
  <c r="HW120" i="8" s="1"/>
  <c r="HX120" i="8" s="1"/>
  <c r="IN139" i="8"/>
  <c r="IO139" i="8"/>
  <c r="IU139" i="8"/>
  <c r="AG257" i="1"/>
  <c r="AJ187" i="18"/>
  <c r="AJ187" i="7"/>
  <c r="AM258" i="1"/>
  <c r="AL258" i="1" s="1"/>
  <c r="AN258" i="1" s="1"/>
  <c r="AK259" i="1" s="1"/>
  <c r="HR120" i="8" l="1"/>
  <c r="HY120" i="8" s="1"/>
  <c r="IA120" i="8"/>
  <c r="IP139" i="8"/>
  <c r="AJ259" i="1"/>
  <c r="AI258" i="1"/>
  <c r="HT121" i="8" l="1"/>
  <c r="HU121" i="8"/>
  <c r="IR139" i="8"/>
  <c r="AG258" i="1"/>
  <c r="AJ188" i="18"/>
  <c r="AJ188" i="7"/>
  <c r="AM259" i="1"/>
  <c r="AL259" i="1" s="1"/>
  <c r="AN259" i="1" s="1"/>
  <c r="AK260" i="1" s="1"/>
  <c r="HP121" i="8"/>
  <c r="HO121" i="8"/>
  <c r="HV121" i="8"/>
  <c r="IQ139" i="8" l="1"/>
  <c r="IV139" i="8"/>
  <c r="HQ121" i="8"/>
  <c r="AJ260" i="1"/>
  <c r="AI259" i="1"/>
  <c r="HS121" i="8" l="1"/>
  <c r="HW121" i="8" s="1"/>
  <c r="HX121" i="8" s="1"/>
  <c r="IZ139" i="8"/>
  <c r="IX139" i="8"/>
  <c r="IS140" i="8" s="1"/>
  <c r="AG259" i="1"/>
  <c r="AJ189" i="18"/>
  <c r="AJ189" i="7"/>
  <c r="AM260" i="1"/>
  <c r="AL260" i="1" s="1"/>
  <c r="AN260" i="1" s="1"/>
  <c r="AK261" i="1" s="1"/>
  <c r="IA121" i="8" l="1"/>
  <c r="HR121" i="8"/>
  <c r="HY121" i="8" s="1"/>
  <c r="IO140" i="8"/>
  <c r="IN140" i="8"/>
  <c r="IU140" i="8"/>
  <c r="AJ261" i="1"/>
  <c r="AI260" i="1"/>
  <c r="HT122" i="8" l="1"/>
  <c r="HU122" i="8"/>
  <c r="IP140" i="8"/>
  <c r="AG260" i="1"/>
  <c r="AJ190" i="18"/>
  <c r="AJ190" i="7"/>
  <c r="AM261" i="1"/>
  <c r="AL261" i="1" s="1"/>
  <c r="AN261" i="1" s="1"/>
  <c r="AK262" i="1" s="1"/>
  <c r="HO122" i="8"/>
  <c r="HP122" i="8"/>
  <c r="HV122" i="8"/>
  <c r="IR140" i="8" l="1"/>
  <c r="HQ122" i="8"/>
  <c r="AJ262" i="1"/>
  <c r="AI261" i="1"/>
  <c r="HS122" i="8" l="1"/>
  <c r="HW122" i="8" s="1"/>
  <c r="HX122" i="8" s="1"/>
  <c r="IQ140" i="8"/>
  <c r="IV140" i="8"/>
  <c r="AG261" i="1"/>
  <c r="AJ191" i="7"/>
  <c r="AJ191" i="18"/>
  <c r="AM262" i="1"/>
  <c r="AL262" i="1" s="1"/>
  <c r="AN262" i="1" s="1"/>
  <c r="AK263" i="1" s="1"/>
  <c r="IA122" i="8" l="1"/>
  <c r="HR122" i="8"/>
  <c r="HY122" i="8" s="1"/>
  <c r="IZ140" i="8"/>
  <c r="IX140" i="8"/>
  <c r="IS141" i="8" s="1"/>
  <c r="AJ263" i="1"/>
  <c r="AI262" i="1"/>
  <c r="HT123" i="8" l="1"/>
  <c r="HU123" i="8"/>
  <c r="IN141" i="8"/>
  <c r="IO141" i="8"/>
  <c r="IU141" i="8"/>
  <c r="AG262" i="1"/>
  <c r="AJ192" i="18"/>
  <c r="AJ192" i="7"/>
  <c r="AM263" i="1"/>
  <c r="AL263" i="1" s="1"/>
  <c r="AN263" i="1" s="1"/>
  <c r="AK264" i="1" s="1"/>
  <c r="HV123" i="8"/>
  <c r="HO123" i="8"/>
  <c r="HP123" i="8"/>
  <c r="IP141" i="8" l="1"/>
  <c r="IR141" i="8" s="1"/>
  <c r="HQ123" i="8"/>
  <c r="AJ264" i="1"/>
  <c r="AI263" i="1"/>
  <c r="HS123" i="8" l="1"/>
  <c r="HW123" i="8" s="1"/>
  <c r="HX123" i="8" s="1"/>
  <c r="IQ141" i="8"/>
  <c r="IV141" i="8"/>
  <c r="AG263" i="1"/>
  <c r="AJ193" i="18"/>
  <c r="AJ193" i="7"/>
  <c r="AM264" i="1"/>
  <c r="AL264" i="1" s="1"/>
  <c r="AN264" i="1" s="1"/>
  <c r="AK265" i="1" s="1"/>
  <c r="HR123" i="8" l="1"/>
  <c r="HY123" i="8" s="1"/>
  <c r="IA123" i="8"/>
  <c r="IZ141" i="8"/>
  <c r="IX141" i="8"/>
  <c r="IS142" i="8" s="1"/>
  <c r="AJ265" i="1"/>
  <c r="AI264" i="1"/>
  <c r="HT124" i="8" l="1"/>
  <c r="HU124" i="8"/>
  <c r="IU142" i="8"/>
  <c r="IN142" i="8"/>
  <c r="IO142" i="8"/>
  <c r="AG264" i="1"/>
  <c r="AJ194" i="18"/>
  <c r="AJ194" i="7"/>
  <c r="AM265" i="1"/>
  <c r="AL265" i="1" s="1"/>
  <c r="AN265" i="1" s="1"/>
  <c r="AK266" i="1" s="1"/>
  <c r="HV124" i="8"/>
  <c r="HP124" i="8"/>
  <c r="HO124" i="8"/>
  <c r="IP142" i="8" l="1"/>
  <c r="IR142" i="8" s="1"/>
  <c r="HQ124" i="8"/>
  <c r="AJ266" i="1"/>
  <c r="AI265" i="1"/>
  <c r="HS124" i="8" l="1"/>
  <c r="HW124" i="8" s="1"/>
  <c r="HX124" i="8" s="1"/>
  <c r="IQ142" i="8"/>
  <c r="IV142" i="8"/>
  <c r="AG265" i="1"/>
  <c r="AJ195" i="18"/>
  <c r="AJ195" i="7"/>
  <c r="AM266" i="1"/>
  <c r="AL266" i="1" s="1"/>
  <c r="AN266" i="1" s="1"/>
  <c r="AK267" i="1" s="1"/>
  <c r="HR124" i="8" l="1"/>
  <c r="HY124" i="8" s="1"/>
  <c r="IA124" i="8"/>
  <c r="IZ142" i="8"/>
  <c r="IX142" i="8"/>
  <c r="IS143" i="8" s="1"/>
  <c r="AJ267" i="1"/>
  <c r="AI266" i="1"/>
  <c r="HT125" i="8" l="1"/>
  <c r="HU125" i="8"/>
  <c r="IN143" i="8"/>
  <c r="IU143" i="8"/>
  <c r="IO143" i="8"/>
  <c r="AG266" i="1"/>
  <c r="AJ196" i="18"/>
  <c r="AJ196" i="7"/>
  <c r="AM267" i="1"/>
  <c r="AL267" i="1" s="1"/>
  <c r="AN267" i="1" s="1"/>
  <c r="AK268" i="1" s="1"/>
  <c r="HV125" i="8"/>
  <c r="HO125" i="8"/>
  <c r="HP125" i="8"/>
  <c r="IP143" i="8" l="1"/>
  <c r="IR143" i="8" s="1"/>
  <c r="HQ125" i="8"/>
  <c r="AI267" i="1"/>
  <c r="HS125" i="8" l="1"/>
  <c r="HW125" i="8" s="1"/>
  <c r="HX125" i="8" s="1"/>
  <c r="IQ143" i="8"/>
  <c r="IX143" i="8" s="1"/>
  <c r="IS144" i="8" s="1"/>
  <c r="IV143" i="8"/>
  <c r="IZ143" i="8" s="1"/>
  <c r="AG267" i="1"/>
  <c r="AJ197" i="18"/>
  <c r="AJ197" i="7"/>
  <c r="AJ268" i="1"/>
  <c r="AM268" i="1"/>
  <c r="AL268" i="1" s="1"/>
  <c r="AN268" i="1" s="1"/>
  <c r="AK269" i="1" s="1"/>
  <c r="HR125" i="8" l="1"/>
  <c r="HY125" i="8" s="1"/>
  <c r="IA125" i="8"/>
  <c r="IO144" i="8"/>
  <c r="IU144" i="8"/>
  <c r="IN144" i="8"/>
  <c r="AJ269" i="1"/>
  <c r="AI268" i="1"/>
  <c r="HT126" i="8" l="1"/>
  <c r="HU126" i="8"/>
  <c r="IP144" i="8"/>
  <c r="IR144" i="8" s="1"/>
  <c r="AG268" i="1"/>
  <c r="AJ198" i="18"/>
  <c r="AJ198" i="7"/>
  <c r="AM269" i="1"/>
  <c r="AL269" i="1" s="1"/>
  <c r="AN269" i="1" s="1"/>
  <c r="AK270" i="1" s="1"/>
  <c r="HV126" i="8"/>
  <c r="HP126" i="8"/>
  <c r="HO126" i="8"/>
  <c r="IQ144" i="8" l="1"/>
  <c r="IX144" i="8" s="1"/>
  <c r="IS145" i="8" s="1"/>
  <c r="IV144" i="8"/>
  <c r="IZ144" i="8" s="1"/>
  <c r="HQ126" i="8"/>
  <c r="AJ270" i="1"/>
  <c r="AI269" i="1"/>
  <c r="HS126" i="8" l="1"/>
  <c r="HW126" i="8" s="1"/>
  <c r="HX126" i="8" s="1"/>
  <c r="IN145" i="8"/>
  <c r="IU145" i="8"/>
  <c r="IO145" i="8"/>
  <c r="AG269" i="1"/>
  <c r="AJ199" i="7"/>
  <c r="AJ199" i="18"/>
  <c r="AM270" i="1"/>
  <c r="AL270" i="1" s="1"/>
  <c r="AN270" i="1" s="1"/>
  <c r="AK271" i="1" s="1"/>
  <c r="HR126" i="8" l="1"/>
  <c r="HY126" i="8" s="1"/>
  <c r="IA126" i="8"/>
  <c r="IP145" i="8"/>
  <c r="IR145" i="8" s="1"/>
  <c r="AJ271" i="1"/>
  <c r="AI270" i="1"/>
  <c r="HT127" i="8" l="1"/>
  <c r="HU127" i="8"/>
  <c r="IQ145" i="8"/>
  <c r="IX145" i="8" s="1"/>
  <c r="IS146" i="8" s="1"/>
  <c r="IV145" i="8"/>
  <c r="IZ145" i="8" s="1"/>
  <c r="AG270" i="1"/>
  <c r="AJ200" i="18"/>
  <c r="AJ200" i="7"/>
  <c r="AM271" i="1"/>
  <c r="AL271" i="1" s="1"/>
  <c r="AN271" i="1" s="1"/>
  <c r="AK272" i="1" s="1"/>
  <c r="HV127" i="8"/>
  <c r="HO127" i="8"/>
  <c r="HP127" i="8"/>
  <c r="IU146" i="8" l="1"/>
  <c r="IN146" i="8"/>
  <c r="IO146" i="8"/>
  <c r="HQ127" i="8"/>
  <c r="AJ272" i="1"/>
  <c r="AI271" i="1"/>
  <c r="HS127" i="8" l="1"/>
  <c r="HW127" i="8" s="1"/>
  <c r="HX127" i="8" s="1"/>
  <c r="IP146" i="8"/>
  <c r="IR146" i="8" s="1"/>
  <c r="AG271" i="1"/>
  <c r="AJ201" i="18"/>
  <c r="AJ201" i="7"/>
  <c r="AM272" i="1"/>
  <c r="AL272" i="1" s="1"/>
  <c r="AN272" i="1" s="1"/>
  <c r="AK273" i="1" s="1"/>
  <c r="HR127" i="8" l="1"/>
  <c r="HY127" i="8" s="1"/>
  <c r="IA127" i="8"/>
  <c r="IQ146" i="8"/>
  <c r="IX146" i="8" s="1"/>
  <c r="IS147" i="8" s="1"/>
  <c r="IV146" i="8"/>
  <c r="IZ146" i="8" s="1"/>
  <c r="AJ273" i="1"/>
  <c r="AI272" i="1"/>
  <c r="HT128" i="8" l="1"/>
  <c r="HU128" i="8"/>
  <c r="IO147" i="8"/>
  <c r="IN147" i="8"/>
  <c r="IU147" i="8"/>
  <c r="AG272" i="1"/>
  <c r="AJ202" i="7"/>
  <c r="AJ202" i="18"/>
  <c r="HO128" i="8"/>
  <c r="HP128" i="8"/>
  <c r="HV128" i="8"/>
  <c r="AM273" i="1"/>
  <c r="AL273" i="1" s="1"/>
  <c r="AN273" i="1" s="1"/>
  <c r="AK274" i="1" s="1"/>
  <c r="IP147" i="8" l="1"/>
  <c r="IR147" i="8" s="1"/>
  <c r="HQ128" i="8"/>
  <c r="AJ274" i="1"/>
  <c r="AI273" i="1"/>
  <c r="HS128" i="8" l="1"/>
  <c r="HR128" i="8" s="1"/>
  <c r="IQ147" i="8"/>
  <c r="IX147" i="8" s="1"/>
  <c r="IS148" i="8" s="1"/>
  <c r="IV147" i="8"/>
  <c r="IZ147" i="8" s="1"/>
  <c r="AG273" i="1"/>
  <c r="AJ203" i="18"/>
  <c r="AJ203" i="7"/>
  <c r="AM274" i="1"/>
  <c r="AL274" i="1" s="1"/>
  <c r="AN274" i="1" s="1"/>
  <c r="AK275" i="1" s="1"/>
  <c r="HW128" i="8" l="1"/>
  <c r="IO148" i="8"/>
  <c r="IU148" i="8"/>
  <c r="IN148" i="8"/>
  <c r="AJ275" i="1"/>
  <c r="AI274" i="1"/>
  <c r="AM275" i="1"/>
  <c r="HX128" i="8" l="1"/>
  <c r="IP148" i="8"/>
  <c r="IR148" i="8" s="1"/>
  <c r="AG274" i="1"/>
  <c r="AJ204" i="18"/>
  <c r="AJ204" i="7"/>
  <c r="AL275" i="1"/>
  <c r="AN275" i="1" s="1"/>
  <c r="AK276" i="1" s="1"/>
  <c r="IA128" i="8" l="1"/>
  <c r="HY128" i="8"/>
  <c r="IQ148" i="8"/>
  <c r="IX148" i="8" s="1"/>
  <c r="IS149" i="8" s="1"/>
  <c r="IV148" i="8"/>
  <c r="IZ148" i="8" s="1"/>
  <c r="AJ276" i="1"/>
  <c r="AI275" i="1"/>
  <c r="AM276" i="1"/>
  <c r="HU129" i="8" l="1"/>
  <c r="HT129" i="8"/>
  <c r="HO129" i="8"/>
  <c r="HV129" i="8"/>
  <c r="HP129" i="8"/>
  <c r="HQ129" i="8" s="1"/>
  <c r="HS129" i="8" s="1"/>
  <c r="HR129" i="8" s="1"/>
  <c r="IN149" i="8"/>
  <c r="IO149" i="8"/>
  <c r="IU149" i="8"/>
  <c r="AG275" i="1"/>
  <c r="AJ205" i="18"/>
  <c r="AJ205" i="7"/>
  <c r="AL276" i="1"/>
  <c r="AN276" i="1" s="1"/>
  <c r="AK277" i="1" s="1"/>
  <c r="HW129" i="8" l="1"/>
  <c r="IP149" i="8"/>
  <c r="IR149" i="8" s="1"/>
  <c r="AJ277" i="1"/>
  <c r="AI276" i="1"/>
  <c r="HX129" i="8" l="1"/>
  <c r="HY129" i="8" s="1"/>
  <c r="IQ149" i="8"/>
  <c r="IX149" i="8" s="1"/>
  <c r="IS150" i="8" s="1"/>
  <c r="IV149" i="8"/>
  <c r="IZ149" i="8" s="1"/>
  <c r="AG276" i="1"/>
  <c r="AJ206" i="18"/>
  <c r="AJ206" i="7"/>
  <c r="AM277" i="1"/>
  <c r="AL277" i="1" s="1"/>
  <c r="AN277" i="1" s="1"/>
  <c r="AK278" i="1" s="1"/>
  <c r="IA129" i="8" l="1"/>
  <c r="HP130" i="8"/>
  <c r="HQ130" i="8" s="1"/>
  <c r="HS130" i="8" s="1"/>
  <c r="HT130" i="8"/>
  <c r="HV130" i="8"/>
  <c r="HU130" i="8"/>
  <c r="HO130" i="8"/>
  <c r="IN150" i="8"/>
  <c r="IO150" i="8"/>
  <c r="IU150" i="8"/>
  <c r="AJ278" i="1"/>
  <c r="AI277" i="1"/>
  <c r="HW130" i="8" l="1"/>
  <c r="HX130" i="8" s="1"/>
  <c r="IA130" i="8" s="1"/>
  <c r="HR130" i="8"/>
  <c r="IP150" i="8"/>
  <c r="IR150" i="8" s="1"/>
  <c r="AG277" i="1"/>
  <c r="AJ207" i="7"/>
  <c r="AJ207" i="18"/>
  <c r="AM278" i="1"/>
  <c r="AL278" i="1" s="1"/>
  <c r="AN278" i="1" s="1"/>
  <c r="AK279" i="1" s="1"/>
  <c r="HY130" i="8" l="1"/>
  <c r="HU131" i="8" s="1"/>
  <c r="IQ150" i="8"/>
  <c r="IX150" i="8" s="1"/>
  <c r="IS151" i="8" s="1"/>
  <c r="IV150" i="8"/>
  <c r="IZ150" i="8" s="1"/>
  <c r="AJ279" i="1"/>
  <c r="AI278" i="1"/>
  <c r="HV131" i="8" l="1"/>
  <c r="HT131" i="8"/>
  <c r="HP131" i="8"/>
  <c r="HQ131" i="8" s="1"/>
  <c r="HO131" i="8"/>
  <c r="IO151" i="8"/>
  <c r="IP151" i="8" s="1"/>
  <c r="IU151" i="8"/>
  <c r="IN151" i="8"/>
  <c r="AG278" i="1"/>
  <c r="AJ208" i="18"/>
  <c r="AJ208" i="7"/>
  <c r="AM279" i="1"/>
  <c r="AL279" i="1" s="1"/>
  <c r="AN279" i="1" s="1"/>
  <c r="AK280" i="1" s="1"/>
  <c r="HS131" i="8" l="1"/>
  <c r="HW131" i="8" s="1"/>
  <c r="HX131" i="8" s="1"/>
  <c r="IR151" i="8"/>
  <c r="AI279" i="1"/>
  <c r="HR131" i="8" l="1"/>
  <c r="HY131" i="8" s="1"/>
  <c r="IA131" i="8"/>
  <c r="IQ151" i="8"/>
  <c r="IX151" i="8" s="1"/>
  <c r="IS152" i="8" s="1"/>
  <c r="IV151" i="8"/>
  <c r="IZ151" i="8" s="1"/>
  <c r="AG279" i="1"/>
  <c r="AJ209" i="18"/>
  <c r="AJ209" i="7"/>
  <c r="AJ280" i="1"/>
  <c r="AM280" i="1"/>
  <c r="AL280" i="1" s="1"/>
  <c r="AN280" i="1" s="1"/>
  <c r="AK281" i="1" s="1"/>
  <c r="HT132" i="8" l="1"/>
  <c r="HU132" i="8"/>
  <c r="IO152" i="8"/>
  <c r="IN152" i="8"/>
  <c r="IU152" i="8"/>
  <c r="AJ281" i="1"/>
  <c r="AI280" i="1"/>
  <c r="HP132" i="8"/>
  <c r="HQ132" i="8" s="1"/>
  <c r="HV132" i="8"/>
  <c r="HO132" i="8"/>
  <c r="IP152" i="8" l="1"/>
  <c r="IR152" i="8" s="1"/>
  <c r="HS132" i="8"/>
  <c r="HW132" i="8" s="1"/>
  <c r="HX132" i="8" s="1"/>
  <c r="AG280" i="1"/>
  <c r="AJ210" i="7"/>
  <c r="AJ210" i="18"/>
  <c r="AM281" i="1"/>
  <c r="AL281" i="1" s="1"/>
  <c r="AN281" i="1" s="1"/>
  <c r="AK282" i="1" s="1"/>
  <c r="IQ152" i="8" l="1"/>
  <c r="IX152" i="8" s="1"/>
  <c r="IS153" i="8" s="1"/>
  <c r="IV152" i="8"/>
  <c r="IZ152" i="8" s="1"/>
  <c r="IA132" i="8"/>
  <c r="AJ282" i="1"/>
  <c r="AI281" i="1"/>
  <c r="HR132" i="8"/>
  <c r="IN153" i="8" l="1"/>
  <c r="IU153" i="8"/>
  <c r="IO153" i="8"/>
  <c r="AG281" i="1"/>
  <c r="AJ211" i="18"/>
  <c r="AJ211" i="7"/>
  <c r="AM282" i="1"/>
  <c r="AL282" i="1" s="1"/>
  <c r="AN282" i="1" s="1"/>
  <c r="AK283" i="1" s="1"/>
  <c r="HY132" i="8"/>
  <c r="HT133" i="8" l="1"/>
  <c r="HU133" i="8"/>
  <c r="IP153" i="8"/>
  <c r="IR153" i="8" s="1"/>
  <c r="AJ283" i="1"/>
  <c r="AI282" i="1"/>
  <c r="HP133" i="8"/>
  <c r="HV133" i="8"/>
  <c r="HO133" i="8"/>
  <c r="IQ153" i="8" l="1"/>
  <c r="IX153" i="8" s="1"/>
  <c r="IS154" i="8" s="1"/>
  <c r="IV153" i="8"/>
  <c r="IZ153" i="8" s="1"/>
  <c r="HQ133" i="8"/>
  <c r="AG282" i="1"/>
  <c r="AJ212" i="18"/>
  <c r="AJ212" i="7"/>
  <c r="AM283" i="1"/>
  <c r="AL283" i="1" s="1"/>
  <c r="AN283" i="1" s="1"/>
  <c r="AK284" i="1" s="1"/>
  <c r="HS133" i="8" l="1"/>
  <c r="HW133" i="8" s="1"/>
  <c r="HX133" i="8" s="1"/>
  <c r="IU154" i="8"/>
  <c r="IO154" i="8"/>
  <c r="IN154" i="8"/>
  <c r="AJ284" i="1"/>
  <c r="AI283" i="1"/>
  <c r="HR133" i="8" l="1"/>
  <c r="HY133" i="8" s="1"/>
  <c r="IA133" i="8"/>
  <c r="IP154" i="8"/>
  <c r="IR154" i="8" s="1"/>
  <c r="AG283" i="1"/>
  <c r="AJ213" i="18"/>
  <c r="AJ213" i="7"/>
  <c r="AM284" i="1"/>
  <c r="AL284" i="1" s="1"/>
  <c r="AN284" i="1" s="1"/>
  <c r="AK285" i="1" s="1"/>
  <c r="HT134" i="8" l="1"/>
  <c r="HU134" i="8"/>
  <c r="IQ154" i="8"/>
  <c r="IX154" i="8" s="1"/>
  <c r="IS155" i="8" s="1"/>
  <c r="IV154" i="8"/>
  <c r="IZ154" i="8" s="1"/>
  <c r="AJ285" i="1"/>
  <c r="AI284" i="1"/>
  <c r="HV134" i="8"/>
  <c r="HP134" i="8"/>
  <c r="HO134" i="8"/>
  <c r="IU155" i="8" l="1"/>
  <c r="IO155" i="8"/>
  <c r="IN155" i="8"/>
  <c r="HQ134" i="8"/>
  <c r="AG284" i="1"/>
  <c r="AJ214" i="18"/>
  <c r="AJ214" i="7"/>
  <c r="AM285" i="1"/>
  <c r="AL285" i="1" s="1"/>
  <c r="AN285" i="1" s="1"/>
  <c r="AK286" i="1" s="1"/>
  <c r="HS134" i="8" l="1"/>
  <c r="HR134" i="8" s="1"/>
  <c r="IP155" i="8"/>
  <c r="IR155" i="8" s="1"/>
  <c r="AJ286" i="1"/>
  <c r="AI285" i="1"/>
  <c r="HW134" i="8" l="1"/>
  <c r="HX134" i="8" s="1"/>
  <c r="HY134" i="8" s="1"/>
  <c r="IQ155" i="8"/>
  <c r="IX155" i="8" s="1"/>
  <c r="IS156" i="8" s="1"/>
  <c r="IV155" i="8"/>
  <c r="IZ155" i="8" s="1"/>
  <c r="AG285" i="1"/>
  <c r="AJ215" i="7"/>
  <c r="AJ215" i="18"/>
  <c r="AM286" i="1"/>
  <c r="AL286" i="1" s="1"/>
  <c r="AN286" i="1" s="1"/>
  <c r="AK287" i="1" s="1"/>
  <c r="HT135" i="8" l="1"/>
  <c r="HU135" i="8"/>
  <c r="IO156" i="8"/>
  <c r="IU156" i="8"/>
  <c r="IN156" i="8"/>
  <c r="HP135" i="8"/>
  <c r="IA134" i="8"/>
  <c r="AJ287" i="1"/>
  <c r="AI286" i="1"/>
  <c r="AM287" i="1"/>
  <c r="HO135" i="8"/>
  <c r="HV135" i="8"/>
  <c r="IP156" i="8" l="1"/>
  <c r="IR156" i="8" s="1"/>
  <c r="HQ135" i="8"/>
  <c r="AG286" i="1"/>
  <c r="AJ216" i="18"/>
  <c r="AJ216" i="7"/>
  <c r="AL287" i="1"/>
  <c r="AN287" i="1" s="1"/>
  <c r="AK288" i="1" s="1"/>
  <c r="HS135" i="8" l="1"/>
  <c r="HW135" i="8" s="1"/>
  <c r="HX135" i="8" s="1"/>
  <c r="IQ156" i="8"/>
  <c r="IX156" i="8" s="1"/>
  <c r="IS157" i="8" s="1"/>
  <c r="IV156" i="8"/>
  <c r="IZ156" i="8" s="1"/>
  <c r="AJ288" i="1"/>
  <c r="AI287" i="1"/>
  <c r="AM288" i="1"/>
  <c r="HR135" i="8" l="1"/>
  <c r="HY135" i="8" s="1"/>
  <c r="IA135" i="8"/>
  <c r="IU157" i="8"/>
  <c r="IO157" i="8"/>
  <c r="IN157" i="8"/>
  <c r="AG287" i="1"/>
  <c r="AJ217" i="18"/>
  <c r="AJ217" i="7"/>
  <c r="AL288" i="1"/>
  <c r="AN288" i="1" s="1"/>
  <c r="AK289" i="1" s="1"/>
  <c r="HT136" i="8" l="1"/>
  <c r="HU136" i="8"/>
  <c r="IP157" i="8"/>
  <c r="IR157" i="8" s="1"/>
  <c r="HV136" i="8"/>
  <c r="HP136" i="8"/>
  <c r="HO136" i="8"/>
  <c r="AJ289" i="1"/>
  <c r="AI288" i="1"/>
  <c r="AM289" i="1"/>
  <c r="IQ157" i="8" l="1"/>
  <c r="IX157" i="8" s="1"/>
  <c r="IS158" i="8" s="1"/>
  <c r="IV157" i="8"/>
  <c r="IZ157" i="8" s="1"/>
  <c r="HQ136" i="8"/>
  <c r="AG288" i="1"/>
  <c r="AJ218" i="18"/>
  <c r="AJ218" i="7"/>
  <c r="AL289" i="1"/>
  <c r="AN289" i="1" s="1"/>
  <c r="AK290" i="1" s="1"/>
  <c r="HS136" i="8" l="1"/>
  <c r="HR136" i="8" s="1"/>
  <c r="IU158" i="8"/>
  <c r="IN158" i="8"/>
  <c r="IO158" i="8"/>
  <c r="IP158" i="8" s="1"/>
  <c r="AJ290" i="1"/>
  <c r="AI289" i="1"/>
  <c r="HW136" i="8" l="1"/>
  <c r="IR158" i="8"/>
  <c r="AG289" i="1"/>
  <c r="AJ219" i="18"/>
  <c r="AJ219" i="7"/>
  <c r="AM290" i="1"/>
  <c r="AL290" i="1" s="1"/>
  <c r="AN290" i="1" s="1"/>
  <c r="AK291" i="1" s="1"/>
  <c r="HX136" i="8" l="1"/>
  <c r="IQ158" i="8"/>
  <c r="IX158" i="8" s="1"/>
  <c r="IS159" i="8" s="1"/>
  <c r="IV158" i="8"/>
  <c r="IZ158" i="8" s="1"/>
  <c r="AJ291" i="1"/>
  <c r="AI290" i="1"/>
  <c r="IA136" i="8" l="1"/>
  <c r="HY136" i="8"/>
  <c r="IO159" i="8"/>
  <c r="IU159" i="8"/>
  <c r="IN159" i="8"/>
  <c r="AG290" i="1"/>
  <c r="AJ220" i="18"/>
  <c r="AJ220" i="7"/>
  <c r="AM291" i="1"/>
  <c r="AL291" i="1" s="1"/>
  <c r="AN291" i="1" s="1"/>
  <c r="AK292" i="1" s="1"/>
  <c r="HO137" i="8" l="1"/>
  <c r="HT137" i="8"/>
  <c r="HU137" i="8"/>
  <c r="HP137" i="8"/>
  <c r="HQ137" i="8" s="1"/>
  <c r="HS137" i="8" s="1"/>
  <c r="HV137" i="8"/>
  <c r="IP159" i="8"/>
  <c r="IR159" i="8" s="1"/>
  <c r="AI291" i="1"/>
  <c r="HR137" i="8" l="1"/>
  <c r="HW137" i="8"/>
  <c r="HX137" i="8" s="1"/>
  <c r="IQ159" i="8"/>
  <c r="IX159" i="8" s="1"/>
  <c r="IS160" i="8" s="1"/>
  <c r="IV159" i="8"/>
  <c r="IZ159" i="8" s="1"/>
  <c r="AG291" i="1"/>
  <c r="AJ221" i="18"/>
  <c r="AJ221" i="7"/>
  <c r="AJ292" i="1"/>
  <c r="AM292" i="1"/>
  <c r="AL292" i="1" s="1"/>
  <c r="AN292" i="1" s="1"/>
  <c r="AK293" i="1" s="1"/>
  <c r="HY137" i="8" l="1"/>
  <c r="HV138" i="8" s="1"/>
  <c r="IA137" i="8"/>
  <c r="IN160" i="8"/>
  <c r="IO160" i="8"/>
  <c r="IU160" i="8"/>
  <c r="AJ293" i="1"/>
  <c r="AI292" i="1"/>
  <c r="HU138" i="8" l="1"/>
  <c r="HT138" i="8"/>
  <c r="HP138" i="8"/>
  <c r="HQ138" i="8" s="1"/>
  <c r="HS138" i="8" s="1"/>
  <c r="HR138" i="8" s="1"/>
  <c r="HO138" i="8"/>
  <c r="IP160" i="8"/>
  <c r="IR160" i="8" s="1"/>
  <c r="AG292" i="1"/>
  <c r="AJ222" i="18"/>
  <c r="AJ222" i="7"/>
  <c r="AM293" i="1"/>
  <c r="AL293" i="1" s="1"/>
  <c r="AN293" i="1" s="1"/>
  <c r="AK294" i="1" s="1"/>
  <c r="HW138" i="8" l="1"/>
  <c r="HX138" i="8" s="1"/>
  <c r="IA138" i="8" s="1"/>
  <c r="IQ160" i="8"/>
  <c r="IX160" i="8" s="1"/>
  <c r="IS161" i="8" s="1"/>
  <c r="IV160" i="8"/>
  <c r="IZ160" i="8" s="1"/>
  <c r="AJ294" i="1"/>
  <c r="AI293" i="1"/>
  <c r="HY138" i="8" l="1"/>
  <c r="HT139" i="8" s="1"/>
  <c r="IN161" i="8"/>
  <c r="IO161" i="8"/>
  <c r="IU161" i="8"/>
  <c r="AG293" i="1"/>
  <c r="AJ223" i="7"/>
  <c r="AJ223" i="18"/>
  <c r="AM294" i="1"/>
  <c r="AL294" i="1" s="1"/>
  <c r="AN294" i="1" s="1"/>
  <c r="AK295" i="1" s="1"/>
  <c r="HP139" i="8" l="1"/>
  <c r="HQ139" i="8" s="1"/>
  <c r="HS139" i="8" s="1"/>
  <c r="HR139" i="8" s="1"/>
  <c r="HO139" i="8"/>
  <c r="HV139" i="8"/>
  <c r="HU139" i="8"/>
  <c r="IP161" i="8"/>
  <c r="IR161" i="8" s="1"/>
  <c r="AJ295" i="1"/>
  <c r="AI294" i="1"/>
  <c r="AM295" i="1"/>
  <c r="HW139" i="8" l="1"/>
  <c r="HX139" i="8" s="1"/>
  <c r="HY139" i="8" s="1"/>
  <c r="HT140" i="8" s="1"/>
  <c r="IQ161" i="8"/>
  <c r="IX161" i="8" s="1"/>
  <c r="IS162" i="8" s="1"/>
  <c r="IV161" i="8"/>
  <c r="IZ161" i="8" s="1"/>
  <c r="AG294" i="1"/>
  <c r="AJ224" i="18"/>
  <c r="AJ224" i="7"/>
  <c r="AL295" i="1"/>
  <c r="AN295" i="1" s="1"/>
  <c r="AK296" i="1" s="1"/>
  <c r="HU140" i="8" l="1"/>
  <c r="HP140" i="8"/>
  <c r="HQ140" i="8" s="1"/>
  <c r="HS140" i="8" s="1"/>
  <c r="HO140" i="8"/>
  <c r="HV140" i="8"/>
  <c r="IA139" i="8"/>
  <c r="IU162" i="8"/>
  <c r="IN162" i="8"/>
  <c r="IO162" i="8"/>
  <c r="IP162" i="8" s="1"/>
  <c r="AJ296" i="1"/>
  <c r="AI295" i="1"/>
  <c r="HW140" i="8" l="1"/>
  <c r="HX140" i="8" s="1"/>
  <c r="IA140" i="8" s="1"/>
  <c r="HR140" i="8"/>
  <c r="IR162" i="8"/>
  <c r="AG295" i="1"/>
  <c r="AJ225" i="18"/>
  <c r="AJ225" i="7"/>
  <c r="AM296" i="1"/>
  <c r="AL296" i="1" s="1"/>
  <c r="AN296" i="1" s="1"/>
  <c r="AK297" i="1" s="1"/>
  <c r="HY140" i="8" l="1"/>
  <c r="HT141" i="8" s="1"/>
  <c r="IQ162" i="8"/>
  <c r="IX162" i="8" s="1"/>
  <c r="IS163" i="8" s="1"/>
  <c r="IV162" i="8"/>
  <c r="IZ162" i="8" s="1"/>
  <c r="AJ297" i="1"/>
  <c r="AI296" i="1"/>
  <c r="AM297" i="1"/>
  <c r="HV141" i="8" l="1"/>
  <c r="HO141" i="8"/>
  <c r="HP141" i="8"/>
  <c r="HQ141" i="8" s="1"/>
  <c r="HS141" i="8" s="1"/>
  <c r="HU141" i="8"/>
  <c r="IN163" i="8"/>
  <c r="IO163" i="8"/>
  <c r="IU163" i="8"/>
  <c r="AG296" i="1"/>
  <c r="AJ226" i="7"/>
  <c r="AJ226" i="18"/>
  <c r="AL297" i="1"/>
  <c r="AN297" i="1" s="1"/>
  <c r="AK298" i="1" s="1"/>
  <c r="HW141" i="8" l="1"/>
  <c r="HX141" i="8" s="1"/>
  <c r="IP163" i="8"/>
  <c r="IR163" i="8" s="1"/>
  <c r="AJ298" i="1"/>
  <c r="AI297" i="1"/>
  <c r="HR141" i="8"/>
  <c r="IA141" i="8" l="1"/>
  <c r="IV163" i="8"/>
  <c r="IZ163" i="8" s="1"/>
  <c r="IQ163" i="8"/>
  <c r="IX163" i="8" s="1"/>
  <c r="IS164" i="8" s="1"/>
  <c r="AG297" i="1"/>
  <c r="AJ227" i="7"/>
  <c r="AJ227" i="18"/>
  <c r="AM298" i="1"/>
  <c r="AL298" i="1" s="1"/>
  <c r="AN298" i="1" s="1"/>
  <c r="AK299" i="1" s="1"/>
  <c r="HY141" i="8"/>
  <c r="HT142" i="8" l="1"/>
  <c r="HU142" i="8"/>
  <c r="IN164" i="8"/>
  <c r="IO164" i="8"/>
  <c r="IU164" i="8"/>
  <c r="AJ299" i="1"/>
  <c r="AI298" i="1"/>
  <c r="HV142" i="8"/>
  <c r="HP142" i="8"/>
  <c r="HO142" i="8"/>
  <c r="IP164" i="8" l="1"/>
  <c r="IR164" i="8" s="1"/>
  <c r="HQ142" i="8"/>
  <c r="AG298" i="1"/>
  <c r="AJ228" i="18"/>
  <c r="AJ228" i="7"/>
  <c r="AM299" i="1"/>
  <c r="AL299" i="1" s="1"/>
  <c r="AN299" i="1" s="1"/>
  <c r="AK300" i="1" s="1"/>
  <c r="HS142" i="8" l="1"/>
  <c r="HW142" i="8" s="1"/>
  <c r="HX142" i="8" s="1"/>
  <c r="IQ164" i="8"/>
  <c r="IX164" i="8" s="1"/>
  <c r="IS165" i="8" s="1"/>
  <c r="IV164" i="8"/>
  <c r="IZ164" i="8" s="1"/>
  <c r="AJ300" i="1"/>
  <c r="AI299" i="1"/>
  <c r="HR142" i="8" l="1"/>
  <c r="HY142" i="8" s="1"/>
  <c r="IA142" i="8"/>
  <c r="IN165" i="8"/>
  <c r="IO165" i="8"/>
  <c r="IP165" i="8" s="1"/>
  <c r="IU165" i="8"/>
  <c r="AG299" i="1"/>
  <c r="AJ229" i="18"/>
  <c r="AJ229" i="7"/>
  <c r="AM300" i="1"/>
  <c r="AL300" i="1" s="1"/>
  <c r="AN300" i="1" s="1"/>
  <c r="AK301" i="1" s="1"/>
  <c r="HT143" i="8" l="1"/>
  <c r="HU143" i="8"/>
  <c r="IR165" i="8"/>
  <c r="AJ301" i="1"/>
  <c r="AI300" i="1"/>
  <c r="AM301" i="1"/>
  <c r="HV143" i="8"/>
  <c r="HP143" i="8"/>
  <c r="HQ143" i="8" s="1"/>
  <c r="HO143" i="8"/>
  <c r="IQ165" i="8" l="1"/>
  <c r="IX165" i="8" s="1"/>
  <c r="IS166" i="8" s="1"/>
  <c r="IV165" i="8"/>
  <c r="IZ165" i="8" s="1"/>
  <c r="HS143" i="8"/>
  <c r="HW143" i="8" s="1"/>
  <c r="HX143" i="8" s="1"/>
  <c r="AG300" i="1"/>
  <c r="AJ230" i="18"/>
  <c r="AJ230" i="7"/>
  <c r="AL301" i="1"/>
  <c r="AN301" i="1" s="1"/>
  <c r="AK302" i="1" s="1"/>
  <c r="IU166" i="8" l="1"/>
  <c r="IN166" i="8"/>
  <c r="IO166" i="8"/>
  <c r="IA143" i="8"/>
  <c r="AJ302" i="1"/>
  <c r="AI301" i="1"/>
  <c r="HR143" i="8"/>
  <c r="IP166" i="8" l="1"/>
  <c r="IR166" i="8" s="1"/>
  <c r="AG301" i="1"/>
  <c r="AJ231" i="7"/>
  <c r="AJ231" i="18"/>
  <c r="AM302" i="1"/>
  <c r="AL302" i="1" s="1"/>
  <c r="AN302" i="1" s="1"/>
  <c r="AK303" i="1" s="1"/>
  <c r="HY143" i="8"/>
  <c r="HT144" i="8" l="1"/>
  <c r="HU144" i="8"/>
  <c r="IQ166" i="8"/>
  <c r="IX166" i="8" s="1"/>
  <c r="IS167" i="8" s="1"/>
  <c r="IV166" i="8"/>
  <c r="IZ166" i="8" s="1"/>
  <c r="AJ303" i="1"/>
  <c r="AI302" i="1"/>
  <c r="AM303" i="1"/>
  <c r="HO144" i="8"/>
  <c r="HV144" i="8"/>
  <c r="HP144" i="8"/>
  <c r="IU167" i="8" l="1"/>
  <c r="IN167" i="8"/>
  <c r="IO167" i="8"/>
  <c r="HQ144" i="8"/>
  <c r="AG302" i="1"/>
  <c r="AJ232" i="18"/>
  <c r="AJ232" i="7"/>
  <c r="AL303" i="1"/>
  <c r="AN303" i="1" s="1"/>
  <c r="AK304" i="1" s="1"/>
  <c r="HS144" i="8" l="1"/>
  <c r="HW144" i="8" s="1"/>
  <c r="HX144" i="8" s="1"/>
  <c r="IP167" i="8"/>
  <c r="IR167" i="8" s="1"/>
  <c r="AI303" i="1"/>
  <c r="HR144" i="8" l="1"/>
  <c r="HY144" i="8" s="1"/>
  <c r="IA144" i="8"/>
  <c r="IQ167" i="8"/>
  <c r="IX167" i="8" s="1"/>
  <c r="IS168" i="8" s="1"/>
  <c r="IV167" i="8"/>
  <c r="IZ167" i="8" s="1"/>
  <c r="AG303" i="1"/>
  <c r="AJ233" i="18"/>
  <c r="AJ233" i="7"/>
  <c r="AJ304" i="1"/>
  <c r="AM304" i="1"/>
  <c r="AL304" i="1" s="1"/>
  <c r="AN304" i="1" s="1"/>
  <c r="AK305" i="1" s="1"/>
  <c r="HT145" i="8" l="1"/>
  <c r="HU145" i="8"/>
  <c r="IN168" i="8"/>
  <c r="IU168" i="8"/>
  <c r="IO168" i="8"/>
  <c r="AJ305" i="1"/>
  <c r="AI304" i="1"/>
  <c r="AM305" i="1"/>
  <c r="HP145" i="8"/>
  <c r="HQ145" i="8" s="1"/>
  <c r="HV145" i="8"/>
  <c r="HO145" i="8"/>
  <c r="IP168" i="8" l="1"/>
  <c r="IR168" i="8" s="1"/>
  <c r="HS145" i="8"/>
  <c r="HW145" i="8" s="1"/>
  <c r="HX145" i="8" s="1"/>
  <c r="AG304" i="1"/>
  <c r="AJ234" i="7"/>
  <c r="AJ234" i="18"/>
  <c r="AL305" i="1"/>
  <c r="AN305" i="1" s="1"/>
  <c r="AK306" i="1" s="1"/>
  <c r="IQ168" i="8" l="1"/>
  <c r="IX168" i="8" s="1"/>
  <c r="IS169" i="8" s="1"/>
  <c r="IV168" i="8"/>
  <c r="IZ168" i="8" s="1"/>
  <c r="IA145" i="8"/>
  <c r="AJ306" i="1"/>
  <c r="AI305" i="1"/>
  <c r="AM306" i="1"/>
  <c r="HR145" i="8"/>
  <c r="IU169" i="8" l="1"/>
  <c r="IN169" i="8"/>
  <c r="IO169" i="8"/>
  <c r="AG305" i="1"/>
  <c r="AJ235" i="18"/>
  <c r="AJ235" i="7"/>
  <c r="AL306" i="1"/>
  <c r="AN306" i="1" s="1"/>
  <c r="AK307" i="1" s="1"/>
  <c r="HY145" i="8"/>
  <c r="HT146" i="8" l="1"/>
  <c r="HU146" i="8"/>
  <c r="IP169" i="8"/>
  <c r="IR169" i="8" s="1"/>
  <c r="AJ307" i="1"/>
  <c r="AI306" i="1"/>
  <c r="AM307" i="1"/>
  <c r="HO146" i="8"/>
  <c r="HP146" i="8"/>
  <c r="HV146" i="8"/>
  <c r="IQ169" i="8" l="1"/>
  <c r="IX169" i="8" s="1"/>
  <c r="IS170" i="8" s="1"/>
  <c r="IV169" i="8"/>
  <c r="IZ169" i="8" s="1"/>
  <c r="HQ146" i="8"/>
  <c r="AG306" i="1"/>
  <c r="AJ236" i="18"/>
  <c r="AJ236" i="7"/>
  <c r="AL307" i="1"/>
  <c r="AN307" i="1" s="1"/>
  <c r="AK308" i="1" s="1"/>
  <c r="HS146" i="8" l="1"/>
  <c r="HW146" i="8" s="1"/>
  <c r="HX146" i="8" s="1"/>
  <c r="IA146" i="8" s="1"/>
  <c r="IN170" i="8"/>
  <c r="IU170" i="8"/>
  <c r="IO170" i="8"/>
  <c r="AJ308" i="1"/>
  <c r="AI307" i="1"/>
  <c r="HR146" i="8" l="1"/>
  <c r="HY146" i="8" s="1"/>
  <c r="IP170" i="8"/>
  <c r="IR170" i="8" s="1"/>
  <c r="AG307" i="1"/>
  <c r="AJ237" i="18"/>
  <c r="AJ237" i="7"/>
  <c r="AM308" i="1"/>
  <c r="AL308" i="1" s="1"/>
  <c r="AN308" i="1" s="1"/>
  <c r="AK309" i="1" s="1"/>
  <c r="HT147" i="8" l="1"/>
  <c r="HU147" i="8"/>
  <c r="IQ170" i="8"/>
  <c r="IX170" i="8" s="1"/>
  <c r="IS171" i="8" s="1"/>
  <c r="IV170" i="8"/>
  <c r="IZ170" i="8" s="1"/>
  <c r="AJ309" i="1"/>
  <c r="AI308" i="1"/>
  <c r="HV147" i="8"/>
  <c r="HP147" i="8"/>
  <c r="HO147" i="8"/>
  <c r="IN171" i="8" l="1"/>
  <c r="IU171" i="8"/>
  <c r="IO171" i="8"/>
  <c r="HQ147" i="8"/>
  <c r="AG308" i="1"/>
  <c r="AJ238" i="18"/>
  <c r="AJ238" i="7"/>
  <c r="AM309" i="1"/>
  <c r="AL309" i="1" s="1"/>
  <c r="AN309" i="1" s="1"/>
  <c r="AK310" i="1" s="1"/>
  <c r="HS147" i="8" l="1"/>
  <c r="HW147" i="8" s="1"/>
  <c r="HX147" i="8" s="1"/>
  <c r="IP171" i="8"/>
  <c r="IR171" i="8" s="1"/>
  <c r="AJ310" i="1"/>
  <c r="AI309" i="1"/>
  <c r="AM310" i="1"/>
  <c r="IA147" i="8" l="1"/>
  <c r="HR147" i="8"/>
  <c r="HY147" i="8" s="1"/>
  <c r="IQ171" i="8"/>
  <c r="IX171" i="8" s="1"/>
  <c r="IS172" i="8" s="1"/>
  <c r="IV171" i="8"/>
  <c r="IZ171" i="8" s="1"/>
  <c r="AG309" i="1"/>
  <c r="AJ239" i="7"/>
  <c r="AJ239" i="18"/>
  <c r="AL310" i="1"/>
  <c r="AN310" i="1" s="1"/>
  <c r="AK311" i="1" s="1"/>
  <c r="HT148" i="8" l="1"/>
  <c r="HU148" i="8"/>
  <c r="IN172" i="8"/>
  <c r="IU172" i="8"/>
  <c r="IO172" i="8"/>
  <c r="AJ311" i="1"/>
  <c r="AI310" i="1"/>
  <c r="HV148" i="8"/>
  <c r="HO148" i="8"/>
  <c r="HP148" i="8"/>
  <c r="HQ148" i="8" s="1"/>
  <c r="IP172" i="8" l="1"/>
  <c r="IR172" i="8" s="1"/>
  <c r="HS148" i="8"/>
  <c r="HW148" i="8" s="1"/>
  <c r="HX148" i="8" s="1"/>
  <c r="AG310" i="1"/>
  <c r="AJ240" i="18"/>
  <c r="AJ240" i="7"/>
  <c r="AM311" i="1"/>
  <c r="AL311" i="1" s="1"/>
  <c r="AN311" i="1" s="1"/>
  <c r="AK312" i="1" s="1"/>
  <c r="IV172" i="8" l="1"/>
  <c r="IZ172" i="8" s="1"/>
  <c r="IQ172" i="8"/>
  <c r="IX172" i="8" s="1"/>
  <c r="IS173" i="8" s="1"/>
  <c r="AJ312" i="1"/>
  <c r="AI311" i="1"/>
  <c r="IA148" i="8"/>
  <c r="HR148" i="8"/>
  <c r="IN173" i="8" l="1"/>
  <c r="IU173" i="8"/>
  <c r="IO173" i="8"/>
  <c r="AG311" i="1"/>
  <c r="AJ241" i="18"/>
  <c r="AJ241" i="7"/>
  <c r="AM312" i="1"/>
  <c r="AL312" i="1" s="1"/>
  <c r="AN312" i="1" s="1"/>
  <c r="AK313" i="1" s="1"/>
  <c r="HY148" i="8"/>
  <c r="HT149" i="8" l="1"/>
  <c r="HU149" i="8"/>
  <c r="IP173" i="8"/>
  <c r="IR173" i="8" s="1"/>
  <c r="IQ173" i="8" s="1"/>
  <c r="IX173" i="8" s="1"/>
  <c r="IS174" i="8" s="1"/>
  <c r="AJ313" i="1"/>
  <c r="AI312" i="1"/>
  <c r="HO149" i="8"/>
  <c r="HV149" i="8"/>
  <c r="HP149" i="8"/>
  <c r="HQ149" i="8" s="1"/>
  <c r="IU174" i="8" l="1"/>
  <c r="IN174" i="8"/>
  <c r="IO174" i="8"/>
  <c r="IV173" i="8"/>
  <c r="IZ173" i="8" s="1"/>
  <c r="HS149" i="8"/>
  <c r="HW149" i="8" s="1"/>
  <c r="HX149" i="8" s="1"/>
  <c r="AG312" i="1"/>
  <c r="AJ242" i="18"/>
  <c r="AJ242" i="7"/>
  <c r="AM313" i="1"/>
  <c r="AL313" i="1" s="1"/>
  <c r="AN313" i="1" s="1"/>
  <c r="AK314" i="1" s="1"/>
  <c r="IP174" i="8" l="1"/>
  <c r="IR174" i="8" s="1"/>
  <c r="IA149" i="8"/>
  <c r="AJ314" i="1"/>
  <c r="AI313" i="1"/>
  <c r="HR149" i="8"/>
  <c r="IQ174" i="8" l="1"/>
  <c r="IX174" i="8" s="1"/>
  <c r="IS175" i="8" s="1"/>
  <c r="IV174" i="8"/>
  <c r="IZ174" i="8" s="1"/>
  <c r="AG313" i="1"/>
  <c r="AJ243" i="7"/>
  <c r="AJ243" i="18"/>
  <c r="AM314" i="1"/>
  <c r="AL314" i="1" s="1"/>
  <c r="AN314" i="1" s="1"/>
  <c r="AK315" i="1" s="1"/>
  <c r="HY149" i="8"/>
  <c r="HT150" i="8" l="1"/>
  <c r="HU150" i="8"/>
  <c r="IN175" i="8"/>
  <c r="IU175" i="8"/>
  <c r="IO175" i="8"/>
  <c r="AJ315" i="1"/>
  <c r="AI314" i="1"/>
  <c r="HP150" i="8"/>
  <c r="HQ150" i="8" s="1"/>
  <c r="HV150" i="8"/>
  <c r="HO150" i="8"/>
  <c r="IP175" i="8" l="1"/>
  <c r="IR175" i="8" s="1"/>
  <c r="HS150" i="8"/>
  <c r="HW150" i="8" s="1"/>
  <c r="HX150" i="8" s="1"/>
  <c r="AG314" i="1"/>
  <c r="AJ244" i="18"/>
  <c r="AJ244" i="7"/>
  <c r="AM315" i="1"/>
  <c r="AL315" i="1" s="1"/>
  <c r="AN315" i="1" s="1"/>
  <c r="AK316" i="1" l="1"/>
  <c r="AM316" i="1" s="1"/>
  <c r="IQ175" i="8"/>
  <c r="IX175" i="8" s="1"/>
  <c r="IS176" i="8" s="1"/>
  <c r="IV175" i="8"/>
  <c r="IZ175" i="8" s="1"/>
  <c r="IA150" i="8"/>
  <c r="AI315" i="1"/>
  <c r="HR150" i="8"/>
  <c r="IN176" i="8" l="1"/>
  <c r="IO176" i="8"/>
  <c r="IU176" i="8"/>
  <c r="AG315" i="1"/>
  <c r="AJ245" i="18"/>
  <c r="AJ245" i="7"/>
  <c r="AJ316" i="1"/>
  <c r="AL316" i="1"/>
  <c r="AN316" i="1" s="1"/>
  <c r="AK317" i="1" s="1"/>
  <c r="HY150" i="8"/>
  <c r="HT151" i="8" l="1"/>
  <c r="HU151" i="8"/>
  <c r="IP176" i="8"/>
  <c r="IR176" i="8" s="1"/>
  <c r="AJ317" i="1"/>
  <c r="AI316" i="1"/>
  <c r="AM317" i="1"/>
  <c r="HV151" i="8"/>
  <c r="HO151" i="8"/>
  <c r="HP151" i="8"/>
  <c r="HQ151" i="8" s="1"/>
  <c r="IQ176" i="8" l="1"/>
  <c r="IX176" i="8" s="1"/>
  <c r="IS177" i="8" s="1"/>
  <c r="IV176" i="8"/>
  <c r="IZ176" i="8" s="1"/>
  <c r="HS151" i="8"/>
  <c r="AG316" i="1"/>
  <c r="AJ246" i="18"/>
  <c r="AJ246" i="7"/>
  <c r="AL317" i="1"/>
  <c r="AN317" i="1" s="1"/>
  <c r="AK318" i="1" s="1"/>
  <c r="IN177" i="8" l="1"/>
  <c r="IO177" i="8"/>
  <c r="IU177" i="8"/>
  <c r="AJ318" i="1"/>
  <c r="AI317" i="1"/>
  <c r="HW151" i="8"/>
  <c r="HX151" i="8" s="1"/>
  <c r="HR151" i="8"/>
  <c r="IP177" i="8" l="1"/>
  <c r="IR177" i="8" s="1"/>
  <c r="AG317" i="1"/>
  <c r="AJ247" i="7"/>
  <c r="AJ247" i="18"/>
  <c r="HY151" i="8"/>
  <c r="AM318" i="1"/>
  <c r="AL318" i="1" s="1"/>
  <c r="AN318" i="1" s="1"/>
  <c r="AK319" i="1" s="1"/>
  <c r="HT152" i="8" l="1"/>
  <c r="HU152" i="8"/>
  <c r="IQ177" i="8"/>
  <c r="IX177" i="8" s="1"/>
  <c r="IS178" i="8" s="1"/>
  <c r="IV177" i="8"/>
  <c r="IZ177" i="8" s="1"/>
  <c r="IA151" i="8"/>
  <c r="AJ319" i="1"/>
  <c r="AI318" i="1"/>
  <c r="HP152" i="8"/>
  <c r="HQ152" i="8" s="1"/>
  <c r="HV152" i="8"/>
  <c r="HO152" i="8"/>
  <c r="IN178" i="8" l="1"/>
  <c r="IO178" i="8"/>
  <c r="IP178" i="8" s="1"/>
  <c r="IU178" i="8"/>
  <c r="HS152" i="8"/>
  <c r="AG318" i="1"/>
  <c r="AJ248" i="18"/>
  <c r="AJ248" i="7"/>
  <c r="AM319" i="1"/>
  <c r="AL319" i="1" s="1"/>
  <c r="AN319" i="1" s="1"/>
  <c r="AK320" i="1" s="1"/>
  <c r="IR178" i="8" l="1"/>
  <c r="AJ320" i="1"/>
  <c r="AI319" i="1"/>
  <c r="HW152" i="8"/>
  <c r="HX152" i="8" s="1"/>
  <c r="HR152" i="8"/>
  <c r="IQ178" i="8" l="1"/>
  <c r="IX178" i="8" s="1"/>
  <c r="IS179" i="8" s="1"/>
  <c r="IV178" i="8"/>
  <c r="IZ178" i="8" s="1"/>
  <c r="AG319" i="1"/>
  <c r="AJ249" i="18"/>
  <c r="AJ249" i="7"/>
  <c r="IA152" i="8"/>
  <c r="AM320" i="1"/>
  <c r="AL320" i="1" s="1"/>
  <c r="AN320" i="1" s="1"/>
  <c r="AK321" i="1" s="1"/>
  <c r="IO179" i="8" l="1"/>
  <c r="IN179" i="8"/>
  <c r="IU179" i="8"/>
  <c r="HY152" i="8"/>
  <c r="AJ321" i="1"/>
  <c r="AI320" i="1"/>
  <c r="AM321" i="1"/>
  <c r="HT153" i="8" l="1"/>
  <c r="HU153" i="8"/>
  <c r="IP179" i="8"/>
  <c r="IR179" i="8" s="1"/>
  <c r="AG320" i="1"/>
  <c r="AJ250" i="7"/>
  <c r="AJ250" i="18"/>
  <c r="HV153" i="8"/>
  <c r="HO153" i="8"/>
  <c r="HP153" i="8"/>
  <c r="HQ153" i="8" s="1"/>
  <c r="AL321" i="1"/>
  <c r="AN321" i="1" s="1"/>
  <c r="AK322" i="1" s="1"/>
  <c r="IQ179" i="8" l="1"/>
  <c r="IX179" i="8" s="1"/>
  <c r="IS180" i="8" s="1"/>
  <c r="IV179" i="8"/>
  <c r="IZ179" i="8" s="1"/>
  <c r="HS153" i="8"/>
  <c r="HW153" i="8" s="1"/>
  <c r="HX153" i="8" s="1"/>
  <c r="AJ322" i="1"/>
  <c r="AI321" i="1"/>
  <c r="HR153" i="8" l="1"/>
  <c r="IO180" i="8"/>
  <c r="IU180" i="8"/>
  <c r="IN180" i="8"/>
  <c r="AG321" i="1"/>
  <c r="AJ251" i="18"/>
  <c r="AJ251" i="7"/>
  <c r="IA153" i="8"/>
  <c r="AM322" i="1"/>
  <c r="AL322" i="1" s="1"/>
  <c r="AN322" i="1" s="1"/>
  <c r="AK323" i="1" s="1"/>
  <c r="IP180" i="8" l="1"/>
  <c r="IR180" i="8" s="1"/>
  <c r="HY153" i="8"/>
  <c r="AJ323" i="1"/>
  <c r="AI322" i="1"/>
  <c r="HT154" i="8" l="1"/>
  <c r="HU154" i="8"/>
  <c r="IQ180" i="8"/>
  <c r="IX180" i="8" s="1"/>
  <c r="IS181" i="8" s="1"/>
  <c r="IV180" i="8"/>
  <c r="IZ180" i="8" s="1"/>
  <c r="AG322" i="1"/>
  <c r="AJ252" i="18"/>
  <c r="AJ252" i="7"/>
  <c r="HV154" i="8"/>
  <c r="HO154" i="8"/>
  <c r="HP154" i="8"/>
  <c r="AM323" i="1"/>
  <c r="AL323" i="1" s="1"/>
  <c r="AN323" i="1" s="1"/>
  <c r="AK324" i="1" s="1"/>
  <c r="IU181" i="8" l="1"/>
  <c r="IN181" i="8"/>
  <c r="IO181" i="8"/>
  <c r="HQ154" i="8"/>
  <c r="AJ324" i="1"/>
  <c r="AI323" i="1"/>
  <c r="HS154" i="8" l="1"/>
  <c r="HW154" i="8" s="1"/>
  <c r="HX154" i="8" s="1"/>
  <c r="IP181" i="8"/>
  <c r="IR181" i="8" s="1"/>
  <c r="AG323" i="1"/>
  <c r="AJ253" i="18"/>
  <c r="AJ253" i="7"/>
  <c r="AM324" i="1"/>
  <c r="AL324" i="1" s="1"/>
  <c r="AN324" i="1" s="1"/>
  <c r="AK325" i="1" s="1"/>
  <c r="HR154" i="8" l="1"/>
  <c r="HY154" i="8" s="1"/>
  <c r="IA154" i="8"/>
  <c r="IQ181" i="8"/>
  <c r="IX181" i="8" s="1"/>
  <c r="IS182" i="8" s="1"/>
  <c r="IV181" i="8"/>
  <c r="IZ181" i="8" s="1"/>
  <c r="AJ325" i="1"/>
  <c r="AI324" i="1"/>
  <c r="HT155" i="8" l="1"/>
  <c r="HU155" i="8"/>
  <c r="IO182" i="8"/>
  <c r="IU182" i="8"/>
  <c r="IN182" i="8"/>
  <c r="AG324" i="1"/>
  <c r="AJ254" i="18"/>
  <c r="AJ254" i="7"/>
  <c r="HV155" i="8"/>
  <c r="HO155" i="8"/>
  <c r="HP155" i="8"/>
  <c r="AM325" i="1"/>
  <c r="AL325" i="1" s="1"/>
  <c r="AN325" i="1" s="1"/>
  <c r="AK326" i="1" s="1"/>
  <c r="IP182" i="8" l="1"/>
  <c r="IR182" i="8" s="1"/>
  <c r="HQ155" i="8"/>
  <c r="AJ326" i="1"/>
  <c r="AI325" i="1"/>
  <c r="HS155" i="8" l="1"/>
  <c r="HW155" i="8" s="1"/>
  <c r="IQ182" i="8"/>
  <c r="IX182" i="8" s="1"/>
  <c r="IS183" i="8" s="1"/>
  <c r="IV182" i="8"/>
  <c r="IZ182" i="8" s="1"/>
  <c r="AG325" i="1"/>
  <c r="AJ255" i="7"/>
  <c r="AJ255" i="18"/>
  <c r="AM326" i="1"/>
  <c r="AL326" i="1" s="1"/>
  <c r="AN326" i="1" s="1"/>
  <c r="AK327" i="1" s="1"/>
  <c r="HR155" i="8" l="1"/>
  <c r="HX155" i="8"/>
  <c r="IA155" i="8" s="1"/>
  <c r="IN183" i="8"/>
  <c r="IO183" i="8"/>
  <c r="IU183" i="8"/>
  <c r="AJ327" i="1"/>
  <c r="AI326" i="1"/>
  <c r="HY155" i="8" l="1"/>
  <c r="HT156" i="8" s="1"/>
  <c r="IP183" i="8"/>
  <c r="IR183" i="8" s="1"/>
  <c r="AG326" i="1"/>
  <c r="AJ256" i="18"/>
  <c r="AJ256" i="7"/>
  <c r="AM327" i="1"/>
  <c r="AL327" i="1" s="1"/>
  <c r="AN327" i="1" s="1"/>
  <c r="AK328" i="1" l="1"/>
  <c r="AJ328" i="1"/>
  <c r="HP156" i="8"/>
  <c r="HQ156" i="8" s="1"/>
  <c r="HS156" i="8" s="1"/>
  <c r="HR156" i="8" s="1"/>
  <c r="HO156" i="8"/>
  <c r="HV156" i="8"/>
  <c r="HU156" i="8"/>
  <c r="IQ183" i="8"/>
  <c r="IX183" i="8" s="1"/>
  <c r="IS184" i="8" s="1"/>
  <c r="IV183" i="8"/>
  <c r="IZ183" i="8" s="1"/>
  <c r="AI327" i="1"/>
  <c r="AM328" i="1" l="1"/>
  <c r="AL328" i="1" s="1"/>
  <c r="AI328" i="1" s="1"/>
  <c r="AG328" i="1" s="1"/>
  <c r="HW156" i="8"/>
  <c r="HX156" i="8" s="1"/>
  <c r="HY156" i="8" s="1"/>
  <c r="IO184" i="8"/>
  <c r="IN184" i="8"/>
  <c r="IU184" i="8"/>
  <c r="AG327" i="1"/>
  <c r="AJ257" i="18"/>
  <c r="AJ257" i="7"/>
  <c r="AN328" i="1" l="1"/>
  <c r="AJ329" i="1" s="1"/>
  <c r="IA156" i="8"/>
  <c r="HT157" i="8"/>
  <c r="HU157" i="8"/>
  <c r="IP184" i="8"/>
  <c r="IR184" i="8" s="1"/>
  <c r="HV157" i="8"/>
  <c r="HP157" i="8"/>
  <c r="HQ157" i="8" s="1"/>
  <c r="HO157" i="8"/>
  <c r="AK329" i="1" l="1"/>
  <c r="AM329" i="1" s="1"/>
  <c r="AL329" i="1" s="1"/>
  <c r="AI329" i="1" s="1"/>
  <c r="AG329" i="1" s="1"/>
  <c r="IQ184" i="8"/>
  <c r="IX184" i="8" s="1"/>
  <c r="IS185" i="8" s="1"/>
  <c r="IV184" i="8"/>
  <c r="IZ184" i="8" s="1"/>
  <c r="HS157" i="8"/>
  <c r="HW157" i="8" s="1"/>
  <c r="HX157" i="8" s="1"/>
  <c r="AN329" i="1" l="1"/>
  <c r="AJ330" i="1" s="1"/>
  <c r="IO185" i="8"/>
  <c r="IU185" i="8"/>
  <c r="IN185" i="8"/>
  <c r="IA157" i="8"/>
  <c r="HR157" i="8"/>
  <c r="AK330" i="1" l="1"/>
  <c r="AM330" i="1" s="1"/>
  <c r="AL330" i="1" s="1"/>
  <c r="AI330" i="1" s="1"/>
  <c r="AG330" i="1" s="1"/>
  <c r="IP185" i="8"/>
  <c r="IR185" i="8" s="1"/>
  <c r="HY157" i="8"/>
  <c r="AN330" i="1" l="1"/>
  <c r="AK331" i="1" s="1"/>
  <c r="AM331" i="1" s="1"/>
  <c r="AL331" i="1" s="1"/>
  <c r="AI331" i="1" s="1"/>
  <c r="AG331" i="1" s="1"/>
  <c r="HT158" i="8"/>
  <c r="HU158" i="8"/>
  <c r="IQ185" i="8"/>
  <c r="IX185" i="8" s="1"/>
  <c r="IS186" i="8" s="1"/>
  <c r="IV185" i="8"/>
  <c r="IZ185" i="8" s="1"/>
  <c r="HO158" i="8"/>
  <c r="HV158" i="8"/>
  <c r="HP158" i="8"/>
  <c r="AJ331" i="1" l="1"/>
  <c r="AN331" i="1"/>
  <c r="IN186" i="8"/>
  <c r="IO186" i="8"/>
  <c r="IU186" i="8"/>
  <c r="HQ158" i="8"/>
  <c r="AK332" i="1" l="1"/>
  <c r="AM332" i="1" s="1"/>
  <c r="AL332" i="1" s="1"/>
  <c r="AI332" i="1" s="1"/>
  <c r="AG332" i="1" s="1"/>
  <c r="AJ332" i="1"/>
  <c r="HS158" i="8"/>
  <c r="HW158" i="8" s="1"/>
  <c r="HX158" i="8" s="1"/>
  <c r="IP186" i="8"/>
  <c r="IR186" i="8" s="1"/>
  <c r="AN332" i="1" l="1"/>
  <c r="IA158" i="8"/>
  <c r="HR158" i="8"/>
  <c r="HY158" i="8" s="1"/>
  <c r="IV186" i="8"/>
  <c r="IZ186" i="8" s="1"/>
  <c r="IQ186" i="8"/>
  <c r="IX186" i="8" s="1"/>
  <c r="IS187" i="8" s="1"/>
  <c r="AJ333" i="1" l="1"/>
  <c r="AK333" i="1"/>
  <c r="AM333" i="1" s="1"/>
  <c r="AL333" i="1" s="1"/>
  <c r="HT159" i="8"/>
  <c r="HU159" i="8"/>
  <c r="IO187" i="8"/>
  <c r="IN187" i="8"/>
  <c r="IU187" i="8"/>
  <c r="HO159" i="8"/>
  <c r="HP159" i="8"/>
  <c r="HV159" i="8"/>
  <c r="AI333" i="1" l="1"/>
  <c r="AG333" i="1" s="1"/>
  <c r="AN333" i="1"/>
  <c r="IP187" i="8"/>
  <c r="IR187" i="8" s="1"/>
  <c r="HQ159" i="8"/>
  <c r="AK334" i="1" l="1"/>
  <c r="AM334" i="1" s="1"/>
  <c r="AL334" i="1" s="1"/>
  <c r="AI334" i="1" s="1"/>
  <c r="AG334" i="1" s="1"/>
  <c r="AJ334" i="1"/>
  <c r="HS159" i="8"/>
  <c r="HW159" i="8" s="1"/>
  <c r="HX159" i="8" s="1"/>
  <c r="IQ187" i="8"/>
  <c r="IX187" i="8" s="1"/>
  <c r="IS188" i="8" s="1"/>
  <c r="IV187" i="8"/>
  <c r="IZ187" i="8" s="1"/>
  <c r="AN334" i="1" l="1"/>
  <c r="AK335" i="1" s="1"/>
  <c r="HR159" i="8"/>
  <c r="HY159" i="8" s="1"/>
  <c r="IA159" i="8"/>
  <c r="IO188" i="8"/>
  <c r="IP188" i="8" s="1"/>
  <c r="IU188" i="8"/>
  <c r="IN188" i="8"/>
  <c r="AM335" i="1" l="1"/>
  <c r="AL335" i="1" s="1"/>
  <c r="AI335" i="1" s="1"/>
  <c r="AG335" i="1" s="1"/>
  <c r="AJ335" i="1"/>
  <c r="HT160" i="8"/>
  <c r="HU160" i="8"/>
  <c r="IR188" i="8"/>
  <c r="HP160" i="8"/>
  <c r="HO160" i="8"/>
  <c r="HV160" i="8"/>
  <c r="AN335" i="1" l="1"/>
  <c r="IV188" i="8"/>
  <c r="IZ188" i="8" s="1"/>
  <c r="IQ188" i="8"/>
  <c r="IX188" i="8" s="1"/>
  <c r="IS189" i="8" s="1"/>
  <c r="HQ160" i="8"/>
  <c r="AK336" i="1" l="1"/>
  <c r="AM336" i="1" s="1"/>
  <c r="AL336" i="1" s="1"/>
  <c r="AI336" i="1" s="1"/>
  <c r="AG336" i="1" s="1"/>
  <c r="AJ336" i="1"/>
  <c r="HS160" i="8"/>
  <c r="HW160" i="8" s="1"/>
  <c r="HX160" i="8" s="1"/>
  <c r="IU189" i="8"/>
  <c r="IN189" i="8"/>
  <c r="IO189" i="8"/>
  <c r="AN336" i="1" l="1"/>
  <c r="HR160" i="8"/>
  <c r="HY160" i="8" s="1"/>
  <c r="IA160" i="8"/>
  <c r="IP189" i="8"/>
  <c r="IR189" i="8" s="1"/>
  <c r="AK337" i="1" l="1"/>
  <c r="AM337" i="1" s="1"/>
  <c r="AL337" i="1" s="1"/>
  <c r="AI337" i="1" s="1"/>
  <c r="AG337" i="1" s="1"/>
  <c r="AJ337" i="1"/>
  <c r="HT161" i="8"/>
  <c r="HU161" i="8"/>
  <c r="IV189" i="8"/>
  <c r="IZ189" i="8" s="1"/>
  <c r="IQ189" i="8"/>
  <c r="IX189" i="8" s="1"/>
  <c r="IS190" i="8" s="1"/>
  <c r="HV161" i="8"/>
  <c r="HO161" i="8"/>
  <c r="HP161" i="8"/>
  <c r="AN337" i="1" l="1"/>
  <c r="IN190" i="8"/>
  <c r="IO190" i="8"/>
  <c r="IP190" i="8" s="1"/>
  <c r="IU190" i="8"/>
  <c r="HQ161" i="8"/>
  <c r="AJ338" i="1" l="1"/>
  <c r="AK338" i="1"/>
  <c r="AM338" i="1" s="1"/>
  <c r="AL338" i="1" s="1"/>
  <c r="AI338" i="1" s="1"/>
  <c r="AG338" i="1" s="1"/>
  <c r="HS161" i="8"/>
  <c r="HR161" i="8" s="1"/>
  <c r="IR190" i="8"/>
  <c r="AN338" i="1" l="1"/>
  <c r="HW161" i="8"/>
  <c r="HX161" i="8" s="1"/>
  <c r="HY161" i="8" s="1"/>
  <c r="IQ190" i="8"/>
  <c r="IX190" i="8" s="1"/>
  <c r="IS191" i="8" s="1"/>
  <c r="IV190" i="8"/>
  <c r="IZ190" i="8" s="1"/>
  <c r="AK339" i="1" l="1"/>
  <c r="AM339" i="1" s="1"/>
  <c r="AL339" i="1" s="1"/>
  <c r="AI339" i="1" s="1"/>
  <c r="AG339" i="1" s="1"/>
  <c r="AJ339" i="1"/>
  <c r="IA161" i="8"/>
  <c r="HT162" i="8"/>
  <c r="HU162" i="8"/>
  <c r="HP162" i="8"/>
  <c r="HQ162" i="8" s="1"/>
  <c r="HS162" i="8" s="1"/>
  <c r="HR162" i="8" s="1"/>
  <c r="HV162" i="8"/>
  <c r="HO162" i="8"/>
  <c r="IU191" i="8"/>
  <c r="IN191" i="8"/>
  <c r="IO191" i="8"/>
  <c r="IP191" i="8" s="1"/>
  <c r="AN339" i="1" l="1"/>
  <c r="HW162" i="8"/>
  <c r="IR191" i="8"/>
  <c r="AK340" i="1" l="1"/>
  <c r="AM340" i="1" s="1"/>
  <c r="AL340" i="1" s="1"/>
  <c r="AI340" i="1" s="1"/>
  <c r="AG340" i="1" s="1"/>
  <c r="AJ340" i="1"/>
  <c r="HX162" i="8"/>
  <c r="HY162" i="8" s="1"/>
  <c r="IQ191" i="8"/>
  <c r="IX191" i="8" s="1"/>
  <c r="IS192" i="8" s="1"/>
  <c r="IV191" i="8"/>
  <c r="IZ191" i="8" s="1"/>
  <c r="AN340" i="1" l="1"/>
  <c r="AJ341" i="1" s="1"/>
  <c r="IA162" i="8"/>
  <c r="HO163" i="8"/>
  <c r="HU163" i="8"/>
  <c r="HV163" i="8"/>
  <c r="HT163" i="8"/>
  <c r="HP163" i="8"/>
  <c r="HQ163" i="8" s="1"/>
  <c r="IU192" i="8"/>
  <c r="IN192" i="8"/>
  <c r="IO192" i="8"/>
  <c r="AK341" i="1" l="1"/>
  <c r="AM341" i="1" s="1"/>
  <c r="AL341" i="1" s="1"/>
  <c r="AI341" i="1" s="1"/>
  <c r="AG341" i="1" s="1"/>
  <c r="HS163" i="8"/>
  <c r="HR163" i="8" s="1"/>
  <c r="IP192" i="8"/>
  <c r="IR192" i="8" s="1"/>
  <c r="AN341" i="1" l="1"/>
  <c r="AJ342" i="1" s="1"/>
  <c r="HW163" i="8"/>
  <c r="HX163" i="8" s="1"/>
  <c r="HY163" i="8" s="1"/>
  <c r="IV192" i="8"/>
  <c r="IZ192" i="8" s="1"/>
  <c r="IQ192" i="8"/>
  <c r="IX192" i="8" s="1"/>
  <c r="IS193" i="8" s="1"/>
  <c r="AK342" i="1" l="1"/>
  <c r="AM342" i="1" s="1"/>
  <c r="AL342" i="1" s="1"/>
  <c r="AI342" i="1" s="1"/>
  <c r="AG342" i="1" s="1"/>
  <c r="IA163" i="8"/>
  <c r="HT164" i="8"/>
  <c r="HU164" i="8"/>
  <c r="IO193" i="8"/>
  <c r="IP193" i="8" s="1"/>
  <c r="IR193" i="8" s="1"/>
  <c r="IU193" i="8"/>
  <c r="IN193" i="8"/>
  <c r="HO164" i="8"/>
  <c r="HP164" i="8"/>
  <c r="HQ164" i="8" s="1"/>
  <c r="HV164" i="8"/>
  <c r="AN342" i="1" l="1"/>
  <c r="AK343" i="1" s="1"/>
  <c r="AM343" i="1" s="1"/>
  <c r="AL343" i="1" s="1"/>
  <c r="AI343" i="1" s="1"/>
  <c r="AG343" i="1" s="1"/>
  <c r="IV193" i="8"/>
  <c r="IZ193" i="8" s="1"/>
  <c r="IQ193" i="8"/>
  <c r="IX193" i="8" s="1"/>
  <c r="IS194" i="8" s="1"/>
  <c r="HS164" i="8"/>
  <c r="HR164" i="8" s="1"/>
  <c r="AJ343" i="1" l="1"/>
  <c r="AN343" i="1"/>
  <c r="HW164" i="8"/>
  <c r="IO194" i="8"/>
  <c r="IU194" i="8"/>
  <c r="IN194" i="8"/>
  <c r="AK344" i="1" l="1"/>
  <c r="AM344" i="1" s="1"/>
  <c r="AL344" i="1" s="1"/>
  <c r="AI344" i="1" s="1"/>
  <c r="AG344" i="1" s="1"/>
  <c r="AJ344" i="1"/>
  <c r="HX164" i="8"/>
  <c r="IA164" i="8" s="1"/>
  <c r="IP194" i="8"/>
  <c r="IR194" i="8" s="1"/>
  <c r="AN344" i="1" l="1"/>
  <c r="HY164" i="8"/>
  <c r="HT165" i="8" s="1"/>
  <c r="IV194" i="8"/>
  <c r="IZ194" i="8" s="1"/>
  <c r="IQ194" i="8"/>
  <c r="IX194" i="8" s="1"/>
  <c r="IS195" i="8" s="1"/>
  <c r="AJ345" i="1" l="1"/>
  <c r="AK345" i="1"/>
  <c r="AM345" i="1" s="1"/>
  <c r="AL345" i="1" s="1"/>
  <c r="AI345" i="1" s="1"/>
  <c r="AG345" i="1" s="1"/>
  <c r="HP165" i="8"/>
  <c r="HQ165" i="8" s="1"/>
  <c r="HS165" i="8" s="1"/>
  <c r="HR165" i="8" s="1"/>
  <c r="HO165" i="8"/>
  <c r="HV165" i="8"/>
  <c r="HU165" i="8"/>
  <c r="IN195" i="8"/>
  <c r="IO195" i="8"/>
  <c r="IU195" i="8"/>
  <c r="AN345" i="1" l="1"/>
  <c r="HW165" i="8"/>
  <c r="HX165" i="8" s="1"/>
  <c r="HY165" i="8" s="1"/>
  <c r="IP195" i="8"/>
  <c r="IR195" i="8" s="1"/>
  <c r="AJ346" i="1" l="1"/>
  <c r="AK346" i="1"/>
  <c r="AM346" i="1" s="1"/>
  <c r="AL346" i="1" s="1"/>
  <c r="AI346" i="1" s="1"/>
  <c r="AG346" i="1" s="1"/>
  <c r="IA165" i="8"/>
  <c r="HT166" i="8"/>
  <c r="HU166" i="8"/>
  <c r="IV195" i="8"/>
  <c r="IZ195" i="8" s="1"/>
  <c r="IQ195" i="8"/>
  <c r="IX195" i="8" s="1"/>
  <c r="IS196" i="8" s="1"/>
  <c r="HO166" i="8"/>
  <c r="HP166" i="8"/>
  <c r="HQ166" i="8" s="1"/>
  <c r="HV166" i="8"/>
  <c r="AN346" i="1" l="1"/>
  <c r="IO196" i="8"/>
  <c r="IP196" i="8" s="1"/>
  <c r="IR196" i="8" s="1"/>
  <c r="IN196" i="8"/>
  <c r="IU196" i="8"/>
  <c r="HS166" i="8"/>
  <c r="HW166" i="8" s="1"/>
  <c r="HX166" i="8" s="1"/>
  <c r="AJ347" i="1" l="1"/>
  <c r="AK347" i="1"/>
  <c r="AM347" i="1" s="1"/>
  <c r="AL347" i="1" s="1"/>
  <c r="AI347" i="1" s="1"/>
  <c r="AG347" i="1" s="1"/>
  <c r="IQ196" i="8"/>
  <c r="IX196" i="8" s="1"/>
  <c r="IS197" i="8" s="1"/>
  <c r="IV196" i="8"/>
  <c r="IZ196" i="8" s="1"/>
  <c r="IA166" i="8"/>
  <c r="HR166" i="8"/>
  <c r="AN347" i="1" l="1"/>
  <c r="IN197" i="8"/>
  <c r="IO197" i="8"/>
  <c r="IP197" i="8" s="1"/>
  <c r="IR197" i="8" s="1"/>
  <c r="IU197" i="8"/>
  <c r="HY166" i="8"/>
  <c r="AJ348" i="1" l="1"/>
  <c r="AK348" i="1"/>
  <c r="AM348" i="1" s="1"/>
  <c r="AL348" i="1" s="1"/>
  <c r="AI348" i="1" s="1"/>
  <c r="AG348" i="1" s="1"/>
  <c r="HT167" i="8"/>
  <c r="HU167" i="8"/>
  <c r="IV197" i="8"/>
  <c r="IZ197" i="8" s="1"/>
  <c r="IQ197" i="8"/>
  <c r="IX197" i="8" s="1"/>
  <c r="IS198" i="8" s="1"/>
  <c r="HO167" i="8"/>
  <c r="HV167" i="8"/>
  <c r="HP167" i="8"/>
  <c r="AN348" i="1" l="1"/>
  <c r="IN198" i="8"/>
  <c r="IU198" i="8"/>
  <c r="IO198" i="8"/>
  <c r="HQ167" i="8"/>
  <c r="AK349" i="1" l="1"/>
  <c r="AM349" i="1" s="1"/>
  <c r="AL349" i="1" s="1"/>
  <c r="AI349" i="1" s="1"/>
  <c r="AG349" i="1" s="1"/>
  <c r="AJ349" i="1"/>
  <c r="HS167" i="8"/>
  <c r="HW167" i="8" s="1"/>
  <c r="HX167" i="8" s="1"/>
  <c r="IA167" i="8" s="1"/>
  <c r="IP198" i="8"/>
  <c r="IR198" i="8" s="1"/>
  <c r="AN349" i="1" l="1"/>
  <c r="AK350" i="1" s="1"/>
  <c r="AM350" i="1" s="1"/>
  <c r="AL350" i="1" s="1"/>
  <c r="AI350" i="1" s="1"/>
  <c r="AG350" i="1" s="1"/>
  <c r="HR167" i="8"/>
  <c r="HY167" i="8" s="1"/>
  <c r="IV198" i="8"/>
  <c r="IZ198" i="8" s="1"/>
  <c r="IQ198" i="8"/>
  <c r="IX198" i="8" s="1"/>
  <c r="IS199" i="8" s="1"/>
  <c r="AJ350" i="1" l="1"/>
  <c r="AN350" i="1"/>
  <c r="HT168" i="8"/>
  <c r="HU168" i="8"/>
  <c r="IU199" i="8"/>
  <c r="IN199" i="8"/>
  <c r="IO199" i="8"/>
  <c r="IP199" i="8" s="1"/>
  <c r="IR199" i="8" s="1"/>
  <c r="HO168" i="8"/>
  <c r="HP168" i="8"/>
  <c r="HQ168" i="8" s="1"/>
  <c r="HV168" i="8"/>
  <c r="AK351" i="1" l="1"/>
  <c r="AM351" i="1" s="1"/>
  <c r="AL351" i="1" s="1"/>
  <c r="AI351" i="1" s="1"/>
  <c r="AG351" i="1" s="1"/>
  <c r="AJ351" i="1"/>
  <c r="IQ199" i="8"/>
  <c r="IX199" i="8" s="1"/>
  <c r="IS200" i="8" s="1"/>
  <c r="IV199" i="8"/>
  <c r="IZ199" i="8" s="1"/>
  <c r="HS168" i="8"/>
  <c r="HR168" i="8" s="1"/>
  <c r="AN351" i="1" l="1"/>
  <c r="HW168" i="8"/>
  <c r="IO200" i="8"/>
  <c r="IU200" i="8"/>
  <c r="IN200" i="8"/>
  <c r="AK352" i="1" l="1"/>
  <c r="AM352" i="1" s="1"/>
  <c r="AL352" i="1" s="1"/>
  <c r="AJ352" i="1"/>
  <c r="HX168" i="8"/>
  <c r="IA168" i="8" s="1"/>
  <c r="IP200" i="8"/>
  <c r="IR200" i="8" s="1"/>
  <c r="AI352" i="1" l="1"/>
  <c r="AG352" i="1" s="1"/>
  <c r="AN352" i="1"/>
  <c r="HY168" i="8"/>
  <c r="IQ200" i="8"/>
  <c r="IX200" i="8" s="1"/>
  <c r="IS201" i="8" s="1"/>
  <c r="IV200" i="8"/>
  <c r="IZ200" i="8" s="1"/>
  <c r="AJ353" i="1" l="1"/>
  <c r="AK353" i="1"/>
  <c r="AM353" i="1" s="1"/>
  <c r="AL353" i="1" s="1"/>
  <c r="AI353" i="1" s="1"/>
  <c r="AG353" i="1" s="1"/>
  <c r="HT169" i="8"/>
  <c r="HU169" i="8"/>
  <c r="HO169" i="8"/>
  <c r="HP169" i="8"/>
  <c r="HQ169" i="8" s="1"/>
  <c r="HS169" i="8" s="1"/>
  <c r="HV169" i="8"/>
  <c r="IU201" i="8"/>
  <c r="IN201" i="8"/>
  <c r="IO201" i="8"/>
  <c r="IP201" i="8" s="1"/>
  <c r="AN353" i="1" l="1"/>
  <c r="HW169" i="8"/>
  <c r="HX169" i="8" s="1"/>
  <c r="HR169" i="8"/>
  <c r="IR201" i="8"/>
  <c r="AK354" i="1" l="1"/>
  <c r="AM354" i="1" s="1"/>
  <c r="AL354" i="1" s="1"/>
  <c r="AI354" i="1" s="1"/>
  <c r="AG354" i="1" s="1"/>
  <c r="AJ354" i="1"/>
  <c r="IA169" i="8"/>
  <c r="HY169" i="8"/>
  <c r="HV170" i="8" s="1"/>
  <c r="IV201" i="8"/>
  <c r="IZ201" i="8" s="1"/>
  <c r="IQ201" i="8"/>
  <c r="IX201" i="8" s="1"/>
  <c r="IS202" i="8" s="1"/>
  <c r="AN354" i="1" l="1"/>
  <c r="HO170" i="8"/>
  <c r="HU170" i="8"/>
  <c r="HP170" i="8"/>
  <c r="HQ170" i="8" s="1"/>
  <c r="HS170" i="8" s="1"/>
  <c r="HR170" i="8" s="1"/>
  <c r="HT170" i="8"/>
  <c r="IU202" i="8"/>
  <c r="IN202" i="8"/>
  <c r="IO202" i="8"/>
  <c r="AK355" i="1" l="1"/>
  <c r="AM355" i="1" s="1"/>
  <c r="AL355" i="1" s="1"/>
  <c r="AI355" i="1" s="1"/>
  <c r="AG355" i="1" s="1"/>
  <c r="AJ355" i="1"/>
  <c r="HW170" i="8"/>
  <c r="HX170" i="8" s="1"/>
  <c r="IA170" i="8" s="1"/>
  <c r="IP202" i="8"/>
  <c r="IR202" i="8" s="1"/>
  <c r="AN355" i="1" l="1"/>
  <c r="HY170" i="8"/>
  <c r="HT171" i="8" s="1"/>
  <c r="IQ202" i="8"/>
  <c r="IX202" i="8" s="1"/>
  <c r="IS203" i="8" s="1"/>
  <c r="IV202" i="8"/>
  <c r="IZ202" i="8" s="1"/>
  <c r="AK356" i="1" l="1"/>
  <c r="AM356" i="1" s="1"/>
  <c r="AL356" i="1" s="1"/>
  <c r="AI356" i="1" s="1"/>
  <c r="AG356" i="1" s="1"/>
  <c r="AJ356" i="1"/>
  <c r="HP171" i="8"/>
  <c r="HQ171" i="8" s="1"/>
  <c r="HS171" i="8" s="1"/>
  <c r="HR171" i="8" s="1"/>
  <c r="HV171" i="8"/>
  <c r="HO171" i="8"/>
  <c r="HU171" i="8"/>
  <c r="IN203" i="8"/>
  <c r="IU203" i="8"/>
  <c r="IO203" i="8"/>
  <c r="IP203" i="8" s="1"/>
  <c r="AN356" i="1" l="1"/>
  <c r="AJ357" i="1" s="1"/>
  <c r="HW171" i="8"/>
  <c r="HX171" i="8" s="1"/>
  <c r="IA171" i="8" s="1"/>
  <c r="IR203" i="8"/>
  <c r="AK357" i="1" l="1"/>
  <c r="AM357" i="1" s="1"/>
  <c r="AL357" i="1" s="1"/>
  <c r="AI357" i="1" s="1"/>
  <c r="AG357" i="1" s="1"/>
  <c r="HY171" i="8"/>
  <c r="HV172" i="8" s="1"/>
  <c r="IQ203" i="8"/>
  <c r="IX203" i="8" s="1"/>
  <c r="IS204" i="8" s="1"/>
  <c r="IV203" i="8"/>
  <c r="IZ203" i="8" s="1"/>
  <c r="AN357" i="1" l="1"/>
  <c r="AJ358" i="1" s="1"/>
  <c r="HP172" i="8"/>
  <c r="HQ172" i="8" s="1"/>
  <c r="HO172" i="8"/>
  <c r="HU172" i="8"/>
  <c r="HT172" i="8"/>
  <c r="IN204" i="8"/>
  <c r="IU204" i="8"/>
  <c r="IO204" i="8"/>
  <c r="AK358" i="1" l="1"/>
  <c r="AM358" i="1" s="1"/>
  <c r="AL358" i="1" s="1"/>
  <c r="AI358" i="1" s="1"/>
  <c r="AG358" i="1" s="1"/>
  <c r="HS172" i="8"/>
  <c r="HR172" i="8" s="1"/>
  <c r="IP204" i="8"/>
  <c r="IR204" i="8" s="1"/>
  <c r="AN358" i="1" l="1"/>
  <c r="AK359" i="1" s="1"/>
  <c r="HW172" i="8"/>
  <c r="HX172" i="8" s="1"/>
  <c r="HY172" i="8" s="1"/>
  <c r="IV204" i="8"/>
  <c r="IZ204" i="8" s="1"/>
  <c r="IQ204" i="8"/>
  <c r="IX204" i="8" s="1"/>
  <c r="IS205" i="8" s="1"/>
  <c r="AM359" i="1" l="1"/>
  <c r="AL359" i="1" s="1"/>
  <c r="AI359" i="1" s="1"/>
  <c r="AG359" i="1" s="1"/>
  <c r="AJ359" i="1"/>
  <c r="IA172" i="8"/>
  <c r="HT173" i="8"/>
  <c r="HU173" i="8"/>
  <c r="HO173" i="8"/>
  <c r="HV173" i="8"/>
  <c r="HP173" i="8"/>
  <c r="HQ173" i="8" s="1"/>
  <c r="HS173" i="8" s="1"/>
  <c r="IU205" i="8"/>
  <c r="IO205" i="8"/>
  <c r="IP205" i="8" s="1"/>
  <c r="IN205" i="8"/>
  <c r="AN359" i="1" l="1"/>
  <c r="AJ360" i="1" s="1"/>
  <c r="HW173" i="8"/>
  <c r="HX173" i="8" s="1"/>
  <c r="IR205" i="8"/>
  <c r="HR173" i="8"/>
  <c r="AK360" i="1" l="1"/>
  <c r="AM360" i="1" s="1"/>
  <c r="AL360" i="1" s="1"/>
  <c r="AI360" i="1" s="1"/>
  <c r="AG360" i="1" s="1"/>
  <c r="IA173" i="8"/>
  <c r="IQ205" i="8"/>
  <c r="IX205" i="8" s="1"/>
  <c r="IS206" i="8" s="1"/>
  <c r="IV205" i="8"/>
  <c r="IZ205" i="8" s="1"/>
  <c r="HY173" i="8"/>
  <c r="AN360" i="1" l="1"/>
  <c r="AJ361" i="1" s="1"/>
  <c r="HT174" i="8"/>
  <c r="HU174" i="8"/>
  <c r="IO206" i="8"/>
  <c r="IU206" i="8"/>
  <c r="IN206" i="8"/>
  <c r="HP174" i="8"/>
  <c r="HV174" i="8"/>
  <c r="HO174" i="8"/>
  <c r="AK361" i="1" l="1"/>
  <c r="AM361" i="1" s="1"/>
  <c r="AL361" i="1" s="1"/>
  <c r="AI361" i="1" s="1"/>
  <c r="AG361" i="1" s="1"/>
  <c r="IP206" i="8"/>
  <c r="IR206" i="8" s="1"/>
  <c r="HQ174" i="8"/>
  <c r="AN361" i="1" l="1"/>
  <c r="AJ362" i="1" s="1"/>
  <c r="HS174" i="8"/>
  <c r="HW174" i="8" s="1"/>
  <c r="HX174" i="8" s="1"/>
  <c r="IA174" i="8" s="1"/>
  <c r="IQ206" i="8"/>
  <c r="IX206" i="8" s="1"/>
  <c r="IS207" i="8" s="1"/>
  <c r="IV206" i="8"/>
  <c r="IZ206" i="8" s="1"/>
  <c r="AK362" i="1" l="1"/>
  <c r="AM362" i="1" s="1"/>
  <c r="AL362" i="1" s="1"/>
  <c r="AI362" i="1" s="1"/>
  <c r="AG362" i="1" s="1"/>
  <c r="HR174" i="8"/>
  <c r="HY174" i="8" s="1"/>
  <c r="IO207" i="8"/>
  <c r="IN207" i="8"/>
  <c r="IU207" i="8"/>
  <c r="AN362" i="1" l="1"/>
  <c r="AJ363" i="1" s="1"/>
  <c r="HT175" i="8"/>
  <c r="HU175" i="8"/>
  <c r="IP207" i="8"/>
  <c r="IR207" i="8" s="1"/>
  <c r="HO175" i="8"/>
  <c r="HV175" i="8"/>
  <c r="HP175" i="8"/>
  <c r="AK363" i="1" l="1"/>
  <c r="AM363" i="1" s="1"/>
  <c r="AL363" i="1" s="1"/>
  <c r="AI363" i="1" s="1"/>
  <c r="AG363" i="1" s="1"/>
  <c r="IQ207" i="8"/>
  <c r="IX207" i="8" s="1"/>
  <c r="IS208" i="8" s="1"/>
  <c r="IV207" i="8"/>
  <c r="IZ207" i="8" s="1"/>
  <c r="HQ175" i="8"/>
  <c r="AN363" i="1" l="1"/>
  <c r="AK364" i="1" s="1"/>
  <c r="AM364" i="1" s="1"/>
  <c r="AL364" i="1" s="1"/>
  <c r="HS175" i="8"/>
  <c r="HW175" i="8" s="1"/>
  <c r="HX175" i="8" s="1"/>
  <c r="IA175" i="8" s="1"/>
  <c r="IO208" i="8"/>
  <c r="IU208" i="8"/>
  <c r="IN208" i="8"/>
  <c r="AJ364" i="1" l="1"/>
  <c r="AI364" i="1"/>
  <c r="AG364" i="1" s="1"/>
  <c r="AN364" i="1"/>
  <c r="HR175" i="8"/>
  <c r="HY175" i="8" s="1"/>
  <c r="IP208" i="8"/>
  <c r="IR208" i="8" s="1"/>
  <c r="AJ365" i="1" l="1"/>
  <c r="AK365" i="1"/>
  <c r="AM365" i="1" s="1"/>
  <c r="AL365" i="1" s="1"/>
  <c r="HT176" i="8"/>
  <c r="HU176" i="8"/>
  <c r="IQ208" i="8"/>
  <c r="IX208" i="8" s="1"/>
  <c r="IS209" i="8" s="1"/>
  <c r="IV208" i="8"/>
  <c r="IZ208" i="8" s="1"/>
  <c r="HV176" i="8"/>
  <c r="HP176" i="8"/>
  <c r="HQ176" i="8" s="1"/>
  <c r="HO176" i="8"/>
  <c r="AI365" i="1" l="1"/>
  <c r="AG365" i="1" s="1"/>
  <c r="AN365" i="1"/>
  <c r="IU209" i="8"/>
  <c r="IO209" i="8"/>
  <c r="IN209" i="8"/>
  <c r="HS176" i="8"/>
  <c r="HW176" i="8" s="1"/>
  <c r="HX176" i="8" s="1"/>
  <c r="AK366" i="1" l="1"/>
  <c r="AM366" i="1" s="1"/>
  <c r="AL366" i="1" s="1"/>
  <c r="AI366" i="1" s="1"/>
  <c r="AG366" i="1" s="1"/>
  <c r="AJ366" i="1"/>
  <c r="IP209" i="8"/>
  <c r="IR209" i="8" s="1"/>
  <c r="IA176" i="8"/>
  <c r="HR176" i="8"/>
  <c r="AN366" i="1" l="1"/>
  <c r="IQ209" i="8"/>
  <c r="IX209" i="8" s="1"/>
  <c r="IS210" i="8" s="1"/>
  <c r="IV209" i="8"/>
  <c r="IZ209" i="8" s="1"/>
  <c r="HY176" i="8"/>
  <c r="AJ367" i="1" l="1"/>
  <c r="AK367" i="1"/>
  <c r="AM367" i="1" s="1"/>
  <c r="AL367" i="1" s="1"/>
  <c r="HT177" i="8"/>
  <c r="HU177" i="8"/>
  <c r="IU210" i="8"/>
  <c r="IN210" i="8"/>
  <c r="IO210" i="8"/>
  <c r="HV177" i="8"/>
  <c r="HP177" i="8"/>
  <c r="HQ177" i="8" s="1"/>
  <c r="HO177" i="8"/>
  <c r="AI367" i="1" l="1"/>
  <c r="AG367" i="1" s="1"/>
  <c r="AN367" i="1"/>
  <c r="IP210" i="8"/>
  <c r="IR210" i="8" s="1"/>
  <c r="HS177" i="8"/>
  <c r="HW177" i="8" s="1"/>
  <c r="HX177" i="8" s="1"/>
  <c r="AJ368" i="1" l="1"/>
  <c r="AK368" i="1"/>
  <c r="AM368" i="1" s="1"/>
  <c r="AL368" i="1" s="1"/>
  <c r="IQ210" i="8"/>
  <c r="IX210" i="8" s="1"/>
  <c r="IS211" i="8" s="1"/>
  <c r="IV210" i="8"/>
  <c r="IZ210" i="8" s="1"/>
  <c r="IA177" i="8"/>
  <c r="HR177" i="8"/>
  <c r="AI368" i="1" l="1"/>
  <c r="AG368" i="1" s="1"/>
  <c r="AN368" i="1"/>
  <c r="IN211" i="8"/>
  <c r="IU211" i="8"/>
  <c r="IO211" i="8"/>
  <c r="HY177" i="8"/>
  <c r="AK369" i="1" l="1"/>
  <c r="AM369" i="1" s="1"/>
  <c r="AL369" i="1" s="1"/>
  <c r="AI369" i="1" s="1"/>
  <c r="AG369" i="1" s="1"/>
  <c r="AJ369" i="1"/>
  <c r="HT178" i="8"/>
  <c r="HU178" i="8"/>
  <c r="IP211" i="8"/>
  <c r="IR211" i="8" s="1"/>
  <c r="HV178" i="8"/>
  <c r="HP178" i="8"/>
  <c r="HQ178" i="8" s="1"/>
  <c r="HO178" i="8"/>
  <c r="AN369" i="1" l="1"/>
  <c r="AJ370" i="1" s="1"/>
  <c r="IQ211" i="8"/>
  <c r="IX211" i="8" s="1"/>
  <c r="IS212" i="8" s="1"/>
  <c r="IV211" i="8"/>
  <c r="IZ211" i="8" s="1"/>
  <c r="HS178" i="8"/>
  <c r="HW178" i="8" s="1"/>
  <c r="HX178" i="8" s="1"/>
  <c r="AK370" i="1" l="1"/>
  <c r="AM370" i="1" s="1"/>
  <c r="AL370" i="1" s="1"/>
  <c r="AI370" i="1" s="1"/>
  <c r="AG370" i="1" s="1"/>
  <c r="IU212" i="8"/>
  <c r="IO212" i="8"/>
  <c r="IN212" i="8"/>
  <c r="IA178" i="8"/>
  <c r="HR178" i="8"/>
  <c r="AN370" i="1" l="1"/>
  <c r="AK371" i="1" s="1"/>
  <c r="AM371" i="1" s="1"/>
  <c r="AL371" i="1" s="1"/>
  <c r="AI371" i="1" s="1"/>
  <c r="AG371" i="1" s="1"/>
  <c r="IP212" i="8"/>
  <c r="IR212" i="8" s="1"/>
  <c r="HY178" i="8"/>
  <c r="AN371" i="1" l="1"/>
  <c r="AJ371" i="1"/>
  <c r="HT179" i="8"/>
  <c r="HU179" i="8"/>
  <c r="IV212" i="8"/>
  <c r="IZ212" i="8" s="1"/>
  <c r="IQ212" i="8"/>
  <c r="IX212" i="8" s="1"/>
  <c r="IS213" i="8" s="1"/>
  <c r="HO179" i="8"/>
  <c r="HV179" i="8"/>
  <c r="HP179" i="8"/>
  <c r="HQ179" i="8" s="1"/>
  <c r="AK372" i="1" l="1"/>
  <c r="AM372" i="1" s="1"/>
  <c r="AL372" i="1" s="1"/>
  <c r="AJ372" i="1"/>
  <c r="IO213" i="8"/>
  <c r="IN213" i="8"/>
  <c r="IU213" i="8"/>
  <c r="HS179" i="8"/>
  <c r="HW179" i="8" s="1"/>
  <c r="HX179" i="8" s="1"/>
  <c r="AI372" i="1" l="1"/>
  <c r="AG372" i="1" s="1"/>
  <c r="AN372" i="1"/>
  <c r="IP213" i="8"/>
  <c r="IR213" i="8" s="1"/>
  <c r="IA179" i="8"/>
  <c r="HR179" i="8"/>
  <c r="AK373" i="1" l="1"/>
  <c r="AM373" i="1" s="1"/>
  <c r="AL373" i="1" s="1"/>
  <c r="AJ373" i="1"/>
  <c r="IQ213" i="8"/>
  <c r="IX213" i="8" s="1"/>
  <c r="IS214" i="8" s="1"/>
  <c r="IV213" i="8"/>
  <c r="IZ213" i="8" s="1"/>
  <c r="HY179" i="8"/>
  <c r="AI373" i="1" l="1"/>
  <c r="AG373" i="1" s="1"/>
  <c r="AN373" i="1"/>
  <c r="HT180" i="8"/>
  <c r="HU180" i="8"/>
  <c r="IO214" i="8"/>
  <c r="IN214" i="8"/>
  <c r="IU214" i="8"/>
  <c r="HO180" i="8"/>
  <c r="HV180" i="8"/>
  <c r="HP180" i="8"/>
  <c r="AK374" i="1" l="1"/>
  <c r="AM374" i="1" s="1"/>
  <c r="AL374" i="1" s="1"/>
  <c r="AJ374" i="1"/>
  <c r="IP214" i="8"/>
  <c r="IR214" i="8" s="1"/>
  <c r="HQ180" i="8"/>
  <c r="AI374" i="1" l="1"/>
  <c r="AG374" i="1" s="1"/>
  <c r="AN374" i="1"/>
  <c r="HS180" i="8"/>
  <c r="HR180" i="8" s="1"/>
  <c r="IQ214" i="8"/>
  <c r="IX214" i="8" s="1"/>
  <c r="IS215" i="8" s="1"/>
  <c r="IV214" i="8"/>
  <c r="IZ214" i="8" s="1"/>
  <c r="AK375" i="1" l="1"/>
  <c r="AM375" i="1" s="1"/>
  <c r="AL375" i="1" s="1"/>
  <c r="AI375" i="1" s="1"/>
  <c r="AG375" i="1" s="1"/>
  <c r="AJ375" i="1"/>
  <c r="HW180" i="8"/>
  <c r="HX180" i="8" s="1"/>
  <c r="IU215" i="8"/>
  <c r="IO215" i="8"/>
  <c r="IN215" i="8"/>
  <c r="AN375" i="1" l="1"/>
  <c r="IA180" i="8"/>
  <c r="HY180" i="8"/>
  <c r="HU181" i="8" s="1"/>
  <c r="IP215" i="8"/>
  <c r="IR215" i="8" s="1"/>
  <c r="AK376" i="1" l="1"/>
  <c r="AM376" i="1" s="1"/>
  <c r="AL376" i="1" s="1"/>
  <c r="AI376" i="1" s="1"/>
  <c r="AG376" i="1" s="1"/>
  <c r="AJ376" i="1"/>
  <c r="HT181" i="8"/>
  <c r="HO181" i="8"/>
  <c r="HP181" i="8"/>
  <c r="HQ181" i="8" s="1"/>
  <c r="HS181" i="8" s="1"/>
  <c r="HV181" i="8"/>
  <c r="IQ215" i="8"/>
  <c r="IX215" i="8" s="1"/>
  <c r="IS216" i="8" s="1"/>
  <c r="IV215" i="8"/>
  <c r="IZ215" i="8" s="1"/>
  <c r="AN376" i="1" l="1"/>
  <c r="HW181" i="8"/>
  <c r="HX181" i="8" s="1"/>
  <c r="HR181" i="8"/>
  <c r="IU216" i="8"/>
  <c r="IN216" i="8"/>
  <c r="IO216" i="8"/>
  <c r="AK377" i="1" l="1"/>
  <c r="AM377" i="1" s="1"/>
  <c r="AL377" i="1" s="1"/>
  <c r="AI377" i="1" s="1"/>
  <c r="AG377" i="1" s="1"/>
  <c r="AJ377" i="1"/>
  <c r="IA181" i="8"/>
  <c r="HY181" i="8"/>
  <c r="HU182" i="8" s="1"/>
  <c r="IP216" i="8"/>
  <c r="IR216" i="8" s="1"/>
  <c r="AN377" i="1" l="1"/>
  <c r="AK378" i="1" s="1"/>
  <c r="AM378" i="1" s="1"/>
  <c r="AL378" i="1" s="1"/>
  <c r="HP182" i="8"/>
  <c r="HQ182" i="8" s="1"/>
  <c r="HV182" i="8"/>
  <c r="HT182" i="8"/>
  <c r="HO182" i="8"/>
  <c r="IQ216" i="8"/>
  <c r="IX216" i="8" s="1"/>
  <c r="IS217" i="8" s="1"/>
  <c r="IV216" i="8"/>
  <c r="IZ216" i="8" s="1"/>
  <c r="AJ378" i="1" l="1"/>
  <c r="AI378" i="1"/>
  <c r="AG378" i="1" s="1"/>
  <c r="AN378" i="1"/>
  <c r="HS182" i="8"/>
  <c r="HW182" i="8" s="1"/>
  <c r="HX182" i="8" s="1"/>
  <c r="IA182" i="8" s="1"/>
  <c r="IN217" i="8"/>
  <c r="IO217" i="8"/>
  <c r="IP217" i="8" s="1"/>
  <c r="IU217" i="8"/>
  <c r="AJ379" i="1" l="1"/>
  <c r="AK379" i="1"/>
  <c r="AM379" i="1" s="1"/>
  <c r="AL379" i="1" s="1"/>
  <c r="AI379" i="1" s="1"/>
  <c r="AG379" i="1" s="1"/>
  <c r="HR182" i="8"/>
  <c r="HY182" i="8" s="1"/>
  <c r="IR217" i="8"/>
  <c r="AN379" i="1" l="1"/>
  <c r="HT183" i="8"/>
  <c r="HU183" i="8"/>
  <c r="IQ217" i="8"/>
  <c r="IX217" i="8" s="1"/>
  <c r="IS218" i="8" s="1"/>
  <c r="IV217" i="8"/>
  <c r="IZ217" i="8" s="1"/>
  <c r="HV183" i="8"/>
  <c r="HO183" i="8"/>
  <c r="HP183" i="8"/>
  <c r="HQ183" i="8" s="1"/>
  <c r="AJ380" i="1" l="1"/>
  <c r="AK380" i="1"/>
  <c r="AM380" i="1" s="1"/>
  <c r="AL380" i="1" s="1"/>
  <c r="IO218" i="8"/>
  <c r="IN218" i="8"/>
  <c r="IU218" i="8"/>
  <c r="HS183" i="8"/>
  <c r="HW183" i="8" s="1"/>
  <c r="HX183" i="8" s="1"/>
  <c r="AI380" i="1" l="1"/>
  <c r="AG380" i="1" s="1"/>
  <c r="AN380" i="1"/>
  <c r="IP218" i="8"/>
  <c r="IR218" i="8" s="1"/>
  <c r="IA183" i="8"/>
  <c r="HR183" i="8"/>
  <c r="AJ381" i="1" l="1"/>
  <c r="AK381" i="1"/>
  <c r="AM381" i="1" s="1"/>
  <c r="AL381" i="1" s="1"/>
  <c r="IQ218" i="8"/>
  <c r="IX218" i="8" s="1"/>
  <c r="IS219" i="8" s="1"/>
  <c r="IV218" i="8"/>
  <c r="IZ218" i="8" s="1"/>
  <c r="HY183" i="8"/>
  <c r="AI381" i="1" l="1"/>
  <c r="AG381" i="1" s="1"/>
  <c r="AN381" i="1"/>
  <c r="HT184" i="8"/>
  <c r="HU184" i="8"/>
  <c r="IO219" i="8"/>
  <c r="IU219" i="8"/>
  <c r="IN219" i="8"/>
  <c r="HV184" i="8"/>
  <c r="HO184" i="8"/>
  <c r="HP184" i="8"/>
  <c r="HQ184" i="8" s="1"/>
  <c r="AJ382" i="1" l="1"/>
  <c r="AK382" i="1"/>
  <c r="AM382" i="1" s="1"/>
  <c r="AL382" i="1" s="1"/>
  <c r="AI382" i="1" s="1"/>
  <c r="AG382" i="1" s="1"/>
  <c r="IP219" i="8"/>
  <c r="IR219" i="8" s="1"/>
  <c r="HS184" i="8"/>
  <c r="HR184" i="8" s="1"/>
  <c r="AN382" i="1" l="1"/>
  <c r="AK383" i="1" s="1"/>
  <c r="AM383" i="1" s="1"/>
  <c r="AL383" i="1" s="1"/>
  <c r="AI383" i="1" s="1"/>
  <c r="AG383" i="1" s="1"/>
  <c r="HW184" i="8"/>
  <c r="IQ219" i="8"/>
  <c r="IX219" i="8" s="1"/>
  <c r="IS220" i="8" s="1"/>
  <c r="IV219" i="8"/>
  <c r="IZ219" i="8" s="1"/>
  <c r="AN383" i="1" l="1"/>
  <c r="AK384" i="1" s="1"/>
  <c r="AM384" i="1" s="1"/>
  <c r="AL384" i="1" s="1"/>
  <c r="AI384" i="1" s="1"/>
  <c r="AG384" i="1" s="1"/>
  <c r="AJ383" i="1"/>
  <c r="HX184" i="8"/>
  <c r="IA184" i="8" s="1"/>
  <c r="IN220" i="8"/>
  <c r="IU220" i="8"/>
  <c r="IO220" i="8"/>
  <c r="AJ384" i="1" l="1"/>
  <c r="AN384" i="1"/>
  <c r="HY184" i="8"/>
  <c r="HT185" i="8" s="1"/>
  <c r="IP220" i="8"/>
  <c r="IR220" i="8" s="1"/>
  <c r="AJ385" i="1" l="1"/>
  <c r="AK385" i="1"/>
  <c r="AM385" i="1" s="1"/>
  <c r="AL385" i="1" s="1"/>
  <c r="AI385" i="1" s="1"/>
  <c r="AG385" i="1" s="1"/>
  <c r="HP185" i="8"/>
  <c r="HQ185" i="8" s="1"/>
  <c r="HS185" i="8" s="1"/>
  <c r="HR185" i="8" s="1"/>
  <c r="HV185" i="8"/>
  <c r="HO185" i="8"/>
  <c r="HU185" i="8"/>
  <c r="IQ220" i="8"/>
  <c r="IX220" i="8" s="1"/>
  <c r="IS221" i="8" s="1"/>
  <c r="IV220" i="8"/>
  <c r="IZ220" i="8" s="1"/>
  <c r="AN385" i="1" l="1"/>
  <c r="HW185" i="8"/>
  <c r="HX185" i="8" s="1"/>
  <c r="IO221" i="8"/>
  <c r="IP221" i="8" s="1"/>
  <c r="IN221" i="8"/>
  <c r="IU221" i="8"/>
  <c r="AK386" i="1" l="1"/>
  <c r="AM386" i="1" s="1"/>
  <c r="AL386" i="1" s="1"/>
  <c r="AJ386" i="1"/>
  <c r="IA185" i="8"/>
  <c r="IR221" i="8"/>
  <c r="HY185" i="8"/>
  <c r="AI386" i="1" l="1"/>
  <c r="AN386" i="1"/>
  <c r="HT186" i="8"/>
  <c r="HU186" i="8"/>
  <c r="IQ221" i="8"/>
  <c r="IX221" i="8" s="1"/>
  <c r="IS222" i="8" s="1"/>
  <c r="IV221" i="8"/>
  <c r="IZ221" i="8" s="1"/>
  <c r="HP186" i="8"/>
  <c r="HO186" i="8"/>
  <c r="HV186" i="8"/>
  <c r="AK387" i="1" l="1"/>
  <c r="AM387" i="1" s="1"/>
  <c r="AL387" i="1" s="1"/>
  <c r="AI387" i="1" s="1"/>
  <c r="AJ387" i="1"/>
  <c r="AG387" i="1"/>
  <c r="AG386" i="1"/>
  <c r="IO222" i="8"/>
  <c r="IU222" i="8"/>
  <c r="IN222" i="8"/>
  <c r="HQ186" i="8"/>
  <c r="AN387" i="1" l="1"/>
  <c r="HS186" i="8"/>
  <c r="HW186" i="8" s="1"/>
  <c r="IP222" i="8"/>
  <c r="IR222" i="8" s="1"/>
  <c r="HR186" i="8" l="1"/>
  <c r="HX186" i="8"/>
  <c r="IA186" i="8" s="1"/>
  <c r="IQ222" i="8"/>
  <c r="IX222" i="8" s="1"/>
  <c r="IS223" i="8" s="1"/>
  <c r="IV222" i="8"/>
  <c r="IZ222" i="8" s="1"/>
  <c r="HY186" i="8" l="1"/>
  <c r="HT187" i="8" s="1"/>
  <c r="IO223" i="8"/>
  <c r="IP223" i="8" s="1"/>
  <c r="IN223" i="8"/>
  <c r="IU223" i="8"/>
  <c r="HV187" i="8" l="1"/>
  <c r="HU187" i="8"/>
  <c r="HP187" i="8"/>
  <c r="HQ187" i="8" s="1"/>
  <c r="HO187" i="8"/>
  <c r="IR223" i="8"/>
  <c r="HS187" i="8" l="1"/>
  <c r="HR187" i="8" s="1"/>
  <c r="IQ223" i="8"/>
  <c r="IX223" i="8" s="1"/>
  <c r="IS224" i="8" s="1"/>
  <c r="IV223" i="8"/>
  <c r="IZ223" i="8" s="1"/>
  <c r="HW187" i="8" l="1"/>
  <c r="HX187" i="8" s="1"/>
  <c r="IA187" i="8" s="1"/>
  <c r="IN224" i="8"/>
  <c r="IU224" i="8"/>
  <c r="IO224" i="8"/>
  <c r="IP224" i="8" s="1"/>
  <c r="IR224" i="8" s="1"/>
  <c r="HY187" i="8" l="1"/>
  <c r="HV188" i="8" s="1"/>
  <c r="IQ224" i="8"/>
  <c r="IX224" i="8" s="1"/>
  <c r="IS225" i="8" s="1"/>
  <c r="IV224" i="8"/>
  <c r="IZ224" i="8" s="1"/>
  <c r="HP188" i="8" l="1"/>
  <c r="HQ188" i="8" s="1"/>
  <c r="HU188" i="8"/>
  <c r="HT188" i="8"/>
  <c r="HO188" i="8"/>
  <c r="IN225" i="8"/>
  <c r="IO225" i="8"/>
  <c r="IP225" i="8" s="1"/>
  <c r="IU225" i="8"/>
  <c r="HS188" i="8" l="1"/>
  <c r="HR188" i="8" s="1"/>
  <c r="IR225" i="8"/>
  <c r="HW188" i="8" l="1"/>
  <c r="HX188" i="8" s="1"/>
  <c r="IA188" i="8" s="1"/>
  <c r="IQ225" i="8"/>
  <c r="IX225" i="8" s="1"/>
  <c r="IS226" i="8" s="1"/>
  <c r="IV225" i="8"/>
  <c r="IZ225" i="8" s="1"/>
  <c r="HY188" i="8" l="1"/>
  <c r="HV189" i="8" s="1"/>
  <c r="IN226" i="8"/>
  <c r="IO226" i="8"/>
  <c r="IP226" i="8" s="1"/>
  <c r="IU226" i="8"/>
  <c r="HU189" i="8" l="1"/>
  <c r="HT189" i="8"/>
  <c r="HO189" i="8"/>
  <c r="HP189" i="8"/>
  <c r="HQ189" i="8" s="1"/>
  <c r="IR226" i="8"/>
  <c r="HS189" i="8" l="1"/>
  <c r="HR189" i="8" s="1"/>
  <c r="IV226" i="8"/>
  <c r="IZ226" i="8" s="1"/>
  <c r="IQ226" i="8"/>
  <c r="IX226" i="8" s="1"/>
  <c r="IS227" i="8" s="1"/>
  <c r="HW189" i="8" l="1"/>
  <c r="HX189" i="8" s="1"/>
  <c r="HY189" i="8" s="1"/>
  <c r="IU227" i="8"/>
  <c r="IN227" i="8"/>
  <c r="IO227" i="8"/>
  <c r="IP227" i="8" s="1"/>
  <c r="IA189" i="8" l="1"/>
  <c r="IR227" i="8"/>
  <c r="HT190" i="8"/>
  <c r="HU190" i="8"/>
  <c r="HV190" i="8"/>
  <c r="HO190" i="8"/>
  <c r="HP190" i="8"/>
  <c r="HQ190" i="8" s="1"/>
  <c r="HS190" i="8" s="1"/>
  <c r="HR190" i="8" s="1"/>
  <c r="IQ227" i="8" l="1"/>
  <c r="IX227" i="8" s="1"/>
  <c r="IV227" i="8"/>
  <c r="IZ227" i="8" s="1"/>
  <c r="HW190" i="8"/>
  <c r="HX190" i="8" s="1"/>
  <c r="IS228" i="8" l="1"/>
  <c r="IU228" i="8"/>
  <c r="IO228" i="8"/>
  <c r="IR228" i="8" s="1"/>
  <c r="IP228" i="8"/>
  <c r="IN228" i="8"/>
  <c r="IA190" i="8"/>
  <c r="HY190" i="8"/>
  <c r="IQ228" i="8" l="1"/>
  <c r="IX228" i="8" s="1"/>
  <c r="IO229" i="8" s="1"/>
  <c r="IR229" i="8" s="1"/>
  <c r="IV228" i="8"/>
  <c r="IZ228" i="8" s="1"/>
  <c r="HT191" i="8"/>
  <c r="HU191" i="8"/>
  <c r="HO191" i="8"/>
  <c r="HP191" i="8"/>
  <c r="HQ191" i="8" s="1"/>
  <c r="HV191" i="8"/>
  <c r="IU229" i="8" l="1"/>
  <c r="IS229" i="8"/>
  <c r="IN229" i="8"/>
  <c r="IV229" i="8"/>
  <c r="IZ229" i="8" s="1"/>
  <c r="IP229" i="8"/>
  <c r="IQ229" i="8" s="1"/>
  <c r="IX229" i="8" s="1"/>
  <c r="HS191" i="8"/>
  <c r="HR191" i="8" s="1"/>
  <c r="IS230" i="8" l="1"/>
  <c r="IN230" i="8"/>
  <c r="IU230" i="8"/>
  <c r="IO230" i="8"/>
  <c r="IR230" i="8" s="1"/>
  <c r="HW191" i="8"/>
  <c r="HX191" i="8" s="1"/>
  <c r="IV230" i="8" l="1"/>
  <c r="IZ230" i="8" s="1"/>
  <c r="IP230" i="8"/>
  <c r="IQ230" i="8" s="1"/>
  <c r="IX230" i="8" s="1"/>
  <c r="IA191" i="8"/>
  <c r="HY191" i="8"/>
  <c r="IS231" i="8" l="1"/>
  <c r="IU231" i="8"/>
  <c r="IN231" i="8"/>
  <c r="IO231" i="8"/>
  <c r="IR231" i="8" s="1"/>
  <c r="HT192" i="8"/>
  <c r="HU192" i="8"/>
  <c r="HA258" i="8"/>
  <c r="GZ258" i="8" s="1"/>
  <c r="HV192" i="8"/>
  <c r="HP192" i="8"/>
  <c r="HO192" i="8"/>
  <c r="IP231" i="8" l="1"/>
  <c r="IQ231" i="8" s="1"/>
  <c r="IX231" i="8" s="1"/>
  <c r="IV231" i="8"/>
  <c r="IZ231" i="8" s="1"/>
  <c r="HQ192" i="8"/>
  <c r="HS192" i="8" l="1"/>
  <c r="HR192" i="8" s="1"/>
  <c r="IS232" i="8"/>
  <c r="IU232" i="8"/>
  <c r="IN232" i="8"/>
  <c r="IO232" i="8"/>
  <c r="IR232" i="8" s="1"/>
  <c r="HW192" i="8" l="1"/>
  <c r="HX192" i="8" s="1"/>
  <c r="IA192" i="8" s="1"/>
  <c r="IV232" i="8"/>
  <c r="IZ232" i="8" s="1"/>
  <c r="IP232" i="8"/>
  <c r="IQ232" i="8" s="1"/>
  <c r="IX232" i="8" s="1"/>
  <c r="HY192" i="8" l="1"/>
  <c r="HP193" i="8" s="1"/>
  <c r="HQ193" i="8" s="1"/>
  <c r="HS193" i="8" s="1"/>
  <c r="IS233" i="8"/>
  <c r="IO233" i="8"/>
  <c r="IR233" i="8" s="1"/>
  <c r="IU233" i="8"/>
  <c r="IN233" i="8"/>
  <c r="IV233" i="8" l="1"/>
  <c r="IZ233" i="8" s="1"/>
  <c r="IP233" i="8"/>
  <c r="IQ233" i="8" s="1"/>
  <c r="IX233" i="8" s="1"/>
  <c r="HT193" i="8"/>
  <c r="HV193" i="8"/>
  <c r="HO193" i="8"/>
  <c r="HU193" i="8"/>
  <c r="HR193" i="8"/>
  <c r="HW193" i="8" l="1"/>
  <c r="HX193" i="8" s="1"/>
  <c r="IS234" i="8"/>
  <c r="IO234" i="8"/>
  <c r="IR234" i="8" s="1"/>
  <c r="IU234" i="8"/>
  <c r="IN234" i="8"/>
  <c r="IV234" i="8" l="1"/>
  <c r="IZ234" i="8" s="1"/>
  <c r="IP234" i="8"/>
  <c r="IQ234" i="8" s="1"/>
  <c r="IX234" i="8" s="1"/>
  <c r="IA193" i="8"/>
  <c r="HY193" i="8"/>
  <c r="HP194" i="8" s="1"/>
  <c r="HQ194" i="8" s="1"/>
  <c r="HS194" i="8" s="1"/>
  <c r="IS235" i="8" l="1"/>
  <c r="IN235" i="8"/>
  <c r="IO235" i="8"/>
  <c r="IR235" i="8" s="1"/>
  <c r="IU235" i="8"/>
  <c r="HU194" i="8"/>
  <c r="HT194" i="8"/>
  <c r="HO194" i="8"/>
  <c r="HV194" i="8"/>
  <c r="HR194" i="8"/>
  <c r="IV235" i="8" l="1"/>
  <c r="IZ235" i="8" s="1"/>
  <c r="IP235" i="8"/>
  <c r="IQ235" i="8" s="1"/>
  <c r="IX235" i="8" s="1"/>
  <c r="IN236" i="8" s="1"/>
  <c r="HW194" i="8"/>
  <c r="HX194" i="8" s="1"/>
  <c r="HY194" i="8" s="1"/>
  <c r="IO236" i="8" l="1"/>
  <c r="IR236" i="8" s="1"/>
  <c r="IS236" i="8"/>
  <c r="IU236" i="8"/>
  <c r="IA194" i="8"/>
  <c r="IP236" i="8"/>
  <c r="IQ236" i="8" s="1"/>
  <c r="IX236" i="8" s="1"/>
  <c r="HT195" i="8"/>
  <c r="HU195" i="8"/>
  <c r="HP195" i="8"/>
  <c r="HQ195" i="8" s="1"/>
  <c r="HV195" i="8"/>
  <c r="HO195" i="8"/>
  <c r="IV236" i="8" l="1"/>
  <c r="IZ236" i="8" s="1"/>
  <c r="IS237" i="8"/>
  <c r="IO237" i="8"/>
  <c r="IN237" i="8"/>
  <c r="IU237" i="8"/>
  <c r="HS195" i="8"/>
  <c r="HR195" i="8" s="1"/>
  <c r="IP237" i="8" l="1"/>
  <c r="IR237" i="8" s="1"/>
  <c r="HW195" i="8"/>
  <c r="HX195" i="8" s="1"/>
  <c r="IV237" i="8" l="1"/>
  <c r="IZ237" i="8" s="1"/>
  <c r="IQ237" i="8"/>
  <c r="IX237" i="8" s="1"/>
  <c r="IS238" i="8" s="1"/>
  <c r="HY195" i="8"/>
  <c r="IO238" i="8" l="1"/>
  <c r="IN238" i="8"/>
  <c r="IU238" i="8"/>
  <c r="IP238" i="8"/>
  <c r="HT196" i="8"/>
  <c r="HU196" i="8"/>
  <c r="HV196" i="8"/>
  <c r="HO196" i="8"/>
  <c r="HP196" i="8"/>
  <c r="HQ196" i="8" s="1"/>
  <c r="IA195" i="8"/>
  <c r="IR238" i="8" l="1"/>
  <c r="IV238" i="8" s="1"/>
  <c r="IZ238" i="8" s="1"/>
  <c r="HS196" i="8"/>
  <c r="HW196" i="8" s="1"/>
  <c r="HX196" i="8" s="1"/>
  <c r="IQ238" i="8" l="1"/>
  <c r="IX238" i="8" s="1"/>
  <c r="HR196" i="8"/>
  <c r="HY196" i="8" s="1"/>
  <c r="IA196" i="8"/>
  <c r="IS239" i="8" l="1"/>
  <c r="IO239" i="8"/>
  <c r="IU239" i="8"/>
  <c r="IN239" i="8"/>
  <c r="HT197" i="8"/>
  <c r="HU197" i="8"/>
  <c r="HP197" i="8"/>
  <c r="HQ197" i="8" s="1"/>
  <c r="HO197" i="8"/>
  <c r="HV197" i="8"/>
  <c r="IP239" i="8" l="1"/>
  <c r="HS197" i="8"/>
  <c r="HW197" i="8" s="1"/>
  <c r="HX197" i="8" s="1"/>
  <c r="IR239" i="8" l="1"/>
  <c r="IV239" i="8" s="1"/>
  <c r="IZ239" i="8" s="1"/>
  <c r="HR197" i="8"/>
  <c r="HY197" i="8" s="1"/>
  <c r="IA197" i="8"/>
  <c r="IQ239" i="8" l="1"/>
  <c r="IX239" i="8" s="1"/>
  <c r="HT198" i="8"/>
  <c r="HU198" i="8"/>
  <c r="HV198" i="8"/>
  <c r="HP198" i="8"/>
  <c r="HO198" i="8"/>
  <c r="IN240" i="8" l="1"/>
  <c r="IO240" i="8"/>
  <c r="IU240" i="8"/>
  <c r="IS240" i="8"/>
  <c r="HQ198" i="8"/>
  <c r="IP240" i="8" l="1"/>
  <c r="HS198" i="8"/>
  <c r="HR198" i="8" s="1"/>
  <c r="IR240" i="8" l="1"/>
  <c r="IV240" i="8" s="1"/>
  <c r="IZ240" i="8" s="1"/>
  <c r="HW198" i="8"/>
  <c r="HX198" i="8" s="1"/>
  <c r="HY198" i="8" s="1"/>
  <c r="IQ240" i="8" l="1"/>
  <c r="IX240" i="8" s="1"/>
  <c r="IA198" i="8"/>
  <c r="HT199" i="8"/>
  <c r="HU199" i="8"/>
  <c r="HO199" i="8"/>
  <c r="HP199" i="8"/>
  <c r="HQ199" i="8" s="1"/>
  <c r="HS199" i="8" s="1"/>
  <c r="HV199" i="8"/>
  <c r="IS241" i="8" l="1"/>
  <c r="IO241" i="8"/>
  <c r="IN241" i="8"/>
  <c r="IU241" i="8"/>
  <c r="IP241" i="8"/>
  <c r="HW199" i="8"/>
  <c r="HX199" i="8" s="1"/>
  <c r="HR199" i="8"/>
  <c r="IR241" i="8" l="1"/>
  <c r="IV241" i="8" s="1"/>
  <c r="IZ241" i="8" s="1"/>
  <c r="IQ241" i="8"/>
  <c r="IX241" i="8" s="1"/>
  <c r="IA199" i="8"/>
  <c r="HY199" i="8"/>
  <c r="IS242" i="8" l="1"/>
  <c r="IU242" i="8"/>
  <c r="IO242" i="8"/>
  <c r="IN242" i="8"/>
  <c r="IP242" i="8"/>
  <c r="HP200" i="8"/>
  <c r="HQ200" i="8" s="1"/>
  <c r="HS200" i="8" s="1"/>
  <c r="HO200" i="8"/>
  <c r="HV200" i="8"/>
  <c r="HT200" i="8"/>
  <c r="HU200" i="8"/>
  <c r="IR242" i="8" l="1"/>
  <c r="IV242" i="8" s="1"/>
  <c r="IZ242" i="8" s="1"/>
  <c r="IQ242" i="8"/>
  <c r="IX242" i="8" s="1"/>
  <c r="HW200" i="8"/>
  <c r="HR200" i="8"/>
  <c r="IU243" i="8" l="1"/>
  <c r="IS243" i="8"/>
  <c r="IN243" i="8"/>
  <c r="IO243" i="8"/>
  <c r="IP243" i="8"/>
  <c r="HX200" i="8"/>
  <c r="IA200" i="8" s="1"/>
  <c r="IR243" i="8" l="1"/>
  <c r="IV243" i="8" s="1"/>
  <c r="IZ243" i="8" s="1"/>
  <c r="HY200" i="8"/>
  <c r="HO201" i="8" s="1"/>
  <c r="IQ243" i="8" l="1"/>
  <c r="IX243" i="8" s="1"/>
  <c r="HV201" i="8"/>
  <c r="HU201" i="8"/>
  <c r="HP201" i="8"/>
  <c r="HQ201" i="8" s="1"/>
  <c r="HT201" i="8"/>
  <c r="IS244" i="8" l="1"/>
  <c r="IO244" i="8"/>
  <c r="IU244" i="8"/>
  <c r="IN244" i="8"/>
  <c r="IP244" i="8"/>
  <c r="HS201" i="8"/>
  <c r="HW201" i="8" s="1"/>
  <c r="HX201" i="8" s="1"/>
  <c r="IR244" i="8" l="1"/>
  <c r="IV244" i="8" s="1"/>
  <c r="IZ244" i="8" s="1"/>
  <c r="HR201" i="8"/>
  <c r="HY201" i="8" s="1"/>
  <c r="IA201" i="8"/>
  <c r="IQ244" i="8" l="1"/>
  <c r="IX244" i="8" s="1"/>
  <c r="HT202" i="8"/>
  <c r="HU202" i="8"/>
  <c r="HO202" i="8"/>
  <c r="HV202" i="8"/>
  <c r="HP202" i="8"/>
  <c r="IS245" i="8" l="1"/>
  <c r="IU245" i="8"/>
  <c r="IN245" i="8"/>
  <c r="IO245" i="8"/>
  <c r="IP245" i="8"/>
  <c r="IR245" i="8"/>
  <c r="IV245" i="8" s="1"/>
  <c r="IZ245" i="8" s="1"/>
  <c r="HQ202" i="8"/>
  <c r="IQ245" i="8" l="1"/>
  <c r="IX245" i="8" s="1"/>
  <c r="HS202" i="8"/>
  <c r="HW202" i="8" s="1"/>
  <c r="HX202" i="8" s="1"/>
  <c r="IS246" i="8" l="1"/>
  <c r="IU246" i="8"/>
  <c r="IN246" i="8"/>
  <c r="IO246" i="8"/>
  <c r="IP246" i="8"/>
  <c r="IR246" i="8"/>
  <c r="IV246" i="8" s="1"/>
  <c r="IZ246" i="8" s="1"/>
  <c r="HR202" i="8"/>
  <c r="HY202" i="8" s="1"/>
  <c r="IA202" i="8"/>
  <c r="IQ246" i="8" l="1"/>
  <c r="IX246" i="8" s="1"/>
  <c r="HT203" i="8"/>
  <c r="HU203" i="8"/>
  <c r="HV203" i="8"/>
  <c r="HO203" i="8"/>
  <c r="HP203" i="8"/>
  <c r="HQ203" i="8" s="1"/>
  <c r="IN247" i="8" l="1"/>
  <c r="IU247" i="8"/>
  <c r="IS247" i="8"/>
  <c r="IO247" i="8"/>
  <c r="IP247" i="8"/>
  <c r="IR247" i="8" s="1"/>
  <c r="IQ247" i="8" s="1"/>
  <c r="IX247" i="8" s="1"/>
  <c r="IV247" i="8"/>
  <c r="IZ247" i="8" s="1"/>
  <c r="HS203" i="8"/>
  <c r="HR203" i="8" s="1"/>
  <c r="IS248" i="8" l="1"/>
  <c r="IU248" i="8"/>
  <c r="IN248" i="8"/>
  <c r="IO248" i="8"/>
  <c r="IP248" i="8" s="1"/>
  <c r="IR248" i="8"/>
  <c r="IV248" i="8" s="1"/>
  <c r="IZ248" i="8" s="1"/>
  <c r="HW203" i="8"/>
  <c r="HX203" i="8" s="1"/>
  <c r="IQ248" i="8" l="1"/>
  <c r="IX248" i="8" s="1"/>
  <c r="IA203" i="8"/>
  <c r="IS249" i="8" l="1"/>
  <c r="IN249" i="8"/>
  <c r="IO249" i="8"/>
  <c r="IP249" i="8" s="1"/>
  <c r="IU249" i="8"/>
  <c r="IR249" i="8"/>
  <c r="IV249" i="8" s="1"/>
  <c r="IZ249" i="8" s="1"/>
  <c r="HY203" i="8"/>
  <c r="IQ249" i="8" l="1"/>
  <c r="IX249" i="8" s="1"/>
  <c r="HT204" i="8"/>
  <c r="HU204" i="8"/>
  <c r="HP204" i="8"/>
  <c r="HQ204" i="8" s="1"/>
  <c r="HO204" i="8"/>
  <c r="HV204" i="8"/>
  <c r="IN250" i="8" l="1"/>
  <c r="IS250" i="8"/>
  <c r="IO250" i="8"/>
  <c r="IP250" i="8" s="1"/>
  <c r="IU250" i="8"/>
  <c r="IR250" i="8"/>
  <c r="IQ250" i="8" s="1"/>
  <c r="IX250" i="8" s="1"/>
  <c r="IV250" i="8"/>
  <c r="IZ250" i="8" s="1"/>
  <c r="HS204" i="8"/>
  <c r="HR204" i="8" s="1"/>
  <c r="IN251" i="8" l="1"/>
  <c r="IO251" i="8"/>
  <c r="IP251" i="8" s="1"/>
  <c r="IU251" i="8"/>
  <c r="IS251" i="8"/>
  <c r="IR251" i="8"/>
  <c r="HW204" i="8"/>
  <c r="HX204" i="8" s="1"/>
  <c r="HY204" i="8" s="1"/>
  <c r="IV251" i="8" l="1"/>
  <c r="IZ251" i="8" s="1"/>
  <c r="IQ251" i="8"/>
  <c r="IX251" i="8" s="1"/>
  <c r="HT205" i="8"/>
  <c r="HU205" i="8"/>
  <c r="IA204" i="8"/>
  <c r="HO205" i="8"/>
  <c r="HP205" i="8"/>
  <c r="HQ205" i="8" s="1"/>
  <c r="HV205" i="8"/>
  <c r="IN252" i="8" l="1"/>
  <c r="IS252" i="8"/>
  <c r="IO252" i="8"/>
  <c r="IP252" i="8" s="1"/>
  <c r="IR252" i="8" s="1"/>
  <c r="IU252" i="8"/>
  <c r="HS205" i="8"/>
  <c r="HR205" i="8" s="1"/>
  <c r="IV252" i="8" l="1"/>
  <c r="IZ252" i="8" s="1"/>
  <c r="IQ252" i="8"/>
  <c r="IX252" i="8" s="1"/>
  <c r="HW205" i="8"/>
  <c r="HX205" i="8" s="1"/>
  <c r="IO253" i="8" l="1"/>
  <c r="IP253" i="8" s="1"/>
  <c r="IR253" i="8" s="1"/>
  <c r="IS253" i="8"/>
  <c r="IU253" i="8"/>
  <c r="IN253" i="8"/>
  <c r="IQ253" i="8"/>
  <c r="IX253" i="8" s="1"/>
  <c r="IA205" i="8"/>
  <c r="HY205" i="8"/>
  <c r="IV253" i="8" l="1"/>
  <c r="IZ253" i="8" s="1"/>
  <c r="IO254" i="8"/>
  <c r="IP254" i="8" s="1"/>
  <c r="IN254" i="8"/>
  <c r="IS254" i="8"/>
  <c r="IU254" i="8"/>
  <c r="HT206" i="8"/>
  <c r="HU206" i="8"/>
  <c r="HO206" i="8"/>
  <c r="HV206" i="8"/>
  <c r="HP206" i="8"/>
  <c r="HQ206" i="8" s="1"/>
  <c r="IR254" i="8" l="1"/>
  <c r="HS206" i="8"/>
  <c r="HW206" i="8" s="1"/>
  <c r="HX206" i="8" s="1"/>
  <c r="IV254" i="8" l="1"/>
  <c r="IZ254" i="8" s="1"/>
  <c r="IQ254" i="8"/>
  <c r="IX254" i="8" s="1"/>
  <c r="HR206" i="8"/>
  <c r="IA206" i="8"/>
  <c r="IS255" i="8" l="1"/>
  <c r="IU255" i="8"/>
  <c r="IO255" i="8"/>
  <c r="IP255" i="8" s="1"/>
  <c r="IN255" i="8"/>
  <c r="HY206" i="8"/>
  <c r="IR255" i="8" l="1"/>
  <c r="IV255" i="8" s="1"/>
  <c r="IZ255" i="8" s="1"/>
  <c r="HT207" i="8"/>
  <c r="HU207" i="8"/>
  <c r="HO207" i="8"/>
  <c r="HV207" i="8"/>
  <c r="HP207" i="8"/>
  <c r="IQ255" i="8" l="1"/>
  <c r="IX255" i="8" s="1"/>
  <c r="HQ207" i="8"/>
  <c r="HS207" i="8" l="1"/>
  <c r="HR207" i="8" s="1"/>
  <c r="IN256" i="8"/>
  <c r="IU256" i="8"/>
  <c r="IO256" i="8"/>
  <c r="IS256" i="8"/>
  <c r="IP256" i="8"/>
  <c r="HW207" i="8" l="1"/>
  <c r="HX207" i="8" s="1"/>
  <c r="IR256" i="8"/>
  <c r="IQ256" i="8" l="1"/>
  <c r="IX256" i="8" s="1"/>
  <c r="IV256" i="8"/>
  <c r="IA207" i="8"/>
  <c r="HY207" i="8"/>
  <c r="IZ256" i="8" l="1"/>
  <c r="IO257" i="8"/>
  <c r="IP257" i="8" s="1"/>
  <c r="IN257" i="8"/>
  <c r="IS257" i="8"/>
  <c r="IU257" i="8"/>
  <c r="HT208" i="8"/>
  <c r="HU208" i="8"/>
  <c r="HV208" i="8"/>
  <c r="HO208" i="8"/>
  <c r="HP208" i="8"/>
  <c r="HQ208" i="8" s="1"/>
  <c r="HS208" i="8" s="1"/>
  <c r="IR257" i="8" l="1"/>
  <c r="IV257" i="8" s="1"/>
  <c r="HW208" i="8"/>
  <c r="HX208" i="8" s="1"/>
  <c r="HR208" i="8"/>
  <c r="IZ257" i="8" l="1"/>
  <c r="IQ257" i="8"/>
  <c r="IX257" i="8" l="1"/>
  <c r="IA208" i="8"/>
  <c r="HY208" i="8"/>
  <c r="IS258" i="8" l="1"/>
  <c r="IO258" i="8"/>
  <c r="IP258" i="8" s="1"/>
  <c r="IN258" i="8"/>
  <c r="IU258" i="8"/>
  <c r="HT209" i="8"/>
  <c r="HU209" i="8"/>
  <c r="HO209" i="8"/>
  <c r="HV209" i="8"/>
  <c r="HP209" i="8"/>
  <c r="HQ209" i="8" s="1"/>
  <c r="HS209" i="8" s="1"/>
  <c r="HR209" i="8" s="1"/>
  <c r="IR258" i="8" l="1"/>
  <c r="IV258" i="8" s="1"/>
  <c r="HW209" i="8"/>
  <c r="HX209" i="8" s="1"/>
  <c r="IZ258" i="8" l="1"/>
  <c r="IQ258" i="8"/>
  <c r="IA209" i="8"/>
  <c r="HY209" i="8"/>
  <c r="IX258" i="8" l="1"/>
  <c r="HT210" i="8"/>
  <c r="HU210" i="8"/>
  <c r="HP210" i="8"/>
  <c r="HQ210" i="8" s="1"/>
  <c r="HS210" i="8" s="1"/>
  <c r="HV210" i="8"/>
  <c r="HO210" i="8"/>
  <c r="IO259" i="8" l="1"/>
  <c r="IN259" i="8"/>
  <c r="IS259" i="8"/>
  <c r="IP259" i="8"/>
  <c r="IU259" i="8"/>
  <c r="HW210" i="8"/>
  <c r="HR210" i="8"/>
  <c r="HX210" i="8" l="1"/>
  <c r="IA210" i="8" s="1"/>
  <c r="IR259" i="8"/>
  <c r="HY210" i="8" l="1"/>
  <c r="HO211" i="8" s="1"/>
  <c r="IQ259" i="8"/>
  <c r="IV259" i="8"/>
  <c r="HP211" i="8" l="1"/>
  <c r="HQ211" i="8" s="1"/>
  <c r="HS211" i="8" s="1"/>
  <c r="HR211" i="8" s="1"/>
  <c r="HV211" i="8"/>
  <c r="HU211" i="8"/>
  <c r="HT211" i="8"/>
  <c r="IZ259" i="8"/>
  <c r="IX259" i="8"/>
  <c r="HW211" i="8" l="1"/>
  <c r="HX211" i="8" s="1"/>
  <c r="IA211" i="8" s="1"/>
  <c r="IS260" i="8"/>
  <c r="IU260" i="8"/>
  <c r="IO260" i="8"/>
  <c r="IP260" i="8" s="1"/>
  <c r="IN260" i="8"/>
  <c r="HY211" i="8" l="1"/>
  <c r="HT212" i="8" s="1"/>
  <c r="IR260" i="8"/>
  <c r="HO212" i="8" l="1"/>
  <c r="HV212" i="8"/>
  <c r="HU212" i="8"/>
  <c r="HP212" i="8"/>
  <c r="HQ212" i="8" s="1"/>
  <c r="HS212" i="8" s="1"/>
  <c r="IV260" i="8"/>
  <c r="IQ260" i="8"/>
  <c r="HW212" i="8" l="1"/>
  <c r="HX212" i="8" s="1"/>
  <c r="IX260" i="8"/>
  <c r="IZ260" i="8"/>
  <c r="HR212" i="8"/>
  <c r="IA212" i="8" l="1"/>
  <c r="IO261" i="8"/>
  <c r="IP261" i="8" s="1"/>
  <c r="IU261" i="8"/>
  <c r="IS261" i="8"/>
  <c r="IN261" i="8"/>
  <c r="HY212" i="8"/>
  <c r="IR261" i="8" l="1"/>
  <c r="HT213" i="8"/>
  <c r="HU213" i="8"/>
  <c r="HV213" i="8"/>
  <c r="HP213" i="8"/>
  <c r="HO213" i="8"/>
  <c r="IV261" i="8" l="1"/>
  <c r="IZ261" i="8" s="1"/>
  <c r="IQ261" i="8"/>
  <c r="HQ213" i="8"/>
  <c r="HS213" i="8" l="1"/>
  <c r="HW213" i="8" s="1"/>
  <c r="HX213" i="8" s="1"/>
  <c r="IX261" i="8"/>
  <c r="HR213" i="8" l="1"/>
  <c r="HY213" i="8" s="1"/>
  <c r="IA213" i="8"/>
  <c r="IS262" i="8"/>
  <c r="IU262" i="8"/>
  <c r="IN262" i="8"/>
  <c r="IO262" i="8"/>
  <c r="IP262" i="8" s="1"/>
  <c r="IR262" i="8" l="1"/>
  <c r="HT214" i="8"/>
  <c r="HU214" i="8"/>
  <c r="HV214" i="8"/>
  <c r="HP214" i="8"/>
  <c r="HQ214" i="8" s="1"/>
  <c r="HO214" i="8"/>
  <c r="IV262" i="8" l="1"/>
  <c r="IZ262" i="8" s="1"/>
  <c r="IQ262" i="8"/>
  <c r="IX262" i="8" s="1"/>
  <c r="HS214" i="8"/>
  <c r="HW214" i="8" s="1"/>
  <c r="HX214" i="8" s="1"/>
  <c r="IO263" i="8" l="1"/>
  <c r="IP263" i="8" s="1"/>
  <c r="IS263" i="8"/>
  <c r="IU263" i="8"/>
  <c r="IN263" i="8"/>
  <c r="IA214" i="8"/>
  <c r="HR214" i="8"/>
  <c r="IR263" i="8" l="1"/>
  <c r="HY214" i="8"/>
  <c r="IV263" i="8" l="1"/>
  <c r="IZ263" i="8" s="1"/>
  <c r="IQ263" i="8"/>
  <c r="IX263" i="8" s="1"/>
  <c r="HT215" i="8"/>
  <c r="HU215" i="8"/>
  <c r="HV215" i="8"/>
  <c r="HO215" i="8"/>
  <c r="HP215" i="8"/>
  <c r="IU264" i="8" l="1"/>
  <c r="IU267" i="8" s="1"/>
  <c r="IN264" i="8"/>
  <c r="IO264" i="8"/>
  <c r="IP264" i="8" s="1"/>
  <c r="IP267" i="8" s="1"/>
  <c r="IS264" i="8"/>
  <c r="IS267" i="8" s="1"/>
  <c r="HQ215" i="8"/>
  <c r="M71" i="17"/>
  <c r="IR264" i="8" l="1"/>
  <c r="IR267" i="8" s="1"/>
  <c r="HS215" i="8"/>
  <c r="HW215" i="8" s="1"/>
  <c r="HX215" i="8" s="1"/>
  <c r="IA215" i="8" s="1"/>
  <c r="H72" i="17"/>
  <c r="I72" i="17"/>
  <c r="D72" i="17"/>
  <c r="B72" i="17"/>
  <c r="C72" i="17"/>
  <c r="IQ264" i="8" l="1"/>
  <c r="IX264" i="8" s="1"/>
  <c r="IV264" i="8"/>
  <c r="IZ264" i="8" s="1"/>
  <c r="HR215" i="8"/>
  <c r="HY215" i="8" s="1"/>
  <c r="IV267" i="8"/>
  <c r="E72" i="17"/>
  <c r="IQ267" i="8" l="1"/>
  <c r="AH72" i="17"/>
  <c r="AG72" i="17" s="1"/>
  <c r="AF72" i="17" s="1"/>
  <c r="J72" i="17"/>
  <c r="HT216" i="8"/>
  <c r="HU216" i="8"/>
  <c r="HV216" i="8"/>
  <c r="HO216" i="8"/>
  <c r="HP216" i="8"/>
  <c r="G72" i="17" l="1"/>
  <c r="F72" i="17" s="1"/>
  <c r="HQ216" i="8"/>
  <c r="K72" i="17" l="1"/>
  <c r="HS216" i="8"/>
  <c r="HW216" i="8" s="1"/>
  <c r="HX216" i="8" s="1"/>
  <c r="HR216" i="8" l="1"/>
  <c r="HY216" i="8" s="1"/>
  <c r="IA216" i="8"/>
  <c r="HT217" i="8" l="1"/>
  <c r="HU217" i="8"/>
  <c r="HP217" i="8"/>
  <c r="HO217" i="8"/>
  <c r="HV217" i="8"/>
  <c r="HQ217" i="8" l="1"/>
  <c r="HS217" i="8" l="1"/>
  <c r="HW217" i="8" s="1"/>
  <c r="HX217" i="8" s="1"/>
  <c r="IA217" i="8" l="1"/>
  <c r="HR217" i="8"/>
  <c r="HY217" i="8" s="1"/>
  <c r="HT218" i="8" l="1"/>
  <c r="HU218" i="8"/>
  <c r="HP218" i="8"/>
  <c r="HV218" i="8"/>
  <c r="HO218" i="8"/>
  <c r="HQ218" i="8" l="1"/>
  <c r="HS218" i="8" l="1"/>
  <c r="HW218" i="8" s="1"/>
  <c r="HX218" i="8" s="1"/>
  <c r="IA218" i="8" l="1"/>
  <c r="HR218" i="8"/>
  <c r="HY218" i="8" s="1"/>
  <c r="HT219" i="8" l="1"/>
  <c r="HU219" i="8"/>
  <c r="HV219" i="8"/>
  <c r="HP219" i="8"/>
  <c r="HQ219" i="8" s="1"/>
  <c r="HO219" i="8"/>
  <c r="HS219" i="8" l="1"/>
  <c r="HW219" i="8" s="1"/>
  <c r="HX219" i="8" s="1"/>
  <c r="IA219" i="8" l="1"/>
  <c r="HR219" i="8"/>
  <c r="HY219" i="8" l="1"/>
  <c r="HT220" i="8" l="1"/>
  <c r="HU220" i="8"/>
  <c r="HV220" i="8"/>
  <c r="HO220" i="8"/>
  <c r="HP220" i="8"/>
  <c r="HQ220" i="8" s="1"/>
  <c r="HS220" i="8" l="1"/>
  <c r="HW220" i="8" s="1"/>
  <c r="HX220" i="8" s="1"/>
  <c r="IA220" i="8" l="1"/>
  <c r="HR220" i="8"/>
  <c r="HY220" i="8" l="1"/>
  <c r="HT221" i="8" l="1"/>
  <c r="HU221" i="8"/>
  <c r="HO221" i="8"/>
  <c r="HP221" i="8"/>
  <c r="HQ221" i="8" s="1"/>
  <c r="HV221" i="8"/>
  <c r="HS221" i="8" l="1"/>
  <c r="HR221" i="8" s="1"/>
  <c r="HW221" i="8" l="1"/>
  <c r="HX221" i="8" s="1"/>
  <c r="IA221" i="8" l="1"/>
  <c r="HY221" i="8"/>
  <c r="HT222" i="8" l="1"/>
  <c r="HU222" i="8"/>
  <c r="HV222" i="8"/>
  <c r="HO222" i="8"/>
  <c r="HP222" i="8"/>
  <c r="HQ222" i="8" s="1"/>
  <c r="HS222" i="8" l="1"/>
  <c r="HW222" i="8" s="1"/>
  <c r="HX222" i="8" s="1"/>
  <c r="IA222" i="8" l="1"/>
  <c r="HR222" i="8"/>
  <c r="HY222" i="8" l="1"/>
  <c r="HT223" i="8" l="1"/>
  <c r="HU223" i="8"/>
  <c r="HV223" i="8"/>
  <c r="HP223" i="8"/>
  <c r="HO223" i="8"/>
  <c r="HQ223" i="8" l="1"/>
  <c r="HS223" i="8" l="1"/>
  <c r="HR223" i="8" s="1"/>
  <c r="HW223" i="8" l="1"/>
  <c r="HX223" i="8" s="1"/>
  <c r="IA223" i="8" l="1"/>
  <c r="HY223" i="8"/>
  <c r="HU224" i="8" s="1"/>
  <c r="HP224" i="8" l="1"/>
  <c r="HQ224" i="8" s="1"/>
  <c r="HS224" i="8" s="1"/>
  <c r="HO224" i="8"/>
  <c r="HT224" i="8"/>
  <c r="HV224" i="8"/>
  <c r="HW224" i="8" l="1"/>
  <c r="HR224" i="8"/>
  <c r="HX224" i="8"/>
  <c r="IA224" i="8" l="1"/>
  <c r="HY224" i="8"/>
  <c r="HV225" i="8" s="1"/>
  <c r="HP225" i="8" l="1"/>
  <c r="HQ225" i="8" s="1"/>
  <c r="HS225" i="8" s="1"/>
  <c r="HU225" i="8"/>
  <c r="HT225" i="8"/>
  <c r="HO225" i="8"/>
  <c r="HR225" i="8" l="1"/>
  <c r="HW225" i="8"/>
  <c r="HX225" i="8" s="1"/>
  <c r="IA225" i="8" l="1"/>
  <c r="HY225" i="8"/>
  <c r="HT226" i="8" l="1"/>
  <c r="HU226" i="8"/>
  <c r="HO226" i="8"/>
  <c r="HP226" i="8"/>
  <c r="HQ226" i="8" s="1"/>
  <c r="HV226" i="8"/>
  <c r="HS226" i="8" l="1"/>
  <c r="HW226" i="8" s="1"/>
  <c r="HX226" i="8" s="1"/>
  <c r="IA226" i="8" l="1"/>
  <c r="HR226" i="8"/>
  <c r="HY226" i="8" l="1"/>
  <c r="HT227" i="8" l="1"/>
  <c r="HU227" i="8"/>
  <c r="HV227" i="8"/>
  <c r="HO227" i="8"/>
  <c r="HP227" i="8"/>
  <c r="HQ227" i="8" l="1"/>
  <c r="HS227" i="8" l="1"/>
  <c r="HR227" i="8" s="1"/>
  <c r="HW227" i="8" l="1"/>
  <c r="HX227" i="8"/>
  <c r="IA227" i="8" l="1"/>
  <c r="HY227" i="8"/>
  <c r="HW228" i="8" s="1"/>
  <c r="HR228" i="8" l="1"/>
  <c r="HT228" i="8"/>
  <c r="HU228" i="8"/>
  <c r="HV228" i="8"/>
  <c r="HP228" i="8"/>
  <c r="HQ228" i="8"/>
  <c r="HS228" i="8" s="1"/>
  <c r="HO228" i="8"/>
  <c r="HY228" i="8"/>
  <c r="HX228" i="8" l="1"/>
  <c r="IA228" i="8" s="1"/>
  <c r="HT229" i="8"/>
  <c r="HU229" i="8"/>
  <c r="HP229" i="8"/>
  <c r="HO229" i="8"/>
  <c r="HV229" i="8"/>
  <c r="HQ229" i="8" l="1"/>
  <c r="HS229" i="8" l="1"/>
  <c r="HR229" i="8"/>
  <c r="HW229" i="8"/>
  <c r="HX229" i="8" s="1"/>
  <c r="IA229" i="8" l="1"/>
  <c r="HY229" i="8"/>
  <c r="HT230" i="8" l="1"/>
  <c r="HU230" i="8"/>
  <c r="HO230" i="8"/>
  <c r="HV230" i="8"/>
  <c r="HP230" i="8"/>
  <c r="HQ230" i="8" s="1"/>
  <c r="HS230" i="8" l="1"/>
  <c r="HW230" i="8" s="1"/>
  <c r="HX230" i="8" s="1"/>
  <c r="HR230" i="8" l="1"/>
  <c r="IA230" i="8"/>
  <c r="HY230" i="8" l="1"/>
  <c r="HT231" i="8" l="1"/>
  <c r="HU231" i="8"/>
  <c r="HP231" i="8"/>
  <c r="HO231" i="8"/>
  <c r="HV231" i="8"/>
  <c r="HQ231" i="8" l="1"/>
  <c r="HS231" i="8" l="1"/>
  <c r="HR231" i="8"/>
  <c r="HW231" i="8"/>
  <c r="HY231" i="8"/>
  <c r="HX231" i="8" l="1"/>
  <c r="IA231" i="8" s="1"/>
  <c r="HT232" i="8"/>
  <c r="HU232" i="8"/>
  <c r="HP232" i="8"/>
  <c r="HO232" i="8"/>
  <c r="HV232" i="8"/>
  <c r="HQ232" i="8" l="1"/>
  <c r="HS232" i="8" l="1"/>
  <c r="HR232" i="8"/>
  <c r="HW232" i="8"/>
  <c r="HX232" i="8" l="1"/>
  <c r="IA232" i="8" s="1"/>
  <c r="HY232" i="8"/>
  <c r="HT233" i="8" l="1"/>
  <c r="HU233" i="8"/>
  <c r="HV233" i="8"/>
  <c r="HP233" i="8"/>
  <c r="HO233" i="8"/>
  <c r="HQ233" i="8"/>
  <c r="HS233" i="8" s="1"/>
  <c r="HR233" i="8" l="1"/>
  <c r="HW233" i="8"/>
  <c r="HX233" i="8" s="1"/>
  <c r="IA233" i="8" l="1"/>
  <c r="HY233" i="8"/>
  <c r="HT234" i="8" l="1"/>
  <c r="HU234" i="8"/>
  <c r="HV234" i="8"/>
  <c r="HP234" i="8"/>
  <c r="HQ234" i="8" s="1"/>
  <c r="HS234" i="8" s="1"/>
  <c r="HO234" i="8"/>
  <c r="HW234" i="8" l="1"/>
  <c r="HR234" i="8"/>
  <c r="HX234" i="8" l="1"/>
  <c r="IA234" i="8" s="1"/>
  <c r="HY234" i="8"/>
  <c r="HT235" i="8" l="1"/>
  <c r="HU235" i="8"/>
  <c r="HV235" i="8"/>
  <c r="HO235" i="8"/>
  <c r="HP235" i="8"/>
  <c r="HQ235" i="8" s="1"/>
  <c r="HS235" i="8" s="1"/>
  <c r="HR235" i="8" s="1"/>
  <c r="HW235" i="8" l="1"/>
  <c r="HX235" i="8" s="1"/>
  <c r="IA235" i="8" l="1"/>
  <c r="HY235" i="8"/>
  <c r="HT236" i="8" l="1"/>
  <c r="HU236" i="8"/>
  <c r="HO236" i="8"/>
  <c r="HP236" i="8"/>
  <c r="HQ236" i="8" s="1"/>
  <c r="HS236" i="8" s="1"/>
  <c r="HR236" i="8" s="1"/>
  <c r="HV236" i="8"/>
  <c r="HW236" i="8" l="1"/>
  <c r="HX236" i="8" l="1"/>
  <c r="IA236" i="8" s="1"/>
  <c r="HY236" i="8"/>
  <c r="HT237" i="8" l="1"/>
  <c r="HU237" i="8"/>
  <c r="HV237" i="8"/>
  <c r="HO237" i="8"/>
  <c r="HP237" i="8"/>
  <c r="HQ237" i="8" s="1"/>
  <c r="HS237" i="8" s="1"/>
  <c r="HW237" i="8" l="1"/>
  <c r="HX237" i="8" s="1"/>
  <c r="HR237" i="8"/>
  <c r="HY237" i="8" l="1"/>
  <c r="HT238" i="8" l="1"/>
  <c r="HU238" i="8"/>
  <c r="IA237" i="8"/>
  <c r="HP238" i="8"/>
  <c r="HO238" i="8"/>
  <c r="HV238" i="8"/>
  <c r="HQ238" i="8"/>
  <c r="HS238" i="8" s="1"/>
  <c r="HR238" i="8" s="1"/>
  <c r="HW238" i="8" l="1"/>
  <c r="HY238" i="8" s="1"/>
  <c r="HX238" i="8" l="1"/>
  <c r="IA238" i="8" s="1"/>
  <c r="HT239" i="8"/>
  <c r="HU239" i="8"/>
  <c r="HP239" i="8"/>
  <c r="HQ239" i="8" s="1"/>
  <c r="HV239" i="8"/>
  <c r="HO239" i="8"/>
  <c r="HS239" i="8" l="1"/>
  <c r="HW239" i="8" s="1"/>
  <c r="HX239" i="8" s="1"/>
  <c r="HR239" i="8"/>
  <c r="HY239" i="8" l="1"/>
  <c r="IA239" i="8"/>
  <c r="HT240" i="8" l="1"/>
  <c r="HU240" i="8"/>
  <c r="HV240" i="8"/>
  <c r="HP240" i="8"/>
  <c r="HQ240" i="8" s="1"/>
  <c r="HS240" i="8" s="1"/>
  <c r="HO240" i="8"/>
  <c r="HR240" i="8" l="1"/>
  <c r="HW240" i="8"/>
  <c r="HX240" i="8" s="1"/>
  <c r="IA240" i="8" l="1"/>
  <c r="HY240" i="8" l="1"/>
  <c r="HT241" i="8" l="1"/>
  <c r="HU241" i="8"/>
  <c r="HV241" i="8"/>
  <c r="HP241" i="8"/>
  <c r="HO241" i="8"/>
  <c r="HQ241" i="8"/>
  <c r="HS241" i="8" l="1"/>
  <c r="HR241" i="8" s="1"/>
  <c r="HW241" i="8" l="1"/>
  <c r="HX241" i="8" s="1"/>
  <c r="IA241" i="8" l="1"/>
  <c r="HY241" i="8"/>
  <c r="HT242" i="8" l="1"/>
  <c r="HU242" i="8"/>
  <c r="HV242" i="8"/>
  <c r="HP242" i="8"/>
  <c r="HQ242" i="8" s="1"/>
  <c r="HS242" i="8" s="1"/>
  <c r="HO242" i="8"/>
  <c r="HR242" i="8" l="1"/>
  <c r="HY242" i="8" s="1"/>
  <c r="HW242" i="8"/>
  <c r="HW243" i="8" l="1"/>
  <c r="HX242" i="8"/>
  <c r="IA242" i="8" s="1"/>
  <c r="HT243" i="8"/>
  <c r="HU243" i="8"/>
  <c r="HV243" i="8"/>
  <c r="HQ243" i="8"/>
  <c r="HO243" i="8"/>
  <c r="HP243" i="8"/>
  <c r="HS243" i="8" s="1"/>
  <c r="HR243" i="8" s="1"/>
  <c r="HX243" i="8" l="1"/>
  <c r="IA243" i="8" s="1"/>
  <c r="HY243" i="8"/>
  <c r="HT244" i="8" l="1"/>
  <c r="HU244" i="8"/>
  <c r="HQ244" i="8"/>
  <c r="HV244" i="8"/>
  <c r="HP244" i="8"/>
  <c r="HO244" i="8"/>
  <c r="HS244" i="8" l="1"/>
  <c r="HW244" i="8" s="1"/>
  <c r="HX244" i="8" s="1"/>
  <c r="HR244" i="8" l="1"/>
  <c r="HY244" i="8" s="1"/>
  <c r="IA244" i="8"/>
  <c r="HT245" i="8" l="1"/>
  <c r="HU245" i="8"/>
  <c r="HQ245" i="8"/>
  <c r="HP245" i="8"/>
  <c r="HS245" i="8" s="1"/>
  <c r="HR245" i="8" s="1"/>
  <c r="HO245" i="8"/>
  <c r="HV245" i="8"/>
  <c r="HW245" i="8" l="1"/>
  <c r="HX245" i="8" s="1"/>
  <c r="IA245" i="8" l="1"/>
  <c r="HY245" i="8"/>
  <c r="HT246" i="8" l="1"/>
  <c r="HU246" i="8"/>
  <c r="HQ246" i="8"/>
  <c r="HP246" i="8"/>
  <c r="HS246" i="8" s="1"/>
  <c r="HV246" i="8"/>
  <c r="HO246" i="8"/>
  <c r="HR246" i="8" l="1"/>
  <c r="HW246" i="8"/>
  <c r="HX246" i="8" s="1"/>
  <c r="IA246" i="8" l="1"/>
  <c r="HY246" i="8" l="1"/>
  <c r="HT247" i="8" l="1"/>
  <c r="HU247" i="8"/>
  <c r="HQ247" i="8"/>
  <c r="HP247" i="8"/>
  <c r="HS247" i="8" s="1"/>
  <c r="HV247" i="8"/>
  <c r="HO247" i="8"/>
  <c r="HW247" i="8" l="1"/>
  <c r="HX247" i="8" s="1"/>
  <c r="HR247" i="8"/>
  <c r="HY247" i="8" s="1"/>
  <c r="HT248" i="8" l="1"/>
  <c r="HU248" i="8"/>
  <c r="HQ248" i="8"/>
  <c r="IA247" i="8"/>
  <c r="HO248" i="8"/>
  <c r="HV248" i="8"/>
  <c r="HP248" i="8"/>
  <c r="HS248" i="8" s="1"/>
  <c r="HR248" i="8" s="1"/>
  <c r="HW248" i="8" l="1"/>
  <c r="HX248" i="8" s="1"/>
  <c r="IA248" i="8" l="1"/>
  <c r="HY248" i="8"/>
  <c r="HT249" i="8" l="1"/>
  <c r="HU249" i="8"/>
  <c r="HQ249" i="8"/>
  <c r="HV249" i="8"/>
  <c r="HO249" i="8"/>
  <c r="HP249" i="8"/>
  <c r="HS249" i="8" s="1"/>
  <c r="HR249" i="8" s="1"/>
  <c r="HY249" i="8" s="1"/>
  <c r="HT250" i="8" l="1"/>
  <c r="HU250" i="8"/>
  <c r="HP250" i="8"/>
  <c r="HS250" i="8" s="1"/>
  <c r="HR250" i="8" s="1"/>
  <c r="HQ250" i="8"/>
  <c r="HO250" i="8"/>
  <c r="HW250" i="8"/>
  <c r="HW249" i="8"/>
  <c r="HX249" i="8" s="1"/>
  <c r="HV250" i="8"/>
  <c r="HX250" i="8" l="1"/>
  <c r="HY250" i="8"/>
  <c r="IA249" i="8"/>
  <c r="HT251" i="8" l="1"/>
  <c r="HU251" i="8"/>
  <c r="HQ251" i="8"/>
  <c r="HV251" i="8"/>
  <c r="HO251" i="8"/>
  <c r="IA250" i="8"/>
  <c r="HP251" i="8"/>
  <c r="HS251" i="8" s="1"/>
  <c r="HR251" i="8" s="1"/>
  <c r="HW251" i="8"/>
  <c r="HX251" i="8" l="1"/>
  <c r="IA251" i="8" s="1"/>
  <c r="HY251" i="8"/>
  <c r="HT252" i="8" l="1"/>
  <c r="HU252" i="8"/>
  <c r="HQ252" i="8"/>
  <c r="HO252" i="8"/>
  <c r="HP252" i="8"/>
  <c r="HS252" i="8" s="1"/>
  <c r="HV252" i="8"/>
  <c r="HR252" i="8" l="1"/>
  <c r="HW252" i="8"/>
  <c r="HX252" i="8" s="1"/>
  <c r="HY252" i="8"/>
  <c r="HT253" i="8" l="1"/>
  <c r="HU253" i="8"/>
  <c r="HQ253" i="8"/>
  <c r="IA252" i="8"/>
  <c r="HP253" i="8"/>
  <c r="HS253" i="8" s="1"/>
  <c r="HR253" i="8" s="1"/>
  <c r="HO253" i="8"/>
  <c r="HV253" i="8"/>
  <c r="HW253" i="8"/>
  <c r="HX253" i="8" l="1"/>
  <c r="IA253" i="8" s="1"/>
  <c r="HY253" i="8" l="1"/>
  <c r="HT254" i="8" l="1"/>
  <c r="HU254" i="8"/>
  <c r="HQ254" i="8"/>
  <c r="HP254" i="8"/>
  <c r="HS254" i="8" s="1"/>
  <c r="HR254" i="8" s="1"/>
  <c r="HO254" i="8"/>
  <c r="HV254" i="8"/>
  <c r="HW254" i="8" l="1"/>
  <c r="HY254" i="8" s="1"/>
  <c r="HX254" i="8" l="1"/>
  <c r="IA254" i="8" s="1"/>
  <c r="HT255" i="8"/>
  <c r="HU255" i="8"/>
  <c r="HQ255" i="8"/>
  <c r="HO255" i="8"/>
  <c r="HP255" i="8"/>
  <c r="HS255" i="8" s="1"/>
  <c r="HR255" i="8" s="1"/>
  <c r="HV255" i="8"/>
  <c r="HW255" i="8" l="1"/>
  <c r="HX255" i="8" s="1"/>
  <c r="IA255" i="8" l="1"/>
  <c r="HY255" i="8"/>
  <c r="HT256" i="8" l="1"/>
  <c r="HU256" i="8"/>
  <c r="HQ256" i="8"/>
  <c r="HO256" i="8"/>
  <c r="HV256" i="8"/>
  <c r="HP256" i="8"/>
  <c r="HS256" i="8" s="1"/>
  <c r="HR256" i="8" s="1"/>
  <c r="HW256" i="8" l="1"/>
  <c r="HY256" i="8" s="1"/>
  <c r="HX256" i="8" l="1"/>
  <c r="IA256" i="8" s="1"/>
  <c r="HT257" i="8"/>
  <c r="HU257" i="8"/>
  <c r="HQ257" i="8"/>
  <c r="HO257" i="8"/>
  <c r="HP257" i="8"/>
  <c r="HS257" i="8" s="1"/>
  <c r="HR257" i="8" s="1"/>
  <c r="HV257" i="8"/>
  <c r="HW257" i="8" l="1"/>
  <c r="HX257" i="8" s="1"/>
  <c r="IA257" i="8" l="1"/>
  <c r="HY257" i="8" l="1"/>
  <c r="HT258" i="8" l="1"/>
  <c r="HU258" i="8"/>
  <c r="HQ258" i="8"/>
  <c r="HV258" i="8"/>
  <c r="HO258" i="8"/>
  <c r="HP258" i="8"/>
  <c r="HS258" i="8" s="1"/>
  <c r="HW258" i="8" l="1"/>
  <c r="HX258" i="8" s="1"/>
  <c r="HR258" i="8"/>
  <c r="HY258" i="8" l="1"/>
  <c r="IA258" i="8"/>
  <c r="HT259" i="8" l="1"/>
  <c r="HU259" i="8"/>
  <c r="HQ259" i="8"/>
  <c r="HO259" i="8"/>
  <c r="HP259" i="8"/>
  <c r="HS259" i="8" s="1"/>
  <c r="HR259" i="8" s="1"/>
  <c r="HV259" i="8"/>
  <c r="HW259" i="8" l="1"/>
  <c r="HY259" i="8" s="1"/>
  <c r="HX259" i="8" l="1"/>
  <c r="IA259" i="8" s="1"/>
  <c r="HT260" i="8"/>
  <c r="HU260" i="8"/>
  <c r="HQ260" i="8"/>
  <c r="HO260" i="8"/>
  <c r="HP260" i="8"/>
  <c r="HS260" i="8" s="1"/>
  <c r="HR260" i="8" s="1"/>
  <c r="HV260" i="8"/>
  <c r="N330" i="17"/>
  <c r="HW260" i="8" l="1"/>
  <c r="HY260" i="8" s="1"/>
  <c r="AA72" i="17"/>
  <c r="HX260" i="8" l="1"/>
  <c r="IA260" i="8" s="1"/>
  <c r="HT261" i="8"/>
  <c r="HU261" i="8"/>
  <c r="HQ261" i="8"/>
  <c r="HV261" i="8"/>
  <c r="HO261" i="8"/>
  <c r="HP261" i="8"/>
  <c r="HS261" i="8" s="1"/>
  <c r="HR261" i="8" s="1"/>
  <c r="AA73" i="17"/>
  <c r="AB72" i="17"/>
  <c r="L72" i="17" s="1"/>
  <c r="HW261" i="8" l="1"/>
  <c r="HX261" i="8" s="1"/>
  <c r="AA74" i="17"/>
  <c r="AA75" i="17" s="1"/>
  <c r="AB73" i="17"/>
  <c r="M72" i="17"/>
  <c r="H73" i="17" l="1"/>
  <c r="I73" i="17"/>
  <c r="HY261" i="8"/>
  <c r="AB74" i="17"/>
  <c r="AA76" i="17"/>
  <c r="AA77" i="17" s="1"/>
  <c r="AB75" i="17"/>
  <c r="B73" i="17"/>
  <c r="D73" i="17"/>
  <c r="C73" i="17"/>
  <c r="HT262" i="8" l="1"/>
  <c r="HU262" i="8"/>
  <c r="HQ262" i="8"/>
  <c r="E73" i="17"/>
  <c r="IA261" i="8"/>
  <c r="HV262" i="8"/>
  <c r="HO262" i="8"/>
  <c r="HP262" i="8"/>
  <c r="HS262" i="8" s="1"/>
  <c r="AB76" i="17"/>
  <c r="AA78" i="17"/>
  <c r="AA79" i="17" s="1"/>
  <c r="AB77" i="17"/>
  <c r="J73" i="17" l="1"/>
  <c r="G73" i="17"/>
  <c r="HR262" i="8"/>
  <c r="HW262" i="8"/>
  <c r="HX262" i="8" s="1"/>
  <c r="AB78" i="17"/>
  <c r="AA80" i="17"/>
  <c r="AA81" i="17" s="1"/>
  <c r="AB79" i="17"/>
  <c r="K73" i="17" l="1"/>
  <c r="L73" i="17" s="1"/>
  <c r="F73" i="17"/>
  <c r="IA262" i="8"/>
  <c r="AB80" i="17"/>
  <c r="AA82" i="17"/>
  <c r="AA83" i="17" s="1"/>
  <c r="AB81" i="17"/>
  <c r="HY262" i="8" l="1"/>
  <c r="AB82" i="17"/>
  <c r="AA84" i="17"/>
  <c r="AA85" i="17" s="1"/>
  <c r="AB83" i="17"/>
  <c r="M73" i="17"/>
  <c r="HT263" i="8" l="1"/>
  <c r="HU263" i="8"/>
  <c r="H74" i="17"/>
  <c r="I74" i="17"/>
  <c r="HQ263" i="8"/>
  <c r="HO263" i="8"/>
  <c r="HV263" i="8"/>
  <c r="HP263" i="8"/>
  <c r="HS263" i="8" s="1"/>
  <c r="HR263" i="8" s="1"/>
  <c r="AB84" i="17"/>
  <c r="AA86" i="17"/>
  <c r="AA87" i="17" s="1"/>
  <c r="AB85" i="17"/>
  <c r="C74" i="17"/>
  <c r="B74" i="17"/>
  <c r="D74" i="17"/>
  <c r="E74" i="17" l="1"/>
  <c r="HW263" i="8"/>
  <c r="HX263" i="8" s="1"/>
  <c r="AB86" i="17"/>
  <c r="AA88" i="17"/>
  <c r="AA89" i="17" s="1"/>
  <c r="AB87" i="17"/>
  <c r="AH74" i="17" l="1"/>
  <c r="AG74" i="17" s="1"/>
  <c r="AF74" i="17" s="1"/>
  <c r="G74" i="17" s="1"/>
  <c r="J74" i="17"/>
  <c r="HY263" i="8"/>
  <c r="AB88" i="17"/>
  <c r="AA90" i="17"/>
  <c r="AA91" i="17" s="1"/>
  <c r="AB89" i="17"/>
  <c r="K74" i="17" l="1"/>
  <c r="L74" i="17" s="1"/>
  <c r="F74" i="17"/>
  <c r="HT264" i="8"/>
  <c r="HT266" i="8" s="1"/>
  <c r="HU264" i="8"/>
  <c r="HU266" i="8" s="1"/>
  <c r="HQ264" i="8"/>
  <c r="HP264" i="8"/>
  <c r="HV264" i="8"/>
  <c r="HV266" i="8" s="1"/>
  <c r="HO264" i="8"/>
  <c r="IA263" i="8"/>
  <c r="AB90" i="17"/>
  <c r="AA92" i="17"/>
  <c r="AA93" i="17" s="1"/>
  <c r="AB91" i="17"/>
  <c r="HQ266" i="8" l="1"/>
  <c r="HS264" i="8"/>
  <c r="AB92" i="17"/>
  <c r="AA94" i="17"/>
  <c r="AA95" i="17" s="1"/>
  <c r="AB93" i="17"/>
  <c r="M74" i="17"/>
  <c r="H75" i="17" l="1"/>
  <c r="I75" i="17"/>
  <c r="HS266" i="8"/>
  <c r="HR264" i="8"/>
  <c r="HR266" i="8" s="1"/>
  <c r="HW264" i="8"/>
  <c r="HX264" i="8" s="1"/>
  <c r="AB94" i="17"/>
  <c r="AA96" i="17"/>
  <c r="AB96" i="17" s="1"/>
  <c r="AB95" i="17"/>
  <c r="D75" i="17"/>
  <c r="B75" i="17"/>
  <c r="C75" i="17"/>
  <c r="E75" i="17" l="1"/>
  <c r="HW266" i="8"/>
  <c r="HX266" i="8"/>
  <c r="AA97" i="17"/>
  <c r="AA98" i="17" s="1"/>
  <c r="AA99" i="17" s="1"/>
  <c r="J75" i="17" l="1"/>
  <c r="G75" i="17"/>
  <c r="HY264" i="8"/>
  <c r="IA264" i="8"/>
  <c r="AB97" i="17"/>
  <c r="AB98" i="17"/>
  <c r="AA100" i="17"/>
  <c r="AA101" i="17" s="1"/>
  <c r="AB99" i="17"/>
  <c r="K75" i="17" l="1"/>
  <c r="L75" i="17" s="1"/>
  <c r="F75" i="17"/>
  <c r="AB100" i="17"/>
  <c r="AA102" i="17"/>
  <c r="AA103" i="17" s="1"/>
  <c r="AB101" i="17"/>
  <c r="M75" i="17" l="1"/>
  <c r="C76" i="17" s="1"/>
  <c r="AB102" i="17"/>
  <c r="AA104" i="17"/>
  <c r="AA105" i="17" s="1"/>
  <c r="AB103" i="17"/>
  <c r="D76" i="17" l="1"/>
  <c r="E76" i="17" s="1"/>
  <c r="AH76" i="17" s="1"/>
  <c r="AG76" i="17" s="1"/>
  <c r="AF76" i="17" s="1"/>
  <c r="B76" i="17"/>
  <c r="I76" i="17"/>
  <c r="H76" i="17"/>
  <c r="AB104" i="17"/>
  <c r="AA106" i="17"/>
  <c r="AA107" i="17" s="1"/>
  <c r="AB105" i="17"/>
  <c r="J76" i="17" l="1"/>
  <c r="G76" i="17"/>
  <c r="F76" i="17" s="1"/>
  <c r="AB106" i="17"/>
  <c r="AA108" i="17"/>
  <c r="AA109" i="17" s="1"/>
  <c r="AB107" i="17"/>
  <c r="K76" i="17" l="1"/>
  <c r="AB108" i="17"/>
  <c r="AA110" i="17"/>
  <c r="AB110" i="17" s="1"/>
  <c r="AB109" i="17"/>
  <c r="L76" i="17" l="1"/>
  <c r="M76" i="17" s="1"/>
  <c r="AA111" i="17"/>
  <c r="AA112" i="17" s="1"/>
  <c r="AA113" i="17" s="1"/>
  <c r="C77" i="17" l="1"/>
  <c r="B77" i="17"/>
  <c r="I77" i="17"/>
  <c r="H77" i="17"/>
  <c r="D77" i="17"/>
  <c r="E77" i="17" s="1"/>
  <c r="J77" i="17" s="1"/>
  <c r="AB111" i="17"/>
  <c r="AB112" i="17"/>
  <c r="AA114" i="17"/>
  <c r="AA115" i="17" s="1"/>
  <c r="AB113" i="17"/>
  <c r="G77" i="17" l="1"/>
  <c r="K77" i="17" s="1"/>
  <c r="L77" i="17" s="1"/>
  <c r="AB114" i="17"/>
  <c r="AA116" i="17"/>
  <c r="AA117" i="17" s="1"/>
  <c r="AB115" i="17"/>
  <c r="F77" i="17" l="1"/>
  <c r="M77" i="17" s="1"/>
  <c r="H78" i="17" s="1"/>
  <c r="AB116" i="17"/>
  <c r="AA118" i="17"/>
  <c r="AB118" i="17" s="1"/>
  <c r="AB117" i="17"/>
  <c r="D78" i="17" l="1"/>
  <c r="E78" i="17" s="1"/>
  <c r="C78" i="17"/>
  <c r="I78" i="17"/>
  <c r="B78" i="17"/>
  <c r="AA119" i="17"/>
  <c r="AA120" i="17" s="1"/>
  <c r="AA121" i="17" s="1"/>
  <c r="J78" i="17" l="1"/>
  <c r="G78" i="17"/>
  <c r="AB119" i="17"/>
  <c r="AB120" i="17"/>
  <c r="AA122" i="17"/>
  <c r="AA123" i="17" s="1"/>
  <c r="AB121" i="17"/>
  <c r="K78" i="17" l="1"/>
  <c r="L78" i="17" s="1"/>
  <c r="F78" i="17"/>
  <c r="AB122" i="17"/>
  <c r="AA124" i="17"/>
  <c r="AA125" i="17" s="1"/>
  <c r="AB123" i="17"/>
  <c r="M78" i="17" l="1"/>
  <c r="I79" i="17" s="1"/>
  <c r="AB124" i="17"/>
  <c r="AA126" i="17"/>
  <c r="AA127" i="17" s="1"/>
  <c r="AB125" i="17"/>
  <c r="B79" i="17" l="1"/>
  <c r="C79" i="17"/>
  <c r="D79" i="17"/>
  <c r="E79" i="17" s="1"/>
  <c r="H79" i="17"/>
  <c r="AB126" i="17"/>
  <c r="AA128" i="17"/>
  <c r="AA129" i="17" s="1"/>
  <c r="AB127" i="17"/>
  <c r="J79" i="17" l="1"/>
  <c r="G79" i="17"/>
  <c r="AB128" i="17"/>
  <c r="AA130" i="17"/>
  <c r="AA131" i="17" s="1"/>
  <c r="AB129" i="17"/>
  <c r="K79" i="17" l="1"/>
  <c r="L79" i="17" s="1"/>
  <c r="F79" i="17"/>
  <c r="AB130" i="17"/>
  <c r="AA132" i="17"/>
  <c r="AA133" i="17" s="1"/>
  <c r="AB131" i="17"/>
  <c r="M79" i="17" l="1"/>
  <c r="H80" i="17" s="1"/>
  <c r="AB132" i="17"/>
  <c r="AA134" i="17"/>
  <c r="AA135" i="17" s="1"/>
  <c r="AB133" i="17"/>
  <c r="D80" i="17" l="1"/>
  <c r="E80" i="17" s="1"/>
  <c r="B80" i="17"/>
  <c r="C80" i="17"/>
  <c r="I80" i="17"/>
  <c r="AB134" i="17"/>
  <c r="AA136" i="17"/>
  <c r="AA137" i="17" s="1"/>
  <c r="AB135" i="17"/>
  <c r="J80" i="17" l="1"/>
  <c r="G80" i="17"/>
  <c r="AB136" i="17"/>
  <c r="AA138" i="17"/>
  <c r="AA139" i="17" s="1"/>
  <c r="AB137" i="17"/>
  <c r="K80" i="17" l="1"/>
  <c r="L80" i="17" s="1"/>
  <c r="F80" i="17"/>
  <c r="AB138" i="17"/>
  <c r="AA140" i="17"/>
  <c r="AA141" i="17" s="1"/>
  <c r="AB139" i="17"/>
  <c r="M80" i="17" l="1"/>
  <c r="I81" i="17" s="1"/>
  <c r="AB140" i="17"/>
  <c r="AA142" i="17"/>
  <c r="AA143" i="17" s="1"/>
  <c r="AB141" i="17"/>
  <c r="H81" i="17" l="1"/>
  <c r="D81" i="17"/>
  <c r="E81" i="17" s="1"/>
  <c r="AH81" i="17" s="1"/>
  <c r="AG81" i="17" s="1"/>
  <c r="AF81" i="17" s="1"/>
  <c r="B81" i="17"/>
  <c r="C81" i="17"/>
  <c r="AB142" i="17"/>
  <c r="AA144" i="17"/>
  <c r="AA145" i="17" s="1"/>
  <c r="AB143" i="17"/>
  <c r="J81" i="17" l="1"/>
  <c r="G81" i="17"/>
  <c r="F81" i="17" s="1"/>
  <c r="AB144" i="17"/>
  <c r="AA146" i="17"/>
  <c r="AA147" i="17" s="1"/>
  <c r="AB145" i="17"/>
  <c r="K81" i="17" l="1"/>
  <c r="L81" i="17" s="1"/>
  <c r="AB146" i="17"/>
  <c r="AA148" i="17"/>
  <c r="AA149" i="17" s="1"/>
  <c r="AB147" i="17"/>
  <c r="M81" i="17" l="1"/>
  <c r="AB148" i="17"/>
  <c r="AA150" i="17"/>
  <c r="AB150" i="17" s="1"/>
  <c r="AB149" i="17"/>
  <c r="B82" i="17" l="1"/>
  <c r="I82" i="17"/>
  <c r="H82" i="17"/>
  <c r="C82" i="17"/>
  <c r="D82" i="17"/>
  <c r="E82" i="17" s="1"/>
  <c r="J82" i="17" s="1"/>
  <c r="AA151" i="17"/>
  <c r="AA152" i="17" s="1"/>
  <c r="AB152" i="17" s="1"/>
  <c r="G82" i="17" l="1"/>
  <c r="F82" i="17" s="1"/>
  <c r="AB151" i="17"/>
  <c r="AA153" i="17"/>
  <c r="AA154" i="17" s="1"/>
  <c r="AA155" i="17" s="1"/>
  <c r="K82" i="17" l="1"/>
  <c r="AB153" i="17"/>
  <c r="AB154" i="17"/>
  <c r="AA156" i="17"/>
  <c r="AA157" i="17" s="1"/>
  <c r="AB155" i="17"/>
  <c r="L82" i="17" l="1"/>
  <c r="M82" i="17" s="1"/>
  <c r="AB156" i="17"/>
  <c r="AA158" i="17"/>
  <c r="AA159" i="17" s="1"/>
  <c r="AB157" i="17"/>
  <c r="H83" i="17" l="1"/>
  <c r="D83" i="17"/>
  <c r="E83" i="17" s="1"/>
  <c r="J83" i="17" s="1"/>
  <c r="C83" i="17"/>
  <c r="B83" i="17"/>
  <c r="I83" i="17"/>
  <c r="AB158" i="17"/>
  <c r="AA160" i="17"/>
  <c r="AA161" i="17" s="1"/>
  <c r="AB159" i="17"/>
  <c r="G83" i="17" l="1"/>
  <c r="K83" i="17" s="1"/>
  <c r="L83" i="17" s="1"/>
  <c r="AB160" i="17"/>
  <c r="AA162" i="17"/>
  <c r="AA163" i="17" s="1"/>
  <c r="AB161" i="17"/>
  <c r="F83" i="17" l="1"/>
  <c r="M83" i="17" s="1"/>
  <c r="C84" i="17" s="1"/>
  <c r="AB162" i="17"/>
  <c r="AA164" i="17"/>
  <c r="AA165" i="17" s="1"/>
  <c r="AB163" i="17"/>
  <c r="D84" i="17" l="1"/>
  <c r="E84" i="17" s="1"/>
  <c r="J84" i="17" s="1"/>
  <c r="I84" i="17"/>
  <c r="H84" i="17"/>
  <c r="B84" i="17"/>
  <c r="AB164" i="17"/>
  <c r="AA166" i="17"/>
  <c r="AA167" i="17" s="1"/>
  <c r="AB165" i="17"/>
  <c r="G84" i="17" l="1"/>
  <c r="K84" i="17" s="1"/>
  <c r="L84" i="17" s="1"/>
  <c r="AB166" i="17"/>
  <c r="AA168" i="17"/>
  <c r="AA169" i="17" s="1"/>
  <c r="AB167" i="17"/>
  <c r="F84" i="17" l="1"/>
  <c r="M84" i="17" s="1"/>
  <c r="AB168" i="17"/>
  <c r="AA170" i="17"/>
  <c r="AA171" i="17" s="1"/>
  <c r="AB169" i="17"/>
  <c r="C85" i="17" l="1"/>
  <c r="D85" i="17"/>
  <c r="E85" i="17" s="1"/>
  <c r="J85" i="17" s="1"/>
  <c r="H85" i="17"/>
  <c r="I85" i="17"/>
  <c r="B85" i="17"/>
  <c r="AB170" i="17"/>
  <c r="AA172" i="17"/>
  <c r="AA173" i="17" s="1"/>
  <c r="AB171" i="17"/>
  <c r="G85" i="17" l="1"/>
  <c r="F85" i="17" s="1"/>
  <c r="AB172" i="17"/>
  <c r="AA174" i="17"/>
  <c r="AA175" i="17" s="1"/>
  <c r="AB173" i="17"/>
  <c r="K85" i="17" l="1"/>
  <c r="L85" i="17" s="1"/>
  <c r="M85" i="17" s="1"/>
  <c r="D86" i="17" s="1"/>
  <c r="E86" i="17" s="1"/>
  <c r="J86" i="17" s="1"/>
  <c r="AB174" i="17"/>
  <c r="AA176" i="17"/>
  <c r="AA177" i="17" s="1"/>
  <c r="AB175" i="17"/>
  <c r="C86" i="17" l="1"/>
  <c r="I86" i="17"/>
  <c r="H86" i="17"/>
  <c r="B86" i="17"/>
  <c r="AH86" i="17"/>
  <c r="AG86" i="17" s="1"/>
  <c r="AF86" i="17" s="1"/>
  <c r="G86" i="17" s="1"/>
  <c r="F86" i="17" s="1"/>
  <c r="AB176" i="17"/>
  <c r="AA178" i="17"/>
  <c r="AA179" i="17" s="1"/>
  <c r="AB177" i="17"/>
  <c r="K86" i="17" l="1"/>
  <c r="L86" i="17" s="1"/>
  <c r="AB178" i="17"/>
  <c r="AA180" i="17"/>
  <c r="AA181" i="17" s="1"/>
  <c r="AB179" i="17"/>
  <c r="M86" i="17" l="1"/>
  <c r="AB180" i="17"/>
  <c r="AA182" i="17"/>
  <c r="AA183" i="17" s="1"/>
  <c r="AB181" i="17"/>
  <c r="B87" i="17" l="1"/>
  <c r="D87" i="17"/>
  <c r="E87" i="17" s="1"/>
  <c r="J87" i="17" s="1"/>
  <c r="C87" i="17"/>
  <c r="I87" i="17"/>
  <c r="H87" i="17"/>
  <c r="AB182" i="17"/>
  <c r="AA184" i="17"/>
  <c r="AA185" i="17" s="1"/>
  <c r="AB183" i="17"/>
  <c r="G87" i="17" l="1"/>
  <c r="F87" i="17" s="1"/>
  <c r="AB184" i="17"/>
  <c r="AA186" i="17"/>
  <c r="AA187" i="17" s="1"/>
  <c r="AB185" i="17"/>
  <c r="K87" i="17" l="1"/>
  <c r="AB186" i="17"/>
  <c r="AA188" i="17"/>
  <c r="AA189" i="17" s="1"/>
  <c r="AB187" i="17"/>
  <c r="L87" i="17" l="1"/>
  <c r="M87" i="17" s="1"/>
  <c r="AB188" i="17"/>
  <c r="AA190" i="17"/>
  <c r="AA191" i="17" s="1"/>
  <c r="AB189" i="17"/>
  <c r="H88" i="17" l="1"/>
  <c r="I88" i="17"/>
  <c r="B88" i="17"/>
  <c r="C88" i="17"/>
  <c r="D88" i="17"/>
  <c r="E88" i="17" s="1"/>
  <c r="J88" i="17" s="1"/>
  <c r="AB190" i="17"/>
  <c r="AA192" i="17"/>
  <c r="AA193" i="17" s="1"/>
  <c r="AB191" i="17"/>
  <c r="G88" i="17" l="1"/>
  <c r="K88" i="17" s="1"/>
  <c r="L88" i="17" s="1"/>
  <c r="AB192" i="17"/>
  <c r="AA194" i="17"/>
  <c r="AA195" i="17" s="1"/>
  <c r="AB193" i="17"/>
  <c r="F88" i="17" l="1"/>
  <c r="M88" i="17" s="1"/>
  <c r="H89" i="17" s="1"/>
  <c r="AB194" i="17"/>
  <c r="AA196" i="17"/>
  <c r="AA197" i="17" s="1"/>
  <c r="AB195" i="17"/>
  <c r="C89" i="17" l="1"/>
  <c r="B89" i="17"/>
  <c r="D89" i="17"/>
  <c r="E89" i="17" s="1"/>
  <c r="I89" i="17"/>
  <c r="AB196" i="17"/>
  <c r="AA198" i="17"/>
  <c r="AA199" i="17" s="1"/>
  <c r="AB197" i="17"/>
  <c r="J89" i="17" l="1"/>
  <c r="G89" i="17"/>
  <c r="AB198" i="17"/>
  <c r="AA200" i="17"/>
  <c r="AA201" i="17" s="1"/>
  <c r="AB199" i="17"/>
  <c r="K89" i="17" l="1"/>
  <c r="L89" i="17" s="1"/>
  <c r="F89" i="17"/>
  <c r="AB200" i="17"/>
  <c r="AA202" i="17"/>
  <c r="AA203" i="17" s="1"/>
  <c r="AB201" i="17"/>
  <c r="M89" i="17" l="1"/>
  <c r="AB202" i="17"/>
  <c r="AA204" i="17"/>
  <c r="AA205" i="17" s="1"/>
  <c r="AB203" i="17"/>
  <c r="C90" i="17" l="1"/>
  <c r="B90" i="17"/>
  <c r="D90" i="17"/>
  <c r="E90" i="17" s="1"/>
  <c r="I90" i="17"/>
  <c r="H90" i="17"/>
  <c r="AB204" i="17"/>
  <c r="AA206" i="17"/>
  <c r="AA207" i="17" s="1"/>
  <c r="AB205" i="17"/>
  <c r="J90" i="17" l="1"/>
  <c r="G90" i="17"/>
  <c r="AB206" i="17"/>
  <c r="AA208" i="17"/>
  <c r="AA209" i="17" s="1"/>
  <c r="AB207" i="17"/>
  <c r="K90" i="17" l="1"/>
  <c r="L90" i="17" s="1"/>
  <c r="F90" i="17"/>
  <c r="AB208" i="17"/>
  <c r="AA210" i="17"/>
  <c r="AA211" i="17" s="1"/>
  <c r="AB209" i="17"/>
  <c r="M90" i="17" l="1"/>
  <c r="H91" i="17" s="1"/>
  <c r="AB210" i="17"/>
  <c r="AA212" i="17"/>
  <c r="AA213" i="17" s="1"/>
  <c r="AB211" i="17"/>
  <c r="D91" i="17" l="1"/>
  <c r="E91" i="17" s="1"/>
  <c r="B91" i="17"/>
  <c r="C91" i="17"/>
  <c r="I91" i="17"/>
  <c r="AB212" i="17"/>
  <c r="AA214" i="17"/>
  <c r="AA215" i="17" s="1"/>
  <c r="AB213" i="17"/>
  <c r="J91" i="17" l="1"/>
  <c r="G91" i="17"/>
  <c r="F91" i="17" s="1"/>
  <c r="AB214" i="17"/>
  <c r="AA216" i="17"/>
  <c r="AB216" i="17" s="1"/>
  <c r="AB215" i="17"/>
  <c r="K91" i="17" l="1"/>
  <c r="L91" i="17" s="1"/>
  <c r="M91" i="17" s="1"/>
  <c r="AA217" i="17"/>
  <c r="AA218" i="17" s="1"/>
  <c r="AA219" i="17" s="1"/>
  <c r="H92" i="17" l="1"/>
  <c r="I92" i="17"/>
  <c r="D92" i="17"/>
  <c r="E92" i="17" s="1"/>
  <c r="J92" i="17" s="1"/>
  <c r="B92" i="17"/>
  <c r="C92" i="17"/>
  <c r="AB217" i="17"/>
  <c r="AB218" i="17"/>
  <c r="AA220" i="17"/>
  <c r="AA221" i="17" s="1"/>
  <c r="AB219" i="17"/>
  <c r="G92" i="17" l="1"/>
  <c r="K92" i="17" s="1"/>
  <c r="L92" i="17" s="1"/>
  <c r="AB220" i="17"/>
  <c r="AA222" i="17"/>
  <c r="AA223" i="17" s="1"/>
  <c r="AB221" i="17"/>
  <c r="F92" i="17" l="1"/>
  <c r="M92" i="17" s="1"/>
  <c r="AB222" i="17"/>
  <c r="AA224" i="17"/>
  <c r="AB224" i="17" s="1"/>
  <c r="AB223" i="17"/>
  <c r="D93" i="17" l="1"/>
  <c r="E93" i="17" s="1"/>
  <c r="J93" i="17" s="1"/>
  <c r="B93" i="17"/>
  <c r="I93" i="17"/>
  <c r="H93" i="17"/>
  <c r="C93" i="17"/>
  <c r="AA225" i="17"/>
  <c r="AA226" i="17" s="1"/>
  <c r="G93" i="17" l="1"/>
  <c r="F93" i="17" s="1"/>
  <c r="AB225" i="17"/>
  <c r="AA227" i="17"/>
  <c r="AA228" i="17" s="1"/>
  <c r="AB228" i="17" s="1"/>
  <c r="AB226" i="17"/>
  <c r="K93" i="17" l="1"/>
  <c r="L93" i="17" s="1"/>
  <c r="M93" i="17" s="1"/>
  <c r="AB227" i="17"/>
  <c r="AA229" i="17"/>
  <c r="AA230" i="17" s="1"/>
  <c r="AA231" i="17" s="1"/>
  <c r="D94" i="17" l="1"/>
  <c r="E94" i="17" s="1"/>
  <c r="J94" i="17" s="1"/>
  <c r="B94" i="17"/>
  <c r="I94" i="17"/>
  <c r="H94" i="17"/>
  <c r="C94" i="17"/>
  <c r="AB229" i="17"/>
  <c r="AB230" i="17"/>
  <c r="AA232" i="17"/>
  <c r="AA233" i="17" s="1"/>
  <c r="AB231" i="17"/>
  <c r="G94" i="17" l="1"/>
  <c r="K94" i="17" s="1"/>
  <c r="L94" i="17" s="1"/>
  <c r="AB232" i="17"/>
  <c r="AA234" i="17"/>
  <c r="AA235" i="17" s="1"/>
  <c r="AB233" i="17"/>
  <c r="F94" i="17" l="1"/>
  <c r="M94" i="17" s="1"/>
  <c r="AB234" i="17"/>
  <c r="AA236" i="17"/>
  <c r="AB236" i="17" s="1"/>
  <c r="AB235" i="17"/>
  <c r="H95" i="17" l="1"/>
  <c r="I95" i="17"/>
  <c r="AA237" i="17"/>
  <c r="AA238" i="17" s="1"/>
  <c r="AA239" i="17" s="1"/>
  <c r="D95" i="17"/>
  <c r="B95" i="17"/>
  <c r="C95" i="17"/>
  <c r="E95" i="17" l="1"/>
  <c r="AB237" i="17"/>
  <c r="AB238" i="17"/>
  <c r="AA240" i="17"/>
  <c r="AA241" i="17" s="1"/>
  <c r="AB239" i="17"/>
  <c r="J95" i="17" l="1"/>
  <c r="G95" i="17"/>
  <c r="F95" i="17" s="1"/>
  <c r="AB240" i="17"/>
  <c r="AA242" i="17"/>
  <c r="AA243" i="17" s="1"/>
  <c r="AB241" i="17"/>
  <c r="K95" i="17" l="1"/>
  <c r="L95" i="17" s="1"/>
  <c r="M95" i="17" s="1"/>
  <c r="AB242" i="17"/>
  <c r="AA244" i="17"/>
  <c r="AA245" i="17" s="1"/>
  <c r="AB243" i="17"/>
  <c r="B96" i="17" l="1"/>
  <c r="H96" i="17"/>
  <c r="C96" i="17"/>
  <c r="D96" i="17"/>
  <c r="E96" i="17" s="1"/>
  <c r="J96" i="17" s="1"/>
  <c r="I96" i="17"/>
  <c r="AB244" i="17"/>
  <c r="AA246" i="17"/>
  <c r="AA247" i="17" s="1"/>
  <c r="AB245" i="17"/>
  <c r="G96" i="17" l="1"/>
  <c r="F96" i="17" s="1"/>
  <c r="AB246" i="17"/>
  <c r="AA248" i="17"/>
  <c r="AA249" i="17" s="1"/>
  <c r="AB247" i="17"/>
  <c r="K96" i="17" l="1"/>
  <c r="AB248" i="17"/>
  <c r="AA250" i="17"/>
  <c r="AA251" i="17" s="1"/>
  <c r="AB249" i="17"/>
  <c r="L96" i="17" l="1"/>
  <c r="M96" i="17" s="1"/>
  <c r="AB250" i="17"/>
  <c r="AA252" i="17"/>
  <c r="AA253" i="17" s="1"/>
  <c r="AB251" i="17"/>
  <c r="B97" i="17" l="1"/>
  <c r="D97" i="17"/>
  <c r="E97" i="17" s="1"/>
  <c r="J97" i="17" s="1"/>
  <c r="H97" i="17"/>
  <c r="C97" i="17"/>
  <c r="I97" i="17"/>
  <c r="AB252" i="17"/>
  <c r="AA254" i="17"/>
  <c r="AA255" i="17" s="1"/>
  <c r="AB253" i="17"/>
  <c r="G97" i="17" l="1"/>
  <c r="K97" i="17" s="1"/>
  <c r="L97" i="17" s="1"/>
  <c r="AB254" i="17"/>
  <c r="AA256" i="17"/>
  <c r="AA257" i="17" s="1"/>
  <c r="AB255" i="17"/>
  <c r="F97" i="17" l="1"/>
  <c r="M97" i="17" s="1"/>
  <c r="AB256" i="17"/>
  <c r="AA258" i="17"/>
  <c r="AA259" i="17" s="1"/>
  <c r="AB257" i="17"/>
  <c r="H98" i="17" l="1"/>
  <c r="C98" i="17"/>
  <c r="B98" i="17"/>
  <c r="D98" i="17"/>
  <c r="E98" i="17" s="1"/>
  <c r="I98" i="17"/>
  <c r="AB258" i="17"/>
  <c r="AA260" i="17"/>
  <c r="AB260" i="17" s="1"/>
  <c r="AB259" i="17"/>
  <c r="J98" i="17" l="1"/>
  <c r="G98" i="17"/>
  <c r="F98" i="17" s="1"/>
  <c r="AA261" i="17"/>
  <c r="AA262" i="17" s="1"/>
  <c r="K98" i="17" l="1"/>
  <c r="L98" i="17" s="1"/>
  <c r="AB261" i="17"/>
  <c r="AB262" i="17"/>
  <c r="AA263" i="17"/>
  <c r="AA264" i="17" s="1"/>
  <c r="AA265" i="17" s="1"/>
  <c r="M98" i="17" l="1"/>
  <c r="AB263" i="17"/>
  <c r="AB264" i="17"/>
  <c r="AA266" i="17"/>
  <c r="AA267" i="17" s="1"/>
  <c r="AB265" i="17"/>
  <c r="B99" i="17" l="1"/>
  <c r="D99" i="17"/>
  <c r="E99" i="17" s="1"/>
  <c r="J99" i="17" s="1"/>
  <c r="I99" i="17"/>
  <c r="C99" i="17"/>
  <c r="H99" i="17"/>
  <c r="AB266" i="17"/>
  <c r="AA268" i="17"/>
  <c r="AA269" i="17" s="1"/>
  <c r="AB267" i="17"/>
  <c r="G99" i="17" l="1"/>
  <c r="K99" i="17" s="1"/>
  <c r="L99" i="17" s="1"/>
  <c r="AB268" i="17"/>
  <c r="AA270" i="17"/>
  <c r="AA271" i="17" s="1"/>
  <c r="AB269" i="17"/>
  <c r="F99" i="17" l="1"/>
  <c r="M99" i="17" s="1"/>
  <c r="AB270" i="17"/>
  <c r="AA272" i="17"/>
  <c r="AA273" i="17" s="1"/>
  <c r="AB271" i="17"/>
  <c r="C100" i="17" l="1"/>
  <c r="H100" i="17"/>
  <c r="D100" i="17"/>
  <c r="E100" i="17" s="1"/>
  <c r="J100" i="17" s="1"/>
  <c r="I100" i="17"/>
  <c r="B100" i="17"/>
  <c r="AB272" i="17"/>
  <c r="AA274" i="17"/>
  <c r="AA275" i="17" s="1"/>
  <c r="AB273" i="17"/>
  <c r="G100" i="17" l="1"/>
  <c r="K100" i="17" s="1"/>
  <c r="L100" i="17" s="1"/>
  <c r="AB274" i="17"/>
  <c r="AA276" i="17"/>
  <c r="AA277" i="17" s="1"/>
  <c r="AB275" i="17"/>
  <c r="F100" i="17" l="1"/>
  <c r="M100" i="17" s="1"/>
  <c r="I101" i="17" s="1"/>
  <c r="AB276" i="17"/>
  <c r="AA278" i="17"/>
  <c r="AA279" i="17" s="1"/>
  <c r="AB277" i="17"/>
  <c r="C101" i="17" l="1"/>
  <c r="D101" i="17"/>
  <c r="E101" i="17" s="1"/>
  <c r="B101" i="17"/>
  <c r="H101" i="17"/>
  <c r="AB278" i="17"/>
  <c r="AA280" i="17"/>
  <c r="AA281" i="17" s="1"/>
  <c r="AB279" i="17"/>
  <c r="J101" i="17" l="1"/>
  <c r="G101" i="17"/>
  <c r="F101" i="17" s="1"/>
  <c r="AB280" i="17"/>
  <c r="AA282" i="17"/>
  <c r="AA283" i="17" s="1"/>
  <c r="AB281" i="17"/>
  <c r="K101" i="17" l="1"/>
  <c r="L101" i="17" s="1"/>
  <c r="AB282" i="17"/>
  <c r="AA284" i="17"/>
  <c r="AA285" i="17" s="1"/>
  <c r="AB283" i="17"/>
  <c r="M101" i="17" l="1"/>
  <c r="AB284" i="17"/>
  <c r="AA286" i="17"/>
  <c r="AA287" i="17" s="1"/>
  <c r="AB285" i="17"/>
  <c r="C102" i="17" l="1"/>
  <c r="H102" i="17"/>
  <c r="B102" i="17"/>
  <c r="I102" i="17"/>
  <c r="D102" i="17"/>
  <c r="E102" i="17" s="1"/>
  <c r="AB286" i="17"/>
  <c r="AA288" i="17"/>
  <c r="AA289" i="17" s="1"/>
  <c r="AB287" i="17"/>
  <c r="G102" i="17" l="1"/>
  <c r="F102" i="17" s="1"/>
  <c r="J102" i="17"/>
  <c r="AB288" i="17"/>
  <c r="AA290" i="17"/>
  <c r="AA291" i="17" s="1"/>
  <c r="AB289" i="17"/>
  <c r="K102" i="17" l="1"/>
  <c r="AB290" i="17"/>
  <c r="AA292" i="17"/>
  <c r="AA293" i="17" s="1"/>
  <c r="AB291" i="17"/>
  <c r="L102" i="17" l="1"/>
  <c r="M102" i="17" s="1"/>
  <c r="AB292" i="17"/>
  <c r="AA294" i="17"/>
  <c r="AA295" i="17" s="1"/>
  <c r="AB293" i="17"/>
  <c r="C103" i="17" l="1"/>
  <c r="D103" i="17"/>
  <c r="E103" i="17" s="1"/>
  <c r="J103" i="17" s="1"/>
  <c r="B103" i="17"/>
  <c r="H103" i="17"/>
  <c r="I103" i="17"/>
  <c r="AB294" i="17"/>
  <c r="AA296" i="17"/>
  <c r="AA297" i="17" s="1"/>
  <c r="AB295" i="17"/>
  <c r="G103" i="17" l="1"/>
  <c r="F103" i="17" s="1"/>
  <c r="AB296" i="17"/>
  <c r="AA298" i="17"/>
  <c r="AA299" i="17" s="1"/>
  <c r="AB297" i="17"/>
  <c r="K103" i="17" l="1"/>
  <c r="L103" i="17" s="1"/>
  <c r="M103" i="17" s="1"/>
  <c r="AB298" i="17"/>
  <c r="AA300" i="17"/>
  <c r="AA301" i="17" s="1"/>
  <c r="AB299" i="17"/>
  <c r="D104" i="17" l="1"/>
  <c r="E104" i="17" s="1"/>
  <c r="J104" i="17" s="1"/>
  <c r="H104" i="17"/>
  <c r="B104" i="17"/>
  <c r="C104" i="17"/>
  <c r="I104" i="17"/>
  <c r="AB300" i="17"/>
  <c r="AA302" i="17"/>
  <c r="AB302" i="17" s="1"/>
  <c r="AB301" i="17"/>
  <c r="G104" i="17" l="1"/>
  <c r="F104" i="17" s="1"/>
  <c r="AA303" i="17"/>
  <c r="AA304" i="17" s="1"/>
  <c r="AA305" i="17" s="1"/>
  <c r="K104" i="17" l="1"/>
  <c r="L104" i="17" s="1"/>
  <c r="M104" i="17" s="1"/>
  <c r="I105" i="17" s="1"/>
  <c r="AB303" i="17"/>
  <c r="AB304" i="17"/>
  <c r="AA306" i="17"/>
  <c r="AA307" i="17" s="1"/>
  <c r="AB305" i="17"/>
  <c r="B105" i="17" l="1"/>
  <c r="H105" i="17"/>
  <c r="D105" i="17"/>
  <c r="E105" i="17" s="1"/>
  <c r="J105" i="17" s="1"/>
  <c r="C105" i="17"/>
  <c r="AB306" i="17"/>
  <c r="AA308" i="17"/>
  <c r="AA309" i="17" s="1"/>
  <c r="AB307" i="17"/>
  <c r="G105" i="17" l="1"/>
  <c r="F105" i="17" s="1"/>
  <c r="AB308" i="17"/>
  <c r="AA310" i="17"/>
  <c r="AB310" i="17" s="1"/>
  <c r="AB309" i="17"/>
  <c r="K105" i="17" l="1"/>
  <c r="L105" i="17"/>
  <c r="M105" i="17" s="1"/>
  <c r="I106" i="17" l="1"/>
  <c r="D106" i="17"/>
  <c r="E106" i="17" s="1"/>
  <c r="J106" i="17" s="1"/>
  <c r="C106" i="17"/>
  <c r="H106" i="17"/>
  <c r="B106" i="17"/>
  <c r="G106" i="17" l="1"/>
  <c r="F106" i="17" s="1"/>
  <c r="K106" i="17" l="1"/>
  <c r="L106" i="17" s="1"/>
  <c r="M106" i="17" s="1"/>
  <c r="H107" i="17" s="1"/>
  <c r="I107" i="17" l="1"/>
  <c r="B107" i="17"/>
  <c r="C107" i="17"/>
  <c r="D107" i="17"/>
  <c r="E107" i="17" s="1"/>
  <c r="J107" i="17" s="1"/>
  <c r="G107" i="17" l="1"/>
  <c r="K107" i="17" s="1"/>
  <c r="L107" i="17" s="1"/>
  <c r="F107" i="17" l="1"/>
  <c r="M107" i="17" s="1"/>
  <c r="H108" i="17" s="1"/>
  <c r="D108" i="17" l="1"/>
  <c r="E108" i="17" s="1"/>
  <c r="B108" i="17"/>
  <c r="C108" i="17"/>
  <c r="I108" i="17"/>
  <c r="J108" i="17" l="1"/>
  <c r="G108" i="17"/>
  <c r="K108" i="17" l="1"/>
  <c r="L108" i="17" s="1"/>
  <c r="F108" i="17"/>
  <c r="M108" i="17" l="1"/>
  <c r="H109" i="17" s="1"/>
  <c r="B109" i="17" l="1"/>
  <c r="D109" i="17"/>
  <c r="E109" i="17" s="1"/>
  <c r="C109" i="17"/>
  <c r="I109" i="17"/>
  <c r="J109" i="17" l="1"/>
  <c r="G109" i="17"/>
  <c r="K109" i="17" l="1"/>
  <c r="L109" i="17" s="1"/>
  <c r="F109" i="17"/>
  <c r="M109" i="17" l="1"/>
  <c r="H110" i="17" s="1"/>
  <c r="D110" i="17" l="1"/>
  <c r="E110" i="17" s="1"/>
  <c r="B110" i="17"/>
  <c r="C110" i="17"/>
  <c r="I110" i="17"/>
  <c r="J110" i="17" l="1"/>
  <c r="G110" i="17"/>
  <c r="K110" i="17" l="1"/>
  <c r="L110" i="17" s="1"/>
  <c r="F110" i="17"/>
  <c r="M110" i="17" l="1"/>
  <c r="H111" i="17" s="1"/>
  <c r="C111" i="17" l="1"/>
  <c r="D111" i="17"/>
  <c r="E111" i="17" s="1"/>
  <c r="B111" i="17"/>
  <c r="I111" i="17"/>
  <c r="J111" i="17" l="1"/>
  <c r="G111" i="17"/>
  <c r="K111" i="17" l="1"/>
  <c r="L111" i="17" s="1"/>
  <c r="F111" i="17"/>
  <c r="M111" i="17" l="1"/>
  <c r="H112" i="17" s="1"/>
  <c r="C112" i="17" l="1"/>
  <c r="B112" i="17"/>
  <c r="D112" i="17"/>
  <c r="E112" i="17" s="1"/>
  <c r="I112" i="17"/>
  <c r="J112" i="17" l="1"/>
  <c r="G112" i="17"/>
  <c r="F112" i="17" s="1"/>
  <c r="K112" i="17" l="1"/>
  <c r="L112" i="17" l="1"/>
  <c r="M112" i="17" s="1"/>
  <c r="D113" i="17" l="1"/>
  <c r="E113" i="17" s="1"/>
  <c r="J113" i="17" s="1"/>
  <c r="I113" i="17"/>
  <c r="B113" i="17"/>
  <c r="C113" i="17"/>
  <c r="H113" i="17"/>
  <c r="G113" i="17" l="1"/>
  <c r="K113" i="17" s="1"/>
  <c r="L113" i="17" s="1"/>
  <c r="F113" i="17" l="1"/>
  <c r="M113" i="17" s="1"/>
  <c r="H114" i="17" l="1"/>
  <c r="B114" i="17"/>
  <c r="D114" i="17"/>
  <c r="E114" i="17" s="1"/>
  <c r="C114" i="17"/>
  <c r="I114" i="17"/>
  <c r="J114" i="17" l="1"/>
  <c r="G114" i="17"/>
  <c r="F114" i="17" s="1"/>
  <c r="K114" i="17" l="1"/>
  <c r="L114" i="17" l="1"/>
  <c r="M114" i="17" s="1"/>
  <c r="B115" i="17" l="1"/>
  <c r="C115" i="17"/>
  <c r="D115" i="17"/>
  <c r="E115" i="17" s="1"/>
  <c r="J115" i="17" s="1"/>
  <c r="H115" i="17"/>
  <c r="I115" i="17"/>
  <c r="G115" i="17" l="1"/>
  <c r="K115" i="17" s="1"/>
  <c r="L115" i="17" s="1"/>
  <c r="F115" i="17" l="1"/>
  <c r="M115" i="17" s="1"/>
  <c r="H116" i="17" s="1"/>
  <c r="D116" i="17" l="1"/>
  <c r="E116" i="17" s="1"/>
  <c r="C116" i="17"/>
  <c r="B116" i="17"/>
  <c r="I116" i="17"/>
  <c r="J116" i="17" l="1"/>
  <c r="G116" i="17"/>
  <c r="K116" i="17" l="1"/>
  <c r="L116" i="17" s="1"/>
  <c r="F116" i="17"/>
  <c r="M116" i="17" l="1"/>
  <c r="H117" i="17" s="1"/>
  <c r="B117" i="17" l="1"/>
  <c r="D117" i="17"/>
  <c r="E117" i="17" s="1"/>
  <c r="C117" i="17"/>
  <c r="I117" i="17"/>
  <c r="J117" i="17" l="1"/>
  <c r="G117" i="17"/>
  <c r="K117" i="17" l="1"/>
  <c r="L117" i="17" s="1"/>
  <c r="F117" i="17"/>
  <c r="M117" i="17" l="1"/>
  <c r="H118" i="17" s="1"/>
  <c r="B118" i="17" l="1"/>
  <c r="D118" i="17"/>
  <c r="E118" i="17" s="1"/>
  <c r="C118" i="17"/>
  <c r="I118" i="17"/>
  <c r="J118" i="17" l="1"/>
  <c r="G118" i="17"/>
  <c r="K118" i="17" l="1"/>
  <c r="L118" i="17" s="1"/>
  <c r="F118" i="17"/>
  <c r="M118" i="17" l="1"/>
  <c r="H119" i="17" l="1"/>
  <c r="I119" i="17"/>
  <c r="D119" i="17"/>
  <c r="E119" i="17" s="1"/>
  <c r="C119" i="17"/>
  <c r="B119" i="17"/>
  <c r="J119" i="17" l="1"/>
  <c r="G119" i="17"/>
  <c r="K119" i="17" l="1"/>
  <c r="L119" i="17" s="1"/>
  <c r="F119" i="17"/>
  <c r="M119" i="17" l="1"/>
  <c r="I120" i="17" s="1"/>
  <c r="H120" i="17" l="1"/>
  <c r="D120" i="17"/>
  <c r="E120" i="17" s="1"/>
  <c r="C120" i="17"/>
  <c r="B120" i="17"/>
  <c r="J120" i="17" l="1"/>
  <c r="G120" i="17"/>
  <c r="K120" i="17" l="1"/>
  <c r="L120" i="17" s="1"/>
  <c r="F120" i="17"/>
  <c r="M120" i="17" l="1"/>
  <c r="H121" i="17" s="1"/>
  <c r="D121" i="17" l="1"/>
  <c r="E121" i="17" s="1"/>
  <c r="B121" i="17"/>
  <c r="C121" i="17"/>
  <c r="I121" i="17"/>
  <c r="J121" i="17" l="1"/>
  <c r="G121" i="17"/>
  <c r="K121" i="17" l="1"/>
  <c r="L121" i="17" s="1"/>
  <c r="F121" i="17"/>
  <c r="M121" i="17" l="1"/>
  <c r="H122" i="17" s="1"/>
  <c r="D122" i="17" l="1"/>
  <c r="E122" i="17" s="1"/>
  <c r="B122" i="17"/>
  <c r="C122" i="17"/>
  <c r="I122" i="17"/>
  <c r="J122" i="17" l="1"/>
  <c r="G122" i="17"/>
  <c r="K122" i="17" l="1"/>
  <c r="L122" i="17" s="1"/>
  <c r="F122" i="17"/>
  <c r="M122" i="17" l="1"/>
  <c r="H123" i="17" s="1"/>
  <c r="C123" i="17" l="1"/>
  <c r="D123" i="17"/>
  <c r="E123" i="17" s="1"/>
  <c r="B123" i="17"/>
  <c r="I123" i="17"/>
  <c r="J123" i="17" l="1"/>
  <c r="G123" i="17"/>
  <c r="K123" i="17" l="1"/>
  <c r="L123" i="17" s="1"/>
  <c r="F123" i="17"/>
  <c r="M123" i="17" l="1"/>
  <c r="H124" i="17" s="1"/>
  <c r="B124" i="17" l="1"/>
  <c r="C124" i="17"/>
  <c r="D124" i="17"/>
  <c r="E124" i="17" s="1"/>
  <c r="I124" i="17"/>
  <c r="J124" i="17" l="1"/>
  <c r="G124" i="17"/>
  <c r="F124" i="17" s="1"/>
  <c r="K124" i="17" l="1"/>
  <c r="L124" i="17" s="1"/>
  <c r="M124" i="17" l="1"/>
  <c r="H125" i="17" l="1"/>
  <c r="I125" i="17"/>
  <c r="C125" i="17"/>
  <c r="B125" i="17"/>
  <c r="D125" i="17"/>
  <c r="E125" i="17" s="1"/>
  <c r="G125" i="17" s="1"/>
  <c r="J125" i="17" l="1"/>
  <c r="K125" i="17" s="1"/>
  <c r="L125" i="17" s="1"/>
  <c r="F125" i="17"/>
  <c r="M125" i="17" l="1"/>
  <c r="H126" i="17" l="1"/>
  <c r="I126" i="17"/>
  <c r="B126" i="17"/>
  <c r="D126" i="17"/>
  <c r="E126" i="17" s="1"/>
  <c r="J126" i="17" s="1"/>
  <c r="C126" i="17"/>
  <c r="G126" i="17" l="1"/>
  <c r="K126" i="17" s="1"/>
  <c r="L126" i="17" s="1"/>
  <c r="F126" i="17" l="1"/>
  <c r="M126" i="17" s="1"/>
  <c r="B127" i="17" l="1"/>
  <c r="I127" i="17"/>
  <c r="C127" i="17"/>
  <c r="D127" i="17"/>
  <c r="E127" i="17" s="1"/>
  <c r="J127" i="17" s="1"/>
  <c r="H127" i="17"/>
  <c r="G127" i="17" l="1"/>
  <c r="K127" i="17" s="1"/>
  <c r="L127" i="17" s="1"/>
  <c r="F127" i="17" l="1"/>
  <c r="M127" i="17" s="1"/>
  <c r="H128" i="17" l="1"/>
  <c r="I128" i="17"/>
  <c r="D128" i="17"/>
  <c r="B128" i="17"/>
  <c r="C128" i="17"/>
  <c r="E128" i="17" l="1"/>
  <c r="J128" i="17" l="1"/>
  <c r="G128" i="17"/>
  <c r="F128" i="17" s="1"/>
  <c r="K128" i="17" l="1"/>
  <c r="L128" i="17" s="1"/>
  <c r="M128" i="17" l="1"/>
  <c r="I129" i="17" l="1"/>
  <c r="D129" i="17"/>
  <c r="E129" i="17" s="1"/>
  <c r="J129" i="17" s="1"/>
  <c r="C129" i="17"/>
  <c r="B129" i="17"/>
  <c r="H129" i="17"/>
  <c r="G129" i="17" l="1"/>
  <c r="K129" i="17" s="1"/>
  <c r="L129" i="17" s="1"/>
  <c r="F129" i="17" l="1"/>
  <c r="M129" i="17" s="1"/>
  <c r="C130" i="17" l="1"/>
  <c r="D130" i="17"/>
  <c r="E130" i="17" s="1"/>
  <c r="J130" i="17" s="1"/>
  <c r="H130" i="17"/>
  <c r="B130" i="17"/>
  <c r="I130" i="17"/>
  <c r="G130" i="17" l="1"/>
  <c r="K130" i="17" s="1"/>
  <c r="L130" i="17" s="1"/>
  <c r="F130" i="17" l="1"/>
  <c r="M130" i="17" s="1"/>
  <c r="H131" i="17" l="1"/>
  <c r="I131" i="17"/>
  <c r="C131" i="17"/>
  <c r="D131" i="17"/>
  <c r="B131" i="17"/>
  <c r="E131" i="17" l="1"/>
  <c r="J131" i="17" l="1"/>
  <c r="G131" i="17"/>
  <c r="F131" i="17" s="1"/>
  <c r="K131" i="17" l="1"/>
  <c r="L131" i="17" s="1"/>
  <c r="M131" i="17" s="1"/>
  <c r="C132" i="17" l="1"/>
  <c r="B132" i="17"/>
  <c r="H132" i="17"/>
  <c r="I132" i="17"/>
  <c r="D132" i="17"/>
  <c r="E132" i="17" s="1"/>
  <c r="J132" i="17" s="1"/>
  <c r="G132" i="17" l="1"/>
  <c r="K132" i="17" s="1"/>
  <c r="L132" i="17" s="1"/>
  <c r="F132" i="17" l="1"/>
  <c r="M132" i="17" s="1"/>
  <c r="H133" i="17" l="1"/>
  <c r="I133" i="17"/>
  <c r="C133" i="17"/>
  <c r="B133" i="17"/>
  <c r="D133" i="17"/>
  <c r="E133" i="17" l="1"/>
  <c r="J133" i="17" l="1"/>
  <c r="G133" i="17"/>
  <c r="K133" i="17" l="1"/>
  <c r="L133" i="17" s="1"/>
  <c r="F133" i="17"/>
  <c r="M133" i="17" l="1"/>
  <c r="H134" i="17" s="1"/>
  <c r="D134" i="17" l="1"/>
  <c r="E134" i="17" s="1"/>
  <c r="I134" i="17"/>
  <c r="B134" i="17"/>
  <c r="C134" i="17"/>
  <c r="J134" i="17" l="1"/>
  <c r="G134" i="17"/>
  <c r="K134" i="17" l="1"/>
  <c r="L134" i="17" s="1"/>
  <c r="F134" i="17"/>
  <c r="M134" i="17" l="1"/>
  <c r="H135" i="17" s="1"/>
  <c r="B135" i="17" l="1"/>
  <c r="C135" i="17"/>
  <c r="D135" i="17"/>
  <c r="E135" i="17" s="1"/>
  <c r="I135" i="17"/>
  <c r="J135" i="17" l="1"/>
  <c r="G135" i="17"/>
  <c r="F135" i="17" s="1"/>
  <c r="K135" i="17" l="1"/>
  <c r="L135" i="17" l="1"/>
  <c r="M135" i="17" s="1"/>
  <c r="B136" i="17" l="1"/>
  <c r="D136" i="17"/>
  <c r="E136" i="17" s="1"/>
  <c r="J136" i="17" s="1"/>
  <c r="I136" i="17"/>
  <c r="C136" i="17"/>
  <c r="H136" i="17"/>
  <c r="G136" i="17" l="1"/>
  <c r="K136" i="17" s="1"/>
  <c r="L136" i="17" s="1"/>
  <c r="F136" i="17" l="1"/>
  <c r="M136" i="17" s="1"/>
  <c r="H137" i="17" s="1"/>
  <c r="C137" i="17" l="1"/>
  <c r="D137" i="17"/>
  <c r="E137" i="17" s="1"/>
  <c r="B137" i="17"/>
  <c r="I137" i="17"/>
  <c r="J137" i="17" l="1"/>
  <c r="G137" i="17"/>
  <c r="F137" i="17" s="1"/>
  <c r="K137" i="17" l="1"/>
  <c r="L137" i="17" s="1"/>
  <c r="M137" i="17" l="1"/>
  <c r="C138" i="17" l="1"/>
  <c r="H138" i="17"/>
  <c r="D138" i="17"/>
  <c r="E138" i="17" s="1"/>
  <c r="J138" i="17"/>
  <c r="B138" i="17"/>
  <c r="I138" i="17"/>
  <c r="G138" i="17" l="1"/>
  <c r="F138" i="17" s="1"/>
  <c r="K138" i="17" l="1"/>
  <c r="L138" i="17" l="1"/>
  <c r="M138" i="17" s="1"/>
  <c r="B139" i="17" l="1"/>
  <c r="I139" i="17"/>
  <c r="D139" i="17"/>
  <c r="E139" i="17" s="1"/>
  <c r="J139" i="17" s="1"/>
  <c r="C139" i="17"/>
  <c r="H139" i="17"/>
  <c r="G139" i="17" l="1"/>
  <c r="F139" i="17" s="1"/>
  <c r="K139" i="17" l="1"/>
  <c r="L139" i="17" s="1"/>
  <c r="M139" i="17" s="1"/>
  <c r="B140" i="17" l="1"/>
  <c r="H140" i="17"/>
  <c r="C140" i="17"/>
  <c r="I140" i="17"/>
  <c r="D140" i="17"/>
  <c r="E140" i="17" s="1"/>
  <c r="J140" i="17" s="1"/>
  <c r="G140" i="17" l="1"/>
  <c r="K140" i="17" s="1"/>
  <c r="L140" i="17" s="1"/>
  <c r="F140" i="17" l="1"/>
  <c r="M140" i="17" s="1"/>
  <c r="D141" i="17" l="1"/>
  <c r="E141" i="17" s="1"/>
  <c r="G141" i="17" s="1"/>
  <c r="H141" i="17"/>
  <c r="I141" i="17"/>
  <c r="B141" i="17"/>
  <c r="C141" i="17"/>
  <c r="J141" i="17"/>
  <c r="K141" i="17" l="1"/>
  <c r="L141" i="17" s="1"/>
  <c r="F141" i="17"/>
  <c r="M141" i="17" l="1"/>
  <c r="H142" i="17" s="1"/>
  <c r="D142" i="17" l="1"/>
  <c r="E142" i="17" s="1"/>
  <c r="C142" i="17"/>
  <c r="B142" i="17"/>
  <c r="I142" i="17"/>
  <c r="J142" i="17" l="1"/>
  <c r="G142" i="17"/>
  <c r="K142" i="17" l="1"/>
  <c r="L142" i="17" s="1"/>
  <c r="F142" i="17"/>
  <c r="M142" i="17" l="1"/>
  <c r="I143" i="17" s="1"/>
  <c r="H143" i="17" l="1"/>
  <c r="D143" i="17"/>
  <c r="E143" i="17" s="1"/>
  <c r="B143" i="17"/>
  <c r="C143" i="17"/>
  <c r="J143" i="17" l="1"/>
  <c r="G143" i="17"/>
  <c r="K143" i="17" l="1"/>
  <c r="L143" i="17" s="1"/>
  <c r="F143" i="17"/>
  <c r="M143" i="17" l="1"/>
  <c r="H144" i="17" s="1"/>
  <c r="D144" i="17" l="1"/>
  <c r="E144" i="17" s="1"/>
  <c r="B144" i="17"/>
  <c r="C144" i="17"/>
  <c r="I144" i="17"/>
  <c r="J144" i="17" l="1"/>
  <c r="G144" i="17"/>
  <c r="K144" i="17" l="1"/>
  <c r="L144" i="17" s="1"/>
  <c r="F144" i="17"/>
  <c r="M144" i="17" l="1"/>
  <c r="H145" i="17" s="1"/>
  <c r="C145" i="17" l="1"/>
  <c r="D145" i="17"/>
  <c r="E145" i="17" s="1"/>
  <c r="B145" i="17"/>
  <c r="I145" i="17"/>
  <c r="J145" i="17" l="1"/>
  <c r="G145" i="17"/>
  <c r="K145" i="17" l="1"/>
  <c r="L145" i="17" s="1"/>
  <c r="F145" i="17"/>
  <c r="M145" i="17" l="1"/>
  <c r="H146" i="17" s="1"/>
  <c r="C146" i="17" l="1"/>
  <c r="D146" i="17"/>
  <c r="E146" i="17" s="1"/>
  <c r="B146" i="17"/>
  <c r="I146" i="17"/>
  <c r="J146" i="17" l="1"/>
  <c r="G146" i="17"/>
  <c r="K146" i="17" l="1"/>
  <c r="L146" i="17" s="1"/>
  <c r="F146" i="17"/>
  <c r="M146" i="17" l="1"/>
  <c r="I147" i="17" s="1"/>
  <c r="D147" i="17" l="1"/>
  <c r="E147" i="17" s="1"/>
  <c r="B147" i="17"/>
  <c r="H147" i="17"/>
  <c r="C147" i="17"/>
  <c r="J147" i="17" l="1"/>
  <c r="G147" i="17"/>
  <c r="K147" i="17" l="1"/>
  <c r="L147" i="17" s="1"/>
  <c r="F147" i="17"/>
  <c r="M147" i="17" l="1"/>
  <c r="H148" i="17" s="1"/>
  <c r="B148" i="17" l="1"/>
  <c r="D148" i="17"/>
  <c r="E148" i="17" s="1"/>
  <c r="C148" i="17"/>
  <c r="I148" i="17"/>
  <c r="J148" i="17" l="1"/>
  <c r="G148" i="17"/>
  <c r="K148" i="17" l="1"/>
  <c r="L148" i="17" s="1"/>
  <c r="F148" i="17"/>
  <c r="M148" i="17" l="1"/>
  <c r="H149" i="17" l="1"/>
  <c r="C149" i="17"/>
  <c r="D149" i="17"/>
  <c r="E149" i="17" s="1"/>
  <c r="B149" i="17"/>
  <c r="I149" i="17"/>
  <c r="J149" i="17" l="1"/>
  <c r="G149" i="17"/>
  <c r="K149" i="17" l="1"/>
  <c r="L149" i="17" s="1"/>
  <c r="F149" i="17"/>
  <c r="M149" i="17" l="1"/>
  <c r="H150" i="17" s="1"/>
  <c r="B150" i="17" l="1"/>
  <c r="D150" i="17"/>
  <c r="E150" i="17" s="1"/>
  <c r="C150" i="17"/>
  <c r="I150" i="17"/>
  <c r="J150" i="17" l="1"/>
  <c r="G150" i="17"/>
  <c r="F150" i="17" s="1"/>
  <c r="K150" i="17" l="1"/>
  <c r="L150" i="17" s="1"/>
  <c r="M150" i="17" l="1"/>
  <c r="H151" i="17" l="1"/>
  <c r="C151" i="17"/>
  <c r="B151" i="17"/>
  <c r="D151" i="17"/>
  <c r="E151" i="17" s="1"/>
  <c r="G151" i="17" s="1"/>
  <c r="I151" i="17"/>
  <c r="J151" i="17" l="1"/>
  <c r="F151" i="17"/>
  <c r="K151" i="17" l="1"/>
  <c r="L151" i="17" l="1"/>
  <c r="M151" i="17" s="1"/>
  <c r="H152" i="17" l="1"/>
  <c r="B152" i="17"/>
  <c r="I152" i="17"/>
  <c r="C152" i="17"/>
  <c r="D152" i="17"/>
  <c r="E152" i="17" s="1"/>
  <c r="J152" i="17" s="1"/>
  <c r="G152" i="17" l="1"/>
  <c r="F152" i="17" s="1"/>
  <c r="K152" i="17" l="1"/>
  <c r="L152" i="17" s="1"/>
  <c r="M152" i="17" s="1"/>
  <c r="I153" i="17" l="1"/>
  <c r="C153" i="17"/>
  <c r="H153" i="17"/>
  <c r="D153" i="17"/>
  <c r="E153" i="17" s="1"/>
  <c r="J153" i="17" s="1"/>
  <c r="B153" i="17"/>
  <c r="G153" i="17" l="1"/>
  <c r="F153" i="17" s="1"/>
  <c r="K153" i="17" l="1"/>
  <c r="L153" i="17" s="1"/>
  <c r="M153" i="17" s="1"/>
  <c r="B154" i="17" l="1"/>
  <c r="H154" i="17"/>
  <c r="C154" i="17"/>
  <c r="D154" i="17"/>
  <c r="E154" i="17" s="1"/>
  <c r="G154" i="17" s="1"/>
  <c r="F154" i="17" s="1"/>
  <c r="I154" i="17"/>
  <c r="J154" i="17" l="1"/>
  <c r="K154" i="17" s="1"/>
  <c r="L154" i="17" s="1"/>
  <c r="M154" i="17" s="1"/>
  <c r="D155" i="17" l="1"/>
  <c r="E155" i="17" s="1"/>
  <c r="J155" i="17" s="1"/>
  <c r="B155" i="17"/>
  <c r="I155" i="17"/>
  <c r="C155" i="17"/>
  <c r="H155" i="17"/>
  <c r="G155" i="17" l="1"/>
  <c r="K155" i="17" s="1"/>
  <c r="L155" i="17" s="1"/>
  <c r="F155" i="17" l="1"/>
  <c r="M155" i="17" s="1"/>
  <c r="H156" i="17" s="1"/>
  <c r="B156" i="17" l="1"/>
  <c r="D156" i="17"/>
  <c r="E156" i="17" s="1"/>
  <c r="C156" i="17"/>
  <c r="I156" i="17"/>
  <c r="J156" i="17" l="1"/>
  <c r="G156" i="17"/>
  <c r="K156" i="17" l="1"/>
  <c r="L156" i="17" s="1"/>
  <c r="F156" i="17"/>
  <c r="M156" i="17" l="1"/>
  <c r="H157" i="17" s="1"/>
  <c r="C157" i="17" l="1"/>
  <c r="D157" i="17"/>
  <c r="E157" i="17" s="1"/>
  <c r="B157" i="17"/>
  <c r="I157" i="17"/>
  <c r="J157" i="17" l="1"/>
  <c r="G157" i="17"/>
  <c r="K157" i="17" l="1"/>
  <c r="L157" i="17" s="1"/>
  <c r="F157" i="17"/>
  <c r="M157" i="17" l="1"/>
  <c r="H158" i="17" s="1"/>
  <c r="C158" i="17" l="1"/>
  <c r="B158" i="17"/>
  <c r="D158" i="17"/>
  <c r="E158" i="17" s="1"/>
  <c r="I158" i="17"/>
  <c r="J158" i="17" l="1"/>
  <c r="G158" i="17"/>
  <c r="K158" i="17" l="1"/>
  <c r="L158" i="17" s="1"/>
  <c r="F158" i="17"/>
  <c r="M158" i="17" l="1"/>
  <c r="C159" i="17" l="1"/>
  <c r="D159" i="17"/>
  <c r="E159" i="17" s="1"/>
  <c r="I159" i="17"/>
  <c r="H159" i="17"/>
  <c r="B159" i="17"/>
  <c r="J159" i="17" l="1"/>
  <c r="G159" i="17"/>
  <c r="F159" i="17" s="1"/>
  <c r="K159" i="17" l="1"/>
  <c r="L159" i="17" s="1"/>
  <c r="M159" i="17" l="1"/>
  <c r="I160" i="17" l="1"/>
  <c r="B160" i="17"/>
  <c r="H160" i="17"/>
  <c r="C160" i="17"/>
  <c r="D160" i="17"/>
  <c r="E160" i="17" s="1"/>
  <c r="G160" i="17" s="1"/>
  <c r="J160" i="17" l="1"/>
  <c r="K160" i="17" s="1"/>
  <c r="L160" i="17" s="1"/>
  <c r="F160" i="17"/>
  <c r="M160" i="17" l="1"/>
  <c r="C161" i="17" l="1"/>
  <c r="H161" i="17"/>
  <c r="I161" i="17"/>
  <c r="D161" i="17"/>
  <c r="E161" i="17" s="1"/>
  <c r="J161" i="17" s="1"/>
  <c r="B161" i="17"/>
  <c r="G161" i="17" l="1"/>
  <c r="F161" i="17" s="1"/>
  <c r="K161" i="17" l="1"/>
  <c r="L161" i="17" l="1"/>
  <c r="M161" i="17" s="1"/>
  <c r="C162" i="17" l="1"/>
  <c r="H162" i="17"/>
  <c r="I162" i="17"/>
  <c r="B162" i="17"/>
  <c r="D162" i="17"/>
  <c r="E162" i="17" s="1"/>
  <c r="J162" i="17" s="1"/>
  <c r="G162" i="17" l="1"/>
  <c r="K162" i="17" s="1"/>
  <c r="L162" i="17" s="1"/>
  <c r="F162" i="17" l="1"/>
  <c r="M162" i="17" s="1"/>
  <c r="C163" i="17" s="1"/>
  <c r="B163" i="17" l="1"/>
  <c r="D163" i="17"/>
  <c r="E163" i="17" s="1"/>
  <c r="J163" i="17" s="1"/>
  <c r="I163" i="17"/>
  <c r="H163" i="17"/>
  <c r="G163" i="17" l="1"/>
  <c r="K163" i="17" s="1"/>
  <c r="L163" i="17" s="1"/>
  <c r="F163" i="17" l="1"/>
  <c r="M163" i="17" s="1"/>
  <c r="D164" i="17" s="1"/>
  <c r="E164" i="17" s="1"/>
  <c r="J164" i="17" s="1"/>
  <c r="I164" i="17" l="1"/>
  <c r="H164" i="17"/>
  <c r="C164" i="17"/>
  <c r="B164" i="17"/>
  <c r="G164" i="17"/>
  <c r="K164" i="17" l="1"/>
  <c r="L164" i="17" s="1"/>
  <c r="F164" i="17"/>
  <c r="M164" i="17" l="1"/>
  <c r="H165" i="17" s="1"/>
  <c r="C165" i="17" l="1"/>
  <c r="D165" i="17"/>
  <c r="E165" i="17" s="1"/>
  <c r="B165" i="17"/>
  <c r="I165" i="17"/>
  <c r="J165" i="17" l="1"/>
  <c r="G165" i="17"/>
  <c r="K165" i="17" l="1"/>
  <c r="L165" i="17" s="1"/>
  <c r="F165" i="17"/>
  <c r="M165" i="17" l="1"/>
  <c r="H166" i="17" s="1"/>
  <c r="C166" i="17" l="1"/>
  <c r="D166" i="17"/>
  <c r="E166" i="17" s="1"/>
  <c r="B166" i="17"/>
  <c r="I166" i="17"/>
  <c r="J166" i="17" l="1"/>
  <c r="G166" i="17"/>
  <c r="F166" i="17" s="1"/>
  <c r="K166" i="17" l="1"/>
  <c r="L166" i="17" l="1"/>
  <c r="M166" i="17" s="1"/>
  <c r="D167" i="17" l="1"/>
  <c r="E167" i="17" s="1"/>
  <c r="J167" i="17" s="1"/>
  <c r="I167" i="17"/>
  <c r="H167" i="17"/>
  <c r="C167" i="17"/>
  <c r="B167" i="17"/>
  <c r="G167" i="17" l="1"/>
  <c r="K167" i="17" s="1"/>
  <c r="L167" i="17" s="1"/>
  <c r="F167" i="17" l="1"/>
  <c r="M167" i="17" s="1"/>
  <c r="D168" i="17" s="1"/>
  <c r="E168" i="17" s="1"/>
  <c r="J168" i="17" s="1"/>
  <c r="I168" i="17" l="1"/>
  <c r="H168" i="17"/>
  <c r="C168" i="17"/>
  <c r="B168" i="17"/>
  <c r="G168" i="17"/>
  <c r="K168" i="17" l="1"/>
  <c r="L168" i="17" s="1"/>
  <c r="F168" i="17"/>
  <c r="M168" i="17" l="1"/>
  <c r="H169" i="17" s="1"/>
  <c r="C169" i="17" l="1"/>
  <c r="B169" i="17"/>
  <c r="D169" i="17"/>
  <c r="E169" i="17" s="1"/>
  <c r="I169" i="17"/>
  <c r="J169" i="17" l="1"/>
  <c r="G169" i="17"/>
  <c r="K169" i="17" l="1"/>
  <c r="L169" i="17" s="1"/>
  <c r="F169" i="17"/>
  <c r="M169" i="17" l="1"/>
  <c r="H170" i="17" s="1"/>
  <c r="B170" i="17" l="1"/>
  <c r="D170" i="17"/>
  <c r="E170" i="17" s="1"/>
  <c r="C170" i="17"/>
  <c r="I170" i="17"/>
  <c r="J170" i="17" l="1"/>
  <c r="G170" i="17"/>
  <c r="F170" i="17" s="1"/>
  <c r="K170" i="17" l="1"/>
  <c r="L170" i="17" s="1"/>
  <c r="M170" i="17" s="1"/>
  <c r="B171" i="17" l="1"/>
  <c r="D171" i="17"/>
  <c r="E171" i="17" s="1"/>
  <c r="J171" i="17" s="1"/>
  <c r="H171" i="17"/>
  <c r="I171" i="17"/>
  <c r="C171" i="17"/>
  <c r="G171" i="17" l="1"/>
  <c r="F171" i="17" s="1"/>
  <c r="K171" i="17" l="1"/>
  <c r="L171" i="17" s="1"/>
  <c r="M171" i="17" s="1"/>
  <c r="I172" i="17" l="1"/>
  <c r="B172" i="17"/>
  <c r="C172" i="17"/>
  <c r="H172" i="17"/>
  <c r="D172" i="17"/>
  <c r="E172" i="17" s="1"/>
  <c r="J172" i="17" s="1"/>
  <c r="G172" i="17" l="1"/>
  <c r="F172" i="17" s="1"/>
  <c r="K172" i="17" l="1"/>
  <c r="L172" i="17" s="1"/>
  <c r="M172" i="17" l="1"/>
  <c r="H173" i="17" l="1"/>
  <c r="I173" i="17"/>
  <c r="B173" i="17"/>
  <c r="C173" i="17"/>
  <c r="D173" i="17"/>
  <c r="E173" i="17" s="1"/>
  <c r="G173" i="17" s="1"/>
  <c r="J173" i="17" l="1"/>
  <c r="K173" i="17" s="1"/>
  <c r="L173" i="17" s="1"/>
  <c r="F173" i="17"/>
  <c r="M173" i="17" l="1"/>
  <c r="C174" i="17" l="1"/>
  <c r="B174" i="17"/>
  <c r="H174" i="17"/>
  <c r="I174" i="17"/>
  <c r="D174" i="17"/>
  <c r="E174" i="17" s="1"/>
  <c r="J174" i="17" s="1"/>
  <c r="G174" i="17" l="1"/>
  <c r="K174" i="17" s="1"/>
  <c r="L174" i="17" s="1"/>
  <c r="F174" i="17" l="1"/>
  <c r="M174" i="17" s="1"/>
  <c r="C175" i="17" l="1"/>
  <c r="I175" i="17"/>
  <c r="B175" i="17"/>
  <c r="H175" i="17"/>
  <c r="D175" i="17"/>
  <c r="E175" i="17" s="1"/>
  <c r="J175" i="17" s="1"/>
  <c r="G175" i="17" l="1"/>
  <c r="F175" i="17" s="1"/>
  <c r="K175" i="17" l="1"/>
  <c r="L175" i="17" s="1"/>
  <c r="M175" i="17" l="1"/>
  <c r="H176" i="17" l="1"/>
  <c r="I176" i="17"/>
  <c r="D176" i="17"/>
  <c r="E176" i="17" s="1"/>
  <c r="G176" i="17" s="1"/>
  <c r="B176" i="17"/>
  <c r="C176" i="17"/>
  <c r="J176" i="17" l="1"/>
  <c r="K176" i="17" s="1"/>
  <c r="L176" i="17" s="1"/>
  <c r="F176" i="17"/>
  <c r="M176" i="17" l="1"/>
  <c r="D177" i="17" l="1"/>
  <c r="E177" i="17" s="1"/>
  <c r="J177" i="17" s="1"/>
  <c r="H177" i="17"/>
  <c r="I177" i="17"/>
  <c r="B177" i="17"/>
  <c r="C177" i="17"/>
  <c r="G177" i="17" l="1"/>
  <c r="F177" i="17" s="1"/>
  <c r="K177" i="17" l="1"/>
  <c r="L177" i="17" l="1"/>
  <c r="M177" i="17" s="1"/>
  <c r="C178" i="17" l="1"/>
  <c r="D178" i="17"/>
  <c r="E178" i="17" s="1"/>
  <c r="J178" i="17" s="1"/>
  <c r="H178" i="17"/>
  <c r="B178" i="17"/>
  <c r="I178" i="17"/>
  <c r="G178" i="17" l="1"/>
  <c r="K178" i="17" s="1"/>
  <c r="L178" i="17" s="1"/>
  <c r="F178" i="17" l="1"/>
  <c r="M178" i="17" s="1"/>
  <c r="I179" i="17" s="1"/>
  <c r="B179" i="17" l="1"/>
  <c r="D179" i="17"/>
  <c r="E179" i="17" s="1"/>
  <c r="J179" i="17" s="1"/>
  <c r="C179" i="17"/>
  <c r="H179" i="17"/>
  <c r="G179" i="17" l="1"/>
  <c r="F179" i="17" s="1"/>
  <c r="K179" i="17" l="1"/>
  <c r="L179" i="17"/>
  <c r="M179" i="17" s="1"/>
  <c r="H180" i="17" l="1"/>
  <c r="C180" i="17"/>
  <c r="B180" i="17"/>
  <c r="I180" i="17"/>
  <c r="D180" i="17"/>
  <c r="E180" i="17" s="1"/>
  <c r="J180" i="17" s="1"/>
  <c r="G180" i="17" l="1"/>
  <c r="F180" i="17" s="1"/>
  <c r="K180" i="17" l="1"/>
  <c r="L180" i="17"/>
  <c r="M180" i="17" s="1"/>
  <c r="I181" i="17" l="1"/>
  <c r="D181" i="17"/>
  <c r="E181" i="17" s="1"/>
  <c r="J181" i="17" s="1"/>
  <c r="C181" i="17"/>
  <c r="B181" i="17"/>
  <c r="H181" i="17"/>
  <c r="G181" i="17" l="1"/>
  <c r="F181" i="17" s="1"/>
  <c r="K181" i="17" l="1"/>
  <c r="L181" i="17" s="1"/>
  <c r="M181" i="17" s="1"/>
  <c r="H182" i="17" l="1"/>
  <c r="B182" i="17"/>
  <c r="C182" i="17"/>
  <c r="I182" i="17"/>
  <c r="D182" i="17"/>
  <c r="E182" i="17" s="1"/>
  <c r="J182" i="17" s="1"/>
  <c r="G182" i="17" l="1"/>
  <c r="F182" i="17" l="1"/>
  <c r="K182" i="17"/>
  <c r="L182" i="17" s="1"/>
  <c r="M182" i="17" l="1"/>
  <c r="H183" i="17" l="1"/>
  <c r="B183" i="17"/>
  <c r="I183" i="17"/>
  <c r="D183" i="17"/>
  <c r="E183" i="17" s="1"/>
  <c r="C183" i="17"/>
  <c r="J183" i="17" l="1"/>
  <c r="G183" i="17"/>
  <c r="F183" i="17" l="1"/>
  <c r="K183" i="17"/>
  <c r="L183" i="17" l="1"/>
  <c r="M183" i="17" s="1"/>
  <c r="C184" i="17" l="1"/>
  <c r="H184" i="17"/>
  <c r="I184" i="17"/>
  <c r="B184" i="17"/>
  <c r="D184" i="17"/>
  <c r="E184" i="17" s="1"/>
  <c r="G184" i="17" s="1"/>
  <c r="F184" i="17" s="1"/>
  <c r="J184" i="17" l="1"/>
  <c r="K184" i="17" s="1"/>
  <c r="L184" i="17" s="1"/>
  <c r="M184" i="17" s="1"/>
  <c r="H185" i="17" l="1"/>
  <c r="D185" i="17"/>
  <c r="E185" i="17" s="1"/>
  <c r="J185" i="17" s="1"/>
  <c r="B185" i="17"/>
  <c r="C185" i="17"/>
  <c r="I185" i="17"/>
  <c r="G185" i="17" l="1"/>
  <c r="F185" i="17" s="1"/>
  <c r="K185" i="17" l="1"/>
  <c r="L185" i="17" s="1"/>
  <c r="M185" i="17" s="1"/>
  <c r="H186" i="17" l="1"/>
  <c r="I186" i="17"/>
  <c r="D186" i="17"/>
  <c r="E186" i="17" s="1"/>
  <c r="G186" i="17" s="1"/>
  <c r="F186" i="17" s="1"/>
  <c r="C186" i="17"/>
  <c r="B186" i="17"/>
  <c r="J186" i="17" l="1"/>
  <c r="K186" i="17" s="1"/>
  <c r="L186" i="17" s="1"/>
  <c r="M186" i="17" l="1"/>
  <c r="H187" i="17" l="1"/>
  <c r="I187" i="17"/>
  <c r="B187" i="17"/>
  <c r="C187" i="17"/>
  <c r="D187" i="17"/>
  <c r="E187" i="17" s="1"/>
  <c r="G187" i="17" s="1"/>
  <c r="J187" i="17" l="1"/>
  <c r="K187" i="17" s="1"/>
  <c r="L187" i="17" s="1"/>
  <c r="F187" i="17"/>
  <c r="M187" i="17" l="1"/>
  <c r="C188" i="17" l="1"/>
  <c r="D188" i="17"/>
  <c r="E188" i="17" s="1"/>
  <c r="J188" i="17" s="1"/>
  <c r="H188" i="17"/>
  <c r="I188" i="17"/>
  <c r="B188" i="17"/>
  <c r="G188" i="17" l="1"/>
  <c r="F188" i="17" s="1"/>
  <c r="K188" i="17" l="1"/>
  <c r="L188" i="17" l="1"/>
  <c r="M188" i="17" s="1"/>
  <c r="I189" i="17" l="1"/>
  <c r="D189" i="17"/>
  <c r="E189" i="17" s="1"/>
  <c r="G189" i="17" s="1"/>
  <c r="F189" i="17" s="1"/>
  <c r="H189" i="17"/>
  <c r="B189" i="17"/>
  <c r="C189" i="17"/>
  <c r="J189" i="17" l="1"/>
  <c r="K189" i="17" s="1"/>
  <c r="L189" i="17" s="1"/>
  <c r="M189" i="17" s="1"/>
  <c r="I190" i="17" l="1"/>
  <c r="H190" i="17"/>
  <c r="B190" i="17"/>
  <c r="D190" i="17"/>
  <c r="E190" i="17" s="1"/>
  <c r="G190" i="17" s="1"/>
  <c r="C190" i="17"/>
  <c r="J190" i="17" l="1"/>
  <c r="K190" i="17" s="1"/>
  <c r="L190" i="17" s="1"/>
  <c r="F190" i="17"/>
  <c r="M190" i="17" l="1"/>
  <c r="B191" i="17" l="1"/>
  <c r="H191" i="17"/>
  <c r="I191" i="17"/>
  <c r="C191" i="17"/>
  <c r="D191" i="17"/>
  <c r="E191" i="17" s="1"/>
  <c r="J191" i="17" s="1"/>
  <c r="G191" i="17" l="1"/>
  <c r="F191" i="17" s="1"/>
  <c r="K191" i="17" l="1"/>
  <c r="L191" i="17" l="1"/>
  <c r="M191" i="17" s="1"/>
  <c r="H192" i="17" l="1"/>
  <c r="I192" i="17"/>
  <c r="C192" i="17"/>
  <c r="D192" i="17"/>
  <c r="E192" i="17" s="1"/>
  <c r="J192" i="17" s="1"/>
  <c r="B192" i="17"/>
  <c r="G192" i="17" l="1"/>
  <c r="F192" i="17" s="1"/>
  <c r="K192" i="17" l="1"/>
  <c r="L192" i="17"/>
  <c r="M192" i="17" s="1"/>
  <c r="I193" i="17" l="1"/>
  <c r="B193" i="17"/>
  <c r="D193" i="17"/>
  <c r="E193" i="17" s="1"/>
  <c r="G193" i="17" s="1"/>
  <c r="F193" i="17" s="1"/>
  <c r="H193" i="17"/>
  <c r="C193" i="17"/>
  <c r="J193" i="17"/>
  <c r="K193" i="17" l="1"/>
  <c r="L193" i="17" l="1"/>
  <c r="M193" i="17" s="1"/>
  <c r="H194" i="17" l="1"/>
  <c r="I194" i="17"/>
  <c r="B194" i="17"/>
  <c r="D194" i="17"/>
  <c r="E194" i="17" s="1"/>
  <c r="G194" i="17" s="1"/>
  <c r="F194" i="17" s="1"/>
  <c r="C194" i="17"/>
  <c r="J194" i="17" l="1"/>
  <c r="K194" i="17" s="1"/>
  <c r="L194" i="17" s="1"/>
  <c r="M194" i="17" s="1"/>
  <c r="I195" i="17" l="1"/>
  <c r="H195" i="17"/>
  <c r="C195" i="17"/>
  <c r="B195" i="17"/>
  <c r="D195" i="17"/>
  <c r="E195" i="17" s="1"/>
  <c r="G195" i="17" l="1"/>
  <c r="F195" i="17" s="1"/>
  <c r="J195" i="17"/>
  <c r="K195" i="17" l="1"/>
  <c r="L195" i="17" l="1"/>
  <c r="M195" i="17" s="1"/>
  <c r="H196" i="17" l="1"/>
  <c r="D196" i="17"/>
  <c r="E196" i="17" s="1"/>
  <c r="J196" i="17" s="1"/>
  <c r="C196" i="17"/>
  <c r="B196" i="17"/>
  <c r="I196" i="17"/>
  <c r="G196" i="17" l="1"/>
  <c r="F196" i="17" s="1"/>
  <c r="K196" i="17" l="1"/>
  <c r="L196" i="17" s="1"/>
  <c r="M196" i="17" s="1"/>
  <c r="B197" i="17" l="1"/>
  <c r="D197" i="17"/>
  <c r="E197" i="17" s="1"/>
  <c r="J197" i="17" s="1"/>
  <c r="I197" i="17"/>
  <c r="C197" i="17"/>
  <c r="H197" i="17"/>
  <c r="G197" i="17" l="1"/>
  <c r="K197" i="17" s="1"/>
  <c r="L197" i="17" s="1"/>
  <c r="F197" i="17" l="1"/>
  <c r="M197" i="17" s="1"/>
  <c r="D198" i="17" s="1"/>
  <c r="H198" i="17" l="1"/>
  <c r="E198" i="17"/>
  <c r="G198" i="17" s="1"/>
  <c r="F198" i="17" s="1"/>
  <c r="B198" i="17"/>
  <c r="I198" i="17"/>
  <c r="C198" i="17"/>
  <c r="J198" i="17"/>
  <c r="K198" i="17" l="1"/>
  <c r="L198" i="17" l="1"/>
  <c r="M198" i="17" s="1"/>
  <c r="H199" i="17" l="1"/>
  <c r="D199" i="17"/>
  <c r="E199" i="17" s="1"/>
  <c r="J199" i="17" s="1"/>
  <c r="C199" i="17"/>
  <c r="B199" i="17"/>
  <c r="I199" i="17"/>
  <c r="G199" i="17" l="1"/>
  <c r="F199" i="17" s="1"/>
  <c r="K199" i="17" l="1"/>
  <c r="L199" i="17"/>
  <c r="M199" i="17" s="1"/>
  <c r="H200" i="17" l="1"/>
  <c r="C200" i="17"/>
  <c r="B200" i="17"/>
  <c r="D200" i="17"/>
  <c r="E200" i="17" s="1"/>
  <c r="J200" i="17" s="1"/>
  <c r="I200" i="17"/>
  <c r="G200" i="17" l="1"/>
  <c r="F200" i="17" s="1"/>
  <c r="K200" i="17" l="1"/>
  <c r="L200" i="17" s="1"/>
  <c r="M200" i="17" s="1"/>
  <c r="H201" i="17" s="1"/>
  <c r="I201" i="17" l="1"/>
  <c r="C201" i="17"/>
  <c r="B201" i="17"/>
  <c r="D201" i="17"/>
  <c r="E201" i="17" s="1"/>
  <c r="J201" i="17" s="1"/>
  <c r="G201" i="17" l="1"/>
  <c r="K201" i="17" s="1"/>
  <c r="L201" i="17" s="1"/>
  <c r="F201" i="17" l="1"/>
  <c r="M201" i="17" s="1"/>
  <c r="H202" i="17" l="1"/>
  <c r="B202" i="17"/>
  <c r="D202" i="17"/>
  <c r="E202" i="17" s="1"/>
  <c r="C202" i="17"/>
  <c r="I202" i="17"/>
  <c r="J202" i="17" l="1"/>
  <c r="G202" i="17"/>
  <c r="F202" i="17" s="1"/>
  <c r="K202" i="17" l="1"/>
  <c r="L202" i="17" s="1"/>
  <c r="M202" i="17" l="1"/>
  <c r="H203" i="17" l="1"/>
  <c r="I203" i="17"/>
  <c r="C203" i="17"/>
  <c r="D203" i="17"/>
  <c r="E203" i="17" s="1"/>
  <c r="B203" i="17"/>
  <c r="G203" i="17" l="1"/>
  <c r="F203" i="17" s="1"/>
  <c r="J203" i="17"/>
  <c r="K203" i="17" l="1"/>
  <c r="L203" i="17" s="1"/>
  <c r="M203" i="17" s="1"/>
  <c r="I204" i="17" l="1"/>
  <c r="H204" i="17"/>
  <c r="C204" i="17"/>
  <c r="D204" i="17"/>
  <c r="E204" i="17" s="1"/>
  <c r="J204" i="17" s="1"/>
  <c r="B204" i="17"/>
  <c r="G204" i="17" l="1"/>
  <c r="F204" i="17" s="1"/>
  <c r="K204" i="17" l="1"/>
  <c r="L204" i="17" l="1"/>
  <c r="M204" i="17" s="1"/>
  <c r="B205" i="17" l="1"/>
  <c r="H205" i="17"/>
  <c r="D205" i="17"/>
  <c r="E205" i="17" s="1"/>
  <c r="J205" i="17" s="1"/>
  <c r="I205" i="17"/>
  <c r="C205" i="17"/>
  <c r="G205" i="17" l="1"/>
  <c r="F205" i="17" s="1"/>
  <c r="K205" i="17" l="1"/>
  <c r="L205" i="17" s="1"/>
  <c r="M205" i="17" s="1"/>
  <c r="D206" i="17" l="1"/>
  <c r="E206" i="17" s="1"/>
  <c r="J206" i="17" s="1"/>
  <c r="B206" i="17"/>
  <c r="C206" i="17"/>
  <c r="I206" i="17"/>
  <c r="H206" i="17"/>
  <c r="G206" i="17" l="1"/>
  <c r="F206" i="17" s="1"/>
  <c r="K206" i="17" l="1"/>
  <c r="L206" i="17" s="1"/>
  <c r="M206" i="17" s="1"/>
  <c r="D207" i="17" s="1"/>
  <c r="E207" i="17" s="1"/>
  <c r="G207" i="17" s="1"/>
  <c r="F207" i="17" s="1"/>
  <c r="J207" i="17" l="1"/>
  <c r="C207" i="17"/>
  <c r="I207" i="17"/>
  <c r="B207" i="17"/>
  <c r="H207" i="17"/>
  <c r="K207" i="17" l="1"/>
  <c r="L207" i="17" s="1"/>
  <c r="M207" i="17" s="1"/>
  <c r="D208" i="17" s="1"/>
  <c r="E208" i="17" s="1"/>
  <c r="J208" i="17" s="1"/>
  <c r="I208" i="17" l="1"/>
  <c r="C208" i="17"/>
  <c r="B208" i="17"/>
  <c r="H208" i="17"/>
  <c r="G208" i="17"/>
  <c r="F208" i="17" s="1"/>
  <c r="K208" i="17" l="1"/>
  <c r="L208" i="17" s="1"/>
  <c r="M208" i="17" l="1"/>
  <c r="B209" i="17" l="1"/>
  <c r="H209" i="17"/>
  <c r="I209" i="17"/>
  <c r="C209" i="17"/>
  <c r="D209" i="17"/>
  <c r="E209" i="17" s="1"/>
  <c r="G209" i="17" s="1"/>
  <c r="J209" i="17" l="1"/>
  <c r="K209" i="17" s="1"/>
  <c r="L209" i="17" s="1"/>
  <c r="F209" i="17"/>
  <c r="M209" i="17" l="1"/>
  <c r="I210" i="17" l="1"/>
  <c r="H210" i="17"/>
  <c r="C210" i="17"/>
  <c r="B210" i="17"/>
  <c r="D210" i="17"/>
  <c r="E210" i="17" s="1"/>
  <c r="J210" i="17" s="1"/>
  <c r="G210" i="17" l="1"/>
  <c r="F210" i="17" s="1"/>
  <c r="K210" i="17" l="1"/>
  <c r="L210" i="17" s="1"/>
  <c r="M210" i="17" s="1"/>
  <c r="H211" i="17" l="1"/>
  <c r="D211" i="17"/>
  <c r="E211" i="17" s="1"/>
  <c r="G211" i="17" s="1"/>
  <c r="B211" i="17"/>
  <c r="I211" i="17"/>
  <c r="C211" i="17"/>
  <c r="J211" i="17" l="1"/>
  <c r="K211" i="17" s="1"/>
  <c r="L211" i="17" s="1"/>
  <c r="F211" i="17"/>
  <c r="M211" i="17" l="1"/>
  <c r="H212" i="17" l="1"/>
  <c r="B212" i="17"/>
  <c r="C212" i="17"/>
  <c r="D212" i="17"/>
  <c r="E212" i="17" s="1"/>
  <c r="J212" i="17" s="1"/>
  <c r="I212" i="17"/>
  <c r="G212" i="17" l="1"/>
  <c r="F212" i="17" s="1"/>
  <c r="K212" i="17" l="1"/>
  <c r="L212" i="17" l="1"/>
  <c r="M212" i="17" s="1"/>
  <c r="I213" i="17" l="1"/>
  <c r="C213" i="17"/>
  <c r="H213" i="17"/>
  <c r="B213" i="17"/>
  <c r="D213" i="17"/>
  <c r="E213" i="17" s="1"/>
  <c r="J213" i="17" s="1"/>
  <c r="G213" i="17" l="1"/>
  <c r="F213" i="17" s="1"/>
  <c r="K213" i="17" l="1"/>
  <c r="L213" i="17" s="1"/>
  <c r="M213" i="17" s="1"/>
  <c r="I214" i="17" l="1"/>
  <c r="D214" i="17"/>
  <c r="E214" i="17" s="1"/>
  <c r="J214" i="17" s="1"/>
  <c r="C214" i="17"/>
  <c r="B214" i="17"/>
  <c r="H214" i="17"/>
  <c r="G214" i="17" l="1"/>
  <c r="F214" i="17" s="1"/>
  <c r="K214" i="17" l="1"/>
  <c r="L214" i="17" s="1"/>
  <c r="M214" i="17" s="1"/>
  <c r="I215" i="17" s="1"/>
  <c r="D215" i="17" l="1"/>
  <c r="E215" i="17" s="1"/>
  <c r="G215" i="17" s="1"/>
  <c r="F215" i="17" s="1"/>
  <c r="B215" i="17"/>
  <c r="C215" i="17"/>
  <c r="H215" i="17"/>
  <c r="J215" i="17"/>
  <c r="K215" i="17" l="1"/>
  <c r="L215" i="17" s="1"/>
  <c r="M215" i="17" s="1"/>
  <c r="C216" i="17" l="1"/>
  <c r="H216" i="17"/>
  <c r="I216" i="17"/>
  <c r="D216" i="17"/>
  <c r="E216" i="17" s="1"/>
  <c r="B216" i="17"/>
  <c r="G216" i="17" l="1"/>
  <c r="F216" i="17" s="1"/>
  <c r="J216" i="17"/>
  <c r="K216" i="17" l="1"/>
  <c r="L216" i="17" l="1"/>
  <c r="M216" i="17" s="1"/>
  <c r="I217" i="17" l="1"/>
  <c r="C217" i="17"/>
  <c r="D217" i="17"/>
  <c r="E217" i="17" s="1"/>
  <c r="G217" i="17" s="1"/>
  <c r="F217" i="17" s="1"/>
  <c r="H217" i="17"/>
  <c r="B217" i="17"/>
  <c r="J217" i="17" l="1"/>
  <c r="K217" i="17" s="1"/>
  <c r="L217" i="17" s="1"/>
  <c r="M217" i="17" s="1"/>
  <c r="B218" i="17" l="1"/>
  <c r="I218" i="17"/>
  <c r="H218" i="17"/>
  <c r="C218" i="17"/>
  <c r="D218" i="17"/>
  <c r="E218" i="17" s="1"/>
  <c r="G218" i="17" s="1"/>
  <c r="J218" i="17" l="1"/>
  <c r="K218" i="17" s="1"/>
  <c r="L218" i="17" s="1"/>
  <c r="F218" i="17"/>
  <c r="M218" i="17" l="1"/>
  <c r="H219" i="17" l="1"/>
  <c r="C219" i="17"/>
  <c r="D219" i="17"/>
  <c r="E219" i="17" s="1"/>
  <c r="J219" i="17" s="1"/>
  <c r="I219" i="17"/>
  <c r="B219" i="17"/>
  <c r="G219" i="17" l="1"/>
  <c r="F219" i="17" s="1"/>
  <c r="K219" i="17" l="1"/>
  <c r="L219" i="17" l="1"/>
  <c r="M219" i="17" s="1"/>
  <c r="H220" i="17" l="1"/>
  <c r="B220" i="17"/>
  <c r="D220" i="17"/>
  <c r="E220" i="17" s="1"/>
  <c r="G220" i="17" s="1"/>
  <c r="F220" i="17" s="1"/>
  <c r="I220" i="17"/>
  <c r="C220" i="17"/>
  <c r="J220" i="17"/>
  <c r="K220" i="17" l="1"/>
  <c r="L220" i="17" s="1"/>
  <c r="M220" i="17" s="1"/>
  <c r="B221" i="17" l="1"/>
  <c r="I221" i="17"/>
  <c r="C221" i="17"/>
  <c r="H221" i="17"/>
  <c r="D221" i="17"/>
  <c r="E221" i="17" s="1"/>
  <c r="J221" i="17" s="1"/>
  <c r="G221" i="17" l="1"/>
  <c r="F221" i="17" s="1"/>
  <c r="K221" i="17" l="1"/>
  <c r="L221" i="17" l="1"/>
  <c r="M221" i="17" s="1"/>
  <c r="H222" i="17" l="1"/>
  <c r="B222" i="17"/>
  <c r="D222" i="17"/>
  <c r="E222" i="17" s="1"/>
  <c r="J222" i="17" s="1"/>
  <c r="I222" i="17"/>
  <c r="C222" i="17"/>
  <c r="G222" i="17" l="1"/>
  <c r="K222" i="17" s="1"/>
  <c r="L222" i="17" s="1"/>
  <c r="F222" i="17" l="1"/>
  <c r="M222" i="17" s="1"/>
  <c r="I223" i="17" s="1"/>
  <c r="C223" i="17" l="1"/>
  <c r="B223" i="17"/>
  <c r="H223" i="17"/>
  <c r="D223" i="17"/>
  <c r="E223" i="17" s="1"/>
  <c r="J223" i="17" s="1"/>
  <c r="G223" i="17" l="1"/>
  <c r="K223" i="17" s="1"/>
  <c r="L223" i="17" s="1"/>
  <c r="F223" i="17" l="1"/>
  <c r="M223" i="17" s="1"/>
  <c r="I224" i="17" s="1"/>
  <c r="H224" i="17" l="1"/>
  <c r="C224" i="17"/>
  <c r="D224" i="17"/>
  <c r="E224" i="17" s="1"/>
  <c r="G224" i="17" s="1"/>
  <c r="F224" i="17" s="1"/>
  <c r="B224" i="17"/>
  <c r="J224" i="17" l="1"/>
  <c r="K224" i="17" s="1"/>
  <c r="L224" i="17" l="1"/>
  <c r="M224" i="17" s="1"/>
  <c r="I225" i="17" l="1"/>
  <c r="C225" i="17"/>
  <c r="D225" i="17"/>
  <c r="E225" i="17" s="1"/>
  <c r="J225" i="17" s="1"/>
  <c r="B225" i="17"/>
  <c r="H225" i="17"/>
  <c r="G225" i="17" l="1"/>
  <c r="F225" i="17" s="1"/>
  <c r="K225" i="17" l="1"/>
  <c r="L225" i="17" s="1"/>
  <c r="M225" i="17" s="1"/>
  <c r="H226" i="17" l="1"/>
  <c r="I226" i="17"/>
  <c r="C226" i="17"/>
  <c r="D226" i="17"/>
  <c r="E226" i="17" s="1"/>
  <c r="J226" i="17" s="1"/>
  <c r="B226" i="17"/>
  <c r="G226" i="17" l="1"/>
  <c r="F226" i="17" s="1"/>
  <c r="K226" i="17" l="1"/>
  <c r="L226" i="17"/>
  <c r="M226" i="17" s="1"/>
  <c r="H227" i="17" l="1"/>
  <c r="I227" i="17"/>
  <c r="D227" i="17"/>
  <c r="E227" i="17" s="1"/>
  <c r="J227" i="17" s="1"/>
  <c r="C227" i="17"/>
  <c r="B227" i="17"/>
  <c r="G227" i="17" l="1"/>
  <c r="K227" i="17" s="1"/>
  <c r="L227" i="17" s="1"/>
  <c r="F227" i="17" l="1"/>
  <c r="M227" i="17" s="1"/>
  <c r="C228" i="17" s="1"/>
  <c r="D228" i="17" l="1"/>
  <c r="E228" i="17" s="1"/>
  <c r="G228" i="17" s="1"/>
  <c r="H228" i="17"/>
  <c r="I228" i="17"/>
  <c r="B228" i="17"/>
  <c r="J228" i="17" l="1"/>
  <c r="K228" i="17" s="1"/>
  <c r="L228" i="17" s="1"/>
  <c r="F228" i="17"/>
  <c r="M228" i="17" l="1"/>
  <c r="H229" i="17" s="1"/>
  <c r="C229" i="17" l="1"/>
  <c r="D229" i="17"/>
  <c r="E229" i="17" s="1"/>
  <c r="B229" i="17"/>
  <c r="I229" i="17"/>
  <c r="J229" i="17" l="1"/>
  <c r="G229" i="17"/>
  <c r="K229" i="17" l="1"/>
  <c r="L229" i="17" s="1"/>
  <c r="F229" i="17"/>
  <c r="M229" i="17" l="1"/>
  <c r="D230" i="17" s="1"/>
  <c r="H230" i="17" l="1"/>
  <c r="B230" i="17"/>
  <c r="C230" i="17"/>
  <c r="I230" i="17"/>
  <c r="E230" i="17"/>
  <c r="J230" i="17" l="1"/>
  <c r="G230" i="17"/>
  <c r="K230" i="17" l="1"/>
  <c r="L230" i="17" s="1"/>
  <c r="F230" i="17"/>
  <c r="M230" i="17" l="1"/>
  <c r="H231" i="17" s="1"/>
  <c r="B231" i="17" l="1"/>
  <c r="D231" i="17"/>
  <c r="E231" i="17" s="1"/>
  <c r="C231" i="17"/>
  <c r="I231" i="17"/>
  <c r="J231" i="17" l="1"/>
  <c r="G231" i="17"/>
  <c r="K231" i="17" l="1"/>
  <c r="L231" i="17" s="1"/>
  <c r="F231" i="17"/>
  <c r="M231" i="17" l="1"/>
  <c r="H232" i="17" s="1"/>
  <c r="C232" i="17" l="1"/>
  <c r="B232" i="17"/>
  <c r="D232" i="17"/>
  <c r="E232" i="17" s="1"/>
  <c r="I232" i="17"/>
  <c r="J232" i="17" l="1"/>
  <c r="G232" i="17"/>
  <c r="F232" i="17" s="1"/>
  <c r="K232" i="17" l="1"/>
  <c r="L232" i="17" l="1"/>
  <c r="M232" i="17" s="1"/>
  <c r="H233" i="17" l="1"/>
  <c r="D233" i="17"/>
  <c r="E233" i="17" s="1"/>
  <c r="J233" i="17" s="1"/>
  <c r="I233" i="17"/>
  <c r="C233" i="17"/>
  <c r="B233" i="17"/>
  <c r="G233" i="17" l="1"/>
  <c r="F233" i="17" s="1"/>
  <c r="K233" i="17" l="1"/>
  <c r="L233" i="17" s="1"/>
  <c r="M233" i="17" s="1"/>
  <c r="I234" i="17" l="1"/>
  <c r="B234" i="17"/>
  <c r="H234" i="17"/>
  <c r="C234" i="17"/>
  <c r="D234" i="17"/>
  <c r="E234" i="17" s="1"/>
  <c r="G234" i="17" s="1"/>
  <c r="J234" i="17" l="1"/>
  <c r="K234" i="17" s="1"/>
  <c r="L234" i="17" s="1"/>
  <c r="F234" i="17"/>
  <c r="M234" i="17" l="1"/>
  <c r="C235" i="17" l="1"/>
  <c r="H235" i="17"/>
  <c r="I235" i="17"/>
  <c r="B235" i="17"/>
  <c r="D235" i="17"/>
  <c r="E235" i="17" s="1"/>
  <c r="G235" i="17" l="1"/>
  <c r="F235" i="17" s="1"/>
  <c r="J235" i="17"/>
  <c r="K235" i="17" l="1"/>
  <c r="L235" i="17" l="1"/>
  <c r="M235" i="17" s="1"/>
  <c r="H236" i="17" l="1"/>
  <c r="I236" i="17"/>
  <c r="D236" i="17"/>
  <c r="E236" i="17" s="1"/>
  <c r="G236" i="17" s="1"/>
  <c r="F236" i="17" s="1"/>
  <c r="B236" i="17"/>
  <c r="C236" i="17"/>
  <c r="J236" i="17" l="1"/>
  <c r="K236" i="17" s="1"/>
  <c r="L236" i="17" s="1"/>
  <c r="M236" i="17" s="1"/>
  <c r="B237" i="17" l="1"/>
  <c r="C237" i="17"/>
  <c r="H237" i="17"/>
  <c r="I237" i="17"/>
  <c r="D237" i="17"/>
  <c r="E237" i="17" s="1"/>
  <c r="J237" i="17" s="1"/>
  <c r="G237" i="17" l="1"/>
  <c r="F237" i="17" s="1"/>
  <c r="K237" i="17" l="1"/>
  <c r="L237" i="17" l="1"/>
  <c r="M237" i="17" s="1"/>
  <c r="D238" i="17" l="1"/>
  <c r="E238" i="17" s="1"/>
  <c r="G238" i="17" s="1"/>
  <c r="F238" i="17" s="1"/>
  <c r="C238" i="17"/>
  <c r="B238" i="17"/>
  <c r="H238" i="17"/>
  <c r="I238" i="17"/>
  <c r="J238" i="17" l="1"/>
  <c r="K238" i="17" s="1"/>
  <c r="L238" i="17" s="1"/>
  <c r="M238" i="17" s="1"/>
  <c r="C239" i="17" l="1"/>
  <c r="D239" i="17"/>
  <c r="E239" i="17" s="1"/>
  <c r="G239" i="17" s="1"/>
  <c r="F239" i="17" s="1"/>
  <c r="H239" i="17"/>
  <c r="B239" i="17"/>
  <c r="I239" i="17"/>
  <c r="J239" i="17" l="1"/>
  <c r="K239" i="17" s="1"/>
  <c r="L239" i="17" s="1"/>
  <c r="M239" i="17" s="1"/>
  <c r="C240" i="17" l="1"/>
  <c r="H240" i="17"/>
  <c r="I240" i="17"/>
  <c r="B240" i="17"/>
  <c r="D240" i="17"/>
  <c r="E240" i="17" s="1"/>
  <c r="G240" i="17" s="1"/>
  <c r="F240" i="17" s="1"/>
  <c r="J240" i="17" l="1"/>
  <c r="K240" i="17" s="1"/>
  <c r="L240" i="17" s="1"/>
  <c r="M240" i="17" s="1"/>
  <c r="B241" i="17" l="1"/>
  <c r="H241" i="17"/>
  <c r="I241" i="17"/>
  <c r="D241" i="17"/>
  <c r="E241" i="17" s="1"/>
  <c r="G241" i="17" s="1"/>
  <c r="C241" i="17"/>
  <c r="J241" i="17" l="1"/>
  <c r="K241" i="17" s="1"/>
  <c r="L241" i="17" s="1"/>
  <c r="F241" i="17"/>
  <c r="M241" i="17" l="1"/>
  <c r="C242" i="17" l="1"/>
  <c r="H242" i="17"/>
  <c r="D242" i="17"/>
  <c r="E242" i="17" s="1"/>
  <c r="J242" i="17" s="1"/>
  <c r="I242" i="17"/>
  <c r="B242" i="17"/>
  <c r="G242" i="17" l="1"/>
  <c r="F242" i="17" s="1"/>
  <c r="K242" i="17" l="1"/>
  <c r="L242" i="17" l="1"/>
  <c r="M242" i="17" s="1"/>
  <c r="I243" i="17" l="1"/>
  <c r="B243" i="17"/>
  <c r="C243" i="17"/>
  <c r="H243" i="17"/>
  <c r="D243" i="17"/>
  <c r="E243" i="17" s="1"/>
  <c r="G243" i="17" s="1"/>
  <c r="F243" i="17" s="1"/>
  <c r="J243" i="17" l="1"/>
  <c r="K243" i="17" s="1"/>
  <c r="L243" i="17" l="1"/>
  <c r="M243" i="17" s="1"/>
  <c r="C244" i="17" l="1"/>
  <c r="D244" i="17"/>
  <c r="E244" i="17" s="1"/>
  <c r="G244" i="17" s="1"/>
  <c r="F244" i="17" s="1"/>
  <c r="B244" i="17"/>
  <c r="J244" i="17"/>
  <c r="H244" i="17"/>
  <c r="I244" i="17"/>
  <c r="K244" i="17" l="1"/>
  <c r="L244" i="17" s="1"/>
  <c r="M244" i="17" s="1"/>
  <c r="C245" i="17" l="1"/>
  <c r="H245" i="17"/>
  <c r="D245" i="17"/>
  <c r="E245" i="17" s="1"/>
  <c r="J245" i="17" s="1"/>
  <c r="I245" i="17"/>
  <c r="B245" i="17"/>
  <c r="G245" i="17" l="1"/>
  <c r="F245" i="17" s="1"/>
  <c r="K245" i="17" l="1"/>
  <c r="L245" i="17" s="1"/>
  <c r="M245" i="17" s="1"/>
  <c r="H246" i="17" l="1"/>
  <c r="I246" i="17"/>
  <c r="C246" i="17"/>
  <c r="B246" i="17"/>
  <c r="D246" i="17"/>
  <c r="E246" i="17" s="1"/>
  <c r="G246" i="17" s="1"/>
  <c r="J246" i="17" l="1"/>
  <c r="K246" i="17" s="1"/>
  <c r="L246" i="17" s="1"/>
  <c r="F246" i="17"/>
  <c r="M246" i="17" l="1"/>
  <c r="B247" i="17" l="1"/>
  <c r="D247" i="17"/>
  <c r="E247" i="17" s="1"/>
  <c r="G247" i="17" s="1"/>
  <c r="C247" i="17"/>
  <c r="I247" i="17"/>
  <c r="H247" i="17"/>
  <c r="J247" i="17" l="1"/>
  <c r="K247" i="17" s="1"/>
  <c r="F247" i="17"/>
  <c r="L247" i="17" l="1"/>
  <c r="M247" i="17" s="1"/>
  <c r="D248" i="17" l="1"/>
  <c r="E248" i="17" s="1"/>
  <c r="G248" i="17" s="1"/>
  <c r="H248" i="17"/>
  <c r="C248" i="17"/>
  <c r="B248" i="17"/>
  <c r="I248" i="17"/>
  <c r="J248" i="17" l="1"/>
  <c r="K248" i="17" s="1"/>
  <c r="L248" i="17" s="1"/>
  <c r="F248" i="17"/>
  <c r="M248" i="17" l="1"/>
  <c r="C249" i="17" s="1"/>
  <c r="B249" i="17" l="1"/>
  <c r="D249" i="17"/>
  <c r="E249" i="17" s="1"/>
  <c r="G249" i="17" s="1"/>
  <c r="H249" i="17"/>
  <c r="I249" i="17"/>
  <c r="J249" i="17" l="1"/>
  <c r="K249" i="17" s="1"/>
  <c r="F249" i="17"/>
  <c r="L249" i="17" l="1"/>
  <c r="M249" i="17" s="1"/>
  <c r="D250" i="17" l="1"/>
  <c r="E250" i="17" s="1"/>
  <c r="J250" i="17" s="1"/>
  <c r="I250" i="17"/>
  <c r="H250" i="17"/>
  <c r="B250" i="17"/>
  <c r="C250" i="17"/>
  <c r="G250" i="17" l="1"/>
  <c r="F250" i="17" s="1"/>
  <c r="K250" i="17" l="1"/>
  <c r="L250" i="17" s="1"/>
  <c r="M250" i="17" s="1"/>
  <c r="I251" i="17" l="1"/>
  <c r="D251" i="17"/>
  <c r="E251" i="17" s="1"/>
  <c r="G251" i="17" s="1"/>
  <c r="F251" i="17" s="1"/>
  <c r="C251" i="17"/>
  <c r="H251" i="17"/>
  <c r="B251" i="17"/>
  <c r="J251" i="17"/>
  <c r="K251" i="17" l="1"/>
  <c r="L251" i="17" s="1"/>
  <c r="M251" i="17" s="1"/>
  <c r="H252" i="17" l="1"/>
  <c r="I252" i="17"/>
  <c r="B252" i="17"/>
  <c r="C252" i="17"/>
  <c r="D252" i="17"/>
  <c r="E252" i="17" s="1"/>
  <c r="G252" i="17" s="1"/>
  <c r="F252" i="17" s="1"/>
  <c r="J252" i="17" l="1"/>
  <c r="K252" i="17" s="1"/>
  <c r="L252" i="17" s="1"/>
  <c r="M252" i="17" s="1"/>
  <c r="D253" i="17" l="1"/>
  <c r="E253" i="17" s="1"/>
  <c r="G253" i="17" s="1"/>
  <c r="F253" i="17" s="1"/>
  <c r="I253" i="17"/>
  <c r="C253" i="17"/>
  <c r="B253" i="17"/>
  <c r="H253" i="17"/>
  <c r="J253" i="17" l="1"/>
  <c r="K253" i="17" s="1"/>
  <c r="L253" i="17" s="1"/>
  <c r="M253" i="17" s="1"/>
  <c r="D254" i="17" l="1"/>
  <c r="E254" i="17" s="1"/>
  <c r="J254" i="17" s="1"/>
  <c r="B254" i="17"/>
  <c r="I254" i="17"/>
  <c r="C254" i="17"/>
  <c r="H254" i="17"/>
  <c r="G254" i="17" l="1"/>
  <c r="F254" i="17" s="1"/>
  <c r="K254" i="17" l="1"/>
  <c r="L254" i="17" l="1"/>
  <c r="M254" i="17" s="1"/>
  <c r="I255" i="17" l="1"/>
  <c r="D255" i="17"/>
  <c r="E255" i="17" s="1"/>
  <c r="J255" i="17" s="1"/>
  <c r="C255" i="17"/>
  <c r="B255" i="17"/>
  <c r="H255" i="17"/>
  <c r="G255" i="17" l="1"/>
  <c r="F255" i="17" s="1"/>
  <c r="K255" i="17" l="1"/>
  <c r="L255" i="17"/>
  <c r="M255" i="17" s="1"/>
  <c r="D256" i="17" l="1"/>
  <c r="E256" i="17" s="1"/>
  <c r="G256" i="17" s="1"/>
  <c r="C256" i="17"/>
  <c r="H256" i="17"/>
  <c r="I256" i="17"/>
  <c r="B256" i="17"/>
  <c r="J256" i="17" l="1"/>
  <c r="K256" i="17" s="1"/>
  <c r="L256" i="17" s="1"/>
  <c r="F256" i="17"/>
  <c r="M256" i="17" l="1"/>
  <c r="H257" i="17" l="1"/>
  <c r="B257" i="17"/>
  <c r="I257" i="17"/>
  <c r="C257" i="17"/>
  <c r="D257" i="17"/>
  <c r="E257" i="17" s="1"/>
  <c r="G257" i="17" s="1"/>
  <c r="J257" i="17" l="1"/>
  <c r="K257" i="17" s="1"/>
  <c r="F257" i="17"/>
  <c r="L257" i="17" l="1"/>
  <c r="M257" i="17" s="1"/>
  <c r="I258" i="17" l="1"/>
  <c r="B258" i="17"/>
  <c r="D258" i="17"/>
  <c r="E258" i="17" s="1"/>
  <c r="G258" i="17" s="1"/>
  <c r="C258" i="17"/>
  <c r="H258" i="17"/>
  <c r="J258" i="17" l="1"/>
  <c r="K258" i="17" s="1"/>
  <c r="L258" i="17" s="1"/>
  <c r="F258" i="17"/>
  <c r="M258" i="17" l="1"/>
  <c r="D259" i="17" s="1"/>
  <c r="E259" i="17" s="1"/>
  <c r="H259" i="17" l="1"/>
  <c r="B259" i="17"/>
  <c r="J259" i="17"/>
  <c r="C259" i="17"/>
  <c r="G259" i="17"/>
  <c r="F259" i="17" s="1"/>
  <c r="I259" i="17"/>
  <c r="K259" i="17" l="1"/>
  <c r="L259" i="17"/>
  <c r="M259" i="17" s="1"/>
  <c r="C260" i="17" l="1"/>
  <c r="D260" i="17"/>
  <c r="E260" i="17" s="1"/>
  <c r="J260" i="17" s="1"/>
  <c r="I260" i="17"/>
  <c r="B260" i="17"/>
  <c r="H260" i="17"/>
  <c r="G260" i="17" l="1"/>
  <c r="F260" i="17" s="1"/>
  <c r="K260" i="17" l="1"/>
  <c r="L260" i="17" s="1"/>
  <c r="M260" i="17" s="1"/>
  <c r="I261" i="17" s="1"/>
  <c r="C261" i="17" l="1"/>
  <c r="H261" i="17"/>
  <c r="B261" i="17"/>
  <c r="D261" i="17"/>
  <c r="E261" i="17" s="1"/>
  <c r="G261" i="17" s="1"/>
  <c r="J261" i="17" l="1"/>
  <c r="K261" i="17" s="1"/>
  <c r="L261" i="17" s="1"/>
  <c r="F261" i="17"/>
  <c r="M261" i="17" l="1"/>
  <c r="H262" i="17" s="1"/>
  <c r="B262" i="17" l="1"/>
  <c r="D262" i="17"/>
  <c r="E262" i="17" s="1"/>
  <c r="J262" i="17" s="1"/>
  <c r="C262" i="17"/>
  <c r="I262" i="17"/>
  <c r="G262" i="17" l="1"/>
  <c r="K262" i="17" s="1"/>
  <c r="L262" i="17" s="1"/>
  <c r="F262" i="17" l="1"/>
  <c r="M262" i="17" s="1"/>
  <c r="D263" i="17" l="1"/>
  <c r="E263" i="17" s="1"/>
  <c r="J263" i="17" s="1"/>
  <c r="I263" i="17"/>
  <c r="C263" i="17"/>
  <c r="H263" i="17"/>
  <c r="B263" i="17"/>
  <c r="G263" i="17" l="1"/>
  <c r="F263" i="17" s="1"/>
  <c r="K263" i="17" l="1"/>
  <c r="L263" i="17" s="1"/>
  <c r="M263" i="17" s="1"/>
  <c r="I264" i="17" l="1"/>
  <c r="D264" i="17"/>
  <c r="E264" i="17" s="1"/>
  <c r="G264" i="17" s="1"/>
  <c r="F264" i="17" s="1"/>
  <c r="C264" i="17"/>
  <c r="B264" i="17"/>
  <c r="H264" i="17"/>
  <c r="J264" i="17" l="1"/>
  <c r="K264" i="17" s="1"/>
  <c r="L264" i="17" s="1"/>
  <c r="M264" i="17" s="1"/>
  <c r="B265" i="17" s="1"/>
  <c r="D265" i="17" l="1"/>
  <c r="E265" i="17" s="1"/>
  <c r="J265" i="17" s="1"/>
  <c r="I265" i="17"/>
  <c r="H265" i="17"/>
  <c r="C265" i="17"/>
  <c r="G265" i="17" l="1"/>
  <c r="F265" i="17" s="1"/>
  <c r="K265" i="17" l="1"/>
  <c r="L265" i="17" s="1"/>
  <c r="M265" i="17" s="1"/>
  <c r="H266" i="17" l="1"/>
  <c r="I266" i="17"/>
  <c r="C266" i="17"/>
  <c r="D266" i="17"/>
  <c r="E266" i="17" s="1"/>
  <c r="J266" i="17" s="1"/>
  <c r="B266" i="17"/>
  <c r="G266" i="17" l="1"/>
  <c r="F266" i="17" s="1"/>
  <c r="K266" i="17" l="1"/>
  <c r="L266" i="17" s="1"/>
  <c r="M266" i="17" s="1"/>
  <c r="I267" i="17" l="1"/>
  <c r="C267" i="17"/>
  <c r="H267" i="17"/>
  <c r="B267" i="17"/>
  <c r="D267" i="17"/>
  <c r="E267" i="17" s="1"/>
  <c r="J267" i="17" s="1"/>
  <c r="G267" i="17" l="1"/>
  <c r="F267" i="17" s="1"/>
  <c r="K267" i="17" l="1"/>
  <c r="L267" i="17" s="1"/>
  <c r="M267" i="17" s="1"/>
  <c r="B268" i="17" s="1"/>
  <c r="C268" i="17" l="1"/>
  <c r="H268" i="17"/>
  <c r="D268" i="17"/>
  <c r="E268" i="17" s="1"/>
  <c r="J268" i="17" s="1"/>
  <c r="I268" i="17"/>
  <c r="G268" i="17" l="1"/>
  <c r="F268" i="17" s="1"/>
  <c r="K268" i="17" l="1"/>
  <c r="L268" i="17" s="1"/>
  <c r="M268" i="17" s="1"/>
  <c r="D269" i="17" s="1"/>
  <c r="E269" i="17" s="1"/>
  <c r="J269" i="17" s="1"/>
  <c r="H269" i="17" l="1"/>
  <c r="I269" i="17"/>
  <c r="C269" i="17"/>
  <c r="B269" i="17"/>
  <c r="G269" i="17"/>
  <c r="F269" i="17" s="1"/>
  <c r="K269" i="17" l="1"/>
  <c r="L269" i="17" s="1"/>
  <c r="M269" i="17" s="1"/>
  <c r="H270" i="17" s="1"/>
  <c r="I270" i="17" l="1"/>
  <c r="D270" i="17"/>
  <c r="E270" i="17" s="1"/>
  <c r="J270" i="17" s="1"/>
  <c r="C270" i="17"/>
  <c r="B270" i="17"/>
  <c r="G270" i="17" l="1"/>
  <c r="F270" i="17" s="1"/>
  <c r="K270" i="17" l="1"/>
  <c r="L270" i="17" s="1"/>
  <c r="M270" i="17" s="1"/>
  <c r="I271" i="17" s="1"/>
  <c r="B271" i="17" l="1"/>
  <c r="D271" i="17"/>
  <c r="E271" i="17" s="1"/>
  <c r="J271" i="17" s="1"/>
  <c r="H271" i="17"/>
  <c r="C271" i="17"/>
  <c r="G271" i="17" l="1"/>
  <c r="F271" i="17" s="1"/>
  <c r="K271" i="17" l="1"/>
  <c r="L271" i="17" s="1"/>
  <c r="M271" i="17" s="1"/>
  <c r="H272" i="17" s="1"/>
  <c r="C272" i="17" l="1"/>
  <c r="D272" i="17"/>
  <c r="E272" i="17" s="1"/>
  <c r="G272" i="17" s="1"/>
  <c r="F272" i="17" s="1"/>
  <c r="J272" i="17"/>
  <c r="B272" i="17"/>
  <c r="I272" i="17"/>
  <c r="K272" i="17" l="1"/>
  <c r="L272" i="17" s="1"/>
  <c r="M272" i="17" s="1"/>
  <c r="D273" i="17" s="1"/>
  <c r="E273" i="17" s="1"/>
  <c r="G273" i="17" s="1"/>
  <c r="F273" i="17" s="1"/>
  <c r="I273" i="17" l="1"/>
  <c r="H273" i="17"/>
  <c r="J273" i="17"/>
  <c r="B273" i="17"/>
  <c r="C273" i="17"/>
  <c r="K273" i="17" l="1"/>
  <c r="L273" i="17"/>
  <c r="M273" i="17" s="1"/>
  <c r="H274" i="17" l="1"/>
  <c r="E274" i="17"/>
  <c r="J274" i="17"/>
  <c r="G274" i="17"/>
  <c r="D274" i="17"/>
  <c r="C274" i="17"/>
  <c r="B274" i="17"/>
  <c r="I274" i="17"/>
  <c r="F274" i="17"/>
  <c r="K274" i="17" l="1"/>
  <c r="L274" i="17" s="1"/>
  <c r="M274" i="17"/>
  <c r="G275" i="17" l="1"/>
  <c r="J275" i="17"/>
  <c r="H275" i="17"/>
  <c r="I275" i="17"/>
  <c r="C275" i="17"/>
  <c r="B275" i="17"/>
  <c r="D275" i="17"/>
  <c r="E275" i="17" s="1"/>
  <c r="F275" i="17" s="1"/>
  <c r="K275" i="17" l="1"/>
  <c r="M275" i="17" s="1"/>
  <c r="G276" i="17" l="1"/>
  <c r="L275" i="17"/>
  <c r="J276" i="17"/>
  <c r="H276" i="17"/>
  <c r="I276" i="17"/>
  <c r="B276" i="17"/>
  <c r="C276" i="17"/>
  <c r="D276" i="17"/>
  <c r="E276" i="17" s="1"/>
  <c r="F276" i="17" s="1"/>
  <c r="K276" i="17" l="1"/>
  <c r="L276" i="17" s="1"/>
  <c r="M276" i="17"/>
  <c r="G277" i="17" l="1"/>
  <c r="J277" i="17"/>
  <c r="H277" i="17"/>
  <c r="I277" i="17"/>
  <c r="B277" i="17"/>
  <c r="C277" i="17"/>
  <c r="D277" i="17"/>
  <c r="E277" i="17" l="1"/>
  <c r="K277" i="17" l="1"/>
  <c r="L277" i="17" s="1"/>
  <c r="F277" i="17"/>
  <c r="M277" i="17" l="1"/>
  <c r="G278" i="17" l="1"/>
  <c r="J278" i="17"/>
  <c r="H278" i="17"/>
  <c r="I278" i="17"/>
  <c r="D278" i="17"/>
  <c r="E278" i="17" s="1"/>
  <c r="B278" i="17"/>
  <c r="C278" i="17"/>
  <c r="F278" i="17" l="1"/>
  <c r="K278" i="17"/>
  <c r="L278" i="17" s="1"/>
  <c r="M278" i="17" l="1"/>
  <c r="I279" i="17" l="1"/>
  <c r="G279" i="17"/>
  <c r="H279" i="17"/>
  <c r="D279" i="17"/>
  <c r="C279" i="17"/>
  <c r="B279" i="17"/>
  <c r="J279" i="17"/>
  <c r="E279" i="17"/>
  <c r="K279" i="17" l="1"/>
  <c r="L279" i="17" s="1"/>
  <c r="F279" i="17"/>
  <c r="M279" i="17" s="1"/>
  <c r="G280" i="17" l="1"/>
  <c r="J280" i="17"/>
  <c r="H280" i="17"/>
  <c r="I280" i="17"/>
  <c r="B280" i="17"/>
  <c r="C280" i="17"/>
  <c r="D280" i="17"/>
  <c r="E280" i="17" s="1"/>
  <c r="F280" i="17" l="1"/>
  <c r="K280" i="17"/>
  <c r="L280" i="17" s="1"/>
  <c r="M280" i="17" l="1"/>
  <c r="H281" i="17" l="1"/>
  <c r="G281" i="17"/>
  <c r="I281" i="17"/>
  <c r="B281" i="17"/>
  <c r="C281" i="17"/>
  <c r="D281" i="17"/>
  <c r="E281" i="17" s="1"/>
  <c r="J281" i="17"/>
  <c r="K281" i="17" l="1"/>
  <c r="L281" i="17" s="1"/>
  <c r="F281" i="17"/>
  <c r="M281" i="17" s="1"/>
  <c r="G282" i="17" l="1"/>
  <c r="J282" i="17"/>
  <c r="H282" i="17"/>
  <c r="I282" i="17"/>
  <c r="B282" i="17"/>
  <c r="D282" i="17"/>
  <c r="C282" i="17"/>
  <c r="E282" i="17" l="1"/>
  <c r="K282" i="17" l="1"/>
  <c r="L282" i="17" s="1"/>
  <c r="F282" i="17"/>
  <c r="M282" i="17" l="1"/>
  <c r="C283" i="17" l="1"/>
  <c r="G283" i="17"/>
  <c r="D283" i="17"/>
  <c r="E283" i="17" s="1"/>
  <c r="I283" i="17"/>
  <c r="B283" i="17"/>
  <c r="H283" i="17"/>
  <c r="J283" i="17"/>
  <c r="K283" i="17" l="1"/>
  <c r="L283" i="17" s="1"/>
  <c r="F283" i="17"/>
  <c r="M283" i="17" l="1"/>
  <c r="G284" i="17" l="1"/>
  <c r="J284" i="17"/>
  <c r="H284" i="17"/>
  <c r="I284" i="17"/>
  <c r="D284" i="17"/>
  <c r="E284" i="17" s="1"/>
  <c r="C284" i="17"/>
  <c r="B284" i="17"/>
  <c r="F284" i="17" l="1"/>
  <c r="K284" i="17"/>
  <c r="L284" i="17" s="1"/>
  <c r="M284" i="17" l="1"/>
  <c r="G285" i="17" l="1"/>
  <c r="J285" i="17"/>
  <c r="B285" i="17"/>
  <c r="D285" i="17"/>
  <c r="C285" i="17"/>
  <c r="I285" i="17"/>
  <c r="H285" i="17"/>
  <c r="E285" i="17"/>
  <c r="F285" i="17" l="1"/>
  <c r="K285" i="17"/>
  <c r="M285" i="17" s="1"/>
  <c r="G286" i="17" l="1"/>
  <c r="L285" i="17"/>
  <c r="J286" i="17"/>
  <c r="H286" i="17"/>
  <c r="I286" i="17"/>
  <c r="C286" i="17"/>
  <c r="D286" i="17"/>
  <c r="B286" i="17"/>
  <c r="E286" i="17" l="1"/>
  <c r="K286" i="17" l="1"/>
  <c r="M286" i="17" s="1"/>
  <c r="F286" i="17"/>
  <c r="G287" i="17" l="1"/>
  <c r="L286" i="17"/>
  <c r="J287" i="17"/>
  <c r="H287" i="17"/>
  <c r="I287" i="17"/>
  <c r="B287" i="17"/>
  <c r="C287" i="17"/>
  <c r="D287" i="17"/>
  <c r="E287" i="17" l="1"/>
  <c r="K287" i="17" l="1"/>
  <c r="M287" i="17" s="1"/>
  <c r="F287" i="17"/>
  <c r="G288" i="17" l="1"/>
  <c r="L287" i="17"/>
  <c r="J288" i="17"/>
  <c r="H288" i="17"/>
  <c r="I288" i="17"/>
  <c r="C288" i="17"/>
  <c r="D288" i="17"/>
  <c r="B288" i="17"/>
  <c r="E288" i="17" l="1"/>
  <c r="AH30" i="7"/>
  <c r="AH30" i="18"/>
  <c r="K288" i="17" l="1"/>
  <c r="L288" i="17" s="1"/>
  <c r="F288" i="17"/>
  <c r="M288" i="17" s="1"/>
  <c r="AH31" i="7"/>
  <c r="AH31" i="18"/>
  <c r="G289" i="17" l="1"/>
  <c r="J289" i="17"/>
  <c r="D289" i="17"/>
  <c r="B289" i="17"/>
  <c r="C289" i="17"/>
  <c r="H289" i="17"/>
  <c r="I289" i="17"/>
  <c r="AH32" i="7"/>
  <c r="AH32" i="18"/>
  <c r="E289" i="17" l="1"/>
  <c r="K289" i="17" l="1"/>
  <c r="L289" i="17" s="1"/>
  <c r="F289" i="17"/>
  <c r="M289" i="17" s="1"/>
  <c r="AH33" i="7"/>
  <c r="AH33" i="18"/>
  <c r="G290" i="17" l="1"/>
  <c r="J290" i="17"/>
  <c r="B290" i="17"/>
  <c r="H290" i="17"/>
  <c r="I290" i="17"/>
  <c r="C290" i="17"/>
  <c r="D290" i="17"/>
  <c r="E290" i="17" l="1"/>
  <c r="AH34" i="7"/>
  <c r="AH34" i="18"/>
  <c r="K290" i="17" l="1"/>
  <c r="L290" i="17" s="1"/>
  <c r="F290" i="17"/>
  <c r="M290" i="17" s="1"/>
  <c r="G291" i="17" l="1"/>
  <c r="J291" i="17"/>
  <c r="H291" i="17"/>
  <c r="D291" i="17"/>
  <c r="C291" i="17"/>
  <c r="I291" i="17"/>
  <c r="B291" i="17"/>
  <c r="AH35" i="7"/>
  <c r="AH35" i="18"/>
  <c r="E291" i="17" l="1"/>
  <c r="K291" i="17" l="1"/>
  <c r="L291" i="17" s="1"/>
  <c r="F291" i="17"/>
  <c r="M291" i="17" s="1"/>
  <c r="AH36" i="7"/>
  <c r="AH36" i="18"/>
  <c r="G292" i="17" l="1"/>
  <c r="J292" i="17"/>
  <c r="C292" i="17"/>
  <c r="I292" i="17"/>
  <c r="B292" i="17"/>
  <c r="H292" i="17"/>
  <c r="D292" i="17"/>
  <c r="E292" i="17" l="1"/>
  <c r="AH37" i="7"/>
  <c r="AH37" i="18"/>
  <c r="K292" i="17" l="1"/>
  <c r="L292" i="17" s="1"/>
  <c r="F292" i="17"/>
  <c r="M292" i="17" l="1"/>
  <c r="AH38" i="7"/>
  <c r="AH38" i="18"/>
  <c r="G293" i="17" l="1"/>
  <c r="J293" i="17"/>
  <c r="B293" i="17"/>
  <c r="C293" i="17"/>
  <c r="H293" i="17"/>
  <c r="D293" i="17"/>
  <c r="I293" i="17"/>
  <c r="E293" i="17"/>
  <c r="K293" i="17" l="1"/>
  <c r="L293" i="17" s="1"/>
  <c r="F293" i="17"/>
  <c r="M293" i="17" s="1"/>
  <c r="AH39" i="7"/>
  <c r="AH39" i="18"/>
  <c r="G294" i="17" l="1"/>
  <c r="J294" i="17"/>
  <c r="C294" i="17"/>
  <c r="H294" i="17"/>
  <c r="I294" i="17"/>
  <c r="B294" i="17"/>
  <c r="D294" i="17"/>
  <c r="E294" i="17" s="1"/>
  <c r="AH40" i="7" l="1"/>
  <c r="AH40" i="18"/>
  <c r="K294" i="17" l="1"/>
  <c r="L294" i="17" s="1"/>
  <c r="F294" i="17"/>
  <c r="M294" i="17" l="1"/>
  <c r="AH41" i="7"/>
  <c r="AH41" i="18"/>
  <c r="G295" i="17" l="1"/>
  <c r="J295" i="17"/>
  <c r="H295" i="17"/>
  <c r="I295" i="17"/>
  <c r="C295" i="17"/>
  <c r="B295" i="17"/>
  <c r="D295" i="17"/>
  <c r="E295" i="17" l="1"/>
  <c r="K295" i="17" l="1"/>
  <c r="L295" i="17" s="1"/>
  <c r="F295" i="17"/>
  <c r="M295" i="17" s="1"/>
  <c r="AH42" i="7"/>
  <c r="AH42" i="18"/>
  <c r="G296" i="17" l="1"/>
  <c r="J296" i="17"/>
  <c r="B296" i="17"/>
  <c r="H296" i="17"/>
  <c r="C296" i="17"/>
  <c r="I296" i="17"/>
  <c r="D296" i="17"/>
  <c r="E296" i="17" s="1"/>
  <c r="AH43" i="7" l="1"/>
  <c r="AH43" i="18"/>
  <c r="K296" i="17" l="1"/>
  <c r="L296" i="17" s="1"/>
  <c r="F296" i="17"/>
  <c r="M296" i="17" s="1"/>
  <c r="G297" i="17" l="1"/>
  <c r="J297" i="17"/>
  <c r="B297" i="17"/>
  <c r="C297" i="17"/>
  <c r="H297" i="17"/>
  <c r="I297" i="17"/>
  <c r="D297" i="17"/>
  <c r="E297" i="17" s="1"/>
  <c r="AH44" i="7"/>
  <c r="AH44" i="18"/>
  <c r="K297" i="17" l="1"/>
  <c r="L297" i="17" s="1"/>
  <c r="F297" i="17"/>
  <c r="AH45" i="7"/>
  <c r="AH45" i="18"/>
  <c r="M297" i="17" l="1"/>
  <c r="G298" i="17" l="1"/>
  <c r="J298" i="17"/>
  <c r="B298" i="17"/>
  <c r="H298" i="17"/>
  <c r="I298" i="17"/>
  <c r="C298" i="17"/>
  <c r="D298" i="17"/>
  <c r="E298" i="17" s="1"/>
  <c r="AH46" i="7"/>
  <c r="AH46" i="18"/>
  <c r="K298" i="17" l="1"/>
  <c r="L298" i="17" s="1"/>
  <c r="F298" i="17"/>
  <c r="AH47" i="7"/>
  <c r="AH47" i="18"/>
  <c r="M298" i="17" l="1"/>
  <c r="G299" i="17" l="1"/>
  <c r="J299" i="17"/>
  <c r="D299" i="17"/>
  <c r="B299" i="17"/>
  <c r="H299" i="17"/>
  <c r="I299" i="17"/>
  <c r="E299" i="17"/>
  <c r="C299" i="17"/>
  <c r="AH48" i="7"/>
  <c r="AG48" i="7" s="1"/>
  <c r="AF48" i="7" s="1"/>
  <c r="AC48" i="7" s="1"/>
  <c r="AH48" i="18"/>
  <c r="K299" i="17" l="1"/>
  <c r="L299" i="17" s="1"/>
  <c r="F299" i="17"/>
  <c r="M299" i="17" s="1"/>
  <c r="AH49" i="7"/>
  <c r="AH49" i="18"/>
  <c r="G300" i="17" l="1"/>
  <c r="J300" i="17"/>
  <c r="H300" i="17"/>
  <c r="I300" i="17"/>
  <c r="C300" i="17"/>
  <c r="D300" i="17"/>
  <c r="B300" i="17"/>
  <c r="AG49" i="7"/>
  <c r="AF49" i="7" s="1"/>
  <c r="AC49" i="7" s="1"/>
  <c r="E300" i="17" l="1"/>
  <c r="AH50" i="7"/>
  <c r="AH50" i="18"/>
  <c r="K300" i="17" l="1"/>
  <c r="L300" i="17" s="1"/>
  <c r="F300" i="17"/>
  <c r="M300" i="17" s="1"/>
  <c r="AD50" i="7"/>
  <c r="G301" i="17" l="1"/>
  <c r="J301" i="17"/>
  <c r="I301" i="17"/>
  <c r="C301" i="17"/>
  <c r="B301" i="17"/>
  <c r="H301" i="17"/>
  <c r="D301" i="17"/>
  <c r="AG50" i="7"/>
  <c r="AF50" i="7" s="1"/>
  <c r="AC50" i="7" s="1"/>
  <c r="AH51" i="7"/>
  <c r="AH51" i="18"/>
  <c r="E301" i="17" l="1"/>
  <c r="AH52" i="7" l="1"/>
  <c r="AH52" i="18"/>
  <c r="F301" i="17" l="1"/>
  <c r="K301" i="17"/>
  <c r="L301" i="17" s="1"/>
  <c r="M301" i="17" l="1"/>
  <c r="AH53" i="7"/>
  <c r="AH53" i="18"/>
  <c r="G302" i="17" l="1"/>
  <c r="J302" i="17"/>
  <c r="H302" i="17"/>
  <c r="I302" i="17"/>
  <c r="C302" i="17"/>
  <c r="D302" i="17"/>
  <c r="E302" i="17" s="1"/>
  <c r="B302" i="17"/>
  <c r="K302" i="17" l="1"/>
  <c r="L302" i="17" s="1"/>
  <c r="F302" i="17"/>
  <c r="AH54" i="7"/>
  <c r="AH54" i="18"/>
  <c r="M302" i="17" l="1"/>
  <c r="G303" i="17" l="1"/>
  <c r="J303" i="17"/>
  <c r="H303" i="17"/>
  <c r="I303" i="17"/>
  <c r="D303" i="17"/>
  <c r="B303" i="17"/>
  <c r="C303" i="17"/>
  <c r="AH55" i="7"/>
  <c r="AH55" i="18"/>
  <c r="E303" i="17" l="1"/>
  <c r="AH56" i="7" l="1"/>
  <c r="AH56" i="18"/>
  <c r="AG56" i="18" s="1"/>
  <c r="AF56" i="18" s="1"/>
  <c r="AC56" i="18" s="1"/>
  <c r="G56" i="18" s="1"/>
  <c r="F303" i="17" l="1"/>
  <c r="K303" i="17"/>
  <c r="L303" i="17" s="1"/>
  <c r="J56" i="18"/>
  <c r="F56" i="18"/>
  <c r="M303" i="17" l="1"/>
  <c r="K56" i="18"/>
  <c r="H57" i="18" s="1"/>
  <c r="AH57" i="7"/>
  <c r="AH57" i="18"/>
  <c r="G304" i="17" l="1"/>
  <c r="J304" i="17"/>
  <c r="I304" i="17"/>
  <c r="H304" i="17"/>
  <c r="B304" i="17"/>
  <c r="C304" i="17"/>
  <c r="D304" i="17"/>
  <c r="D57" i="18"/>
  <c r="E57" i="18" s="1"/>
  <c r="G57" i="18" s="1"/>
  <c r="C57" i="18"/>
  <c r="B57" i="18"/>
  <c r="I57" i="18"/>
  <c r="E304" i="17" l="1"/>
  <c r="J57" i="18"/>
  <c r="F57" i="18"/>
  <c r="AH58" i="7"/>
  <c r="AH58" i="18"/>
  <c r="K304" i="17" l="1"/>
  <c r="L304" i="17" s="1"/>
  <c r="F304" i="17"/>
  <c r="M304" i="17" s="1"/>
  <c r="K57" i="18"/>
  <c r="H58" i="18" s="1"/>
  <c r="G305" i="17" l="1"/>
  <c r="J305" i="17"/>
  <c r="H305" i="17"/>
  <c r="I305" i="17"/>
  <c r="D305" i="17"/>
  <c r="B305" i="17"/>
  <c r="C305" i="17"/>
  <c r="C58" i="18"/>
  <c r="B58" i="18"/>
  <c r="D58" i="18"/>
  <c r="I58" i="18"/>
  <c r="AH59" i="7"/>
  <c r="AH59" i="18"/>
  <c r="E305" i="17" l="1"/>
  <c r="E58" i="18"/>
  <c r="G58" i="18" s="1"/>
  <c r="K305" i="17" l="1"/>
  <c r="L305" i="17" s="1"/>
  <c r="F305" i="17"/>
  <c r="M305" i="17" s="1"/>
  <c r="J58" i="18"/>
  <c r="F58" i="18"/>
  <c r="K58" i="18" s="1"/>
  <c r="H59" i="18" s="1"/>
  <c r="AH60" i="7"/>
  <c r="AH60" i="18"/>
  <c r="G306" i="17" l="1"/>
  <c r="J306" i="17"/>
  <c r="B306" i="17"/>
  <c r="H306" i="17"/>
  <c r="C306" i="17"/>
  <c r="D306" i="17"/>
  <c r="E306" i="17" s="1"/>
  <c r="I306" i="17"/>
  <c r="D59" i="18"/>
  <c r="E59" i="18" s="1"/>
  <c r="G59" i="18" s="1"/>
  <c r="F59" i="18" s="1"/>
  <c r="C59" i="18"/>
  <c r="B59" i="18"/>
  <c r="I59" i="18"/>
  <c r="J59" i="18" l="1"/>
  <c r="K59" i="18"/>
  <c r="H60" i="18" s="1"/>
  <c r="AH61" i="7"/>
  <c r="AH61" i="18"/>
  <c r="K306" i="17" l="1"/>
  <c r="L306" i="17" s="1"/>
  <c r="F306" i="17"/>
  <c r="M306" i="17" s="1"/>
  <c r="C60" i="18"/>
  <c r="D60" i="18"/>
  <c r="B60" i="18"/>
  <c r="I60" i="18"/>
  <c r="G307" i="17" l="1"/>
  <c r="J307" i="17"/>
  <c r="H307" i="17"/>
  <c r="I307" i="17"/>
  <c r="C307" i="17"/>
  <c r="D307" i="17"/>
  <c r="E307" i="17" s="1"/>
  <c r="B307" i="17"/>
  <c r="E60" i="18"/>
  <c r="G60" i="18" s="1"/>
  <c r="AD58" i="7"/>
  <c r="AC58" i="7" s="1"/>
  <c r="AH62" i="7"/>
  <c r="AH62" i="18"/>
  <c r="F60" i="18" l="1"/>
  <c r="K60" i="18" s="1"/>
  <c r="H61" i="18" s="1"/>
  <c r="J60" i="18"/>
  <c r="K307" i="17" l="1"/>
  <c r="L307" i="17" s="1"/>
  <c r="F307" i="17"/>
  <c r="M307" i="17" s="1"/>
  <c r="I61" i="18"/>
  <c r="B61" i="18"/>
  <c r="D61" i="18"/>
  <c r="E61" i="18" s="1"/>
  <c r="G61" i="18" s="1"/>
  <c r="C61" i="18"/>
  <c r="AH63" i="7"/>
  <c r="AH63" i="18"/>
  <c r="G308" i="17" l="1"/>
  <c r="J308" i="17"/>
  <c r="H308" i="17"/>
  <c r="D308" i="17"/>
  <c r="I308" i="17"/>
  <c r="C308" i="17"/>
  <c r="B308" i="17"/>
  <c r="J61" i="18"/>
  <c r="F61" i="18"/>
  <c r="K61" i="18" s="1"/>
  <c r="H62" i="18" s="1"/>
  <c r="E308" i="17" l="1"/>
  <c r="C62" i="18"/>
  <c r="I62" i="18"/>
  <c r="D62" i="18"/>
  <c r="E62" i="18" s="1"/>
  <c r="G62" i="18" s="1"/>
  <c r="B62" i="18"/>
  <c r="AH64" i="7"/>
  <c r="AH64" i="18"/>
  <c r="K308" i="17" l="1"/>
  <c r="L308" i="17" s="1"/>
  <c r="F308" i="17"/>
  <c r="M308" i="17" s="1"/>
  <c r="J62" i="18"/>
  <c r="F62" i="18"/>
  <c r="K62" i="18" s="1"/>
  <c r="H63" i="18" s="1"/>
  <c r="G309" i="17" l="1"/>
  <c r="J309" i="17"/>
  <c r="H309" i="17"/>
  <c r="I309" i="17"/>
  <c r="D309" i="17"/>
  <c r="E309" i="17" s="1"/>
  <c r="C309" i="17"/>
  <c r="B309" i="17"/>
  <c r="B63" i="18"/>
  <c r="C63" i="18"/>
  <c r="D63" i="18"/>
  <c r="E63" i="18" s="1"/>
  <c r="G63" i="18" s="1"/>
  <c r="I63" i="18"/>
  <c r="AH65" i="7"/>
  <c r="AH65" i="18"/>
  <c r="J63" i="18" l="1"/>
  <c r="F63" i="18"/>
  <c r="K63" i="18" s="1"/>
  <c r="H64" i="18" s="1"/>
  <c r="K309" i="17" l="1"/>
  <c r="L309" i="17" s="1"/>
  <c r="F309" i="17"/>
  <c r="M309" i="17" s="1"/>
  <c r="I64" i="18"/>
  <c r="D64" i="18"/>
  <c r="E64" i="18" s="1"/>
  <c r="G64" i="18" s="1"/>
  <c r="B64" i="18"/>
  <c r="C64" i="18"/>
  <c r="G310" i="17" l="1"/>
  <c r="J310" i="17"/>
  <c r="D310" i="17"/>
  <c r="C310" i="17"/>
  <c r="T70" i="17" s="1"/>
  <c r="N68" i="17" s="1"/>
  <c r="H310" i="17"/>
  <c r="H312" i="17" s="1"/>
  <c r="I310" i="17"/>
  <c r="I312" i="17" s="1"/>
  <c r="B310" i="17"/>
  <c r="E310" i="17"/>
  <c r="E312" i="17" s="1"/>
  <c r="J64" i="18"/>
  <c r="F64" i="18"/>
  <c r="K64" i="18" s="1"/>
  <c r="H65" i="18" s="1"/>
  <c r="AH66" i="7"/>
  <c r="AH66" i="18"/>
  <c r="K310" i="17" l="1"/>
  <c r="K312" i="17" s="1"/>
  <c r="G312" i="17"/>
  <c r="D65" i="18"/>
  <c r="E65" i="18" s="1"/>
  <c r="G65" i="18" s="1"/>
  <c r="I65" i="18"/>
  <c r="B65" i="18"/>
  <c r="C65" i="18"/>
  <c r="L310" i="17" l="1"/>
  <c r="L312" i="17" s="1"/>
  <c r="F310" i="17"/>
  <c r="F312" i="17"/>
  <c r="M310" i="17"/>
  <c r="J65" i="18"/>
  <c r="F65" i="18"/>
  <c r="K65" i="18" s="1"/>
  <c r="H66" i="18" s="1"/>
  <c r="AH67" i="7"/>
  <c r="AH67" i="18"/>
  <c r="C66" i="18" l="1"/>
  <c r="I66" i="18"/>
  <c r="D66" i="18"/>
  <c r="E66" i="18" s="1"/>
  <c r="G66" i="18" s="1"/>
  <c r="B66" i="18"/>
  <c r="F66" i="18" l="1"/>
  <c r="K66" i="18" s="1"/>
  <c r="H67" i="18" s="1"/>
  <c r="J66" i="18"/>
  <c r="AH68" i="7"/>
  <c r="AH68" i="18"/>
  <c r="C67" i="18" l="1"/>
  <c r="D67" i="18"/>
  <c r="I67" i="18"/>
  <c r="B67" i="18"/>
  <c r="E67" i="18" l="1"/>
  <c r="G67" i="18" s="1"/>
  <c r="AH69" i="7"/>
  <c r="AH69" i="18"/>
  <c r="F67" i="18" l="1"/>
  <c r="K67" i="18" s="1"/>
  <c r="H68" i="18" s="1"/>
  <c r="J67" i="18"/>
  <c r="B68" i="18" l="1"/>
  <c r="I68" i="18"/>
  <c r="D68" i="18"/>
  <c r="E68" i="18" s="1"/>
  <c r="G68" i="18" s="1"/>
  <c r="C68" i="18"/>
  <c r="AH70" i="7"/>
  <c r="AH70" i="18"/>
  <c r="J68" i="18" l="1"/>
  <c r="F68" i="18"/>
  <c r="K68" i="18" s="1"/>
  <c r="H69" i="18" s="1"/>
  <c r="C69" i="18" l="1"/>
  <c r="B69" i="18"/>
  <c r="D69" i="18"/>
  <c r="I69" i="18"/>
  <c r="AH71" i="7"/>
  <c r="AH71" i="18"/>
  <c r="E69" i="18" l="1"/>
  <c r="G69" i="18" s="1"/>
  <c r="J69" i="18" l="1"/>
  <c r="F69" i="18"/>
  <c r="K69" i="18" s="1"/>
  <c r="H70" i="18" s="1"/>
  <c r="AH72" i="7"/>
  <c r="AH72" i="18"/>
  <c r="I70" i="18" l="1"/>
  <c r="C70" i="18"/>
  <c r="D70" i="18"/>
  <c r="B70" i="18"/>
  <c r="E70" i="18" l="1"/>
  <c r="G70" i="18" s="1"/>
  <c r="AH73" i="7"/>
  <c r="AH73" i="18"/>
  <c r="J70" i="18" l="1"/>
  <c r="F70" i="18"/>
  <c r="K70" i="18" s="1"/>
  <c r="H71" i="18" s="1"/>
  <c r="C71" i="18" l="1"/>
  <c r="B71" i="18"/>
  <c r="D71" i="18"/>
  <c r="I71" i="18"/>
  <c r="AH74" i="7"/>
  <c r="AH74" i="18"/>
  <c r="E71" i="18" l="1"/>
  <c r="G71" i="18" s="1"/>
  <c r="J71" i="18" l="1"/>
  <c r="F71" i="18"/>
  <c r="K71" i="18" s="1"/>
  <c r="H72" i="18" s="1"/>
  <c r="AH75" i="7"/>
  <c r="AH75" i="18"/>
  <c r="D72" i="18" l="1"/>
  <c r="E72" i="18" s="1"/>
  <c r="G72" i="18" s="1"/>
  <c r="C72" i="18"/>
  <c r="B72" i="18"/>
  <c r="I72" i="18"/>
  <c r="F72" i="18" l="1"/>
  <c r="K72" i="18" s="1"/>
  <c r="H73" i="18" s="1"/>
  <c r="J72" i="18"/>
  <c r="AH76" i="7"/>
  <c r="AH76" i="18"/>
  <c r="C73" i="18" l="1"/>
  <c r="B73" i="18"/>
  <c r="I73" i="18"/>
  <c r="D73" i="18"/>
  <c r="E73" i="18" l="1"/>
  <c r="G73" i="18" s="1"/>
  <c r="AH77" i="7"/>
  <c r="AH77" i="18"/>
  <c r="J73" i="18" l="1"/>
  <c r="F73" i="18"/>
  <c r="K73" i="18" s="1"/>
  <c r="H74" i="18" s="1"/>
  <c r="B74" i="18" l="1"/>
  <c r="D74" i="18"/>
  <c r="C74" i="18"/>
  <c r="I74" i="18"/>
  <c r="E74" i="18" l="1"/>
  <c r="G74" i="18" s="1"/>
  <c r="AH78" i="7"/>
  <c r="AH78" i="18"/>
  <c r="J74" i="18" l="1"/>
  <c r="F74" i="18"/>
  <c r="K74" i="18" s="1"/>
  <c r="H75" i="18" s="1"/>
  <c r="I75" i="18" l="1"/>
  <c r="C75" i="18"/>
  <c r="D75" i="18"/>
  <c r="B75" i="18"/>
  <c r="AH79" i="7"/>
  <c r="AH79" i="18"/>
  <c r="E75" i="18" l="1"/>
  <c r="G75" i="18" s="1"/>
  <c r="F75" i="18" l="1"/>
  <c r="K75" i="18" s="1"/>
  <c r="H76" i="18" s="1"/>
  <c r="J75" i="18"/>
  <c r="AD76" i="7"/>
  <c r="AH80" i="7"/>
  <c r="AH80" i="18"/>
  <c r="C76" i="18" l="1"/>
  <c r="I76" i="18"/>
  <c r="B76" i="18"/>
  <c r="D76" i="18"/>
  <c r="AG76" i="7"/>
  <c r="AF76" i="7" s="1"/>
  <c r="AC76" i="7" s="1"/>
  <c r="E76" i="18" l="1"/>
  <c r="G76" i="18" s="1"/>
  <c r="AH81" i="7"/>
  <c r="AH81" i="18"/>
  <c r="J76" i="18" l="1"/>
  <c r="F76" i="18"/>
  <c r="K76" i="18" s="1"/>
  <c r="H77" i="18" s="1"/>
  <c r="C77" i="18" l="1"/>
  <c r="I77" i="18"/>
  <c r="B77" i="18"/>
  <c r="D77" i="18"/>
  <c r="AH82" i="7"/>
  <c r="AH82" i="18"/>
  <c r="E77" i="18" l="1"/>
  <c r="G77" i="18" s="1"/>
  <c r="F77" i="18" l="1"/>
  <c r="K77" i="18" s="1"/>
  <c r="H78" i="18" s="1"/>
  <c r="J77" i="18"/>
  <c r="AH83" i="7"/>
  <c r="AH83" i="18"/>
  <c r="D78" i="18" l="1"/>
  <c r="I78" i="18"/>
  <c r="B78" i="18"/>
  <c r="C78" i="18"/>
  <c r="E78" i="18" l="1"/>
  <c r="G78" i="18" s="1"/>
  <c r="AH84" i="7"/>
  <c r="AH84" i="18"/>
  <c r="F78" i="18" l="1"/>
  <c r="K78" i="18" s="1"/>
  <c r="H79" i="18" s="1"/>
  <c r="J78" i="18"/>
  <c r="B79" i="18" l="1"/>
  <c r="C79" i="18"/>
  <c r="D79" i="18"/>
  <c r="I79" i="18"/>
  <c r="AH85" i="7"/>
  <c r="AH85" i="18"/>
  <c r="E79" i="18" l="1"/>
  <c r="G79" i="18" s="1"/>
  <c r="F79" i="18" l="1"/>
  <c r="K79" i="18" s="1"/>
  <c r="H80" i="18" s="1"/>
  <c r="J79" i="18"/>
  <c r="AH86" i="7"/>
  <c r="AH86" i="18"/>
  <c r="B80" i="18" l="1"/>
  <c r="D80" i="18"/>
  <c r="E80" i="18" s="1"/>
  <c r="G80" i="18" s="1"/>
  <c r="C80" i="18"/>
  <c r="I80" i="18"/>
  <c r="J80" i="18" l="1"/>
  <c r="F80" i="18"/>
  <c r="K80" i="18" s="1"/>
  <c r="H81" i="18" s="1"/>
  <c r="AH87" i="7"/>
  <c r="AH87" i="18"/>
  <c r="D81" i="18" l="1"/>
  <c r="E81" i="18" s="1"/>
  <c r="G81" i="18" s="1"/>
  <c r="I81" i="18"/>
  <c r="C81" i="18"/>
  <c r="B81" i="18"/>
  <c r="J81" i="18" l="1"/>
  <c r="F81" i="18"/>
  <c r="K81" i="18" s="1"/>
  <c r="H82" i="18" s="1"/>
  <c r="AH88" i="7"/>
  <c r="AH88" i="18"/>
  <c r="B82" i="18" l="1"/>
  <c r="I82" i="18"/>
  <c r="C82" i="18"/>
  <c r="D82" i="18"/>
  <c r="E82" i="18" s="1"/>
  <c r="G82" i="18" s="1"/>
  <c r="J82" i="18" l="1"/>
  <c r="F82" i="18"/>
  <c r="K82" i="18" s="1"/>
  <c r="H83" i="18" s="1"/>
  <c r="AH89" i="7"/>
  <c r="AH89" i="18"/>
  <c r="D83" i="18" l="1"/>
  <c r="B83" i="18"/>
  <c r="I83" i="18"/>
  <c r="C83" i="18"/>
  <c r="E83" i="18" l="1"/>
  <c r="G83" i="18" s="1"/>
  <c r="J83" i="18" l="1"/>
  <c r="F83" i="18"/>
  <c r="K83" i="18" s="1"/>
  <c r="H84" i="18" s="1"/>
  <c r="AH90" i="7"/>
  <c r="AH90" i="18"/>
  <c r="B84" i="18" l="1"/>
  <c r="I84" i="18"/>
  <c r="D84" i="18"/>
  <c r="E84" i="18" s="1"/>
  <c r="G84" i="18" s="1"/>
  <c r="C84" i="18"/>
  <c r="J84" i="18" l="1"/>
  <c r="F84" i="18"/>
  <c r="K84" i="18" s="1"/>
  <c r="H85" i="18" s="1"/>
  <c r="AH91" i="7"/>
  <c r="AH91" i="18"/>
  <c r="I85" i="18" l="1"/>
  <c r="C85" i="18"/>
  <c r="D85" i="18"/>
  <c r="E85" i="18" s="1"/>
  <c r="G85" i="18" s="1"/>
  <c r="B85" i="18"/>
  <c r="J85" i="18" l="1"/>
  <c r="F85" i="18"/>
  <c r="K85" i="18" s="1"/>
  <c r="H86" i="18" s="1"/>
  <c r="AH92" i="7"/>
  <c r="AH92" i="18"/>
  <c r="D86" i="18" l="1"/>
  <c r="E86" i="18" s="1"/>
  <c r="G86" i="18" s="1"/>
  <c r="B86" i="18"/>
  <c r="C86" i="18"/>
  <c r="I86" i="18"/>
  <c r="J86" i="18" l="1"/>
  <c r="F86" i="18"/>
  <c r="K86" i="18" s="1"/>
  <c r="H87" i="18" s="1"/>
  <c r="AH93" i="7"/>
  <c r="AH93" i="18"/>
  <c r="B87" i="18" l="1"/>
  <c r="D87" i="18"/>
  <c r="C87" i="18"/>
  <c r="I87" i="18"/>
  <c r="E87" i="18" l="1"/>
  <c r="G87" i="18" s="1"/>
  <c r="AH94" i="7"/>
  <c r="AH94" i="18"/>
  <c r="J87" i="18" l="1"/>
  <c r="F87" i="18"/>
  <c r="K87" i="18" s="1"/>
  <c r="H88" i="18" s="1"/>
  <c r="B88" i="18" l="1"/>
  <c r="I88" i="18"/>
  <c r="D88" i="18"/>
  <c r="C88" i="18"/>
  <c r="AH95" i="7"/>
  <c r="AH95" i="18"/>
  <c r="E88" i="18" l="1"/>
  <c r="G88" i="18" s="1"/>
  <c r="J88" i="18" l="1"/>
  <c r="F88" i="18"/>
  <c r="K88" i="18" s="1"/>
  <c r="H89" i="18" s="1"/>
  <c r="AH96" i="7"/>
  <c r="AH96" i="18"/>
  <c r="I89" i="18" l="1"/>
  <c r="D89" i="18"/>
  <c r="E89" i="18" s="1"/>
  <c r="G89" i="18" s="1"/>
  <c r="B89" i="18"/>
  <c r="C89" i="18"/>
  <c r="J89" i="18" l="1"/>
  <c r="F89" i="18"/>
  <c r="K89" i="18" s="1"/>
  <c r="H90" i="18" s="1"/>
  <c r="AH97" i="7"/>
  <c r="AH97" i="18"/>
  <c r="I90" i="18" l="1"/>
  <c r="B90" i="18"/>
  <c r="D90" i="18"/>
  <c r="E90" i="18" s="1"/>
  <c r="G90" i="18" s="1"/>
  <c r="C90" i="18"/>
  <c r="J90" i="18" l="1"/>
  <c r="F90" i="18"/>
  <c r="K90" i="18" s="1"/>
  <c r="H91" i="18" s="1"/>
  <c r="AH98" i="7"/>
  <c r="AH98" i="18"/>
  <c r="D91" i="18" l="1"/>
  <c r="B91" i="18"/>
  <c r="I91" i="18"/>
  <c r="C91" i="18"/>
  <c r="E91" i="18" l="1"/>
  <c r="G91" i="18" s="1"/>
  <c r="AH99" i="7"/>
  <c r="AH99" i="18"/>
  <c r="J91" i="18" l="1"/>
  <c r="F91" i="18"/>
  <c r="K91" i="18" s="1"/>
  <c r="H92" i="18" s="1"/>
  <c r="D92" i="18" l="1"/>
  <c r="E92" i="18" s="1"/>
  <c r="G92" i="18" s="1"/>
  <c r="C92" i="18"/>
  <c r="I92" i="18"/>
  <c r="B92" i="18"/>
  <c r="AH100" i="7"/>
  <c r="AH100" i="18"/>
  <c r="J92" i="18" l="1"/>
  <c r="F92" i="18"/>
  <c r="K92" i="18" s="1"/>
  <c r="H93" i="18" s="1"/>
  <c r="B93" i="18" l="1"/>
  <c r="C93" i="18"/>
  <c r="D93" i="18"/>
  <c r="I93" i="18"/>
  <c r="AH101" i="7"/>
  <c r="AH101" i="18"/>
  <c r="E93" i="18" l="1"/>
  <c r="G93" i="18" s="1"/>
  <c r="J93" i="18" l="1"/>
  <c r="F93" i="18"/>
  <c r="K93" i="18" s="1"/>
  <c r="H94" i="18" s="1"/>
  <c r="I94" i="18" l="1"/>
  <c r="C94" i="18"/>
  <c r="D94" i="18"/>
  <c r="E94" i="18" s="1"/>
  <c r="G94" i="18" s="1"/>
  <c r="B94" i="18"/>
  <c r="AH102" i="7"/>
  <c r="AH102" i="18"/>
  <c r="J94" i="18" l="1"/>
  <c r="F94" i="18"/>
  <c r="K94" i="18" s="1"/>
  <c r="H95" i="18" s="1"/>
  <c r="C95" i="18" l="1"/>
  <c r="I95" i="18"/>
  <c r="B95" i="18"/>
  <c r="D95" i="18"/>
  <c r="AH103" i="7"/>
  <c r="AH103" i="18"/>
  <c r="E95" i="18" l="1"/>
  <c r="G95" i="18" s="1"/>
  <c r="J95" i="18" l="1"/>
  <c r="F95" i="18"/>
  <c r="K95" i="18" s="1"/>
  <c r="H96" i="18" s="1"/>
  <c r="AG100" i="7"/>
  <c r="AF100" i="7" s="1"/>
  <c r="AC100" i="7" s="1"/>
  <c r="AH104" i="7"/>
  <c r="AH104" i="18"/>
  <c r="C96" i="18" l="1"/>
  <c r="B96" i="18"/>
  <c r="I96" i="18"/>
  <c r="D96" i="18"/>
  <c r="E96" i="18" l="1"/>
  <c r="G96" i="18" s="1"/>
  <c r="AH105" i="7"/>
  <c r="AH105" i="18"/>
  <c r="J96" i="18" l="1"/>
  <c r="F96" i="18"/>
  <c r="K96" i="18" s="1"/>
  <c r="H97" i="18" s="1"/>
  <c r="D97" i="18" l="1"/>
  <c r="C97" i="18"/>
  <c r="B97" i="18"/>
  <c r="I97" i="18"/>
  <c r="AH106" i="7"/>
  <c r="AH106" i="18"/>
  <c r="E97" i="18" l="1"/>
  <c r="G97" i="18" s="1"/>
  <c r="J97" i="18" l="1"/>
  <c r="F97" i="18"/>
  <c r="K97" i="18" s="1"/>
  <c r="H98" i="18" s="1"/>
  <c r="AH107" i="7"/>
  <c r="AH107" i="18"/>
  <c r="B98" i="18" l="1"/>
  <c r="D98" i="18"/>
  <c r="E98" i="18" s="1"/>
  <c r="G98" i="18" s="1"/>
  <c r="I98" i="18"/>
  <c r="C98" i="18"/>
  <c r="F98" i="18" l="1"/>
  <c r="K98" i="18" s="1"/>
  <c r="H99" i="18" s="1"/>
  <c r="J98" i="18"/>
  <c r="AH108" i="7"/>
  <c r="AH108" i="18"/>
  <c r="C99" i="18" l="1"/>
  <c r="D99" i="18"/>
  <c r="B99" i="18"/>
  <c r="I99" i="18"/>
  <c r="E99" i="18" l="1"/>
  <c r="G99" i="18" s="1"/>
  <c r="AH109" i="7"/>
  <c r="AH109" i="18"/>
  <c r="J99" i="18" l="1"/>
  <c r="F99" i="18"/>
  <c r="K99" i="18" s="1"/>
  <c r="H100" i="18" s="1"/>
  <c r="C100" i="18" l="1"/>
  <c r="I100" i="18"/>
  <c r="D100" i="18"/>
  <c r="B100" i="18"/>
  <c r="AH110" i="7"/>
  <c r="AH110" i="18"/>
  <c r="E100" i="18" l="1"/>
  <c r="G100" i="18" s="1"/>
  <c r="J100" i="18" l="1"/>
  <c r="F100" i="18"/>
  <c r="K100" i="18" s="1"/>
  <c r="H101" i="18" s="1"/>
  <c r="AG106" i="7"/>
  <c r="AF106" i="7" s="1"/>
  <c r="AC106" i="7" s="1"/>
  <c r="AH111" i="7"/>
  <c r="AH111" i="18"/>
  <c r="D101" i="18" l="1"/>
  <c r="C101" i="18"/>
  <c r="I101" i="18"/>
  <c r="B101" i="18"/>
  <c r="E101" i="18" l="1"/>
  <c r="G101" i="18" s="1"/>
  <c r="AH112" i="7"/>
  <c r="AH112" i="18"/>
  <c r="J101" i="18" l="1"/>
  <c r="F101" i="18"/>
  <c r="K101" i="18" s="1"/>
  <c r="H102" i="18" s="1"/>
  <c r="B102" i="18" l="1"/>
  <c r="I102" i="18"/>
  <c r="C102" i="18"/>
  <c r="D102" i="18"/>
  <c r="AH113" i="7"/>
  <c r="AH113" i="18"/>
  <c r="E102" i="18" l="1"/>
  <c r="G102" i="18" s="1"/>
  <c r="J102" i="18" l="1"/>
  <c r="F102" i="18"/>
  <c r="K102" i="18" s="1"/>
  <c r="H103" i="18" s="1"/>
  <c r="B103" i="18" l="1"/>
  <c r="D103" i="18"/>
  <c r="E103" i="18" s="1"/>
  <c r="G103" i="18" s="1"/>
  <c r="C103" i="18"/>
  <c r="I103" i="18"/>
  <c r="AH114" i="7"/>
  <c r="AH114" i="18"/>
  <c r="J103" i="18" l="1"/>
  <c r="F103" i="18"/>
  <c r="K103" i="18" s="1"/>
  <c r="H104" i="18" s="1"/>
  <c r="D104" i="18" l="1"/>
  <c r="E104" i="18" s="1"/>
  <c r="G104" i="18" s="1"/>
  <c r="C104" i="18"/>
  <c r="B104" i="18"/>
  <c r="I104" i="18"/>
  <c r="AH115" i="7"/>
  <c r="AH115" i="18"/>
  <c r="J104" i="18" l="1"/>
  <c r="F104" i="18"/>
  <c r="K104" i="18" s="1"/>
  <c r="H105" i="18" s="1"/>
  <c r="B105" i="18" l="1"/>
  <c r="C105" i="18"/>
  <c r="I105" i="18"/>
  <c r="D105" i="18"/>
  <c r="AH116" i="7"/>
  <c r="AH116" i="18"/>
  <c r="E105" i="18" l="1"/>
  <c r="G105" i="18" s="1"/>
  <c r="J105" i="18" l="1"/>
  <c r="F105" i="18"/>
  <c r="K105" i="18" s="1"/>
  <c r="H106" i="18" s="1"/>
  <c r="AH117" i="7"/>
  <c r="AH117" i="18"/>
  <c r="B106" i="18" l="1"/>
  <c r="C106" i="18"/>
  <c r="I106" i="18"/>
  <c r="D106" i="18"/>
  <c r="E106" i="18" s="1"/>
  <c r="G106" i="18" s="1"/>
  <c r="J106" i="18" l="1"/>
  <c r="F106" i="18"/>
  <c r="K106" i="18" s="1"/>
  <c r="H107" i="18" s="1"/>
  <c r="AH118" i="7"/>
  <c r="AH118" i="18"/>
  <c r="I107" i="18" l="1"/>
  <c r="B107" i="18"/>
  <c r="D107" i="18"/>
  <c r="E107" i="18" s="1"/>
  <c r="G107" i="18" s="1"/>
  <c r="C107" i="18"/>
  <c r="F107" i="18" l="1"/>
  <c r="K107" i="18" s="1"/>
  <c r="H108" i="18" s="1"/>
  <c r="J107" i="18"/>
  <c r="AH119" i="7"/>
  <c r="AH119" i="18"/>
  <c r="C108" i="18" l="1"/>
  <c r="D108" i="18"/>
  <c r="E108" i="18" s="1"/>
  <c r="G108" i="18" s="1"/>
  <c r="I108" i="18"/>
  <c r="B108" i="18"/>
  <c r="J108" i="18" l="1"/>
  <c r="F108" i="18"/>
  <c r="K108" i="18" s="1"/>
  <c r="H109" i="18" s="1"/>
  <c r="AH120" i="7"/>
  <c r="AH120" i="18"/>
  <c r="I109" i="18" l="1"/>
  <c r="B109" i="18"/>
  <c r="C109" i="18"/>
  <c r="D109" i="18"/>
  <c r="E109" i="18" l="1"/>
  <c r="G109" i="18" s="1"/>
  <c r="AH121" i="7"/>
  <c r="AH121" i="18"/>
  <c r="J109" i="18" l="1"/>
  <c r="F109" i="18"/>
  <c r="K109" i="18" s="1"/>
  <c r="H110" i="18" s="1"/>
  <c r="B110" i="18" l="1"/>
  <c r="I110" i="18"/>
  <c r="C110" i="18"/>
  <c r="D110" i="18"/>
  <c r="AH122" i="7"/>
  <c r="AH122" i="18"/>
  <c r="E110" i="18" l="1"/>
  <c r="G110" i="18" s="1"/>
  <c r="J110" i="18" l="1"/>
  <c r="F110" i="18"/>
  <c r="K110" i="18" s="1"/>
  <c r="H111" i="18" s="1"/>
  <c r="AH123" i="7"/>
  <c r="AH123" i="18"/>
  <c r="C111" i="18" l="1"/>
  <c r="B111" i="18"/>
  <c r="I111" i="18"/>
  <c r="D111" i="18"/>
  <c r="E111" i="18" l="1"/>
  <c r="G111" i="18" s="1"/>
  <c r="AH124" i="7"/>
  <c r="AH124" i="18"/>
  <c r="J111" i="18" l="1"/>
  <c r="F111" i="18"/>
  <c r="K111" i="18" s="1"/>
  <c r="H112" i="18" s="1"/>
  <c r="D112" i="18" l="1"/>
  <c r="E112" i="18" s="1"/>
  <c r="G112" i="18" s="1"/>
  <c r="C112" i="18"/>
  <c r="B112" i="18"/>
  <c r="I112" i="18"/>
  <c r="AH125" i="7"/>
  <c r="AH125" i="18"/>
  <c r="J112" i="18" l="1"/>
  <c r="F112" i="18"/>
  <c r="K112" i="18" s="1"/>
  <c r="H113" i="18" s="1"/>
  <c r="C113" i="18" l="1"/>
  <c r="B113" i="18"/>
  <c r="D113" i="18"/>
  <c r="I113" i="18"/>
  <c r="E113" i="18" l="1"/>
  <c r="G113" i="18" s="1"/>
  <c r="AH126" i="7"/>
  <c r="AH126" i="18"/>
  <c r="J113" i="18" l="1"/>
  <c r="F113" i="18"/>
  <c r="K113" i="18" s="1"/>
  <c r="H114" i="18" s="1"/>
  <c r="C114" i="18" l="1"/>
  <c r="D114" i="18"/>
  <c r="I114" i="18"/>
  <c r="B114" i="18"/>
  <c r="AH127" i="7"/>
  <c r="AH127" i="18"/>
  <c r="E114" i="18" l="1"/>
  <c r="G114" i="18" s="1"/>
  <c r="J114" i="18" l="1"/>
  <c r="F114" i="18"/>
  <c r="K114" i="18" s="1"/>
  <c r="H115" i="18" s="1"/>
  <c r="AH128" i="7"/>
  <c r="AH128" i="18"/>
  <c r="I115" i="18" l="1"/>
  <c r="D115" i="18"/>
  <c r="E115" i="18" s="1"/>
  <c r="G115" i="18" s="1"/>
  <c r="C115" i="18"/>
  <c r="B115" i="18"/>
  <c r="J115" i="18" l="1"/>
  <c r="F115" i="18"/>
  <c r="K115" i="18" s="1"/>
  <c r="H116" i="18" s="1"/>
  <c r="AH129" i="7"/>
  <c r="AH129" i="18"/>
  <c r="C116" i="18" l="1"/>
  <c r="B116" i="18"/>
  <c r="D116" i="18"/>
  <c r="I116" i="18"/>
  <c r="E116" i="18" l="1"/>
  <c r="G116" i="18" s="1"/>
  <c r="AH130" i="7"/>
  <c r="AH130" i="18"/>
  <c r="J116" i="18" l="1"/>
  <c r="F116" i="18"/>
  <c r="K116" i="18" s="1"/>
  <c r="H117" i="18" s="1"/>
  <c r="I117" i="18" l="1"/>
  <c r="D117" i="18"/>
  <c r="C117" i="18"/>
  <c r="B117" i="18"/>
  <c r="AH131" i="7"/>
  <c r="AH131" i="18"/>
  <c r="E117" i="18" l="1"/>
  <c r="G117" i="18" s="1"/>
  <c r="J117" i="18" l="1"/>
  <c r="F117" i="18"/>
  <c r="K117" i="18" s="1"/>
  <c r="H118" i="18" s="1"/>
  <c r="AH132" i="7"/>
  <c r="AH132" i="18"/>
  <c r="C118" i="18" l="1"/>
  <c r="B118" i="18"/>
  <c r="D118" i="18"/>
  <c r="I118" i="18"/>
  <c r="E118" i="18" l="1"/>
  <c r="G118" i="18" s="1"/>
  <c r="AH133" i="7"/>
  <c r="AH133" i="18"/>
  <c r="J118" i="18" l="1"/>
  <c r="F118" i="18"/>
  <c r="K118" i="18" s="1"/>
  <c r="H119" i="18" s="1"/>
  <c r="I119" i="18" l="1"/>
  <c r="D119" i="18"/>
  <c r="C119" i="18"/>
  <c r="B119" i="18"/>
  <c r="AH134" i="7"/>
  <c r="AH134" i="18"/>
  <c r="E119" i="18" l="1"/>
  <c r="G119" i="18" s="1"/>
  <c r="J119" i="18" l="1"/>
  <c r="F119" i="18"/>
  <c r="K119" i="18" s="1"/>
  <c r="H120" i="18" s="1"/>
  <c r="AH135" i="7"/>
  <c r="AH135" i="18"/>
  <c r="I120" i="18" l="1"/>
  <c r="B120" i="18"/>
  <c r="C120" i="18"/>
  <c r="D120" i="18"/>
  <c r="E120" i="18" l="1"/>
  <c r="G120" i="18" s="1"/>
  <c r="AH136" i="7"/>
  <c r="AH136" i="18"/>
  <c r="J120" i="18" l="1"/>
  <c r="F120" i="18"/>
  <c r="K120" i="18" s="1"/>
  <c r="H121" i="18" s="1"/>
  <c r="B121" i="18" l="1"/>
  <c r="I121" i="18"/>
  <c r="C121" i="18"/>
  <c r="D121" i="18"/>
  <c r="AH137" i="7"/>
  <c r="AH137" i="18"/>
  <c r="E121" i="18" l="1"/>
  <c r="G121" i="18" s="1"/>
  <c r="J121" i="18" l="1"/>
  <c r="F121" i="18"/>
  <c r="K121" i="18" s="1"/>
  <c r="H122" i="18" s="1"/>
  <c r="C122" i="18" l="1"/>
  <c r="D122" i="18"/>
  <c r="E122" i="18" s="1"/>
  <c r="G122" i="18" s="1"/>
  <c r="B122" i="18"/>
  <c r="I122" i="18"/>
  <c r="AH138" i="7"/>
  <c r="AH138" i="18"/>
  <c r="J122" i="18" l="1"/>
  <c r="F122" i="18"/>
  <c r="K122" i="18" s="1"/>
  <c r="H123" i="18" s="1"/>
  <c r="D123" i="18" l="1"/>
  <c r="E123" i="18" s="1"/>
  <c r="G123" i="18" s="1"/>
  <c r="C123" i="18"/>
  <c r="I123" i="18"/>
  <c r="B123" i="18"/>
  <c r="AH139" i="7"/>
  <c r="AH139" i="18"/>
  <c r="J123" i="18" l="1"/>
  <c r="F123" i="18"/>
  <c r="K123" i="18" s="1"/>
  <c r="H124" i="18" s="1"/>
  <c r="I124" i="18" l="1"/>
  <c r="D124" i="18"/>
  <c r="E124" i="18" s="1"/>
  <c r="G124" i="18" s="1"/>
  <c r="B124" i="18"/>
  <c r="C124" i="18"/>
  <c r="AH140" i="7"/>
  <c r="AH140" i="18"/>
  <c r="J124" i="18" l="1"/>
  <c r="F124" i="18"/>
  <c r="K124" i="18" s="1"/>
  <c r="H125" i="18" s="1"/>
  <c r="C125" i="18" l="1"/>
  <c r="B125" i="18"/>
  <c r="D125" i="18"/>
  <c r="E125" i="18" s="1"/>
  <c r="G125" i="18" s="1"/>
  <c r="I125" i="18"/>
  <c r="AH142" i="18"/>
  <c r="AH141" i="18"/>
  <c r="AH142" i="7"/>
  <c r="AH141" i="7"/>
  <c r="J125" i="18" l="1"/>
  <c r="F125" i="18"/>
  <c r="K125" i="18" s="1"/>
  <c r="H126" i="18" s="1"/>
  <c r="D126" i="18" l="1"/>
  <c r="E126" i="18" s="1"/>
  <c r="G126" i="18" s="1"/>
  <c r="C126" i="18"/>
  <c r="B126" i="18"/>
  <c r="I126" i="18"/>
  <c r="J126" i="18" l="1"/>
  <c r="F126" i="18"/>
  <c r="K126" i="18" s="1"/>
  <c r="H127" i="18" s="1"/>
  <c r="B127" i="18" l="1"/>
  <c r="D127" i="18"/>
  <c r="I127" i="18"/>
  <c r="C127" i="18"/>
  <c r="AH143" i="7"/>
  <c r="AH143" i="18"/>
  <c r="E127" i="18" l="1"/>
  <c r="G127" i="18" s="1"/>
  <c r="F127" i="18" l="1"/>
  <c r="K127" i="18" s="1"/>
  <c r="H128" i="18" s="1"/>
  <c r="J127" i="18"/>
  <c r="AH144" i="7"/>
  <c r="AH144" i="18"/>
  <c r="C128" i="18" l="1"/>
  <c r="I128" i="18"/>
  <c r="B128" i="18"/>
  <c r="D128" i="18"/>
  <c r="E128" i="18" l="1"/>
  <c r="G128" i="18" s="1"/>
  <c r="AH145" i="7"/>
  <c r="AH145" i="18"/>
  <c r="J128" i="18" l="1"/>
  <c r="F128" i="18"/>
  <c r="K128" i="18" s="1"/>
  <c r="H129" i="18" s="1"/>
  <c r="D129" i="18" l="1"/>
  <c r="E129" i="18" s="1"/>
  <c r="G129" i="18" s="1"/>
  <c r="F129" i="18" s="1"/>
  <c r="K129" i="18" s="1"/>
  <c r="H130" i="18" s="1"/>
  <c r="B129" i="18"/>
  <c r="C129" i="18"/>
  <c r="I129" i="18"/>
  <c r="AH146" i="7"/>
  <c r="AH146" i="18"/>
  <c r="C130" i="18" l="1"/>
  <c r="I130" i="18"/>
  <c r="D130" i="18"/>
  <c r="E130" i="18" s="1"/>
  <c r="B130" i="18"/>
  <c r="J129" i="18"/>
  <c r="G130" i="18" l="1"/>
  <c r="AH147" i="7"/>
  <c r="AH147" i="18"/>
  <c r="J130" i="18" l="1"/>
  <c r="F130" i="18"/>
  <c r="K130" i="18" s="1"/>
  <c r="H131" i="18" s="1"/>
  <c r="B131" i="18" l="1"/>
  <c r="D131" i="18"/>
  <c r="C131" i="18"/>
  <c r="I131" i="18"/>
  <c r="AH148" i="7"/>
  <c r="AH148" i="18"/>
  <c r="E131" i="18" l="1"/>
  <c r="G131" i="18" s="1"/>
  <c r="J131" i="18" l="1"/>
  <c r="F131" i="18"/>
  <c r="K131" i="18" s="1"/>
  <c r="H132" i="18" s="1"/>
  <c r="AH149" i="7"/>
  <c r="AH149" i="18"/>
  <c r="I132" i="18" l="1"/>
  <c r="D132" i="18"/>
  <c r="B132" i="18"/>
  <c r="C132" i="18"/>
  <c r="E132" i="18" l="1"/>
  <c r="G132" i="18" s="1"/>
  <c r="J132" i="18" l="1"/>
  <c r="F132" i="18"/>
  <c r="K132" i="18" s="1"/>
  <c r="H133" i="18" s="1"/>
  <c r="AH150" i="7"/>
  <c r="AH150" i="18"/>
  <c r="C133" i="18" l="1"/>
  <c r="B133" i="18"/>
  <c r="D133" i="18"/>
  <c r="E133" i="18" s="1"/>
  <c r="G133" i="18" s="1"/>
  <c r="I133" i="18"/>
  <c r="J133" i="18" l="1"/>
  <c r="F133" i="18"/>
  <c r="K133" i="18" s="1"/>
  <c r="H134" i="18" s="1"/>
  <c r="AH151" i="7"/>
  <c r="AH151" i="18"/>
  <c r="D134" i="18" l="1"/>
  <c r="C134" i="18"/>
  <c r="I134" i="18"/>
  <c r="B134" i="18"/>
  <c r="E134" i="18" l="1"/>
  <c r="G134" i="18" s="1"/>
  <c r="AH152" i="7"/>
  <c r="AH152" i="18"/>
  <c r="J134" i="18" l="1"/>
  <c r="F134" i="18"/>
  <c r="K134" i="18" s="1"/>
  <c r="H135" i="18" s="1"/>
  <c r="C135" i="18" l="1"/>
  <c r="I135" i="18"/>
  <c r="B135" i="18"/>
  <c r="D135" i="18"/>
  <c r="E135" i="18" s="1"/>
  <c r="G135" i="18" s="1"/>
  <c r="AH153" i="7"/>
  <c r="AH153" i="18"/>
  <c r="J135" i="18" l="1"/>
  <c r="F135" i="18"/>
  <c r="K135" i="18" s="1"/>
  <c r="H136" i="18" s="1"/>
  <c r="I136" i="18" l="1"/>
  <c r="B136" i="18"/>
  <c r="D136" i="18"/>
  <c r="C136" i="18"/>
  <c r="AH154" i="7"/>
  <c r="AH154" i="18"/>
  <c r="E136" i="18" l="1"/>
  <c r="G136" i="18" s="1"/>
  <c r="F136" i="18" l="1"/>
  <c r="K136" i="18" s="1"/>
  <c r="H137" i="18" s="1"/>
  <c r="J136" i="18"/>
  <c r="AH155" i="7"/>
  <c r="AH155" i="18"/>
  <c r="C137" i="18" l="1"/>
  <c r="B137" i="18"/>
  <c r="I137" i="18"/>
  <c r="D137" i="18"/>
  <c r="E137" i="18" l="1"/>
  <c r="G137" i="18" s="1"/>
  <c r="AH156" i="7"/>
  <c r="AH156" i="18"/>
  <c r="J137" i="18" l="1"/>
  <c r="F137" i="18"/>
  <c r="K137" i="18" s="1"/>
  <c r="H138" i="18" s="1"/>
  <c r="I138" i="18" l="1"/>
  <c r="C138" i="18"/>
  <c r="D138" i="18"/>
  <c r="B138" i="18"/>
  <c r="AH157" i="7"/>
  <c r="AH157" i="18"/>
  <c r="E138" i="18" l="1"/>
  <c r="G138" i="18" s="1"/>
  <c r="J138" i="18" l="1"/>
  <c r="F138" i="18"/>
  <c r="K138" i="18" s="1"/>
  <c r="H139" i="18" s="1"/>
  <c r="AH158" i="7"/>
  <c r="AH158" i="18"/>
  <c r="D139" i="18" l="1"/>
  <c r="E139" i="18" s="1"/>
  <c r="G139" i="18" s="1"/>
  <c r="B139" i="18"/>
  <c r="I139" i="18"/>
  <c r="C139" i="18"/>
  <c r="J139" i="18" l="1"/>
  <c r="F139" i="18"/>
  <c r="K139" i="18" s="1"/>
  <c r="H140" i="18" s="1"/>
  <c r="AH159" i="7"/>
  <c r="AH159" i="18"/>
  <c r="B140" i="18" l="1"/>
  <c r="I140" i="18"/>
  <c r="D140" i="18"/>
  <c r="C140" i="18"/>
  <c r="E140" i="18" l="1"/>
  <c r="G140" i="18" s="1"/>
  <c r="AH160" i="7"/>
  <c r="AH160" i="18"/>
  <c r="F140" i="18" l="1"/>
  <c r="K140" i="18" s="1"/>
  <c r="H141" i="18" s="1"/>
  <c r="J140" i="18"/>
  <c r="D141" i="18" l="1"/>
  <c r="E141" i="18" s="1"/>
  <c r="G141" i="18" s="1"/>
  <c r="B141" i="18"/>
  <c r="I141" i="18"/>
  <c r="C141" i="18"/>
  <c r="AH161" i="7"/>
  <c r="AH161" i="18"/>
  <c r="F141" i="18" l="1"/>
  <c r="K141" i="18" s="1"/>
  <c r="H142" i="18" s="1"/>
  <c r="J141" i="18"/>
  <c r="C142" i="18" l="1"/>
  <c r="B142" i="18"/>
  <c r="D142" i="18"/>
  <c r="I142" i="18"/>
  <c r="E142" i="18" l="1"/>
  <c r="G142" i="18" s="1"/>
  <c r="AH162" i="7"/>
  <c r="AH162" i="18"/>
  <c r="J142" i="18" l="1"/>
  <c r="F142" i="18"/>
  <c r="K142" i="18" s="1"/>
  <c r="H143" i="18" s="1"/>
  <c r="C143" i="18" l="1"/>
  <c r="B143" i="18"/>
  <c r="D143" i="18"/>
  <c r="E143" i="18" s="1"/>
  <c r="G143" i="18" s="1"/>
  <c r="I143" i="18"/>
  <c r="AH163" i="7"/>
  <c r="AH163" i="18"/>
  <c r="J143" i="18" l="1"/>
  <c r="F143" i="18"/>
  <c r="K143" i="18" s="1"/>
  <c r="H144" i="18" s="1"/>
  <c r="D144" i="18" l="1"/>
  <c r="I144" i="18"/>
  <c r="C144" i="18"/>
  <c r="B144" i="18"/>
  <c r="AH164" i="7"/>
  <c r="AH164" i="18"/>
  <c r="E144" i="18" l="1"/>
  <c r="G144" i="18" s="1"/>
  <c r="J144" i="18" l="1"/>
  <c r="F144" i="18"/>
  <c r="K144" i="18" s="1"/>
  <c r="H145" i="18" s="1"/>
  <c r="AH165" i="7"/>
  <c r="AH165" i="18"/>
  <c r="I145" i="18" l="1"/>
  <c r="C145" i="18"/>
  <c r="B145" i="18"/>
  <c r="D145" i="18"/>
  <c r="E145" i="18" l="1"/>
  <c r="G145" i="18" s="1"/>
  <c r="AH166" i="7"/>
  <c r="AH166" i="18"/>
  <c r="J145" i="18" l="1"/>
  <c r="F145" i="18"/>
  <c r="K145" i="18" s="1"/>
  <c r="H146" i="18" s="1"/>
  <c r="C146" i="18" l="1"/>
  <c r="B146" i="18"/>
  <c r="I146" i="18"/>
  <c r="D146" i="18"/>
  <c r="AH167" i="7"/>
  <c r="AH167" i="18"/>
  <c r="E146" i="18" l="1"/>
  <c r="G146" i="18" s="1"/>
  <c r="J146" i="18" l="1"/>
  <c r="F146" i="18"/>
  <c r="K146" i="18" s="1"/>
  <c r="H147" i="18" s="1"/>
  <c r="AH168" i="7"/>
  <c r="AH168" i="18"/>
  <c r="I147" i="18" l="1"/>
  <c r="C147" i="18"/>
  <c r="D147" i="18"/>
  <c r="E147" i="18" s="1"/>
  <c r="G147" i="18" s="1"/>
  <c r="B147" i="18"/>
  <c r="J147" i="18" l="1"/>
  <c r="F147" i="18"/>
  <c r="K147" i="18" s="1"/>
  <c r="H148" i="18" s="1"/>
  <c r="AH169" i="7"/>
  <c r="AH169" i="18"/>
  <c r="D148" i="18" l="1"/>
  <c r="B148" i="18"/>
  <c r="C148" i="18"/>
  <c r="I148" i="18"/>
  <c r="E148" i="18" l="1"/>
  <c r="G148" i="18" s="1"/>
  <c r="AH170" i="7"/>
  <c r="AH170" i="18"/>
  <c r="F148" i="18" l="1"/>
  <c r="K148" i="18" s="1"/>
  <c r="H149" i="18" s="1"/>
  <c r="J148" i="18"/>
  <c r="I149" i="18" l="1"/>
  <c r="C149" i="18"/>
  <c r="B149" i="18"/>
  <c r="D149" i="18"/>
  <c r="E149" i="18" s="1"/>
  <c r="G149" i="18" s="1"/>
  <c r="AH171" i="7"/>
  <c r="AH171" i="18"/>
  <c r="J149" i="18" l="1"/>
  <c r="F149" i="18"/>
  <c r="K149" i="18" s="1"/>
  <c r="H150" i="18" s="1"/>
  <c r="D150" i="18" l="1"/>
  <c r="E150" i="18" s="1"/>
  <c r="G150" i="18" s="1"/>
  <c r="I150" i="18"/>
  <c r="B150" i="18"/>
  <c r="C150" i="18"/>
  <c r="AH172" i="7"/>
  <c r="AH172" i="18"/>
  <c r="J150" i="18" l="1"/>
  <c r="F150" i="18"/>
  <c r="K150" i="18" s="1"/>
  <c r="H151" i="18" s="1"/>
  <c r="C151" i="18" l="1"/>
  <c r="I151" i="18"/>
  <c r="B151" i="18"/>
  <c r="D151" i="18"/>
  <c r="AH173" i="7"/>
  <c r="AH173" i="18"/>
  <c r="E151" i="18" l="1"/>
  <c r="G151" i="18" s="1"/>
  <c r="J151" i="18" l="1"/>
  <c r="F151" i="18"/>
  <c r="K151" i="18" s="1"/>
  <c r="H152" i="18" s="1"/>
  <c r="B152" i="18" l="1"/>
  <c r="D152" i="18"/>
  <c r="C152" i="18"/>
  <c r="I152" i="18"/>
  <c r="AH174" i="7"/>
  <c r="AH174" i="18"/>
  <c r="E152" i="18" l="1"/>
  <c r="G152" i="18" s="1"/>
  <c r="J152" i="18" l="1"/>
  <c r="F152" i="18"/>
  <c r="K152" i="18" s="1"/>
  <c r="H153" i="18" s="1"/>
  <c r="AH175" i="7"/>
  <c r="AH175" i="18"/>
  <c r="C153" i="18" l="1"/>
  <c r="I153" i="18"/>
  <c r="D153" i="18"/>
  <c r="B153" i="18"/>
  <c r="E153" i="18" l="1"/>
  <c r="G153" i="18" s="1"/>
  <c r="AH176" i="7"/>
  <c r="AH176" i="18"/>
  <c r="J153" i="18" l="1"/>
  <c r="F153" i="18"/>
  <c r="K153" i="18" s="1"/>
  <c r="H154" i="18" s="1"/>
  <c r="I154" i="18" l="1"/>
  <c r="C154" i="18"/>
  <c r="D154" i="18"/>
  <c r="B154" i="18"/>
  <c r="AH177" i="7"/>
  <c r="AH177" i="18"/>
  <c r="E154" i="18" l="1"/>
  <c r="G154" i="18" s="1"/>
  <c r="J154" i="18" l="1"/>
  <c r="F154" i="18"/>
  <c r="K154" i="18" s="1"/>
  <c r="H155" i="18" s="1"/>
  <c r="AH178" i="7"/>
  <c r="AH178" i="18"/>
  <c r="I155" i="18" l="1"/>
  <c r="D155" i="18"/>
  <c r="B155" i="18"/>
  <c r="C155" i="18"/>
  <c r="E155" i="18" l="1"/>
  <c r="G155" i="18" s="1"/>
  <c r="AH179" i="7"/>
  <c r="AH179" i="18"/>
  <c r="J155" i="18" l="1"/>
  <c r="F155" i="18"/>
  <c r="K155" i="18" s="1"/>
  <c r="H156" i="18" s="1"/>
  <c r="C156" i="18" l="1"/>
  <c r="I156" i="18"/>
  <c r="B156" i="18"/>
  <c r="D156" i="18"/>
  <c r="AH180" i="7"/>
  <c r="AH180" i="18"/>
  <c r="E156" i="18" l="1"/>
  <c r="G156" i="18" s="1"/>
  <c r="J156" i="18" l="1"/>
  <c r="F156" i="18"/>
  <c r="K156" i="18" s="1"/>
  <c r="H157" i="18" s="1"/>
  <c r="AH181" i="7"/>
  <c r="AH181" i="18"/>
  <c r="B157" i="18" l="1"/>
  <c r="I157" i="18"/>
  <c r="D157" i="18"/>
  <c r="C157" i="18"/>
  <c r="E157" i="18" l="1"/>
  <c r="G157" i="18" s="1"/>
  <c r="AH182" i="7"/>
  <c r="AH182" i="18"/>
  <c r="J157" i="18" l="1"/>
  <c r="F157" i="18"/>
  <c r="K157" i="18" s="1"/>
  <c r="H158" i="18" s="1"/>
  <c r="C158" i="18" l="1"/>
  <c r="B158" i="18"/>
  <c r="I158" i="18"/>
  <c r="D158" i="18"/>
  <c r="AH183" i="7"/>
  <c r="AH183" i="18"/>
  <c r="E158" i="18" l="1"/>
  <c r="G158" i="18" s="1"/>
  <c r="J158" i="18" l="1"/>
  <c r="F158" i="18"/>
  <c r="K158" i="18" s="1"/>
  <c r="H159" i="18" s="1"/>
  <c r="AH184" i="7"/>
  <c r="AH184" i="18"/>
  <c r="I159" i="18" l="1"/>
  <c r="C159" i="18"/>
  <c r="D159" i="18"/>
  <c r="B159" i="18"/>
  <c r="E159" i="18" l="1"/>
  <c r="G159" i="18" s="1"/>
  <c r="AH185" i="7"/>
  <c r="AH185" i="18"/>
  <c r="J159" i="18" l="1"/>
  <c r="F159" i="18"/>
  <c r="K159" i="18" s="1"/>
  <c r="H160" i="18" s="1"/>
  <c r="I160" i="18" l="1"/>
  <c r="C160" i="18"/>
  <c r="B160" i="18"/>
  <c r="D160" i="18"/>
  <c r="E160" i="18" l="1"/>
  <c r="G160" i="18" s="1"/>
  <c r="AH186" i="7"/>
  <c r="AH186" i="18"/>
  <c r="J160" i="18" l="1"/>
  <c r="F160" i="18"/>
  <c r="K160" i="18" s="1"/>
  <c r="H161" i="18" s="1"/>
  <c r="I161" i="18" l="1"/>
  <c r="B161" i="18"/>
  <c r="D161" i="18"/>
  <c r="E161" i="18" s="1"/>
  <c r="G161" i="18" s="1"/>
  <c r="C161" i="18"/>
  <c r="AH187" i="7"/>
  <c r="AH187" i="18"/>
  <c r="J161" i="18" l="1"/>
  <c r="F161" i="18"/>
  <c r="K161" i="18" s="1"/>
  <c r="H162" i="18" s="1"/>
  <c r="B162" i="18" l="1"/>
  <c r="D162" i="18"/>
  <c r="C162" i="18"/>
  <c r="I162" i="18"/>
  <c r="AH188" i="7"/>
  <c r="AH188" i="18"/>
  <c r="E162" i="18" l="1"/>
  <c r="G162" i="18" s="1"/>
  <c r="J162" i="18" l="1"/>
  <c r="F162" i="18"/>
  <c r="K162" i="18" s="1"/>
  <c r="H163" i="18" s="1"/>
  <c r="AH189" i="7"/>
  <c r="AH189" i="18"/>
  <c r="B163" i="18" l="1"/>
  <c r="D163" i="18"/>
  <c r="C163" i="18"/>
  <c r="I163" i="18"/>
  <c r="E163" i="18" l="1"/>
  <c r="G163" i="18" s="1"/>
  <c r="AH190" i="7"/>
  <c r="AH190" i="18"/>
  <c r="J163" i="18" l="1"/>
  <c r="F163" i="18"/>
  <c r="K163" i="18" s="1"/>
  <c r="H164" i="18" s="1"/>
  <c r="I164" i="18" l="1"/>
  <c r="B164" i="18"/>
  <c r="C164" i="18"/>
  <c r="D164" i="18"/>
  <c r="AH191" i="7"/>
  <c r="AH191" i="18"/>
  <c r="E164" i="18" l="1"/>
  <c r="G164" i="18" s="1"/>
  <c r="F164" i="18" l="1"/>
  <c r="K164" i="18" s="1"/>
  <c r="H165" i="18" s="1"/>
  <c r="J164" i="18"/>
  <c r="AH192" i="7"/>
  <c r="AH192" i="18"/>
  <c r="B165" i="18" l="1"/>
  <c r="D165" i="18"/>
  <c r="E165" i="18" s="1"/>
  <c r="G165" i="18" s="1"/>
  <c r="C165" i="18"/>
  <c r="I165" i="18"/>
  <c r="J165" i="18" l="1"/>
  <c r="F165" i="18"/>
  <c r="K165" i="18" s="1"/>
  <c r="H166" i="18" s="1"/>
  <c r="AH193" i="7"/>
  <c r="AH193" i="18"/>
  <c r="B166" i="18" l="1"/>
  <c r="I166" i="18"/>
  <c r="C166" i="18"/>
  <c r="D166" i="18"/>
  <c r="E166" i="18" l="1"/>
  <c r="G166" i="18" s="1"/>
  <c r="AH194" i="7"/>
  <c r="AH194" i="18"/>
  <c r="J166" i="18" l="1"/>
  <c r="F166" i="18"/>
  <c r="K166" i="18" s="1"/>
  <c r="H167" i="18" s="1"/>
  <c r="D167" i="18" l="1"/>
  <c r="C167" i="18"/>
  <c r="I167" i="18"/>
  <c r="B167" i="18"/>
  <c r="AH195" i="7"/>
  <c r="AH195" i="18"/>
  <c r="E167" i="18" l="1"/>
  <c r="G167" i="18" s="1"/>
  <c r="F167" i="18" l="1"/>
  <c r="K167" i="18" s="1"/>
  <c r="H168" i="18" s="1"/>
  <c r="J167" i="18"/>
  <c r="AH196" i="7"/>
  <c r="AH196" i="18"/>
  <c r="C168" i="18" l="1"/>
  <c r="B168" i="18"/>
  <c r="D168" i="18"/>
  <c r="I168" i="18"/>
  <c r="E168" i="18" l="1"/>
  <c r="G168" i="18" s="1"/>
  <c r="AH197" i="7"/>
  <c r="AH197" i="18"/>
  <c r="J168" i="18" l="1"/>
  <c r="F168" i="18"/>
  <c r="K168" i="18" s="1"/>
  <c r="H169" i="18" s="1"/>
  <c r="B169" i="18" l="1"/>
  <c r="D169" i="18"/>
  <c r="I169" i="18"/>
  <c r="C169" i="18"/>
  <c r="E169" i="18" l="1"/>
  <c r="G169" i="18" s="1"/>
  <c r="AH198" i="7"/>
  <c r="AH198" i="18"/>
  <c r="J169" i="18" l="1"/>
  <c r="F169" i="18"/>
  <c r="K169" i="18" s="1"/>
  <c r="H170" i="18" s="1"/>
  <c r="B170" i="18" l="1"/>
  <c r="D170" i="18"/>
  <c r="I170" i="18"/>
  <c r="C170" i="18"/>
  <c r="AH199" i="7"/>
  <c r="AH199" i="18"/>
  <c r="E170" i="18" l="1"/>
  <c r="G170" i="18" s="1"/>
  <c r="J170" i="18" l="1"/>
  <c r="F170" i="18"/>
  <c r="K170" i="18" s="1"/>
  <c r="H171" i="18" s="1"/>
  <c r="AH200" i="7"/>
  <c r="AH200" i="18"/>
  <c r="C171" i="18" l="1"/>
  <c r="B171" i="18"/>
  <c r="I171" i="18"/>
  <c r="D171" i="18"/>
  <c r="E171" i="18" l="1"/>
  <c r="G171" i="18" s="1"/>
  <c r="AH201" i="7"/>
  <c r="AH201" i="18"/>
  <c r="J171" i="18" l="1"/>
  <c r="F171" i="18"/>
  <c r="K171" i="18" s="1"/>
  <c r="H172" i="18" s="1"/>
  <c r="B172" i="18" l="1"/>
  <c r="I172" i="18"/>
  <c r="C172" i="18"/>
  <c r="D172" i="18"/>
  <c r="AH202" i="7"/>
  <c r="AH202" i="18"/>
  <c r="E172" i="18" l="1"/>
  <c r="G172" i="18" s="1"/>
  <c r="J172" i="18" l="1"/>
  <c r="F172" i="18"/>
  <c r="K172" i="18" s="1"/>
  <c r="H173" i="18" s="1"/>
  <c r="AH203" i="7"/>
  <c r="AH203" i="18"/>
  <c r="I173" i="18" l="1"/>
  <c r="D173" i="18"/>
  <c r="B173" i="18"/>
  <c r="C173" i="18"/>
  <c r="E173" i="18" l="1"/>
  <c r="G173" i="18" s="1"/>
  <c r="AH204" i="7"/>
  <c r="AH204" i="18"/>
  <c r="J173" i="18" l="1"/>
  <c r="F173" i="18"/>
  <c r="K173" i="18" s="1"/>
  <c r="H174" i="18" s="1"/>
  <c r="B174" i="18" l="1"/>
  <c r="D174" i="18"/>
  <c r="I174" i="18"/>
  <c r="C174" i="18"/>
  <c r="AH205" i="7"/>
  <c r="AH205" i="18"/>
  <c r="E174" i="18" l="1"/>
  <c r="G174" i="18" s="1"/>
  <c r="J174" i="18" l="1"/>
  <c r="F174" i="18"/>
  <c r="K174" i="18" s="1"/>
  <c r="H175" i="18" s="1"/>
  <c r="AH206" i="7"/>
  <c r="AH206" i="18"/>
  <c r="C175" i="18" l="1"/>
  <c r="B175" i="18"/>
  <c r="I175" i="18"/>
  <c r="D175" i="18"/>
  <c r="E175" i="18" l="1"/>
  <c r="G175" i="18" s="1"/>
  <c r="AH207" i="7"/>
  <c r="AH207" i="18"/>
  <c r="F175" i="18" l="1"/>
  <c r="K175" i="18" s="1"/>
  <c r="H176" i="18" s="1"/>
  <c r="J175" i="18"/>
  <c r="I176" i="18" l="1"/>
  <c r="C176" i="18"/>
  <c r="D176" i="18"/>
  <c r="B176" i="18"/>
  <c r="AH208" i="7"/>
  <c r="AH208" i="18"/>
  <c r="E176" i="18" l="1"/>
  <c r="G176" i="18" s="1"/>
  <c r="J176" i="18" l="1"/>
  <c r="F176" i="18"/>
  <c r="K176" i="18" s="1"/>
  <c r="H177" i="18" s="1"/>
  <c r="AH209" i="7"/>
  <c r="AH209" i="18"/>
  <c r="C177" i="18" l="1"/>
  <c r="I177" i="18"/>
  <c r="D177" i="18"/>
  <c r="B177" i="18"/>
  <c r="E177" i="18" l="1"/>
  <c r="G177" i="18" s="1"/>
  <c r="J177" i="18" l="1"/>
  <c r="F177" i="18"/>
  <c r="K177" i="18" s="1"/>
  <c r="H178" i="18" s="1"/>
  <c r="AH210" i="7"/>
  <c r="AH210" i="18"/>
  <c r="D178" i="18" l="1"/>
  <c r="C178" i="18"/>
  <c r="B178" i="18"/>
  <c r="I178" i="18"/>
  <c r="E178" i="18" l="1"/>
  <c r="G178" i="18" s="1"/>
  <c r="AH211" i="7"/>
  <c r="AH211" i="18"/>
  <c r="J178" i="18" l="1"/>
  <c r="F178" i="18"/>
  <c r="K178" i="18" s="1"/>
  <c r="H179" i="18" s="1"/>
  <c r="I179" i="18" l="1"/>
  <c r="D179" i="18"/>
  <c r="C179" i="18"/>
  <c r="B179" i="18"/>
  <c r="AH212" i="7"/>
  <c r="AH212" i="18"/>
  <c r="E179" i="18" l="1"/>
  <c r="G179" i="18" s="1"/>
  <c r="J179" i="18" l="1"/>
  <c r="F179" i="18"/>
  <c r="K179" i="18" s="1"/>
  <c r="H180" i="18" s="1"/>
  <c r="AH213" i="7"/>
  <c r="AH213" i="18"/>
  <c r="I180" i="18" l="1"/>
  <c r="C180" i="18"/>
  <c r="D180" i="18"/>
  <c r="B180" i="18"/>
  <c r="E180" i="18" l="1"/>
  <c r="G180" i="18" s="1"/>
  <c r="AH214" i="7"/>
  <c r="AH214" i="18"/>
  <c r="F180" i="18" l="1"/>
  <c r="K180" i="18" s="1"/>
  <c r="H181" i="18" s="1"/>
  <c r="J180" i="18"/>
  <c r="B181" i="18" l="1"/>
  <c r="I181" i="18"/>
  <c r="D181" i="18"/>
  <c r="C181" i="18"/>
  <c r="AH215" i="7"/>
  <c r="AH215" i="18"/>
  <c r="E181" i="18" l="1"/>
  <c r="G181" i="18" s="1"/>
  <c r="J181" i="18" l="1"/>
  <c r="F181" i="18"/>
  <c r="K181" i="18" s="1"/>
  <c r="H182" i="18" s="1"/>
  <c r="AH216" i="7"/>
  <c r="AH216" i="18"/>
  <c r="B182" i="18" l="1"/>
  <c r="I182" i="18"/>
  <c r="D182" i="18"/>
  <c r="C182" i="18"/>
  <c r="E182" i="18" l="1"/>
  <c r="G182" i="18" s="1"/>
  <c r="AH217" i="7"/>
  <c r="AH217" i="18"/>
  <c r="J182" i="18" l="1"/>
  <c r="F182" i="18"/>
  <c r="K182" i="18" s="1"/>
  <c r="H183" i="18" s="1"/>
  <c r="C183" i="18" l="1"/>
  <c r="B183" i="18"/>
  <c r="I183" i="18"/>
  <c r="D183" i="18"/>
  <c r="AH218" i="7"/>
  <c r="AH218" i="18"/>
  <c r="E183" i="18" l="1"/>
  <c r="G183" i="18" s="1"/>
  <c r="J183" i="18" l="1"/>
  <c r="F183" i="18"/>
  <c r="K183" i="18" s="1"/>
  <c r="H184" i="18" s="1"/>
  <c r="AH219" i="7"/>
  <c r="AH219" i="18"/>
  <c r="C184" i="18" l="1"/>
  <c r="B184" i="18"/>
  <c r="D184" i="18"/>
  <c r="I184" i="18"/>
  <c r="E184" i="18" l="1"/>
  <c r="G184" i="18" s="1"/>
  <c r="AH220" i="7"/>
  <c r="AH220" i="18"/>
  <c r="F184" i="18" l="1"/>
  <c r="K184" i="18" s="1"/>
  <c r="H185" i="18" s="1"/>
  <c r="J184" i="18"/>
  <c r="I185" i="18" l="1"/>
  <c r="D185" i="18"/>
  <c r="E185" i="18" s="1"/>
  <c r="G185" i="18" s="1"/>
  <c r="C185" i="18"/>
  <c r="B185" i="18"/>
  <c r="AH221" i="7"/>
  <c r="AH221" i="18"/>
  <c r="J185" i="18" l="1"/>
  <c r="F185" i="18"/>
  <c r="K185" i="18" s="1"/>
  <c r="H186" i="18" s="1"/>
  <c r="D186" i="18" l="1"/>
  <c r="I186" i="18"/>
  <c r="C186" i="18"/>
  <c r="B186" i="18"/>
  <c r="E186" i="18" l="1"/>
  <c r="G186" i="18" s="1"/>
  <c r="AH222" i="7"/>
  <c r="AH222" i="18"/>
  <c r="J186" i="18" l="1"/>
  <c r="F186" i="18"/>
  <c r="K186" i="18" s="1"/>
  <c r="H187" i="18" s="1"/>
  <c r="I187" i="18" l="1"/>
  <c r="C187" i="18"/>
  <c r="D187" i="18"/>
  <c r="B187" i="18"/>
  <c r="AH223" i="7"/>
  <c r="AH223" i="18"/>
  <c r="E187" i="18" l="1"/>
  <c r="G187" i="18" s="1"/>
  <c r="J187" i="18" l="1"/>
  <c r="F187" i="18"/>
  <c r="K187" i="18" s="1"/>
  <c r="H188" i="18" s="1"/>
  <c r="AH224" i="7"/>
  <c r="AH224" i="18"/>
  <c r="I188" i="18" l="1"/>
  <c r="B188" i="18"/>
  <c r="D188" i="18"/>
  <c r="C188" i="18"/>
  <c r="E188" i="18" l="1"/>
  <c r="G188" i="18" s="1"/>
  <c r="AH225" i="7"/>
  <c r="AH225" i="18"/>
  <c r="J188" i="18" l="1"/>
  <c r="F188" i="18"/>
  <c r="K188" i="18" s="1"/>
  <c r="H189" i="18" s="1"/>
  <c r="I189" i="18" l="1"/>
  <c r="D189" i="18"/>
  <c r="C189" i="18"/>
  <c r="B189" i="18"/>
  <c r="AH226" i="7"/>
  <c r="AH226" i="18"/>
  <c r="E189" i="18" l="1"/>
  <c r="G189" i="18" s="1"/>
  <c r="J189" i="18" l="1"/>
  <c r="F189" i="18"/>
  <c r="K189" i="18" s="1"/>
  <c r="H190" i="18" s="1"/>
  <c r="AH227" i="7"/>
  <c r="AH227" i="18"/>
  <c r="D190" i="18" l="1"/>
  <c r="E190" i="18" s="1"/>
  <c r="G190" i="18" s="1"/>
  <c r="C190" i="18"/>
  <c r="B190" i="18"/>
  <c r="I190" i="18"/>
  <c r="J190" i="18" l="1"/>
  <c r="F190" i="18"/>
  <c r="K190" i="18" s="1"/>
  <c r="H191" i="18" s="1"/>
  <c r="AH228" i="7"/>
  <c r="AH228" i="18"/>
  <c r="B191" i="18" l="1"/>
  <c r="I191" i="18"/>
  <c r="C191" i="18"/>
  <c r="D191" i="18"/>
  <c r="E191" i="18" s="1"/>
  <c r="G191" i="18" s="1"/>
  <c r="J191" i="18" l="1"/>
  <c r="F191" i="18"/>
  <c r="K191" i="18" s="1"/>
  <c r="H192" i="18" s="1"/>
  <c r="AH229" i="7"/>
  <c r="AH229" i="18"/>
  <c r="I192" i="18" l="1"/>
  <c r="D192" i="18"/>
  <c r="C192" i="18"/>
  <c r="B192" i="18"/>
  <c r="E192" i="18" l="1"/>
  <c r="G192" i="18" s="1"/>
  <c r="AH230" i="7"/>
  <c r="AH230" i="18"/>
  <c r="J192" i="18" l="1"/>
  <c r="F192" i="18"/>
  <c r="K192" i="18" s="1"/>
  <c r="H193" i="18" s="1"/>
  <c r="D193" i="18" l="1"/>
  <c r="E193" i="18" s="1"/>
  <c r="G193" i="18" s="1"/>
  <c r="B193" i="18"/>
  <c r="C193" i="18"/>
  <c r="I193" i="18"/>
  <c r="AH231" i="7"/>
  <c r="AH231" i="18"/>
  <c r="J193" i="18" l="1"/>
  <c r="F193" i="18"/>
  <c r="K193" i="18" s="1"/>
  <c r="H194" i="18" s="1"/>
  <c r="B194" i="18" l="1"/>
  <c r="D194" i="18"/>
  <c r="C194" i="18"/>
  <c r="I194" i="18"/>
  <c r="AH232" i="7"/>
  <c r="AH232" i="18"/>
  <c r="E194" i="18" l="1"/>
  <c r="G194" i="18" s="1"/>
  <c r="J194" i="18" l="1"/>
  <c r="F194" i="18"/>
  <c r="K194" i="18" s="1"/>
  <c r="H195" i="18" s="1"/>
  <c r="AH233" i="7"/>
  <c r="AH233" i="18"/>
  <c r="D195" i="18" l="1"/>
  <c r="I195" i="18"/>
  <c r="B195" i="18"/>
  <c r="C195" i="18"/>
  <c r="E195" i="18" l="1"/>
  <c r="G195" i="18" s="1"/>
  <c r="J195" i="18" l="1"/>
  <c r="F195" i="18"/>
  <c r="K195" i="18" s="1"/>
  <c r="H196" i="18" s="1"/>
  <c r="AH234" i="7"/>
  <c r="AH234" i="18"/>
  <c r="C196" i="18" l="1"/>
  <c r="B196" i="18"/>
  <c r="I196" i="18"/>
  <c r="D196" i="18"/>
  <c r="E196" i="18" l="1"/>
  <c r="G196" i="18" s="1"/>
  <c r="AH235" i="7"/>
  <c r="AH235" i="18"/>
  <c r="J196" i="18" l="1"/>
  <c r="F196" i="18"/>
  <c r="K196" i="18" l="1"/>
  <c r="H197" i="18" s="1"/>
  <c r="AH236" i="7"/>
  <c r="AH236" i="18"/>
  <c r="D197" i="18" l="1"/>
  <c r="I197" i="18"/>
  <c r="B197" i="18"/>
  <c r="C197" i="18"/>
  <c r="E197" i="18" l="1"/>
  <c r="G197" i="18" s="1"/>
  <c r="AH237" i="7"/>
  <c r="AH237" i="18"/>
  <c r="J197" i="18" l="1"/>
  <c r="F197" i="18"/>
  <c r="K197" i="18" l="1"/>
  <c r="H198" i="18" s="1"/>
  <c r="AH238" i="7"/>
  <c r="AH238" i="18"/>
  <c r="D198" i="18" l="1"/>
  <c r="C198" i="18"/>
  <c r="I198" i="18"/>
  <c r="B198" i="18"/>
  <c r="E198" i="18" l="1"/>
  <c r="G198" i="18" s="1"/>
  <c r="AH239" i="7"/>
  <c r="AH239" i="18"/>
  <c r="J198" i="18" l="1"/>
  <c r="F198" i="18"/>
  <c r="K198" i="18" l="1"/>
  <c r="H199" i="18" s="1"/>
  <c r="AH240" i="7"/>
  <c r="AH240" i="18"/>
  <c r="B199" i="18" l="1"/>
  <c r="D199" i="18"/>
  <c r="C199" i="18"/>
  <c r="I199" i="18"/>
  <c r="E199" i="18" l="1"/>
  <c r="G199" i="18" s="1"/>
  <c r="AH241" i="7"/>
  <c r="AH241" i="18"/>
  <c r="J199" i="18" l="1"/>
  <c r="F199" i="18"/>
  <c r="K199" i="18" l="1"/>
  <c r="H200" i="18" s="1"/>
  <c r="AH242" i="7"/>
  <c r="AH242" i="18"/>
  <c r="B200" i="18" l="1"/>
  <c r="I200" i="18"/>
  <c r="C200" i="18"/>
  <c r="D200" i="18"/>
  <c r="E200" i="18" l="1"/>
  <c r="G200" i="18" s="1"/>
  <c r="AH243" i="7"/>
  <c r="AH243" i="18"/>
  <c r="J200" i="18" l="1"/>
  <c r="F200" i="18"/>
  <c r="K200" i="18" l="1"/>
  <c r="H201" i="18" s="1"/>
  <c r="AH244" i="7"/>
  <c r="AH244" i="18"/>
  <c r="I201" i="18" l="1"/>
  <c r="D201" i="18"/>
  <c r="C201" i="18"/>
  <c r="B201" i="18"/>
  <c r="E201" i="18" l="1"/>
  <c r="G201" i="18" s="1"/>
  <c r="AH245" i="7"/>
  <c r="AH245" i="18"/>
  <c r="J201" i="18" l="1"/>
  <c r="F201" i="18"/>
  <c r="K201" i="18" s="1"/>
  <c r="H202" i="18" s="1"/>
  <c r="AH246" i="7"/>
  <c r="AH246" i="18"/>
  <c r="C202" i="18" l="1"/>
  <c r="D202" i="18"/>
  <c r="I202" i="18"/>
  <c r="B202" i="18"/>
  <c r="AH247" i="7"/>
  <c r="AH247" i="18"/>
  <c r="E202" i="18" l="1"/>
  <c r="G202" i="18" s="1"/>
  <c r="AH248" i="7"/>
  <c r="AH248" i="18"/>
  <c r="J202" i="18" l="1"/>
  <c r="F202" i="18"/>
  <c r="K202" i="18" s="1"/>
  <c r="H203" i="18" s="1"/>
  <c r="AH249" i="7"/>
  <c r="AH249" i="18"/>
  <c r="I203" i="18" l="1"/>
  <c r="D203" i="18"/>
  <c r="B203" i="18"/>
  <c r="C203" i="18"/>
  <c r="AH250" i="7"/>
  <c r="AH250" i="18"/>
  <c r="E203" i="18" l="1"/>
  <c r="G203" i="18" s="1"/>
  <c r="AH251" i="7"/>
  <c r="AH251" i="18"/>
  <c r="J203" i="18" l="1"/>
  <c r="F203" i="18"/>
  <c r="K203" i="18" s="1"/>
  <c r="H204" i="18" s="1"/>
  <c r="AH252" i="7"/>
  <c r="AH252" i="18"/>
  <c r="D204" i="18" l="1"/>
  <c r="B204" i="18"/>
  <c r="C204" i="18"/>
  <c r="I204" i="18"/>
  <c r="AH253" i="7"/>
  <c r="AH253" i="18"/>
  <c r="E204" i="18" l="1"/>
  <c r="G204" i="18" s="1"/>
  <c r="AH254" i="7"/>
  <c r="AH254" i="18"/>
  <c r="J204" i="18" l="1"/>
  <c r="F204" i="18"/>
  <c r="K204" i="18" s="1"/>
  <c r="H205" i="18" s="1"/>
  <c r="AH255" i="7"/>
  <c r="AH255" i="18"/>
  <c r="D205" i="18" l="1"/>
  <c r="B205" i="18"/>
  <c r="C205" i="18"/>
  <c r="I205" i="18"/>
  <c r="AH256" i="7"/>
  <c r="AH256" i="18"/>
  <c r="E205" i="18" l="1"/>
  <c r="G205" i="18" s="1"/>
  <c r="AH257" i="7"/>
  <c r="AH257" i="18"/>
  <c r="J205" i="18" l="1"/>
  <c r="F205" i="18"/>
  <c r="K205" i="18" s="1"/>
  <c r="H206" i="18" s="1"/>
  <c r="I206" i="18" l="1"/>
  <c r="D206" i="18"/>
  <c r="C206" i="18"/>
  <c r="B206" i="18"/>
  <c r="E206" i="18" l="1"/>
  <c r="G206" i="18" s="1"/>
  <c r="J206" i="18" l="1"/>
  <c r="F206" i="18"/>
  <c r="K206" i="18" s="1"/>
  <c r="H207" i="18" s="1"/>
  <c r="C207" i="18" l="1"/>
  <c r="B207" i="18"/>
  <c r="D207" i="18"/>
  <c r="I207" i="18"/>
  <c r="E207" i="18" l="1"/>
  <c r="G207" i="18" s="1"/>
  <c r="J207" i="18" l="1"/>
  <c r="F207" i="18"/>
  <c r="K207" i="18" s="1"/>
  <c r="H208" i="18" s="1"/>
  <c r="D208" i="18" l="1"/>
  <c r="I208" i="18"/>
  <c r="C208" i="18"/>
  <c r="B208" i="18"/>
  <c r="E208" i="18" l="1"/>
  <c r="G208" i="18" s="1"/>
  <c r="J208" i="18" l="1"/>
  <c r="F208" i="18"/>
  <c r="K208" i="18" s="1"/>
  <c r="H209" i="18" s="1"/>
  <c r="D209" i="18" l="1"/>
  <c r="C209" i="18"/>
  <c r="I209" i="18"/>
  <c r="B209" i="18"/>
  <c r="E209" i="18" l="1"/>
  <c r="G209" i="18" s="1"/>
  <c r="J209" i="18" l="1"/>
  <c r="F209" i="18"/>
  <c r="K209" i="18" s="1"/>
  <c r="H210" i="18" s="1"/>
  <c r="D210" i="18" l="1"/>
  <c r="C210" i="18"/>
  <c r="B210" i="18"/>
  <c r="I210" i="18"/>
  <c r="E210" i="18" l="1"/>
  <c r="G210" i="18" s="1"/>
  <c r="J210" i="18" l="1"/>
  <c r="F210" i="18"/>
  <c r="K210" i="18" s="1"/>
  <c r="H211" i="18" s="1"/>
  <c r="C211" i="18" l="1"/>
  <c r="B211" i="18"/>
  <c r="I211" i="18"/>
  <c r="D211" i="18"/>
  <c r="E211" i="18" l="1"/>
  <c r="G211" i="18" s="1"/>
  <c r="J211" i="18" l="1"/>
  <c r="F211" i="18"/>
  <c r="K211" i="18" s="1"/>
  <c r="H212" i="18" s="1"/>
  <c r="B212" i="18" l="1"/>
  <c r="C212" i="18"/>
  <c r="I212" i="18"/>
  <c r="D212" i="18"/>
  <c r="E212" i="18" l="1"/>
  <c r="G212" i="18" s="1"/>
  <c r="J212" i="18" l="1"/>
  <c r="F212" i="18"/>
  <c r="K212" i="18" s="1"/>
  <c r="H213" i="18" s="1"/>
  <c r="I213" i="18" l="1"/>
  <c r="D213" i="18"/>
  <c r="C213" i="18"/>
  <c r="B213" i="18"/>
  <c r="E213" i="18" l="1"/>
  <c r="G213" i="18" s="1"/>
  <c r="J213" i="18" l="1"/>
  <c r="F213" i="18"/>
  <c r="K213" i="18" s="1"/>
  <c r="H214" i="18" s="1"/>
  <c r="D214" i="18" l="1"/>
  <c r="I214" i="18"/>
  <c r="B214" i="18"/>
  <c r="C214" i="18"/>
  <c r="E214" i="18" l="1"/>
  <c r="G214" i="18" s="1"/>
  <c r="J214" i="18" l="1"/>
  <c r="F214" i="18"/>
  <c r="K214" i="18" s="1"/>
  <c r="H215" i="18" s="1"/>
  <c r="B215" i="18" l="1"/>
  <c r="C215" i="18"/>
  <c r="I215" i="18"/>
  <c r="D215" i="18"/>
  <c r="E215" i="18" l="1"/>
  <c r="G215" i="18" s="1"/>
  <c r="J215" i="18" l="1"/>
  <c r="F215" i="18"/>
  <c r="K215" i="18" s="1"/>
  <c r="H216" i="18" s="1"/>
  <c r="D216" i="18" l="1"/>
  <c r="B216" i="18"/>
  <c r="I216" i="18"/>
  <c r="C216" i="18"/>
  <c r="E216" i="18" l="1"/>
  <c r="G216" i="18" s="1"/>
  <c r="J216" i="18" l="1"/>
  <c r="F216" i="18"/>
  <c r="K216" i="18" s="1"/>
  <c r="H217" i="18" s="1"/>
  <c r="C217" i="18" l="1"/>
  <c r="B217" i="18"/>
  <c r="I217" i="18"/>
  <c r="D217" i="18"/>
  <c r="E217" i="18" l="1"/>
  <c r="G217" i="18" s="1"/>
  <c r="J217" i="18" l="1"/>
  <c r="F217" i="18"/>
  <c r="K217" i="18" s="1"/>
  <c r="H218" i="18" s="1"/>
  <c r="I218" i="18" l="1"/>
  <c r="D218" i="18"/>
  <c r="C218" i="18"/>
  <c r="B218" i="18"/>
  <c r="E218" i="18" l="1"/>
  <c r="G218" i="18" s="1"/>
  <c r="J218" i="18" l="1"/>
  <c r="F218" i="18"/>
  <c r="K218" i="18" s="1"/>
  <c r="H219" i="18" s="1"/>
  <c r="I219" i="18" l="1"/>
  <c r="D219" i="18"/>
  <c r="C219" i="18"/>
  <c r="B219" i="18"/>
  <c r="E219" i="18" l="1"/>
  <c r="G219" i="18" s="1"/>
  <c r="J219" i="18" l="1"/>
  <c r="F219" i="18"/>
  <c r="K219" i="18" s="1"/>
  <c r="H220" i="18" s="1"/>
  <c r="I220" i="18" l="1"/>
  <c r="C220" i="18"/>
  <c r="B220" i="18"/>
  <c r="D220" i="18"/>
  <c r="E220" i="18" l="1"/>
  <c r="G220" i="18" s="1"/>
  <c r="J220" i="18" l="1"/>
  <c r="F220" i="18"/>
  <c r="K220" i="18" s="1"/>
  <c r="H221" i="18" s="1"/>
  <c r="D221" i="18" l="1"/>
  <c r="C221" i="18"/>
  <c r="B221" i="18"/>
  <c r="I221" i="18"/>
  <c r="E221" i="18" l="1"/>
  <c r="G221" i="18" s="1"/>
  <c r="J221" i="18" l="1"/>
  <c r="F221" i="18"/>
  <c r="K221" i="18" s="1"/>
  <c r="H222" i="18" s="1"/>
  <c r="C222" i="18" l="1"/>
  <c r="B222" i="18"/>
  <c r="I222" i="18"/>
  <c r="D222" i="18"/>
  <c r="E222" i="18" l="1"/>
  <c r="G222" i="18" s="1"/>
  <c r="J222" i="18" l="1"/>
  <c r="F222" i="18"/>
  <c r="K222" i="18" s="1"/>
  <c r="H223" i="18" s="1"/>
  <c r="D223" i="18" l="1"/>
  <c r="I223" i="18"/>
  <c r="B223" i="18"/>
  <c r="C223" i="18"/>
  <c r="E223" i="18" l="1"/>
  <c r="G223" i="18" s="1"/>
  <c r="J223" i="18" l="1"/>
  <c r="F223" i="18"/>
  <c r="K223" i="18" s="1"/>
  <c r="H224" i="18" s="1"/>
  <c r="C224" i="18" l="1"/>
  <c r="I224" i="18"/>
  <c r="D224" i="18"/>
  <c r="B224" i="18"/>
  <c r="E224" i="18" l="1"/>
  <c r="G224" i="18" s="1"/>
  <c r="J224" i="18" l="1"/>
  <c r="F224" i="18"/>
  <c r="K224" i="18" s="1"/>
  <c r="H225" i="18" s="1"/>
  <c r="B225" i="18" l="1"/>
  <c r="C225" i="18"/>
  <c r="D225" i="18"/>
  <c r="I225" i="18"/>
  <c r="E225" i="18" l="1"/>
  <c r="G225" i="18" s="1"/>
  <c r="J225" i="18" l="1"/>
  <c r="F225" i="18"/>
  <c r="K225" i="18" s="1"/>
  <c r="H226" i="18" s="1"/>
  <c r="D226" i="18" l="1"/>
  <c r="B226" i="18"/>
  <c r="I226" i="18"/>
  <c r="C226" i="18"/>
  <c r="E226" i="18" l="1"/>
  <c r="G226" i="18" s="1"/>
  <c r="J226" i="18" l="1"/>
  <c r="F226" i="18"/>
  <c r="K226" i="18" s="1"/>
  <c r="H227" i="18" s="1"/>
  <c r="D227" i="18" l="1"/>
  <c r="C227" i="18"/>
  <c r="B227" i="18"/>
  <c r="I227" i="18"/>
  <c r="E227" i="18" l="1"/>
  <c r="G227" i="18" s="1"/>
  <c r="J227" i="18" l="1"/>
  <c r="F227" i="18"/>
  <c r="K227" i="18" s="1"/>
  <c r="H228" i="18" s="1"/>
  <c r="B228" i="18" l="1"/>
  <c r="C228" i="18"/>
  <c r="D228" i="18"/>
  <c r="I228" i="18"/>
  <c r="E228" i="18" l="1"/>
  <c r="G228" i="18" s="1"/>
  <c r="J228" i="18" l="1"/>
  <c r="F228" i="18"/>
  <c r="K228" i="18" s="1"/>
  <c r="H229" i="18" s="1"/>
  <c r="D229" i="18" l="1"/>
  <c r="B229" i="18"/>
  <c r="I229" i="18"/>
  <c r="C229" i="18"/>
  <c r="E229" i="18" l="1"/>
  <c r="G229" i="18" s="1"/>
  <c r="J229" i="18" l="1"/>
  <c r="F229" i="18"/>
  <c r="K229" i="18" s="1"/>
  <c r="H230" i="18" s="1"/>
  <c r="C230" i="18" l="1"/>
  <c r="I230" i="18"/>
  <c r="B230" i="18"/>
  <c r="D230" i="18"/>
  <c r="E230" i="18" l="1"/>
  <c r="G230" i="18" s="1"/>
  <c r="J230" i="18" l="1"/>
  <c r="F230" i="18"/>
  <c r="K230" i="18" s="1"/>
  <c r="H231" i="18" s="1"/>
  <c r="D231" i="18" l="1"/>
  <c r="I231" i="18"/>
  <c r="C231" i="18"/>
  <c r="B231" i="18"/>
  <c r="E231" i="18" l="1"/>
  <c r="G231" i="18" s="1"/>
  <c r="J231" i="18" l="1"/>
  <c r="F231" i="18"/>
  <c r="K231" i="18" s="1"/>
  <c r="H232" i="18" s="1"/>
  <c r="C232" i="18" l="1"/>
  <c r="B232" i="18"/>
  <c r="I232" i="18"/>
  <c r="D232" i="18"/>
  <c r="E232" i="18" l="1"/>
  <c r="G232" i="18" s="1"/>
  <c r="J232" i="18" l="1"/>
  <c r="F232" i="18"/>
  <c r="K232" i="18" s="1"/>
  <c r="H233" i="18" s="1"/>
  <c r="I233" i="18" l="1"/>
  <c r="C233" i="18"/>
  <c r="B233" i="18"/>
  <c r="D233" i="18"/>
  <c r="E233" i="18" l="1"/>
  <c r="G233" i="18" s="1"/>
  <c r="J233" i="18" l="1"/>
  <c r="F233" i="18"/>
  <c r="K233" i="18" s="1"/>
  <c r="H234" i="18" s="1"/>
  <c r="B234" i="18" l="1"/>
  <c r="D234" i="18"/>
  <c r="C234" i="18"/>
  <c r="I234" i="18"/>
  <c r="E234" i="18" l="1"/>
  <c r="G234" i="18" s="1"/>
  <c r="J234" i="18" l="1"/>
  <c r="F234" i="18"/>
  <c r="K234" i="18" s="1"/>
  <c r="H235" i="18" s="1"/>
  <c r="I235" i="18" l="1"/>
  <c r="C235" i="18"/>
  <c r="D235" i="18"/>
  <c r="B235" i="18"/>
  <c r="E235" i="18" l="1"/>
  <c r="G235" i="18" s="1"/>
  <c r="J235" i="18" l="1"/>
  <c r="F235" i="18"/>
  <c r="K235" i="18" s="1"/>
  <c r="H236" i="18" s="1"/>
  <c r="I236" i="18" l="1"/>
  <c r="D236" i="18"/>
  <c r="C236" i="18"/>
  <c r="B236" i="18"/>
  <c r="E236" i="18" l="1"/>
  <c r="G236" i="18" s="1"/>
  <c r="J236" i="18" l="1"/>
  <c r="F236" i="18"/>
  <c r="K236" i="18" s="1"/>
  <c r="H237" i="18" s="1"/>
  <c r="D237" i="18" l="1"/>
  <c r="C237" i="18"/>
  <c r="B237" i="18"/>
  <c r="I237" i="18"/>
  <c r="E237" i="18" l="1"/>
  <c r="G237" i="18" s="1"/>
  <c r="J237" i="18" l="1"/>
  <c r="F237" i="18"/>
  <c r="K237" i="18" s="1"/>
  <c r="H238" i="18" s="1"/>
  <c r="B238" i="18" l="1"/>
  <c r="I238" i="18"/>
  <c r="C238" i="18"/>
  <c r="D238" i="18"/>
  <c r="E238" i="18" l="1"/>
  <c r="G238" i="18" s="1"/>
  <c r="J238" i="18" l="1"/>
  <c r="F238" i="18"/>
  <c r="K238" i="18" s="1"/>
  <c r="H239" i="18" s="1"/>
  <c r="B239" i="18" l="1"/>
  <c r="I239" i="18"/>
  <c r="C239" i="18"/>
  <c r="D239" i="18"/>
  <c r="E239" i="18" l="1"/>
  <c r="G239" i="18" s="1"/>
  <c r="J239" i="18" l="1"/>
  <c r="F239" i="18"/>
  <c r="K239" i="18" s="1"/>
  <c r="H240" i="18" s="1"/>
  <c r="I240" i="18" l="1"/>
  <c r="D240" i="18"/>
  <c r="C240" i="18"/>
  <c r="B240" i="18"/>
  <c r="E240" i="18" l="1"/>
  <c r="G240" i="18" s="1"/>
  <c r="J240" i="18" l="1"/>
  <c r="F240" i="18"/>
  <c r="K240" i="18" s="1"/>
  <c r="H241" i="18" s="1"/>
  <c r="C241" i="18" l="1"/>
  <c r="D241" i="18"/>
  <c r="I241" i="18"/>
  <c r="B241" i="18"/>
  <c r="E241" i="18" l="1"/>
  <c r="G241" i="18" s="1"/>
  <c r="J241" i="18" l="1"/>
  <c r="F241" i="18"/>
  <c r="K241" i="18" s="1"/>
  <c r="H242" i="18" s="1"/>
  <c r="I242" i="18" l="1"/>
  <c r="C242" i="18"/>
  <c r="B242" i="18"/>
  <c r="D242" i="18"/>
  <c r="E242" i="18" l="1"/>
  <c r="G242" i="18" s="1"/>
  <c r="J242" i="18" l="1"/>
  <c r="F242" i="18"/>
  <c r="K242" i="18" s="1"/>
  <c r="H243" i="18" s="1"/>
  <c r="B243" i="18" l="1"/>
  <c r="I243" i="18"/>
  <c r="D243" i="18"/>
  <c r="C243" i="18"/>
  <c r="E243" i="18" l="1"/>
  <c r="G243" i="18" s="1"/>
  <c r="J243" i="18" l="1"/>
  <c r="F243" i="18"/>
  <c r="K243" i="18" s="1"/>
  <c r="H244" i="18" s="1"/>
  <c r="I244" i="18" l="1"/>
  <c r="B244" i="18"/>
  <c r="C244" i="18"/>
  <c r="D244" i="18"/>
  <c r="E244" i="18" l="1"/>
  <c r="G244" i="18" s="1"/>
  <c r="J244" i="18" l="1"/>
  <c r="F244" i="18"/>
  <c r="K244" i="18" s="1"/>
  <c r="H245" i="18" s="1"/>
  <c r="B245" i="18" l="1"/>
  <c r="I245" i="18"/>
  <c r="C245" i="18"/>
  <c r="D245" i="18"/>
  <c r="E245" i="18" l="1"/>
  <c r="G245" i="18" s="1"/>
  <c r="J245" i="18" l="1"/>
  <c r="F245" i="18"/>
  <c r="K245" i="18" s="1"/>
  <c r="H246" i="18" s="1"/>
  <c r="B246" i="18" l="1"/>
  <c r="C246" i="18"/>
  <c r="D246" i="18"/>
  <c r="I246" i="18"/>
  <c r="E246" i="18" l="1"/>
  <c r="G246" i="18" s="1"/>
  <c r="J246" i="18" l="1"/>
  <c r="F246" i="18"/>
  <c r="K246" i="18" s="1"/>
  <c r="H247" i="18" s="1"/>
  <c r="D247" i="18" l="1"/>
  <c r="I247" i="18"/>
  <c r="C247" i="18"/>
  <c r="B247" i="18"/>
  <c r="E247" i="18" l="1"/>
  <c r="G247" i="18" s="1"/>
  <c r="J247" i="18" l="1"/>
  <c r="F247" i="18"/>
  <c r="K247" i="18" s="1"/>
  <c r="H248" i="18" s="1"/>
  <c r="D248" i="18" l="1"/>
  <c r="C248" i="18"/>
  <c r="I248" i="18"/>
  <c r="B248" i="18"/>
  <c r="E248" i="18" l="1"/>
  <c r="G248" i="18" s="1"/>
  <c r="J248" i="18" l="1"/>
  <c r="F248" i="18"/>
  <c r="K248" i="18" s="1"/>
  <c r="H249" i="18" s="1"/>
  <c r="B249" i="18" l="1"/>
  <c r="I249" i="18"/>
  <c r="D249" i="18"/>
  <c r="C249" i="18"/>
  <c r="E249" i="18" l="1"/>
  <c r="G249" i="18" s="1"/>
  <c r="J249" i="18" l="1"/>
  <c r="F249" i="18"/>
  <c r="K249" i="18" s="1"/>
  <c r="H250" i="18" s="1"/>
  <c r="C250" i="18" l="1"/>
  <c r="D250" i="18"/>
  <c r="B250" i="18"/>
  <c r="I250" i="18"/>
  <c r="E250" i="18" l="1"/>
  <c r="G250" i="18" s="1"/>
  <c r="J250" i="18" l="1"/>
  <c r="F250" i="18"/>
  <c r="K250" i="18" s="1"/>
  <c r="H251" i="18" s="1"/>
  <c r="I251" i="18" l="1"/>
  <c r="D251" i="18"/>
  <c r="C251" i="18"/>
  <c r="B251" i="18"/>
  <c r="E251" i="18" l="1"/>
  <c r="G251" i="18" s="1"/>
  <c r="J251" i="18" l="1"/>
  <c r="F251" i="18"/>
  <c r="K251" i="18" s="1"/>
  <c r="H252" i="18" s="1"/>
  <c r="C252" i="18" l="1"/>
  <c r="B252" i="18"/>
  <c r="I252" i="18"/>
  <c r="D252" i="18"/>
  <c r="E252" i="18" l="1"/>
  <c r="G252" i="18" s="1"/>
  <c r="J252" i="18" l="1"/>
  <c r="F252" i="18"/>
  <c r="K252" i="18" s="1"/>
  <c r="H253" i="18" s="1"/>
  <c r="I253" i="18" l="1"/>
  <c r="D253" i="18"/>
  <c r="C253" i="18"/>
  <c r="B253" i="18"/>
  <c r="E253" i="18" l="1"/>
  <c r="G253" i="18" s="1"/>
  <c r="J253" i="18" l="1"/>
  <c r="F253" i="18"/>
  <c r="K253" i="18" s="1"/>
  <c r="H254" i="18" s="1"/>
  <c r="C254" i="18" l="1"/>
  <c r="I254" i="18"/>
  <c r="D254" i="18"/>
  <c r="B254" i="18"/>
  <c r="E254" i="18" l="1"/>
  <c r="G254" i="18" s="1"/>
  <c r="J254" i="18" l="1"/>
  <c r="F254" i="18"/>
  <c r="K254" i="18" s="1"/>
  <c r="H255" i="18" s="1"/>
  <c r="I255" i="18" l="1"/>
  <c r="D255" i="18"/>
  <c r="C255" i="18"/>
  <c r="B255" i="18"/>
  <c r="E255" i="18" l="1"/>
  <c r="G255" i="18" s="1"/>
  <c r="J255" i="18" l="1"/>
  <c r="F255" i="18"/>
  <c r="K255" i="18" s="1"/>
  <c r="H256" i="18" s="1"/>
  <c r="D256" i="18" l="1"/>
  <c r="C256" i="18"/>
  <c r="B256" i="18"/>
  <c r="I256" i="18"/>
  <c r="E256" i="18" l="1"/>
  <c r="AG256" i="18" l="1"/>
  <c r="AF256" i="18" s="1"/>
  <c r="AC256" i="18" s="1"/>
  <c r="G256" i="18" s="1"/>
  <c r="J256" i="18" l="1"/>
  <c r="F256" i="18"/>
  <c r="K256" i="18" s="1"/>
  <c r="H257" i="18" s="1"/>
  <c r="H259" i="18"/>
  <c r="I257" i="18" l="1"/>
  <c r="I259" i="18" s="1"/>
  <c r="B257" i="18"/>
  <c r="C257" i="18"/>
  <c r="Z7" i="18" s="1"/>
  <c r="K11" i="18" s="1"/>
  <c r="L11" i="18" s="1"/>
  <c r="D257" i="18"/>
  <c r="E257" i="18" s="1"/>
  <c r="G257" i="18" s="1"/>
  <c r="F257" i="18" s="1"/>
  <c r="F259" i="18" s="1"/>
  <c r="G259" i="18" l="1"/>
  <c r="Z8" i="18"/>
  <c r="K257" i="18"/>
  <c r="E259" i="18"/>
  <c r="J257" i="18"/>
  <c r="J259" i="18" s="1"/>
  <c r="AG255" i="7" l="1"/>
  <c r="AF255" i="7" s="1"/>
  <c r="AC255" i="7" s="1"/>
  <c r="CE29" i="22" l="1"/>
  <c r="CE6" i="22"/>
  <c r="CE5" i="22"/>
  <c r="CE20" i="22"/>
  <c r="CE3" i="22"/>
  <c r="CE24" i="22"/>
  <c r="CE9" i="22"/>
  <c r="CE14" i="22"/>
  <c r="CE26" i="22"/>
  <c r="CE21" i="22"/>
  <c r="CE16" i="22"/>
  <c r="CE28" i="22"/>
  <c r="CE22" i="22"/>
  <c r="CE23" i="22"/>
  <c r="CE12" i="22"/>
  <c r="CE27" i="22"/>
  <c r="CE15" i="22"/>
  <c r="CE18" i="22"/>
  <c r="CE13" i="22"/>
  <c r="CE8" i="22"/>
  <c r="CE7" i="22"/>
  <c r="CE10" i="22"/>
  <c r="CE17" i="22"/>
  <c r="CE4" i="22"/>
  <c r="CE25" i="22"/>
  <c r="CE19" i="22"/>
  <c r="CE11" i="22"/>
  <c r="CE30" i="22"/>
  <c r="AV10" i="22" l="1"/>
  <c r="X1" i="22" s="1"/>
  <c r="X2" i="22" l="1"/>
  <c r="C28" i="22" s="1"/>
  <c r="P77" i="22" s="1"/>
  <c r="P81" i="22" l="1"/>
  <c r="ET40" i="8" s="1"/>
  <c r="P69" i="22"/>
  <c r="ET28" i="8" s="1"/>
  <c r="P73" i="22"/>
  <c r="ET32" i="8" s="1"/>
  <c r="GL36" i="8"/>
  <c r="P71" i="22"/>
  <c r="P68" i="22"/>
  <c r="ET27" i="8" s="1"/>
  <c r="P74" i="22"/>
  <c r="CZ24" i="8"/>
  <c r="N65" i="22"/>
  <c r="GJ24" i="8"/>
  <c r="GD25" i="8" s="1"/>
  <c r="ER24" i="8"/>
  <c r="EI25" i="8" l="1"/>
  <c r="EK25" i="8" s="1"/>
  <c r="EJ25" i="8" s="1"/>
  <c r="CQ25" i="8"/>
  <c r="CS25" i="8" s="1"/>
  <c r="CR25" i="8" s="1"/>
  <c r="I66" i="22"/>
  <c r="H66" i="22"/>
  <c r="CP25" i="8"/>
  <c r="CW25" i="8"/>
  <c r="B66" i="22"/>
  <c r="K66" i="22"/>
  <c r="DD24" i="8"/>
  <c r="CO25" i="8"/>
  <c r="CV25" i="8"/>
  <c r="CU25" i="8"/>
  <c r="D66" i="22"/>
  <c r="E66" i="22" s="1"/>
  <c r="G66" i="22" s="1"/>
  <c r="F66" i="22" s="1"/>
  <c r="EG25" i="8"/>
  <c r="EN25" i="8"/>
  <c r="BZ24" i="8"/>
  <c r="BT25" i="8" s="1"/>
  <c r="EH25" i="8"/>
  <c r="EM25" i="8"/>
  <c r="CT25" i="8"/>
  <c r="J66" i="22"/>
  <c r="EO25" i="8"/>
  <c r="DB28" i="8"/>
  <c r="CA40" i="8"/>
  <c r="GL40" i="8"/>
  <c r="ET36" i="8"/>
  <c r="CA32" i="8"/>
  <c r="DB40" i="8"/>
  <c r="DB36" i="8"/>
  <c r="GL32" i="8"/>
  <c r="CA36" i="8"/>
  <c r="CA28" i="8"/>
  <c r="GL28" i="8"/>
  <c r="DB32" i="8"/>
  <c r="GF25" i="8"/>
  <c r="FZ25" i="8"/>
  <c r="GA25" i="8"/>
  <c r="GC25" i="8" s="1"/>
  <c r="GB25" i="8" s="1"/>
  <c r="GN24" i="8"/>
  <c r="FY25" i="8"/>
  <c r="GE25" i="8"/>
  <c r="EV24" i="8"/>
  <c r="EL25" i="8"/>
  <c r="GG25" i="8"/>
  <c r="CX25" i="8" l="1"/>
  <c r="CY25" i="8" s="1"/>
  <c r="DD25" i="8" s="1"/>
  <c r="CC24" i="8"/>
  <c r="BQ25" i="8"/>
  <c r="BS25" i="8" s="1"/>
  <c r="BR25" i="8" s="1"/>
  <c r="BU25" i="8"/>
  <c r="BP25" i="8"/>
  <c r="L66" i="22"/>
  <c r="AN62" i="22" s="1"/>
  <c r="AN64" i="22" s="1"/>
  <c r="AN66" i="22" s="1"/>
  <c r="AN67" i="22" s="1"/>
  <c r="AN68" i="22" s="1"/>
  <c r="AN69" i="22" s="1"/>
  <c r="EP25" i="8"/>
  <c r="BV25" i="8"/>
  <c r="GH25" i="8"/>
  <c r="GI25" i="8" s="1"/>
  <c r="GN25" i="8" s="1"/>
  <c r="N34" i="22" l="1"/>
  <c r="M66" i="22"/>
  <c r="N66" i="22" s="1"/>
  <c r="CZ25" i="8"/>
  <c r="EQ25" i="8"/>
  <c r="AO68" i="22"/>
  <c r="BX25" i="8"/>
  <c r="BY25" i="8" s="1"/>
  <c r="BZ25" i="8" s="1"/>
  <c r="AO67" i="22"/>
  <c r="GJ25" i="8"/>
  <c r="AN70" i="22"/>
  <c r="AO69" i="22"/>
  <c r="CO26" i="8" l="1"/>
  <c r="DP26" i="8"/>
  <c r="D67" i="22"/>
  <c r="E67" i="22" s="1"/>
  <c r="G67" i="22" s="1"/>
  <c r="F67" i="22" s="1"/>
  <c r="AW67" i="22"/>
  <c r="GD26" i="8"/>
  <c r="GY26" i="8"/>
  <c r="K67" i="22"/>
  <c r="I67" i="22"/>
  <c r="J67" i="22"/>
  <c r="C67" i="22"/>
  <c r="B67" i="22"/>
  <c r="H67" i="22"/>
  <c r="EV25" i="8"/>
  <c r="ER25" i="8"/>
  <c r="CQ26" i="8"/>
  <c r="CS26" i="8" s="1"/>
  <c r="CR26" i="8" s="1"/>
  <c r="CW26" i="8"/>
  <c r="CV26" i="8"/>
  <c r="CP26" i="8"/>
  <c r="CU26" i="8"/>
  <c r="CT26" i="8"/>
  <c r="AN71" i="22"/>
  <c r="AN72" i="22" s="1"/>
  <c r="AO70" i="22"/>
  <c r="GG26" i="8"/>
  <c r="GA26" i="8"/>
  <c r="GC26" i="8" s="1"/>
  <c r="GB26" i="8" s="1"/>
  <c r="FZ26" i="8"/>
  <c r="GE26" i="8"/>
  <c r="GF26" i="8"/>
  <c r="FY26" i="8"/>
  <c r="BU26" i="8"/>
  <c r="BT26" i="8"/>
  <c r="CC25" i="8"/>
  <c r="BV26" i="8"/>
  <c r="BQ26" i="8"/>
  <c r="BS26" i="8" s="1"/>
  <c r="BR26" i="8" s="1"/>
  <c r="BP26" i="8"/>
  <c r="EO26" i="8" l="1"/>
  <c r="FG26" i="8"/>
  <c r="L67" i="22"/>
  <c r="M67" i="22" s="1"/>
  <c r="N67" i="22" s="1"/>
  <c r="H68" i="22" s="1"/>
  <c r="AO71" i="22"/>
  <c r="EG26" i="8"/>
  <c r="EL26" i="8"/>
  <c r="EM26" i="8"/>
  <c r="EH26" i="8"/>
  <c r="EI26" i="8"/>
  <c r="EK26" i="8" s="1"/>
  <c r="EJ26" i="8" s="1"/>
  <c r="EN26" i="8"/>
  <c r="CX26" i="8"/>
  <c r="GH26" i="8"/>
  <c r="AN73" i="22"/>
  <c r="AN74" i="22" s="1"/>
  <c r="AO72" i="22"/>
  <c r="BX26" i="8"/>
  <c r="I68" i="22" l="1"/>
  <c r="K68" i="22"/>
  <c r="D68" i="22"/>
  <c r="E68" i="22" s="1"/>
  <c r="G68" i="22" s="1"/>
  <c r="F68" i="22" s="1"/>
  <c r="AW68" i="22"/>
  <c r="J68" i="22"/>
  <c r="C68" i="22"/>
  <c r="B68" i="22"/>
  <c r="EP26" i="8"/>
  <c r="AO73" i="22"/>
  <c r="FB23" i="8"/>
  <c r="CI23" i="8"/>
  <c r="GT25" i="8"/>
  <c r="GT26" i="8" s="1"/>
  <c r="GT27" i="8" s="1"/>
  <c r="GT23" i="8"/>
  <c r="FB25" i="8"/>
  <c r="FB26" i="8" s="1"/>
  <c r="FB27" i="8" s="1"/>
  <c r="DJ23" i="8"/>
  <c r="DJ25" i="8"/>
  <c r="DJ26" i="8" s="1"/>
  <c r="DJ27" i="8" s="1"/>
  <c r="AN75" i="22"/>
  <c r="AN76" i="22" s="1"/>
  <c r="AN77" i="22" s="1"/>
  <c r="AO74" i="22"/>
  <c r="L68" i="22" l="1"/>
  <c r="M68" i="22" s="1"/>
  <c r="DK26" i="8"/>
  <c r="CY26" i="8" s="1"/>
  <c r="CZ26" i="8" s="1"/>
  <c r="DP27" i="8" s="1"/>
  <c r="GU26" i="8"/>
  <c r="GI26" i="8" s="1"/>
  <c r="GN26" i="8" s="1"/>
  <c r="FC26" i="8"/>
  <c r="EQ26" i="8" s="1"/>
  <c r="EV26" i="8" s="1"/>
  <c r="AO76" i="22"/>
  <c r="GT28" i="8"/>
  <c r="GT29" i="8" s="1"/>
  <c r="GU27" i="8"/>
  <c r="FB28" i="8"/>
  <c r="FB29" i="8" s="1"/>
  <c r="FC27" i="8"/>
  <c r="DJ28" i="8"/>
  <c r="DJ29" i="8" s="1"/>
  <c r="DK27" i="8"/>
  <c r="AO75" i="22"/>
  <c r="CI25" i="8"/>
  <c r="CI26" i="8" s="1"/>
  <c r="AN78" i="22"/>
  <c r="AN79" i="22" s="1"/>
  <c r="AO77" i="22"/>
  <c r="GJ26" i="8" l="1"/>
  <c r="DD26" i="8"/>
  <c r="GU28" i="8"/>
  <c r="ER26" i="8"/>
  <c r="DK28" i="8"/>
  <c r="CI27" i="8"/>
  <c r="CI28" i="8" s="1"/>
  <c r="CJ26" i="8"/>
  <c r="BY26" i="8" s="1"/>
  <c r="FC28" i="8"/>
  <c r="CT27" i="8"/>
  <c r="CU27" i="8"/>
  <c r="CV27" i="8"/>
  <c r="CQ27" i="8"/>
  <c r="CO27" i="8"/>
  <c r="CP27" i="8"/>
  <c r="CW27" i="8"/>
  <c r="DJ30" i="8"/>
  <c r="DJ31" i="8" s="1"/>
  <c r="DK29" i="8"/>
  <c r="FB30" i="8"/>
  <c r="FB31" i="8" s="1"/>
  <c r="FC29" i="8"/>
  <c r="GT30" i="8"/>
  <c r="GT31" i="8" s="1"/>
  <c r="GU29" i="8"/>
  <c r="AO78" i="22"/>
  <c r="AN80" i="22"/>
  <c r="AN81" i="22" s="1"/>
  <c r="AO79" i="22"/>
  <c r="EO27" i="8" l="1"/>
  <c r="FG27" i="8"/>
  <c r="GA27" i="8"/>
  <c r="GC27" i="8" s="1"/>
  <c r="GB27" i="8" s="1"/>
  <c r="GY27" i="8"/>
  <c r="CJ27" i="8"/>
  <c r="GD27" i="8"/>
  <c r="FY27" i="8"/>
  <c r="FZ27" i="8"/>
  <c r="GG27" i="8"/>
  <c r="GF27" i="8"/>
  <c r="GE27" i="8"/>
  <c r="CS27" i="8"/>
  <c r="CX27" i="8" s="1"/>
  <c r="CY27" i="8" s="1"/>
  <c r="EL27" i="8"/>
  <c r="EG27" i="8"/>
  <c r="EN27" i="8"/>
  <c r="EM27" i="8"/>
  <c r="EI27" i="8"/>
  <c r="EK27" i="8" s="1"/>
  <c r="EJ27" i="8" s="1"/>
  <c r="EH27" i="8"/>
  <c r="GU30" i="8"/>
  <c r="CC26" i="8"/>
  <c r="BZ26" i="8"/>
  <c r="FC30" i="8"/>
  <c r="CI29" i="8"/>
  <c r="CI30" i="8" s="1"/>
  <c r="CJ28" i="8"/>
  <c r="DK30" i="8"/>
  <c r="AO80" i="22"/>
  <c r="GT32" i="8"/>
  <c r="GT33" i="8" s="1"/>
  <c r="GU31" i="8"/>
  <c r="FB32" i="8"/>
  <c r="FB33" i="8" s="1"/>
  <c r="FC31" i="8"/>
  <c r="DJ32" i="8"/>
  <c r="DJ33" i="8" s="1"/>
  <c r="DK31" i="8"/>
  <c r="AN82" i="22"/>
  <c r="AN83" i="22" s="1"/>
  <c r="AO81" i="22"/>
  <c r="CJ29" i="8" l="1"/>
  <c r="GH27" i="8"/>
  <c r="GI27" i="8" s="1"/>
  <c r="CR27" i="8"/>
  <c r="EP27" i="8"/>
  <c r="EQ27" i="8" s="1"/>
  <c r="ER27" i="8" s="1"/>
  <c r="FG28" i="8" s="1"/>
  <c r="DK32" i="8"/>
  <c r="BT27" i="8"/>
  <c r="BP27" i="8"/>
  <c r="BQ27" i="8"/>
  <c r="BU27" i="8"/>
  <c r="BV27" i="8"/>
  <c r="GU32" i="8"/>
  <c r="CI31" i="8"/>
  <c r="CI32" i="8" s="1"/>
  <c r="CJ30" i="8"/>
  <c r="FC32" i="8"/>
  <c r="AO82" i="22"/>
  <c r="DJ34" i="8"/>
  <c r="DJ35" i="8" s="1"/>
  <c r="DK33" i="8"/>
  <c r="FB34" i="8"/>
  <c r="FB35" i="8" s="1"/>
  <c r="FC33" i="8"/>
  <c r="GT34" i="8"/>
  <c r="GT35" i="8" s="1"/>
  <c r="GU33" i="8"/>
  <c r="AN84" i="22"/>
  <c r="AN85" i="22" s="1"/>
  <c r="AO83" i="22"/>
  <c r="CJ31" i="8" l="1"/>
  <c r="BS27" i="8"/>
  <c r="BX27" i="8" s="1"/>
  <c r="BY27" i="8" s="1"/>
  <c r="DK34" i="8"/>
  <c r="GU34" i="8"/>
  <c r="FC34" i="8"/>
  <c r="CI33" i="8"/>
  <c r="CI34" i="8" s="1"/>
  <c r="CJ32" i="8"/>
  <c r="AO84" i="22"/>
  <c r="GT36" i="8"/>
  <c r="GT37" i="8" s="1"/>
  <c r="GU35" i="8"/>
  <c r="FB36" i="8"/>
  <c r="FB37" i="8" s="1"/>
  <c r="FC35" i="8"/>
  <c r="DJ36" i="8"/>
  <c r="DJ37" i="8" s="1"/>
  <c r="DK35" i="8"/>
  <c r="AN86" i="22"/>
  <c r="AN87" i="22" s="1"/>
  <c r="AO85" i="22"/>
  <c r="CJ33" i="8" l="1"/>
  <c r="BR27" i="8"/>
  <c r="FC36" i="8"/>
  <c r="DK36" i="8"/>
  <c r="GU36" i="8"/>
  <c r="CI35" i="8"/>
  <c r="CI36" i="8" s="1"/>
  <c r="CJ34" i="8"/>
  <c r="AO86" i="22"/>
  <c r="DJ38" i="8"/>
  <c r="DJ39" i="8" s="1"/>
  <c r="DK37" i="8"/>
  <c r="FB38" i="8"/>
  <c r="FB39" i="8" s="1"/>
  <c r="FC37" i="8"/>
  <c r="GT38" i="8"/>
  <c r="GT39" i="8" s="1"/>
  <c r="GU37" i="8"/>
  <c r="AN88" i="22"/>
  <c r="AN89" i="22" s="1"/>
  <c r="AO87" i="22"/>
  <c r="CJ35" i="8" l="1"/>
  <c r="DK38" i="8"/>
  <c r="FC38" i="8"/>
  <c r="GU38" i="8"/>
  <c r="CI37" i="8"/>
  <c r="CI38" i="8" s="1"/>
  <c r="CJ36" i="8"/>
  <c r="AO88" i="22"/>
  <c r="GT40" i="8"/>
  <c r="GT41" i="8" s="1"/>
  <c r="GU39" i="8"/>
  <c r="FB40" i="8"/>
  <c r="FB41" i="8" s="1"/>
  <c r="FC39" i="8"/>
  <c r="DJ40" i="8"/>
  <c r="DJ41" i="8" s="1"/>
  <c r="DK39" i="8"/>
  <c r="AN90" i="22"/>
  <c r="AN91" i="22" s="1"/>
  <c r="AO89" i="22"/>
  <c r="CJ37" i="8" l="1"/>
  <c r="GU40" i="8"/>
  <c r="FC40" i="8"/>
  <c r="DK40" i="8"/>
  <c r="CI39" i="8"/>
  <c r="CI40" i="8" s="1"/>
  <c r="CJ38" i="8"/>
  <c r="AO90" i="22"/>
  <c r="DJ42" i="8"/>
  <c r="DJ43" i="8" s="1"/>
  <c r="DK41" i="8"/>
  <c r="FB42" i="8"/>
  <c r="FB43" i="8" s="1"/>
  <c r="FC41" i="8"/>
  <c r="GT42" i="8"/>
  <c r="GT43" i="8" s="1"/>
  <c r="GU41" i="8"/>
  <c r="AN92" i="22"/>
  <c r="AN93" i="22" s="1"/>
  <c r="AO91" i="22"/>
  <c r="CJ39" i="8" l="1"/>
  <c r="GU42" i="8"/>
  <c r="FC42" i="8"/>
  <c r="CI41" i="8"/>
  <c r="CI42" i="8" s="1"/>
  <c r="CJ40" i="8"/>
  <c r="DK42" i="8"/>
  <c r="AO92" i="22"/>
  <c r="GT44" i="8"/>
  <c r="GT45" i="8" s="1"/>
  <c r="GU43" i="8"/>
  <c r="FB44" i="8"/>
  <c r="FB45" i="8" s="1"/>
  <c r="FC43" i="8"/>
  <c r="DJ44" i="8"/>
  <c r="DJ45" i="8" s="1"/>
  <c r="DK43" i="8"/>
  <c r="AN94" i="22"/>
  <c r="AN95" i="22" s="1"/>
  <c r="AO93" i="22"/>
  <c r="CJ41" i="8" l="1"/>
  <c r="FC44" i="8"/>
  <c r="GU44" i="8"/>
  <c r="CI43" i="8"/>
  <c r="CJ43" i="8" s="1"/>
  <c r="CJ42" i="8"/>
  <c r="DK44" i="8"/>
  <c r="DJ46" i="8"/>
  <c r="DJ47" i="8" s="1"/>
  <c r="DK45" i="8"/>
  <c r="FB46" i="8"/>
  <c r="FB47" i="8" s="1"/>
  <c r="FC45" i="8"/>
  <c r="GT46" i="8"/>
  <c r="GT47" i="8" s="1"/>
  <c r="GU45" i="8"/>
  <c r="AO94" i="22"/>
  <c r="AN96" i="22"/>
  <c r="AN97" i="22" s="1"/>
  <c r="AO95" i="22"/>
  <c r="CI44" i="8" l="1"/>
  <c r="CI45" i="8" s="1"/>
  <c r="CI46" i="8" s="1"/>
  <c r="GU46" i="8"/>
  <c r="CJ44" i="8"/>
  <c r="DK46" i="8"/>
  <c r="FC46" i="8"/>
  <c r="AO96" i="22"/>
  <c r="FB48" i="8"/>
  <c r="FB49" i="8" s="1"/>
  <c r="FC47" i="8"/>
  <c r="GT48" i="8"/>
  <c r="GT49" i="8" s="1"/>
  <c r="GU47" i="8"/>
  <c r="DJ48" i="8"/>
  <c r="DJ49" i="8" s="1"/>
  <c r="DK47" i="8"/>
  <c r="AN98" i="22"/>
  <c r="AN99" i="22" s="1"/>
  <c r="AO97" i="22"/>
  <c r="CJ45" i="8" l="1"/>
  <c r="DK48" i="8"/>
  <c r="GU48" i="8"/>
  <c r="CI47" i="8"/>
  <c r="CI48" i="8" s="1"/>
  <c r="CJ46" i="8"/>
  <c r="FC48" i="8"/>
  <c r="DJ50" i="8"/>
  <c r="DJ51" i="8" s="1"/>
  <c r="DK49" i="8"/>
  <c r="GT50" i="8"/>
  <c r="GT51" i="8" s="1"/>
  <c r="GU49" i="8"/>
  <c r="FB50" i="8"/>
  <c r="FB51" i="8" s="1"/>
  <c r="FC49" i="8"/>
  <c r="AO98" i="22"/>
  <c r="AN100" i="22"/>
  <c r="AN101" i="22" s="1"/>
  <c r="AO99" i="22"/>
  <c r="CJ47" i="8" l="1"/>
  <c r="DK50" i="8"/>
  <c r="FC50" i="8"/>
  <c r="CI49" i="8"/>
  <c r="CI50" i="8" s="1"/>
  <c r="CJ48" i="8"/>
  <c r="GU50" i="8"/>
  <c r="AO100" i="22"/>
  <c r="FB52" i="8"/>
  <c r="FB53" i="8" s="1"/>
  <c r="FC51" i="8"/>
  <c r="GT52" i="8"/>
  <c r="GT53" i="8" s="1"/>
  <c r="GU51" i="8"/>
  <c r="DJ52" i="8"/>
  <c r="DJ53" i="8" s="1"/>
  <c r="DK51" i="8"/>
  <c r="AO101" i="22"/>
  <c r="AN102" i="22"/>
  <c r="CJ49" i="8" l="1"/>
  <c r="GU52" i="8"/>
  <c r="FC52" i="8"/>
  <c r="CI51" i="8"/>
  <c r="CJ51" i="8" s="1"/>
  <c r="CJ50" i="8"/>
  <c r="DK52" i="8"/>
  <c r="DJ54" i="8"/>
  <c r="DJ55" i="8" s="1"/>
  <c r="DK53" i="8"/>
  <c r="GT54" i="8"/>
  <c r="GT55" i="8" s="1"/>
  <c r="GU53" i="8"/>
  <c r="FB54" i="8"/>
  <c r="FB55" i="8" s="1"/>
  <c r="FC53" i="8"/>
  <c r="AN103" i="22"/>
  <c r="AO102" i="22"/>
  <c r="CI52" i="8" l="1"/>
  <c r="CI53" i="8" s="1"/>
  <c r="CI54" i="8" s="1"/>
  <c r="FC54" i="8"/>
  <c r="DK54" i="8"/>
  <c r="GU54" i="8"/>
  <c r="GT56" i="8"/>
  <c r="GT57" i="8" s="1"/>
  <c r="GU55" i="8"/>
  <c r="FB56" i="8"/>
  <c r="FB57" i="8" s="1"/>
  <c r="FC55" i="8"/>
  <c r="DJ56" i="8"/>
  <c r="DJ57" i="8" s="1"/>
  <c r="DK55" i="8"/>
  <c r="AN104" i="22"/>
  <c r="AN105" i="22" s="1"/>
  <c r="AO103" i="22"/>
  <c r="CJ53" i="8" l="1"/>
  <c r="CI55" i="8"/>
  <c r="CI56" i="8" s="1"/>
  <c r="CI57" i="8" s="1"/>
  <c r="CI58" i="8" s="1"/>
  <c r="CJ54" i="8"/>
  <c r="DK56" i="8"/>
  <c r="CJ52" i="8"/>
  <c r="GU56" i="8"/>
  <c r="FC56" i="8"/>
  <c r="AO104" i="22"/>
  <c r="FB58" i="8"/>
  <c r="FB59" i="8" s="1"/>
  <c r="FC57" i="8"/>
  <c r="GT58" i="8"/>
  <c r="GT59" i="8" s="1"/>
  <c r="GU57" i="8"/>
  <c r="DJ58" i="8"/>
  <c r="DJ59" i="8" s="1"/>
  <c r="DK57" i="8"/>
  <c r="AO105" i="22"/>
  <c r="AN106" i="22"/>
  <c r="CJ55" i="8" l="1"/>
  <c r="CJ56" i="8"/>
  <c r="FC58" i="8"/>
  <c r="GU58" i="8"/>
  <c r="DK58" i="8"/>
  <c r="DJ60" i="8"/>
  <c r="DJ61" i="8" s="1"/>
  <c r="DK59" i="8"/>
  <c r="GT60" i="8"/>
  <c r="GT61" i="8" s="1"/>
  <c r="GU59" i="8"/>
  <c r="FB60" i="8"/>
  <c r="FB61" i="8" s="1"/>
  <c r="FC59" i="8"/>
  <c r="CJ57" i="8"/>
  <c r="CI59" i="8"/>
  <c r="CI60" i="8" s="1"/>
  <c r="CJ58" i="8"/>
  <c r="AN107" i="22"/>
  <c r="AO106" i="22"/>
  <c r="FC60" i="8" l="1"/>
  <c r="GU60" i="8"/>
  <c r="DK60" i="8"/>
  <c r="FB62" i="8"/>
  <c r="FB63" i="8" s="1"/>
  <c r="FC61" i="8"/>
  <c r="CJ59" i="8"/>
  <c r="DJ62" i="8"/>
  <c r="DJ63" i="8" s="1"/>
  <c r="DK61" i="8"/>
  <c r="GT62" i="8"/>
  <c r="GT63" i="8" s="1"/>
  <c r="GU61" i="8"/>
  <c r="CI61" i="8"/>
  <c r="CJ61" i="8" s="1"/>
  <c r="CJ60" i="8"/>
  <c r="AO107" i="22"/>
  <c r="AN108" i="22"/>
  <c r="FC62" i="8" l="1"/>
  <c r="GU62" i="8"/>
  <c r="DK62" i="8"/>
  <c r="GT64" i="8"/>
  <c r="GT65" i="8" s="1"/>
  <c r="GU63" i="8"/>
  <c r="CI62" i="8"/>
  <c r="CI63" i="8" s="1"/>
  <c r="DJ64" i="8"/>
  <c r="DJ65" i="8" s="1"/>
  <c r="DK63" i="8"/>
  <c r="FB64" i="8"/>
  <c r="FB65" i="8" s="1"/>
  <c r="FC63" i="8"/>
  <c r="AN109" i="22"/>
  <c r="AO108" i="22"/>
  <c r="GU64" i="8" l="1"/>
  <c r="FC64" i="8"/>
  <c r="DK64" i="8"/>
  <c r="CJ62" i="8"/>
  <c r="FB66" i="8"/>
  <c r="FB67" i="8" s="1"/>
  <c r="FC65" i="8"/>
  <c r="DJ66" i="8"/>
  <c r="DJ67" i="8" s="1"/>
  <c r="DK65" i="8"/>
  <c r="GT66" i="8"/>
  <c r="GT67" i="8" s="1"/>
  <c r="GU65" i="8"/>
  <c r="AN110" i="22"/>
  <c r="AN111" i="22" s="1"/>
  <c r="AO109" i="22"/>
  <c r="CJ63" i="8"/>
  <c r="CI64" i="8"/>
  <c r="FC66" i="8" l="1"/>
  <c r="GU66" i="8"/>
  <c r="DK66" i="8"/>
  <c r="GT68" i="8"/>
  <c r="GT69" i="8" s="1"/>
  <c r="GU67" i="8"/>
  <c r="DJ68" i="8"/>
  <c r="DJ69" i="8" s="1"/>
  <c r="DK67" i="8"/>
  <c r="AO110" i="22"/>
  <c r="FB68" i="8"/>
  <c r="FB69" i="8" s="1"/>
  <c r="FC67" i="8"/>
  <c r="AN112" i="22"/>
  <c r="AO112" i="22" s="1"/>
  <c r="AO111" i="22"/>
  <c r="CI65" i="8"/>
  <c r="CJ65" i="8" s="1"/>
  <c r="CJ64" i="8"/>
  <c r="GU68" i="8" l="1"/>
  <c r="DK68" i="8"/>
  <c r="FC68" i="8"/>
  <c r="FB70" i="8"/>
  <c r="FB71" i="8" s="1"/>
  <c r="FC69" i="8"/>
  <c r="DJ70" i="8"/>
  <c r="DJ71" i="8" s="1"/>
  <c r="DK69" i="8"/>
  <c r="CI66" i="8"/>
  <c r="CI67" i="8" s="1"/>
  <c r="GT70" i="8"/>
  <c r="GT71" i="8" s="1"/>
  <c r="GU69" i="8"/>
  <c r="AN113" i="22"/>
  <c r="AN114" i="22" s="1"/>
  <c r="FC70" i="8" l="1"/>
  <c r="AO113" i="22"/>
  <c r="CJ66" i="8"/>
  <c r="GU70" i="8"/>
  <c r="DK70" i="8"/>
  <c r="GT72" i="8"/>
  <c r="GT73" i="8" s="1"/>
  <c r="GU71" i="8"/>
  <c r="AO114" i="22"/>
  <c r="AN115" i="22"/>
  <c r="AN116" i="22" s="1"/>
  <c r="AN117" i="22" s="1"/>
  <c r="FB72" i="8"/>
  <c r="FB73" i="8" s="1"/>
  <c r="FC71" i="8"/>
  <c r="DJ72" i="8"/>
  <c r="DJ73" i="8" s="1"/>
  <c r="DK71" i="8"/>
  <c r="CI68" i="8"/>
  <c r="CJ67" i="8"/>
  <c r="DK72" i="8" l="1"/>
  <c r="GU72" i="8"/>
  <c r="FC72" i="8"/>
  <c r="AO115" i="22"/>
  <c r="AO116" i="22"/>
  <c r="FB74" i="8"/>
  <c r="FB75" i="8" s="1"/>
  <c r="FC73" i="8"/>
  <c r="DJ74" i="8"/>
  <c r="DJ75" i="8" s="1"/>
  <c r="DK73" i="8"/>
  <c r="GT74" i="8"/>
  <c r="GT75" i="8" s="1"/>
  <c r="GU73" i="8"/>
  <c r="CI69" i="8"/>
  <c r="CI70" i="8" s="1"/>
  <c r="CJ68" i="8"/>
  <c r="AO117" i="22"/>
  <c r="AN118" i="22"/>
  <c r="FC74" i="8" l="1"/>
  <c r="DK74" i="8"/>
  <c r="GU74" i="8"/>
  <c r="CJ69" i="8"/>
  <c r="GT76" i="8"/>
  <c r="GT77" i="8" s="1"/>
  <c r="GT78" i="8" s="1"/>
  <c r="GU75" i="8"/>
  <c r="FB76" i="8"/>
  <c r="FB77" i="8" s="1"/>
  <c r="FC75" i="8"/>
  <c r="DJ76" i="8"/>
  <c r="DJ77" i="8" s="1"/>
  <c r="DK75" i="8"/>
  <c r="CI71" i="8"/>
  <c r="CI72" i="8" s="1"/>
  <c r="CJ70" i="8"/>
  <c r="AN119" i="22"/>
  <c r="AO118" i="22"/>
  <c r="DK76" i="8" l="1"/>
  <c r="FC76" i="8"/>
  <c r="GU76" i="8"/>
  <c r="GU77" i="8"/>
  <c r="CJ71" i="8"/>
  <c r="DJ78" i="8"/>
  <c r="DJ79" i="8" s="1"/>
  <c r="DK79" i="8" s="1"/>
  <c r="DK77" i="8"/>
  <c r="FB78" i="8"/>
  <c r="FB79" i="8" s="1"/>
  <c r="FC77" i="8"/>
  <c r="AN120" i="22"/>
  <c r="AN121" i="22" s="1"/>
  <c r="AO119" i="22"/>
  <c r="GT79" i="8"/>
  <c r="GT80" i="8" s="1"/>
  <c r="GU78" i="8"/>
  <c r="CI73" i="8"/>
  <c r="CI74" i="8" s="1"/>
  <c r="CJ72" i="8"/>
  <c r="FC78" i="8" l="1"/>
  <c r="DK78" i="8"/>
  <c r="CJ73" i="8"/>
  <c r="DJ80" i="8"/>
  <c r="DJ81" i="8" s="1"/>
  <c r="DJ82" i="8" s="1"/>
  <c r="FB80" i="8"/>
  <c r="FB81" i="8" s="1"/>
  <c r="FC79" i="8"/>
  <c r="GU79" i="8"/>
  <c r="AO120" i="22"/>
  <c r="CI75" i="8"/>
  <c r="CJ75" i="8" s="1"/>
  <c r="CJ74" i="8"/>
  <c r="GT81" i="8"/>
  <c r="GT82" i="8" s="1"/>
  <c r="GU80" i="8"/>
  <c r="AN122" i="22"/>
  <c r="AN123" i="22" s="1"/>
  <c r="AO121" i="22"/>
  <c r="DK80" i="8" l="1"/>
  <c r="FC80" i="8"/>
  <c r="CI76" i="8"/>
  <c r="CI77" i="8" s="1"/>
  <c r="CI78" i="8" s="1"/>
  <c r="DK81" i="8"/>
  <c r="GU81" i="8"/>
  <c r="AO122" i="22"/>
  <c r="FB82" i="8"/>
  <c r="FB83" i="8" s="1"/>
  <c r="FC81" i="8"/>
  <c r="GT83" i="8"/>
  <c r="GT84" i="8" s="1"/>
  <c r="GU82" i="8"/>
  <c r="AN124" i="22"/>
  <c r="AN125" i="22" s="1"/>
  <c r="AO123" i="22"/>
  <c r="DJ83" i="8"/>
  <c r="DJ84" i="8" s="1"/>
  <c r="DK82" i="8"/>
  <c r="CJ76" i="8" l="1"/>
  <c r="FC82" i="8"/>
  <c r="DK83" i="8"/>
  <c r="AO124" i="22"/>
  <c r="CJ77" i="8"/>
  <c r="FB84" i="8"/>
  <c r="FB85" i="8" s="1"/>
  <c r="FC83" i="8"/>
  <c r="GU83" i="8"/>
  <c r="DJ85" i="8"/>
  <c r="DJ86" i="8" s="1"/>
  <c r="DK84" i="8"/>
  <c r="CI79" i="8"/>
  <c r="CI80" i="8" s="1"/>
  <c r="CJ78" i="8"/>
  <c r="AN126" i="22"/>
  <c r="AN127" i="22" s="1"/>
  <c r="AO125" i="22"/>
  <c r="GT85" i="8"/>
  <c r="GT86" i="8" s="1"/>
  <c r="GU84" i="8"/>
  <c r="FC84" i="8" l="1"/>
  <c r="CJ79" i="8"/>
  <c r="GU85" i="8"/>
  <c r="FB86" i="8"/>
  <c r="FB87" i="8" s="1"/>
  <c r="FC85" i="8"/>
  <c r="DK85" i="8"/>
  <c r="AO126" i="22"/>
  <c r="AN128" i="22"/>
  <c r="AN129" i="22" s="1"/>
  <c r="AO127" i="22"/>
  <c r="GT87" i="8"/>
  <c r="GT88" i="8" s="1"/>
  <c r="GU86" i="8"/>
  <c r="CI81" i="8"/>
  <c r="CI82" i="8" s="1"/>
  <c r="CJ80" i="8"/>
  <c r="DJ87" i="8"/>
  <c r="DJ88" i="8" s="1"/>
  <c r="DK86" i="8"/>
  <c r="FC86" i="8" l="1"/>
  <c r="DK87" i="8"/>
  <c r="CJ81" i="8"/>
  <c r="AO128" i="22"/>
  <c r="FB88" i="8"/>
  <c r="FB89" i="8" s="1"/>
  <c r="FC87" i="8"/>
  <c r="GU87" i="8"/>
  <c r="DJ89" i="8"/>
  <c r="DJ90" i="8" s="1"/>
  <c r="DK88" i="8"/>
  <c r="CI83" i="8"/>
  <c r="CI84" i="8" s="1"/>
  <c r="CJ82" i="8"/>
  <c r="GT89" i="8"/>
  <c r="GT90" i="8" s="1"/>
  <c r="GU88" i="8"/>
  <c r="AN130" i="22"/>
  <c r="AN131" i="22" s="1"/>
  <c r="AO129" i="22"/>
  <c r="FC88" i="8"/>
  <c r="DK89" i="8" l="1"/>
  <c r="AO130" i="22"/>
  <c r="FB90" i="8"/>
  <c r="FB91" i="8" s="1"/>
  <c r="FC89" i="8"/>
  <c r="GU89" i="8"/>
  <c r="CJ83" i="8"/>
  <c r="GT91" i="8"/>
  <c r="GT92" i="8" s="1"/>
  <c r="GU90" i="8"/>
  <c r="CI85" i="8"/>
  <c r="CI86" i="8" s="1"/>
  <c r="CJ84" i="8"/>
  <c r="DJ91" i="8"/>
  <c r="DJ92" i="8" s="1"/>
  <c r="DK90" i="8"/>
  <c r="AN132" i="22"/>
  <c r="AN133" i="22" s="1"/>
  <c r="AO131" i="22"/>
  <c r="FC90" i="8"/>
  <c r="GU91" i="8" l="1"/>
  <c r="DK91" i="8"/>
  <c r="AO132" i="22"/>
  <c r="FB92" i="8"/>
  <c r="FB93" i="8" s="1"/>
  <c r="FC91" i="8"/>
  <c r="CJ85" i="8"/>
  <c r="DJ93" i="8"/>
  <c r="DJ94" i="8" s="1"/>
  <c r="DK92" i="8"/>
  <c r="AN134" i="22"/>
  <c r="AN135" i="22" s="1"/>
  <c r="AO133" i="22"/>
  <c r="CI87" i="8"/>
  <c r="CI88" i="8" s="1"/>
  <c r="CJ86" i="8"/>
  <c r="GT93" i="8"/>
  <c r="GT94" i="8" s="1"/>
  <c r="GU92" i="8"/>
  <c r="FC92" i="8" l="1"/>
  <c r="GU93" i="8"/>
  <c r="AO134" i="22"/>
  <c r="FB94" i="8"/>
  <c r="FB95" i="8" s="1"/>
  <c r="FC93" i="8"/>
  <c r="CJ87" i="8"/>
  <c r="DK93" i="8"/>
  <c r="GT95" i="8"/>
  <c r="GT96" i="8" s="1"/>
  <c r="GU94" i="8"/>
  <c r="CI89" i="8"/>
  <c r="CI90" i="8" s="1"/>
  <c r="CJ88" i="8"/>
  <c r="AN136" i="22"/>
  <c r="AN137" i="22" s="1"/>
  <c r="AO135" i="22"/>
  <c r="DJ95" i="8"/>
  <c r="DJ96" i="8" s="1"/>
  <c r="DK94" i="8"/>
  <c r="FC94" i="8" l="1"/>
  <c r="GU95" i="8"/>
  <c r="AO136" i="22"/>
  <c r="FB96" i="8"/>
  <c r="FB97" i="8" s="1"/>
  <c r="FC95" i="8"/>
  <c r="CJ89" i="8"/>
  <c r="DK95" i="8"/>
  <c r="GT97" i="8"/>
  <c r="GT98" i="8" s="1"/>
  <c r="GU96" i="8"/>
  <c r="DJ97" i="8"/>
  <c r="DJ98" i="8" s="1"/>
  <c r="DK96" i="8"/>
  <c r="AN138" i="22"/>
  <c r="AN139" i="22" s="1"/>
  <c r="AO137" i="22"/>
  <c r="CI91" i="8"/>
  <c r="CI92" i="8" s="1"/>
  <c r="CJ90" i="8"/>
  <c r="FC96" i="8" l="1"/>
  <c r="AO138" i="22"/>
  <c r="CJ91" i="8"/>
  <c r="GU97" i="8"/>
  <c r="FB98" i="8"/>
  <c r="FB99" i="8" s="1"/>
  <c r="FC97" i="8"/>
  <c r="DK97" i="8"/>
  <c r="CI93" i="8"/>
  <c r="CI94" i="8" s="1"/>
  <c r="CJ92" i="8"/>
  <c r="AN140" i="22"/>
  <c r="AO140" i="22" s="1"/>
  <c r="AO139" i="22"/>
  <c r="DJ99" i="8"/>
  <c r="DJ100" i="8" s="1"/>
  <c r="DK98" i="8"/>
  <c r="GT99" i="8"/>
  <c r="GT100" i="8" s="1"/>
  <c r="GU98" i="8"/>
  <c r="FC98" i="8" l="1"/>
  <c r="GU99" i="8"/>
  <c r="AN141" i="22"/>
  <c r="AN142" i="22" s="1"/>
  <c r="AN143" i="22" s="1"/>
  <c r="CJ93" i="8"/>
  <c r="DK99" i="8"/>
  <c r="FB100" i="8"/>
  <c r="FB101" i="8" s="1"/>
  <c r="FC99" i="8"/>
  <c r="GT101" i="8"/>
  <c r="GT102" i="8" s="1"/>
  <c r="GU100" i="8"/>
  <c r="CI95" i="8"/>
  <c r="CI96" i="8" s="1"/>
  <c r="CJ94" i="8"/>
  <c r="DK100" i="8"/>
  <c r="DJ101" i="8"/>
  <c r="FC100" i="8" l="1"/>
  <c r="AO141" i="22"/>
  <c r="GU101" i="8"/>
  <c r="AO142" i="22"/>
  <c r="FB102" i="8"/>
  <c r="FB103" i="8" s="1"/>
  <c r="FC101" i="8"/>
  <c r="CJ95" i="8"/>
  <c r="CI97" i="8"/>
  <c r="CI98" i="8" s="1"/>
  <c r="CJ96" i="8"/>
  <c r="GT103" i="8"/>
  <c r="GT104" i="8" s="1"/>
  <c r="GU102" i="8"/>
  <c r="AN144" i="22"/>
  <c r="AN145" i="22" s="1"/>
  <c r="AO143" i="22"/>
  <c r="DJ102" i="8"/>
  <c r="DK101" i="8"/>
  <c r="FC102" i="8" l="1"/>
  <c r="CJ97" i="8"/>
  <c r="FB104" i="8"/>
  <c r="FB105" i="8" s="1"/>
  <c r="FC103" i="8"/>
  <c r="GU103" i="8"/>
  <c r="AO144" i="22"/>
  <c r="AN146" i="22"/>
  <c r="AN147" i="22" s="1"/>
  <c r="AO145" i="22"/>
  <c r="GT105" i="8"/>
  <c r="GU105" i="8" s="1"/>
  <c r="GU104" i="8"/>
  <c r="DJ103" i="8"/>
  <c r="DJ104" i="8" s="1"/>
  <c r="DK102" i="8"/>
  <c r="CI99" i="8"/>
  <c r="CI100" i="8" s="1"/>
  <c r="CJ98" i="8"/>
  <c r="FC104" i="8" l="1"/>
  <c r="DK103" i="8"/>
  <c r="AO146" i="22"/>
  <c r="FB106" i="8"/>
  <c r="FB107" i="8" s="1"/>
  <c r="FC105" i="8"/>
  <c r="GT106" i="8"/>
  <c r="GT107" i="8" s="1"/>
  <c r="CJ99" i="8"/>
  <c r="CI101" i="8"/>
  <c r="CI102" i="8" s="1"/>
  <c r="CJ100" i="8"/>
  <c r="DJ105" i="8"/>
  <c r="DJ106" i="8" s="1"/>
  <c r="DK104" i="8"/>
  <c r="AN148" i="22"/>
  <c r="AN149" i="22" s="1"/>
  <c r="AO147" i="22"/>
  <c r="FC106" i="8" l="1"/>
  <c r="GU106" i="8"/>
  <c r="CJ101" i="8"/>
  <c r="AO148" i="22"/>
  <c r="DK105" i="8"/>
  <c r="GT108" i="8"/>
  <c r="GT109" i="8" s="1"/>
  <c r="GT110" i="8" s="1"/>
  <c r="GU107" i="8"/>
  <c r="FB108" i="8"/>
  <c r="FB109" i="8" s="1"/>
  <c r="FC107" i="8"/>
  <c r="AN150" i="22"/>
  <c r="AN151" i="22" s="1"/>
  <c r="AO149" i="22"/>
  <c r="DJ107" i="8"/>
  <c r="DJ108" i="8" s="1"/>
  <c r="DK106" i="8"/>
  <c r="CI103" i="8"/>
  <c r="CI104" i="8" s="1"/>
  <c r="CJ102" i="8"/>
  <c r="GU108" i="8" l="1"/>
  <c r="FC108" i="8"/>
  <c r="DK107" i="8"/>
  <c r="GU109" i="8"/>
  <c r="AO150" i="22"/>
  <c r="CJ103" i="8"/>
  <c r="FB110" i="8"/>
  <c r="FB111" i="8" s="1"/>
  <c r="FC109" i="8"/>
  <c r="CI105" i="8"/>
  <c r="CI106" i="8" s="1"/>
  <c r="CJ104" i="8"/>
  <c r="DJ109" i="8"/>
  <c r="DJ110" i="8" s="1"/>
  <c r="DK108" i="8"/>
  <c r="AN152" i="22"/>
  <c r="AN153" i="22" s="1"/>
  <c r="AO151" i="22"/>
  <c r="GT111" i="8"/>
  <c r="GT112" i="8" s="1"/>
  <c r="GU110" i="8"/>
  <c r="FC110" i="8" l="1"/>
  <c r="CJ105" i="8"/>
  <c r="GU111" i="8"/>
  <c r="AO152" i="22"/>
  <c r="FB112" i="8"/>
  <c r="FC111" i="8"/>
  <c r="DK109" i="8"/>
  <c r="AN154" i="22"/>
  <c r="AN155" i="22" s="1"/>
  <c r="AO153" i="22"/>
  <c r="DJ111" i="8"/>
  <c r="DJ112" i="8" s="1"/>
  <c r="DK110" i="8"/>
  <c r="GT113" i="8"/>
  <c r="GT114" i="8" s="1"/>
  <c r="GU112" i="8"/>
  <c r="CI107" i="8"/>
  <c r="CI108" i="8" s="1"/>
  <c r="CJ106" i="8"/>
  <c r="FB113" i="8" l="1"/>
  <c r="FB114" i="8" s="1"/>
  <c r="FB115" i="8" s="1"/>
  <c r="FB116" i="8" s="1"/>
  <c r="FC112" i="8"/>
  <c r="DK111" i="8"/>
  <c r="GU113" i="8"/>
  <c r="AO154" i="22"/>
  <c r="CJ107" i="8"/>
  <c r="GT115" i="8"/>
  <c r="GT116" i="8" s="1"/>
  <c r="GU114" i="8"/>
  <c r="DJ113" i="8"/>
  <c r="DJ114" i="8" s="1"/>
  <c r="DK112" i="8"/>
  <c r="AN156" i="22"/>
  <c r="AN157" i="22" s="1"/>
  <c r="AO155" i="22"/>
  <c r="CJ108" i="8"/>
  <c r="CI109" i="8"/>
  <c r="FC113" i="8" l="1"/>
  <c r="FC114" i="8"/>
  <c r="GU115" i="8"/>
  <c r="DK113" i="8"/>
  <c r="FC115" i="8"/>
  <c r="AO156" i="22"/>
  <c r="FB117" i="8"/>
  <c r="FB118" i="8" s="1"/>
  <c r="FC116" i="8"/>
  <c r="AN158" i="22"/>
  <c r="AN159" i="22" s="1"/>
  <c r="AO157" i="22"/>
  <c r="GT117" i="8"/>
  <c r="GT118" i="8" s="1"/>
  <c r="GU116" i="8"/>
  <c r="DJ115" i="8"/>
  <c r="DJ116" i="8" s="1"/>
  <c r="DK114" i="8"/>
  <c r="CI110" i="8"/>
  <c r="CJ109" i="8"/>
  <c r="FC117" i="8" l="1"/>
  <c r="GU117" i="8"/>
  <c r="DK115" i="8"/>
  <c r="AO158" i="22"/>
  <c r="DJ117" i="8"/>
  <c r="DJ118" i="8" s="1"/>
  <c r="DK116" i="8"/>
  <c r="GT119" i="8"/>
  <c r="GT120" i="8" s="1"/>
  <c r="GU118" i="8"/>
  <c r="CI111" i="8"/>
  <c r="CI112" i="8" s="1"/>
  <c r="CJ110" i="8"/>
  <c r="FB119" i="8"/>
  <c r="FB120" i="8" s="1"/>
  <c r="FC118" i="8"/>
  <c r="AN160" i="22"/>
  <c r="AN161" i="22" s="1"/>
  <c r="AO159" i="22"/>
  <c r="FC119" i="8" l="1"/>
  <c r="AO160" i="22"/>
  <c r="DK117" i="8"/>
  <c r="CJ111" i="8"/>
  <c r="GU119" i="8"/>
  <c r="FB121" i="8"/>
  <c r="FB122" i="8" s="1"/>
  <c r="FC120" i="8"/>
  <c r="GT121" i="8"/>
  <c r="GT122" i="8" s="1"/>
  <c r="GU120" i="8"/>
  <c r="CI113" i="8"/>
  <c r="CI114" i="8" s="1"/>
  <c r="CJ112" i="8"/>
  <c r="DJ119" i="8"/>
  <c r="DJ120" i="8" s="1"/>
  <c r="DK118" i="8"/>
  <c r="AO161" i="22"/>
  <c r="AN162" i="22"/>
  <c r="FC121" i="8" l="1"/>
  <c r="GU121" i="8"/>
  <c r="CJ113" i="8"/>
  <c r="DK119" i="8"/>
  <c r="DJ121" i="8"/>
  <c r="DJ122" i="8" s="1"/>
  <c r="DK120" i="8"/>
  <c r="CI115" i="8"/>
  <c r="CI116" i="8" s="1"/>
  <c r="CJ114" i="8"/>
  <c r="GT123" i="8"/>
  <c r="GT124" i="8" s="1"/>
  <c r="GU122" i="8"/>
  <c r="FB123" i="8"/>
  <c r="FB124" i="8" s="1"/>
  <c r="FC122" i="8"/>
  <c r="AN163" i="22"/>
  <c r="AO162" i="22"/>
  <c r="CJ115" i="8" l="1"/>
  <c r="FC123" i="8"/>
  <c r="GU123" i="8"/>
  <c r="DK121" i="8"/>
  <c r="FB125" i="8"/>
  <c r="FC125" i="8" s="1"/>
  <c r="FC124" i="8"/>
  <c r="CI117" i="8"/>
  <c r="CI118" i="8" s="1"/>
  <c r="CJ116" i="8"/>
  <c r="GT125" i="8"/>
  <c r="GT126" i="8" s="1"/>
  <c r="GU124" i="8"/>
  <c r="AN164" i="22"/>
  <c r="AN165" i="22" s="1"/>
  <c r="AO163" i="22"/>
  <c r="DJ123" i="8"/>
  <c r="DJ124" i="8" s="1"/>
  <c r="DK122" i="8"/>
  <c r="AO164" i="22" l="1"/>
  <c r="FB126" i="8"/>
  <c r="FB127" i="8" s="1"/>
  <c r="DK123" i="8"/>
  <c r="GU125" i="8"/>
  <c r="CJ117" i="8"/>
  <c r="GT127" i="8"/>
  <c r="GT128" i="8" s="1"/>
  <c r="GU126" i="8"/>
  <c r="AN166" i="22"/>
  <c r="AN167" i="22" s="1"/>
  <c r="AO165" i="22"/>
  <c r="CI119" i="8"/>
  <c r="CI120" i="8" s="1"/>
  <c r="CJ118" i="8"/>
  <c r="DJ125" i="8"/>
  <c r="DJ126" i="8" s="1"/>
  <c r="DK124" i="8"/>
  <c r="FC126" i="8" l="1"/>
  <c r="GU127" i="8"/>
  <c r="DK125" i="8"/>
  <c r="FB128" i="8"/>
  <c r="FB129" i="8" s="1"/>
  <c r="FB130" i="8" s="1"/>
  <c r="FC127" i="8"/>
  <c r="CJ119" i="8"/>
  <c r="AO166" i="22"/>
  <c r="DJ127" i="8"/>
  <c r="DJ128" i="8" s="1"/>
  <c r="DK126" i="8"/>
  <c r="CI121" i="8"/>
  <c r="CI122" i="8" s="1"/>
  <c r="CJ120" i="8"/>
  <c r="AN168" i="22"/>
  <c r="AN169" i="22" s="1"/>
  <c r="AO167" i="22"/>
  <c r="GT129" i="8"/>
  <c r="GU129" i="8" s="1"/>
  <c r="GU128" i="8"/>
  <c r="FC128" i="8" l="1"/>
  <c r="GT130" i="8"/>
  <c r="GT131" i="8" s="1"/>
  <c r="DK127" i="8"/>
  <c r="FC129" i="8"/>
  <c r="CJ121" i="8"/>
  <c r="AO168" i="22"/>
  <c r="AN170" i="22"/>
  <c r="AN171" i="22" s="1"/>
  <c r="AO169" i="22"/>
  <c r="FB131" i="8"/>
  <c r="FB132" i="8" s="1"/>
  <c r="FC130" i="8"/>
  <c r="CI123" i="8"/>
  <c r="CI124" i="8" s="1"/>
  <c r="CJ122" i="8"/>
  <c r="DJ129" i="8"/>
  <c r="DJ130" i="8" s="1"/>
  <c r="DK128" i="8"/>
  <c r="GU130" i="8" l="1"/>
  <c r="AO170" i="22"/>
  <c r="CJ123" i="8"/>
  <c r="FC131" i="8"/>
  <c r="DK129" i="8"/>
  <c r="DJ131" i="8"/>
  <c r="DJ132" i="8" s="1"/>
  <c r="DK130" i="8"/>
  <c r="CI125" i="8"/>
  <c r="CI126" i="8" s="1"/>
  <c r="CJ124" i="8"/>
  <c r="FB133" i="8"/>
  <c r="FB134" i="8" s="1"/>
  <c r="FC132" i="8"/>
  <c r="AN172" i="22"/>
  <c r="AN173" i="22" s="1"/>
  <c r="AO171" i="22"/>
  <c r="GT132" i="8"/>
  <c r="GU131" i="8"/>
  <c r="CJ125" i="8" l="1"/>
  <c r="DK131" i="8"/>
  <c r="AO172" i="22"/>
  <c r="FC133" i="8"/>
  <c r="AN174" i="22"/>
  <c r="AO174" i="22" s="1"/>
  <c r="AO173" i="22"/>
  <c r="FB135" i="8"/>
  <c r="FB136" i="8" s="1"/>
  <c r="FC134" i="8"/>
  <c r="CI127" i="8"/>
  <c r="CI128" i="8" s="1"/>
  <c r="CJ126" i="8"/>
  <c r="GT133" i="8"/>
  <c r="GT134" i="8" s="1"/>
  <c r="GU132" i="8"/>
  <c r="DJ133" i="8"/>
  <c r="DK133" i="8" s="1"/>
  <c r="DK132" i="8"/>
  <c r="AN175" i="22" l="1"/>
  <c r="AN176" i="22" s="1"/>
  <c r="AN177" i="22" s="1"/>
  <c r="DJ134" i="8"/>
  <c r="DJ135" i="8" s="1"/>
  <c r="DJ136" i="8" s="1"/>
  <c r="GU133" i="8"/>
  <c r="CJ127" i="8"/>
  <c r="FC135" i="8"/>
  <c r="CI129" i="8"/>
  <c r="CI130" i="8" s="1"/>
  <c r="CJ128" i="8"/>
  <c r="FB137" i="8"/>
  <c r="FB138" i="8" s="1"/>
  <c r="FC136" i="8"/>
  <c r="GU134" i="8"/>
  <c r="GT135" i="8"/>
  <c r="AO175" i="22" l="1"/>
  <c r="DK134" i="8"/>
  <c r="DK135" i="8"/>
  <c r="FC137" i="8"/>
  <c r="AO176" i="22"/>
  <c r="CJ129" i="8"/>
  <c r="AN178" i="22"/>
  <c r="AO178" i="22" s="1"/>
  <c r="AO177" i="22"/>
  <c r="DJ137" i="8"/>
  <c r="DJ138" i="8" s="1"/>
  <c r="DK136" i="8"/>
  <c r="FB139" i="8"/>
  <c r="FB140" i="8" s="1"/>
  <c r="FC138" i="8"/>
  <c r="CI131" i="8"/>
  <c r="CI132" i="8" s="1"/>
  <c r="CJ130" i="8"/>
  <c r="GT136" i="8"/>
  <c r="GU135" i="8"/>
  <c r="AN179" i="22" l="1"/>
  <c r="AN180" i="22" s="1"/>
  <c r="DK137" i="8"/>
  <c r="CJ131" i="8"/>
  <c r="FC139" i="8"/>
  <c r="CI133" i="8"/>
  <c r="CI134" i="8" s="1"/>
  <c r="CJ132" i="8"/>
  <c r="FB141" i="8"/>
  <c r="FB142" i="8" s="1"/>
  <c r="FC140" i="8"/>
  <c r="DJ139" i="8"/>
  <c r="DJ140" i="8" s="1"/>
  <c r="DK138" i="8"/>
  <c r="GT137" i="8"/>
  <c r="GT138" i="8" s="1"/>
  <c r="GU136" i="8"/>
  <c r="AO179" i="22" l="1"/>
  <c r="CJ133" i="8"/>
  <c r="FC141" i="8"/>
  <c r="GU137" i="8"/>
  <c r="DK139" i="8"/>
  <c r="DJ141" i="8"/>
  <c r="DJ142" i="8" s="1"/>
  <c r="DK140" i="8"/>
  <c r="GT139" i="8"/>
  <c r="GU139" i="8" s="1"/>
  <c r="GU138" i="8"/>
  <c r="CI135" i="8"/>
  <c r="CI136" i="8" s="1"/>
  <c r="CJ134" i="8"/>
  <c r="FB143" i="8"/>
  <c r="FB144" i="8" s="1"/>
  <c r="FC142" i="8"/>
  <c r="AN181" i="22"/>
  <c r="AO180" i="22"/>
  <c r="DK141" i="8" l="1"/>
  <c r="FC143" i="8"/>
  <c r="GT140" i="8"/>
  <c r="GT141" i="8" s="1"/>
  <c r="GT142" i="8" s="1"/>
  <c r="CJ135" i="8"/>
  <c r="FB145" i="8"/>
  <c r="FC145" i="8" s="1"/>
  <c r="FC144" i="8"/>
  <c r="CI137" i="8"/>
  <c r="CI138" i="8" s="1"/>
  <c r="CJ136" i="8"/>
  <c r="AN182" i="22"/>
  <c r="AN183" i="22" s="1"/>
  <c r="AO181" i="22"/>
  <c r="DJ143" i="8"/>
  <c r="DK143" i="8" s="1"/>
  <c r="DK142" i="8"/>
  <c r="GU140" i="8" l="1"/>
  <c r="DJ144" i="8"/>
  <c r="DJ145" i="8" s="1"/>
  <c r="DJ146" i="8" s="1"/>
  <c r="FB146" i="8"/>
  <c r="FB147" i="8" s="1"/>
  <c r="FB148" i="8" s="1"/>
  <c r="AO182" i="22"/>
  <c r="GU141" i="8"/>
  <c r="CJ137" i="8"/>
  <c r="GT143" i="8"/>
  <c r="GT144" i="8" s="1"/>
  <c r="GU142" i="8"/>
  <c r="CI139" i="8"/>
  <c r="CI140" i="8" s="1"/>
  <c r="CJ138" i="8"/>
  <c r="AN184" i="22"/>
  <c r="AN185" i="22" s="1"/>
  <c r="AO183" i="22"/>
  <c r="FC146" i="8"/>
  <c r="DK144" i="8" l="1"/>
  <c r="GU143" i="8"/>
  <c r="AO184" i="22"/>
  <c r="FC147" i="8"/>
  <c r="DK145" i="8"/>
  <c r="CJ139" i="8"/>
  <c r="AN186" i="22"/>
  <c r="AN187" i="22" s="1"/>
  <c r="AO185" i="22"/>
  <c r="FB149" i="8"/>
  <c r="FB150" i="8" s="1"/>
  <c r="FC148" i="8"/>
  <c r="DJ147" i="8"/>
  <c r="DJ148" i="8" s="1"/>
  <c r="DK146" i="8"/>
  <c r="CI141" i="8"/>
  <c r="CI142" i="8" s="1"/>
  <c r="CJ140" i="8"/>
  <c r="GT145" i="8"/>
  <c r="GT146" i="8" s="1"/>
  <c r="GU144" i="8"/>
  <c r="AO186" i="22" l="1"/>
  <c r="GU145" i="8"/>
  <c r="FC149" i="8"/>
  <c r="DK147" i="8"/>
  <c r="CJ141" i="8"/>
  <c r="DJ149" i="8"/>
  <c r="DJ150" i="8" s="1"/>
  <c r="DK148" i="8"/>
  <c r="CI143" i="8"/>
  <c r="CI144" i="8" s="1"/>
  <c r="CJ142" i="8"/>
  <c r="FB151" i="8"/>
  <c r="FB152" i="8" s="1"/>
  <c r="FC150" i="8"/>
  <c r="GT147" i="8"/>
  <c r="GT148" i="8" s="1"/>
  <c r="GU146" i="8"/>
  <c r="AN188" i="22"/>
  <c r="AN189" i="22" s="1"/>
  <c r="AO187" i="22"/>
  <c r="DK149" i="8" l="1"/>
  <c r="AO188" i="22"/>
  <c r="CJ143" i="8"/>
  <c r="FC151" i="8"/>
  <c r="GU147" i="8"/>
  <c r="GT149" i="8"/>
  <c r="GT150" i="8" s="1"/>
  <c r="GU148" i="8"/>
  <c r="DJ151" i="8"/>
  <c r="DJ152" i="8" s="1"/>
  <c r="DK150" i="8"/>
  <c r="FB153" i="8"/>
  <c r="FB154" i="8" s="1"/>
  <c r="FC152" i="8"/>
  <c r="CI145" i="8"/>
  <c r="CI146" i="8" s="1"/>
  <c r="CJ144" i="8"/>
  <c r="AN190" i="22"/>
  <c r="AN191" i="22" s="1"/>
  <c r="AO189" i="22"/>
  <c r="DK151" i="8" l="1"/>
  <c r="AO190" i="22"/>
  <c r="GU149" i="8"/>
  <c r="CJ145" i="8"/>
  <c r="FC153" i="8"/>
  <c r="CI147" i="8"/>
  <c r="CI148" i="8" s="1"/>
  <c r="CJ146" i="8"/>
  <c r="FB155" i="8"/>
  <c r="FB156" i="8" s="1"/>
  <c r="FC154" i="8"/>
  <c r="DJ153" i="8"/>
  <c r="DJ154" i="8" s="1"/>
  <c r="DK152" i="8"/>
  <c r="GT151" i="8"/>
  <c r="GT152" i="8" s="1"/>
  <c r="GU150" i="8"/>
  <c r="AN192" i="22"/>
  <c r="AO192" i="22" s="1"/>
  <c r="AO191" i="22"/>
  <c r="CJ147" i="8" l="1"/>
  <c r="AN193" i="22"/>
  <c r="AN194" i="22" s="1"/>
  <c r="AN195" i="22" s="1"/>
  <c r="FC155" i="8"/>
  <c r="GU151" i="8"/>
  <c r="DK153" i="8"/>
  <c r="GT153" i="8"/>
  <c r="GT154" i="8" s="1"/>
  <c r="GU152" i="8"/>
  <c r="DJ155" i="8"/>
  <c r="DJ156" i="8" s="1"/>
  <c r="DK154" i="8"/>
  <c r="FB157" i="8"/>
  <c r="FB158" i="8" s="1"/>
  <c r="FC156" i="8"/>
  <c r="CI149" i="8"/>
  <c r="CI150" i="8" s="1"/>
  <c r="CJ148" i="8"/>
  <c r="AO193" i="22"/>
  <c r="CJ149" i="8" l="1"/>
  <c r="GU153" i="8"/>
  <c r="FC157" i="8"/>
  <c r="DK155" i="8"/>
  <c r="AO194" i="22"/>
  <c r="CI151" i="8"/>
  <c r="CI152" i="8" s="1"/>
  <c r="CJ150" i="8"/>
  <c r="FB159" i="8"/>
  <c r="FB160" i="8" s="1"/>
  <c r="FC158" i="8"/>
  <c r="DJ157" i="8"/>
  <c r="DJ158" i="8" s="1"/>
  <c r="DK156" i="8"/>
  <c r="AN196" i="22"/>
  <c r="AN197" i="22" s="1"/>
  <c r="AO195" i="22"/>
  <c r="GT155" i="8"/>
  <c r="GT156" i="8" s="1"/>
  <c r="GU154" i="8"/>
  <c r="GU155" i="8" l="1"/>
  <c r="FC159" i="8"/>
  <c r="CJ151" i="8"/>
  <c r="AO196" i="22"/>
  <c r="DK157" i="8"/>
  <c r="DJ159" i="8"/>
  <c r="DK159" i="8" s="1"/>
  <c r="DK158" i="8"/>
  <c r="FB161" i="8"/>
  <c r="FB162" i="8" s="1"/>
  <c r="FC160" i="8"/>
  <c r="GT157" i="8"/>
  <c r="GT158" i="8" s="1"/>
  <c r="GU156" i="8"/>
  <c r="CI153" i="8"/>
  <c r="CI154" i="8" s="1"/>
  <c r="CJ152" i="8"/>
  <c r="AO197" i="22"/>
  <c r="AN198" i="22"/>
  <c r="DJ160" i="8" l="1"/>
  <c r="DJ161" i="8" s="1"/>
  <c r="DJ162" i="8" s="1"/>
  <c r="FC161" i="8"/>
  <c r="GU157" i="8"/>
  <c r="CJ153" i="8"/>
  <c r="CI155" i="8"/>
  <c r="CI156" i="8" s="1"/>
  <c r="CJ154" i="8"/>
  <c r="FB163" i="8"/>
  <c r="FB164" i="8" s="1"/>
  <c r="FC162" i="8"/>
  <c r="GU158" i="8"/>
  <c r="GT159" i="8"/>
  <c r="AN199" i="22"/>
  <c r="AO198" i="22"/>
  <c r="DK160" i="8" l="1"/>
  <c r="CJ155" i="8"/>
  <c r="DK161" i="8"/>
  <c r="FC163" i="8"/>
  <c r="FB165" i="8"/>
  <c r="FB166" i="8" s="1"/>
  <c r="FC164" i="8"/>
  <c r="DJ163" i="8"/>
  <c r="DJ164" i="8" s="1"/>
  <c r="DK162" i="8"/>
  <c r="AN200" i="22"/>
  <c r="AN201" i="22" s="1"/>
  <c r="AO199" i="22"/>
  <c r="CI157" i="8"/>
  <c r="CI158" i="8" s="1"/>
  <c r="CJ156" i="8"/>
  <c r="GT160" i="8"/>
  <c r="GU159" i="8"/>
  <c r="FC165" i="8" l="1"/>
  <c r="DK163" i="8"/>
  <c r="CJ157" i="8"/>
  <c r="AO200" i="22"/>
  <c r="CI159" i="8"/>
  <c r="CI160" i="8" s="1"/>
  <c r="CJ158" i="8"/>
  <c r="DJ165" i="8"/>
  <c r="DJ166" i="8" s="1"/>
  <c r="DK164" i="8"/>
  <c r="FB167" i="8"/>
  <c r="FB168" i="8" s="1"/>
  <c r="FC166" i="8"/>
  <c r="AN202" i="22"/>
  <c r="AN203" i="22" s="1"/>
  <c r="AO201" i="22"/>
  <c r="GT161" i="8"/>
  <c r="GT162" i="8" s="1"/>
  <c r="GU160" i="8"/>
  <c r="CJ159" i="8" l="1"/>
  <c r="GU161" i="8"/>
  <c r="DK165" i="8"/>
  <c r="AO202" i="22"/>
  <c r="FC167" i="8"/>
  <c r="AN204" i="22"/>
  <c r="AN205" i="22" s="1"/>
  <c r="AO203" i="22"/>
  <c r="DJ167" i="8"/>
  <c r="DJ168" i="8" s="1"/>
  <c r="DK166" i="8"/>
  <c r="FB169" i="8"/>
  <c r="FB170" i="8" s="1"/>
  <c r="FC168" i="8"/>
  <c r="CI161" i="8"/>
  <c r="CI162" i="8" s="1"/>
  <c r="CJ160" i="8"/>
  <c r="GT163" i="8"/>
  <c r="GT164" i="8" s="1"/>
  <c r="GU162" i="8"/>
  <c r="CJ161" i="8" l="1"/>
  <c r="AO204" i="22"/>
  <c r="DK167" i="8"/>
  <c r="FC169" i="8"/>
  <c r="GU163" i="8"/>
  <c r="DJ169" i="8"/>
  <c r="DJ170" i="8" s="1"/>
  <c r="DK168" i="8"/>
  <c r="GT165" i="8"/>
  <c r="GT166" i="8" s="1"/>
  <c r="GU164" i="8"/>
  <c r="AN206" i="22"/>
  <c r="AN207" i="22" s="1"/>
  <c r="AO205" i="22"/>
  <c r="FB171" i="8"/>
  <c r="FB172" i="8" s="1"/>
  <c r="FC170" i="8"/>
  <c r="CI163" i="8"/>
  <c r="CI164" i="8" s="1"/>
  <c r="CJ162" i="8"/>
  <c r="DK169" i="8" l="1"/>
  <c r="GU165" i="8"/>
  <c r="FC171" i="8"/>
  <c r="CJ163" i="8"/>
  <c r="AO206" i="22"/>
  <c r="FB173" i="8"/>
  <c r="FB174" i="8" s="1"/>
  <c r="FC172" i="8"/>
  <c r="AN208" i="22"/>
  <c r="AN209" i="22" s="1"/>
  <c r="AO207" i="22"/>
  <c r="GT167" i="8"/>
  <c r="GT168" i="8" s="1"/>
  <c r="GU166" i="8"/>
  <c r="CI165" i="8"/>
  <c r="CI166" i="8" s="1"/>
  <c r="CJ164" i="8"/>
  <c r="DJ171" i="8"/>
  <c r="DJ172" i="8" s="1"/>
  <c r="DK170" i="8"/>
  <c r="AO208" i="22" l="1"/>
  <c r="FC173" i="8"/>
  <c r="DK171" i="8"/>
  <c r="GU167" i="8"/>
  <c r="CJ165" i="8"/>
  <c r="CI167" i="8"/>
  <c r="CI168" i="8" s="1"/>
  <c r="CJ166" i="8"/>
  <c r="AN210" i="22"/>
  <c r="AN211" i="22" s="1"/>
  <c r="AO209" i="22"/>
  <c r="GT169" i="8"/>
  <c r="GT170" i="8" s="1"/>
  <c r="GU168" i="8"/>
  <c r="DJ173" i="8"/>
  <c r="DJ174" i="8" s="1"/>
  <c r="DK172" i="8"/>
  <c r="FB175" i="8"/>
  <c r="FB176" i="8" s="1"/>
  <c r="FC174" i="8"/>
  <c r="CJ167" i="8" l="1"/>
  <c r="AO210" i="22"/>
  <c r="GU169" i="8"/>
  <c r="FC175" i="8"/>
  <c r="DK173" i="8"/>
  <c r="DJ175" i="8"/>
  <c r="DJ176" i="8" s="1"/>
  <c r="DK174" i="8"/>
  <c r="AN212" i="22"/>
  <c r="AN213" i="22" s="1"/>
  <c r="AO211" i="22"/>
  <c r="GT171" i="8"/>
  <c r="GT172" i="8" s="1"/>
  <c r="GU170" i="8"/>
  <c r="CI169" i="8"/>
  <c r="CI170" i="8" s="1"/>
  <c r="CJ168" i="8"/>
  <c r="FB177" i="8"/>
  <c r="FB178" i="8" s="1"/>
  <c r="FC176" i="8"/>
  <c r="DK175" i="8" l="1"/>
  <c r="FC177" i="8"/>
  <c r="AO212" i="22"/>
  <c r="GU171" i="8"/>
  <c r="CJ169" i="8"/>
  <c r="CI171" i="8"/>
  <c r="CI172" i="8" s="1"/>
  <c r="CJ170" i="8"/>
  <c r="FB179" i="8"/>
  <c r="FB180" i="8" s="1"/>
  <c r="FC178" i="8"/>
  <c r="AN214" i="22"/>
  <c r="AN215" i="22" s="1"/>
  <c r="AO213" i="22"/>
  <c r="DJ177" i="8"/>
  <c r="DJ178" i="8" s="1"/>
  <c r="DK176" i="8"/>
  <c r="GU172" i="8"/>
  <c r="GT173" i="8"/>
  <c r="DK177" i="8" l="1"/>
  <c r="FC179" i="8"/>
  <c r="AO214" i="22"/>
  <c r="CJ171" i="8"/>
  <c r="DJ179" i="8"/>
  <c r="DK179" i="8" s="1"/>
  <c r="DK178" i="8"/>
  <c r="AN216" i="22"/>
  <c r="AN217" i="22" s="1"/>
  <c r="AO215" i="22"/>
  <c r="CI173" i="8"/>
  <c r="CI174" i="8" s="1"/>
  <c r="CJ172" i="8"/>
  <c r="FB181" i="8"/>
  <c r="FB182" i="8" s="1"/>
  <c r="FC180" i="8"/>
  <c r="GT174" i="8"/>
  <c r="GU173" i="8"/>
  <c r="DJ180" i="8" l="1"/>
  <c r="DJ181" i="8" s="1"/>
  <c r="FC181" i="8"/>
  <c r="AO216" i="22"/>
  <c r="CJ173" i="8"/>
  <c r="FB183" i="8"/>
  <c r="FC183" i="8" s="1"/>
  <c r="FC182" i="8"/>
  <c r="AN218" i="22"/>
  <c r="AN219" i="22" s="1"/>
  <c r="AO217" i="22"/>
  <c r="CI175" i="8"/>
  <c r="CI176" i="8" s="1"/>
  <c r="CJ174" i="8"/>
  <c r="GT175" i="8"/>
  <c r="GT176" i="8" s="1"/>
  <c r="GU174" i="8"/>
  <c r="DK180" i="8" l="1"/>
  <c r="DJ182" i="8"/>
  <c r="DJ183" i="8" s="1"/>
  <c r="DJ184" i="8" s="1"/>
  <c r="DK181" i="8"/>
  <c r="AO218" i="22"/>
  <c r="FB184" i="8"/>
  <c r="FB185" i="8" s="1"/>
  <c r="FB186" i="8" s="1"/>
  <c r="GU175" i="8"/>
  <c r="CJ175" i="8"/>
  <c r="GT177" i="8"/>
  <c r="GT178" i="8" s="1"/>
  <c r="GU176" i="8"/>
  <c r="CI177" i="8"/>
  <c r="CI178" i="8" s="1"/>
  <c r="CJ176" i="8"/>
  <c r="DK182" i="8"/>
  <c r="AN220" i="22"/>
  <c r="AN221" i="22" s="1"/>
  <c r="AO219" i="22"/>
  <c r="FC184" i="8" l="1"/>
  <c r="DK183" i="8"/>
  <c r="FC185" i="8"/>
  <c r="AO220" i="22"/>
  <c r="CJ177" i="8"/>
  <c r="GU177" i="8"/>
  <c r="AN222" i="22"/>
  <c r="AO222" i="22" s="1"/>
  <c r="AO221" i="22"/>
  <c r="DJ185" i="8"/>
  <c r="DJ186" i="8" s="1"/>
  <c r="DK184" i="8"/>
  <c r="FB187" i="8"/>
  <c r="FB188" i="8" s="1"/>
  <c r="FC186" i="8"/>
  <c r="CI179" i="8"/>
  <c r="CI180" i="8" s="1"/>
  <c r="CJ178" i="8"/>
  <c r="GT179" i="8"/>
  <c r="GT180" i="8" s="1"/>
  <c r="GU178" i="8"/>
  <c r="DK185" i="8" l="1"/>
  <c r="GU179" i="8"/>
  <c r="FC187" i="8"/>
  <c r="AN223" i="22"/>
  <c r="AN224" i="22" s="1"/>
  <c r="CJ179" i="8"/>
  <c r="CI181" i="8"/>
  <c r="CI182" i="8" s="1"/>
  <c r="CJ180" i="8"/>
  <c r="FB189" i="8"/>
  <c r="FB190" i="8" s="1"/>
  <c r="FC188" i="8"/>
  <c r="DJ187" i="8"/>
  <c r="DJ188" i="8" s="1"/>
  <c r="DK186" i="8"/>
  <c r="GT181" i="8"/>
  <c r="GT182" i="8" s="1"/>
  <c r="GU180" i="8"/>
  <c r="AO223" i="22" l="1"/>
  <c r="CJ181" i="8"/>
  <c r="GU181" i="8"/>
  <c r="DK187" i="8"/>
  <c r="FC189" i="8"/>
  <c r="DJ189" i="8"/>
  <c r="DJ190" i="8" s="1"/>
  <c r="DK188" i="8"/>
  <c r="FB191" i="8"/>
  <c r="FB192" i="8" s="1"/>
  <c r="FC190" i="8"/>
  <c r="GT183" i="8"/>
  <c r="GT184" i="8" s="1"/>
  <c r="GU182" i="8"/>
  <c r="CI183" i="8"/>
  <c r="CI184" i="8" s="1"/>
  <c r="CJ182" i="8"/>
  <c r="AN225" i="22"/>
  <c r="AO224" i="22"/>
  <c r="DK189" i="8" l="1"/>
  <c r="FC191" i="8"/>
  <c r="GU183" i="8"/>
  <c r="CJ183" i="8"/>
  <c r="CI185" i="8"/>
  <c r="CI186" i="8" s="1"/>
  <c r="CJ184" i="8"/>
  <c r="FB193" i="8"/>
  <c r="FB194" i="8" s="1"/>
  <c r="FC192" i="8"/>
  <c r="GT185" i="8"/>
  <c r="GT186" i="8" s="1"/>
  <c r="GU184" i="8"/>
  <c r="DJ191" i="8"/>
  <c r="DJ192" i="8" s="1"/>
  <c r="DK190" i="8"/>
  <c r="AN226" i="22"/>
  <c r="AO226" i="22" s="1"/>
  <c r="AO225" i="22"/>
  <c r="CJ185" i="8" l="1"/>
  <c r="DK191" i="8"/>
  <c r="AN227" i="22"/>
  <c r="AN228" i="22" s="1"/>
  <c r="AN229" i="22" s="1"/>
  <c r="FC193" i="8"/>
  <c r="GU185" i="8"/>
  <c r="DJ193" i="8"/>
  <c r="DJ194" i="8" s="1"/>
  <c r="DK192" i="8"/>
  <c r="GT187" i="8"/>
  <c r="GT188" i="8" s="1"/>
  <c r="GU186" i="8"/>
  <c r="FB195" i="8"/>
  <c r="FB196" i="8" s="1"/>
  <c r="FC194" i="8"/>
  <c r="CI187" i="8"/>
  <c r="CI188" i="8" s="1"/>
  <c r="CJ186" i="8"/>
  <c r="AO227" i="22" l="1"/>
  <c r="GU187" i="8"/>
  <c r="CJ187" i="8"/>
  <c r="FC195" i="8"/>
  <c r="DK193" i="8"/>
  <c r="AO228" i="22"/>
  <c r="FB197" i="8"/>
  <c r="FB198" i="8" s="1"/>
  <c r="FC196" i="8"/>
  <c r="AN230" i="22"/>
  <c r="AN231" i="22" s="1"/>
  <c r="AO229" i="22"/>
  <c r="GT189" i="8"/>
  <c r="GT190" i="8" s="1"/>
  <c r="GU188" i="8"/>
  <c r="CI189" i="8"/>
  <c r="CI190" i="8" s="1"/>
  <c r="CJ188" i="8"/>
  <c r="DJ195" i="8"/>
  <c r="DJ196" i="8" s="1"/>
  <c r="DK194" i="8"/>
  <c r="DK195" i="8" l="1"/>
  <c r="FC197" i="8"/>
  <c r="AO230" i="22"/>
  <c r="GU189" i="8"/>
  <c r="CJ189" i="8"/>
  <c r="CI191" i="8"/>
  <c r="CI192" i="8" s="1"/>
  <c r="CJ190" i="8"/>
  <c r="AN232" i="22"/>
  <c r="AN233" i="22" s="1"/>
  <c r="AO231" i="22"/>
  <c r="GT191" i="8"/>
  <c r="GT192" i="8" s="1"/>
  <c r="GU190" i="8"/>
  <c r="DJ197" i="8"/>
  <c r="DJ198" i="8" s="1"/>
  <c r="DK196" i="8"/>
  <c r="FB199" i="8"/>
  <c r="FB200" i="8" s="1"/>
  <c r="FC198" i="8"/>
  <c r="CJ191" i="8" l="1"/>
  <c r="FC199" i="8"/>
  <c r="AO232" i="22"/>
  <c r="GU191" i="8"/>
  <c r="DK197" i="8"/>
  <c r="DJ199" i="8"/>
  <c r="DJ200" i="8" s="1"/>
  <c r="DK198" i="8"/>
  <c r="FB201" i="8"/>
  <c r="FB202" i="8" s="1"/>
  <c r="FC200" i="8"/>
  <c r="GT193" i="8"/>
  <c r="GT194" i="8" s="1"/>
  <c r="GU192" i="8"/>
  <c r="AN234" i="22"/>
  <c r="AN235" i="22" s="1"/>
  <c r="AO233" i="22"/>
  <c r="CI193" i="8"/>
  <c r="CI194" i="8" s="1"/>
  <c r="CJ192" i="8"/>
  <c r="DK199" i="8" l="1"/>
  <c r="AO234" i="22"/>
  <c r="CJ193" i="8"/>
  <c r="GU193" i="8"/>
  <c r="FC201" i="8"/>
  <c r="AN236" i="22"/>
  <c r="AO236" i="22" s="1"/>
  <c r="AO235" i="22"/>
  <c r="CI195" i="8"/>
  <c r="CI196" i="8" s="1"/>
  <c r="CJ194" i="8"/>
  <c r="DJ201" i="8"/>
  <c r="DJ202" i="8" s="1"/>
  <c r="DK200" i="8"/>
  <c r="FB203" i="8"/>
  <c r="FB204" i="8" s="1"/>
  <c r="FC202" i="8"/>
  <c r="GT195" i="8"/>
  <c r="GT196" i="8" s="1"/>
  <c r="GU194" i="8"/>
  <c r="GU195" i="8" l="1"/>
  <c r="CJ195" i="8"/>
  <c r="AN237" i="22"/>
  <c r="AN238" i="22" s="1"/>
  <c r="AN239" i="22" s="1"/>
  <c r="FC203" i="8"/>
  <c r="DK201" i="8"/>
  <c r="FB205" i="8"/>
  <c r="FB206" i="8" s="1"/>
  <c r="FC204" i="8"/>
  <c r="DJ203" i="8"/>
  <c r="DJ204" i="8" s="1"/>
  <c r="DK202" i="8"/>
  <c r="GT197" i="8"/>
  <c r="GT198" i="8" s="1"/>
  <c r="GU196" i="8"/>
  <c r="CI197" i="8"/>
  <c r="CI198" i="8" s="1"/>
  <c r="CJ196" i="8"/>
  <c r="AO237" i="22" l="1"/>
  <c r="CJ197" i="8"/>
  <c r="FC205" i="8"/>
  <c r="DK203" i="8"/>
  <c r="AO238" i="22"/>
  <c r="GU197" i="8"/>
  <c r="GT199" i="8"/>
  <c r="GT200" i="8" s="1"/>
  <c r="GU198" i="8"/>
  <c r="AN240" i="22"/>
  <c r="AO240" i="22" s="1"/>
  <c r="AO239" i="22"/>
  <c r="FB207" i="8"/>
  <c r="FB208" i="8" s="1"/>
  <c r="FC206" i="8"/>
  <c r="CI199" i="8"/>
  <c r="CI200" i="8" s="1"/>
  <c r="CJ198" i="8"/>
  <c r="DK204" i="8"/>
  <c r="DJ205" i="8"/>
  <c r="AN241" i="22" l="1"/>
  <c r="AN242" i="22" s="1"/>
  <c r="AN243" i="22" s="1"/>
  <c r="CJ199" i="8"/>
  <c r="GU199" i="8"/>
  <c r="FC207" i="8"/>
  <c r="CI201" i="8"/>
  <c r="CI202" i="8" s="1"/>
  <c r="CJ200" i="8"/>
  <c r="FB209" i="8"/>
  <c r="FB210" i="8" s="1"/>
  <c r="FC208" i="8"/>
  <c r="GT201" i="8"/>
  <c r="GT202" i="8" s="1"/>
  <c r="GU200" i="8"/>
  <c r="DJ206" i="8"/>
  <c r="DK205" i="8"/>
  <c r="AO241" i="22" l="1"/>
  <c r="FC209" i="8"/>
  <c r="CJ201" i="8"/>
  <c r="AO242" i="22"/>
  <c r="GU201" i="8"/>
  <c r="GT203" i="8"/>
  <c r="GT204" i="8" s="1"/>
  <c r="GU202" i="8"/>
  <c r="AN244" i="22"/>
  <c r="AN245" i="22" s="1"/>
  <c r="AO243" i="22"/>
  <c r="FB211" i="8"/>
  <c r="FB212" i="8" s="1"/>
  <c r="FC210" i="8"/>
  <c r="CI203" i="8"/>
  <c r="CI204" i="8" s="1"/>
  <c r="CJ202" i="8"/>
  <c r="DJ207" i="8"/>
  <c r="DJ208" i="8" s="1"/>
  <c r="DK206" i="8"/>
  <c r="DK207" i="8" l="1"/>
  <c r="GU203" i="8"/>
  <c r="AO244" i="22"/>
  <c r="CJ203" i="8"/>
  <c r="FC211" i="8"/>
  <c r="CI205" i="8"/>
  <c r="CI206" i="8" s="1"/>
  <c r="CJ204" i="8"/>
  <c r="FB213" i="8"/>
  <c r="FB214" i="8" s="1"/>
  <c r="FC212" i="8"/>
  <c r="AN246" i="22"/>
  <c r="AN247" i="22" s="1"/>
  <c r="AO245" i="22"/>
  <c r="GT205" i="8"/>
  <c r="GT206" i="8" s="1"/>
  <c r="GU204" i="8"/>
  <c r="DJ209" i="8"/>
  <c r="DK209" i="8" s="1"/>
  <c r="DK208" i="8"/>
  <c r="CJ205" i="8" l="1"/>
  <c r="GU205" i="8"/>
  <c r="DJ210" i="8"/>
  <c r="DJ211" i="8" s="1"/>
  <c r="FC213" i="8"/>
  <c r="AO246" i="22"/>
  <c r="GT207" i="8"/>
  <c r="GT208" i="8" s="1"/>
  <c r="GU206" i="8"/>
  <c r="AN248" i="22"/>
  <c r="AO248" i="22" s="1"/>
  <c r="AO247" i="22"/>
  <c r="FB215" i="8"/>
  <c r="FB216" i="8" s="1"/>
  <c r="FC214" i="8"/>
  <c r="CI207" i="8"/>
  <c r="CI208" i="8" s="1"/>
  <c r="CJ206" i="8"/>
  <c r="DK210" i="8"/>
  <c r="GU207" i="8" l="1"/>
  <c r="DJ212" i="8"/>
  <c r="DJ213" i="8" s="1"/>
  <c r="DJ214" i="8" s="1"/>
  <c r="DK211" i="8"/>
  <c r="AN249" i="22"/>
  <c r="AN250" i="22" s="1"/>
  <c r="AN251" i="22" s="1"/>
  <c r="CJ207" i="8"/>
  <c r="FC215" i="8"/>
  <c r="CI209" i="8"/>
  <c r="CI210" i="8" s="1"/>
  <c r="CJ208" i="8"/>
  <c r="FB217" i="8"/>
  <c r="FB218" i="8" s="1"/>
  <c r="FC216" i="8"/>
  <c r="GT209" i="8"/>
  <c r="GT210" i="8" s="1"/>
  <c r="GU208" i="8"/>
  <c r="DK212" i="8" l="1"/>
  <c r="AO249" i="22"/>
  <c r="GU209" i="8"/>
  <c r="FC217" i="8"/>
  <c r="CJ209" i="8"/>
  <c r="DK213" i="8"/>
  <c r="AO250" i="22"/>
  <c r="AN252" i="22"/>
  <c r="AN253" i="22" s="1"/>
  <c r="AO251" i="22"/>
  <c r="DJ215" i="8"/>
  <c r="DJ216" i="8" s="1"/>
  <c r="DK214" i="8"/>
  <c r="FB219" i="8"/>
  <c r="FB220" i="8" s="1"/>
  <c r="FC218" i="8"/>
  <c r="CI211" i="8"/>
  <c r="CI212" i="8" s="1"/>
  <c r="CJ210" i="8"/>
  <c r="GT211" i="8"/>
  <c r="GU211" i="8" s="1"/>
  <c r="GU210" i="8"/>
  <c r="AO252" i="22" l="1"/>
  <c r="GT212" i="8"/>
  <c r="GT213" i="8" s="1"/>
  <c r="GT214" i="8" s="1"/>
  <c r="CJ211" i="8"/>
  <c r="DK215" i="8"/>
  <c r="FC219" i="8"/>
  <c r="CI213" i="8"/>
  <c r="CI214" i="8" s="1"/>
  <c r="CJ212" i="8"/>
  <c r="FB221" i="8"/>
  <c r="FB222" i="8" s="1"/>
  <c r="FC220" i="8"/>
  <c r="AN254" i="22"/>
  <c r="AN255" i="22" s="1"/>
  <c r="AO253" i="22"/>
  <c r="DK216" i="8"/>
  <c r="DJ217" i="8"/>
  <c r="GU212" i="8" l="1"/>
  <c r="CJ213" i="8"/>
  <c r="GU213" i="8"/>
  <c r="AO254" i="22"/>
  <c r="FC221" i="8"/>
  <c r="AN256" i="22"/>
  <c r="AN257" i="22" s="1"/>
  <c r="AO255" i="22"/>
  <c r="GT215" i="8"/>
  <c r="GT216" i="8" s="1"/>
  <c r="GU214" i="8"/>
  <c r="CI215" i="8"/>
  <c r="CI216" i="8" s="1"/>
  <c r="CJ214" i="8"/>
  <c r="FB223" i="8"/>
  <c r="FB224" i="8" s="1"/>
  <c r="FC222" i="8"/>
  <c r="DJ218" i="8"/>
  <c r="DK217" i="8"/>
  <c r="AO256" i="22" l="1"/>
  <c r="CJ215" i="8"/>
  <c r="FC223" i="8"/>
  <c r="GU215" i="8"/>
  <c r="AN258" i="22"/>
  <c r="AN259" i="22" s="1"/>
  <c r="AO257" i="22"/>
  <c r="CI217" i="8"/>
  <c r="CI218" i="8" s="1"/>
  <c r="CJ216" i="8"/>
  <c r="GT217" i="8"/>
  <c r="GT218" i="8" s="1"/>
  <c r="GU216" i="8"/>
  <c r="FB225" i="8"/>
  <c r="FB226" i="8" s="1"/>
  <c r="FC224" i="8"/>
  <c r="DJ219" i="8"/>
  <c r="DJ220" i="8" s="1"/>
  <c r="DK218" i="8"/>
  <c r="DK219" i="8" l="1"/>
  <c r="FC225" i="8"/>
  <c r="CJ217" i="8"/>
  <c r="GU217" i="8"/>
  <c r="AO258" i="22"/>
  <c r="FB227" i="8"/>
  <c r="FC227" i="8" s="1"/>
  <c r="FC226" i="8"/>
  <c r="DJ221" i="8"/>
  <c r="DJ222" i="8" s="1"/>
  <c r="DK220" i="8"/>
  <c r="AN260" i="22"/>
  <c r="AN261" i="22" s="1"/>
  <c r="AO259" i="22"/>
  <c r="CI219" i="8"/>
  <c r="CI220" i="8" s="1"/>
  <c r="CJ218" i="8"/>
  <c r="GU218" i="8"/>
  <c r="GT219" i="8"/>
  <c r="DK221" i="8" l="1"/>
  <c r="FB228" i="8"/>
  <c r="FB229" i="8" s="1"/>
  <c r="FB230" i="8" s="1"/>
  <c r="CJ219" i="8"/>
  <c r="AO260" i="22"/>
  <c r="CI221" i="8"/>
  <c r="CJ221" i="8" s="1"/>
  <c r="CJ220" i="8"/>
  <c r="DJ223" i="8"/>
  <c r="DJ224" i="8" s="1"/>
  <c r="DK222" i="8"/>
  <c r="AN262" i="22"/>
  <c r="AN263" i="22" s="1"/>
  <c r="AO261" i="22"/>
  <c r="FC228" i="8"/>
  <c r="GT220" i="8"/>
  <c r="GU219" i="8"/>
  <c r="CI222" i="8" l="1"/>
  <c r="CI223" i="8" s="1"/>
  <c r="FC229" i="8"/>
  <c r="AO262" i="22"/>
  <c r="DK223" i="8"/>
  <c r="DJ225" i="8"/>
  <c r="DJ226" i="8" s="1"/>
  <c r="DK224" i="8"/>
  <c r="AN264" i="22"/>
  <c r="AN265" i="22" s="1"/>
  <c r="AO263" i="22"/>
  <c r="GT221" i="8"/>
  <c r="GT222" i="8" s="1"/>
  <c r="GU220" i="8"/>
  <c r="FB231" i="8"/>
  <c r="FB232" i="8" s="1"/>
  <c r="FC230" i="8"/>
  <c r="CJ222" i="8" l="1"/>
  <c r="DK225" i="8"/>
  <c r="AO264" i="22"/>
  <c r="GU221" i="8"/>
  <c r="FC231" i="8"/>
  <c r="FB233" i="8"/>
  <c r="FB234" i="8" s="1"/>
  <c r="FC232" i="8"/>
  <c r="AN266" i="22"/>
  <c r="AN267" i="22" s="1"/>
  <c r="AO265" i="22"/>
  <c r="DJ227" i="8"/>
  <c r="DJ228" i="8" s="1"/>
  <c r="DK226" i="8"/>
  <c r="GT223" i="8"/>
  <c r="GT224" i="8" s="1"/>
  <c r="GU222" i="8"/>
  <c r="CJ223" i="8"/>
  <c r="CI224" i="8"/>
  <c r="FC233" i="8" l="1"/>
  <c r="AO266" i="22"/>
  <c r="GU223" i="8"/>
  <c r="DK227" i="8"/>
  <c r="GT225" i="8"/>
  <c r="GT226" i="8" s="1"/>
  <c r="GU224" i="8"/>
  <c r="DJ229" i="8"/>
  <c r="DK229" i="8" s="1"/>
  <c r="DK228" i="8"/>
  <c r="CI225" i="8"/>
  <c r="CI226" i="8" s="1"/>
  <c r="CJ224" i="8"/>
  <c r="AN268" i="22"/>
  <c r="AN269" i="22" s="1"/>
  <c r="AO267" i="22"/>
  <c r="FB235" i="8"/>
  <c r="FB236" i="8" s="1"/>
  <c r="FC234" i="8"/>
  <c r="DJ230" i="8" l="1"/>
  <c r="DJ231" i="8" s="1"/>
  <c r="DJ232" i="8" s="1"/>
  <c r="FC235" i="8"/>
  <c r="GU225" i="8"/>
  <c r="CJ225" i="8"/>
  <c r="AO268" i="22"/>
  <c r="AN270" i="22"/>
  <c r="AN271" i="22" s="1"/>
  <c r="AO269" i="22"/>
  <c r="CI227" i="8"/>
  <c r="CI228" i="8" s="1"/>
  <c r="CJ226" i="8"/>
  <c r="GT227" i="8"/>
  <c r="GT228" i="8" s="1"/>
  <c r="GU226" i="8"/>
  <c r="FB237" i="8"/>
  <c r="FB238" i="8" s="1"/>
  <c r="FC236" i="8"/>
  <c r="DK230" i="8" l="1"/>
  <c r="AO270" i="22"/>
  <c r="GU227" i="8"/>
  <c r="FC237" i="8"/>
  <c r="DK231" i="8"/>
  <c r="CJ227" i="8"/>
  <c r="GT229" i="8"/>
  <c r="GU229" i="8" s="1"/>
  <c r="GU228" i="8"/>
  <c r="CI229" i="8"/>
  <c r="CI230" i="8" s="1"/>
  <c r="CJ228" i="8"/>
  <c r="DJ233" i="8"/>
  <c r="DJ234" i="8" s="1"/>
  <c r="DK232" i="8"/>
  <c r="AN272" i="22"/>
  <c r="AN273" i="22" s="1"/>
  <c r="AO271" i="22"/>
  <c r="FB239" i="8"/>
  <c r="FB240" i="8" s="1"/>
  <c r="FC238" i="8"/>
  <c r="CJ229" i="8" l="1"/>
  <c r="GT230" i="8"/>
  <c r="GT231" i="8" s="1"/>
  <c r="GT232" i="8" s="1"/>
  <c r="FC239" i="8"/>
  <c r="AO272" i="22"/>
  <c r="DK233" i="8"/>
  <c r="DJ235" i="8"/>
  <c r="DJ236" i="8" s="1"/>
  <c r="DK234" i="8"/>
  <c r="CI231" i="8"/>
  <c r="CI232" i="8" s="1"/>
  <c r="CJ230" i="8"/>
  <c r="AN274" i="22"/>
  <c r="AN275" i="22" s="1"/>
  <c r="AO273" i="22"/>
  <c r="GU230" i="8"/>
  <c r="FB241" i="8"/>
  <c r="FB242" i="8" s="1"/>
  <c r="FC240" i="8"/>
  <c r="FC241" i="8" l="1"/>
  <c r="CJ231" i="8"/>
  <c r="GU231" i="8"/>
  <c r="AO274" i="22"/>
  <c r="DK235" i="8"/>
  <c r="GT233" i="8"/>
  <c r="GT234" i="8" s="1"/>
  <c r="GU232" i="8"/>
  <c r="AN276" i="22"/>
  <c r="AO276" i="22" s="1"/>
  <c r="AO275" i="22"/>
  <c r="CI233" i="8"/>
  <c r="CI234" i="8" s="1"/>
  <c r="CJ232" i="8"/>
  <c r="FB243" i="8"/>
  <c r="FB244" i="8" s="1"/>
  <c r="FC242" i="8"/>
  <c r="DJ237" i="8"/>
  <c r="DJ238" i="8" s="1"/>
  <c r="DK236" i="8"/>
  <c r="GU233" i="8" l="1"/>
  <c r="DK237" i="8"/>
  <c r="AN277" i="22"/>
  <c r="AN278" i="22" s="1"/>
  <c r="AN279" i="22" s="1"/>
  <c r="FC243" i="8"/>
  <c r="CJ233" i="8"/>
  <c r="FB245" i="8"/>
  <c r="FB246" i="8" s="1"/>
  <c r="FC244" i="8"/>
  <c r="CI235" i="8"/>
  <c r="CI236" i="8" s="1"/>
  <c r="CJ234" i="8"/>
  <c r="DJ239" i="8"/>
  <c r="DJ240" i="8" s="1"/>
  <c r="DK238" i="8"/>
  <c r="GT235" i="8"/>
  <c r="GT236" i="8" s="1"/>
  <c r="GU234" i="8"/>
  <c r="AO277" i="22" l="1"/>
  <c r="CJ235" i="8"/>
  <c r="FC245" i="8"/>
  <c r="GU235" i="8"/>
  <c r="AO278" i="22"/>
  <c r="DK239" i="8"/>
  <c r="AN280" i="22"/>
  <c r="AO280" i="22" s="1"/>
  <c r="AO279" i="22"/>
  <c r="DJ241" i="8"/>
  <c r="DJ242" i="8" s="1"/>
  <c r="DK240" i="8"/>
  <c r="FB247" i="8"/>
  <c r="FB248" i="8" s="1"/>
  <c r="FC246" i="8"/>
  <c r="GT237" i="8"/>
  <c r="GT238" i="8" s="1"/>
  <c r="GU236" i="8"/>
  <c r="CI237" i="8"/>
  <c r="CJ237" i="8" s="1"/>
  <c r="CJ236" i="8"/>
  <c r="AN281" i="22" l="1"/>
  <c r="AN282" i="22" s="1"/>
  <c r="AN283" i="22" s="1"/>
  <c r="DK241" i="8"/>
  <c r="CI238" i="8"/>
  <c r="CI239" i="8" s="1"/>
  <c r="CI240" i="8" s="1"/>
  <c r="GU237" i="8"/>
  <c r="FC247" i="8"/>
  <c r="GT239" i="8"/>
  <c r="GT240" i="8" s="1"/>
  <c r="GU238" i="8"/>
  <c r="FB249" i="8"/>
  <c r="FB250" i="8" s="1"/>
  <c r="FC248" i="8"/>
  <c r="DJ243" i="8"/>
  <c r="DJ244" i="8" s="1"/>
  <c r="DK242" i="8"/>
  <c r="CJ238" i="8" l="1"/>
  <c r="AO281" i="22"/>
  <c r="GU239" i="8"/>
  <c r="FC249" i="8"/>
  <c r="CJ239" i="8"/>
  <c r="DK243" i="8"/>
  <c r="AO282" i="22"/>
  <c r="DJ245" i="8"/>
  <c r="DJ246" i="8" s="1"/>
  <c r="DK244" i="8"/>
  <c r="GT241" i="8"/>
  <c r="GT242" i="8" s="1"/>
  <c r="GU240" i="8"/>
  <c r="FB251" i="8"/>
  <c r="FB252" i="8" s="1"/>
  <c r="FC250" i="8"/>
  <c r="AN284" i="22"/>
  <c r="AN285" i="22" s="1"/>
  <c r="AO283" i="22"/>
  <c r="CJ240" i="8"/>
  <c r="CI241" i="8"/>
  <c r="GU241" i="8" l="1"/>
  <c r="AO284" i="22"/>
  <c r="DK245" i="8"/>
  <c r="FC251" i="8"/>
  <c r="FB253" i="8"/>
  <c r="FB254" i="8" s="1"/>
  <c r="FC252" i="8"/>
  <c r="AN286" i="22"/>
  <c r="AN287" i="22" s="1"/>
  <c r="AO285" i="22"/>
  <c r="GT243" i="8"/>
  <c r="GT244" i="8" s="1"/>
  <c r="GU242" i="8"/>
  <c r="DJ247" i="8"/>
  <c r="DJ248" i="8" s="1"/>
  <c r="DK246" i="8"/>
  <c r="CI242" i="8"/>
  <c r="CJ241" i="8"/>
  <c r="FC253" i="8" l="1"/>
  <c r="GU243" i="8"/>
  <c r="AO286" i="22"/>
  <c r="DK247" i="8"/>
  <c r="DJ249" i="8"/>
  <c r="DK249" i="8" s="1"/>
  <c r="DK248" i="8"/>
  <c r="AN288" i="22"/>
  <c r="AN289" i="22" s="1"/>
  <c r="AO287" i="22"/>
  <c r="GT245" i="8"/>
  <c r="GT246" i="8" s="1"/>
  <c r="GU244" i="8"/>
  <c r="CI243" i="8"/>
  <c r="CI244" i="8" s="1"/>
  <c r="CJ242" i="8"/>
  <c r="FB255" i="8"/>
  <c r="FB256" i="8" s="1"/>
  <c r="FC254" i="8"/>
  <c r="DJ250" i="8" l="1"/>
  <c r="DJ251" i="8" s="1"/>
  <c r="DK251" i="8" s="1"/>
  <c r="CJ243" i="8"/>
  <c r="FC255" i="8"/>
  <c r="GU245" i="8"/>
  <c r="AO288" i="22"/>
  <c r="CI245" i="8"/>
  <c r="CI246" i="8" s="1"/>
  <c r="CJ244" i="8"/>
  <c r="GT247" i="8"/>
  <c r="GT248" i="8" s="1"/>
  <c r="GU246" i="8"/>
  <c r="AN290" i="22"/>
  <c r="AN291" i="22" s="1"/>
  <c r="AO289" i="22"/>
  <c r="FB257" i="8"/>
  <c r="FB258" i="8" s="1"/>
  <c r="FC256" i="8"/>
  <c r="DK250" i="8"/>
  <c r="DJ252" i="8" l="1"/>
  <c r="DJ253" i="8" s="1"/>
  <c r="FC257" i="8"/>
  <c r="CJ245" i="8"/>
  <c r="GU247" i="8"/>
  <c r="AO290" i="22"/>
  <c r="FB259" i="8"/>
  <c r="FB260" i="8" s="1"/>
  <c r="FC258" i="8"/>
  <c r="AN292" i="22"/>
  <c r="AN293" i="22" s="1"/>
  <c r="AO291" i="22"/>
  <c r="GT249" i="8"/>
  <c r="GT250" i="8" s="1"/>
  <c r="GU248" i="8"/>
  <c r="CI247" i="8"/>
  <c r="CI248" i="8" s="1"/>
  <c r="CJ246" i="8"/>
  <c r="DK252" i="8" l="1"/>
  <c r="DJ254" i="8"/>
  <c r="DJ255" i="8" s="1"/>
  <c r="DJ256" i="8" s="1"/>
  <c r="DK253" i="8"/>
  <c r="FC259" i="8"/>
  <c r="CJ247" i="8"/>
  <c r="AO292" i="22"/>
  <c r="GU249" i="8"/>
  <c r="GT251" i="8"/>
  <c r="GT252" i="8" s="1"/>
  <c r="GU250" i="8"/>
  <c r="AN294" i="22"/>
  <c r="AN295" i="22" s="1"/>
  <c r="AO293" i="22"/>
  <c r="FB261" i="8"/>
  <c r="FB262" i="8" s="1"/>
  <c r="FC260" i="8"/>
  <c r="CI249" i="8"/>
  <c r="CI250" i="8" s="1"/>
  <c r="CJ248" i="8"/>
  <c r="DK254" i="8"/>
  <c r="CJ249" i="8" l="1"/>
  <c r="AO294" i="22"/>
  <c r="GU251" i="8"/>
  <c r="FC261" i="8"/>
  <c r="DK255" i="8"/>
  <c r="CI251" i="8"/>
  <c r="CJ251" i="8" s="1"/>
  <c r="CJ250" i="8"/>
  <c r="FB263" i="8"/>
  <c r="FB264" i="8" s="1"/>
  <c r="FC264" i="8" s="1"/>
  <c r="FC262" i="8"/>
  <c r="GT253" i="8"/>
  <c r="GT254" i="8" s="1"/>
  <c r="GU252" i="8"/>
  <c r="AN296" i="22"/>
  <c r="AN297" i="22" s="1"/>
  <c r="AO295" i="22"/>
  <c r="DJ257" i="8"/>
  <c r="DK257" i="8" s="1"/>
  <c r="DK256" i="8"/>
  <c r="DJ258" i="8" l="1"/>
  <c r="DJ259" i="8" s="1"/>
  <c r="DJ260" i="8" s="1"/>
  <c r="CI252" i="8"/>
  <c r="CI253" i="8" s="1"/>
  <c r="CI254" i="8" s="1"/>
  <c r="FC263" i="8"/>
  <c r="AO296" i="22"/>
  <c r="GU253" i="8"/>
  <c r="GT255" i="8"/>
  <c r="GT256" i="8" s="1"/>
  <c r="GU254" i="8"/>
  <c r="AN298" i="22"/>
  <c r="AN299" i="22" s="1"/>
  <c r="AO297" i="22"/>
  <c r="CJ252" i="8"/>
  <c r="DK258" i="8" l="1"/>
  <c r="GU255" i="8"/>
  <c r="DK259" i="8"/>
  <c r="CJ253" i="8"/>
  <c r="AO298" i="22"/>
  <c r="DJ261" i="8"/>
  <c r="DK261" i="8" s="1"/>
  <c r="DK260" i="8"/>
  <c r="AN300" i="22"/>
  <c r="AN301" i="22" s="1"/>
  <c r="AO299" i="22"/>
  <c r="CI255" i="8"/>
  <c r="CI256" i="8" s="1"/>
  <c r="CJ254" i="8"/>
  <c r="GT257" i="8"/>
  <c r="GT258" i="8" s="1"/>
  <c r="GU256" i="8"/>
  <c r="DJ262" i="8" l="1"/>
  <c r="DJ263" i="8" s="1"/>
  <c r="DJ264" i="8" s="1"/>
  <c r="DK264" i="8" s="1"/>
  <c r="GU257" i="8"/>
  <c r="AO300" i="22"/>
  <c r="CJ255" i="8"/>
  <c r="GT259" i="8"/>
  <c r="GT260" i="8" s="1"/>
  <c r="GU258" i="8"/>
  <c r="CI257" i="8"/>
  <c r="CI258" i="8" s="1"/>
  <c r="CJ256" i="8"/>
  <c r="AN302" i="22"/>
  <c r="AN303" i="22" s="1"/>
  <c r="AO301" i="22"/>
  <c r="DK262" i="8" l="1"/>
  <c r="AO302" i="22"/>
  <c r="CJ257" i="8"/>
  <c r="GU259" i="8"/>
  <c r="DK263" i="8"/>
  <c r="AN304" i="22"/>
  <c r="AN305" i="22" s="1"/>
  <c r="AO303" i="22"/>
  <c r="CI259" i="8"/>
  <c r="CI260" i="8" s="1"/>
  <c r="CJ258" i="8"/>
  <c r="GT261" i="8"/>
  <c r="GT262" i="8" s="1"/>
  <c r="GU260" i="8"/>
  <c r="AO305" i="22" l="1"/>
  <c r="AN306" i="22"/>
  <c r="AO304" i="22"/>
  <c r="CJ259" i="8"/>
  <c r="GU261" i="8"/>
  <c r="GT263" i="8"/>
  <c r="GT264" i="8" s="1"/>
  <c r="GU264" i="8" s="1"/>
  <c r="GU262" i="8"/>
  <c r="CI261" i="8"/>
  <c r="CI262" i="8" s="1"/>
  <c r="CJ260" i="8"/>
  <c r="AN307" i="22" l="1"/>
  <c r="AN308" i="22" s="1"/>
  <c r="AO306" i="22"/>
  <c r="AO307" i="22"/>
  <c r="CJ261" i="8"/>
  <c r="GU263" i="8"/>
  <c r="CI263" i="8"/>
  <c r="CI264" i="8" s="1"/>
  <c r="CJ264" i="8" s="1"/>
  <c r="CJ262" i="8"/>
  <c r="AN309" i="22" l="1"/>
  <c r="AN310" i="22" s="1"/>
  <c r="AO308" i="22"/>
  <c r="AO309" i="22"/>
  <c r="CJ263" i="8"/>
  <c r="AN311" i="22" l="1"/>
  <c r="AN312" i="22" s="1"/>
  <c r="AO310" i="22"/>
  <c r="AO311" i="22"/>
  <c r="AN313" i="22" l="1"/>
  <c r="AN314" i="22" s="1"/>
  <c r="AO312" i="22"/>
  <c r="AO313" i="22"/>
  <c r="AN315" i="22" l="1"/>
  <c r="AN316" i="22" s="1"/>
  <c r="AO314" i="22"/>
  <c r="AO315" i="22"/>
  <c r="AN317" i="22" l="1"/>
  <c r="AN318" i="22" s="1"/>
  <c r="AO316" i="22"/>
  <c r="AO317" i="22"/>
  <c r="AN319" i="22" l="1"/>
  <c r="AO318" i="22"/>
  <c r="AN320" i="22"/>
  <c r="AO319" i="22"/>
  <c r="FI258" i="8"/>
  <c r="FH258" i="8" s="1"/>
  <c r="DR258" i="8"/>
  <c r="DQ258" i="8" s="1"/>
  <c r="BC102" i="22"/>
  <c r="BB102" i="22" s="1"/>
  <c r="AU102" i="22" s="1"/>
  <c r="HA39" i="8"/>
  <c r="GZ39" i="8" s="1"/>
  <c r="BC80" i="22"/>
  <c r="BB80" i="22" s="1"/>
  <c r="DR39" i="8"/>
  <c r="DQ39" i="8" s="1"/>
  <c r="BC74" i="22"/>
  <c r="BB74" i="22" s="1"/>
  <c r="CA33" i="8"/>
  <c r="GL30" i="8"/>
  <c r="CA27" i="8"/>
  <c r="AN321" i="22" l="1"/>
  <c r="AO320" i="22"/>
  <c r="AN322" i="22"/>
  <c r="AO321" i="22"/>
  <c r="GL33" i="8"/>
  <c r="EL28" i="8"/>
  <c r="GL27" i="8"/>
  <c r="DB27" i="8"/>
  <c r="CZ27" i="8" s="1"/>
  <c r="DP28" i="8" s="1"/>
  <c r="BZ27" i="8"/>
  <c r="BT28" i="8" s="1"/>
  <c r="CC27" i="8"/>
  <c r="N68" i="22"/>
  <c r="CA30" i="8"/>
  <c r="ET33" i="8"/>
  <c r="DB33" i="8"/>
  <c r="ET30" i="8"/>
  <c r="DB30" i="8"/>
  <c r="H69" i="22" l="1"/>
  <c r="AW69" i="22"/>
  <c r="AN323" i="22"/>
  <c r="AN324" i="22" s="1"/>
  <c r="AO322" i="22"/>
  <c r="AO323" i="22"/>
  <c r="EV27" i="8"/>
  <c r="ET268" i="8"/>
  <c r="D69" i="22"/>
  <c r="E69" i="22" s="1"/>
  <c r="G69" i="22" s="1"/>
  <c r="B69" i="22"/>
  <c r="K69" i="22"/>
  <c r="C69" i="22"/>
  <c r="I69" i="22"/>
  <c r="J69" i="22"/>
  <c r="EG28" i="8"/>
  <c r="EH28" i="8"/>
  <c r="EO28" i="8"/>
  <c r="EM28" i="8"/>
  <c r="EN28" i="8"/>
  <c r="EI28" i="8"/>
  <c r="EK28" i="8" s="1"/>
  <c r="BP28" i="8"/>
  <c r="BQ28" i="8"/>
  <c r="BV28" i="8"/>
  <c r="BU28" i="8"/>
  <c r="DB266" i="8"/>
  <c r="DD27" i="8"/>
  <c r="CT28" i="8"/>
  <c r="GL266" i="8"/>
  <c r="GJ27" i="8"/>
  <c r="GN27" i="8"/>
  <c r="GD28" i="8" l="1"/>
  <c r="GY28" i="8"/>
  <c r="AN325" i="22"/>
  <c r="AN326" i="22" s="1"/>
  <c r="AO324" i="22"/>
  <c r="AO325" i="22"/>
  <c r="L69" i="22"/>
  <c r="M69" i="22" s="1"/>
  <c r="F69" i="22"/>
  <c r="EP28" i="8"/>
  <c r="FZ28" i="8"/>
  <c r="FY28" i="8"/>
  <c r="GG28" i="8"/>
  <c r="GA28" i="8"/>
  <c r="GC28" i="8" s="1"/>
  <c r="GB28" i="8" s="1"/>
  <c r="GE28" i="8"/>
  <c r="GF28" i="8"/>
  <c r="BS28" i="8"/>
  <c r="BR28" i="8" s="1"/>
  <c r="CO28" i="8"/>
  <c r="CW28" i="8"/>
  <c r="CP28" i="8"/>
  <c r="CQ28" i="8"/>
  <c r="CS28" i="8" s="1"/>
  <c r="EJ28" i="8"/>
  <c r="CV28" i="8"/>
  <c r="CU28" i="8"/>
  <c r="AN327" i="22" l="1"/>
  <c r="AO326" i="22"/>
  <c r="AN328" i="22"/>
  <c r="AO327" i="22"/>
  <c r="EQ28" i="8"/>
  <c r="EV28" i="8" s="1"/>
  <c r="N69" i="22"/>
  <c r="CX28" i="8"/>
  <c r="CY28" i="8" s="1"/>
  <c r="CR28" i="8"/>
  <c r="GH28" i="8"/>
  <c r="GI28" i="8" s="1"/>
  <c r="BX28" i="8"/>
  <c r="BY28" i="8" s="1"/>
  <c r="BZ28" i="8" s="1"/>
  <c r="BT29" i="8" s="1"/>
  <c r="AW70" i="22" l="1"/>
  <c r="AV70" i="22" s="1"/>
  <c r="AN329" i="22"/>
  <c r="AN330" i="22" s="1"/>
  <c r="AO328" i="22"/>
  <c r="AO329" i="22"/>
  <c r="CZ28" i="8"/>
  <c r="ER28" i="8"/>
  <c r="C70" i="22"/>
  <c r="H70" i="22"/>
  <c r="J70" i="22"/>
  <c r="B70" i="22"/>
  <c r="DD28" i="8"/>
  <c r="BP29" i="8"/>
  <c r="BQ29" i="8"/>
  <c r="BS29" i="8" s="1"/>
  <c r="BU29" i="8"/>
  <c r="BV29" i="8"/>
  <c r="GJ28" i="8"/>
  <c r="GN28" i="8"/>
  <c r="I70" i="22"/>
  <c r="K70" i="22"/>
  <c r="D70" i="22"/>
  <c r="E70" i="22" s="1"/>
  <c r="BC70" i="22" s="1"/>
  <c r="BB70" i="22" s="1"/>
  <c r="AU70" i="22" s="1"/>
  <c r="CC28" i="8"/>
  <c r="EL29" i="8" l="1"/>
  <c r="FG29" i="8"/>
  <c r="FF29" i="8" s="1"/>
  <c r="CT29" i="8"/>
  <c r="DP29" i="8"/>
  <c r="DO29" i="8" s="1"/>
  <c r="GD29" i="8"/>
  <c r="GY29" i="8"/>
  <c r="GX29" i="8" s="1"/>
  <c r="AN331" i="22"/>
  <c r="AN332" i="22" s="1"/>
  <c r="AO330" i="22"/>
  <c r="AO331" i="22"/>
  <c r="EI29" i="8"/>
  <c r="EO29" i="8"/>
  <c r="EG29" i="8"/>
  <c r="EM29" i="8"/>
  <c r="EH29" i="8"/>
  <c r="EN29" i="8"/>
  <c r="GG29" i="8"/>
  <c r="CW29" i="8"/>
  <c r="CQ29" i="8"/>
  <c r="CO29" i="8"/>
  <c r="GE29" i="8"/>
  <c r="FY29" i="8"/>
  <c r="GF29" i="8"/>
  <c r="GA29" i="8"/>
  <c r="BX29" i="8"/>
  <c r="BY29" i="8" s="1"/>
  <c r="CU29" i="8"/>
  <c r="FZ29" i="8"/>
  <c r="G70" i="22"/>
  <c r="F70" i="22" s="1"/>
  <c r="CV29" i="8"/>
  <c r="CP29" i="8"/>
  <c r="BR29" i="8"/>
  <c r="FI29" i="8" l="1"/>
  <c r="FH29" i="8" s="1"/>
  <c r="FE29" i="8" s="1"/>
  <c r="EK29" i="8" s="1"/>
  <c r="HA29" i="8"/>
  <c r="GZ29" i="8" s="1"/>
  <c r="GW29" i="8" s="1"/>
  <c r="GC29" i="8" s="1"/>
  <c r="DR29" i="8"/>
  <c r="DQ29" i="8" s="1"/>
  <c r="DN29" i="8" s="1"/>
  <c r="CS29" i="8" s="1"/>
  <c r="AN333" i="22"/>
  <c r="AN334" i="22" s="1"/>
  <c r="AO332" i="22"/>
  <c r="AO333" i="22"/>
  <c r="L70" i="22"/>
  <c r="M70" i="22" s="1"/>
  <c r="N70" i="22" s="1"/>
  <c r="BZ29" i="8"/>
  <c r="BT30" i="8" s="1"/>
  <c r="CC29" i="8"/>
  <c r="CR29" i="8" l="1"/>
  <c r="CX29" i="8"/>
  <c r="CY29" i="8" s="1"/>
  <c r="GB29" i="8"/>
  <c r="GH29" i="8"/>
  <c r="GI29" i="8" s="1"/>
  <c r="GN29" i="8" s="1"/>
  <c r="EJ29" i="8"/>
  <c r="EP29" i="8"/>
  <c r="EQ29" i="8" s="1"/>
  <c r="EV29" i="8" s="1"/>
  <c r="H71" i="22"/>
  <c r="AW71" i="22"/>
  <c r="AN335" i="22"/>
  <c r="AN336" i="22" s="1"/>
  <c r="AO334" i="22"/>
  <c r="AO335" i="22"/>
  <c r="BV30" i="8"/>
  <c r="BU30" i="8"/>
  <c r="BP30" i="8"/>
  <c r="BQ30" i="8"/>
  <c r="BS30" i="8" s="1"/>
  <c r="I71" i="22"/>
  <c r="K71" i="22"/>
  <c r="J71" i="22"/>
  <c r="C71" i="22"/>
  <c r="B71" i="22"/>
  <c r="D71" i="22"/>
  <c r="E71" i="22" s="1"/>
  <c r="G71" i="22" s="1"/>
  <c r="F71" i="22" s="1"/>
  <c r="CZ29" i="8" l="1"/>
  <c r="DD29" i="8"/>
  <c r="GJ29" i="8"/>
  <c r="GA30" i="8" s="1"/>
  <c r="GC30" i="8" s="1"/>
  <c r="GB30" i="8" s="1"/>
  <c r="CU30" i="8"/>
  <c r="ER29" i="8"/>
  <c r="EM30" i="8" s="1"/>
  <c r="GY30" i="8"/>
  <c r="EL30" i="8"/>
  <c r="FG30" i="8"/>
  <c r="CO30" i="8"/>
  <c r="CW30" i="8"/>
  <c r="CV30" i="8"/>
  <c r="CQ30" i="8"/>
  <c r="CS30" i="8" s="1"/>
  <c r="CR30" i="8" s="1"/>
  <c r="AN337" i="22"/>
  <c r="AN338" i="22" s="1"/>
  <c r="AO336" i="22"/>
  <c r="AO337" i="22"/>
  <c r="CT30" i="8"/>
  <c r="FZ30" i="8"/>
  <c r="L71" i="22"/>
  <c r="M71" i="22" s="1"/>
  <c r="N71" i="22" s="1"/>
  <c r="H72" i="22" s="1"/>
  <c r="BR30" i="8"/>
  <c r="BX30" i="8"/>
  <c r="CP30" i="8" l="1"/>
  <c r="DP30" i="8"/>
  <c r="GE30" i="8"/>
  <c r="FY30" i="8"/>
  <c r="GD30" i="8"/>
  <c r="GG30" i="8"/>
  <c r="GF30" i="8"/>
  <c r="EI30" i="8"/>
  <c r="EK30" i="8" s="1"/>
  <c r="EH30" i="8"/>
  <c r="EG30" i="8"/>
  <c r="EN30" i="8"/>
  <c r="EO30" i="8"/>
  <c r="AW72" i="22"/>
  <c r="CX30" i="8"/>
  <c r="CY30" i="8" s="1"/>
  <c r="CZ30" i="8" s="1"/>
  <c r="CW31" i="8" s="1"/>
  <c r="AN339" i="22"/>
  <c r="AN340" i="22" s="1"/>
  <c r="AO338" i="22"/>
  <c r="AO339" i="22"/>
  <c r="EQ30" i="8"/>
  <c r="EJ30" i="8"/>
  <c r="GH30" i="8"/>
  <c r="GI30" i="8" s="1"/>
  <c r="D72" i="22"/>
  <c r="E72" i="22" s="1"/>
  <c r="G72" i="22" s="1"/>
  <c r="F72" i="22" s="1"/>
  <c r="B72" i="22"/>
  <c r="J72" i="22"/>
  <c r="K72" i="22"/>
  <c r="I72" i="22"/>
  <c r="C72" i="22"/>
  <c r="BY30" i="8"/>
  <c r="GN30" i="8" l="1"/>
  <c r="CO31" i="8"/>
  <c r="EP30" i="8"/>
  <c r="EV30" i="8"/>
  <c r="DD30" i="8"/>
  <c r="CQ31" i="8"/>
  <c r="CS31" i="8" s="1"/>
  <c r="DP31" i="8"/>
  <c r="CV31" i="8"/>
  <c r="AN341" i="22"/>
  <c r="AN342" i="22" s="1"/>
  <c r="AO340" i="22"/>
  <c r="AO341" i="22"/>
  <c r="ER30" i="8"/>
  <c r="CU31" i="8"/>
  <c r="CP31" i="8"/>
  <c r="CT31" i="8"/>
  <c r="GJ30" i="8"/>
  <c r="L72" i="22"/>
  <c r="M72" i="22" s="1"/>
  <c r="N72" i="22" s="1"/>
  <c r="AW73" i="22" s="1"/>
  <c r="BZ30" i="8"/>
  <c r="BT31" i="8" s="1"/>
  <c r="CC30" i="8"/>
  <c r="CR31" i="8"/>
  <c r="GD31" i="8" l="1"/>
  <c r="GY31" i="8"/>
  <c r="EL31" i="8"/>
  <c r="FG31" i="8"/>
  <c r="EG31" i="8"/>
  <c r="AN343" i="22"/>
  <c r="AN344" i="22" s="1"/>
  <c r="AO342" i="22"/>
  <c r="H73" i="22"/>
  <c r="EN31" i="8"/>
  <c r="EI31" i="8"/>
  <c r="EK31" i="8" s="1"/>
  <c r="EJ31" i="8" s="1"/>
  <c r="EM31" i="8"/>
  <c r="EH31" i="8"/>
  <c r="EO31" i="8"/>
  <c r="AO343" i="22"/>
  <c r="CX31" i="8"/>
  <c r="CY31" i="8" s="1"/>
  <c r="DD31" i="8" s="1"/>
  <c r="FY31" i="8"/>
  <c r="GE31" i="8"/>
  <c r="GF31" i="8"/>
  <c r="GA31" i="8"/>
  <c r="GC31" i="8" s="1"/>
  <c r="GB31" i="8" s="1"/>
  <c r="FZ31" i="8"/>
  <c r="GG31" i="8"/>
  <c r="K73" i="22"/>
  <c r="J73" i="22"/>
  <c r="D73" i="22"/>
  <c r="E73" i="22" s="1"/>
  <c r="B73" i="22"/>
  <c r="I73" i="22"/>
  <c r="C73" i="22"/>
  <c r="BU31" i="8"/>
  <c r="BP31" i="8"/>
  <c r="BQ31" i="8"/>
  <c r="BS31" i="8" s="1"/>
  <c r="BR31" i="8" s="1"/>
  <c r="BV31" i="8"/>
  <c r="AN345" i="22" l="1"/>
  <c r="AN346" i="22" s="1"/>
  <c r="AO344" i="22"/>
  <c r="BC73" i="22"/>
  <c r="BB73" i="22" s="1"/>
  <c r="AU73" i="22" s="1"/>
  <c r="G73" i="22" s="1"/>
  <c r="EP31" i="8"/>
  <c r="EQ31" i="8" s="1"/>
  <c r="EV31" i="8" s="1"/>
  <c r="AO345" i="22"/>
  <c r="CZ31" i="8"/>
  <c r="DP32" i="8" s="1"/>
  <c r="GH31" i="8"/>
  <c r="GI31" i="8" s="1"/>
  <c r="GN31" i="8" s="1"/>
  <c r="BX31" i="8"/>
  <c r="BY31" i="8" s="1"/>
  <c r="AN347" i="22" l="1"/>
  <c r="AO346" i="22"/>
  <c r="ER31" i="8"/>
  <c r="L73" i="22"/>
  <c r="M73" i="22" s="1"/>
  <c r="F73" i="22"/>
  <c r="CW32" i="8"/>
  <c r="FI32" i="8"/>
  <c r="FH32" i="8" s="1"/>
  <c r="FE32" i="8" s="1"/>
  <c r="AN348" i="22"/>
  <c r="AO347" i="22"/>
  <c r="CV32" i="8"/>
  <c r="CU32" i="8"/>
  <c r="CO32" i="8"/>
  <c r="CT32" i="8"/>
  <c r="GJ31" i="8"/>
  <c r="GY32" i="8" s="1"/>
  <c r="CQ32" i="8"/>
  <c r="DR32" i="8" s="1"/>
  <c r="DQ32" i="8" s="1"/>
  <c r="DN32" i="8" s="1"/>
  <c r="CP32" i="8"/>
  <c r="CC31" i="8"/>
  <c r="BZ31" i="8"/>
  <c r="EM32" i="8" l="1"/>
  <c r="FG32" i="8"/>
  <c r="N73" i="22"/>
  <c r="J74" i="22" s="1"/>
  <c r="EO32" i="8"/>
  <c r="EN32" i="8"/>
  <c r="EH32" i="8"/>
  <c r="EG32" i="8"/>
  <c r="EL32" i="8"/>
  <c r="EI32" i="8"/>
  <c r="EK32" i="8" s="1"/>
  <c r="EJ32" i="8" s="1"/>
  <c r="AN349" i="22"/>
  <c r="AN350" i="22" s="1"/>
  <c r="AO348" i="22"/>
  <c r="CS32" i="8"/>
  <c r="CR32" i="8" s="1"/>
  <c r="GD32" i="8"/>
  <c r="AO349" i="22"/>
  <c r="GA32" i="8"/>
  <c r="GF32" i="8"/>
  <c r="FY32" i="8"/>
  <c r="FZ32" i="8"/>
  <c r="GG32" i="8"/>
  <c r="GE32" i="8"/>
  <c r="C74" i="22"/>
  <c r="D74" i="22"/>
  <c r="E74" i="22" s="1"/>
  <c r="BP32" i="8"/>
  <c r="BT32" i="8"/>
  <c r="BV32" i="8"/>
  <c r="BQ32" i="8"/>
  <c r="BS32" i="8" s="1"/>
  <c r="BR32" i="8" s="1"/>
  <c r="BU32" i="8"/>
  <c r="H74" i="22" l="1"/>
  <c r="K74" i="22"/>
  <c r="B74" i="22"/>
  <c r="AW74" i="22"/>
  <c r="AV74" i="22" s="1"/>
  <c r="AU74" i="22" s="1"/>
  <c r="G74" i="22" s="1"/>
  <c r="I74" i="22"/>
  <c r="AN351" i="22"/>
  <c r="AN352" i="22" s="1"/>
  <c r="AO350" i="22"/>
  <c r="EP32" i="8"/>
  <c r="EQ32" i="8" s="1"/>
  <c r="EV32" i="8" s="1"/>
  <c r="CX32" i="8"/>
  <c r="CY32" i="8" s="1"/>
  <c r="CZ32" i="8" s="1"/>
  <c r="HA32" i="8"/>
  <c r="GZ32" i="8" s="1"/>
  <c r="GW32" i="8" s="1"/>
  <c r="GC32" i="8" s="1"/>
  <c r="AO351" i="22"/>
  <c r="BX32" i="8"/>
  <c r="BY32" i="8"/>
  <c r="BZ32" i="8" s="1"/>
  <c r="BT33" i="8" s="1"/>
  <c r="ER32" i="8" l="1"/>
  <c r="EO33" i="8" s="1"/>
  <c r="F74" i="22"/>
  <c r="L74" i="22"/>
  <c r="M74" i="22" s="1"/>
  <c r="CV33" i="8"/>
  <c r="DP33" i="8"/>
  <c r="DO33" i="8" s="1"/>
  <c r="DN33" i="8" s="1"/>
  <c r="FG33" i="8"/>
  <c r="FF33" i="8" s="1"/>
  <c r="FE33" i="8" s="1"/>
  <c r="AN353" i="22"/>
  <c r="AN354" i="22" s="1"/>
  <c r="AO352" i="22"/>
  <c r="CU33" i="8"/>
  <c r="CW33" i="8"/>
  <c r="CQ33" i="8"/>
  <c r="CS33" i="8" s="1"/>
  <c r="CR33" i="8" s="1"/>
  <c r="CT33" i="8"/>
  <c r="CP33" i="8"/>
  <c r="DD32" i="8"/>
  <c r="CO33" i="8"/>
  <c r="GB32" i="8"/>
  <c r="GH32" i="8"/>
  <c r="GI32" i="8" s="1"/>
  <c r="GN32" i="8" s="1"/>
  <c r="AO353" i="22"/>
  <c r="EN33" i="8"/>
  <c r="EI33" i="8"/>
  <c r="EM33" i="8"/>
  <c r="EH33" i="8"/>
  <c r="EG33" i="8"/>
  <c r="EL33" i="8"/>
  <c r="CC32" i="8"/>
  <c r="BQ33" i="8"/>
  <c r="BS33" i="8" s="1"/>
  <c r="BR33" i="8" s="1"/>
  <c r="BP33" i="8"/>
  <c r="BV33" i="8"/>
  <c r="BU33" i="8"/>
  <c r="N74" i="22" l="1"/>
  <c r="AW75" i="22" s="1"/>
  <c r="EK33" i="8"/>
  <c r="EJ33" i="8" s="1"/>
  <c r="GJ32" i="8"/>
  <c r="FZ33" i="8" s="1"/>
  <c r="CX33" i="8"/>
  <c r="CY33" i="8" s="1"/>
  <c r="CZ33" i="8" s="1"/>
  <c r="CT34" i="8" s="1"/>
  <c r="AN355" i="22"/>
  <c r="AN356" i="22" s="1"/>
  <c r="AO354" i="22"/>
  <c r="AO355" i="22"/>
  <c r="BX33" i="8"/>
  <c r="BY33" i="8" s="1"/>
  <c r="BZ33" i="8" s="1"/>
  <c r="BT34" i="8" s="1"/>
  <c r="I75" i="22" l="1"/>
  <c r="C75" i="22"/>
  <c r="D75" i="22"/>
  <c r="E75" i="22" s="1"/>
  <c r="G75" i="22" s="1"/>
  <c r="F75" i="22" s="1"/>
  <c r="B75" i="22"/>
  <c r="J75" i="22"/>
  <c r="H75" i="22"/>
  <c r="K75" i="22"/>
  <c r="GG33" i="8"/>
  <c r="GF33" i="8"/>
  <c r="GA33" i="8"/>
  <c r="EP33" i="8"/>
  <c r="EQ33" i="8" s="1"/>
  <c r="EV33" i="8" s="1"/>
  <c r="DD33" i="8"/>
  <c r="DP34" i="8"/>
  <c r="GD33" i="8"/>
  <c r="GY33" i="8"/>
  <c r="GX33" i="8" s="1"/>
  <c r="GW33" i="8" s="1"/>
  <c r="FY33" i="8"/>
  <c r="GE33" i="8"/>
  <c r="CW34" i="8"/>
  <c r="CP34" i="8"/>
  <c r="CO34" i="8"/>
  <c r="CQ34" i="8"/>
  <c r="CS34" i="8" s="1"/>
  <c r="CR34" i="8" s="1"/>
  <c r="CU34" i="8"/>
  <c r="CV34" i="8"/>
  <c r="AN357" i="22"/>
  <c r="AN358" i="22" s="1"/>
  <c r="AO356" i="22"/>
  <c r="AO357" i="22"/>
  <c r="BV34" i="8"/>
  <c r="BU34" i="8"/>
  <c r="BQ34" i="8"/>
  <c r="BS34" i="8" s="1"/>
  <c r="BR34" i="8" s="1"/>
  <c r="BP34" i="8"/>
  <c r="CC33" i="8"/>
  <c r="ER33" i="8" l="1"/>
  <c r="L75" i="22"/>
  <c r="M75" i="22" s="1"/>
  <c r="N75" i="22" s="1"/>
  <c r="H76" i="22" s="1"/>
  <c r="AW76" i="22"/>
  <c r="GC33" i="8"/>
  <c r="GB33" i="8" s="1"/>
  <c r="FG34" i="8"/>
  <c r="CX34" i="8"/>
  <c r="CY34" i="8" s="1"/>
  <c r="DD34" i="8" s="1"/>
  <c r="AN359" i="22"/>
  <c r="AN360" i="22" s="1"/>
  <c r="AO358" i="22"/>
  <c r="AO359" i="22"/>
  <c r="BX34" i="8"/>
  <c r="BY34" i="8" s="1"/>
  <c r="EG34" i="8" l="1"/>
  <c r="EM34" i="8"/>
  <c r="EO34" i="8"/>
  <c r="EN34" i="8"/>
  <c r="EL34" i="8"/>
  <c r="EH34" i="8"/>
  <c r="EI34" i="8"/>
  <c r="EK34" i="8" s="1"/>
  <c r="EJ34" i="8" s="1"/>
  <c r="D76" i="22"/>
  <c r="E76" i="22" s="1"/>
  <c r="G76" i="22" s="1"/>
  <c r="F76" i="22" s="1"/>
  <c r="K76" i="22"/>
  <c r="GH33" i="8"/>
  <c r="GI33" i="8" s="1"/>
  <c r="GJ33" i="8" s="1"/>
  <c r="GD34" i="8" s="1"/>
  <c r="C76" i="22"/>
  <c r="B76" i="22"/>
  <c r="J76" i="22"/>
  <c r="I76" i="22"/>
  <c r="CZ34" i="8"/>
  <c r="CV35" i="8" s="1"/>
  <c r="GY34" i="8"/>
  <c r="DP35" i="8"/>
  <c r="EP34" i="8"/>
  <c r="AN361" i="22"/>
  <c r="AN362" i="22" s="1"/>
  <c r="AO360" i="22"/>
  <c r="AO361" i="22"/>
  <c r="EQ34" i="8"/>
  <c r="CC34" i="8"/>
  <c r="BZ34" i="8"/>
  <c r="BT35" i="8" s="1"/>
  <c r="EV34" i="8" l="1"/>
  <c r="GN33" i="8"/>
  <c r="CT35" i="8"/>
  <c r="CO35" i="8"/>
  <c r="CQ35" i="8"/>
  <c r="CU35" i="8"/>
  <c r="CP35" i="8"/>
  <c r="L76" i="22"/>
  <c r="M76" i="22" s="1"/>
  <c r="N76" i="22" s="1"/>
  <c r="C77" i="22" s="1"/>
  <c r="FY34" i="8"/>
  <c r="GA34" i="8"/>
  <c r="GC34" i="8" s="1"/>
  <c r="GB34" i="8" s="1"/>
  <c r="FZ34" i="8"/>
  <c r="GE34" i="8"/>
  <c r="GG34" i="8"/>
  <c r="GF34" i="8"/>
  <c r="CW35" i="8"/>
  <c r="AW77" i="22"/>
  <c r="AN363" i="22"/>
  <c r="AN364" i="22" s="1"/>
  <c r="AO362" i="22"/>
  <c r="AO363" i="22"/>
  <c r="ER34" i="8"/>
  <c r="CS35" i="8"/>
  <c r="CR35" i="8" s="1"/>
  <c r="BP35" i="8"/>
  <c r="BV35" i="8"/>
  <c r="BU35" i="8"/>
  <c r="BQ35" i="8"/>
  <c r="BS35" i="8" s="1"/>
  <c r="BR35" i="8" s="1"/>
  <c r="H77" i="22" l="1"/>
  <c r="D77" i="22"/>
  <c r="E77" i="22" s="1"/>
  <c r="G77" i="22" s="1"/>
  <c r="F77" i="22" s="1"/>
  <c r="K77" i="22"/>
  <c r="I77" i="22"/>
  <c r="J77" i="22"/>
  <c r="B77" i="22"/>
  <c r="GH34" i="8"/>
  <c r="GI34" i="8" s="1"/>
  <c r="GN34" i="8" s="1"/>
  <c r="EG35" i="8"/>
  <c r="FG35" i="8"/>
  <c r="AN365" i="22"/>
  <c r="AO365" i="22" s="1"/>
  <c r="AO364" i="22"/>
  <c r="EI35" i="8"/>
  <c r="EK35" i="8" s="1"/>
  <c r="EJ35" i="8" s="1"/>
  <c r="EH35" i="8"/>
  <c r="EL35" i="8"/>
  <c r="EM35" i="8"/>
  <c r="EN35" i="8"/>
  <c r="EO35" i="8"/>
  <c r="CX35" i="8"/>
  <c r="CY35" i="8" s="1"/>
  <c r="DD35" i="8" s="1"/>
  <c r="BX35" i="8"/>
  <c r="L77" i="22" l="1"/>
  <c r="M77" i="22" s="1"/>
  <c r="GJ34" i="8"/>
  <c r="GE35" i="8" s="1"/>
  <c r="GY35" i="8"/>
  <c r="GF35" i="8"/>
  <c r="EP35" i="8"/>
  <c r="EQ35" i="8" s="1"/>
  <c r="EV35" i="8" s="1"/>
  <c r="CZ35" i="8"/>
  <c r="DF37" i="8"/>
  <c r="N77" i="22"/>
  <c r="BY35" i="8"/>
  <c r="BZ35" i="8" s="1"/>
  <c r="BT36" i="8" s="1"/>
  <c r="FZ35" i="8" l="1"/>
  <c r="GA35" i="8"/>
  <c r="GC35" i="8" s="1"/>
  <c r="GB35" i="8" s="1"/>
  <c r="FY35" i="8"/>
  <c r="GD35" i="8"/>
  <c r="GG35" i="8"/>
  <c r="GH35" i="8"/>
  <c r="GI35" i="8" s="1"/>
  <c r="H78" i="22"/>
  <c r="AW78" i="22"/>
  <c r="CV36" i="8"/>
  <c r="DP36" i="8"/>
  <c r="ER35" i="8"/>
  <c r="CW36" i="8"/>
  <c r="CQ36" i="8"/>
  <c r="CS36" i="8" s="1"/>
  <c r="CR36" i="8" s="1"/>
  <c r="CT36" i="8"/>
  <c r="CO36" i="8"/>
  <c r="CP36" i="8"/>
  <c r="CU36" i="8"/>
  <c r="BQ36" i="8"/>
  <c r="BS36" i="8" s="1"/>
  <c r="BR36" i="8" s="1"/>
  <c r="BP36" i="8"/>
  <c r="BU36" i="8"/>
  <c r="BV36" i="8"/>
  <c r="AL78" i="22"/>
  <c r="J78" i="22"/>
  <c r="C78" i="22"/>
  <c r="K78" i="22"/>
  <c r="D78" i="22"/>
  <c r="E78" i="22" s="1"/>
  <c r="B78" i="22"/>
  <c r="I78" i="22"/>
  <c r="CC35" i="8"/>
  <c r="GN35" i="8" l="1"/>
  <c r="GJ35" i="8"/>
  <c r="EL36" i="8"/>
  <c r="FG36" i="8"/>
  <c r="EG36" i="8"/>
  <c r="EN36" i="8"/>
  <c r="EI36" i="8"/>
  <c r="EK36" i="8" s="1"/>
  <c r="EJ36" i="8" s="1"/>
  <c r="EM36" i="8"/>
  <c r="EO36" i="8"/>
  <c r="EH36" i="8"/>
  <c r="CX36" i="8"/>
  <c r="CY36" i="8" s="1"/>
  <c r="G78" i="22"/>
  <c r="F78" i="22" s="1"/>
  <c r="BX36" i="8"/>
  <c r="BY36" i="8" s="1"/>
  <c r="EX37" i="8"/>
  <c r="GG36" i="8" l="1"/>
  <c r="GA36" i="8"/>
  <c r="GC36" i="8" s="1"/>
  <c r="GY36" i="8"/>
  <c r="FY36" i="8"/>
  <c r="GF36" i="8"/>
  <c r="GD36" i="8"/>
  <c r="GE36" i="8"/>
  <c r="FZ36" i="8"/>
  <c r="EP36" i="8"/>
  <c r="N35" i="22"/>
  <c r="EQ36" i="8"/>
  <c r="EV36" i="8" s="1"/>
  <c r="CZ36" i="8"/>
  <c r="DP37" i="8" s="1"/>
  <c r="DD36" i="8"/>
  <c r="L78" i="22"/>
  <c r="M78" i="22" s="1"/>
  <c r="N78" i="22" s="1"/>
  <c r="AW79" i="22" s="1"/>
  <c r="CC36" i="8"/>
  <c r="BZ36" i="8"/>
  <c r="CE37" i="8" s="1"/>
  <c r="GB36" i="8" l="1"/>
  <c r="GH36" i="8"/>
  <c r="GI36" i="8" s="1"/>
  <c r="GN36" i="8" s="1"/>
  <c r="ER36" i="8"/>
  <c r="CO37" i="8"/>
  <c r="CW37" i="8"/>
  <c r="CT37" i="8"/>
  <c r="CV37" i="8"/>
  <c r="CQ37" i="8"/>
  <c r="CS37" i="8" s="1"/>
  <c r="CP37" i="8"/>
  <c r="CU37" i="8"/>
  <c r="EL37" i="8"/>
  <c r="B79" i="22"/>
  <c r="H79" i="22"/>
  <c r="K79" i="22"/>
  <c r="I79" i="22"/>
  <c r="J79" i="22"/>
  <c r="C79" i="22"/>
  <c r="D79" i="22"/>
  <c r="E79" i="22" s="1"/>
  <c r="G79" i="22" s="1"/>
  <c r="F79" i="22" s="1"/>
  <c r="BQ37" i="8"/>
  <c r="BS37" i="8" s="1"/>
  <c r="BT37" i="8"/>
  <c r="BV37" i="8"/>
  <c r="BU37" i="8"/>
  <c r="BP37" i="8"/>
  <c r="GP37" i="8"/>
  <c r="GJ36" i="8" l="1"/>
  <c r="EO37" i="8"/>
  <c r="FG37" i="8"/>
  <c r="EM37" i="8"/>
  <c r="EI37" i="8"/>
  <c r="EK37" i="8" s="1"/>
  <c r="EJ37" i="8" s="1"/>
  <c r="EN37" i="8"/>
  <c r="EH37" i="8"/>
  <c r="EG37" i="8"/>
  <c r="CX37" i="8"/>
  <c r="CY37" i="8" s="1"/>
  <c r="DD37" i="8" s="1"/>
  <c r="CR37" i="8"/>
  <c r="L79" i="22"/>
  <c r="M79" i="22" s="1"/>
  <c r="N79" i="22" s="1"/>
  <c r="H80" i="22" s="1"/>
  <c r="BX37" i="8"/>
  <c r="BR37" i="8"/>
  <c r="GA37" i="8" l="1"/>
  <c r="GC37" i="8" s="1"/>
  <c r="GB37" i="8" s="1"/>
  <c r="GG37" i="8"/>
  <c r="FY37" i="8"/>
  <c r="GD37" i="8"/>
  <c r="FZ37" i="8"/>
  <c r="GY37" i="8"/>
  <c r="GF37" i="8"/>
  <c r="GE37" i="8"/>
  <c r="AW80" i="22"/>
  <c r="AV80" i="22" s="1"/>
  <c r="AU80" i="22" s="1"/>
  <c r="EP37" i="8"/>
  <c r="EQ37" i="8" s="1"/>
  <c r="EV37" i="8" s="1"/>
  <c r="CZ37" i="8"/>
  <c r="D80" i="22"/>
  <c r="E80" i="22" s="1"/>
  <c r="K80" i="22"/>
  <c r="BY37" i="8"/>
  <c r="CC37" i="8" s="1"/>
  <c r="J80" i="22"/>
  <c r="C80" i="22"/>
  <c r="B80" i="22"/>
  <c r="I80" i="22"/>
  <c r="GH37" i="8" l="1"/>
  <c r="GI37" i="8" s="1"/>
  <c r="GN37" i="8" s="1"/>
  <c r="G80" i="22"/>
  <c r="F80" i="22" s="1"/>
  <c r="CV38" i="8"/>
  <c r="DP38" i="8"/>
  <c r="ER37" i="8"/>
  <c r="EL38" i="8" s="1"/>
  <c r="CU38" i="8"/>
  <c r="CT38" i="8"/>
  <c r="CP38" i="8"/>
  <c r="CO38" i="8"/>
  <c r="CW38" i="8"/>
  <c r="CQ38" i="8"/>
  <c r="CS38" i="8" s="1"/>
  <c r="BZ37" i="8"/>
  <c r="GJ37" i="8" l="1"/>
  <c r="GD38" i="8" s="1"/>
  <c r="EN38" i="8"/>
  <c r="EM38" i="8"/>
  <c r="EG38" i="8"/>
  <c r="L80" i="22"/>
  <c r="M80" i="22" s="1"/>
  <c r="N80" i="22" s="1"/>
  <c r="AW81" i="22" s="1"/>
  <c r="GY38" i="8"/>
  <c r="EH38" i="8"/>
  <c r="FG38" i="8"/>
  <c r="EO38" i="8"/>
  <c r="EI38" i="8"/>
  <c r="EK38" i="8" s="1"/>
  <c r="EJ38" i="8" s="1"/>
  <c r="CX38" i="8"/>
  <c r="CY38" i="8" s="1"/>
  <c r="DD38" i="8" s="1"/>
  <c r="CR38" i="8"/>
  <c r="BT38" i="8"/>
  <c r="BU38" i="8"/>
  <c r="BQ38" i="8"/>
  <c r="BS38" i="8" s="1"/>
  <c r="BV38" i="8"/>
  <c r="BP38" i="8"/>
  <c r="GE38" i="8"/>
  <c r="GA38" i="8"/>
  <c r="GC38" i="8" s="1"/>
  <c r="GB38" i="8" s="1"/>
  <c r="FY38" i="8"/>
  <c r="GF38" i="8"/>
  <c r="FZ38" i="8"/>
  <c r="J81" i="22" l="1"/>
  <c r="GG38" i="8"/>
  <c r="H81" i="22"/>
  <c r="K81" i="22"/>
  <c r="C81" i="22"/>
  <c r="B81" i="22"/>
  <c r="I81" i="22"/>
  <c r="D81" i="22"/>
  <c r="E81" i="22" s="1"/>
  <c r="G81" i="22" s="1"/>
  <c r="F81" i="22" s="1"/>
  <c r="EP38" i="8"/>
  <c r="EQ38" i="8" s="1"/>
  <c r="EV38" i="8" s="1"/>
  <c r="CZ38" i="8"/>
  <c r="CT39" i="8" s="1"/>
  <c r="BR38" i="8"/>
  <c r="BX38" i="8"/>
  <c r="GH38" i="8"/>
  <c r="GI38" i="8" s="1"/>
  <c r="GN38" i="8" s="1"/>
  <c r="CU39" i="8" l="1"/>
  <c r="L81" i="22"/>
  <c r="M81" i="22" s="1"/>
  <c r="N81" i="22" s="1"/>
  <c r="AW82" i="22" s="1"/>
  <c r="CV39" i="8"/>
  <c r="ER38" i="8"/>
  <c r="EH39" i="8" s="1"/>
  <c r="CQ39" i="8"/>
  <c r="DP39" i="8"/>
  <c r="DO39" i="8" s="1"/>
  <c r="DN39" i="8" s="1"/>
  <c r="CO39" i="8"/>
  <c r="CP39" i="8"/>
  <c r="FG39" i="8"/>
  <c r="FF39" i="8" s="1"/>
  <c r="FE39" i="8" s="1"/>
  <c r="CW39" i="8"/>
  <c r="AL84" i="22"/>
  <c r="GJ38" i="8"/>
  <c r="BY38" i="8"/>
  <c r="BZ38" i="8" s="1"/>
  <c r="H82" i="22" l="1"/>
  <c r="EM39" i="8"/>
  <c r="EG39" i="8"/>
  <c r="EL39" i="8"/>
  <c r="EO39" i="8"/>
  <c r="EN39" i="8"/>
  <c r="K82" i="22"/>
  <c r="B82" i="22"/>
  <c r="EI39" i="8"/>
  <c r="J82" i="22"/>
  <c r="I82" i="22"/>
  <c r="D82" i="22"/>
  <c r="E82" i="22" s="1"/>
  <c r="G82" i="22" s="1"/>
  <c r="F82" i="22" s="1"/>
  <c r="C82" i="22"/>
  <c r="EK39" i="8"/>
  <c r="EJ39" i="8" s="1"/>
  <c r="GD39" i="8"/>
  <c r="GY39" i="8"/>
  <c r="GX39" i="8" s="1"/>
  <c r="GW39" i="8" s="1"/>
  <c r="CS39" i="8"/>
  <c r="FZ39" i="8"/>
  <c r="GA39" i="8"/>
  <c r="GE39" i="8"/>
  <c r="GG39" i="8"/>
  <c r="FY39" i="8"/>
  <c r="GF39" i="8"/>
  <c r="CC38" i="8"/>
  <c r="BT39" i="8"/>
  <c r="BV39" i="8"/>
  <c r="BU39" i="8"/>
  <c r="BQ39" i="8"/>
  <c r="BS39" i="8" s="1"/>
  <c r="BR39" i="8" s="1"/>
  <c r="BP39" i="8"/>
  <c r="L82" i="22" l="1"/>
  <c r="M82" i="22" s="1"/>
  <c r="N82" i="22" s="1"/>
  <c r="H83" i="22" s="1"/>
  <c r="EP39" i="8"/>
  <c r="EQ39" i="8" s="1"/>
  <c r="ER39" i="8" s="1"/>
  <c r="EL40" i="8" s="1"/>
  <c r="GC39" i="8"/>
  <c r="GB39" i="8" s="1"/>
  <c r="CR39" i="8"/>
  <c r="CX39" i="8"/>
  <c r="CY39" i="8" s="1"/>
  <c r="DD39" i="8" s="1"/>
  <c r="AW83" i="22"/>
  <c r="DF43" i="8"/>
  <c r="I83" i="22"/>
  <c r="D83" i="22"/>
  <c r="E83" i="22" s="1"/>
  <c r="G83" i="22" s="1"/>
  <c r="F83" i="22" s="1"/>
  <c r="B83" i="22"/>
  <c r="C83" i="22"/>
  <c r="J83" i="22"/>
  <c r="BX39" i="8"/>
  <c r="BY39" i="8" s="1"/>
  <c r="BZ39" i="8" s="1"/>
  <c r="K83" i="22" l="1"/>
  <c r="EV39" i="8"/>
  <c r="EH40" i="8"/>
  <c r="EM40" i="8"/>
  <c r="EO40" i="8"/>
  <c r="EG40" i="8"/>
  <c r="EI40" i="8"/>
  <c r="EK40" i="8" s="1"/>
  <c r="EJ40" i="8" s="1"/>
  <c r="EN40" i="8"/>
  <c r="GH39" i="8"/>
  <c r="GI39" i="8" s="1"/>
  <c r="GJ39" i="8" s="1"/>
  <c r="GD40" i="8" s="1"/>
  <c r="FG40" i="8"/>
  <c r="CZ39" i="8"/>
  <c r="BT40" i="8"/>
  <c r="BU40" i="8"/>
  <c r="BQ40" i="8"/>
  <c r="BS40" i="8" s="1"/>
  <c r="BR40" i="8" s="1"/>
  <c r="BV40" i="8"/>
  <c r="BP40" i="8"/>
  <c r="CC39" i="8"/>
  <c r="L83" i="22"/>
  <c r="M83" i="22" s="1"/>
  <c r="N83" i="22" s="1"/>
  <c r="H84" i="22" s="1"/>
  <c r="EP40" i="8" l="1"/>
  <c r="EQ40" i="8" s="1"/>
  <c r="EV40" i="8" s="1"/>
  <c r="GY40" i="8"/>
  <c r="GG40" i="8"/>
  <c r="FY40" i="8"/>
  <c r="ER40" i="8"/>
  <c r="FG41" i="8" s="1"/>
  <c r="GA40" i="8"/>
  <c r="GC40" i="8" s="1"/>
  <c r="GB40" i="8" s="1"/>
  <c r="GF40" i="8"/>
  <c r="GE40" i="8"/>
  <c r="FZ40" i="8"/>
  <c r="GN39" i="8"/>
  <c r="DP40" i="8"/>
  <c r="CQ40" i="8"/>
  <c r="CS40" i="8" s="1"/>
  <c r="CV40" i="8"/>
  <c r="CW40" i="8"/>
  <c r="CP40" i="8"/>
  <c r="CO40" i="8"/>
  <c r="CU40" i="8"/>
  <c r="CT40" i="8"/>
  <c r="AW84" i="22"/>
  <c r="BX40" i="8"/>
  <c r="BY40" i="8" s="1"/>
  <c r="BZ40" i="8" s="1"/>
  <c r="CE43" i="8" s="1"/>
  <c r="C84" i="22"/>
  <c r="J84" i="22"/>
  <c r="B84" i="22"/>
  <c r="I84" i="22"/>
  <c r="K84" i="22"/>
  <c r="D84" i="22"/>
  <c r="E84" i="22" s="1"/>
  <c r="G84" i="22" s="1"/>
  <c r="F84" i="22" s="1"/>
  <c r="EX43" i="8"/>
  <c r="EL41" i="8" l="1"/>
  <c r="EG41" i="8"/>
  <c r="EO41" i="8"/>
  <c r="EM41" i="8"/>
  <c r="GH40" i="8"/>
  <c r="GI40" i="8" s="1"/>
  <c r="GN40" i="8" s="1"/>
  <c r="EN41" i="8"/>
  <c r="EI41" i="8"/>
  <c r="EK41" i="8" s="1"/>
  <c r="EJ41" i="8" s="1"/>
  <c r="EH41" i="8"/>
  <c r="CR40" i="8"/>
  <c r="CX40" i="8"/>
  <c r="CY40" i="8" s="1"/>
  <c r="DD40" i="8" s="1"/>
  <c r="BQ41" i="8"/>
  <c r="BS41" i="8" s="1"/>
  <c r="BR41" i="8" s="1"/>
  <c r="BT41" i="8"/>
  <c r="BV41" i="8"/>
  <c r="BP41" i="8"/>
  <c r="CC40" i="8"/>
  <c r="BU41" i="8"/>
  <c r="L84" i="22"/>
  <c r="M84" i="22" s="1"/>
  <c r="N84" i="22" s="1"/>
  <c r="H85" i="22" s="1"/>
  <c r="GP43" i="8"/>
  <c r="GJ40" i="8" l="1"/>
  <c r="AW85" i="22"/>
  <c r="FZ41" i="8"/>
  <c r="GY41" i="8"/>
  <c r="CZ40" i="8"/>
  <c r="BX41" i="8"/>
  <c r="BY41" i="8" s="1"/>
  <c r="BZ41" i="8" s="1"/>
  <c r="BT42" i="8" s="1"/>
  <c r="GD41" i="8"/>
  <c r="FY41" i="8"/>
  <c r="GG41" i="8"/>
  <c r="GE41" i="8"/>
  <c r="GA41" i="8"/>
  <c r="GC41" i="8" s="1"/>
  <c r="GB41" i="8" s="1"/>
  <c r="GF41" i="8"/>
  <c r="C85" i="22"/>
  <c r="I85" i="22"/>
  <c r="D85" i="22"/>
  <c r="E85" i="22" s="1"/>
  <c r="G85" i="22" s="1"/>
  <c r="F85" i="22" s="1"/>
  <c r="J85" i="22"/>
  <c r="B85" i="22"/>
  <c r="K85" i="22"/>
  <c r="EP41" i="8"/>
  <c r="EQ41" i="8" s="1"/>
  <c r="EV41" i="8" s="1"/>
  <c r="CU41" i="8" l="1"/>
  <c r="DP41" i="8"/>
  <c r="CQ41" i="8"/>
  <c r="CS41" i="8" s="1"/>
  <c r="CO41" i="8"/>
  <c r="CV41" i="8"/>
  <c r="CW41" i="8"/>
  <c r="CP41" i="8"/>
  <c r="CT41" i="8"/>
  <c r="BQ42" i="8"/>
  <c r="BS42" i="8" s="1"/>
  <c r="BR42" i="8" s="1"/>
  <c r="BP42" i="8"/>
  <c r="BV42" i="8"/>
  <c r="BU42" i="8"/>
  <c r="GH41" i="8"/>
  <c r="GI41" i="8" s="1"/>
  <c r="CC41" i="8"/>
  <c r="L85" i="22"/>
  <c r="M85" i="22" s="1"/>
  <c r="N85" i="22" s="1"/>
  <c r="H86" i="22" s="1"/>
  <c r="ER41" i="8"/>
  <c r="CR41" i="8" l="1"/>
  <c r="CX41" i="8"/>
  <c r="CY41" i="8" s="1"/>
  <c r="DD41" i="8" s="1"/>
  <c r="AW86" i="22"/>
  <c r="EO42" i="8"/>
  <c r="FG42" i="8"/>
  <c r="BX42" i="8"/>
  <c r="GN41" i="8"/>
  <c r="GJ41" i="8"/>
  <c r="BY42" i="8"/>
  <c r="BZ42" i="8" s="1"/>
  <c r="BT43" i="8" s="1"/>
  <c r="EH42" i="8"/>
  <c r="EN42" i="8"/>
  <c r="EG42" i="8"/>
  <c r="EI42" i="8"/>
  <c r="EK42" i="8" s="1"/>
  <c r="EJ42" i="8" s="1"/>
  <c r="EL42" i="8"/>
  <c r="EM42" i="8"/>
  <c r="J86" i="22"/>
  <c r="I86" i="22"/>
  <c r="B86" i="22"/>
  <c r="C86" i="22"/>
  <c r="D86" i="22"/>
  <c r="E86" i="22" s="1"/>
  <c r="G86" i="22" s="1"/>
  <c r="F86" i="22" s="1"/>
  <c r="K86" i="22"/>
  <c r="FZ42" i="8" l="1"/>
  <c r="GY42" i="8"/>
  <c r="CZ41" i="8"/>
  <c r="FY42" i="8"/>
  <c r="GA42" i="8"/>
  <c r="GC42" i="8" s="1"/>
  <c r="GB42" i="8" s="1"/>
  <c r="GD42" i="8"/>
  <c r="GF42" i="8"/>
  <c r="GG42" i="8"/>
  <c r="GE42" i="8"/>
  <c r="BU43" i="8"/>
  <c r="BP43" i="8"/>
  <c r="BQ43" i="8"/>
  <c r="BS43" i="8" s="1"/>
  <c r="BR43" i="8" s="1"/>
  <c r="BV43" i="8"/>
  <c r="CC42" i="8"/>
  <c r="EP42" i="8"/>
  <c r="EQ42" i="8" s="1"/>
  <c r="EV42" i="8" s="1"/>
  <c r="L86" i="22"/>
  <c r="M86" i="22" s="1"/>
  <c r="N86" i="22" s="1"/>
  <c r="H87" i="22" s="1"/>
  <c r="CV42" i="8" l="1"/>
  <c r="CO42" i="8"/>
  <c r="CP42" i="8"/>
  <c r="CW42" i="8"/>
  <c r="CU42" i="8"/>
  <c r="CT42" i="8"/>
  <c r="CQ42" i="8"/>
  <c r="CS42" i="8" s="1"/>
  <c r="CR42" i="8" s="1"/>
  <c r="DP42" i="8"/>
  <c r="AW87" i="22"/>
  <c r="BX43" i="8"/>
  <c r="BY43" i="8" s="1"/>
  <c r="BZ43" i="8" s="1"/>
  <c r="BT44" i="8" s="1"/>
  <c r="GH42" i="8"/>
  <c r="GI42" i="8" s="1"/>
  <c r="GJ42" i="8" s="1"/>
  <c r="GA43" i="8" s="1"/>
  <c r="GC43" i="8" s="1"/>
  <c r="GB43" i="8" s="1"/>
  <c r="ER42" i="8"/>
  <c r="B87" i="22"/>
  <c r="K87" i="22"/>
  <c r="J87" i="22"/>
  <c r="I87" i="22"/>
  <c r="D87" i="22"/>
  <c r="E87" i="22" s="1"/>
  <c r="G87" i="22" s="1"/>
  <c r="F87" i="22" s="1"/>
  <c r="C87" i="22"/>
  <c r="CX42" i="8" l="1"/>
  <c r="CY42" i="8" s="1"/>
  <c r="DD42" i="8" s="1"/>
  <c r="CZ42" i="8"/>
  <c r="EI43" i="8"/>
  <c r="EK43" i="8" s="1"/>
  <c r="EJ43" i="8" s="1"/>
  <c r="FG43" i="8"/>
  <c r="DP43" i="8"/>
  <c r="GY43" i="8"/>
  <c r="GE43" i="8"/>
  <c r="FY43" i="8"/>
  <c r="FZ43" i="8"/>
  <c r="GF43" i="8"/>
  <c r="CC43" i="8"/>
  <c r="GD43" i="8"/>
  <c r="GN42" i="8"/>
  <c r="GG43" i="8"/>
  <c r="BV44" i="8"/>
  <c r="BQ44" i="8"/>
  <c r="BS44" i="8" s="1"/>
  <c r="BR44" i="8" s="1"/>
  <c r="BP44" i="8"/>
  <c r="BU44" i="8"/>
  <c r="EL43" i="8"/>
  <c r="EH43" i="8"/>
  <c r="EG43" i="8"/>
  <c r="EN43" i="8"/>
  <c r="EO43" i="8"/>
  <c r="EM43" i="8"/>
  <c r="L87" i="22"/>
  <c r="M87" i="22" s="1"/>
  <c r="N87" i="22" s="1"/>
  <c r="H88" i="22" s="1"/>
  <c r="CP43" i="8" l="1"/>
  <c r="CU43" i="8"/>
  <c r="CW43" i="8"/>
  <c r="CQ43" i="8"/>
  <c r="CS43" i="8" s="1"/>
  <c r="CV43" i="8"/>
  <c r="CO43" i="8"/>
  <c r="CT43" i="8"/>
  <c r="AW88" i="22"/>
  <c r="GH43" i="8"/>
  <c r="GI43" i="8" s="1"/>
  <c r="GN43" i="8" s="1"/>
  <c r="BX44" i="8"/>
  <c r="BY44" i="8"/>
  <c r="EP43" i="8"/>
  <c r="EQ43" i="8" s="1"/>
  <c r="EV43" i="8" s="1"/>
  <c r="D88" i="22"/>
  <c r="E88" i="22" s="1"/>
  <c r="G88" i="22" s="1"/>
  <c r="F88" i="22" s="1"/>
  <c r="B88" i="22"/>
  <c r="C88" i="22"/>
  <c r="J88" i="22"/>
  <c r="K88" i="22"/>
  <c r="I88" i="22"/>
  <c r="CX43" i="8" l="1"/>
  <c r="CY43" i="8" s="1"/>
  <c r="DD43" i="8" s="1"/>
  <c r="CR43" i="8"/>
  <c r="CC44" i="8"/>
  <c r="GJ43" i="8"/>
  <c r="BZ44" i="8"/>
  <c r="BT45" i="8" s="1"/>
  <c r="ER43" i="8"/>
  <c r="L88" i="22"/>
  <c r="M88" i="22" s="1"/>
  <c r="N88" i="22" s="1"/>
  <c r="H89" i="22" s="1"/>
  <c r="AW89" i="22" l="1"/>
  <c r="EG44" i="8"/>
  <c r="FG44" i="8"/>
  <c r="FZ44" i="8"/>
  <c r="GY44" i="8"/>
  <c r="CZ43" i="8"/>
  <c r="GA44" i="8"/>
  <c r="GC44" i="8" s="1"/>
  <c r="GB44" i="8" s="1"/>
  <c r="GE44" i="8"/>
  <c r="GG44" i="8"/>
  <c r="BU45" i="8"/>
  <c r="BP45" i="8"/>
  <c r="BQ45" i="8"/>
  <c r="BS45" i="8" s="1"/>
  <c r="BR45" i="8" s="1"/>
  <c r="GD44" i="8"/>
  <c r="GF44" i="8"/>
  <c r="BV45" i="8"/>
  <c r="FY44" i="8"/>
  <c r="EI44" i="8"/>
  <c r="EK44" i="8" s="1"/>
  <c r="EJ44" i="8" s="1"/>
  <c r="EO44" i="8"/>
  <c r="EH44" i="8"/>
  <c r="EL44" i="8"/>
  <c r="EM44" i="8"/>
  <c r="EN44" i="8"/>
  <c r="C89" i="22"/>
  <c r="K89" i="22"/>
  <c r="J89" i="22"/>
  <c r="B89" i="22"/>
  <c r="D89" i="22"/>
  <c r="E89" i="22" s="1"/>
  <c r="G89" i="22" s="1"/>
  <c r="I89" i="22"/>
  <c r="CP44" i="8" l="1"/>
  <c r="DP44" i="8"/>
  <c r="CU44" i="8"/>
  <c r="CT44" i="8"/>
  <c r="CV44" i="8"/>
  <c r="CO44" i="8"/>
  <c r="CQ44" i="8"/>
  <c r="CS44" i="8" s="1"/>
  <c r="CW44" i="8"/>
  <c r="BX45" i="8"/>
  <c r="BY45" i="8" s="1"/>
  <c r="BZ45" i="8" s="1"/>
  <c r="BT46" i="8" s="1"/>
  <c r="GH44" i="8"/>
  <c r="GI44" i="8" s="1"/>
  <c r="GN44" i="8" s="1"/>
  <c r="EP44" i="8"/>
  <c r="EQ44" i="8" s="1"/>
  <c r="EV44" i="8" s="1"/>
  <c r="L89" i="22"/>
  <c r="M89" i="22" s="1"/>
  <c r="F89" i="22"/>
  <c r="CR44" i="8" l="1"/>
  <c r="CX44" i="8"/>
  <c r="CY44" i="8" s="1"/>
  <c r="DD44" i="8" s="1"/>
  <c r="BU46" i="8"/>
  <c r="BP46" i="8"/>
  <c r="BV46" i="8"/>
  <c r="BQ46" i="8"/>
  <c r="BS46" i="8" s="1"/>
  <c r="BR46" i="8" s="1"/>
  <c r="CC45" i="8"/>
  <c r="GJ44" i="8"/>
  <c r="GY45" i="8" s="1"/>
  <c r="ER44" i="8"/>
  <c r="N89" i="22"/>
  <c r="H90" i="22" l="1"/>
  <c r="AW90" i="22"/>
  <c r="EI45" i="8"/>
  <c r="EK45" i="8" s="1"/>
  <c r="EJ45" i="8" s="1"/>
  <c r="FG45" i="8"/>
  <c r="CZ44" i="8"/>
  <c r="BX46" i="8"/>
  <c r="BY46" i="8" s="1"/>
  <c r="BZ46" i="8" s="1"/>
  <c r="BT47" i="8" s="1"/>
  <c r="EM45" i="8"/>
  <c r="EL45" i="8"/>
  <c r="EN45" i="8"/>
  <c r="EH45" i="8"/>
  <c r="EO45" i="8"/>
  <c r="EG45" i="8"/>
  <c r="GD45" i="8"/>
  <c r="GG45" i="8"/>
  <c r="GE45" i="8"/>
  <c r="GF45" i="8"/>
  <c r="FZ45" i="8"/>
  <c r="GA45" i="8"/>
  <c r="GC45" i="8" s="1"/>
  <c r="GB45" i="8" s="1"/>
  <c r="FY45" i="8"/>
  <c r="D90" i="22"/>
  <c r="E90" i="22" s="1"/>
  <c r="G90" i="22" s="1"/>
  <c r="K90" i="22"/>
  <c r="I90" i="22"/>
  <c r="C90" i="22"/>
  <c r="J90" i="22"/>
  <c r="B90" i="22"/>
  <c r="BV47" i="8" l="1"/>
  <c r="BP47" i="8"/>
  <c r="BQ47" i="8"/>
  <c r="BS47" i="8" s="1"/>
  <c r="BR47" i="8" s="1"/>
  <c r="BU47" i="8"/>
  <c r="CC46" i="8"/>
  <c r="CW45" i="8"/>
  <c r="DP45" i="8"/>
  <c r="CU45" i="8"/>
  <c r="CT45" i="8"/>
  <c r="CP45" i="8"/>
  <c r="CO45" i="8"/>
  <c r="CQ45" i="8"/>
  <c r="CS45" i="8" s="1"/>
  <c r="CV45" i="8"/>
  <c r="EP45" i="8"/>
  <c r="EQ45" i="8" s="1"/>
  <c r="ER45" i="8" s="1"/>
  <c r="EL46" i="8" s="1"/>
  <c r="GH45" i="8"/>
  <c r="GI45" i="8" s="1"/>
  <c r="GJ45" i="8" s="1"/>
  <c r="GD46" i="8" s="1"/>
  <c r="L90" i="22"/>
  <c r="M90" i="22" s="1"/>
  <c r="F90" i="22"/>
  <c r="BX47" i="8" l="1"/>
  <c r="FG46" i="8"/>
  <c r="CX45" i="8"/>
  <c r="CY45" i="8" s="1"/>
  <c r="DD45" i="8" s="1"/>
  <c r="CR45" i="8"/>
  <c r="GY46" i="8"/>
  <c r="EI46" i="8"/>
  <c r="EK46" i="8" s="1"/>
  <c r="EJ46" i="8" s="1"/>
  <c r="EH46" i="8"/>
  <c r="EO46" i="8"/>
  <c r="EV45" i="8"/>
  <c r="EN46" i="8"/>
  <c r="EG46" i="8"/>
  <c r="EM46" i="8"/>
  <c r="GA46" i="8"/>
  <c r="GC46" i="8" s="1"/>
  <c r="GB46" i="8" s="1"/>
  <c r="GE46" i="8"/>
  <c r="GN45" i="8"/>
  <c r="GG46" i="8"/>
  <c r="FY46" i="8"/>
  <c r="GF46" i="8"/>
  <c r="FZ46" i="8"/>
  <c r="N90" i="22"/>
  <c r="BY47" i="8" l="1"/>
  <c r="BZ47" i="8" s="1"/>
  <c r="BT48" i="8" s="1"/>
  <c r="CC47" i="8"/>
  <c r="EP46" i="8"/>
  <c r="EQ46" i="8" s="1"/>
  <c r="EV46" i="8" s="1"/>
  <c r="H91" i="22"/>
  <c r="AW91" i="22"/>
  <c r="CZ45" i="8"/>
  <c r="GH46" i="8"/>
  <c r="GI46" i="8" s="1"/>
  <c r="GN46" i="8" s="1"/>
  <c r="ER46" i="8"/>
  <c r="EO47" i="8" s="1"/>
  <c r="BP48" i="8"/>
  <c r="BV48" i="8"/>
  <c r="BU48" i="8"/>
  <c r="BQ48" i="8"/>
  <c r="BS48" i="8" s="1"/>
  <c r="BR48" i="8" s="1"/>
  <c r="I91" i="22"/>
  <c r="K91" i="22"/>
  <c r="C91" i="22"/>
  <c r="B91" i="22"/>
  <c r="D91" i="22"/>
  <c r="E91" i="22" s="1"/>
  <c r="G91" i="22" s="1"/>
  <c r="F91" i="22" s="1"/>
  <c r="J91" i="22"/>
  <c r="GJ46" i="8" l="1"/>
  <c r="GD47" i="8" s="1"/>
  <c r="CQ46" i="8"/>
  <c r="CS46" i="8" s="1"/>
  <c r="CR46" i="8" s="1"/>
  <c r="CP46" i="8"/>
  <c r="CU46" i="8"/>
  <c r="CW46" i="8"/>
  <c r="CO46" i="8"/>
  <c r="CV46" i="8"/>
  <c r="CT46" i="8"/>
  <c r="DP46" i="8"/>
  <c r="GY47" i="8"/>
  <c r="FG47" i="8"/>
  <c r="EH47" i="8"/>
  <c r="EM47" i="8"/>
  <c r="EL47" i="8"/>
  <c r="EN47" i="8"/>
  <c r="EI47" i="8"/>
  <c r="EG47" i="8"/>
  <c r="L91" i="22"/>
  <c r="M91" i="22" s="1"/>
  <c r="N91" i="22" s="1"/>
  <c r="H92" i="22" s="1"/>
  <c r="BX48" i="8"/>
  <c r="GF47" i="8" l="1"/>
  <c r="GG47" i="8"/>
  <c r="GE47" i="8"/>
  <c r="FY47" i="8"/>
  <c r="GA47" i="8"/>
  <c r="GC47" i="8" s="1"/>
  <c r="GB47" i="8" s="1"/>
  <c r="CX46" i="8"/>
  <c r="CY46" i="8" s="1"/>
  <c r="DD46" i="8" s="1"/>
  <c r="FZ47" i="8"/>
  <c r="AW92" i="22"/>
  <c r="CZ46" i="8"/>
  <c r="EK47" i="8"/>
  <c r="EJ47" i="8" s="1"/>
  <c r="BY48" i="8"/>
  <c r="BZ48" i="8" s="1"/>
  <c r="BT49" i="8" s="1"/>
  <c r="I92" i="22"/>
  <c r="K92" i="22"/>
  <c r="B92" i="22"/>
  <c r="D92" i="22"/>
  <c r="E92" i="22" s="1"/>
  <c r="G92" i="22" s="1"/>
  <c r="F92" i="22" s="1"/>
  <c r="C92" i="22"/>
  <c r="J92" i="22"/>
  <c r="GH47" i="8" l="1"/>
  <c r="GI47" i="8" s="1"/>
  <c r="GN47" i="8" s="1"/>
  <c r="CT47" i="8"/>
  <c r="CU47" i="8"/>
  <c r="CW47" i="8"/>
  <c r="CO47" i="8"/>
  <c r="CP47" i="8"/>
  <c r="CV47" i="8"/>
  <c r="CQ47" i="8"/>
  <c r="CS47" i="8" s="1"/>
  <c r="DP47" i="8"/>
  <c r="EP47" i="8"/>
  <c r="EQ47" i="8" s="1"/>
  <c r="EV47" i="8" s="1"/>
  <c r="GJ47" i="8"/>
  <c r="L92" i="22"/>
  <c r="M92" i="22" s="1"/>
  <c r="N92" i="22" s="1"/>
  <c r="H93" i="22" s="1"/>
  <c r="BQ49" i="8"/>
  <c r="BS49" i="8" s="1"/>
  <c r="BP49" i="8"/>
  <c r="BV49" i="8"/>
  <c r="BU49" i="8"/>
  <c r="CC48" i="8"/>
  <c r="CX47" i="8" l="1"/>
  <c r="CY47" i="8" s="1"/>
  <c r="DD47" i="8" s="1"/>
  <c r="GD48" i="8"/>
  <c r="GY48" i="8"/>
  <c r="CR47" i="8"/>
  <c r="CZ47" i="8" s="1"/>
  <c r="DP48" i="8"/>
  <c r="AW93" i="22"/>
  <c r="FZ48" i="8"/>
  <c r="ER47" i="8"/>
  <c r="EI48" i="8" s="1"/>
  <c r="EK48" i="8" s="1"/>
  <c r="EJ48" i="8" s="1"/>
  <c r="GG48" i="8"/>
  <c r="FY48" i="8"/>
  <c r="GF48" i="8"/>
  <c r="GA48" i="8"/>
  <c r="GC48" i="8" s="1"/>
  <c r="GB48" i="8" s="1"/>
  <c r="GE48" i="8"/>
  <c r="BX49" i="8"/>
  <c r="K93" i="22"/>
  <c r="D93" i="22"/>
  <c r="E93" i="22" s="1"/>
  <c r="G93" i="22" s="1"/>
  <c r="F93" i="22" s="1"/>
  <c r="C93" i="22"/>
  <c r="J93" i="22"/>
  <c r="I93" i="22"/>
  <c r="B93" i="22"/>
  <c r="BR49" i="8"/>
  <c r="EO48" i="8" l="1"/>
  <c r="FG48" i="8"/>
  <c r="CT48" i="8"/>
  <c r="CW48" i="8"/>
  <c r="CO48" i="8"/>
  <c r="CV48" i="8"/>
  <c r="CP48" i="8"/>
  <c r="CU48" i="8"/>
  <c r="CQ48" i="8"/>
  <c r="CS48" i="8" s="1"/>
  <c r="CR48" i="8" s="1"/>
  <c r="EH48" i="8"/>
  <c r="EG48" i="8"/>
  <c r="EN48" i="8"/>
  <c r="EL48" i="8"/>
  <c r="EM48" i="8"/>
  <c r="GH48" i="8"/>
  <c r="GI48" i="8" s="1"/>
  <c r="GN48" i="8" s="1"/>
  <c r="BY49" i="8"/>
  <c r="CC49" i="8" s="1"/>
  <c r="L93" i="22"/>
  <c r="M93" i="22" s="1"/>
  <c r="N93" i="22" s="1"/>
  <c r="H94" i="22" s="1"/>
  <c r="CX48" i="8" l="1"/>
  <c r="CY48" i="8" s="1"/>
  <c r="CZ48" i="8" s="1"/>
  <c r="AW94" i="22"/>
  <c r="EP48" i="8"/>
  <c r="EQ48" i="8" s="1"/>
  <c r="EV48" i="8" s="1"/>
  <c r="GJ48" i="8"/>
  <c r="GA49" i="8" s="1"/>
  <c r="GC49" i="8" s="1"/>
  <c r="GB49" i="8" s="1"/>
  <c r="BZ49" i="8"/>
  <c r="I94" i="22"/>
  <c r="C94" i="22"/>
  <c r="J94" i="22"/>
  <c r="K94" i="22"/>
  <c r="D94" i="22"/>
  <c r="E94" i="22" s="1"/>
  <c r="G94" i="22" s="1"/>
  <c r="F94" i="22" s="1"/>
  <c r="B94" i="22"/>
  <c r="FZ49" i="8" l="1"/>
  <c r="ER48" i="8"/>
  <c r="EM49" i="8" s="1"/>
  <c r="GD49" i="8"/>
  <c r="GY49" i="8"/>
  <c r="CT49" i="8"/>
  <c r="CQ49" i="8"/>
  <c r="CS49" i="8" s="1"/>
  <c r="CV49" i="8"/>
  <c r="CU49" i="8"/>
  <c r="CP49" i="8"/>
  <c r="CO49" i="8"/>
  <c r="CW49" i="8"/>
  <c r="DD48" i="8"/>
  <c r="DP49" i="8"/>
  <c r="GF49" i="8"/>
  <c r="GE49" i="8"/>
  <c r="FY49" i="8"/>
  <c r="GG49" i="8"/>
  <c r="BT50" i="8"/>
  <c r="BQ50" i="8"/>
  <c r="BS50" i="8" s="1"/>
  <c r="BU50" i="8"/>
  <c r="BV50" i="8"/>
  <c r="BP50" i="8"/>
  <c r="L94" i="22"/>
  <c r="M94" i="22" s="1"/>
  <c r="N94" i="22" s="1"/>
  <c r="AW95" i="22" s="1"/>
  <c r="EO49" i="8" l="1"/>
  <c r="EI49" i="8"/>
  <c r="EK49" i="8" s="1"/>
  <c r="EJ49" i="8" s="1"/>
  <c r="EG49" i="8"/>
  <c r="EH49" i="8"/>
  <c r="EL49" i="8"/>
  <c r="CR49" i="8"/>
  <c r="CX49" i="8"/>
  <c r="CY49" i="8" s="1"/>
  <c r="DD49" i="8" s="1"/>
  <c r="EN49" i="8"/>
  <c r="EP49" i="8" s="1"/>
  <c r="EQ49" i="8" s="1"/>
  <c r="FG49" i="8"/>
  <c r="GH49" i="8"/>
  <c r="GI49" i="8" s="1"/>
  <c r="GN49" i="8" s="1"/>
  <c r="H95" i="22"/>
  <c r="BX50" i="8"/>
  <c r="BR50" i="8"/>
  <c r="J95" i="22"/>
  <c r="C95" i="22"/>
  <c r="I95" i="22"/>
  <c r="K95" i="22"/>
  <c r="B95" i="22"/>
  <c r="D95" i="22"/>
  <c r="E95" i="22" s="1"/>
  <c r="BC95" i="22" s="1"/>
  <c r="BB95" i="22" s="1"/>
  <c r="AU95" i="22" s="1"/>
  <c r="EV49" i="8" l="1"/>
  <c r="GJ49" i="8"/>
  <c r="GF50" i="8" s="1"/>
  <c r="CZ49" i="8"/>
  <c r="ER49" i="8"/>
  <c r="BY50" i="8"/>
  <c r="CC50" i="8" s="1"/>
  <c r="G95" i="22"/>
  <c r="FY50" i="8" l="1"/>
  <c r="FZ50" i="8"/>
  <c r="GA50" i="8"/>
  <c r="GC50" i="8" s="1"/>
  <c r="GB50" i="8" s="1"/>
  <c r="GE50" i="8"/>
  <c r="GG50" i="8"/>
  <c r="EL50" i="8"/>
  <c r="FG50" i="8"/>
  <c r="CW50" i="8"/>
  <c r="CU50" i="8"/>
  <c r="DP50" i="8"/>
  <c r="CT50" i="8"/>
  <c r="CO50" i="8"/>
  <c r="CQ50" i="8"/>
  <c r="CS50" i="8" s="1"/>
  <c r="CP50" i="8"/>
  <c r="CV50" i="8"/>
  <c r="GD50" i="8"/>
  <c r="GY50" i="8"/>
  <c r="EO50" i="8"/>
  <c r="EN50" i="8"/>
  <c r="EG50" i="8"/>
  <c r="EH50" i="8"/>
  <c r="EM50" i="8"/>
  <c r="EI50" i="8"/>
  <c r="EK50" i="8" s="1"/>
  <c r="EJ50" i="8" s="1"/>
  <c r="BZ50" i="8"/>
  <c r="L95" i="22"/>
  <c r="M95" i="22" s="1"/>
  <c r="F95" i="22"/>
  <c r="GH50" i="8" l="1"/>
  <c r="GI50" i="8" s="1"/>
  <c r="GJ50" i="8" s="1"/>
  <c r="CR50" i="8"/>
  <c r="CX50" i="8"/>
  <c r="CY50" i="8" s="1"/>
  <c r="DD50" i="8" s="1"/>
  <c r="EP50" i="8"/>
  <c r="EQ50" i="8" s="1"/>
  <c r="ER50" i="8" s="1"/>
  <c r="EL51" i="8" s="1"/>
  <c r="BQ51" i="8"/>
  <c r="BV51" i="8"/>
  <c r="BT51" i="8"/>
  <c r="BP51" i="8"/>
  <c r="BU51" i="8"/>
  <c r="N95" i="22"/>
  <c r="GN50" i="8" l="1"/>
  <c r="FG51" i="8"/>
  <c r="GD51" i="8"/>
  <c r="GY51" i="8"/>
  <c r="H96" i="22"/>
  <c r="AW96" i="22"/>
  <c r="CZ50" i="8"/>
  <c r="EV50" i="8"/>
  <c r="GE51" i="8"/>
  <c r="GG51" i="8"/>
  <c r="GF51" i="8"/>
  <c r="FY51" i="8"/>
  <c r="FZ51" i="8"/>
  <c r="GA51" i="8"/>
  <c r="GC51" i="8" s="1"/>
  <c r="GB51" i="8" s="1"/>
  <c r="EM51" i="8"/>
  <c r="EI51" i="8"/>
  <c r="EK51" i="8" s="1"/>
  <c r="EG51" i="8"/>
  <c r="EH51" i="8"/>
  <c r="EN51" i="8"/>
  <c r="EO51" i="8"/>
  <c r="BS51" i="8"/>
  <c r="J96" i="22"/>
  <c r="I96" i="22"/>
  <c r="B96" i="22"/>
  <c r="C96" i="22"/>
  <c r="D96" i="22"/>
  <c r="E96" i="22" s="1"/>
  <c r="G96" i="22" s="1"/>
  <c r="F96" i="22" s="1"/>
  <c r="K96" i="22"/>
  <c r="CT51" i="8" l="1"/>
  <c r="CW51" i="8"/>
  <c r="CV51" i="8"/>
  <c r="CP51" i="8"/>
  <c r="CQ51" i="8"/>
  <c r="CS51" i="8" s="1"/>
  <c r="CU51" i="8"/>
  <c r="DP51" i="8"/>
  <c r="CO51" i="8"/>
  <c r="GH51" i="8"/>
  <c r="GI51" i="8" s="1"/>
  <c r="GN51" i="8" s="1"/>
  <c r="EP51" i="8"/>
  <c r="EQ51" i="8" s="1"/>
  <c r="EV51" i="8" s="1"/>
  <c r="EJ51" i="8"/>
  <c r="BR51" i="8"/>
  <c r="BX51" i="8"/>
  <c r="L96" i="22"/>
  <c r="M96" i="22" s="1"/>
  <c r="N96" i="22" s="1"/>
  <c r="H97" i="22" s="1"/>
  <c r="CR51" i="8" l="1"/>
  <c r="CX51" i="8"/>
  <c r="CY51" i="8" s="1"/>
  <c r="DD51" i="8" s="1"/>
  <c r="AW97" i="22"/>
  <c r="ER51" i="8"/>
  <c r="GJ51" i="8"/>
  <c r="BY51" i="8"/>
  <c r="CC51" i="8" s="1"/>
  <c r="K97" i="22"/>
  <c r="D97" i="22"/>
  <c r="E97" i="22" s="1"/>
  <c r="G97" i="22" s="1"/>
  <c r="I97" i="22"/>
  <c r="C97" i="22"/>
  <c r="B97" i="22"/>
  <c r="J97" i="22"/>
  <c r="EL52" i="8" l="1"/>
  <c r="FG52" i="8"/>
  <c r="CZ51" i="8"/>
  <c r="GD52" i="8"/>
  <c r="GY52" i="8"/>
  <c r="GF52" i="8"/>
  <c r="EI52" i="8"/>
  <c r="EK52" i="8" s="1"/>
  <c r="EJ52" i="8" s="1"/>
  <c r="EH52" i="8"/>
  <c r="EG52" i="8"/>
  <c r="FY52" i="8"/>
  <c r="EN52" i="8"/>
  <c r="GA52" i="8"/>
  <c r="GC52" i="8" s="1"/>
  <c r="GB52" i="8" s="1"/>
  <c r="EO52" i="8"/>
  <c r="GG52" i="8"/>
  <c r="FZ52" i="8"/>
  <c r="EM52" i="8"/>
  <c r="GE52" i="8"/>
  <c r="BZ51" i="8"/>
  <c r="L97" i="22"/>
  <c r="M97" i="22" s="1"/>
  <c r="F97" i="22"/>
  <c r="DP52" i="8" l="1"/>
  <c r="CT52" i="8"/>
  <c r="CO52" i="8"/>
  <c r="CU52" i="8"/>
  <c r="CP52" i="8"/>
  <c r="CW52" i="8"/>
  <c r="CV52" i="8"/>
  <c r="CQ52" i="8"/>
  <c r="CS52" i="8" s="1"/>
  <c r="EP52" i="8"/>
  <c r="EQ52" i="8" s="1"/>
  <c r="EV52" i="8" s="1"/>
  <c r="GH52" i="8"/>
  <c r="GI52" i="8" s="1"/>
  <c r="GN52" i="8" s="1"/>
  <c r="BP52" i="8"/>
  <c r="BU52" i="8"/>
  <c r="BT52" i="8"/>
  <c r="BQ52" i="8"/>
  <c r="BS52" i="8" s="1"/>
  <c r="BR52" i="8" s="1"/>
  <c r="BV52" i="8"/>
  <c r="N97" i="22"/>
  <c r="CX52" i="8" l="1"/>
  <c r="CY52" i="8" s="1"/>
  <c r="DD52" i="8" s="1"/>
  <c r="CR52" i="8"/>
  <c r="CZ52" i="8" s="1"/>
  <c r="DP53" i="8" s="1"/>
  <c r="H98" i="22"/>
  <c r="AW98" i="22"/>
  <c r="ER52" i="8"/>
  <c r="CP53" i="8"/>
  <c r="CQ53" i="8"/>
  <c r="CS53" i="8" s="1"/>
  <c r="CO53" i="8"/>
  <c r="CV53" i="8"/>
  <c r="CU53" i="8"/>
  <c r="CT53" i="8"/>
  <c r="GJ52" i="8"/>
  <c r="BX52" i="8"/>
  <c r="BY52" i="8" s="1"/>
  <c r="BZ52" i="8" s="1"/>
  <c r="I98" i="22"/>
  <c r="C98" i="22"/>
  <c r="J98" i="22"/>
  <c r="K98" i="22"/>
  <c r="B98" i="22"/>
  <c r="D98" i="22"/>
  <c r="E98" i="22" s="1"/>
  <c r="G98" i="22" s="1"/>
  <c r="F98" i="22" s="1"/>
  <c r="CW53" i="8" l="1"/>
  <c r="GD53" i="8"/>
  <c r="GY53" i="8"/>
  <c r="EL53" i="8"/>
  <c r="FG53" i="8"/>
  <c r="EO53" i="8"/>
  <c r="EG53" i="8"/>
  <c r="EM53" i="8"/>
  <c r="EH53" i="8"/>
  <c r="EN53" i="8"/>
  <c r="EI53" i="8"/>
  <c r="EK53" i="8" s="1"/>
  <c r="EJ53" i="8" s="1"/>
  <c r="GE53" i="8"/>
  <c r="CR53" i="8"/>
  <c r="CX53" i="8"/>
  <c r="CY53" i="8" s="1"/>
  <c r="DD53" i="8" s="1"/>
  <c r="GA53" i="8"/>
  <c r="GC53" i="8" s="1"/>
  <c r="GB53" i="8" s="1"/>
  <c r="GG53" i="8"/>
  <c r="FY53" i="8"/>
  <c r="FZ53" i="8"/>
  <c r="GF53" i="8"/>
  <c r="BT53" i="8"/>
  <c r="BQ53" i="8"/>
  <c r="BS53" i="8" s="1"/>
  <c r="BR53" i="8" s="1"/>
  <c r="BU53" i="8"/>
  <c r="BP53" i="8"/>
  <c r="BV53" i="8"/>
  <c r="CC52" i="8"/>
  <c r="L98" i="22"/>
  <c r="M98" i="22" s="1"/>
  <c r="N98" i="22" s="1"/>
  <c r="H99" i="22" s="1"/>
  <c r="AW99" i="22" l="1"/>
  <c r="EP53" i="8"/>
  <c r="EQ53" i="8" s="1"/>
  <c r="EV53" i="8" s="1"/>
  <c r="GH53" i="8"/>
  <c r="GI53" i="8" s="1"/>
  <c r="GJ53" i="8" s="1"/>
  <c r="GE54" i="8" s="1"/>
  <c r="CZ53" i="8"/>
  <c r="DP54" i="8" s="1"/>
  <c r="BX53" i="8"/>
  <c r="BY53" i="8" s="1"/>
  <c r="BZ53" i="8" s="1"/>
  <c r="B99" i="22"/>
  <c r="I99" i="22"/>
  <c r="J99" i="22"/>
  <c r="D99" i="22"/>
  <c r="E99" i="22" s="1"/>
  <c r="G99" i="22" s="1"/>
  <c r="K99" i="22"/>
  <c r="C99" i="22"/>
  <c r="GY54" i="8" l="1"/>
  <c r="GD54" i="8"/>
  <c r="ER53" i="8"/>
  <c r="FG54" i="8" s="1"/>
  <c r="GA54" i="8"/>
  <c r="FZ54" i="8"/>
  <c r="GF54" i="8"/>
  <c r="FY54" i="8"/>
  <c r="GN53" i="8"/>
  <c r="GG54" i="8"/>
  <c r="CO54" i="8"/>
  <c r="CT54" i="8"/>
  <c r="CU54" i="8"/>
  <c r="CP54" i="8"/>
  <c r="CQ54" i="8"/>
  <c r="CV54" i="8"/>
  <c r="CW54" i="8"/>
  <c r="BT54" i="8"/>
  <c r="BQ54" i="8"/>
  <c r="BS54" i="8" s="1"/>
  <c r="BR54" i="8" s="1"/>
  <c r="BP54" i="8"/>
  <c r="BU54" i="8"/>
  <c r="BV54" i="8"/>
  <c r="CC53" i="8"/>
  <c r="L99" i="22"/>
  <c r="M99" i="22" s="1"/>
  <c r="F99" i="22"/>
  <c r="EN54" i="8" l="1"/>
  <c r="EL54" i="8"/>
  <c r="EI54" i="8"/>
  <c r="HA54" i="8"/>
  <c r="GZ54" i="8" s="1"/>
  <c r="GW54" i="8" s="1"/>
  <c r="GC54" i="8" s="1"/>
  <c r="EH54" i="8"/>
  <c r="EG54" i="8"/>
  <c r="EM54" i="8"/>
  <c r="EO54" i="8"/>
  <c r="DR54" i="8"/>
  <c r="DQ54" i="8" s="1"/>
  <c r="DN54" i="8" s="1"/>
  <c r="CS54" i="8" s="1"/>
  <c r="BX54" i="8"/>
  <c r="BY54" i="8" s="1"/>
  <c r="BZ54" i="8" s="1"/>
  <c r="N99" i="22"/>
  <c r="AW100" i="22" s="1"/>
  <c r="CX54" i="8" l="1"/>
  <c r="CY54" i="8" s="1"/>
  <c r="DD54" i="8" s="1"/>
  <c r="CR54" i="8"/>
  <c r="GB54" i="8"/>
  <c r="GH54" i="8"/>
  <c r="GI54" i="8" s="1"/>
  <c r="GN54" i="8" s="1"/>
  <c r="FI54" i="8"/>
  <c r="FH54" i="8" s="1"/>
  <c r="FE54" i="8" s="1"/>
  <c r="EK54" i="8" s="1"/>
  <c r="CZ54" i="8"/>
  <c r="DP55" i="8" s="1"/>
  <c r="BT55" i="8"/>
  <c r="BQ55" i="8"/>
  <c r="BS55" i="8" s="1"/>
  <c r="BR55" i="8" s="1"/>
  <c r="BP55" i="8"/>
  <c r="BU55" i="8"/>
  <c r="BV55" i="8"/>
  <c r="CC54" i="8"/>
  <c r="K100" i="22"/>
  <c r="H100" i="22"/>
  <c r="I100" i="22"/>
  <c r="J100" i="22"/>
  <c r="C100" i="22"/>
  <c r="D100" i="22"/>
  <c r="E100" i="22" s="1"/>
  <c r="G100" i="22" s="1"/>
  <c r="F100" i="22" s="1"/>
  <c r="B100" i="22"/>
  <c r="EJ54" i="8" l="1"/>
  <c r="EP54" i="8"/>
  <c r="EQ54" i="8" s="1"/>
  <c r="EV54" i="8" s="1"/>
  <c r="GJ54" i="8"/>
  <c r="GY55" i="8" s="1"/>
  <c r="CT55" i="8"/>
  <c r="CQ55" i="8"/>
  <c r="CS55" i="8" s="1"/>
  <c r="CP55" i="8"/>
  <c r="CU55" i="8"/>
  <c r="CV55" i="8"/>
  <c r="CW55" i="8"/>
  <c r="CO55" i="8"/>
  <c r="BX55" i="8"/>
  <c r="BY55" i="8"/>
  <c r="BZ55" i="8" s="1"/>
  <c r="L100" i="22"/>
  <c r="M100" i="22" s="1"/>
  <c r="N100" i="22" s="1"/>
  <c r="H101" i="22" s="1"/>
  <c r="AW101" i="22" l="1"/>
  <c r="GD55" i="8"/>
  <c r="FY55" i="8"/>
  <c r="GA55" i="8"/>
  <c r="GC55" i="8" s="1"/>
  <c r="GG55" i="8"/>
  <c r="FZ55" i="8"/>
  <c r="GE55" i="8"/>
  <c r="GF55" i="8"/>
  <c r="ER54" i="8"/>
  <c r="FG55" i="8" s="1"/>
  <c r="CR55" i="8"/>
  <c r="CX55" i="8"/>
  <c r="CY55" i="8" s="1"/>
  <c r="DD55" i="8" s="1"/>
  <c r="BT56" i="8"/>
  <c r="BV56" i="8"/>
  <c r="BU56" i="8"/>
  <c r="BQ56" i="8"/>
  <c r="BS56" i="8" s="1"/>
  <c r="BR56" i="8" s="1"/>
  <c r="BP56" i="8"/>
  <c r="CC55" i="8"/>
  <c r="I101" i="22"/>
  <c r="B101" i="22"/>
  <c r="K101" i="22"/>
  <c r="D101" i="22"/>
  <c r="E101" i="22" s="1"/>
  <c r="G101" i="22" s="1"/>
  <c r="F101" i="22" s="1"/>
  <c r="J101" i="22"/>
  <c r="C101" i="22"/>
  <c r="GB55" i="8" l="1"/>
  <c r="GH55" i="8"/>
  <c r="GI55" i="8" s="1"/>
  <c r="GN55" i="8" s="1"/>
  <c r="EL55" i="8"/>
  <c r="EH55" i="8"/>
  <c r="EI55" i="8"/>
  <c r="EK55" i="8" s="1"/>
  <c r="EJ55" i="8" s="1"/>
  <c r="EG55" i="8"/>
  <c r="EO55" i="8"/>
  <c r="EM55" i="8"/>
  <c r="EN55" i="8"/>
  <c r="CZ55" i="8"/>
  <c r="DP56" i="8" s="1"/>
  <c r="BX56" i="8"/>
  <c r="BY56" i="8" s="1"/>
  <c r="BZ56" i="8" s="1"/>
  <c r="L101" i="22"/>
  <c r="M101" i="22" s="1"/>
  <c r="N101" i="22" s="1"/>
  <c r="H102" i="22" s="1"/>
  <c r="AW102" i="22" l="1"/>
  <c r="EP55" i="8"/>
  <c r="EQ55" i="8" s="1"/>
  <c r="EV55" i="8" s="1"/>
  <c r="GJ55" i="8"/>
  <c r="GY56" i="8" s="1"/>
  <c r="CQ56" i="8"/>
  <c r="CT56" i="8"/>
  <c r="CS56" i="8"/>
  <c r="CU56" i="8"/>
  <c r="CO56" i="8"/>
  <c r="CV56" i="8"/>
  <c r="CP56" i="8"/>
  <c r="CW56" i="8"/>
  <c r="BT57" i="8"/>
  <c r="BV57" i="8"/>
  <c r="BP57" i="8"/>
  <c r="BQ57" i="8"/>
  <c r="BS57" i="8" s="1"/>
  <c r="BR57" i="8" s="1"/>
  <c r="BU57" i="8"/>
  <c r="CC56" i="8"/>
  <c r="C102" i="22"/>
  <c r="D102" i="22"/>
  <c r="E102" i="22" s="1"/>
  <c r="G102" i="22" s="1"/>
  <c r="F102" i="22" s="1"/>
  <c r="I102" i="22"/>
  <c r="B102" i="22"/>
  <c r="J102" i="22"/>
  <c r="K102" i="22"/>
  <c r="GD56" i="8" l="1"/>
  <c r="FZ56" i="8"/>
  <c r="GG56" i="8"/>
  <c r="GE56" i="8"/>
  <c r="GF56" i="8"/>
  <c r="GA56" i="8"/>
  <c r="GC56" i="8" s="1"/>
  <c r="GB56" i="8" s="1"/>
  <c r="FY56" i="8"/>
  <c r="ER55" i="8"/>
  <c r="FG56" i="8" s="1"/>
  <c r="CX56" i="8"/>
  <c r="CY56" i="8" s="1"/>
  <c r="DD56" i="8" s="1"/>
  <c r="CR56" i="8"/>
  <c r="BX57" i="8"/>
  <c r="L102" i="22"/>
  <c r="M102" i="22" s="1"/>
  <c r="N102" i="22" s="1"/>
  <c r="H103" i="22" s="1"/>
  <c r="AW103" i="22" l="1"/>
  <c r="GH56" i="8"/>
  <c r="GI56" i="8" s="1"/>
  <c r="GN56" i="8" s="1"/>
  <c r="EL56" i="8"/>
  <c r="EO56" i="8"/>
  <c r="EH56" i="8"/>
  <c r="EG56" i="8"/>
  <c r="EN56" i="8"/>
  <c r="EM56" i="8"/>
  <c r="EI56" i="8"/>
  <c r="EK56" i="8" s="1"/>
  <c r="CZ56" i="8"/>
  <c r="DP57" i="8" s="1"/>
  <c r="BY57" i="8"/>
  <c r="BZ57" i="8" s="1"/>
  <c r="J103" i="22"/>
  <c r="B103" i="22"/>
  <c r="D103" i="22"/>
  <c r="E103" i="22" s="1"/>
  <c r="G103" i="22" s="1"/>
  <c r="C103" i="22"/>
  <c r="I103" i="22"/>
  <c r="K103" i="22"/>
  <c r="GJ56" i="8" l="1"/>
  <c r="GF57" i="8" s="1"/>
  <c r="EP56" i="8"/>
  <c r="EQ56" i="8" s="1"/>
  <c r="EV56" i="8" s="1"/>
  <c r="EJ56" i="8"/>
  <c r="CQ57" i="8"/>
  <c r="CW57" i="8"/>
  <c r="CT57" i="8"/>
  <c r="CV57" i="8"/>
  <c r="CP57" i="8"/>
  <c r="CU57" i="8"/>
  <c r="CO57" i="8"/>
  <c r="CC57" i="8"/>
  <c r="BP58" i="8"/>
  <c r="BT58" i="8"/>
  <c r="BU58" i="8"/>
  <c r="BQ58" i="8"/>
  <c r="BS58" i="8" s="1"/>
  <c r="BV58" i="8"/>
  <c r="L103" i="22"/>
  <c r="M103" i="22" s="1"/>
  <c r="F103" i="22"/>
  <c r="GD57" i="8" l="1"/>
  <c r="FY57" i="8"/>
  <c r="GE57" i="8"/>
  <c r="GG57" i="8"/>
  <c r="GA57" i="8"/>
  <c r="GC57" i="8" s="1"/>
  <c r="GB57" i="8" s="1"/>
  <c r="FZ57" i="8"/>
  <c r="GY57" i="8"/>
  <c r="ER56" i="8"/>
  <c r="FG57" i="8" s="1"/>
  <c r="CS57" i="8"/>
  <c r="BR58" i="8"/>
  <c r="BX58" i="8"/>
  <c r="BY58" i="8" s="1"/>
  <c r="CC58" i="8" s="1"/>
  <c r="EQ57" i="8"/>
  <c r="N103" i="22"/>
  <c r="GH57" i="8" l="1"/>
  <c r="GI57" i="8" s="1"/>
  <c r="GJ57" i="8" s="1"/>
  <c r="GD58" i="8" s="1"/>
  <c r="H104" i="22"/>
  <c r="AW104" i="22"/>
  <c r="EM57" i="8"/>
  <c r="EN57" i="8"/>
  <c r="EG57" i="8"/>
  <c r="EI57" i="8"/>
  <c r="EK57" i="8" s="1"/>
  <c r="EH57" i="8"/>
  <c r="EO57" i="8"/>
  <c r="EL57" i="8"/>
  <c r="CR57" i="8"/>
  <c r="CX57" i="8"/>
  <c r="CY57" i="8" s="1"/>
  <c r="BZ58" i="8"/>
  <c r="J104" i="22"/>
  <c r="K104" i="22"/>
  <c r="I104" i="22"/>
  <c r="C104" i="22"/>
  <c r="B104" i="22"/>
  <c r="D104" i="22"/>
  <c r="E104" i="22" s="1"/>
  <c r="G104" i="22" s="1"/>
  <c r="F104" i="22" s="1"/>
  <c r="GF58" i="8" l="1"/>
  <c r="GE58" i="8"/>
  <c r="GY58" i="8"/>
  <c r="GA58" i="8"/>
  <c r="GC58" i="8" s="1"/>
  <c r="GB58" i="8" s="1"/>
  <c r="GG58" i="8"/>
  <c r="GN57" i="8"/>
  <c r="FZ58" i="8"/>
  <c r="FY58" i="8"/>
  <c r="EJ57" i="8"/>
  <c r="ER57" i="8" s="1"/>
  <c r="EL58" i="8" s="1"/>
  <c r="EP57" i="8"/>
  <c r="EV57" i="8"/>
  <c r="CZ57" i="8"/>
  <c r="DD57" i="8"/>
  <c r="BQ59" i="8"/>
  <c r="BS59" i="8" s="1"/>
  <c r="BR59" i="8" s="1"/>
  <c r="BV59" i="8"/>
  <c r="BU59" i="8"/>
  <c r="BT59" i="8"/>
  <c r="BP59" i="8"/>
  <c r="L104" i="22"/>
  <c r="M104" i="22" s="1"/>
  <c r="N104" i="22" s="1"/>
  <c r="H105" i="22" s="1"/>
  <c r="GH58" i="8" l="1"/>
  <c r="GI58" i="8" s="1"/>
  <c r="GJ58" i="8" s="1"/>
  <c r="EN58" i="8"/>
  <c r="FG58" i="8"/>
  <c r="AW105" i="22"/>
  <c r="CV58" i="8"/>
  <c r="DP58" i="8"/>
  <c r="EG58" i="8"/>
  <c r="EH58" i="8"/>
  <c r="EI58" i="8"/>
  <c r="EK58" i="8" s="1"/>
  <c r="EJ58" i="8" s="1"/>
  <c r="EM58" i="8"/>
  <c r="EO58" i="8"/>
  <c r="CQ58" i="8"/>
  <c r="CS58" i="8" s="1"/>
  <c r="CR58" i="8" s="1"/>
  <c r="CT58" i="8"/>
  <c r="CP58" i="8"/>
  <c r="CU58" i="8"/>
  <c r="CO58" i="8"/>
  <c r="CW58" i="8"/>
  <c r="BX59" i="8"/>
  <c r="BY59" i="8" s="1"/>
  <c r="J105" i="22"/>
  <c r="C105" i="22"/>
  <c r="D105" i="22"/>
  <c r="E105" i="22" s="1"/>
  <c r="G105" i="22" s="1"/>
  <c r="I105" i="22"/>
  <c r="K105" i="22"/>
  <c r="B105" i="22"/>
  <c r="GN58" i="8" l="1"/>
  <c r="GA59" i="8"/>
  <c r="GC59" i="8" s="1"/>
  <c r="GD59" i="8"/>
  <c r="GY59" i="8"/>
  <c r="GE59" i="8"/>
  <c r="FY59" i="8"/>
  <c r="FZ59" i="8"/>
  <c r="GF59" i="8"/>
  <c r="GG59" i="8"/>
  <c r="EP58" i="8"/>
  <c r="EQ58" i="8" s="1"/>
  <c r="EV58" i="8" s="1"/>
  <c r="CX58" i="8"/>
  <c r="CY58" i="8" s="1"/>
  <c r="CZ58" i="8" s="1"/>
  <c r="DP59" i="8" s="1"/>
  <c r="CC59" i="8"/>
  <c r="BZ59" i="8"/>
  <c r="BU60" i="8" s="1"/>
  <c r="L105" i="22"/>
  <c r="M105" i="22" s="1"/>
  <c r="F105" i="22"/>
  <c r="ER58" i="8" l="1"/>
  <c r="EH59" i="8" s="1"/>
  <c r="GB59" i="8"/>
  <c r="GH59" i="8"/>
  <c r="GI59" i="8" s="1"/>
  <c r="GN59" i="8" s="1"/>
  <c r="DD58" i="8"/>
  <c r="CP59" i="8"/>
  <c r="CQ59" i="8"/>
  <c r="CS59" i="8" s="1"/>
  <c r="CR59" i="8" s="1"/>
  <c r="CO59" i="8"/>
  <c r="CT59" i="8"/>
  <c r="CU59" i="8"/>
  <c r="CV59" i="8"/>
  <c r="CW59" i="8"/>
  <c r="BP60" i="8"/>
  <c r="BT60" i="8"/>
  <c r="BQ60" i="8"/>
  <c r="BS60" i="8" s="1"/>
  <c r="BR60" i="8" s="1"/>
  <c r="BV60" i="8"/>
  <c r="N105" i="22"/>
  <c r="EG59" i="8" l="1"/>
  <c r="EO59" i="8"/>
  <c r="FG59" i="8"/>
  <c r="EN59" i="8"/>
  <c r="EM59" i="8"/>
  <c r="EI59" i="8"/>
  <c r="EK59" i="8" s="1"/>
  <c r="EJ59" i="8" s="1"/>
  <c r="EL59" i="8"/>
  <c r="GJ59" i="8"/>
  <c r="H106" i="22"/>
  <c r="AW106" i="22"/>
  <c r="CX59" i="8"/>
  <c r="CY59" i="8" s="1"/>
  <c r="DD59" i="8" s="1"/>
  <c r="BX60" i="8"/>
  <c r="BY60" i="8"/>
  <c r="BZ60" i="8" s="1"/>
  <c r="J106" i="22"/>
  <c r="I106" i="22"/>
  <c r="C106" i="22"/>
  <c r="K106" i="22"/>
  <c r="B106" i="22"/>
  <c r="D106" i="22"/>
  <c r="E106" i="22" s="1"/>
  <c r="G106" i="22" s="1"/>
  <c r="F106" i="22" s="1"/>
  <c r="EP59" i="8" l="1"/>
  <c r="EQ59" i="8" s="1"/>
  <c r="EV59" i="8" s="1"/>
  <c r="GY60" i="8"/>
  <c r="FY60" i="8"/>
  <c r="FZ60" i="8"/>
  <c r="GE60" i="8"/>
  <c r="GA60" i="8"/>
  <c r="GC60" i="8" s="1"/>
  <c r="GG60" i="8"/>
  <c r="GD60" i="8"/>
  <c r="GF60" i="8"/>
  <c r="CZ59" i="8"/>
  <c r="DP60" i="8" s="1"/>
  <c r="CC60" i="8"/>
  <c r="BQ61" i="8"/>
  <c r="BS61" i="8" s="1"/>
  <c r="BP61" i="8"/>
  <c r="BU61" i="8"/>
  <c r="BT61" i="8"/>
  <c r="BV61" i="8"/>
  <c r="L106" i="22"/>
  <c r="M106" i="22" s="1"/>
  <c r="N106" i="22" s="1"/>
  <c r="H107" i="22" s="1"/>
  <c r="ER59" i="8" l="1"/>
  <c r="FG60" i="8" s="1"/>
  <c r="EI60" i="8"/>
  <c r="EN60" i="8"/>
  <c r="GB60" i="8"/>
  <c r="GH60" i="8"/>
  <c r="GI60" i="8" s="1"/>
  <c r="GN60" i="8" s="1"/>
  <c r="EL60" i="8"/>
  <c r="EO60" i="8"/>
  <c r="EM60" i="8"/>
  <c r="AW107" i="22"/>
  <c r="CO60" i="8"/>
  <c r="CQ60" i="8"/>
  <c r="CS60" i="8" s="1"/>
  <c r="CR60" i="8" s="1"/>
  <c r="CW60" i="8"/>
  <c r="CP60" i="8"/>
  <c r="CT60" i="8"/>
  <c r="CU60" i="8"/>
  <c r="CV60" i="8"/>
  <c r="BR61" i="8"/>
  <c r="BX61" i="8"/>
  <c r="BY61" i="8" s="1"/>
  <c r="CC61" i="8" s="1"/>
  <c r="EK60" i="8"/>
  <c r="D107" i="22"/>
  <c r="E107" i="22" s="1"/>
  <c r="G107" i="22" s="1"/>
  <c r="F107" i="22" s="1"/>
  <c r="I107" i="22"/>
  <c r="J107" i="22"/>
  <c r="K107" i="22"/>
  <c r="B107" i="22"/>
  <c r="C107" i="22"/>
  <c r="EG60" i="8" l="1"/>
  <c r="EH60" i="8"/>
  <c r="GJ60" i="8"/>
  <c r="CX60" i="8"/>
  <c r="CY60" i="8" s="1"/>
  <c r="DD60" i="8" s="1"/>
  <c r="BZ61" i="8"/>
  <c r="EJ60" i="8"/>
  <c r="EP60" i="8"/>
  <c r="EQ60" i="8" s="1"/>
  <c r="EV60" i="8" s="1"/>
  <c r="L107" i="22"/>
  <c r="M107" i="22" s="1"/>
  <c r="N107" i="22" s="1"/>
  <c r="H108" i="22" s="1"/>
  <c r="GA61" i="8" l="1"/>
  <c r="GC61" i="8" s="1"/>
  <c r="GB61" i="8" s="1"/>
  <c r="FY61" i="8"/>
  <c r="GG61" i="8"/>
  <c r="GY61" i="8"/>
  <c r="GE61" i="8"/>
  <c r="GF61" i="8"/>
  <c r="FZ61" i="8"/>
  <c r="GD61" i="8"/>
  <c r="AW108" i="22"/>
  <c r="CZ60" i="8"/>
  <c r="BP62" i="8"/>
  <c r="BU62" i="8"/>
  <c r="BQ62" i="8"/>
  <c r="BS62" i="8" s="1"/>
  <c r="BV62" i="8"/>
  <c r="BT62" i="8"/>
  <c r="ER60" i="8"/>
  <c r="FG61" i="8" s="1"/>
  <c r="J108" i="22"/>
  <c r="I108" i="22"/>
  <c r="B108" i="22"/>
  <c r="K108" i="22"/>
  <c r="C108" i="22"/>
  <c r="D108" i="22"/>
  <c r="E108" i="22" s="1"/>
  <c r="GH61" i="8" l="1"/>
  <c r="GI61" i="8" s="1"/>
  <c r="CO61" i="8"/>
  <c r="DP61" i="8"/>
  <c r="CQ61" i="8"/>
  <c r="CS61" i="8" s="1"/>
  <c r="CR61" i="8" s="1"/>
  <c r="CW61" i="8"/>
  <c r="CV61" i="8"/>
  <c r="CT61" i="8"/>
  <c r="CP61" i="8"/>
  <c r="CU61" i="8"/>
  <c r="BR62" i="8"/>
  <c r="BX62" i="8"/>
  <c r="BY62" i="8" s="1"/>
  <c r="EL61" i="8"/>
  <c r="EH61" i="8"/>
  <c r="EM61" i="8"/>
  <c r="EG61" i="8"/>
  <c r="EO61" i="8"/>
  <c r="EN61" i="8"/>
  <c r="EI61" i="8"/>
  <c r="EK61" i="8" s="1"/>
  <c r="EJ61" i="8" s="1"/>
  <c r="G108" i="22"/>
  <c r="BZ62" i="8" l="1"/>
  <c r="BT63" i="8" s="1"/>
  <c r="GN61" i="8"/>
  <c r="GJ61" i="8"/>
  <c r="CX61" i="8"/>
  <c r="CY61" i="8" s="1"/>
  <c r="DD61" i="8" s="1"/>
  <c r="CC62" i="8"/>
  <c r="EP61" i="8"/>
  <c r="EQ61" i="8" s="1"/>
  <c r="EV61" i="8" s="1"/>
  <c r="F108" i="22"/>
  <c r="L108" i="22"/>
  <c r="M108" i="22" s="1"/>
  <c r="CZ61" i="8" l="1"/>
  <c r="BV63" i="8"/>
  <c r="BU63" i="8"/>
  <c r="BQ63" i="8"/>
  <c r="BS63" i="8" s="1"/>
  <c r="BR63" i="8" s="1"/>
  <c r="BP63" i="8"/>
  <c r="GA62" i="8"/>
  <c r="GC62" i="8" s="1"/>
  <c r="GB62" i="8" s="1"/>
  <c r="GF62" i="8"/>
  <c r="GG62" i="8"/>
  <c r="FZ62" i="8"/>
  <c r="GE62" i="8"/>
  <c r="GD62" i="8"/>
  <c r="GY62" i="8"/>
  <c r="FY62" i="8"/>
  <c r="ER61" i="8"/>
  <c r="FG62" i="8" s="1"/>
  <c r="N108" i="22"/>
  <c r="AW109" i="22" s="1"/>
  <c r="DP62" i="8" l="1"/>
  <c r="CV62" i="8"/>
  <c r="CT62" i="8"/>
  <c r="CO62" i="8"/>
  <c r="CP62" i="8"/>
  <c r="CU62" i="8"/>
  <c r="CW62" i="8"/>
  <c r="CQ62" i="8"/>
  <c r="CS62" i="8" s="1"/>
  <c r="BX63" i="8"/>
  <c r="BY63" i="8" s="1"/>
  <c r="BZ63" i="8" s="1"/>
  <c r="BV64" i="8" s="1"/>
  <c r="GH62" i="8"/>
  <c r="GI62" i="8" s="1"/>
  <c r="GN62" i="8" s="1"/>
  <c r="CX62" i="8"/>
  <c r="CY62" i="8" s="1"/>
  <c r="CR62" i="8"/>
  <c r="EL62" i="8"/>
  <c r="EG62" i="8"/>
  <c r="EH62" i="8"/>
  <c r="EN62" i="8"/>
  <c r="EM62" i="8"/>
  <c r="EI62" i="8"/>
  <c r="EK62" i="8" s="1"/>
  <c r="EO62" i="8"/>
  <c r="B109" i="22"/>
  <c r="H109" i="22"/>
  <c r="D109" i="22"/>
  <c r="E109" i="22" s="1"/>
  <c r="G109" i="22" s="1"/>
  <c r="F109" i="22" s="1"/>
  <c r="I109" i="22"/>
  <c r="J109" i="22"/>
  <c r="K109" i="22"/>
  <c r="C109" i="22"/>
  <c r="DD62" i="8" l="1"/>
  <c r="GJ62" i="8"/>
  <c r="GD63" i="8" s="1"/>
  <c r="CC63" i="8"/>
  <c r="BT64" i="8"/>
  <c r="BP64" i="8"/>
  <c r="BQ64" i="8"/>
  <c r="BS64" i="8" s="1"/>
  <c r="BU64" i="8"/>
  <c r="GG63" i="8"/>
  <c r="GA63" i="8"/>
  <c r="GC63" i="8" s="1"/>
  <c r="GF63" i="8"/>
  <c r="FZ63" i="8"/>
  <c r="GY63" i="8"/>
  <c r="CZ62" i="8"/>
  <c r="EP62" i="8"/>
  <c r="EQ62" i="8" s="1"/>
  <c r="EV62" i="8" s="1"/>
  <c r="EJ62" i="8"/>
  <c r="L109" i="22"/>
  <c r="M109" i="22" s="1"/>
  <c r="N109" i="22" s="1"/>
  <c r="AW110" i="22" s="1"/>
  <c r="GE63" i="8" l="1"/>
  <c r="FY63" i="8"/>
  <c r="GB63" i="8"/>
  <c r="GH63" i="8"/>
  <c r="GI63" i="8" s="1"/>
  <c r="GN63" i="8" s="1"/>
  <c r="CQ63" i="8"/>
  <c r="CS63" i="8" s="1"/>
  <c r="DP63" i="8"/>
  <c r="CP63" i="8"/>
  <c r="CO63" i="8"/>
  <c r="CV63" i="8"/>
  <c r="CW63" i="8"/>
  <c r="CU63" i="8"/>
  <c r="CT63" i="8"/>
  <c r="CR63" i="8"/>
  <c r="ER62" i="8"/>
  <c r="BR64" i="8"/>
  <c r="BX64" i="8"/>
  <c r="C110" i="22"/>
  <c r="H110" i="22"/>
  <c r="D110" i="22"/>
  <c r="E110" i="22" s="1"/>
  <c r="G110" i="22" s="1"/>
  <c r="I110" i="22"/>
  <c r="J110" i="22"/>
  <c r="K110" i="22"/>
  <c r="B110" i="22"/>
  <c r="GJ63" i="8" l="1"/>
  <c r="EM63" i="8"/>
  <c r="FG63" i="8"/>
  <c r="CX63" i="8"/>
  <c r="CY63" i="8" s="1"/>
  <c r="DD63" i="8" s="1"/>
  <c r="EG63" i="8"/>
  <c r="EO63" i="8"/>
  <c r="EN63" i="8"/>
  <c r="EI63" i="8"/>
  <c r="EK63" i="8" s="1"/>
  <c r="EJ63" i="8" s="1"/>
  <c r="EH63" i="8"/>
  <c r="EL63" i="8"/>
  <c r="BY64" i="8"/>
  <c r="BZ64" i="8" s="1"/>
  <c r="F110" i="22"/>
  <c r="L110" i="22"/>
  <c r="M110" i="22" s="1"/>
  <c r="CZ63" i="8" l="1"/>
  <c r="GY64" i="8"/>
  <c r="GD64" i="8"/>
  <c r="GA64" i="8"/>
  <c r="GC64" i="8" s="1"/>
  <c r="GF64" i="8"/>
  <c r="GG64" i="8"/>
  <c r="GE64" i="8"/>
  <c r="FY64" i="8"/>
  <c r="FZ64" i="8"/>
  <c r="EP63" i="8"/>
  <c r="EQ63" i="8" s="1"/>
  <c r="EV63" i="8" s="1"/>
  <c r="BP65" i="8"/>
  <c r="BV65" i="8"/>
  <c r="BU65" i="8"/>
  <c r="BQ65" i="8"/>
  <c r="BS65" i="8" s="1"/>
  <c r="BR65" i="8" s="1"/>
  <c r="BT65" i="8"/>
  <c r="CC64" i="8"/>
  <c r="N110" i="22"/>
  <c r="DP64" i="8" l="1"/>
  <c r="CU64" i="8"/>
  <c r="CO64" i="8"/>
  <c r="CV64" i="8"/>
  <c r="CT64" i="8"/>
  <c r="CP64" i="8"/>
  <c r="CQ64" i="8"/>
  <c r="CS64" i="8" s="1"/>
  <c r="CR64" i="8" s="1"/>
  <c r="CW64" i="8"/>
  <c r="GH64" i="8"/>
  <c r="GI64" i="8" s="1"/>
  <c r="GN64" i="8" s="1"/>
  <c r="GB64" i="8"/>
  <c r="H111" i="22"/>
  <c r="AW111" i="22"/>
  <c r="ER63" i="8"/>
  <c r="EI64" i="8" s="1"/>
  <c r="EK64" i="8" s="1"/>
  <c r="EJ64" i="8" s="1"/>
  <c r="CX64" i="8"/>
  <c r="CY64" i="8" s="1"/>
  <c r="DD64" i="8" s="1"/>
  <c r="BX65" i="8"/>
  <c r="BY65" i="8" s="1"/>
  <c r="CC65" i="8" s="1"/>
  <c r="B111" i="22"/>
  <c r="K111" i="22"/>
  <c r="I111" i="22"/>
  <c r="D111" i="22"/>
  <c r="E111" i="22" s="1"/>
  <c r="G111" i="22" s="1"/>
  <c r="F111" i="22" s="1"/>
  <c r="J111" i="22"/>
  <c r="C111" i="22"/>
  <c r="EO64" i="8" l="1"/>
  <c r="EN64" i="8"/>
  <c r="EM64" i="8"/>
  <c r="EH64" i="8"/>
  <c r="EG64" i="8"/>
  <c r="GJ64" i="8"/>
  <c r="FY65" i="8" s="1"/>
  <c r="EL64" i="8"/>
  <c r="FG64" i="8"/>
  <c r="CZ64" i="8"/>
  <c r="BZ65" i="8"/>
  <c r="L111" i="22"/>
  <c r="M111" i="22" s="1"/>
  <c r="N111" i="22" s="1"/>
  <c r="H112" i="22" s="1"/>
  <c r="EP64" i="8" l="1"/>
  <c r="EQ64" i="8" s="1"/>
  <c r="EV64" i="8" s="1"/>
  <c r="GA65" i="8"/>
  <c r="GC65" i="8" s="1"/>
  <c r="GB65" i="8" s="1"/>
  <c r="FZ65" i="8"/>
  <c r="GG65" i="8"/>
  <c r="GF65" i="8"/>
  <c r="GE65" i="8"/>
  <c r="GY65" i="8"/>
  <c r="GD65" i="8"/>
  <c r="CO65" i="8"/>
  <c r="DP65" i="8"/>
  <c r="AW112" i="22"/>
  <c r="CP65" i="8"/>
  <c r="CU65" i="8"/>
  <c r="CQ65" i="8"/>
  <c r="CS65" i="8" s="1"/>
  <c r="CR65" i="8" s="1"/>
  <c r="CV65" i="8"/>
  <c r="CT65" i="8"/>
  <c r="CW65" i="8"/>
  <c r="BV66" i="8"/>
  <c r="BU66" i="8"/>
  <c r="BQ66" i="8"/>
  <c r="BS66" i="8" s="1"/>
  <c r="BR66" i="8" s="1"/>
  <c r="BP66" i="8"/>
  <c r="BT66" i="8"/>
  <c r="D112" i="22"/>
  <c r="E112" i="22" s="1"/>
  <c r="G112" i="22" s="1"/>
  <c r="F112" i="22" s="1"/>
  <c r="K112" i="22"/>
  <c r="J112" i="22"/>
  <c r="B112" i="22"/>
  <c r="I112" i="22"/>
  <c r="C112" i="22"/>
  <c r="ER64" i="8" l="1"/>
  <c r="EL65" i="8" s="1"/>
  <c r="GH65" i="8"/>
  <c r="GI65" i="8" s="1"/>
  <c r="GJ65" i="8" s="1"/>
  <c r="GD66" i="8" s="1"/>
  <c r="CX65" i="8"/>
  <c r="CY65" i="8" s="1"/>
  <c r="DD65" i="8" s="1"/>
  <c r="GY66" i="8"/>
  <c r="FG65" i="8"/>
  <c r="BX66" i="8"/>
  <c r="BY66" i="8" s="1"/>
  <c r="BZ66" i="8" s="1"/>
  <c r="BQ67" i="8" s="1"/>
  <c r="BS67" i="8" s="1"/>
  <c r="L112" i="22"/>
  <c r="M112" i="22" s="1"/>
  <c r="N112" i="22" s="1"/>
  <c r="H113" i="22" s="1"/>
  <c r="EM65" i="8" l="1"/>
  <c r="EI65" i="8"/>
  <c r="EK65" i="8" s="1"/>
  <c r="EJ65" i="8" s="1"/>
  <c r="EG65" i="8"/>
  <c r="EN65" i="8"/>
  <c r="EH65" i="8"/>
  <c r="EO65" i="8"/>
  <c r="CZ65" i="8"/>
  <c r="DP66" i="8" s="1"/>
  <c r="FZ66" i="8"/>
  <c r="GE66" i="8"/>
  <c r="FY66" i="8"/>
  <c r="GG66" i="8"/>
  <c r="GA66" i="8"/>
  <c r="GC66" i="8" s="1"/>
  <c r="GB66" i="8" s="1"/>
  <c r="GF66" i="8"/>
  <c r="GN65" i="8"/>
  <c r="AW113" i="22"/>
  <c r="EP65" i="8"/>
  <c r="EQ65" i="8" s="1"/>
  <c r="BT67" i="8"/>
  <c r="CC66" i="8"/>
  <c r="BP67" i="8"/>
  <c r="BU67" i="8"/>
  <c r="BV67" i="8"/>
  <c r="BR67" i="8"/>
  <c r="B113" i="22"/>
  <c r="C113" i="22"/>
  <c r="D113" i="22"/>
  <c r="E113" i="22" s="1"/>
  <c r="G113" i="22" s="1"/>
  <c r="F113" i="22" s="1"/>
  <c r="J113" i="22"/>
  <c r="I113" i="22"/>
  <c r="K113" i="22"/>
  <c r="EV65" i="8" l="1"/>
  <c r="CQ66" i="8"/>
  <c r="CS66" i="8" s="1"/>
  <c r="CP66" i="8"/>
  <c r="CW66" i="8"/>
  <c r="CU66" i="8"/>
  <c r="CV66" i="8"/>
  <c r="CO66" i="8"/>
  <c r="CT66" i="8"/>
  <c r="GH66" i="8"/>
  <c r="GI66" i="8" s="1"/>
  <c r="GJ66" i="8" s="1"/>
  <c r="GY67" i="8" s="1"/>
  <c r="CX66" i="8"/>
  <c r="CY66" i="8" s="1"/>
  <c r="CR66" i="8"/>
  <c r="ER65" i="8"/>
  <c r="BX67" i="8"/>
  <c r="BY67" i="8" s="1"/>
  <c r="BZ67" i="8" s="1"/>
  <c r="BP68" i="8" s="1"/>
  <c r="L113" i="22"/>
  <c r="M113" i="22" s="1"/>
  <c r="N113" i="22" s="1"/>
  <c r="H114" i="22" s="1"/>
  <c r="DD66" i="8" l="1"/>
  <c r="GE67" i="8"/>
  <c r="FZ67" i="8"/>
  <c r="GA67" i="8"/>
  <c r="GC67" i="8" s="1"/>
  <c r="FY67" i="8"/>
  <c r="GN66" i="8"/>
  <c r="GF67" i="8"/>
  <c r="GG67" i="8"/>
  <c r="GD67" i="8"/>
  <c r="AW114" i="22"/>
  <c r="EO66" i="8"/>
  <c r="FG66" i="8"/>
  <c r="EL66" i="8"/>
  <c r="EG66" i="8"/>
  <c r="EI66" i="8"/>
  <c r="EK66" i="8" s="1"/>
  <c r="EJ66" i="8" s="1"/>
  <c r="EM66" i="8"/>
  <c r="CZ66" i="8"/>
  <c r="DP67" i="8" s="1"/>
  <c r="EH66" i="8"/>
  <c r="EN66" i="8"/>
  <c r="BQ68" i="8"/>
  <c r="BS68" i="8" s="1"/>
  <c r="BR68" i="8" s="1"/>
  <c r="BU68" i="8"/>
  <c r="BV68" i="8"/>
  <c r="CC67" i="8"/>
  <c r="BT68" i="8"/>
  <c r="GB67" i="8"/>
  <c r="K114" i="22"/>
  <c r="I114" i="22"/>
  <c r="B114" i="22"/>
  <c r="D114" i="22"/>
  <c r="E114" i="22" s="1"/>
  <c r="G114" i="22" s="1"/>
  <c r="J114" i="22"/>
  <c r="C114" i="22"/>
  <c r="GH67" i="8" l="1"/>
  <c r="GI67" i="8" s="1"/>
  <c r="GN67" i="8" s="1"/>
  <c r="EP66" i="8"/>
  <c r="EQ66" i="8" s="1"/>
  <c r="EV66" i="8" s="1"/>
  <c r="CO67" i="8"/>
  <c r="CQ67" i="8"/>
  <c r="CS67" i="8" s="1"/>
  <c r="CR67" i="8" s="1"/>
  <c r="CU67" i="8"/>
  <c r="CP67" i="8"/>
  <c r="CV67" i="8"/>
  <c r="CT67" i="8"/>
  <c r="CW67" i="8"/>
  <c r="BX68" i="8"/>
  <c r="BY68" i="8" s="1"/>
  <c r="BZ68" i="8" s="1"/>
  <c r="BP69" i="8" s="1"/>
  <c r="GJ67" i="8"/>
  <c r="L114" i="22"/>
  <c r="M114" i="22" s="1"/>
  <c r="F114" i="22"/>
  <c r="GA68" i="8" l="1"/>
  <c r="GC68" i="8" s="1"/>
  <c r="GB68" i="8" s="1"/>
  <c r="GY68" i="8"/>
  <c r="ER66" i="8"/>
  <c r="EG67" i="8" s="1"/>
  <c r="CX67" i="8"/>
  <c r="CY67" i="8" s="1"/>
  <c r="DD67" i="8" s="1"/>
  <c r="GF68" i="8"/>
  <c r="GE68" i="8"/>
  <c r="BT69" i="8"/>
  <c r="EH67" i="8"/>
  <c r="EO67" i="8"/>
  <c r="BU69" i="8"/>
  <c r="FZ68" i="8"/>
  <c r="GG68" i="8"/>
  <c r="BQ69" i="8"/>
  <c r="BS69" i="8" s="1"/>
  <c r="BR69" i="8" s="1"/>
  <c r="CC68" i="8"/>
  <c r="FY68" i="8"/>
  <c r="BV69" i="8"/>
  <c r="GD68" i="8"/>
  <c r="N114" i="22"/>
  <c r="EN67" i="8" l="1"/>
  <c r="EI67" i="8"/>
  <c r="EK67" i="8" s="1"/>
  <c r="EJ67" i="8" s="1"/>
  <c r="EL67" i="8"/>
  <c r="H115" i="22"/>
  <c r="AW115" i="22"/>
  <c r="EM67" i="8"/>
  <c r="FG67" i="8"/>
  <c r="CZ67" i="8"/>
  <c r="GH68" i="8"/>
  <c r="GI68" i="8" s="1"/>
  <c r="GN68" i="8" s="1"/>
  <c r="BX69" i="8"/>
  <c r="BY69" i="8"/>
  <c r="BZ69" i="8" s="1"/>
  <c r="I115" i="22"/>
  <c r="C115" i="22"/>
  <c r="D115" i="22"/>
  <c r="E115" i="22" s="1"/>
  <c r="G115" i="22" s="1"/>
  <c r="F115" i="22" s="1"/>
  <c r="K115" i="22"/>
  <c r="B115" i="22"/>
  <c r="J115" i="22"/>
  <c r="EP67" i="8" l="1"/>
  <c r="EQ67" i="8" s="1"/>
  <c r="EV67" i="8" s="1"/>
  <c r="CO68" i="8"/>
  <c r="DP68" i="8"/>
  <c r="CU68" i="8"/>
  <c r="CV68" i="8"/>
  <c r="CT68" i="8"/>
  <c r="CW68" i="8"/>
  <c r="CQ68" i="8"/>
  <c r="CS68" i="8" s="1"/>
  <c r="CP68" i="8"/>
  <c r="GJ68" i="8"/>
  <c r="BQ70" i="8"/>
  <c r="BS70" i="8" s="1"/>
  <c r="BR70" i="8" s="1"/>
  <c r="BV70" i="8"/>
  <c r="BP70" i="8"/>
  <c r="BU70" i="8"/>
  <c r="BT70" i="8"/>
  <c r="CC69" i="8"/>
  <c r="L115" i="22"/>
  <c r="M115" i="22" s="1"/>
  <c r="N115" i="22" s="1"/>
  <c r="H116" i="22" s="1"/>
  <c r="ER67" i="8" l="1"/>
  <c r="EO68" i="8" s="1"/>
  <c r="CX68" i="8"/>
  <c r="CY68" i="8" s="1"/>
  <c r="DD68" i="8" s="1"/>
  <c r="FG68" i="8"/>
  <c r="GD69" i="8"/>
  <c r="GY69" i="8"/>
  <c r="AW116" i="22"/>
  <c r="CR68" i="8"/>
  <c r="CZ68" i="8" s="1"/>
  <c r="FZ69" i="8"/>
  <c r="GF69" i="8"/>
  <c r="GA69" i="8"/>
  <c r="GC69" i="8" s="1"/>
  <c r="GB69" i="8" s="1"/>
  <c r="FY69" i="8"/>
  <c r="GE69" i="8"/>
  <c r="GG69" i="8"/>
  <c r="EN68" i="8"/>
  <c r="EG68" i="8"/>
  <c r="BX70" i="8"/>
  <c r="BY70" i="8" s="1"/>
  <c r="BZ70" i="8" s="1"/>
  <c r="C116" i="22"/>
  <c r="K116" i="22"/>
  <c r="J116" i="22"/>
  <c r="I116" i="22"/>
  <c r="D116" i="22"/>
  <c r="E116" i="22" s="1"/>
  <c r="G116" i="22" s="1"/>
  <c r="F116" i="22" s="1"/>
  <c r="B116" i="22"/>
  <c r="EM68" i="8" l="1"/>
  <c r="EI68" i="8"/>
  <c r="EK68" i="8" s="1"/>
  <c r="EJ68" i="8" s="1"/>
  <c r="EH68" i="8"/>
  <c r="EL68" i="8"/>
  <c r="CW69" i="8"/>
  <c r="DP69" i="8"/>
  <c r="CQ69" i="8"/>
  <c r="CS69" i="8" s="1"/>
  <c r="CV69" i="8"/>
  <c r="CO69" i="8"/>
  <c r="CP69" i="8"/>
  <c r="CT69" i="8"/>
  <c r="CU69" i="8"/>
  <c r="GH69" i="8"/>
  <c r="GI69" i="8" s="1"/>
  <c r="GN69" i="8" s="1"/>
  <c r="EP68" i="8"/>
  <c r="EQ68" i="8" s="1"/>
  <c r="CR69" i="8"/>
  <c r="BT71" i="8"/>
  <c r="BU71" i="8"/>
  <c r="BV71" i="8"/>
  <c r="BP71" i="8"/>
  <c r="BQ71" i="8"/>
  <c r="BS71" i="8" s="1"/>
  <c r="BR71" i="8" s="1"/>
  <c r="CC70" i="8"/>
  <c r="L116" i="22"/>
  <c r="M116" i="22" s="1"/>
  <c r="N116" i="22" s="1"/>
  <c r="H117" i="22" s="1"/>
  <c r="EV68" i="8" l="1"/>
  <c r="AW117" i="22"/>
  <c r="CX69" i="8"/>
  <c r="CY69" i="8" s="1"/>
  <c r="DD69" i="8" s="1"/>
  <c r="ER68" i="8"/>
  <c r="GJ69" i="8"/>
  <c r="BX71" i="8"/>
  <c r="BY71" i="8"/>
  <c r="J117" i="22"/>
  <c r="I117" i="22"/>
  <c r="C117" i="22"/>
  <c r="K117" i="22"/>
  <c r="D117" i="22"/>
  <c r="E117" i="22" s="1"/>
  <c r="G117" i="22" s="1"/>
  <c r="F117" i="22" s="1"/>
  <c r="B117" i="22"/>
  <c r="CZ69" i="8" l="1"/>
  <c r="GD70" i="8"/>
  <c r="GY70" i="8"/>
  <c r="EL69" i="8"/>
  <c r="FG69" i="8"/>
  <c r="EH69" i="8"/>
  <c r="EN69" i="8"/>
  <c r="EG69" i="8"/>
  <c r="FZ70" i="8"/>
  <c r="GE70" i="8"/>
  <c r="GA70" i="8"/>
  <c r="GC70" i="8" s="1"/>
  <c r="GB70" i="8" s="1"/>
  <c r="EI69" i="8"/>
  <c r="EK69" i="8" s="1"/>
  <c r="EJ69" i="8" s="1"/>
  <c r="EM69" i="8"/>
  <c r="EO69" i="8"/>
  <c r="FY70" i="8"/>
  <c r="GG70" i="8"/>
  <c r="GF70" i="8"/>
  <c r="CC71" i="8"/>
  <c r="BZ71" i="8"/>
  <c r="L117" i="22"/>
  <c r="M117" i="22" s="1"/>
  <c r="N117" i="22" s="1"/>
  <c r="H118" i="22" s="1"/>
  <c r="DP70" i="8" l="1"/>
  <c r="CW70" i="8"/>
  <c r="CQ70" i="8"/>
  <c r="CS70" i="8" s="1"/>
  <c r="CR70" i="8" s="1"/>
  <c r="CV70" i="8"/>
  <c r="CU70" i="8"/>
  <c r="CO70" i="8"/>
  <c r="CP70" i="8"/>
  <c r="CT70" i="8"/>
  <c r="GH70" i="8"/>
  <c r="GI70" i="8" s="1"/>
  <c r="GN70" i="8" s="1"/>
  <c r="AW118" i="22"/>
  <c r="EP69" i="8"/>
  <c r="EQ69" i="8" s="1"/>
  <c r="ER69" i="8" s="1"/>
  <c r="CX70" i="8"/>
  <c r="CY70" i="8" s="1"/>
  <c r="DD70" i="8" s="1"/>
  <c r="BT72" i="8"/>
  <c r="BQ72" i="8"/>
  <c r="BS72" i="8" s="1"/>
  <c r="BR72" i="8" s="1"/>
  <c r="BP72" i="8"/>
  <c r="BU72" i="8"/>
  <c r="BV72" i="8"/>
  <c r="K118" i="22"/>
  <c r="I118" i="22"/>
  <c r="C118" i="22"/>
  <c r="D118" i="22"/>
  <c r="E118" i="22" s="1"/>
  <c r="G118" i="22" s="1"/>
  <c r="F118" i="22" s="1"/>
  <c r="J118" i="22"/>
  <c r="B118" i="22"/>
  <c r="GJ70" i="8" l="1"/>
  <c r="GF71" i="8" s="1"/>
  <c r="EV69" i="8"/>
  <c r="EM70" i="8"/>
  <c r="EO70" i="8"/>
  <c r="EI70" i="8"/>
  <c r="EK70" i="8" s="1"/>
  <c r="EJ70" i="8" s="1"/>
  <c r="EH70" i="8"/>
  <c r="FG70" i="8"/>
  <c r="EG70" i="8"/>
  <c r="EL70" i="8"/>
  <c r="EN70" i="8"/>
  <c r="CZ70" i="8"/>
  <c r="DP71" i="8" s="1"/>
  <c r="BX72" i="8"/>
  <c r="FY71" i="8"/>
  <c r="L118" i="22"/>
  <c r="M118" i="22" s="1"/>
  <c r="N118" i="22" s="1"/>
  <c r="H119" i="22" s="1"/>
  <c r="FZ71" i="8" l="1"/>
  <c r="GY71" i="8"/>
  <c r="GE71" i="8"/>
  <c r="GG71" i="8"/>
  <c r="GD71" i="8"/>
  <c r="GA71" i="8"/>
  <c r="GC71" i="8" s="1"/>
  <c r="GB71" i="8" s="1"/>
  <c r="AW119" i="22"/>
  <c r="EP70" i="8"/>
  <c r="EQ70" i="8" s="1"/>
  <c r="EV70" i="8" s="1"/>
  <c r="CQ71" i="8"/>
  <c r="CS71" i="8" s="1"/>
  <c r="CR71" i="8" s="1"/>
  <c r="CT71" i="8"/>
  <c r="CV71" i="8"/>
  <c r="CO71" i="8"/>
  <c r="CP71" i="8"/>
  <c r="CU71" i="8"/>
  <c r="CW71" i="8"/>
  <c r="BY72" i="8"/>
  <c r="BZ72" i="8" s="1"/>
  <c r="K119" i="22"/>
  <c r="J119" i="22"/>
  <c r="I119" i="22"/>
  <c r="D119" i="22"/>
  <c r="E119" i="22" s="1"/>
  <c r="G119" i="22" s="1"/>
  <c r="B119" i="22"/>
  <c r="C119" i="22"/>
  <c r="ER70" i="8" l="1"/>
  <c r="FG71" i="8" s="1"/>
  <c r="GH71" i="8"/>
  <c r="GI71" i="8" s="1"/>
  <c r="GJ71" i="8" s="1"/>
  <c r="GD72" i="8" s="1"/>
  <c r="CX71" i="8"/>
  <c r="CY71" i="8" s="1"/>
  <c r="DD71" i="8" s="1"/>
  <c r="BT73" i="8"/>
  <c r="BU73" i="8"/>
  <c r="BV73" i="8"/>
  <c r="BQ73" i="8"/>
  <c r="BS73" i="8" s="1"/>
  <c r="BR73" i="8" s="1"/>
  <c r="BP73" i="8"/>
  <c r="CC72" i="8"/>
  <c r="L119" i="22"/>
  <c r="M119" i="22" s="1"/>
  <c r="F119" i="22"/>
  <c r="EI71" i="8" l="1"/>
  <c r="EK71" i="8" s="1"/>
  <c r="EN71" i="8"/>
  <c r="EO71" i="8"/>
  <c r="EH71" i="8"/>
  <c r="EL71" i="8"/>
  <c r="EG71" i="8"/>
  <c r="EM71" i="8"/>
  <c r="GN71" i="8"/>
  <c r="GA72" i="8"/>
  <c r="GC72" i="8" s="1"/>
  <c r="GB72" i="8" s="1"/>
  <c r="FZ72" i="8"/>
  <c r="FY72" i="8"/>
  <c r="GG72" i="8"/>
  <c r="GE72" i="8"/>
  <c r="GF72" i="8"/>
  <c r="GY72" i="8"/>
  <c r="CZ71" i="8"/>
  <c r="BX73" i="8"/>
  <c r="BY73" i="8" s="1"/>
  <c r="CC73" i="8" s="1"/>
  <c r="EP71" i="8"/>
  <c r="EQ71" i="8" s="1"/>
  <c r="EJ71" i="8"/>
  <c r="N119" i="22"/>
  <c r="EV71" i="8" l="1"/>
  <c r="GH72" i="8"/>
  <c r="GI72" i="8" s="1"/>
  <c r="GN72" i="8" s="1"/>
  <c r="H120" i="22"/>
  <c r="AW120" i="22"/>
  <c r="CQ72" i="8"/>
  <c r="CS72" i="8" s="1"/>
  <c r="DP72" i="8"/>
  <c r="CU72" i="8"/>
  <c r="CP72" i="8"/>
  <c r="CO72" i="8"/>
  <c r="CV72" i="8"/>
  <c r="CT72" i="8"/>
  <c r="CW72" i="8"/>
  <c r="CR72" i="8"/>
  <c r="BZ73" i="8"/>
  <c r="ER71" i="8"/>
  <c r="FG72" i="8" s="1"/>
  <c r="D120" i="22"/>
  <c r="E120" i="22" s="1"/>
  <c r="G120" i="22" s="1"/>
  <c r="F120" i="22" s="1"/>
  <c r="J120" i="22"/>
  <c r="K120" i="22"/>
  <c r="B120" i="22"/>
  <c r="C120" i="22"/>
  <c r="I120" i="22"/>
  <c r="GJ72" i="8" l="1"/>
  <c r="GG73" i="8" s="1"/>
  <c r="GY73" i="8"/>
  <c r="CX72" i="8"/>
  <c r="CY72" i="8" s="1"/>
  <c r="DD72" i="8" s="1"/>
  <c r="BQ74" i="8"/>
  <c r="BS74" i="8" s="1"/>
  <c r="BR74" i="8" s="1"/>
  <c r="BT74" i="8"/>
  <c r="BU74" i="8"/>
  <c r="BV74" i="8"/>
  <c r="BP74" i="8"/>
  <c r="EL72" i="8"/>
  <c r="EO72" i="8"/>
  <c r="EN72" i="8"/>
  <c r="EH72" i="8"/>
  <c r="EG72" i="8"/>
  <c r="EM72" i="8"/>
  <c r="EI72" i="8"/>
  <c r="EK72" i="8" s="1"/>
  <c r="GE73" i="8"/>
  <c r="L120" i="22"/>
  <c r="M120" i="22" s="1"/>
  <c r="N120" i="22" s="1"/>
  <c r="H121" i="22" s="1"/>
  <c r="GA73" i="8" l="1"/>
  <c r="GC73" i="8" s="1"/>
  <c r="GB73" i="8" s="1"/>
  <c r="FY73" i="8"/>
  <c r="GD73" i="8"/>
  <c r="FZ73" i="8"/>
  <c r="GF73" i="8"/>
  <c r="AW121" i="22"/>
  <c r="CZ72" i="8"/>
  <c r="BX74" i="8"/>
  <c r="BY74" i="8" s="1"/>
  <c r="BZ74" i="8" s="1"/>
  <c r="BU75" i="8" s="1"/>
  <c r="GH73" i="8"/>
  <c r="GI73" i="8" s="1"/>
  <c r="EP72" i="8"/>
  <c r="EQ72" i="8" s="1"/>
  <c r="EV72" i="8" s="1"/>
  <c r="EJ72" i="8"/>
  <c r="J121" i="22"/>
  <c r="C121" i="22"/>
  <c r="B121" i="22"/>
  <c r="D121" i="22"/>
  <c r="E121" i="22" s="1"/>
  <c r="G121" i="22" s="1"/>
  <c r="F121" i="22" s="1"/>
  <c r="K121" i="22"/>
  <c r="I121" i="22"/>
  <c r="GN73" i="8" l="1"/>
  <c r="CV73" i="8"/>
  <c r="DP73" i="8"/>
  <c r="CT73" i="8"/>
  <c r="CO73" i="8"/>
  <c r="CP73" i="8"/>
  <c r="CW73" i="8"/>
  <c r="CQ73" i="8"/>
  <c r="CS73" i="8" s="1"/>
  <c r="CR73" i="8" s="1"/>
  <c r="CU73" i="8"/>
  <c r="GJ73" i="8"/>
  <c r="BT75" i="8"/>
  <c r="BV75" i="8"/>
  <c r="CC74" i="8"/>
  <c r="BP75" i="8"/>
  <c r="BQ75" i="8"/>
  <c r="BS75" i="8" s="1"/>
  <c r="BR75" i="8" s="1"/>
  <c r="ER72" i="8"/>
  <c r="FG73" i="8" s="1"/>
  <c r="L121" i="22"/>
  <c r="M121" i="22" s="1"/>
  <c r="N121" i="22" s="1"/>
  <c r="H122" i="22" s="1"/>
  <c r="FZ74" i="8" l="1"/>
  <c r="GY74" i="8"/>
  <c r="AW122" i="22"/>
  <c r="CX73" i="8"/>
  <c r="CY73" i="8" s="1"/>
  <c r="GA74" i="8"/>
  <c r="GC74" i="8" s="1"/>
  <c r="GB74" i="8" s="1"/>
  <c r="GE74" i="8"/>
  <c r="FY74" i="8"/>
  <c r="GG74" i="8"/>
  <c r="GD74" i="8"/>
  <c r="GF74" i="8"/>
  <c r="BX75" i="8"/>
  <c r="BY75" i="8" s="1"/>
  <c r="BZ75" i="8" s="1"/>
  <c r="BU76" i="8" s="1"/>
  <c r="EI73" i="8"/>
  <c r="EK73" i="8" s="1"/>
  <c r="EJ73" i="8" s="1"/>
  <c r="EL73" i="8"/>
  <c r="EG73" i="8"/>
  <c r="EN73" i="8"/>
  <c r="EM73" i="8"/>
  <c r="EO73" i="8"/>
  <c r="EH73" i="8"/>
  <c r="I122" i="22"/>
  <c r="C122" i="22"/>
  <c r="D122" i="22"/>
  <c r="E122" i="22" s="1"/>
  <c r="G122" i="22" s="1"/>
  <c r="K122" i="22"/>
  <c r="B122" i="22"/>
  <c r="J122" i="22"/>
  <c r="DD73" i="8" l="1"/>
  <c r="CZ73" i="8"/>
  <c r="DP74" i="8" s="1"/>
  <c r="GH74" i="8"/>
  <c r="GI74" i="8" s="1"/>
  <c r="GN74" i="8" s="1"/>
  <c r="BT76" i="8"/>
  <c r="CC75" i="8"/>
  <c r="BV76" i="8"/>
  <c r="BP76" i="8"/>
  <c r="BQ76" i="8"/>
  <c r="BS76" i="8" s="1"/>
  <c r="BR76" i="8" s="1"/>
  <c r="EP73" i="8"/>
  <c r="EQ73" i="8" s="1"/>
  <c r="EV73" i="8" s="1"/>
  <c r="L122" i="22"/>
  <c r="M122" i="22" s="1"/>
  <c r="F122" i="22"/>
  <c r="CT74" i="8" l="1"/>
  <c r="CU74" i="8"/>
  <c r="CW74" i="8"/>
  <c r="CQ74" i="8"/>
  <c r="CS74" i="8" s="1"/>
  <c r="CR74" i="8" s="1"/>
  <c r="CP74" i="8"/>
  <c r="CO74" i="8"/>
  <c r="CV74" i="8"/>
  <c r="GJ74" i="8"/>
  <c r="BX76" i="8"/>
  <c r="BY76" i="8" s="1"/>
  <c r="BZ76" i="8" s="1"/>
  <c r="BP77" i="8" s="1"/>
  <c r="ER73" i="8"/>
  <c r="FG74" i="8" s="1"/>
  <c r="N122" i="22"/>
  <c r="AW123" i="22" s="1"/>
  <c r="GD75" i="8" l="1"/>
  <c r="GY75" i="8"/>
  <c r="GA75" i="8"/>
  <c r="GC75" i="8" s="1"/>
  <c r="GB75" i="8" s="1"/>
  <c r="GF75" i="8"/>
  <c r="GG75" i="8"/>
  <c r="FY75" i="8"/>
  <c r="GE75" i="8"/>
  <c r="CX74" i="8"/>
  <c r="CY74" i="8" s="1"/>
  <c r="DD74" i="8" s="1"/>
  <c r="FZ75" i="8"/>
  <c r="BU77" i="8"/>
  <c r="CC76" i="8"/>
  <c r="BT77" i="8"/>
  <c r="BV77" i="8"/>
  <c r="BQ77" i="8"/>
  <c r="BS77" i="8" s="1"/>
  <c r="BR77" i="8" s="1"/>
  <c r="EH74" i="8"/>
  <c r="EM74" i="8"/>
  <c r="EN74" i="8"/>
  <c r="EI74" i="8"/>
  <c r="EK74" i="8" s="1"/>
  <c r="EJ74" i="8" s="1"/>
  <c r="EL74" i="8"/>
  <c r="EO74" i="8"/>
  <c r="EG74" i="8"/>
  <c r="J123" i="22"/>
  <c r="H123" i="22"/>
  <c r="K123" i="22"/>
  <c r="B123" i="22"/>
  <c r="I123" i="22"/>
  <c r="C123" i="22"/>
  <c r="D123" i="22"/>
  <c r="E123" i="22" s="1"/>
  <c r="G123" i="22" s="1"/>
  <c r="F123" i="22" s="1"/>
  <c r="GH75" i="8" l="1"/>
  <c r="GI75" i="8" s="1"/>
  <c r="GN75" i="8" s="1"/>
  <c r="CZ74" i="8"/>
  <c r="BX77" i="8"/>
  <c r="BY77" i="8" s="1"/>
  <c r="BZ77" i="8" s="1"/>
  <c r="BT78" i="8" s="1"/>
  <c r="EP74" i="8"/>
  <c r="EQ74" i="8" s="1"/>
  <c r="EV74" i="8" s="1"/>
  <c r="L123" i="22"/>
  <c r="M123" i="22" s="1"/>
  <c r="N123" i="22" s="1"/>
  <c r="AW124" i="22" s="1"/>
  <c r="GJ75" i="8" l="1"/>
  <c r="GY76" i="8" s="1"/>
  <c r="CV75" i="8"/>
  <c r="DP75" i="8"/>
  <c r="CO75" i="8"/>
  <c r="CQ75" i="8"/>
  <c r="CS75" i="8" s="1"/>
  <c r="CR75" i="8" s="1"/>
  <c r="CU75" i="8"/>
  <c r="CW75" i="8"/>
  <c r="CP75" i="8"/>
  <c r="CT75" i="8"/>
  <c r="CX75" i="8" s="1"/>
  <c r="CY75" i="8" s="1"/>
  <c r="BV78" i="8"/>
  <c r="BP78" i="8"/>
  <c r="CC77" i="8"/>
  <c r="BU78" i="8"/>
  <c r="BQ78" i="8"/>
  <c r="BS78" i="8" s="1"/>
  <c r="BR78" i="8" s="1"/>
  <c r="ER74" i="8"/>
  <c r="K124" i="22"/>
  <c r="H124" i="22"/>
  <c r="D124" i="22"/>
  <c r="E124" i="22" s="1"/>
  <c r="G124" i="22" s="1"/>
  <c r="F124" i="22" s="1"/>
  <c r="B124" i="22"/>
  <c r="I124" i="22"/>
  <c r="C124" i="22"/>
  <c r="J124" i="22"/>
  <c r="FZ76" i="8" l="1"/>
  <c r="GG76" i="8"/>
  <c r="GA76" i="8"/>
  <c r="GC76" i="8" s="1"/>
  <c r="GB76" i="8" s="1"/>
  <c r="GF76" i="8"/>
  <c r="GD76" i="8"/>
  <c r="GE76" i="8"/>
  <c r="FY76" i="8"/>
  <c r="EO75" i="8"/>
  <c r="FG75" i="8"/>
  <c r="DD75" i="8"/>
  <c r="CZ75" i="8"/>
  <c r="DP76" i="8" s="1"/>
  <c r="EL75" i="8"/>
  <c r="EG75" i="8"/>
  <c r="BX78" i="8"/>
  <c r="BY78" i="8" s="1"/>
  <c r="BZ78" i="8" s="1"/>
  <c r="EH75" i="8"/>
  <c r="EN75" i="8"/>
  <c r="EI75" i="8"/>
  <c r="EK75" i="8" s="1"/>
  <c r="EM75" i="8"/>
  <c r="L124" i="22"/>
  <c r="M124" i="22" s="1"/>
  <c r="N124" i="22" s="1"/>
  <c r="H125" i="22" s="1"/>
  <c r="GH76" i="8" l="1"/>
  <c r="GI76" i="8" s="1"/>
  <c r="GJ76" i="8" s="1"/>
  <c r="GY77" i="8" s="1"/>
  <c r="AW125" i="22"/>
  <c r="CP76" i="8"/>
  <c r="CQ76" i="8"/>
  <c r="CS76" i="8" s="1"/>
  <c r="CT76" i="8"/>
  <c r="CW76" i="8"/>
  <c r="CV76" i="8"/>
  <c r="CU76" i="8"/>
  <c r="CO76" i="8"/>
  <c r="EP75" i="8"/>
  <c r="EQ75" i="8" s="1"/>
  <c r="EV75" i="8" s="1"/>
  <c r="EJ75" i="8"/>
  <c r="BT79" i="8"/>
  <c r="BP79" i="8"/>
  <c r="BU79" i="8"/>
  <c r="BV79" i="8"/>
  <c r="BQ79" i="8"/>
  <c r="BS79" i="8" s="1"/>
  <c r="BR79" i="8" s="1"/>
  <c r="CC78" i="8"/>
  <c r="I125" i="22"/>
  <c r="K125" i="22"/>
  <c r="J125" i="22"/>
  <c r="D125" i="22"/>
  <c r="E125" i="22" s="1"/>
  <c r="G125" i="22" s="1"/>
  <c r="F125" i="22" s="1"/>
  <c r="B125" i="22"/>
  <c r="C125" i="22"/>
  <c r="GN76" i="8" l="1"/>
  <c r="CX76" i="8"/>
  <c r="CY76" i="8" s="1"/>
  <c r="DD76" i="8" s="1"/>
  <c r="CR76" i="8"/>
  <c r="ER75" i="8"/>
  <c r="FG76" i="8" s="1"/>
  <c r="BX79" i="8"/>
  <c r="FZ77" i="8"/>
  <c r="GG77" i="8"/>
  <c r="GF77" i="8"/>
  <c r="FY77" i="8"/>
  <c r="GA77" i="8"/>
  <c r="GC77" i="8" s="1"/>
  <c r="GE77" i="8"/>
  <c r="GD77" i="8"/>
  <c r="L125" i="22"/>
  <c r="M125" i="22" s="1"/>
  <c r="N125" i="22" s="1"/>
  <c r="H126" i="22" s="1"/>
  <c r="AW126" i="22" l="1"/>
  <c r="AV126" i="22" s="1"/>
  <c r="AU126" i="22" s="1"/>
  <c r="CZ76" i="8"/>
  <c r="DP77" i="8" s="1"/>
  <c r="EL76" i="8"/>
  <c r="EN76" i="8"/>
  <c r="EM76" i="8"/>
  <c r="EG76" i="8"/>
  <c r="EO76" i="8"/>
  <c r="EI76" i="8"/>
  <c r="EK76" i="8" s="1"/>
  <c r="EJ76" i="8" s="1"/>
  <c r="EH76" i="8"/>
  <c r="GB77" i="8"/>
  <c r="GH77" i="8"/>
  <c r="GI77" i="8" s="1"/>
  <c r="GN77" i="8" s="1"/>
  <c r="BY79" i="8"/>
  <c r="BZ79" i="8" s="1"/>
  <c r="I126" i="22"/>
  <c r="B126" i="22"/>
  <c r="K126" i="22"/>
  <c r="J126" i="22"/>
  <c r="D126" i="22"/>
  <c r="E126" i="22" s="1"/>
  <c r="C126" i="22"/>
  <c r="G126" i="22" l="1"/>
  <c r="F126" i="22" s="1"/>
  <c r="CU77" i="8"/>
  <c r="CQ77" i="8"/>
  <c r="CS77" i="8" s="1"/>
  <c r="CO77" i="8"/>
  <c r="CP77" i="8"/>
  <c r="CT77" i="8"/>
  <c r="CW77" i="8"/>
  <c r="CV77" i="8"/>
  <c r="EP76" i="8"/>
  <c r="EQ76" i="8" s="1"/>
  <c r="EV76" i="8" s="1"/>
  <c r="BP80" i="8"/>
  <c r="BU80" i="8"/>
  <c r="BV80" i="8"/>
  <c r="BT80" i="8"/>
  <c r="BQ80" i="8"/>
  <c r="BS80" i="8" s="1"/>
  <c r="GJ77" i="8"/>
  <c r="GY78" i="8" s="1"/>
  <c r="CC79" i="8"/>
  <c r="L126" i="22" l="1"/>
  <c r="M126" i="22" s="1"/>
  <c r="N126" i="22" s="1"/>
  <c r="H127" i="22" s="1"/>
  <c r="CR77" i="8"/>
  <c r="CX77" i="8"/>
  <c r="CY77" i="8" s="1"/>
  <c r="DD77" i="8" s="1"/>
  <c r="ER76" i="8"/>
  <c r="BX80" i="8"/>
  <c r="BY80" i="8" s="1"/>
  <c r="CC80" i="8" s="1"/>
  <c r="BR80" i="8"/>
  <c r="GE78" i="8"/>
  <c r="GD78" i="8"/>
  <c r="FY78" i="8"/>
  <c r="FZ78" i="8"/>
  <c r="GG78" i="8"/>
  <c r="GA78" i="8"/>
  <c r="GC78" i="8" s="1"/>
  <c r="GF78" i="8"/>
  <c r="I127" i="22" l="1"/>
  <c r="D127" i="22"/>
  <c r="E127" i="22" s="1"/>
  <c r="G127" i="22" s="1"/>
  <c r="B127" i="22"/>
  <c r="J127" i="22"/>
  <c r="C127" i="22"/>
  <c r="K127" i="22"/>
  <c r="AW127" i="22"/>
  <c r="EO77" i="8"/>
  <c r="FG77" i="8"/>
  <c r="CZ77" i="8"/>
  <c r="DP78" i="8" s="1"/>
  <c r="EM77" i="8"/>
  <c r="EI77" i="8"/>
  <c r="EK77" i="8" s="1"/>
  <c r="EJ77" i="8" s="1"/>
  <c r="EG77" i="8"/>
  <c r="EH77" i="8"/>
  <c r="EN77" i="8"/>
  <c r="EL77" i="8"/>
  <c r="GB78" i="8"/>
  <c r="GH78" i="8"/>
  <c r="BZ80" i="8"/>
  <c r="GI78" i="8"/>
  <c r="GN78" i="8" s="1"/>
  <c r="F127" i="22"/>
  <c r="L127" i="22" l="1"/>
  <c r="M127" i="22" s="1"/>
  <c r="N127" i="22" s="1"/>
  <c r="CP78" i="8"/>
  <c r="CQ78" i="8"/>
  <c r="CS78" i="8" s="1"/>
  <c r="CU78" i="8"/>
  <c r="CT78" i="8"/>
  <c r="CV78" i="8"/>
  <c r="CW78" i="8"/>
  <c r="CO78" i="8"/>
  <c r="EP77" i="8"/>
  <c r="EQ77" i="8" s="1"/>
  <c r="EV77" i="8" s="1"/>
  <c r="BT81" i="8"/>
  <c r="BU81" i="8"/>
  <c r="BQ81" i="8"/>
  <c r="BS81" i="8" s="1"/>
  <c r="BR81" i="8" s="1"/>
  <c r="BP81" i="8"/>
  <c r="BV81" i="8"/>
  <c r="GJ78" i="8"/>
  <c r="GY79" i="8" s="1"/>
  <c r="D128" i="22" l="1"/>
  <c r="E128" i="22" s="1"/>
  <c r="G128" i="22" s="1"/>
  <c r="F128" i="22" s="1"/>
  <c r="AW128" i="22"/>
  <c r="CR78" i="8"/>
  <c r="CX78" i="8"/>
  <c r="CY78" i="8" s="1"/>
  <c r="DD78" i="8" s="1"/>
  <c r="I128" i="22"/>
  <c r="C128" i="22"/>
  <c r="B128" i="22"/>
  <c r="K128" i="22"/>
  <c r="H128" i="22"/>
  <c r="ER77" i="8"/>
  <c r="J128" i="22"/>
  <c r="BX81" i="8"/>
  <c r="BY81" i="8" s="1"/>
  <c r="CC81" i="8" s="1"/>
  <c r="GG79" i="8"/>
  <c r="FY79" i="8"/>
  <c r="FZ79" i="8"/>
  <c r="GD79" i="8"/>
  <c r="GF79" i="8"/>
  <c r="GE79" i="8"/>
  <c r="GA79" i="8"/>
  <c r="GC79" i="8" s="1"/>
  <c r="GB79" i="8" s="1"/>
  <c r="EN78" i="8" l="1"/>
  <c r="FG78" i="8"/>
  <c r="CZ78" i="8"/>
  <c r="DP79" i="8" s="1"/>
  <c r="EO78" i="8"/>
  <c r="EL78" i="8"/>
  <c r="L128" i="22"/>
  <c r="M128" i="22" s="1"/>
  <c r="N128" i="22" s="1"/>
  <c r="H129" i="22" s="1"/>
  <c r="EI78" i="8"/>
  <c r="EK78" i="8" s="1"/>
  <c r="EM78" i="8"/>
  <c r="EG78" i="8"/>
  <c r="EH78" i="8"/>
  <c r="GH79" i="8"/>
  <c r="GI79" i="8" s="1"/>
  <c r="GN79" i="8" s="1"/>
  <c r="BZ81" i="8"/>
  <c r="BV82" i="8" s="1"/>
  <c r="AW129" i="22" l="1"/>
  <c r="CQ79" i="8"/>
  <c r="CS79" i="8" s="1"/>
  <c r="CP79" i="8"/>
  <c r="CT79" i="8"/>
  <c r="CU79" i="8"/>
  <c r="CW79" i="8"/>
  <c r="CV79" i="8"/>
  <c r="CO79" i="8"/>
  <c r="I129" i="22"/>
  <c r="D129" i="22"/>
  <c r="E129" i="22" s="1"/>
  <c r="G129" i="22" s="1"/>
  <c r="F129" i="22" s="1"/>
  <c r="C129" i="22"/>
  <c r="B129" i="22"/>
  <c r="K129" i="22"/>
  <c r="J129" i="22"/>
  <c r="GJ79" i="8"/>
  <c r="BT82" i="8"/>
  <c r="BP82" i="8"/>
  <c r="BU82" i="8"/>
  <c r="EJ78" i="8"/>
  <c r="BQ82" i="8"/>
  <c r="BS82" i="8" s="1"/>
  <c r="EP78" i="8"/>
  <c r="EQ78" i="8" s="1"/>
  <c r="EV78" i="8" s="1"/>
  <c r="GG80" i="8" l="1"/>
  <c r="GY80" i="8"/>
  <c r="CX79" i="8"/>
  <c r="CY79" i="8" s="1"/>
  <c r="DD79" i="8" s="1"/>
  <c r="CR79" i="8"/>
  <c r="L129" i="22"/>
  <c r="M129" i="22" s="1"/>
  <c r="N129" i="22" s="1"/>
  <c r="H130" i="22" s="1"/>
  <c r="GA80" i="8"/>
  <c r="GC80" i="8" s="1"/>
  <c r="GB80" i="8" s="1"/>
  <c r="GE80" i="8"/>
  <c r="FZ80" i="8"/>
  <c r="FY80" i="8"/>
  <c r="GD80" i="8"/>
  <c r="GF80" i="8"/>
  <c r="ER78" i="8"/>
  <c r="BX82" i="8"/>
  <c r="BY82" i="8" s="1"/>
  <c r="CC82" i="8" s="1"/>
  <c r="BR82" i="8"/>
  <c r="EN79" i="8" l="1"/>
  <c r="FG79" i="8"/>
  <c r="AW130" i="22"/>
  <c r="CZ79" i="8"/>
  <c r="DP80" i="8" s="1"/>
  <c r="J130" i="22"/>
  <c r="C130" i="22"/>
  <c r="K130" i="22"/>
  <c r="D130" i="22"/>
  <c r="E130" i="22" s="1"/>
  <c r="G130" i="22" s="1"/>
  <c r="F130" i="22" s="1"/>
  <c r="I130" i="22"/>
  <c r="B130" i="22"/>
  <c r="GH80" i="8"/>
  <c r="GI80" i="8" s="1"/>
  <c r="GN80" i="8" s="1"/>
  <c r="EO79" i="8"/>
  <c r="EH79" i="8"/>
  <c r="EL79" i="8"/>
  <c r="EG79" i="8"/>
  <c r="EM79" i="8"/>
  <c r="BZ82" i="8"/>
  <c r="BQ83" i="8" s="1"/>
  <c r="BS83" i="8" s="1"/>
  <c r="BR83" i="8" s="1"/>
  <c r="EI79" i="8"/>
  <c r="EK79" i="8" s="1"/>
  <c r="CQ80" i="8" l="1"/>
  <c r="CS80" i="8" s="1"/>
  <c r="CP80" i="8"/>
  <c r="CW80" i="8"/>
  <c r="CV80" i="8"/>
  <c r="CU80" i="8"/>
  <c r="CT80" i="8"/>
  <c r="CO80" i="8"/>
  <c r="L130" i="22"/>
  <c r="M130" i="22" s="1"/>
  <c r="N130" i="22" s="1"/>
  <c r="H131" i="22" s="1"/>
  <c r="GJ80" i="8"/>
  <c r="EP79" i="8"/>
  <c r="EQ79" i="8" s="1"/>
  <c r="EV79" i="8" s="1"/>
  <c r="EJ79" i="8"/>
  <c r="BT83" i="8"/>
  <c r="BV83" i="8"/>
  <c r="BU83" i="8"/>
  <c r="BP83" i="8"/>
  <c r="FZ81" i="8" l="1"/>
  <c r="GY81" i="8"/>
  <c r="AW131" i="22"/>
  <c r="CR80" i="8"/>
  <c r="CX80" i="8"/>
  <c r="CY80" i="8" s="1"/>
  <c r="GE81" i="8"/>
  <c r="GF81" i="8"/>
  <c r="GD81" i="8"/>
  <c r="GG81" i="8"/>
  <c r="GA81" i="8"/>
  <c r="GC81" i="8" s="1"/>
  <c r="GB81" i="8" s="1"/>
  <c r="FY81" i="8"/>
  <c r="ER79" i="8"/>
  <c r="BX83" i="8"/>
  <c r="BY83" i="8" s="1"/>
  <c r="BZ83" i="8" s="1"/>
  <c r="C131" i="22"/>
  <c r="B131" i="22"/>
  <c r="D131" i="22"/>
  <c r="E131" i="22" s="1"/>
  <c r="G131" i="22" s="1"/>
  <c r="F131" i="22" s="1"/>
  <c r="K131" i="22"/>
  <c r="J131" i="22"/>
  <c r="I131" i="22"/>
  <c r="EG80" i="8" l="1"/>
  <c r="FG80" i="8"/>
  <c r="CZ80" i="8"/>
  <c r="DD80" i="8"/>
  <c r="GH81" i="8"/>
  <c r="GI81" i="8" s="1"/>
  <c r="GN81" i="8" s="1"/>
  <c r="EM80" i="8"/>
  <c r="EL80" i="8"/>
  <c r="EO80" i="8"/>
  <c r="EI80" i="8"/>
  <c r="EK80" i="8" s="1"/>
  <c r="EJ80" i="8" s="1"/>
  <c r="EN80" i="8"/>
  <c r="EH80" i="8"/>
  <c r="BT84" i="8"/>
  <c r="BP84" i="8"/>
  <c r="BQ84" i="8"/>
  <c r="BS84" i="8" s="1"/>
  <c r="BR84" i="8" s="1"/>
  <c r="BU84" i="8"/>
  <c r="BV84" i="8"/>
  <c r="CC83" i="8"/>
  <c r="L131" i="22"/>
  <c r="M131" i="22" s="1"/>
  <c r="N131" i="22" s="1"/>
  <c r="H132" i="22" s="1"/>
  <c r="CW81" i="8" l="1"/>
  <c r="DP81" i="8"/>
  <c r="AW132" i="22"/>
  <c r="CU81" i="8"/>
  <c r="CO81" i="8"/>
  <c r="CT81" i="8"/>
  <c r="CQ81" i="8"/>
  <c r="CS81" i="8" s="1"/>
  <c r="CR81" i="8" s="1"/>
  <c r="CP81" i="8"/>
  <c r="CV81" i="8"/>
  <c r="GJ81" i="8"/>
  <c r="EP80" i="8"/>
  <c r="EQ80" i="8" s="1"/>
  <c r="EV80" i="8" s="1"/>
  <c r="BX84" i="8"/>
  <c r="BY84" i="8" s="1"/>
  <c r="BZ84" i="8" s="1"/>
  <c r="D132" i="22"/>
  <c r="E132" i="22" s="1"/>
  <c r="G132" i="22" s="1"/>
  <c r="F132" i="22" s="1"/>
  <c r="J132" i="22"/>
  <c r="I132" i="22"/>
  <c r="K132" i="22"/>
  <c r="C132" i="22"/>
  <c r="B132" i="22"/>
  <c r="CX81" i="8" l="1"/>
  <c r="CY81" i="8" s="1"/>
  <c r="GG82" i="8"/>
  <c r="GY82" i="8"/>
  <c r="DP82" i="8"/>
  <c r="FY82" i="8"/>
  <c r="GA82" i="8"/>
  <c r="GC82" i="8" s="1"/>
  <c r="GB82" i="8" s="1"/>
  <c r="GF82" i="8"/>
  <c r="FZ82" i="8"/>
  <c r="GE82" i="8"/>
  <c r="GD82" i="8"/>
  <c r="ER80" i="8"/>
  <c r="BT85" i="8"/>
  <c r="BP85" i="8"/>
  <c r="BV85" i="8"/>
  <c r="BQ85" i="8"/>
  <c r="BS85" i="8" s="1"/>
  <c r="BR85" i="8" s="1"/>
  <c r="BU85" i="8"/>
  <c r="CC84" i="8"/>
  <c r="L132" i="22"/>
  <c r="M132" i="22" s="1"/>
  <c r="N132" i="22" s="1"/>
  <c r="H133" i="22" s="1"/>
  <c r="CZ81" i="8" l="1"/>
  <c r="DD81" i="8"/>
  <c r="AW133" i="22"/>
  <c r="EN81" i="8"/>
  <c r="FG81" i="8"/>
  <c r="EH81" i="8"/>
  <c r="EO81" i="8"/>
  <c r="EM81" i="8"/>
  <c r="GH82" i="8"/>
  <c r="GI82" i="8" s="1"/>
  <c r="GN82" i="8" s="1"/>
  <c r="EI81" i="8"/>
  <c r="EK81" i="8" s="1"/>
  <c r="EJ81" i="8" s="1"/>
  <c r="EL81" i="8"/>
  <c r="EG81" i="8"/>
  <c r="CR82" i="8"/>
  <c r="CX82" i="8"/>
  <c r="CY82" i="8" s="1"/>
  <c r="BX85" i="8"/>
  <c r="C133" i="22"/>
  <c r="K133" i="22"/>
  <c r="B133" i="22"/>
  <c r="D133" i="22"/>
  <c r="E133" i="22" s="1"/>
  <c r="G133" i="22" s="1"/>
  <c r="J133" i="22"/>
  <c r="I133" i="22"/>
  <c r="CT82" i="8" l="1"/>
  <c r="CP82" i="8"/>
  <c r="CU82" i="8"/>
  <c r="CQ82" i="8"/>
  <c r="CS82" i="8" s="1"/>
  <c r="CV82" i="8"/>
  <c r="CW82" i="8"/>
  <c r="CO82" i="8"/>
  <c r="EP81" i="8"/>
  <c r="EQ81" i="8" s="1"/>
  <c r="EV81" i="8" s="1"/>
  <c r="GJ82" i="8"/>
  <c r="CZ82" i="8"/>
  <c r="DP83" i="8" s="1"/>
  <c r="BY85" i="8"/>
  <c r="BZ85" i="8" s="1"/>
  <c r="L133" i="22"/>
  <c r="M133" i="22" s="1"/>
  <c r="F133" i="22"/>
  <c r="DD82" i="8" l="1"/>
  <c r="ER81" i="8"/>
  <c r="GE83" i="8"/>
  <c r="GY83" i="8"/>
  <c r="FG82" i="8"/>
  <c r="GA83" i="8"/>
  <c r="GC83" i="8" s="1"/>
  <c r="GB83" i="8" s="1"/>
  <c r="GG83" i="8"/>
  <c r="FZ83" i="8"/>
  <c r="GD83" i="8"/>
  <c r="GF83" i="8"/>
  <c r="FY83" i="8"/>
  <c r="CQ83" i="8"/>
  <c r="CS83" i="8" s="1"/>
  <c r="CR83" i="8" s="1"/>
  <c r="CO83" i="8"/>
  <c r="CP83" i="8"/>
  <c r="CT83" i="8"/>
  <c r="CV83" i="8"/>
  <c r="CU83" i="8"/>
  <c r="CW83" i="8"/>
  <c r="CC85" i="8"/>
  <c r="BT86" i="8"/>
  <c r="BU86" i="8"/>
  <c r="BV86" i="8"/>
  <c r="BP86" i="8"/>
  <c r="BQ86" i="8"/>
  <c r="BS86" i="8" s="1"/>
  <c r="BR86" i="8" s="1"/>
  <c r="N133" i="22"/>
  <c r="EO82" i="8" l="1"/>
  <c r="EH82" i="8"/>
  <c r="EM82" i="8"/>
  <c r="EI82" i="8"/>
  <c r="EK82" i="8" s="1"/>
  <c r="EJ82" i="8" s="1"/>
  <c r="EL82" i="8"/>
  <c r="EG82" i="8"/>
  <c r="EN82" i="8"/>
  <c r="H134" i="22"/>
  <c r="AW134" i="22"/>
  <c r="GH83" i="8"/>
  <c r="GI83" i="8" s="1"/>
  <c r="GJ83" i="8" s="1"/>
  <c r="GY84" i="8" s="1"/>
  <c r="CX83" i="8"/>
  <c r="CY83" i="8" s="1"/>
  <c r="DD83" i="8" s="1"/>
  <c r="EP82" i="8"/>
  <c r="EQ82" i="8" s="1"/>
  <c r="BX86" i="8"/>
  <c r="BY86" i="8"/>
  <c r="BZ86" i="8" s="1"/>
  <c r="C134" i="22"/>
  <c r="D134" i="22"/>
  <c r="E134" i="22" s="1"/>
  <c r="G134" i="22" s="1"/>
  <c r="F134" i="22" s="1"/>
  <c r="I134" i="22"/>
  <c r="K134" i="22"/>
  <c r="J134" i="22"/>
  <c r="B134" i="22"/>
  <c r="EV82" i="8" l="1"/>
  <c r="GN83" i="8"/>
  <c r="CZ83" i="8"/>
  <c r="DP84" i="8" s="1"/>
  <c r="GF84" i="8"/>
  <c r="GA84" i="8"/>
  <c r="GC84" i="8" s="1"/>
  <c r="GE84" i="8"/>
  <c r="FY84" i="8"/>
  <c r="GD84" i="8"/>
  <c r="FZ84" i="8"/>
  <c r="GG84" i="8"/>
  <c r="ER82" i="8"/>
  <c r="FG83" i="8" s="1"/>
  <c r="CC86" i="8"/>
  <c r="BT87" i="8"/>
  <c r="BQ87" i="8"/>
  <c r="BS87" i="8" s="1"/>
  <c r="BR87" i="8" s="1"/>
  <c r="BU87" i="8"/>
  <c r="BP87" i="8"/>
  <c r="BV87" i="8"/>
  <c r="L134" i="22"/>
  <c r="M134" i="22" s="1"/>
  <c r="N134" i="22" s="1"/>
  <c r="B135" i="22" s="1"/>
  <c r="AW135" i="22" l="1"/>
  <c r="CT84" i="8"/>
  <c r="CU84" i="8"/>
  <c r="CQ84" i="8"/>
  <c r="CS84" i="8" s="1"/>
  <c r="CR84" i="8" s="1"/>
  <c r="CW84" i="8"/>
  <c r="CO84" i="8"/>
  <c r="CP84" i="8"/>
  <c r="CV84" i="8"/>
  <c r="GB84" i="8"/>
  <c r="GH84" i="8"/>
  <c r="GI84" i="8" s="1"/>
  <c r="GN84" i="8" s="1"/>
  <c r="EM83" i="8"/>
  <c r="EG83" i="8"/>
  <c r="EL83" i="8"/>
  <c r="EH83" i="8"/>
  <c r="EI83" i="8"/>
  <c r="EK83" i="8" s="1"/>
  <c r="EO83" i="8"/>
  <c r="EN83" i="8"/>
  <c r="BX87" i="8"/>
  <c r="D135" i="22"/>
  <c r="E135" i="22" s="1"/>
  <c r="G135" i="22" s="1"/>
  <c r="F135" i="22" s="1"/>
  <c r="C135" i="22"/>
  <c r="K135" i="22"/>
  <c r="H135" i="22"/>
  <c r="I135" i="22"/>
  <c r="J135" i="22"/>
  <c r="CX84" i="8" l="1"/>
  <c r="CY84" i="8" s="1"/>
  <c r="DD84" i="8" s="1"/>
  <c r="GJ84" i="8"/>
  <c r="GY85" i="8" s="1"/>
  <c r="GX85" i="8" s="1"/>
  <c r="GW85" i="8" s="1"/>
  <c r="EP83" i="8"/>
  <c r="EQ83" i="8" s="1"/>
  <c r="EV83" i="8" s="1"/>
  <c r="EJ83" i="8"/>
  <c r="BY87" i="8"/>
  <c r="BZ87" i="8" s="1"/>
  <c r="L135" i="22"/>
  <c r="M135" i="22" s="1"/>
  <c r="N135" i="22" s="1"/>
  <c r="H136" i="22" l="1"/>
  <c r="AW136" i="22"/>
  <c r="CZ84" i="8"/>
  <c r="DP85" i="8" s="1"/>
  <c r="GF85" i="8"/>
  <c r="FY85" i="8"/>
  <c r="GE85" i="8"/>
  <c r="FZ85" i="8"/>
  <c r="GG85" i="8"/>
  <c r="GA85" i="8"/>
  <c r="GC85" i="8" s="1"/>
  <c r="GB85" i="8" s="1"/>
  <c r="GD85" i="8"/>
  <c r="ER83" i="8"/>
  <c r="FG84" i="8" s="1"/>
  <c r="CC87" i="8"/>
  <c r="BT88" i="8"/>
  <c r="BU88" i="8"/>
  <c r="BQ88" i="8"/>
  <c r="BS88" i="8" s="1"/>
  <c r="BR88" i="8" s="1"/>
  <c r="BV88" i="8"/>
  <c r="BP88" i="8"/>
  <c r="J136" i="22"/>
  <c r="B136" i="22"/>
  <c r="C136" i="22"/>
  <c r="I136" i="22"/>
  <c r="K136" i="22"/>
  <c r="D136" i="22"/>
  <c r="E136" i="22" s="1"/>
  <c r="G136" i="22" s="1"/>
  <c r="CT85" i="8" l="1"/>
  <c r="CV85" i="8"/>
  <c r="CQ85" i="8"/>
  <c r="CS85" i="8" s="1"/>
  <c r="CU85" i="8"/>
  <c r="CP85" i="8"/>
  <c r="CO85" i="8"/>
  <c r="CW85" i="8"/>
  <c r="GH85" i="8"/>
  <c r="GI85" i="8" s="1"/>
  <c r="GN85" i="8" s="1"/>
  <c r="EI84" i="8"/>
  <c r="EK84" i="8" s="1"/>
  <c r="EM84" i="8"/>
  <c r="EH84" i="8"/>
  <c r="EN84" i="8"/>
  <c r="EO84" i="8"/>
  <c r="EL84" i="8"/>
  <c r="EG84" i="8"/>
  <c r="BX88" i="8"/>
  <c r="BY88" i="8" s="1"/>
  <c r="BZ88" i="8" s="1"/>
  <c r="L136" i="22"/>
  <c r="M136" i="22" s="1"/>
  <c r="F136" i="22"/>
  <c r="CR85" i="8" l="1"/>
  <c r="CX85" i="8"/>
  <c r="CY85" i="8" s="1"/>
  <c r="CZ85" i="8" s="1"/>
  <c r="DP86" i="8" s="1"/>
  <c r="GJ85" i="8"/>
  <c r="GY86" i="8" s="1"/>
  <c r="EP84" i="8"/>
  <c r="EQ84" i="8" s="1"/>
  <c r="EV84" i="8" s="1"/>
  <c r="EJ84" i="8"/>
  <c r="BT89" i="8"/>
  <c r="BV89" i="8"/>
  <c r="BU89" i="8"/>
  <c r="BP89" i="8"/>
  <c r="BQ89" i="8"/>
  <c r="BS89" i="8" s="1"/>
  <c r="BR89" i="8" s="1"/>
  <c r="CC88" i="8"/>
  <c r="N136" i="22"/>
  <c r="H137" i="22" l="1"/>
  <c r="AW137" i="22"/>
  <c r="DD85" i="8"/>
  <c r="CT86" i="8"/>
  <c r="CQ86" i="8"/>
  <c r="CS86" i="8" s="1"/>
  <c r="CO86" i="8"/>
  <c r="CW86" i="8"/>
  <c r="CU86" i="8"/>
  <c r="CP86" i="8"/>
  <c r="CV86" i="8"/>
  <c r="FZ86" i="8"/>
  <c r="GD86" i="8"/>
  <c r="GG86" i="8"/>
  <c r="GE86" i="8"/>
  <c r="GF86" i="8"/>
  <c r="GA86" i="8"/>
  <c r="GC86" i="8" s="1"/>
  <c r="FY86" i="8"/>
  <c r="ER84" i="8"/>
  <c r="FG85" i="8" s="1"/>
  <c r="BX89" i="8"/>
  <c r="BY89" i="8" s="1"/>
  <c r="BZ89" i="8" s="1"/>
  <c r="BT90" i="8" s="1"/>
  <c r="K137" i="22"/>
  <c r="D137" i="22"/>
  <c r="E137" i="22" s="1"/>
  <c r="G137" i="22" s="1"/>
  <c r="F137" i="22" s="1"/>
  <c r="B137" i="22"/>
  <c r="I137" i="22"/>
  <c r="C137" i="22"/>
  <c r="J137" i="22"/>
  <c r="CX86" i="8" l="1"/>
  <c r="CY86" i="8" s="1"/>
  <c r="DD86" i="8" s="1"/>
  <c r="CR86" i="8"/>
  <c r="GH86" i="8"/>
  <c r="GI86" i="8" s="1"/>
  <c r="GN86" i="8" s="1"/>
  <c r="GB86" i="8"/>
  <c r="EN85" i="8"/>
  <c r="EH85" i="8"/>
  <c r="EI85" i="8"/>
  <c r="EK85" i="8" s="1"/>
  <c r="EO85" i="8"/>
  <c r="EL85" i="8"/>
  <c r="EM85" i="8"/>
  <c r="EG85" i="8"/>
  <c r="BV90" i="8"/>
  <c r="BU90" i="8"/>
  <c r="BQ90" i="8"/>
  <c r="BS90" i="8" s="1"/>
  <c r="BR90" i="8" s="1"/>
  <c r="BP90" i="8"/>
  <c r="CC89" i="8"/>
  <c r="L137" i="22"/>
  <c r="M137" i="22" s="1"/>
  <c r="N137" i="22" s="1"/>
  <c r="H138" i="22" s="1"/>
  <c r="AW138" i="22" l="1"/>
  <c r="CZ86" i="8"/>
  <c r="DP87" i="8" s="1"/>
  <c r="GJ86" i="8"/>
  <c r="EJ85" i="8"/>
  <c r="EP85" i="8"/>
  <c r="EQ85" i="8" s="1"/>
  <c r="EV85" i="8" s="1"/>
  <c r="BX90" i="8"/>
  <c r="BY90" i="8" s="1"/>
  <c r="BZ90" i="8" s="1"/>
  <c r="BV91" i="8" s="1"/>
  <c r="K138" i="22"/>
  <c r="B138" i="22"/>
  <c r="I138" i="22"/>
  <c r="C138" i="22"/>
  <c r="J138" i="22"/>
  <c r="D138" i="22"/>
  <c r="E138" i="22" s="1"/>
  <c r="G138" i="22" s="1"/>
  <c r="F138" i="22" s="1"/>
  <c r="GE87" i="8" l="1"/>
  <c r="GY87" i="8"/>
  <c r="GA87" i="8"/>
  <c r="GC87" i="8" s="1"/>
  <c r="GB87" i="8" s="1"/>
  <c r="FZ87" i="8"/>
  <c r="FY87" i="8"/>
  <c r="GF87" i="8"/>
  <c r="GG87" i="8"/>
  <c r="CT87" i="8"/>
  <c r="CP87" i="8"/>
  <c r="CV87" i="8"/>
  <c r="CW87" i="8"/>
  <c r="CO87" i="8"/>
  <c r="CU87" i="8"/>
  <c r="CQ87" i="8"/>
  <c r="CS87" i="8" s="1"/>
  <c r="GD87" i="8"/>
  <c r="ER85" i="8"/>
  <c r="FG86" i="8" s="1"/>
  <c r="BU91" i="8"/>
  <c r="BT91" i="8"/>
  <c r="CC90" i="8"/>
  <c r="BP91" i="8"/>
  <c r="BQ91" i="8"/>
  <c r="BS91" i="8" s="1"/>
  <c r="BR91" i="8" s="1"/>
  <c r="L138" i="22"/>
  <c r="M138" i="22" s="1"/>
  <c r="N138" i="22" s="1"/>
  <c r="AW139" i="22" s="1"/>
  <c r="GH87" i="8" l="1"/>
  <c r="GI87" i="8" s="1"/>
  <c r="GN87" i="8" s="1"/>
  <c r="CX87" i="8"/>
  <c r="CY87" i="8" s="1"/>
  <c r="DD87" i="8" s="1"/>
  <c r="CR87" i="8"/>
  <c r="EN86" i="8"/>
  <c r="EI86" i="8"/>
  <c r="EK86" i="8" s="1"/>
  <c r="EM86" i="8"/>
  <c r="EL86" i="8"/>
  <c r="EG86" i="8"/>
  <c r="EO86" i="8"/>
  <c r="EH86" i="8"/>
  <c r="BX91" i="8"/>
  <c r="BY91" i="8" s="1"/>
  <c r="BZ91" i="8" s="1"/>
  <c r="BT92" i="8" s="1"/>
  <c r="H139" i="22"/>
  <c r="K139" i="22"/>
  <c r="B139" i="22"/>
  <c r="D139" i="22"/>
  <c r="E139" i="22" s="1"/>
  <c r="G139" i="22" s="1"/>
  <c r="F139" i="22" s="1"/>
  <c r="I139" i="22"/>
  <c r="J139" i="22"/>
  <c r="C139" i="22"/>
  <c r="GJ87" i="8" l="1"/>
  <c r="GY88" i="8" s="1"/>
  <c r="CZ87" i="8"/>
  <c r="GF88" i="8"/>
  <c r="GE88" i="8"/>
  <c r="BQ92" i="8"/>
  <c r="BS92" i="8" s="1"/>
  <c r="EJ86" i="8"/>
  <c r="EP86" i="8"/>
  <c r="EQ86" i="8" s="1"/>
  <c r="EV86" i="8" s="1"/>
  <c r="BV92" i="8"/>
  <c r="BU92" i="8"/>
  <c r="CC91" i="8"/>
  <c r="BP92" i="8"/>
  <c r="L139" i="22"/>
  <c r="M139" i="22" s="1"/>
  <c r="N139" i="22" s="1"/>
  <c r="AW140" i="22" s="1"/>
  <c r="GA88" i="8" l="1"/>
  <c r="GC88" i="8" s="1"/>
  <c r="GG88" i="8"/>
  <c r="FY88" i="8"/>
  <c r="GD88" i="8"/>
  <c r="GH88" i="8" s="1"/>
  <c r="GI88" i="8" s="1"/>
  <c r="GN88" i="8" s="1"/>
  <c r="FZ88" i="8"/>
  <c r="CT88" i="8"/>
  <c r="DP88" i="8"/>
  <c r="CU88" i="8"/>
  <c r="CP88" i="8"/>
  <c r="CV88" i="8"/>
  <c r="CW88" i="8"/>
  <c r="CQ88" i="8"/>
  <c r="CS88" i="8" s="1"/>
  <c r="CR88" i="8" s="1"/>
  <c r="CO88" i="8"/>
  <c r="GB88" i="8"/>
  <c r="ER86" i="8"/>
  <c r="FG87" i="8" s="1"/>
  <c r="H140" i="22"/>
  <c r="B140" i="22"/>
  <c r="D140" i="22"/>
  <c r="E140" i="22" s="1"/>
  <c r="G140" i="22" s="1"/>
  <c r="J140" i="22"/>
  <c r="I140" i="22"/>
  <c r="C140" i="22"/>
  <c r="K140" i="22"/>
  <c r="BR92" i="8"/>
  <c r="BX92" i="8"/>
  <c r="CX88" i="8" l="1"/>
  <c r="CY88" i="8" s="1"/>
  <c r="DD88" i="8" s="1"/>
  <c r="GJ88" i="8"/>
  <c r="GY89" i="8" s="1"/>
  <c r="EM87" i="8"/>
  <c r="EH87" i="8"/>
  <c r="EN87" i="8"/>
  <c r="EO87" i="8"/>
  <c r="EG87" i="8"/>
  <c r="EI87" i="8"/>
  <c r="EK87" i="8" s="1"/>
  <c r="EL87" i="8"/>
  <c r="L140" i="22"/>
  <c r="M140" i="22" s="1"/>
  <c r="F140" i="22"/>
  <c r="BY92" i="8"/>
  <c r="CC92" i="8" s="1"/>
  <c r="CZ88" i="8" l="1"/>
  <c r="CP89" i="8" s="1"/>
  <c r="FY89" i="8"/>
  <c r="GG89" i="8"/>
  <c r="GD89" i="8"/>
  <c r="GA89" i="8"/>
  <c r="GC89" i="8" s="1"/>
  <c r="GE89" i="8"/>
  <c r="GF89" i="8"/>
  <c r="FZ89" i="8"/>
  <c r="EJ87" i="8"/>
  <c r="EP87" i="8"/>
  <c r="EQ87" i="8" s="1"/>
  <c r="EV87" i="8" s="1"/>
  <c r="N140" i="22"/>
  <c r="BZ92" i="8"/>
  <c r="CU89" i="8" l="1"/>
  <c r="CW89" i="8"/>
  <c r="CO89" i="8"/>
  <c r="CV89" i="8"/>
  <c r="CQ89" i="8"/>
  <c r="CS89" i="8" s="1"/>
  <c r="CR89" i="8" s="1"/>
  <c r="H141" i="22"/>
  <c r="AW141" i="22"/>
  <c r="CT89" i="8"/>
  <c r="CX89" i="8" s="1"/>
  <c r="CY89" i="8" s="1"/>
  <c r="CZ89" i="8" s="1"/>
  <c r="DP90" i="8" s="1"/>
  <c r="DP89" i="8"/>
  <c r="GB89" i="8"/>
  <c r="GH89" i="8"/>
  <c r="GI89" i="8" s="1"/>
  <c r="GN89" i="8" s="1"/>
  <c r="ER87" i="8"/>
  <c r="FG88" i="8" s="1"/>
  <c r="I141" i="22"/>
  <c r="D141" i="22"/>
  <c r="E141" i="22" s="1"/>
  <c r="G141" i="22" s="1"/>
  <c r="F141" i="22" s="1"/>
  <c r="B141" i="22"/>
  <c r="J141" i="22"/>
  <c r="K141" i="22"/>
  <c r="C141" i="22"/>
  <c r="BT93" i="8"/>
  <c r="BU93" i="8"/>
  <c r="BV93" i="8"/>
  <c r="BQ93" i="8"/>
  <c r="BS93" i="8" s="1"/>
  <c r="BR93" i="8" s="1"/>
  <c r="BP93" i="8"/>
  <c r="DD89" i="8" l="1"/>
  <c r="CU90" i="8"/>
  <c r="CQ90" i="8"/>
  <c r="CS90" i="8" s="1"/>
  <c r="CO90" i="8"/>
  <c r="CW90" i="8"/>
  <c r="CT90" i="8"/>
  <c r="CP90" i="8"/>
  <c r="CV90" i="8"/>
  <c r="GJ89" i="8"/>
  <c r="GY90" i="8" s="1"/>
  <c r="EG88" i="8"/>
  <c r="EI88" i="8"/>
  <c r="EK88" i="8" s="1"/>
  <c r="EO88" i="8"/>
  <c r="EH88" i="8"/>
  <c r="EN88" i="8"/>
  <c r="EL88" i="8"/>
  <c r="EM88" i="8"/>
  <c r="L141" i="22"/>
  <c r="M141" i="22" s="1"/>
  <c r="N141" i="22" s="1"/>
  <c r="H142" i="22" s="1"/>
  <c r="BX93" i="8"/>
  <c r="AW142" i="22" l="1"/>
  <c r="CR90" i="8"/>
  <c r="CX90" i="8"/>
  <c r="CY90" i="8" s="1"/>
  <c r="DD90" i="8" s="1"/>
  <c r="I142" i="22"/>
  <c r="GD90" i="8"/>
  <c r="GG90" i="8"/>
  <c r="FY90" i="8"/>
  <c r="GE90" i="8"/>
  <c r="GF90" i="8"/>
  <c r="GA90" i="8"/>
  <c r="GC90" i="8" s="1"/>
  <c r="FZ90" i="8"/>
  <c r="EJ88" i="8"/>
  <c r="EP88" i="8"/>
  <c r="EQ88" i="8" s="1"/>
  <c r="K142" i="22"/>
  <c r="B142" i="22"/>
  <c r="J142" i="22"/>
  <c r="C142" i="22"/>
  <c r="D142" i="22"/>
  <c r="E142" i="22" s="1"/>
  <c r="G142" i="22" s="1"/>
  <c r="F142" i="22" s="1"/>
  <c r="BY93" i="8"/>
  <c r="BZ93" i="8" s="1"/>
  <c r="CZ90" i="8" l="1"/>
  <c r="DP91" i="8" s="1"/>
  <c r="ER88" i="8"/>
  <c r="GB90" i="8"/>
  <c r="GH90" i="8"/>
  <c r="GI90" i="8" s="1"/>
  <c r="GN90" i="8" s="1"/>
  <c r="EV88" i="8"/>
  <c r="L142" i="22"/>
  <c r="M142" i="22" s="1"/>
  <c r="N142" i="22" s="1"/>
  <c r="H143" i="22" s="1"/>
  <c r="BT94" i="8"/>
  <c r="BV94" i="8"/>
  <c r="BQ94" i="8"/>
  <c r="BS94" i="8" s="1"/>
  <c r="BR94" i="8" s="1"/>
  <c r="BU94" i="8"/>
  <c r="BP94" i="8"/>
  <c r="CC93" i="8"/>
  <c r="EH89" i="8" l="1"/>
  <c r="FG89" i="8"/>
  <c r="AW143" i="22"/>
  <c r="EO89" i="8"/>
  <c r="EN89" i="8"/>
  <c r="EI89" i="8"/>
  <c r="EK89" i="8" s="1"/>
  <c r="EJ89" i="8" s="1"/>
  <c r="CO91" i="8"/>
  <c r="CP91" i="8"/>
  <c r="CT91" i="8"/>
  <c r="CV91" i="8"/>
  <c r="CQ91" i="8"/>
  <c r="CS91" i="8" s="1"/>
  <c r="CU91" i="8"/>
  <c r="CW91" i="8"/>
  <c r="EM89" i="8"/>
  <c r="EL89" i="8"/>
  <c r="EG89" i="8"/>
  <c r="GJ90" i="8"/>
  <c r="GY91" i="8" s="1"/>
  <c r="BX94" i="8"/>
  <c r="BY94" i="8" s="1"/>
  <c r="BZ94" i="8" s="1"/>
  <c r="D143" i="22"/>
  <c r="E143" i="22" s="1"/>
  <c r="G143" i="22" s="1"/>
  <c r="F143" i="22" s="1"/>
  <c r="C143" i="22"/>
  <c r="B143" i="22"/>
  <c r="J143" i="22"/>
  <c r="K143" i="22"/>
  <c r="I143" i="22"/>
  <c r="EP89" i="8" l="1"/>
  <c r="EQ89" i="8" s="1"/>
  <c r="EV89" i="8" s="1"/>
  <c r="CX91" i="8"/>
  <c r="CY91" i="8" s="1"/>
  <c r="DD91" i="8" s="1"/>
  <c r="CR91" i="8"/>
  <c r="FY91" i="8"/>
  <c r="FZ91" i="8"/>
  <c r="GF91" i="8"/>
  <c r="GG91" i="8"/>
  <c r="GA91" i="8"/>
  <c r="GC91" i="8" s="1"/>
  <c r="GB91" i="8" s="1"/>
  <c r="GE91" i="8"/>
  <c r="GD91" i="8"/>
  <c r="ER89" i="8"/>
  <c r="FG90" i="8" s="1"/>
  <c r="BT95" i="8"/>
  <c r="BP95" i="8"/>
  <c r="BV95" i="8"/>
  <c r="BU95" i="8"/>
  <c r="BQ95" i="8"/>
  <c r="BS95" i="8" s="1"/>
  <c r="BR95" i="8" s="1"/>
  <c r="CC94" i="8"/>
  <c r="L143" i="22"/>
  <c r="M143" i="22" s="1"/>
  <c r="N143" i="22" s="1"/>
  <c r="H144" i="22" s="1"/>
  <c r="AW144" i="22" l="1"/>
  <c r="CZ91" i="8"/>
  <c r="GH91" i="8"/>
  <c r="GI91" i="8" s="1"/>
  <c r="GN91" i="8" s="1"/>
  <c r="EM90" i="8"/>
  <c r="EG90" i="8"/>
  <c r="EN90" i="8"/>
  <c r="EI90" i="8"/>
  <c r="EK90" i="8" s="1"/>
  <c r="EJ90" i="8" s="1"/>
  <c r="EO90" i="8"/>
  <c r="EL90" i="8"/>
  <c r="EH90" i="8"/>
  <c r="BX95" i="8"/>
  <c r="B144" i="22"/>
  <c r="I144" i="22"/>
  <c r="J144" i="22"/>
  <c r="D144" i="22"/>
  <c r="E144" i="22" s="1"/>
  <c r="G144" i="22" s="1"/>
  <c r="F144" i="22" s="1"/>
  <c r="K144" i="22"/>
  <c r="C144" i="22"/>
  <c r="CU92" i="8" l="1"/>
  <c r="DP92" i="8"/>
  <c r="CT92" i="8"/>
  <c r="CO92" i="8"/>
  <c r="CQ92" i="8"/>
  <c r="CS92" i="8" s="1"/>
  <c r="CR92" i="8" s="1"/>
  <c r="CP92" i="8"/>
  <c r="CV92" i="8"/>
  <c r="CW92" i="8"/>
  <c r="GJ91" i="8"/>
  <c r="EP90" i="8"/>
  <c r="EQ90" i="8" s="1"/>
  <c r="ER90" i="8" s="1"/>
  <c r="FG91" i="8" s="1"/>
  <c r="BY95" i="8"/>
  <c r="BZ95" i="8" s="1"/>
  <c r="L144" i="22"/>
  <c r="M144" i="22" s="1"/>
  <c r="N144" i="22" s="1"/>
  <c r="H145" i="22" s="1"/>
  <c r="GD92" i="8" l="1"/>
  <c r="GY92" i="8"/>
  <c r="AW145" i="22"/>
  <c r="CX92" i="8"/>
  <c r="CY92" i="8" s="1"/>
  <c r="CZ92" i="8" s="1"/>
  <c r="CQ93" i="8" s="1"/>
  <c r="CS93" i="8" s="1"/>
  <c r="GE92" i="8"/>
  <c r="GF92" i="8"/>
  <c r="FY92" i="8"/>
  <c r="GA92" i="8"/>
  <c r="GC92" i="8" s="1"/>
  <c r="FZ92" i="8"/>
  <c r="GG92" i="8"/>
  <c r="EH91" i="8"/>
  <c r="EM91" i="8"/>
  <c r="EI91" i="8"/>
  <c r="EK91" i="8" s="1"/>
  <c r="EJ91" i="8" s="1"/>
  <c r="EG91" i="8"/>
  <c r="EO91" i="8"/>
  <c r="EN91" i="8"/>
  <c r="EL91" i="8"/>
  <c r="EV90" i="8"/>
  <c r="CC95" i="8"/>
  <c r="BT96" i="8"/>
  <c r="BV96" i="8"/>
  <c r="BU96" i="8"/>
  <c r="BQ96" i="8"/>
  <c r="BP96" i="8"/>
  <c r="D145" i="22"/>
  <c r="E145" i="22" s="1"/>
  <c r="G145" i="22" s="1"/>
  <c r="F145" i="22" s="1"/>
  <c r="I145" i="22"/>
  <c r="B145" i="22"/>
  <c r="C145" i="22"/>
  <c r="J145" i="22"/>
  <c r="K145" i="22"/>
  <c r="CV93" i="8" l="1"/>
  <c r="CW93" i="8"/>
  <c r="DD92" i="8"/>
  <c r="CT93" i="8"/>
  <c r="CP93" i="8"/>
  <c r="CU93" i="8"/>
  <c r="CX93" i="8" s="1"/>
  <c r="CY93" i="8" s="1"/>
  <c r="CR93" i="8"/>
  <c r="DP93" i="8"/>
  <c r="CO93" i="8"/>
  <c r="GH92" i="8"/>
  <c r="GI92" i="8" s="1"/>
  <c r="GN92" i="8" s="1"/>
  <c r="GB92" i="8"/>
  <c r="EP91" i="8"/>
  <c r="EQ91" i="8" s="1"/>
  <c r="EV91" i="8" s="1"/>
  <c r="BS96" i="8"/>
  <c r="L145" i="22"/>
  <c r="M145" i="22" s="1"/>
  <c r="N145" i="22" s="1"/>
  <c r="H146" i="22" s="1"/>
  <c r="DD93" i="8" l="1"/>
  <c r="AW146" i="22"/>
  <c r="CZ93" i="8"/>
  <c r="CV94" i="8" s="1"/>
  <c r="GJ92" i="8"/>
  <c r="ER91" i="8"/>
  <c r="BR96" i="8"/>
  <c r="BX96" i="8"/>
  <c r="K146" i="22"/>
  <c r="B146" i="22"/>
  <c r="I146" i="22"/>
  <c r="J146" i="22"/>
  <c r="D146" i="22"/>
  <c r="E146" i="22" s="1"/>
  <c r="G146" i="22" s="1"/>
  <c r="F146" i="22" s="1"/>
  <c r="C146" i="22"/>
  <c r="DP94" i="8" l="1"/>
  <c r="GF93" i="8"/>
  <c r="GY93" i="8"/>
  <c r="EG92" i="8"/>
  <c r="FG92" i="8"/>
  <c r="FY93" i="8"/>
  <c r="CU94" i="8"/>
  <c r="CQ94" i="8"/>
  <c r="CS94" i="8" s="1"/>
  <c r="CR94" i="8" s="1"/>
  <c r="CT94" i="8"/>
  <c r="GA93" i="8"/>
  <c r="GC93" i="8" s="1"/>
  <c r="GB93" i="8" s="1"/>
  <c r="GG93" i="8"/>
  <c r="GD93" i="8"/>
  <c r="FZ93" i="8"/>
  <c r="GE93" i="8"/>
  <c r="CW94" i="8"/>
  <c r="CP94" i="8"/>
  <c r="CO94" i="8"/>
  <c r="EL92" i="8"/>
  <c r="EI92" i="8"/>
  <c r="EK92" i="8" s="1"/>
  <c r="EJ92" i="8" s="1"/>
  <c r="EM92" i="8"/>
  <c r="EO92" i="8"/>
  <c r="EN92" i="8"/>
  <c r="EH92" i="8"/>
  <c r="BY96" i="8"/>
  <c r="BZ96" i="8" s="1"/>
  <c r="L146" i="22"/>
  <c r="M146" i="22" s="1"/>
  <c r="N146" i="22" s="1"/>
  <c r="H147" i="22" s="1"/>
  <c r="AW147" i="22" l="1"/>
  <c r="CX94" i="8"/>
  <c r="CY94" i="8" s="1"/>
  <c r="DD94" i="8" s="1"/>
  <c r="GH93" i="8"/>
  <c r="GI93" i="8" s="1"/>
  <c r="GN93" i="8" s="1"/>
  <c r="EP92" i="8"/>
  <c r="EQ92" i="8" s="1"/>
  <c r="ER92" i="8" s="1"/>
  <c r="EO93" i="8" s="1"/>
  <c r="BT97" i="8"/>
  <c r="BV97" i="8"/>
  <c r="BP97" i="8"/>
  <c r="BU97" i="8"/>
  <c r="BQ97" i="8"/>
  <c r="BS97" i="8" s="1"/>
  <c r="BR97" i="8" s="1"/>
  <c r="CC96" i="8"/>
  <c r="D147" i="22"/>
  <c r="E147" i="22" s="1"/>
  <c r="G147" i="22" s="1"/>
  <c r="F147" i="22" s="1"/>
  <c r="C147" i="22"/>
  <c r="K147" i="22"/>
  <c r="I147" i="22"/>
  <c r="B147" i="22"/>
  <c r="J147" i="22"/>
  <c r="CZ94" i="8" l="1"/>
  <c r="DP95" i="8" s="1"/>
  <c r="GJ93" i="8"/>
  <c r="GY94" i="8" s="1"/>
  <c r="FG93" i="8"/>
  <c r="CP95" i="8"/>
  <c r="CO95" i="8"/>
  <c r="CU95" i="8"/>
  <c r="CQ95" i="8"/>
  <c r="CS95" i="8" s="1"/>
  <c r="CT95" i="8"/>
  <c r="EI93" i="8"/>
  <c r="EK93" i="8" s="1"/>
  <c r="EJ93" i="8" s="1"/>
  <c r="EV92" i="8"/>
  <c r="EL93" i="8"/>
  <c r="EN93" i="8"/>
  <c r="EG93" i="8"/>
  <c r="EM93" i="8"/>
  <c r="EH93" i="8"/>
  <c r="BX97" i="8"/>
  <c r="BY97" i="8" s="1"/>
  <c r="BZ97" i="8" s="1"/>
  <c r="L147" i="22"/>
  <c r="M147" i="22" s="1"/>
  <c r="N147" i="22" s="1"/>
  <c r="H148" i="22" s="1"/>
  <c r="CV95" i="8" l="1"/>
  <c r="CW95" i="8"/>
  <c r="FY94" i="8"/>
  <c r="GG94" i="8"/>
  <c r="FZ94" i="8"/>
  <c r="GE94" i="8"/>
  <c r="GD94" i="8"/>
  <c r="GF94" i="8"/>
  <c r="GA94" i="8"/>
  <c r="GC94" i="8" s="1"/>
  <c r="GB94" i="8" s="1"/>
  <c r="AW148" i="22"/>
  <c r="CX95" i="8"/>
  <c r="CY95" i="8" s="1"/>
  <c r="CR95" i="8"/>
  <c r="EP93" i="8"/>
  <c r="EQ93" i="8" s="1"/>
  <c r="EV93" i="8" s="1"/>
  <c r="BP98" i="8"/>
  <c r="BQ98" i="8"/>
  <c r="BS98" i="8" s="1"/>
  <c r="BR98" i="8" s="1"/>
  <c r="BV98" i="8"/>
  <c r="BU98" i="8"/>
  <c r="BT98" i="8"/>
  <c r="CC97" i="8"/>
  <c r="B148" i="22"/>
  <c r="C148" i="22"/>
  <c r="J148" i="22"/>
  <c r="I148" i="22"/>
  <c r="D148" i="22"/>
  <c r="E148" i="22" s="1"/>
  <c r="G148" i="22" s="1"/>
  <c r="K148" i="22"/>
  <c r="GH94" i="8" l="1"/>
  <c r="GI94" i="8" s="1"/>
  <c r="GN94" i="8" s="1"/>
  <c r="CZ95" i="8"/>
  <c r="DP96" i="8" s="1"/>
  <c r="DD95" i="8"/>
  <c r="ER93" i="8"/>
  <c r="GJ94" i="8"/>
  <c r="BX98" i="8"/>
  <c r="BY98" i="8" s="1"/>
  <c r="BZ98" i="8" s="1"/>
  <c r="BU99" i="8" s="1"/>
  <c r="L148" i="22"/>
  <c r="M148" i="22" s="1"/>
  <c r="F148" i="22"/>
  <c r="GE95" i="8" l="1"/>
  <c r="GY95" i="8"/>
  <c r="EG94" i="8"/>
  <c r="FG94" i="8"/>
  <c r="EN94" i="8"/>
  <c r="EH94" i="8"/>
  <c r="EM94" i="8"/>
  <c r="EO94" i="8"/>
  <c r="GA95" i="8"/>
  <c r="GC95" i="8" s="1"/>
  <c r="GB95" i="8" s="1"/>
  <c r="EL94" i="8"/>
  <c r="EI94" i="8"/>
  <c r="EK94" i="8" s="1"/>
  <c r="EJ94" i="8" s="1"/>
  <c r="CT96" i="8"/>
  <c r="CV96" i="8"/>
  <c r="CP96" i="8"/>
  <c r="CQ96" i="8"/>
  <c r="CS96" i="8" s="1"/>
  <c r="CR96" i="8" s="1"/>
  <c r="CU96" i="8"/>
  <c r="CW96" i="8"/>
  <c r="CO96" i="8"/>
  <c r="FZ95" i="8"/>
  <c r="GD95" i="8"/>
  <c r="GF95" i="8"/>
  <c r="FY95" i="8"/>
  <c r="GG95" i="8"/>
  <c r="BT99" i="8"/>
  <c r="CC98" i="8"/>
  <c r="BP99" i="8"/>
  <c r="BV99" i="8"/>
  <c r="BQ99" i="8"/>
  <c r="BS99" i="8" s="1"/>
  <c r="BR99" i="8" s="1"/>
  <c r="N148" i="22"/>
  <c r="H149" i="22" l="1"/>
  <c r="AW149" i="22"/>
  <c r="EP94" i="8"/>
  <c r="EQ94" i="8" s="1"/>
  <c r="EV94" i="8" s="1"/>
  <c r="CX96" i="8"/>
  <c r="CY96" i="8" s="1"/>
  <c r="DD96" i="8" s="1"/>
  <c r="GH95" i="8"/>
  <c r="GI95" i="8" s="1"/>
  <c r="GN95" i="8" s="1"/>
  <c r="BX99" i="8"/>
  <c r="BY99" i="8" s="1"/>
  <c r="BZ99" i="8" s="1"/>
  <c r="D149" i="22"/>
  <c r="E149" i="22" s="1"/>
  <c r="G149" i="22" s="1"/>
  <c r="F149" i="22" s="1"/>
  <c r="B149" i="22"/>
  <c r="C149" i="22"/>
  <c r="J149" i="22"/>
  <c r="K149" i="22"/>
  <c r="I149" i="22"/>
  <c r="ER94" i="8" l="1"/>
  <c r="FG95" i="8" s="1"/>
  <c r="CZ96" i="8"/>
  <c r="DP97" i="8" s="1"/>
  <c r="GJ95" i="8"/>
  <c r="EG95" i="8"/>
  <c r="EL95" i="8"/>
  <c r="EH95" i="8"/>
  <c r="EO95" i="8"/>
  <c r="EI95" i="8"/>
  <c r="EK95" i="8" s="1"/>
  <c r="EJ95" i="8" s="1"/>
  <c r="EN95" i="8"/>
  <c r="BT100" i="8"/>
  <c r="BV100" i="8"/>
  <c r="BP100" i="8"/>
  <c r="BU100" i="8"/>
  <c r="BQ100" i="8"/>
  <c r="BS100" i="8" s="1"/>
  <c r="BR100" i="8" s="1"/>
  <c r="CC99" i="8"/>
  <c r="L149" i="22"/>
  <c r="M149" i="22" s="1"/>
  <c r="N149" i="22" s="1"/>
  <c r="H150" i="22" s="1"/>
  <c r="EM95" i="8" l="1"/>
  <c r="EP95" i="8" s="1"/>
  <c r="EQ95" i="8" s="1"/>
  <c r="EV95" i="8" s="1"/>
  <c r="GE96" i="8"/>
  <c r="GY96" i="8"/>
  <c r="AW150" i="22"/>
  <c r="GF96" i="8"/>
  <c r="GD96" i="8"/>
  <c r="CT97" i="8"/>
  <c r="CU97" i="8"/>
  <c r="CW97" i="8"/>
  <c r="CP97" i="8"/>
  <c r="CO97" i="8"/>
  <c r="CV97" i="8"/>
  <c r="CQ97" i="8"/>
  <c r="CS97" i="8" s="1"/>
  <c r="CR97" i="8" s="1"/>
  <c r="FZ96" i="8"/>
  <c r="FY96" i="8"/>
  <c r="GA96" i="8"/>
  <c r="GC96" i="8" s="1"/>
  <c r="GB96" i="8" s="1"/>
  <c r="GG96" i="8"/>
  <c r="BX100" i="8"/>
  <c r="BY100" i="8" s="1"/>
  <c r="BZ100" i="8" s="1"/>
  <c r="J150" i="22"/>
  <c r="B150" i="22"/>
  <c r="K150" i="22"/>
  <c r="D150" i="22"/>
  <c r="E150" i="22" s="1"/>
  <c r="I150" i="22"/>
  <c r="C150" i="22"/>
  <c r="CX97" i="8" l="1"/>
  <c r="CY97" i="8" s="1"/>
  <c r="DD97" i="8" s="1"/>
  <c r="GH96" i="8"/>
  <c r="GI96" i="8" s="1"/>
  <c r="GJ96" i="8" s="1"/>
  <c r="FZ97" i="8" s="1"/>
  <c r="ER95" i="8"/>
  <c r="FG96" i="8" s="1"/>
  <c r="BT101" i="8"/>
  <c r="BQ101" i="8"/>
  <c r="BS101" i="8" s="1"/>
  <c r="BR101" i="8" s="1"/>
  <c r="BU101" i="8"/>
  <c r="BV101" i="8"/>
  <c r="BP101" i="8"/>
  <c r="CC100" i="8"/>
  <c r="G150" i="22"/>
  <c r="GY97" i="8" l="1"/>
  <c r="GA97" i="8"/>
  <c r="GC97" i="8" s="1"/>
  <c r="GB97" i="8" s="1"/>
  <c r="GF97" i="8"/>
  <c r="FY97" i="8"/>
  <c r="GD97" i="8"/>
  <c r="GG97" i="8"/>
  <c r="GE97" i="8"/>
  <c r="GN96" i="8"/>
  <c r="CZ97" i="8"/>
  <c r="DP98" i="8" s="1"/>
  <c r="EI96" i="8"/>
  <c r="EK96" i="8" s="1"/>
  <c r="EH96" i="8"/>
  <c r="EO96" i="8"/>
  <c r="EG96" i="8"/>
  <c r="EL96" i="8"/>
  <c r="EN96" i="8"/>
  <c r="EM96" i="8"/>
  <c r="BX101" i="8"/>
  <c r="F150" i="22"/>
  <c r="L150" i="22"/>
  <c r="M150" i="22" s="1"/>
  <c r="GH97" i="8" l="1"/>
  <c r="GI97" i="8" s="1"/>
  <c r="GN97" i="8" s="1"/>
  <c r="CU98" i="8"/>
  <c r="CV98" i="8"/>
  <c r="CQ98" i="8"/>
  <c r="CS98" i="8" s="1"/>
  <c r="CR98" i="8" s="1"/>
  <c r="CT98" i="8"/>
  <c r="CP98" i="8"/>
  <c r="CW98" i="8"/>
  <c r="CO98" i="8"/>
  <c r="EJ96" i="8"/>
  <c r="EP96" i="8"/>
  <c r="EQ96" i="8" s="1"/>
  <c r="EV96" i="8" s="1"/>
  <c r="BY101" i="8"/>
  <c r="BZ101" i="8" s="1"/>
  <c r="N150" i="22"/>
  <c r="GJ97" i="8" l="1"/>
  <c r="GA98" i="8" s="1"/>
  <c r="GC98" i="8" s="1"/>
  <c r="H151" i="22"/>
  <c r="AW151" i="22"/>
  <c r="CX98" i="8"/>
  <c r="CY98" i="8" s="1"/>
  <c r="ER96" i="8"/>
  <c r="FG97" i="8" s="1"/>
  <c r="CC101" i="8"/>
  <c r="BT102" i="8"/>
  <c r="BP102" i="8"/>
  <c r="BU102" i="8"/>
  <c r="BV102" i="8"/>
  <c r="BQ102" i="8"/>
  <c r="K151" i="22"/>
  <c r="J151" i="22"/>
  <c r="D151" i="22"/>
  <c r="E151" i="22" s="1"/>
  <c r="G151" i="22" s="1"/>
  <c r="F151" i="22" s="1"/>
  <c r="C151" i="22"/>
  <c r="B151" i="22"/>
  <c r="I151" i="22"/>
  <c r="GB98" i="8" l="1"/>
  <c r="GG98" i="8"/>
  <c r="FZ98" i="8"/>
  <c r="GD98" i="8"/>
  <c r="FY98" i="8"/>
  <c r="GE98" i="8"/>
  <c r="GF98" i="8"/>
  <c r="GY98" i="8"/>
  <c r="DD98" i="8"/>
  <c r="CZ98" i="8"/>
  <c r="DP99" i="8" s="1"/>
  <c r="EL97" i="8"/>
  <c r="EM97" i="8"/>
  <c r="EG97" i="8"/>
  <c r="EO97" i="8"/>
  <c r="EI97" i="8"/>
  <c r="EK97" i="8" s="1"/>
  <c r="EJ97" i="8" s="1"/>
  <c r="EH97" i="8"/>
  <c r="EN97" i="8"/>
  <c r="BS102" i="8"/>
  <c r="L151" i="22"/>
  <c r="M151" i="22" s="1"/>
  <c r="N151" i="22" s="1"/>
  <c r="H152" i="22" s="1"/>
  <c r="GH98" i="8" l="1"/>
  <c r="GI98" i="8" s="1"/>
  <c r="GN98" i="8" s="1"/>
  <c r="AW152" i="22"/>
  <c r="CT99" i="8"/>
  <c r="CQ99" i="8"/>
  <c r="CS99" i="8" s="1"/>
  <c r="CV99" i="8"/>
  <c r="CO99" i="8"/>
  <c r="CP99" i="8"/>
  <c r="CW99" i="8"/>
  <c r="CU99" i="8"/>
  <c r="EP97" i="8"/>
  <c r="EQ97" i="8" s="1"/>
  <c r="EV97" i="8" s="1"/>
  <c r="BR102" i="8"/>
  <c r="BX102" i="8"/>
  <c r="K152" i="22"/>
  <c r="C152" i="22"/>
  <c r="I152" i="22"/>
  <c r="B152" i="22"/>
  <c r="J152" i="22"/>
  <c r="D152" i="22"/>
  <c r="E152" i="22" s="1"/>
  <c r="G152" i="22" s="1"/>
  <c r="F152" i="22" s="1"/>
  <c r="GJ98" i="8" l="1"/>
  <c r="GA99" i="8" s="1"/>
  <c r="GC99" i="8" s="1"/>
  <c r="GB99" i="8" s="1"/>
  <c r="CX99" i="8"/>
  <c r="CY99" i="8" s="1"/>
  <c r="FZ99" i="8"/>
  <c r="FY99" i="8"/>
  <c r="GG99" i="8"/>
  <c r="GF99" i="8"/>
  <c r="CR99" i="8"/>
  <c r="CZ99" i="8" s="1"/>
  <c r="DP100" i="8" s="1"/>
  <c r="DD99" i="8"/>
  <c r="ER97" i="8"/>
  <c r="BY102" i="8"/>
  <c r="BZ102" i="8" s="1"/>
  <c r="L152" i="22"/>
  <c r="M152" i="22" s="1"/>
  <c r="N152" i="22" s="1"/>
  <c r="H153" i="22" s="1"/>
  <c r="GY99" i="8" l="1"/>
  <c r="GD99" i="8"/>
  <c r="GE99" i="8"/>
  <c r="EI98" i="8"/>
  <c r="EK98" i="8" s="1"/>
  <c r="EJ98" i="8" s="1"/>
  <c r="FG98" i="8"/>
  <c r="AW153" i="22"/>
  <c r="EG98" i="8"/>
  <c r="CO100" i="8"/>
  <c r="CT100" i="8"/>
  <c r="CQ100" i="8"/>
  <c r="CS100" i="8" s="1"/>
  <c r="CU100" i="8"/>
  <c r="CP100" i="8"/>
  <c r="CW100" i="8"/>
  <c r="CV100" i="8"/>
  <c r="EO98" i="8"/>
  <c r="EL98" i="8"/>
  <c r="EM98" i="8"/>
  <c r="EH98" i="8"/>
  <c r="EN98" i="8"/>
  <c r="CC102" i="8"/>
  <c r="BT103" i="8"/>
  <c r="BV103" i="8"/>
  <c r="BP103" i="8"/>
  <c r="BQ103" i="8"/>
  <c r="BS103" i="8" s="1"/>
  <c r="BR103" i="8" s="1"/>
  <c r="BU103" i="8"/>
  <c r="C153" i="22"/>
  <c r="I153" i="22"/>
  <c r="K153" i="22"/>
  <c r="D153" i="22"/>
  <c r="E153" i="22" s="1"/>
  <c r="G153" i="22" s="1"/>
  <c r="J153" i="22"/>
  <c r="B153" i="22"/>
  <c r="GH99" i="8" l="1"/>
  <c r="GI99" i="8" s="1"/>
  <c r="GN99" i="8" s="1"/>
  <c r="GJ99" i="8"/>
  <c r="GY100" i="8" s="1"/>
  <c r="CX100" i="8"/>
  <c r="CY100" i="8" s="1"/>
  <c r="DD100" i="8" s="1"/>
  <c r="CR100" i="8"/>
  <c r="EP98" i="8"/>
  <c r="EQ98" i="8" s="1"/>
  <c r="EV98" i="8" s="1"/>
  <c r="BX103" i="8"/>
  <c r="L153" i="22"/>
  <c r="M153" i="22" s="1"/>
  <c r="F153" i="22"/>
  <c r="FZ100" i="8" l="1"/>
  <c r="GD100" i="8"/>
  <c r="GG100" i="8"/>
  <c r="GE100" i="8"/>
  <c r="GA100" i="8"/>
  <c r="GC100" i="8" s="1"/>
  <c r="GB100" i="8" s="1"/>
  <c r="GF100" i="8"/>
  <c r="CZ100" i="8"/>
  <c r="DP101" i="8" s="1"/>
  <c r="FY100" i="8"/>
  <c r="ER98" i="8"/>
  <c r="BY103" i="8"/>
  <c r="BZ103" i="8" s="1"/>
  <c r="N153" i="22"/>
  <c r="CV101" i="8" l="1"/>
  <c r="CT101" i="8"/>
  <c r="CW101" i="8"/>
  <c r="CQ101" i="8"/>
  <c r="CS101" i="8" s="1"/>
  <c r="CU101" i="8"/>
  <c r="CP101" i="8"/>
  <c r="CO101" i="8"/>
  <c r="GH100" i="8"/>
  <c r="GI100" i="8" s="1"/>
  <c r="GN100" i="8" s="1"/>
  <c r="H154" i="22"/>
  <c r="AW154" i="22"/>
  <c r="EN99" i="8"/>
  <c r="FG99" i="8"/>
  <c r="EO99" i="8"/>
  <c r="CX101" i="8"/>
  <c r="CY101" i="8" s="1"/>
  <c r="EL99" i="8"/>
  <c r="CR101" i="8"/>
  <c r="EI99" i="8"/>
  <c r="EK99" i="8" s="1"/>
  <c r="EJ99" i="8" s="1"/>
  <c r="EM99" i="8"/>
  <c r="EG99" i="8"/>
  <c r="EH99" i="8"/>
  <c r="GJ100" i="8"/>
  <c r="BP104" i="8"/>
  <c r="BV104" i="8"/>
  <c r="BQ104" i="8"/>
  <c r="BT104" i="8"/>
  <c r="BU104" i="8"/>
  <c r="CC103" i="8"/>
  <c r="I154" i="22"/>
  <c r="D154" i="22"/>
  <c r="E154" i="22" s="1"/>
  <c r="J154" i="22"/>
  <c r="B154" i="22"/>
  <c r="C154" i="22"/>
  <c r="K154" i="22"/>
  <c r="DD101" i="8" l="1"/>
  <c r="FY101" i="8"/>
  <c r="GY101" i="8"/>
  <c r="CZ101" i="8"/>
  <c r="EP99" i="8"/>
  <c r="EQ99" i="8" s="1"/>
  <c r="EV99" i="8" s="1"/>
  <c r="FZ101" i="8"/>
  <c r="GD101" i="8"/>
  <c r="GG101" i="8"/>
  <c r="GA101" i="8"/>
  <c r="GC101" i="8" s="1"/>
  <c r="GB101" i="8" s="1"/>
  <c r="GF101" i="8"/>
  <c r="GE101" i="8"/>
  <c r="BS104" i="8"/>
  <c r="G154" i="22"/>
  <c r="CT102" i="8" l="1"/>
  <c r="DP102" i="8"/>
  <c r="CQ102" i="8"/>
  <c r="CS102" i="8" s="1"/>
  <c r="CR102" i="8" s="1"/>
  <c r="CP102" i="8"/>
  <c r="CO102" i="8"/>
  <c r="CW102" i="8"/>
  <c r="CV102" i="8"/>
  <c r="CU102" i="8"/>
  <c r="ER99" i="8"/>
  <c r="GH101" i="8"/>
  <c r="GI101" i="8" s="1"/>
  <c r="GJ101" i="8" s="1"/>
  <c r="GG102" i="8" s="1"/>
  <c r="BR104" i="8"/>
  <c r="BX104" i="8"/>
  <c r="BY104" i="8" s="1"/>
  <c r="CC104" i="8" s="1"/>
  <c r="F154" i="22"/>
  <c r="L154" i="22"/>
  <c r="M154" i="22" s="1"/>
  <c r="EG100" i="8" l="1"/>
  <c r="FG100" i="8"/>
  <c r="GY102" i="8"/>
  <c r="GN101" i="8"/>
  <c r="GD102" i="8"/>
  <c r="GF102" i="8"/>
  <c r="CX102" i="8"/>
  <c r="CY102" i="8" s="1"/>
  <c r="GE102" i="8"/>
  <c r="EH100" i="8"/>
  <c r="EO100" i="8"/>
  <c r="FY102" i="8"/>
  <c r="EI100" i="8"/>
  <c r="EK100" i="8" s="1"/>
  <c r="EJ100" i="8" s="1"/>
  <c r="FZ102" i="8"/>
  <c r="EM100" i="8"/>
  <c r="GA102" i="8"/>
  <c r="GC102" i="8" s="1"/>
  <c r="EN100" i="8"/>
  <c r="EL100" i="8"/>
  <c r="BZ104" i="8"/>
  <c r="N154" i="22"/>
  <c r="H155" i="22" l="1"/>
  <c r="AW155" i="22"/>
  <c r="GH102" i="8"/>
  <c r="GI102" i="8" s="1"/>
  <c r="GN102" i="8" s="1"/>
  <c r="DD102" i="8"/>
  <c r="CZ102" i="8"/>
  <c r="DP103" i="8" s="1"/>
  <c r="EP100" i="8"/>
  <c r="EQ100" i="8" s="1"/>
  <c r="EV100" i="8" s="1"/>
  <c r="GB102" i="8"/>
  <c r="BV105" i="8"/>
  <c r="BP105" i="8"/>
  <c r="BU105" i="8"/>
  <c r="BT105" i="8"/>
  <c r="BQ105" i="8"/>
  <c r="BS105" i="8" s="1"/>
  <c r="BR105" i="8" s="1"/>
  <c r="J155" i="22"/>
  <c r="C155" i="22"/>
  <c r="K155" i="22"/>
  <c r="B155" i="22"/>
  <c r="D155" i="22"/>
  <c r="E155" i="22" s="1"/>
  <c r="G155" i="22" s="1"/>
  <c r="F155" i="22" s="1"/>
  <c r="I155" i="22"/>
  <c r="GJ102" i="8" l="1"/>
  <c r="GY103" i="8" s="1"/>
  <c r="CQ103" i="8"/>
  <c r="CS103" i="8" s="1"/>
  <c r="CR103" i="8" s="1"/>
  <c r="CV103" i="8"/>
  <c r="CT103" i="8"/>
  <c r="CP103" i="8"/>
  <c r="CU103" i="8"/>
  <c r="CW103" i="8"/>
  <c r="CO103" i="8"/>
  <c r="ER100" i="8"/>
  <c r="FG101" i="8" s="1"/>
  <c r="BX105" i="8"/>
  <c r="BY105" i="8" s="1"/>
  <c r="BZ105" i="8" s="1"/>
  <c r="L155" i="22"/>
  <c r="M155" i="22" s="1"/>
  <c r="N155" i="22" s="1"/>
  <c r="H156" i="22" s="1"/>
  <c r="GD103" i="8" l="1"/>
  <c r="GG103" i="8"/>
  <c r="FZ103" i="8"/>
  <c r="FY103" i="8"/>
  <c r="GE103" i="8"/>
  <c r="GA103" i="8"/>
  <c r="GC103" i="8" s="1"/>
  <c r="GB103" i="8" s="1"/>
  <c r="GF103" i="8"/>
  <c r="AW156" i="22"/>
  <c r="CX103" i="8"/>
  <c r="CY103" i="8" s="1"/>
  <c r="EN101" i="8"/>
  <c r="EM101" i="8"/>
  <c r="EH101" i="8"/>
  <c r="EO101" i="8"/>
  <c r="EG101" i="8"/>
  <c r="EL101" i="8"/>
  <c r="EI101" i="8"/>
  <c r="EK101" i="8" s="1"/>
  <c r="BQ106" i="8"/>
  <c r="BT106" i="8"/>
  <c r="BP106" i="8"/>
  <c r="BU106" i="8"/>
  <c r="BV106" i="8"/>
  <c r="CC105" i="8"/>
  <c r="D156" i="22"/>
  <c r="E156" i="22" s="1"/>
  <c r="G156" i="22" s="1"/>
  <c r="F156" i="22" s="1"/>
  <c r="I156" i="22"/>
  <c r="J156" i="22"/>
  <c r="C156" i="22"/>
  <c r="B156" i="22"/>
  <c r="K156" i="22"/>
  <c r="GH103" i="8" l="1"/>
  <c r="GI103" i="8" s="1"/>
  <c r="GN103" i="8" s="1"/>
  <c r="GY104" i="8"/>
  <c r="DD103" i="8"/>
  <c r="CZ103" i="8"/>
  <c r="DP104" i="8" s="1"/>
  <c r="EP101" i="8"/>
  <c r="EQ101" i="8" s="1"/>
  <c r="EV101" i="8" s="1"/>
  <c r="EJ101" i="8"/>
  <c r="BS106" i="8"/>
  <c r="L156" i="22"/>
  <c r="M156" i="22" s="1"/>
  <c r="N156" i="22" s="1"/>
  <c r="H157" i="22" s="1"/>
  <c r="GJ103" i="8" l="1"/>
  <c r="AW157" i="22"/>
  <c r="ER101" i="8"/>
  <c r="CV104" i="8"/>
  <c r="CU104" i="8"/>
  <c r="CQ104" i="8"/>
  <c r="CS104" i="8" s="1"/>
  <c r="CR104" i="8" s="1"/>
  <c r="CO104" i="8"/>
  <c r="CT104" i="8"/>
  <c r="CW104" i="8"/>
  <c r="CP104" i="8"/>
  <c r="BX106" i="8"/>
  <c r="BR106" i="8"/>
  <c r="B157" i="22"/>
  <c r="I157" i="22"/>
  <c r="C157" i="22"/>
  <c r="D157" i="22"/>
  <c r="E157" i="22" s="1"/>
  <c r="G157" i="22" s="1"/>
  <c r="J157" i="22"/>
  <c r="K157" i="22"/>
  <c r="GD104" i="8" l="1"/>
  <c r="GA104" i="8"/>
  <c r="GC104" i="8" s="1"/>
  <c r="GG104" i="8"/>
  <c r="GF104" i="8"/>
  <c r="FY104" i="8"/>
  <c r="FZ104" i="8"/>
  <c r="GE104" i="8"/>
  <c r="EO102" i="8"/>
  <c r="FG102" i="8"/>
  <c r="CX104" i="8"/>
  <c r="CY104" i="8" s="1"/>
  <c r="DD104" i="8" s="1"/>
  <c r="EL102" i="8"/>
  <c r="EG102" i="8"/>
  <c r="EI102" i="8"/>
  <c r="EK102" i="8" s="1"/>
  <c r="EJ102" i="8" s="1"/>
  <c r="EM102" i="8"/>
  <c r="EN102" i="8"/>
  <c r="EH102" i="8"/>
  <c r="BY106" i="8"/>
  <c r="BZ106" i="8" s="1"/>
  <c r="L157" i="22"/>
  <c r="M157" i="22" s="1"/>
  <c r="F157" i="22"/>
  <c r="CZ104" i="8" l="1"/>
  <c r="DP105" i="8" s="1"/>
  <c r="GB104" i="8"/>
  <c r="GH104" i="8"/>
  <c r="GI104" i="8" s="1"/>
  <c r="GN104" i="8" s="1"/>
  <c r="GY105" i="8"/>
  <c r="EP102" i="8"/>
  <c r="EQ102" i="8" s="1"/>
  <c r="ER102" i="8" s="1"/>
  <c r="FG103" i="8" s="1"/>
  <c r="CO105" i="8"/>
  <c r="BV107" i="8"/>
  <c r="BU107" i="8"/>
  <c r="BQ107" i="8"/>
  <c r="BS107" i="8" s="1"/>
  <c r="BR107" i="8" s="1"/>
  <c r="BT107" i="8"/>
  <c r="BP107" i="8"/>
  <c r="CC106" i="8"/>
  <c r="N157" i="22"/>
  <c r="AW158" i="22" s="1"/>
  <c r="CW105" i="8" l="1"/>
  <c r="CV105" i="8"/>
  <c r="CQ105" i="8"/>
  <c r="CS105" i="8" s="1"/>
  <c r="CR105" i="8" s="1"/>
  <c r="CP105" i="8"/>
  <c r="CU105" i="8"/>
  <c r="CT105" i="8"/>
  <c r="GJ104" i="8"/>
  <c r="EV102" i="8"/>
  <c r="CX105" i="8"/>
  <c r="CY105" i="8" s="1"/>
  <c r="EM103" i="8"/>
  <c r="EI103" i="8"/>
  <c r="EK103" i="8" s="1"/>
  <c r="EO103" i="8"/>
  <c r="EH103" i="8"/>
  <c r="EG103" i="8"/>
  <c r="EL103" i="8"/>
  <c r="EN103" i="8"/>
  <c r="BX107" i="8"/>
  <c r="BY107" i="8"/>
  <c r="BZ107" i="8" s="1"/>
  <c r="K158" i="22"/>
  <c r="H158" i="22"/>
  <c r="B158" i="22"/>
  <c r="I158" i="22"/>
  <c r="C158" i="22"/>
  <c r="J158" i="22"/>
  <c r="D158" i="22"/>
  <c r="E158" i="22" s="1"/>
  <c r="G158" i="22" s="1"/>
  <c r="F158" i="22" s="1"/>
  <c r="DD105" i="8" l="1"/>
  <c r="GE105" i="8"/>
  <c r="GD105" i="8"/>
  <c r="GA105" i="8"/>
  <c r="GC105" i="8" s="1"/>
  <c r="FZ105" i="8"/>
  <c r="GF105" i="8"/>
  <c r="FY105" i="8"/>
  <c r="GG105" i="8"/>
  <c r="GY106" i="8"/>
  <c r="CZ105" i="8"/>
  <c r="DP106" i="8" s="1"/>
  <c r="EJ103" i="8"/>
  <c r="EP103" i="8"/>
  <c r="EQ103" i="8" s="1"/>
  <c r="EV103" i="8" s="1"/>
  <c r="BT108" i="8"/>
  <c r="BU108" i="8"/>
  <c r="BP108" i="8"/>
  <c r="BQ108" i="8"/>
  <c r="BS108" i="8" s="1"/>
  <c r="BR108" i="8" s="1"/>
  <c r="BV108" i="8"/>
  <c r="CC107" i="8"/>
  <c r="L158" i="22"/>
  <c r="M158" i="22" s="1"/>
  <c r="N158" i="22" s="1"/>
  <c r="H159" i="22" s="1"/>
  <c r="GB105" i="8" l="1"/>
  <c r="GH105" i="8"/>
  <c r="GI105" i="8" s="1"/>
  <c r="GN105" i="8" s="1"/>
  <c r="AW159" i="22"/>
  <c r="CT106" i="8"/>
  <c r="CQ106" i="8"/>
  <c r="CS106" i="8" s="1"/>
  <c r="CR106" i="8" s="1"/>
  <c r="CU106" i="8"/>
  <c r="CP106" i="8"/>
  <c r="CO106" i="8"/>
  <c r="CW106" i="8"/>
  <c r="CV106" i="8"/>
  <c r="ER103" i="8"/>
  <c r="FG104" i="8" s="1"/>
  <c r="BX108" i="8"/>
  <c r="C159" i="22"/>
  <c r="B159" i="22"/>
  <c r="I159" i="22"/>
  <c r="J159" i="22"/>
  <c r="D159" i="22"/>
  <c r="E159" i="22" s="1"/>
  <c r="G159" i="22" s="1"/>
  <c r="F159" i="22" s="1"/>
  <c r="K159" i="22"/>
  <c r="GJ105" i="8" l="1"/>
  <c r="CX106" i="8"/>
  <c r="CY106" i="8" s="1"/>
  <c r="DD106" i="8" s="1"/>
  <c r="CZ106" i="8"/>
  <c r="DP107" i="8" s="1"/>
  <c r="EL104" i="8"/>
  <c r="EM104" i="8"/>
  <c r="EH104" i="8"/>
  <c r="EO104" i="8"/>
  <c r="EG104" i="8"/>
  <c r="EI104" i="8"/>
  <c r="EK104" i="8" s="1"/>
  <c r="EN104" i="8"/>
  <c r="BY108" i="8"/>
  <c r="BZ108" i="8" s="1"/>
  <c r="L159" i="22"/>
  <c r="M159" i="22" s="1"/>
  <c r="N159" i="22" s="1"/>
  <c r="H160" i="22" s="1"/>
  <c r="GE106" i="8" l="1"/>
  <c r="GG106" i="8"/>
  <c r="GD106" i="8"/>
  <c r="FY106" i="8"/>
  <c r="GF106" i="8"/>
  <c r="FZ106" i="8"/>
  <c r="GA106" i="8"/>
  <c r="GC106" i="8" s="1"/>
  <c r="GB106" i="8" s="1"/>
  <c r="GY107" i="8"/>
  <c r="AW160" i="22"/>
  <c r="CT107" i="8"/>
  <c r="CU107" i="8"/>
  <c r="CV107" i="8"/>
  <c r="CP107" i="8"/>
  <c r="CQ107" i="8"/>
  <c r="CS107" i="8" s="1"/>
  <c r="CR107" i="8" s="1"/>
  <c r="CW107" i="8"/>
  <c r="CO107" i="8"/>
  <c r="EJ104" i="8"/>
  <c r="EP104" i="8"/>
  <c r="EQ104" i="8" s="1"/>
  <c r="EV104" i="8" s="1"/>
  <c r="CC108" i="8"/>
  <c r="BT109" i="8"/>
  <c r="BU109" i="8"/>
  <c r="BQ109" i="8"/>
  <c r="BS109" i="8" s="1"/>
  <c r="BR109" i="8" s="1"/>
  <c r="BP109" i="8"/>
  <c r="BV109" i="8"/>
  <c r="D160" i="22"/>
  <c r="E160" i="22" s="1"/>
  <c r="G160" i="22" s="1"/>
  <c r="F160" i="22" s="1"/>
  <c r="J160" i="22"/>
  <c r="K160" i="22"/>
  <c r="C160" i="22"/>
  <c r="I160" i="22"/>
  <c r="B160" i="22"/>
  <c r="GH106" i="8" l="1"/>
  <c r="GI106" i="8" s="1"/>
  <c r="GN106" i="8" s="1"/>
  <c r="GY108" i="8"/>
  <c r="CX107" i="8"/>
  <c r="CY107" i="8" s="1"/>
  <c r="DD107" i="8" s="1"/>
  <c r="ER104" i="8"/>
  <c r="FG105" i="8" s="1"/>
  <c r="BX109" i="8"/>
  <c r="L160" i="22"/>
  <c r="M160" i="22" s="1"/>
  <c r="N160" i="22" s="1"/>
  <c r="AW161" i="22" s="1"/>
  <c r="CZ107" i="8" l="1"/>
  <c r="GJ106" i="8"/>
  <c r="EO105" i="8"/>
  <c r="EL105" i="8"/>
  <c r="EI105" i="8"/>
  <c r="EK105" i="8" s="1"/>
  <c r="EH105" i="8"/>
  <c r="EN105" i="8"/>
  <c r="EM105" i="8"/>
  <c r="EG105" i="8"/>
  <c r="BY109" i="8"/>
  <c r="BZ109" i="8" s="1"/>
  <c r="C161" i="22"/>
  <c r="H161" i="22"/>
  <c r="I161" i="22"/>
  <c r="J161" i="22"/>
  <c r="D161" i="22"/>
  <c r="E161" i="22" s="1"/>
  <c r="G161" i="22" s="1"/>
  <c r="F161" i="22" s="1"/>
  <c r="K161" i="22"/>
  <c r="B161" i="22"/>
  <c r="DP108" i="8" l="1"/>
  <c r="CT108" i="8"/>
  <c r="CQ108" i="8"/>
  <c r="CS108" i="8" s="1"/>
  <c r="CR108" i="8" s="1"/>
  <c r="CW108" i="8"/>
  <c r="CO108" i="8"/>
  <c r="CP108" i="8"/>
  <c r="CV108" i="8"/>
  <c r="CU108" i="8"/>
  <c r="GE107" i="8"/>
  <c r="FZ107" i="8"/>
  <c r="GA107" i="8"/>
  <c r="GC107" i="8" s="1"/>
  <c r="GF107" i="8"/>
  <c r="GG107" i="8"/>
  <c r="FY107" i="8"/>
  <c r="GD107" i="8"/>
  <c r="CX108" i="8"/>
  <c r="CY108" i="8" s="1"/>
  <c r="EJ105" i="8"/>
  <c r="EP105" i="8"/>
  <c r="EQ105" i="8" s="1"/>
  <c r="EV105" i="8" s="1"/>
  <c r="CC109" i="8"/>
  <c r="BU110" i="8"/>
  <c r="BP110" i="8"/>
  <c r="BQ110" i="8"/>
  <c r="BS110" i="8" s="1"/>
  <c r="BR110" i="8" s="1"/>
  <c r="BV110" i="8"/>
  <c r="BT110" i="8"/>
  <c r="L161" i="22"/>
  <c r="M161" i="22" s="1"/>
  <c r="N161" i="22" s="1"/>
  <c r="H162" i="22" s="1"/>
  <c r="DD108" i="8" l="1"/>
  <c r="GB107" i="8"/>
  <c r="GH107" i="8"/>
  <c r="GI107" i="8" s="1"/>
  <c r="GN107" i="8" s="1"/>
  <c r="GY109" i="8"/>
  <c r="AW162" i="22"/>
  <c r="CZ108" i="8"/>
  <c r="DP109" i="8" s="1"/>
  <c r="ER105" i="8"/>
  <c r="FG106" i="8" s="1"/>
  <c r="BX110" i="8"/>
  <c r="D162" i="22"/>
  <c r="E162" i="22" s="1"/>
  <c r="G162" i="22" s="1"/>
  <c r="J162" i="22"/>
  <c r="C162" i="22"/>
  <c r="B162" i="22"/>
  <c r="I162" i="22"/>
  <c r="K162" i="22"/>
  <c r="GJ107" i="8" l="1"/>
  <c r="CQ109" i="8"/>
  <c r="CS109" i="8" s="1"/>
  <c r="CR109" i="8" s="1"/>
  <c r="CO109" i="8"/>
  <c r="CP109" i="8"/>
  <c r="CU109" i="8"/>
  <c r="CT109" i="8"/>
  <c r="CW109" i="8"/>
  <c r="CV109" i="8"/>
  <c r="EH106" i="8"/>
  <c r="EN106" i="8"/>
  <c r="EO106" i="8"/>
  <c r="EG106" i="8"/>
  <c r="EI106" i="8"/>
  <c r="EK106" i="8" s="1"/>
  <c r="EM106" i="8"/>
  <c r="EL106" i="8"/>
  <c r="BY110" i="8"/>
  <c r="BZ110" i="8" s="1"/>
  <c r="F162" i="22"/>
  <c r="L162" i="22"/>
  <c r="M162" i="22" s="1"/>
  <c r="GG108" i="8" l="1"/>
  <c r="GD108" i="8"/>
  <c r="GA108" i="8"/>
  <c r="GC108" i="8" s="1"/>
  <c r="GB108" i="8" s="1"/>
  <c r="GF108" i="8"/>
  <c r="FZ108" i="8"/>
  <c r="FY108" i="8"/>
  <c r="GE108" i="8"/>
  <c r="GY110" i="8"/>
  <c r="CX109" i="8"/>
  <c r="CY109" i="8" s="1"/>
  <c r="DD109" i="8" s="1"/>
  <c r="EP106" i="8"/>
  <c r="EQ106" i="8" s="1"/>
  <c r="EV106" i="8" s="1"/>
  <c r="EJ106" i="8"/>
  <c r="CC110" i="8"/>
  <c r="BT111" i="8"/>
  <c r="BQ111" i="8"/>
  <c r="BS111" i="8" s="1"/>
  <c r="BR111" i="8" s="1"/>
  <c r="BV111" i="8"/>
  <c r="BP111" i="8"/>
  <c r="BU111" i="8"/>
  <c r="N162" i="22"/>
  <c r="AW163" i="22" s="1"/>
  <c r="CZ109" i="8" l="1"/>
  <c r="DP110" i="8" s="1"/>
  <c r="GH108" i="8"/>
  <c r="GI108" i="8" s="1"/>
  <c r="GN108" i="8" s="1"/>
  <c r="ER106" i="8"/>
  <c r="CU110" i="8"/>
  <c r="CQ110" i="8"/>
  <c r="CS110" i="8" s="1"/>
  <c r="BX111" i="8"/>
  <c r="D163" i="22"/>
  <c r="E163" i="22" s="1"/>
  <c r="G163" i="22" s="1"/>
  <c r="F163" i="22" s="1"/>
  <c r="H163" i="22"/>
  <c r="I163" i="22"/>
  <c r="J163" i="22"/>
  <c r="C163" i="22"/>
  <c r="K163" i="22"/>
  <c r="B163" i="22"/>
  <c r="CP110" i="8" l="1"/>
  <c r="CT110" i="8"/>
  <c r="CV110" i="8"/>
  <c r="CW110" i="8"/>
  <c r="CO110" i="8"/>
  <c r="GJ108" i="8"/>
  <c r="FY109" i="8" s="1"/>
  <c r="EO107" i="8"/>
  <c r="FG107" i="8"/>
  <c r="EL107" i="8"/>
  <c r="EM107" i="8"/>
  <c r="EI107" i="8"/>
  <c r="EK107" i="8" s="1"/>
  <c r="EJ107" i="8" s="1"/>
  <c r="EG107" i="8"/>
  <c r="EN107" i="8"/>
  <c r="EH107" i="8"/>
  <c r="CR110" i="8"/>
  <c r="CX110" i="8"/>
  <c r="CY110" i="8" s="1"/>
  <c r="BY111" i="8"/>
  <c r="BZ111" i="8" s="1"/>
  <c r="L163" i="22"/>
  <c r="M163" i="22" s="1"/>
  <c r="N163" i="22" s="1"/>
  <c r="AW164" i="22" s="1"/>
  <c r="DD110" i="8" l="1"/>
  <c r="GG109" i="8"/>
  <c r="FZ109" i="8"/>
  <c r="GA109" i="8"/>
  <c r="GC109" i="8" s="1"/>
  <c r="GB109" i="8" s="1"/>
  <c r="GE109" i="8"/>
  <c r="GF109" i="8"/>
  <c r="GD109" i="8"/>
  <c r="GH109" i="8" s="1"/>
  <c r="GI109" i="8" s="1"/>
  <c r="EP107" i="8"/>
  <c r="EQ107" i="8" s="1"/>
  <c r="EV107" i="8" s="1"/>
  <c r="CZ110" i="8"/>
  <c r="DP111" i="8" s="1"/>
  <c r="CC111" i="8"/>
  <c r="BT112" i="8"/>
  <c r="BP112" i="8"/>
  <c r="BU112" i="8"/>
  <c r="BQ112" i="8"/>
  <c r="BS112" i="8" s="1"/>
  <c r="BR112" i="8" s="1"/>
  <c r="BV112" i="8"/>
  <c r="I164" i="22"/>
  <c r="H164" i="22"/>
  <c r="C164" i="22"/>
  <c r="D164" i="22"/>
  <c r="E164" i="22" s="1"/>
  <c r="G164" i="22" s="1"/>
  <c r="F164" i="22" s="1"/>
  <c r="B164" i="22"/>
  <c r="J164" i="22"/>
  <c r="K164" i="22"/>
  <c r="GN109" i="8" l="1"/>
  <c r="GJ109" i="8"/>
  <c r="GD110" i="8" s="1"/>
  <c r="GY111" i="8"/>
  <c r="ER107" i="8"/>
  <c r="FG108" i="8" s="1"/>
  <c r="GY112" i="8"/>
  <c r="CO111" i="8"/>
  <c r="CP111" i="8"/>
  <c r="CQ111" i="8"/>
  <c r="CS111" i="8" s="1"/>
  <c r="CV111" i="8"/>
  <c r="CW111" i="8"/>
  <c r="CU111" i="8"/>
  <c r="CT111" i="8"/>
  <c r="BX112" i="8"/>
  <c r="BY112" i="8" s="1"/>
  <c r="BZ112" i="8" s="1"/>
  <c r="L164" i="22"/>
  <c r="M164" i="22" s="1"/>
  <c r="N164" i="22" s="1"/>
  <c r="H165" i="22" s="1"/>
  <c r="GE110" i="8" l="1"/>
  <c r="GA110" i="8"/>
  <c r="GC110" i="8" s="1"/>
  <c r="GG110" i="8"/>
  <c r="FY110" i="8"/>
  <c r="FZ110" i="8"/>
  <c r="GF110" i="8"/>
  <c r="EG108" i="8"/>
  <c r="EI108" i="8"/>
  <c r="EK108" i="8" s="1"/>
  <c r="EJ108" i="8" s="1"/>
  <c r="EH108" i="8"/>
  <c r="EL108" i="8"/>
  <c r="EO108" i="8"/>
  <c r="EN108" i="8"/>
  <c r="EM108" i="8"/>
  <c r="AW165" i="22"/>
  <c r="CR111" i="8"/>
  <c r="CX111" i="8"/>
  <c r="CY111" i="8" s="1"/>
  <c r="CC112" i="8"/>
  <c r="BT113" i="8"/>
  <c r="BQ113" i="8"/>
  <c r="BS113" i="8" s="1"/>
  <c r="BR113" i="8" s="1"/>
  <c r="BU113" i="8"/>
  <c r="BV113" i="8"/>
  <c r="BP113" i="8"/>
  <c r="I165" i="22"/>
  <c r="K165" i="22"/>
  <c r="C165" i="22"/>
  <c r="B165" i="22"/>
  <c r="D165" i="22"/>
  <c r="E165" i="22" s="1"/>
  <c r="G165" i="22" s="1"/>
  <c r="F165" i="22" s="1"/>
  <c r="J165" i="22"/>
  <c r="GB110" i="8" l="1"/>
  <c r="GH110" i="8"/>
  <c r="GI110" i="8" s="1"/>
  <c r="GN110" i="8" s="1"/>
  <c r="EP108" i="8"/>
  <c r="EQ108" i="8" s="1"/>
  <c r="EV108" i="8" s="1"/>
  <c r="CZ111" i="8"/>
  <c r="DP112" i="8" s="1"/>
  <c r="DD111" i="8"/>
  <c r="BX113" i="8"/>
  <c r="L165" i="22"/>
  <c r="M165" i="22" s="1"/>
  <c r="N165" i="22" s="1"/>
  <c r="H166" i="22" s="1"/>
  <c r="CQ112" i="8" l="1"/>
  <c r="CS112" i="8" s="1"/>
  <c r="CO112" i="8"/>
  <c r="CP112" i="8"/>
  <c r="ER108" i="8"/>
  <c r="GJ110" i="8"/>
  <c r="CV112" i="8"/>
  <c r="CU112" i="8"/>
  <c r="CT112" i="8"/>
  <c r="CW112" i="8"/>
  <c r="GY113" i="8"/>
  <c r="FG109" i="8"/>
  <c r="AW166" i="22"/>
  <c r="CR112" i="8"/>
  <c r="BY113" i="8"/>
  <c r="BZ113" i="8" s="1"/>
  <c r="D166" i="22"/>
  <c r="E166" i="22" s="1"/>
  <c r="G166" i="22" s="1"/>
  <c r="F166" i="22" s="1"/>
  <c r="J166" i="22"/>
  <c r="I166" i="22"/>
  <c r="C166" i="22"/>
  <c r="B166" i="22"/>
  <c r="K166" i="22"/>
  <c r="EN109" i="8" l="1"/>
  <c r="EI109" i="8"/>
  <c r="EK109" i="8" s="1"/>
  <c r="EJ109" i="8" s="1"/>
  <c r="EM109" i="8"/>
  <c r="EO109" i="8"/>
  <c r="EG109" i="8"/>
  <c r="EL109" i="8"/>
  <c r="EH109" i="8"/>
  <c r="CX112" i="8"/>
  <c r="CY112" i="8" s="1"/>
  <c r="DD112" i="8" s="1"/>
  <c r="GD111" i="8"/>
  <c r="GA111" i="8"/>
  <c r="GC111" i="8" s="1"/>
  <c r="FZ111" i="8"/>
  <c r="GF111" i="8"/>
  <c r="GE111" i="8"/>
  <c r="FY111" i="8"/>
  <c r="GG111" i="8"/>
  <c r="EP109" i="8"/>
  <c r="EQ109" i="8" s="1"/>
  <c r="ER109" i="8" s="1"/>
  <c r="FG110" i="8" s="1"/>
  <c r="CZ112" i="8"/>
  <c r="DP113" i="8" s="1"/>
  <c r="BT114" i="8"/>
  <c r="BV114" i="8"/>
  <c r="BU114" i="8"/>
  <c r="BP114" i="8"/>
  <c r="BQ114" i="8"/>
  <c r="BS114" i="8" s="1"/>
  <c r="BR114" i="8" s="1"/>
  <c r="CC113" i="8"/>
  <c r="L166" i="22"/>
  <c r="M166" i="22" s="1"/>
  <c r="N166" i="22" s="1"/>
  <c r="H167" i="22" s="1"/>
  <c r="GH111" i="8" l="1"/>
  <c r="GI111" i="8" s="1"/>
  <c r="GN111" i="8" s="1"/>
  <c r="GB111" i="8"/>
  <c r="GJ111" i="8" s="1"/>
  <c r="GE112" i="8" s="1"/>
  <c r="EV109" i="8"/>
  <c r="GY114" i="8"/>
  <c r="AW167" i="22"/>
  <c r="CO113" i="8"/>
  <c r="CT113" i="8"/>
  <c r="CP113" i="8"/>
  <c r="CQ113" i="8"/>
  <c r="CS113" i="8" s="1"/>
  <c r="CW113" i="8"/>
  <c r="CU113" i="8"/>
  <c r="CV113" i="8"/>
  <c r="EH110" i="8"/>
  <c r="EI110" i="8"/>
  <c r="EK110" i="8" s="1"/>
  <c r="EJ110" i="8" s="1"/>
  <c r="EM110" i="8"/>
  <c r="EL110" i="8"/>
  <c r="EG110" i="8"/>
  <c r="EO110" i="8"/>
  <c r="EN110" i="8"/>
  <c r="BX114" i="8"/>
  <c r="BY114" i="8" s="1"/>
  <c r="BZ114" i="8" s="1"/>
  <c r="K167" i="22"/>
  <c r="C167" i="22"/>
  <c r="D167" i="22"/>
  <c r="E167" i="22" s="1"/>
  <c r="G167" i="22" s="1"/>
  <c r="B167" i="22"/>
  <c r="J167" i="22"/>
  <c r="I167" i="22"/>
  <c r="GF112" i="8" l="1"/>
  <c r="FZ112" i="8"/>
  <c r="FY112" i="8"/>
  <c r="GD112" i="8"/>
  <c r="GG112" i="8"/>
  <c r="GA112" i="8"/>
  <c r="GC112" i="8" s="1"/>
  <c r="GB112" i="8" s="1"/>
  <c r="CR113" i="8"/>
  <c r="CX113" i="8"/>
  <c r="CY113" i="8" s="1"/>
  <c r="DD113" i="8" s="1"/>
  <c r="EP110" i="8"/>
  <c r="EQ110" i="8" s="1"/>
  <c r="BT115" i="8"/>
  <c r="BP115" i="8"/>
  <c r="BU115" i="8"/>
  <c r="BQ115" i="8"/>
  <c r="BS115" i="8" s="1"/>
  <c r="BR115" i="8" s="1"/>
  <c r="BV115" i="8"/>
  <c r="CC114" i="8"/>
  <c r="L167" i="22"/>
  <c r="M167" i="22" s="1"/>
  <c r="F167" i="22"/>
  <c r="GH112" i="8" l="1"/>
  <c r="GI112" i="8" s="1"/>
  <c r="GN112" i="8" s="1"/>
  <c r="GJ112" i="8"/>
  <c r="GG113" i="8" s="1"/>
  <c r="FZ113" i="8"/>
  <c r="GE113" i="8"/>
  <c r="GD113" i="8"/>
  <c r="GY115" i="8"/>
  <c r="CZ113" i="8"/>
  <c r="DP114" i="8" s="1"/>
  <c r="EV110" i="8"/>
  <c r="ER110" i="8"/>
  <c r="FG111" i="8" s="1"/>
  <c r="BX115" i="8"/>
  <c r="N167" i="22"/>
  <c r="GA113" i="8" l="1"/>
  <c r="GC113" i="8" s="1"/>
  <c r="FY113" i="8"/>
  <c r="GF113" i="8"/>
  <c r="GB113" i="8"/>
  <c r="GH113" i="8"/>
  <c r="GI113" i="8" s="1"/>
  <c r="H168" i="22"/>
  <c r="AW168" i="22"/>
  <c r="CT114" i="8"/>
  <c r="CW114" i="8"/>
  <c r="CP114" i="8"/>
  <c r="CQ114" i="8"/>
  <c r="CS114" i="8" s="1"/>
  <c r="CU114" i="8"/>
  <c r="CV114" i="8"/>
  <c r="CO114" i="8"/>
  <c r="EH111" i="8"/>
  <c r="EN111" i="8"/>
  <c r="EO111" i="8"/>
  <c r="EG111" i="8"/>
  <c r="EL111" i="8"/>
  <c r="EI111" i="8"/>
  <c r="EK111" i="8" s="1"/>
  <c r="EJ111" i="8" s="1"/>
  <c r="EM111" i="8"/>
  <c r="BY115" i="8"/>
  <c r="BZ115" i="8" s="1"/>
  <c r="K168" i="22"/>
  <c r="J168" i="22"/>
  <c r="I168" i="22"/>
  <c r="B168" i="22"/>
  <c r="D168" i="22"/>
  <c r="E168" i="22" s="1"/>
  <c r="G168" i="22" s="1"/>
  <c r="C168" i="22"/>
  <c r="GN113" i="8" l="1"/>
  <c r="GJ113" i="8"/>
  <c r="CX114" i="8"/>
  <c r="CY114" i="8" s="1"/>
  <c r="DD114" i="8" s="1"/>
  <c r="EP111" i="8"/>
  <c r="EQ111" i="8" s="1"/>
  <c r="EV111" i="8" s="1"/>
  <c r="CR114" i="8"/>
  <c r="CZ114" i="8" s="1"/>
  <c r="DP115" i="8" s="1"/>
  <c r="BT116" i="8"/>
  <c r="BU116" i="8"/>
  <c r="BQ116" i="8"/>
  <c r="BS116" i="8" s="1"/>
  <c r="BR116" i="8" s="1"/>
  <c r="BP116" i="8"/>
  <c r="BV116" i="8"/>
  <c r="CC115" i="8"/>
  <c r="F168" i="22"/>
  <c r="L168" i="22"/>
  <c r="M168" i="22" s="1"/>
  <c r="GF114" i="8" l="1"/>
  <c r="GD114" i="8"/>
  <c r="GG114" i="8"/>
  <c r="GA114" i="8"/>
  <c r="GC114" i="8" s="1"/>
  <c r="FY114" i="8"/>
  <c r="FZ114" i="8"/>
  <c r="GE114" i="8"/>
  <c r="GY116" i="8"/>
  <c r="ER111" i="8"/>
  <c r="CT115" i="8"/>
  <c r="CU115" i="8"/>
  <c r="CP115" i="8"/>
  <c r="CV115" i="8"/>
  <c r="CW115" i="8"/>
  <c r="CQ115" i="8"/>
  <c r="CS115" i="8" s="1"/>
  <c r="CR115" i="8" s="1"/>
  <c r="CO115" i="8"/>
  <c r="BX116" i="8"/>
  <c r="BY116" i="8" s="1"/>
  <c r="BZ116" i="8" s="1"/>
  <c r="N168" i="22"/>
  <c r="GB114" i="8" l="1"/>
  <c r="GH114" i="8"/>
  <c r="GI114" i="8" s="1"/>
  <c r="GN114" i="8" s="1"/>
  <c r="EN112" i="8"/>
  <c r="FG112" i="8"/>
  <c r="H169" i="22"/>
  <c r="AW169" i="22"/>
  <c r="EI112" i="8"/>
  <c r="EK112" i="8" s="1"/>
  <c r="EJ112" i="8" s="1"/>
  <c r="EH112" i="8"/>
  <c r="EO112" i="8"/>
  <c r="EG112" i="8"/>
  <c r="EM112" i="8"/>
  <c r="EL112" i="8"/>
  <c r="CX115" i="8"/>
  <c r="CY115" i="8" s="1"/>
  <c r="DD115" i="8" s="1"/>
  <c r="BT117" i="8"/>
  <c r="BU117" i="8"/>
  <c r="BV117" i="8"/>
  <c r="BP117" i="8"/>
  <c r="BQ117" i="8"/>
  <c r="BS117" i="8" s="1"/>
  <c r="BR117" i="8" s="1"/>
  <c r="CC116" i="8"/>
  <c r="J169" i="22"/>
  <c r="K169" i="22"/>
  <c r="B169" i="22"/>
  <c r="D169" i="22"/>
  <c r="E169" i="22" s="1"/>
  <c r="G169" i="22" s="1"/>
  <c r="F169" i="22" s="1"/>
  <c r="C169" i="22"/>
  <c r="I169" i="22"/>
  <c r="GJ114" i="8" l="1"/>
  <c r="EP112" i="8"/>
  <c r="EQ112" i="8" s="1"/>
  <c r="EV112" i="8" s="1"/>
  <c r="GY117" i="8"/>
  <c r="CZ115" i="8"/>
  <c r="DP116" i="8" s="1"/>
  <c r="BX117" i="8"/>
  <c r="BY117" i="8" s="1"/>
  <c r="BZ117" i="8" s="1"/>
  <c r="L169" i="22"/>
  <c r="M169" i="22" s="1"/>
  <c r="N169" i="22" s="1"/>
  <c r="AW170" i="22" s="1"/>
  <c r="GD115" i="8" l="1"/>
  <c r="GE115" i="8"/>
  <c r="GG115" i="8"/>
  <c r="FZ115" i="8"/>
  <c r="FY115" i="8"/>
  <c r="GF115" i="8"/>
  <c r="GA115" i="8"/>
  <c r="GC115" i="8" s="1"/>
  <c r="GB115" i="8" s="1"/>
  <c r="ER112" i="8"/>
  <c r="FG113" i="8" s="1"/>
  <c r="CT116" i="8"/>
  <c r="CW116" i="8"/>
  <c r="CP116" i="8"/>
  <c r="CQ116" i="8"/>
  <c r="CS116" i="8" s="1"/>
  <c r="CR116" i="8" s="1"/>
  <c r="CU116" i="8"/>
  <c r="CV116" i="8"/>
  <c r="CO116" i="8"/>
  <c r="CC117" i="8"/>
  <c r="BT118" i="8"/>
  <c r="BV118" i="8"/>
  <c r="BU118" i="8"/>
  <c r="BQ118" i="8"/>
  <c r="BS118" i="8" s="1"/>
  <c r="BR118" i="8" s="1"/>
  <c r="BP118" i="8"/>
  <c r="H170" i="22"/>
  <c r="J170" i="22"/>
  <c r="C170" i="22"/>
  <c r="B170" i="22"/>
  <c r="K170" i="22"/>
  <c r="I170" i="22"/>
  <c r="D170" i="22"/>
  <c r="E170" i="22" s="1"/>
  <c r="G170" i="22" s="1"/>
  <c r="F170" i="22" s="1"/>
  <c r="GH115" i="8" l="1"/>
  <c r="GI115" i="8" s="1"/>
  <c r="GN115" i="8" s="1"/>
  <c r="EM113" i="8"/>
  <c r="EL113" i="8"/>
  <c r="EN113" i="8"/>
  <c r="EH113" i="8"/>
  <c r="EG113" i="8"/>
  <c r="EO113" i="8"/>
  <c r="EI113" i="8"/>
  <c r="EK113" i="8" s="1"/>
  <c r="EJ113" i="8" s="1"/>
  <c r="CX116" i="8"/>
  <c r="CY116" i="8" s="1"/>
  <c r="DD116" i="8" s="1"/>
  <c r="BX118" i="8"/>
  <c r="L170" i="22"/>
  <c r="M170" i="22" s="1"/>
  <c r="N170" i="22" s="1"/>
  <c r="H171" i="22" s="1"/>
  <c r="GJ115" i="8" l="1"/>
  <c r="FZ116" i="8" s="1"/>
  <c r="EP113" i="8"/>
  <c r="EQ113" i="8" s="1"/>
  <c r="EV113" i="8" s="1"/>
  <c r="GE116" i="8"/>
  <c r="GF116" i="8"/>
  <c r="GY118" i="8"/>
  <c r="AW171" i="22"/>
  <c r="CZ116" i="8"/>
  <c r="ER113" i="8"/>
  <c r="FG114" i="8" s="1"/>
  <c r="BY118" i="8"/>
  <c r="BZ118" i="8" s="1"/>
  <c r="K171" i="22"/>
  <c r="I171" i="22"/>
  <c r="J171" i="22"/>
  <c r="C171" i="22"/>
  <c r="B171" i="22"/>
  <c r="D171" i="22"/>
  <c r="E171" i="22" s="1"/>
  <c r="G171" i="22" s="1"/>
  <c r="GA116" i="8" l="1"/>
  <c r="GC116" i="8" s="1"/>
  <c r="GG116" i="8"/>
  <c r="GD116" i="8"/>
  <c r="GH116" i="8" s="1"/>
  <c r="GI116" i="8" s="1"/>
  <c r="GN116" i="8" s="1"/>
  <c r="FY116" i="8"/>
  <c r="GB116" i="8"/>
  <c r="CT117" i="8"/>
  <c r="DP117" i="8"/>
  <c r="CW117" i="8"/>
  <c r="CU117" i="8"/>
  <c r="CV117" i="8"/>
  <c r="CP117" i="8"/>
  <c r="CO117" i="8"/>
  <c r="CQ117" i="8"/>
  <c r="CS117" i="8" s="1"/>
  <c r="CR117" i="8" s="1"/>
  <c r="EH114" i="8"/>
  <c r="EG114" i="8"/>
  <c r="EO114" i="8"/>
  <c r="EN114" i="8"/>
  <c r="EL114" i="8"/>
  <c r="EI114" i="8"/>
  <c r="EK114" i="8" s="1"/>
  <c r="EM114" i="8"/>
  <c r="CC118" i="8"/>
  <c r="BP119" i="8"/>
  <c r="BV119" i="8"/>
  <c r="BU119" i="8"/>
  <c r="BT119" i="8"/>
  <c r="BQ119" i="8"/>
  <c r="BS119" i="8" s="1"/>
  <c r="BR119" i="8" s="1"/>
  <c r="L171" i="22"/>
  <c r="M171" i="22" s="1"/>
  <c r="F171" i="22"/>
  <c r="GJ116" i="8" l="1"/>
  <c r="GY119" i="8"/>
  <c r="CX117" i="8"/>
  <c r="CY117" i="8" s="1"/>
  <c r="DD117" i="8" s="1"/>
  <c r="CZ117" i="8"/>
  <c r="CT118" i="8" s="1"/>
  <c r="EP114" i="8"/>
  <c r="EQ114" i="8" s="1"/>
  <c r="EV114" i="8" s="1"/>
  <c r="EJ114" i="8"/>
  <c r="BX119" i="8"/>
  <c r="BY119" i="8"/>
  <c r="N171" i="22"/>
  <c r="FZ117" i="8" l="1"/>
  <c r="GF117" i="8"/>
  <c r="FY117" i="8"/>
  <c r="GA117" i="8"/>
  <c r="GC117" i="8" s="1"/>
  <c r="GB117" i="8" s="1"/>
  <c r="GG117" i="8"/>
  <c r="GD117" i="8"/>
  <c r="GE117" i="8"/>
  <c r="H172" i="22"/>
  <c r="AW172" i="22"/>
  <c r="DP118" i="8"/>
  <c r="CV118" i="8"/>
  <c r="CQ118" i="8"/>
  <c r="CS118" i="8" s="1"/>
  <c r="CR118" i="8" s="1"/>
  <c r="CU118" i="8"/>
  <c r="CO118" i="8"/>
  <c r="CC119" i="8"/>
  <c r="CP118" i="8"/>
  <c r="CW118" i="8"/>
  <c r="ER114" i="8"/>
  <c r="FG115" i="8" s="1"/>
  <c r="BZ119" i="8"/>
  <c r="J172" i="22"/>
  <c r="C172" i="22"/>
  <c r="K172" i="22"/>
  <c r="B172" i="22"/>
  <c r="D172" i="22"/>
  <c r="E172" i="22" s="1"/>
  <c r="G172" i="22" s="1"/>
  <c r="F172" i="22" s="1"/>
  <c r="I172" i="22"/>
  <c r="GH117" i="8" l="1"/>
  <c r="GI117" i="8" s="1"/>
  <c r="GN117" i="8" s="1"/>
  <c r="CX118" i="8"/>
  <c r="CY118" i="8" s="1"/>
  <c r="DD118" i="8" s="1"/>
  <c r="CZ118" i="8"/>
  <c r="CV119" i="8" s="1"/>
  <c r="EM115" i="8"/>
  <c r="EH115" i="8"/>
  <c r="EO115" i="8"/>
  <c r="EN115" i="8"/>
  <c r="EL115" i="8"/>
  <c r="EI115" i="8"/>
  <c r="EK115" i="8" s="1"/>
  <c r="EG115" i="8"/>
  <c r="BT120" i="8"/>
  <c r="BV120" i="8"/>
  <c r="BP120" i="8"/>
  <c r="BQ120" i="8"/>
  <c r="BS120" i="8" s="1"/>
  <c r="BR120" i="8" s="1"/>
  <c r="BU120" i="8"/>
  <c r="L172" i="22"/>
  <c r="M172" i="22" s="1"/>
  <c r="N172" i="22" s="1"/>
  <c r="H173" i="22" s="1"/>
  <c r="GJ117" i="8" l="1"/>
  <c r="GD118" i="8" s="1"/>
  <c r="GY120" i="8"/>
  <c r="DP119" i="8"/>
  <c r="AW173" i="22"/>
  <c r="CT119" i="8"/>
  <c r="CW119" i="8"/>
  <c r="CP119" i="8"/>
  <c r="CO119" i="8"/>
  <c r="CU119" i="8"/>
  <c r="CQ119" i="8"/>
  <c r="CS119" i="8" s="1"/>
  <c r="EP115" i="8"/>
  <c r="EQ115" i="8" s="1"/>
  <c r="EV115" i="8" s="1"/>
  <c r="EJ115" i="8"/>
  <c r="BX120" i="8"/>
  <c r="K173" i="22"/>
  <c r="C173" i="22"/>
  <c r="B173" i="22"/>
  <c r="I173" i="22"/>
  <c r="D173" i="22"/>
  <c r="E173" i="22" s="1"/>
  <c r="G173" i="22" s="1"/>
  <c r="F173" i="22" s="1"/>
  <c r="J173" i="22"/>
  <c r="GA118" i="8" l="1"/>
  <c r="GC118" i="8" s="1"/>
  <c r="GB118" i="8" s="1"/>
  <c r="GF118" i="8"/>
  <c r="FZ118" i="8"/>
  <c r="GG118" i="8"/>
  <c r="GE118" i="8"/>
  <c r="FY118" i="8"/>
  <c r="GH118" i="8"/>
  <c r="GI118" i="8" s="1"/>
  <c r="GJ118" i="8" s="1"/>
  <c r="ER115" i="8"/>
  <c r="CR119" i="8"/>
  <c r="CX119" i="8"/>
  <c r="CY119" i="8" s="1"/>
  <c r="DD119" i="8" s="1"/>
  <c r="BY120" i="8"/>
  <c r="BZ120" i="8" s="1"/>
  <c r="L173" i="22"/>
  <c r="M173" i="22" s="1"/>
  <c r="N173" i="22" s="1"/>
  <c r="H174" i="22" s="1"/>
  <c r="GN118" i="8" l="1"/>
  <c r="GF119" i="8"/>
  <c r="GD119" i="8"/>
  <c r="FY119" i="8"/>
  <c r="GE119" i="8"/>
  <c r="FZ119" i="8"/>
  <c r="GA119" i="8"/>
  <c r="GC119" i="8" s="1"/>
  <c r="GG119" i="8"/>
  <c r="EN116" i="8"/>
  <c r="FG116" i="8"/>
  <c r="AW174" i="22"/>
  <c r="EH116" i="8"/>
  <c r="EO116" i="8"/>
  <c r="EM116" i="8"/>
  <c r="EI116" i="8"/>
  <c r="EK116" i="8" s="1"/>
  <c r="EJ116" i="8" s="1"/>
  <c r="EG116" i="8"/>
  <c r="EL116" i="8"/>
  <c r="CZ119" i="8"/>
  <c r="DP120" i="8" s="1"/>
  <c r="CC120" i="8"/>
  <c r="BT121" i="8"/>
  <c r="BU121" i="8"/>
  <c r="BV121" i="8"/>
  <c r="BP121" i="8"/>
  <c r="BQ121" i="8"/>
  <c r="BS121" i="8" s="1"/>
  <c r="BR121" i="8" s="1"/>
  <c r="B174" i="22"/>
  <c r="K174" i="22"/>
  <c r="I174" i="22"/>
  <c r="C174" i="22"/>
  <c r="J174" i="22"/>
  <c r="D174" i="22"/>
  <c r="E174" i="22" s="1"/>
  <c r="G174" i="22" s="1"/>
  <c r="F174" i="22" s="1"/>
  <c r="GH119" i="8" l="1"/>
  <c r="GI119" i="8" s="1"/>
  <c r="GN119" i="8" s="1"/>
  <c r="GB119" i="8"/>
  <c r="GJ119" i="8" s="1"/>
  <c r="GY121" i="8"/>
  <c r="EP116" i="8"/>
  <c r="EQ116" i="8" s="1"/>
  <c r="EV116" i="8" s="1"/>
  <c r="CV120" i="8"/>
  <c r="CT120" i="8"/>
  <c r="CP120" i="8"/>
  <c r="CO120" i="8"/>
  <c r="CU120" i="8"/>
  <c r="CW120" i="8"/>
  <c r="CQ120" i="8"/>
  <c r="CS120" i="8" s="1"/>
  <c r="BX121" i="8"/>
  <c r="BY121" i="8" s="1"/>
  <c r="BZ121" i="8" s="1"/>
  <c r="L174" i="22"/>
  <c r="M174" i="22" s="1"/>
  <c r="N174" i="22" s="1"/>
  <c r="H175" i="22" s="1"/>
  <c r="GE120" i="8" l="1"/>
  <c r="GD120" i="8"/>
  <c r="GA120" i="8"/>
  <c r="GC120" i="8" s="1"/>
  <c r="GB120" i="8" s="1"/>
  <c r="FY120" i="8"/>
  <c r="GG120" i="8"/>
  <c r="GF120" i="8"/>
  <c r="FZ120" i="8"/>
  <c r="ER116" i="8"/>
  <c r="FG117" i="8" s="1"/>
  <c r="AW175" i="22"/>
  <c r="CR120" i="8"/>
  <c r="CX120" i="8"/>
  <c r="CY120" i="8" s="1"/>
  <c r="DD120" i="8" s="1"/>
  <c r="CC121" i="8"/>
  <c r="BT122" i="8"/>
  <c r="BV122" i="8"/>
  <c r="BQ122" i="8"/>
  <c r="BS122" i="8" s="1"/>
  <c r="BR122" i="8" s="1"/>
  <c r="BP122" i="8"/>
  <c r="BU122" i="8"/>
  <c r="J175" i="22"/>
  <c r="I175" i="22"/>
  <c r="K175" i="22"/>
  <c r="B175" i="22"/>
  <c r="C175" i="22"/>
  <c r="D175" i="22"/>
  <c r="E175" i="22" s="1"/>
  <c r="G175" i="22" s="1"/>
  <c r="EN117" i="8" l="1"/>
  <c r="EH117" i="8"/>
  <c r="EM117" i="8"/>
  <c r="EO117" i="8"/>
  <c r="GH120" i="8"/>
  <c r="GI120" i="8" s="1"/>
  <c r="GN120" i="8" s="1"/>
  <c r="EL117" i="8"/>
  <c r="EI117" i="8"/>
  <c r="EK117" i="8" s="1"/>
  <c r="EJ117" i="8" s="1"/>
  <c r="EG117" i="8"/>
  <c r="CZ120" i="8"/>
  <c r="DP121" i="8" s="1"/>
  <c r="BX122" i="8"/>
  <c r="L175" i="22"/>
  <c r="M175" i="22" s="1"/>
  <c r="F175" i="22"/>
  <c r="EP117" i="8" l="1"/>
  <c r="EQ117" i="8" s="1"/>
  <c r="EV117" i="8" s="1"/>
  <c r="GJ120" i="8"/>
  <c r="GY122" i="8"/>
  <c r="ER117" i="8"/>
  <c r="FG118" i="8" s="1"/>
  <c r="CT121" i="8"/>
  <c r="CV121" i="8"/>
  <c r="CQ121" i="8"/>
  <c r="CS121" i="8" s="1"/>
  <c r="CU121" i="8"/>
  <c r="CO121" i="8"/>
  <c r="CW121" i="8"/>
  <c r="CP121" i="8"/>
  <c r="BY122" i="8"/>
  <c r="BZ122" i="8" s="1"/>
  <c r="N175" i="22"/>
  <c r="AW176" i="22" s="1"/>
  <c r="GE121" i="8" l="1"/>
  <c r="GA121" i="8"/>
  <c r="GC121" i="8" s="1"/>
  <c r="GD121" i="8"/>
  <c r="GG121" i="8"/>
  <c r="FZ121" i="8"/>
  <c r="FY121" i="8"/>
  <c r="GF121" i="8"/>
  <c r="EL118" i="8"/>
  <c r="EN118" i="8"/>
  <c r="EO118" i="8"/>
  <c r="EM118" i="8"/>
  <c r="EH118" i="8"/>
  <c r="EI118" i="8"/>
  <c r="EK118" i="8" s="1"/>
  <c r="EJ118" i="8" s="1"/>
  <c r="EG118" i="8"/>
  <c r="CX121" i="8"/>
  <c r="CY121" i="8" s="1"/>
  <c r="DD121" i="8" s="1"/>
  <c r="CR121" i="8"/>
  <c r="CZ121" i="8" s="1"/>
  <c r="DP122" i="8" s="1"/>
  <c r="BT123" i="8"/>
  <c r="BP123" i="8"/>
  <c r="BQ123" i="8"/>
  <c r="BS123" i="8" s="1"/>
  <c r="BR123" i="8" s="1"/>
  <c r="BV123" i="8"/>
  <c r="BU123" i="8"/>
  <c r="CC122" i="8"/>
  <c r="D176" i="22"/>
  <c r="E176" i="22" s="1"/>
  <c r="G176" i="22" s="1"/>
  <c r="F176" i="22" s="1"/>
  <c r="H176" i="22"/>
  <c r="B176" i="22"/>
  <c r="C176" i="22"/>
  <c r="J176" i="22"/>
  <c r="I176" i="22"/>
  <c r="K176" i="22"/>
  <c r="GB121" i="8" l="1"/>
  <c r="GH121" i="8"/>
  <c r="GI121" i="8" s="1"/>
  <c r="GN121" i="8" s="1"/>
  <c r="EP118" i="8"/>
  <c r="EQ118" i="8" s="1"/>
  <c r="EV118" i="8" s="1"/>
  <c r="CT122" i="8"/>
  <c r="CU122" i="8"/>
  <c r="CO122" i="8"/>
  <c r="CW122" i="8"/>
  <c r="CQ122" i="8"/>
  <c r="CS122" i="8" s="1"/>
  <c r="CR122" i="8" s="1"/>
  <c r="CV122" i="8"/>
  <c r="CP122" i="8"/>
  <c r="BX123" i="8"/>
  <c r="L176" i="22"/>
  <c r="M176" i="22" s="1"/>
  <c r="N176" i="22" s="1"/>
  <c r="AW177" i="22" s="1"/>
  <c r="GJ121" i="8" l="1"/>
  <c r="ER118" i="8"/>
  <c r="GY123" i="8"/>
  <c r="CX122" i="8"/>
  <c r="CY122" i="8" s="1"/>
  <c r="DD122" i="8" s="1"/>
  <c r="EN119" i="8"/>
  <c r="EL119" i="8"/>
  <c r="EO119" i="8"/>
  <c r="EM119" i="8"/>
  <c r="BY123" i="8"/>
  <c r="BZ123" i="8" s="1"/>
  <c r="J177" i="22"/>
  <c r="H177" i="22"/>
  <c r="K177" i="22"/>
  <c r="I177" i="22"/>
  <c r="D177" i="22"/>
  <c r="E177" i="22" s="1"/>
  <c r="G177" i="22" s="1"/>
  <c r="F177" i="22" s="1"/>
  <c r="B177" i="22"/>
  <c r="C177" i="22"/>
  <c r="FG119" i="8" l="1"/>
  <c r="EG119" i="8"/>
  <c r="EI119" i="8"/>
  <c r="EK119" i="8" s="1"/>
  <c r="EH119" i="8"/>
  <c r="FY122" i="8"/>
  <c r="FZ122" i="8"/>
  <c r="GG122" i="8"/>
  <c r="GF122" i="8"/>
  <c r="GD122" i="8"/>
  <c r="GA122" i="8"/>
  <c r="GC122" i="8" s="1"/>
  <c r="GB122" i="8" s="1"/>
  <c r="GE122" i="8"/>
  <c r="EJ119" i="8"/>
  <c r="EP119" i="8"/>
  <c r="EQ119" i="8" s="1"/>
  <c r="CZ122" i="8"/>
  <c r="DP123" i="8" s="1"/>
  <c r="BT124" i="8"/>
  <c r="BP124" i="8"/>
  <c r="BQ124" i="8"/>
  <c r="BS124" i="8" s="1"/>
  <c r="BR124" i="8" s="1"/>
  <c r="BV124" i="8"/>
  <c r="BU124" i="8"/>
  <c r="CC123" i="8"/>
  <c r="L177" i="22"/>
  <c r="M177" i="22" s="1"/>
  <c r="N177" i="22" s="1"/>
  <c r="AW178" i="22" s="1"/>
  <c r="EV119" i="8" l="1"/>
  <c r="GH122" i="8"/>
  <c r="GI122" i="8" s="1"/>
  <c r="GN122" i="8" s="1"/>
  <c r="CT123" i="8"/>
  <c r="CW123" i="8"/>
  <c r="CQ123" i="8"/>
  <c r="CS123" i="8" s="1"/>
  <c r="CU123" i="8"/>
  <c r="CV123" i="8"/>
  <c r="CP123" i="8"/>
  <c r="CO123" i="8"/>
  <c r="ER119" i="8"/>
  <c r="FG120" i="8" s="1"/>
  <c r="BX124" i="8"/>
  <c r="BY124" i="8" s="1"/>
  <c r="BZ124" i="8" s="1"/>
  <c r="J178" i="22"/>
  <c r="H178" i="22"/>
  <c r="B178" i="22"/>
  <c r="C178" i="22"/>
  <c r="I178" i="22"/>
  <c r="K178" i="22"/>
  <c r="D178" i="22"/>
  <c r="E178" i="22" s="1"/>
  <c r="G178" i="22" s="1"/>
  <c r="F178" i="22" s="1"/>
  <c r="GJ122" i="8" l="1"/>
  <c r="GY124" i="8"/>
  <c r="CX123" i="8"/>
  <c r="CY123" i="8" s="1"/>
  <c r="DD123" i="8" s="1"/>
  <c r="CR123" i="8"/>
  <c r="EH120" i="8"/>
  <c r="EI120" i="8"/>
  <c r="EK120" i="8" s="1"/>
  <c r="EJ120" i="8" s="1"/>
  <c r="EN120" i="8"/>
  <c r="EO120" i="8"/>
  <c r="EL120" i="8"/>
  <c r="EG120" i="8"/>
  <c r="EM120" i="8"/>
  <c r="BT125" i="8"/>
  <c r="BP125" i="8"/>
  <c r="BV125" i="8"/>
  <c r="BU125" i="8"/>
  <c r="BQ125" i="8"/>
  <c r="BS125" i="8" s="1"/>
  <c r="BR125" i="8" s="1"/>
  <c r="CC124" i="8"/>
  <c r="L178" i="22"/>
  <c r="M178" i="22" s="1"/>
  <c r="N178" i="22" s="1"/>
  <c r="AW179" i="22" s="1"/>
  <c r="GE123" i="8" l="1"/>
  <c r="GG123" i="8"/>
  <c r="FY123" i="8"/>
  <c r="GA123" i="8"/>
  <c r="GC123" i="8" s="1"/>
  <c r="GB123" i="8" s="1"/>
  <c r="GD123" i="8"/>
  <c r="FZ123" i="8"/>
  <c r="GF123" i="8"/>
  <c r="CZ123" i="8"/>
  <c r="DP124" i="8" s="1"/>
  <c r="EP120" i="8"/>
  <c r="EQ120" i="8" s="1"/>
  <c r="EV120" i="8" s="1"/>
  <c r="BX125" i="8"/>
  <c r="BY125" i="8" s="1"/>
  <c r="I179" i="22"/>
  <c r="H179" i="22"/>
  <c r="B179" i="22"/>
  <c r="K179" i="22"/>
  <c r="D179" i="22"/>
  <c r="E179" i="22" s="1"/>
  <c r="G179" i="22" s="1"/>
  <c r="F179" i="22" s="1"/>
  <c r="C179" i="22"/>
  <c r="J179" i="22"/>
  <c r="CO124" i="8" l="1"/>
  <c r="CV124" i="8"/>
  <c r="CQ124" i="8"/>
  <c r="CS124" i="8" s="1"/>
  <c r="CP124" i="8"/>
  <c r="CW124" i="8"/>
  <c r="CT124" i="8"/>
  <c r="CU124" i="8"/>
  <c r="CX124" i="8" s="1"/>
  <c r="CY124" i="8" s="1"/>
  <c r="GH123" i="8"/>
  <c r="GI123" i="8" s="1"/>
  <c r="GN123" i="8" s="1"/>
  <c r="CR124" i="8"/>
  <c r="ER120" i="8"/>
  <c r="FG121" i="8" s="1"/>
  <c r="CC125" i="8"/>
  <c r="BZ125" i="8"/>
  <c r="L179" i="22"/>
  <c r="M179" i="22" s="1"/>
  <c r="N179" i="22" s="1"/>
  <c r="H180" i="22" s="1"/>
  <c r="GJ123" i="8" l="1"/>
  <c r="GA124" i="8" s="1"/>
  <c r="GC124" i="8" s="1"/>
  <c r="CZ124" i="8"/>
  <c r="DP125" i="8" s="1"/>
  <c r="DD124" i="8"/>
  <c r="GY125" i="8"/>
  <c r="AW180" i="22"/>
  <c r="EM121" i="8"/>
  <c r="EN121" i="8"/>
  <c r="EI121" i="8"/>
  <c r="EK121" i="8" s="1"/>
  <c r="EJ121" i="8" s="1"/>
  <c r="EL121" i="8"/>
  <c r="EO121" i="8"/>
  <c r="EG121" i="8"/>
  <c r="EH121" i="8"/>
  <c r="BP126" i="8"/>
  <c r="BV126" i="8"/>
  <c r="BQ126" i="8"/>
  <c r="BS126" i="8" s="1"/>
  <c r="BR126" i="8" s="1"/>
  <c r="BU126" i="8"/>
  <c r="BT126" i="8"/>
  <c r="I180" i="22"/>
  <c r="C180" i="22"/>
  <c r="K180" i="22"/>
  <c r="J180" i="22"/>
  <c r="D180" i="22"/>
  <c r="E180" i="22" s="1"/>
  <c r="G180" i="22" s="1"/>
  <c r="B180" i="22"/>
  <c r="CU125" i="8" l="1"/>
  <c r="CV125" i="8"/>
  <c r="CO125" i="8"/>
  <c r="CP125" i="8"/>
  <c r="CT125" i="8"/>
  <c r="CW125" i="8"/>
  <c r="CQ125" i="8"/>
  <c r="CS125" i="8" s="1"/>
  <c r="CR125" i="8" s="1"/>
  <c r="GB124" i="8"/>
  <c r="GF124" i="8"/>
  <c r="FZ124" i="8"/>
  <c r="GG124" i="8"/>
  <c r="GD124" i="8"/>
  <c r="FY124" i="8"/>
  <c r="GE124" i="8"/>
  <c r="EP121" i="8"/>
  <c r="EQ121" i="8" s="1"/>
  <c r="EV121" i="8" s="1"/>
  <c r="CX125" i="8"/>
  <c r="CY125" i="8" s="1"/>
  <c r="BX126" i="8"/>
  <c r="BY126" i="8" s="1"/>
  <c r="L180" i="22"/>
  <c r="M180" i="22" s="1"/>
  <c r="F180" i="22"/>
  <c r="GI125" i="8"/>
  <c r="DD125" i="8" l="1"/>
  <c r="GH124" i="8"/>
  <c r="GI124" i="8" s="1"/>
  <c r="GN124" i="8" s="1"/>
  <c r="GJ124" i="8"/>
  <c r="FZ125" i="8" s="1"/>
  <c r="GD125" i="8"/>
  <c r="CZ125" i="8"/>
  <c r="ER121" i="8"/>
  <c r="FG122" i="8" s="1"/>
  <c r="CC126" i="8"/>
  <c r="BZ126" i="8"/>
  <c r="N180" i="22"/>
  <c r="GE125" i="8" l="1"/>
  <c r="GG125" i="8"/>
  <c r="GF125" i="8"/>
  <c r="GA125" i="8"/>
  <c r="GC125" i="8" s="1"/>
  <c r="FY125" i="8"/>
  <c r="GH125" i="8"/>
  <c r="GB125" i="8"/>
  <c r="GJ125" i="8" s="1"/>
  <c r="GD126" i="8" s="1"/>
  <c r="GY126" i="8"/>
  <c r="H181" i="22"/>
  <c r="AW181" i="22"/>
  <c r="CU126" i="8"/>
  <c r="DP126" i="8"/>
  <c r="CW126" i="8"/>
  <c r="CV126" i="8"/>
  <c r="CP126" i="8"/>
  <c r="CQ126" i="8"/>
  <c r="CS126" i="8" s="1"/>
  <c r="CR126" i="8" s="1"/>
  <c r="EI122" i="8"/>
  <c r="EK122" i="8" s="1"/>
  <c r="EO122" i="8"/>
  <c r="EM122" i="8"/>
  <c r="EG122" i="8"/>
  <c r="EN122" i="8"/>
  <c r="EH122" i="8"/>
  <c r="EL122" i="8"/>
  <c r="CT126" i="8"/>
  <c r="CO126" i="8"/>
  <c r="BP127" i="8"/>
  <c r="BQ127" i="8"/>
  <c r="BS127" i="8" s="1"/>
  <c r="BU127" i="8"/>
  <c r="BT127" i="8"/>
  <c r="BV127" i="8"/>
  <c r="I181" i="22"/>
  <c r="C181" i="22"/>
  <c r="D181" i="22"/>
  <c r="E181" i="22" s="1"/>
  <c r="G181" i="22" s="1"/>
  <c r="F181" i="22" s="1"/>
  <c r="K181" i="22"/>
  <c r="B181" i="22"/>
  <c r="J181" i="22"/>
  <c r="GA126" i="8" l="1"/>
  <c r="GC126" i="8" s="1"/>
  <c r="GF126" i="8"/>
  <c r="GE126" i="8"/>
  <c r="GN125" i="8"/>
  <c r="FZ126" i="8"/>
  <c r="GG126" i="8"/>
  <c r="FY126" i="8"/>
  <c r="CX126" i="8"/>
  <c r="CY126" i="8" s="1"/>
  <c r="DD126" i="8" s="1"/>
  <c r="CZ126" i="8"/>
  <c r="CT127" i="8" s="1"/>
  <c r="EJ122" i="8"/>
  <c r="EP122" i="8"/>
  <c r="EQ122" i="8" s="1"/>
  <c r="EV122" i="8" s="1"/>
  <c r="BX127" i="8"/>
  <c r="BY127" i="8" s="1"/>
  <c r="CC127" i="8" s="1"/>
  <c r="BR127" i="8"/>
  <c r="L181" i="22"/>
  <c r="M181" i="22" s="1"/>
  <c r="N181" i="22" s="1"/>
  <c r="H182" i="22" s="1"/>
  <c r="GH126" i="8"/>
  <c r="GI126" i="8" s="1"/>
  <c r="GN126" i="8" s="1"/>
  <c r="GB126" i="8"/>
  <c r="AW182" i="22" l="1"/>
  <c r="DP127" i="8"/>
  <c r="CU127" i="8"/>
  <c r="CQ127" i="8"/>
  <c r="CS127" i="8" s="1"/>
  <c r="CR127" i="8" s="1"/>
  <c r="CV127" i="8"/>
  <c r="CO127" i="8"/>
  <c r="CW127" i="8"/>
  <c r="ER122" i="8"/>
  <c r="FG123" i="8" s="1"/>
  <c r="CP127" i="8"/>
  <c r="BZ127" i="8"/>
  <c r="C182" i="22"/>
  <c r="B182" i="22"/>
  <c r="I182" i="22"/>
  <c r="D182" i="22"/>
  <c r="E182" i="22" s="1"/>
  <c r="G182" i="22" s="1"/>
  <c r="F182" i="22" s="1"/>
  <c r="K182" i="22"/>
  <c r="J182" i="22"/>
  <c r="GJ126" i="8"/>
  <c r="GD127" i="8" l="1"/>
  <c r="GY127" i="8"/>
  <c r="CX127" i="8"/>
  <c r="CY127" i="8" s="1"/>
  <c r="CZ127" i="8" s="1"/>
  <c r="DP128" i="8" s="1"/>
  <c r="EN123" i="8"/>
  <c r="EG123" i="8"/>
  <c r="EM123" i="8"/>
  <c r="EL123" i="8"/>
  <c r="EO123" i="8"/>
  <c r="EH123" i="8"/>
  <c r="EI123" i="8"/>
  <c r="EK123" i="8" s="1"/>
  <c r="BV128" i="8"/>
  <c r="BP128" i="8"/>
  <c r="BU128" i="8"/>
  <c r="BT128" i="8"/>
  <c r="BQ128" i="8"/>
  <c r="BS128" i="8" s="1"/>
  <c r="BR128" i="8" s="1"/>
  <c r="L182" i="22"/>
  <c r="M182" i="22" s="1"/>
  <c r="N182" i="22" s="1"/>
  <c r="AW183" i="22" s="1"/>
  <c r="GG127" i="8"/>
  <c r="GF127" i="8"/>
  <c r="GE127" i="8"/>
  <c r="FY127" i="8"/>
  <c r="FZ127" i="8"/>
  <c r="GA127" i="8"/>
  <c r="GC127" i="8" s="1"/>
  <c r="CQ128" i="8" l="1"/>
  <c r="DD127" i="8"/>
  <c r="CW128" i="8"/>
  <c r="EJ123" i="8"/>
  <c r="EP123" i="8"/>
  <c r="EQ123" i="8" s="1"/>
  <c r="EV123" i="8" s="1"/>
  <c r="BX128" i="8"/>
  <c r="BY128" i="8" s="1"/>
  <c r="BZ128" i="8" s="1"/>
  <c r="CO128" i="8"/>
  <c r="CU128" i="8"/>
  <c r="CP128" i="8"/>
  <c r="CV128" i="8"/>
  <c r="CT128" i="8"/>
  <c r="H183" i="22"/>
  <c r="B183" i="22"/>
  <c r="D183" i="22"/>
  <c r="E183" i="22" s="1"/>
  <c r="G183" i="22" s="1"/>
  <c r="J183" i="22"/>
  <c r="K183" i="22"/>
  <c r="I183" i="22"/>
  <c r="C183" i="22"/>
  <c r="GB127" i="8"/>
  <c r="GH127" i="8"/>
  <c r="GI127" i="8" s="1"/>
  <c r="GN127" i="8" s="1"/>
  <c r="CS128" i="8"/>
  <c r="ER123" i="8" l="1"/>
  <c r="FG124" i="8" s="1"/>
  <c r="CC128" i="8"/>
  <c r="BQ129" i="8"/>
  <c r="BS129" i="8" s="1"/>
  <c r="BR129" i="8" s="1"/>
  <c r="BU129" i="8"/>
  <c r="BP129" i="8"/>
  <c r="BT129" i="8"/>
  <c r="BV129" i="8"/>
  <c r="L183" i="22"/>
  <c r="M183" i="22" s="1"/>
  <c r="F183" i="22"/>
  <c r="GJ127" i="8"/>
  <c r="CR128" i="8"/>
  <c r="CX128" i="8"/>
  <c r="CY128" i="8" s="1"/>
  <c r="DD128" i="8" s="1"/>
  <c r="GD128" i="8" l="1"/>
  <c r="GY128" i="8"/>
  <c r="EI124" i="8"/>
  <c r="EK124" i="8" s="1"/>
  <c r="EM124" i="8"/>
  <c r="EN124" i="8"/>
  <c r="EO124" i="8"/>
  <c r="EH124" i="8"/>
  <c r="EG124" i="8"/>
  <c r="EL124" i="8"/>
  <c r="BX129" i="8"/>
  <c r="CZ128" i="8"/>
  <c r="N183" i="22"/>
  <c r="GG128" i="8"/>
  <c r="GA128" i="8"/>
  <c r="GC128" i="8" s="1"/>
  <c r="FY128" i="8"/>
  <c r="GE128" i="8"/>
  <c r="GF128" i="8"/>
  <c r="FZ128" i="8"/>
  <c r="H184" i="22" l="1"/>
  <c r="AW184" i="22"/>
  <c r="CU129" i="8"/>
  <c r="DP129" i="8"/>
  <c r="EJ124" i="8"/>
  <c r="EP124" i="8"/>
  <c r="EQ124" i="8" s="1"/>
  <c r="EV124" i="8" s="1"/>
  <c r="BY129" i="8"/>
  <c r="BZ129" i="8" s="1"/>
  <c r="B184" i="22"/>
  <c r="J184" i="22"/>
  <c r="D184" i="22"/>
  <c r="E184" i="22" s="1"/>
  <c r="I184" i="22"/>
  <c r="C184" i="22"/>
  <c r="K184" i="22"/>
  <c r="CV129" i="8"/>
  <c r="CQ129" i="8"/>
  <c r="CS129" i="8" s="1"/>
  <c r="CR129" i="8" s="1"/>
  <c r="CO129" i="8"/>
  <c r="CW129" i="8"/>
  <c r="CT129" i="8"/>
  <c r="CP129" i="8"/>
  <c r="GB128" i="8"/>
  <c r="GH128" i="8"/>
  <c r="GI128" i="8" s="1"/>
  <c r="GN128" i="8" s="1"/>
  <c r="ER124" i="8" l="1"/>
  <c r="FG125" i="8" s="1"/>
  <c r="BT130" i="8"/>
  <c r="BU130" i="8"/>
  <c r="BQ130" i="8"/>
  <c r="BS130" i="8" s="1"/>
  <c r="BR130" i="8" s="1"/>
  <c r="BP130" i="8"/>
  <c r="BV130" i="8"/>
  <c r="CC129" i="8"/>
  <c r="G184" i="22"/>
  <c r="F184" i="22" s="1"/>
  <c r="CX129" i="8"/>
  <c r="CY129" i="8" s="1"/>
  <c r="GJ128" i="8"/>
  <c r="GD129" i="8" l="1"/>
  <c r="GY129" i="8"/>
  <c r="EI125" i="8"/>
  <c r="EK125" i="8" s="1"/>
  <c r="EG125" i="8"/>
  <c r="EO125" i="8"/>
  <c r="EN125" i="8"/>
  <c r="EH125" i="8"/>
  <c r="EL125" i="8"/>
  <c r="EM125" i="8"/>
  <c r="BX130" i="8"/>
  <c r="L184" i="22"/>
  <c r="M184" i="22" s="1"/>
  <c r="N184" i="22" s="1"/>
  <c r="AW185" i="22" s="1"/>
  <c r="DD129" i="8"/>
  <c r="CZ129" i="8"/>
  <c r="GE129" i="8"/>
  <c r="GG129" i="8"/>
  <c r="FZ129" i="8"/>
  <c r="GF129" i="8"/>
  <c r="GA129" i="8"/>
  <c r="GC129" i="8" s="1"/>
  <c r="GB129" i="8" s="1"/>
  <c r="FY129" i="8"/>
  <c r="CT130" i="8" l="1"/>
  <c r="DP130" i="8"/>
  <c r="EJ125" i="8"/>
  <c r="EP125" i="8"/>
  <c r="EQ125" i="8" s="1"/>
  <c r="EV125" i="8" s="1"/>
  <c r="CO130" i="8"/>
  <c r="CV130" i="8"/>
  <c r="CU130" i="8"/>
  <c r="BY130" i="8"/>
  <c r="BZ130" i="8" s="1"/>
  <c r="CP130" i="8"/>
  <c r="CW130" i="8"/>
  <c r="H185" i="22"/>
  <c r="J185" i="22"/>
  <c r="I185" i="22"/>
  <c r="D185" i="22"/>
  <c r="E185" i="22" s="1"/>
  <c r="G185" i="22" s="1"/>
  <c r="K185" i="22"/>
  <c r="B185" i="22"/>
  <c r="C185" i="22"/>
  <c r="CQ130" i="8"/>
  <c r="CS130" i="8" s="1"/>
  <c r="CR130" i="8" s="1"/>
  <c r="GH129" i="8"/>
  <c r="GI129" i="8" s="1"/>
  <c r="GJ129" i="8" s="1"/>
  <c r="GD130" i="8" s="1"/>
  <c r="GY130" i="8" l="1"/>
  <c r="ER125" i="8"/>
  <c r="FG126" i="8" s="1"/>
  <c r="BT131" i="8"/>
  <c r="BQ131" i="8"/>
  <c r="BS131" i="8" s="1"/>
  <c r="BR131" i="8" s="1"/>
  <c r="BU131" i="8"/>
  <c r="BP131" i="8"/>
  <c r="BV131" i="8"/>
  <c r="CC130" i="8"/>
  <c r="CX130" i="8"/>
  <c r="CY130" i="8" s="1"/>
  <c r="DD130" i="8" s="1"/>
  <c r="F185" i="22"/>
  <c r="L185" i="22"/>
  <c r="M185" i="22" s="1"/>
  <c r="FY130" i="8"/>
  <c r="GE130" i="8"/>
  <c r="FZ130" i="8"/>
  <c r="GF130" i="8"/>
  <c r="GG130" i="8"/>
  <c r="GA130" i="8"/>
  <c r="GC130" i="8" s="1"/>
  <c r="GN129" i="8"/>
  <c r="EH126" i="8" l="1"/>
  <c r="EI126" i="8"/>
  <c r="EK126" i="8" s="1"/>
  <c r="EJ126" i="8" s="1"/>
  <c r="EO126" i="8"/>
  <c r="EL126" i="8"/>
  <c r="EN126" i="8"/>
  <c r="EG126" i="8"/>
  <c r="EM126" i="8"/>
  <c r="CZ130" i="8"/>
  <c r="N185" i="22"/>
  <c r="BX131" i="8"/>
  <c r="GH130" i="8"/>
  <c r="GI130" i="8" s="1"/>
  <c r="GN130" i="8" s="1"/>
  <c r="GB130" i="8"/>
  <c r="CT131" i="8" l="1"/>
  <c r="DP131" i="8"/>
  <c r="J186" i="22"/>
  <c r="AW186" i="22"/>
  <c r="EP126" i="8"/>
  <c r="EQ126" i="8" s="1"/>
  <c r="EV126" i="8" s="1"/>
  <c r="D186" i="22"/>
  <c r="E186" i="22" s="1"/>
  <c r="G186" i="22" s="1"/>
  <c r="F186" i="22" s="1"/>
  <c r="C186" i="22"/>
  <c r="H186" i="22"/>
  <c r="B186" i="22"/>
  <c r="CU131" i="8"/>
  <c r="CQ131" i="8"/>
  <c r="CS131" i="8" s="1"/>
  <c r="CR131" i="8" s="1"/>
  <c r="CW131" i="8"/>
  <c r="CV131" i="8"/>
  <c r="CP131" i="8"/>
  <c r="CO131" i="8"/>
  <c r="I186" i="22"/>
  <c r="K186" i="22"/>
  <c r="BY131" i="8"/>
  <c r="BZ131" i="8" s="1"/>
  <c r="GJ130" i="8"/>
  <c r="ER126" i="8" l="1"/>
  <c r="EM127" i="8" s="1"/>
  <c r="GD131" i="8"/>
  <c r="GY131" i="8"/>
  <c r="EH127" i="8"/>
  <c r="EL127" i="8"/>
  <c r="EO127" i="8"/>
  <c r="EI127" i="8"/>
  <c r="EK127" i="8" s="1"/>
  <c r="EJ127" i="8" s="1"/>
  <c r="EG127" i="8"/>
  <c r="CX131" i="8"/>
  <c r="CY131" i="8" s="1"/>
  <c r="DD131" i="8" s="1"/>
  <c r="L186" i="22"/>
  <c r="M186" i="22" s="1"/>
  <c r="N186" i="22" s="1"/>
  <c r="I187" i="22" s="1"/>
  <c r="BT132" i="8"/>
  <c r="BV132" i="8"/>
  <c r="BU132" i="8"/>
  <c r="BP132" i="8"/>
  <c r="BQ132" i="8"/>
  <c r="BS132" i="8" s="1"/>
  <c r="BR132" i="8" s="1"/>
  <c r="CC131" i="8"/>
  <c r="GF131" i="8"/>
  <c r="FY131" i="8"/>
  <c r="FZ131" i="8"/>
  <c r="GG131" i="8"/>
  <c r="GA131" i="8"/>
  <c r="GC131" i="8" s="1"/>
  <c r="GB131" i="8" s="1"/>
  <c r="GE131" i="8"/>
  <c r="EN127" i="8" l="1"/>
  <c r="EP127" i="8" s="1"/>
  <c r="EQ127" i="8" s="1"/>
  <c r="ER127" i="8" s="1"/>
  <c r="EI128" i="8" s="1"/>
  <c r="EK128" i="8" s="1"/>
  <c r="EJ128" i="8" s="1"/>
  <c r="FG127" i="8"/>
  <c r="AW187" i="22"/>
  <c r="C187" i="22"/>
  <c r="CZ131" i="8"/>
  <c r="K187" i="22"/>
  <c r="D187" i="22"/>
  <c r="E187" i="22" s="1"/>
  <c r="G187" i="22" s="1"/>
  <c r="F187" i="22" s="1"/>
  <c r="B187" i="22"/>
  <c r="J187" i="22"/>
  <c r="H187" i="22"/>
  <c r="BX132" i="8"/>
  <c r="BY132" i="8" s="1"/>
  <c r="BZ132" i="8" s="1"/>
  <c r="GH131" i="8"/>
  <c r="GI131" i="8" s="1"/>
  <c r="GN131" i="8" s="1"/>
  <c r="EN128" i="8" l="1"/>
  <c r="FG128" i="8"/>
  <c r="CW132" i="8"/>
  <c r="DP132" i="8"/>
  <c r="EL128" i="8"/>
  <c r="EH128" i="8"/>
  <c r="EV127" i="8"/>
  <c r="EO128" i="8"/>
  <c r="EM128" i="8"/>
  <c r="EG128" i="8"/>
  <c r="CU132" i="8"/>
  <c r="CQ132" i="8"/>
  <c r="CS132" i="8" s="1"/>
  <c r="CR132" i="8" s="1"/>
  <c r="CT132" i="8"/>
  <c r="CO132" i="8"/>
  <c r="CP132" i="8"/>
  <c r="CV132" i="8"/>
  <c r="L187" i="22"/>
  <c r="M187" i="22" s="1"/>
  <c r="N187" i="22" s="1"/>
  <c r="J188" i="22" s="1"/>
  <c r="CC132" i="8"/>
  <c r="BT133" i="8"/>
  <c r="BU133" i="8"/>
  <c r="BP133" i="8"/>
  <c r="BV133" i="8"/>
  <c r="BQ133" i="8"/>
  <c r="BS133" i="8" s="1"/>
  <c r="BR133" i="8" s="1"/>
  <c r="GJ131" i="8"/>
  <c r="GD132" i="8" l="1"/>
  <c r="GY132" i="8"/>
  <c r="AW188" i="22"/>
  <c r="EP128" i="8"/>
  <c r="EQ128" i="8" s="1"/>
  <c r="ER128" i="8" s="1"/>
  <c r="EN129" i="8" s="1"/>
  <c r="CX132" i="8"/>
  <c r="CY132" i="8" s="1"/>
  <c r="DD132" i="8" s="1"/>
  <c r="I188" i="22"/>
  <c r="H188" i="22"/>
  <c r="B188" i="22"/>
  <c r="C188" i="22"/>
  <c r="D188" i="22"/>
  <c r="E188" i="22" s="1"/>
  <c r="G188" i="22" s="1"/>
  <c r="F188" i="22" s="1"/>
  <c r="K188" i="22"/>
  <c r="BX133" i="8"/>
  <c r="BY133" i="8" s="1"/>
  <c r="GG132" i="8"/>
  <c r="FY132" i="8"/>
  <c r="FZ132" i="8"/>
  <c r="GE132" i="8"/>
  <c r="GF132" i="8"/>
  <c r="GA132" i="8"/>
  <c r="GC132" i="8" s="1"/>
  <c r="GB132" i="8" s="1"/>
  <c r="EO129" i="8" l="1"/>
  <c r="EH129" i="8"/>
  <c r="CZ132" i="8"/>
  <c r="CT133" i="8" s="1"/>
  <c r="EM129" i="8"/>
  <c r="EI129" i="8"/>
  <c r="EK129" i="8" s="1"/>
  <c r="EJ129" i="8" s="1"/>
  <c r="EG129" i="8"/>
  <c r="EV128" i="8"/>
  <c r="FG129" i="8"/>
  <c r="DP133" i="8"/>
  <c r="EL129" i="8"/>
  <c r="L188" i="22"/>
  <c r="M188" i="22" s="1"/>
  <c r="N188" i="22" s="1"/>
  <c r="D189" i="22" s="1"/>
  <c r="E189" i="22" s="1"/>
  <c r="G189" i="22" s="1"/>
  <c r="F189" i="22" s="1"/>
  <c r="BZ133" i="8"/>
  <c r="CC133" i="8"/>
  <c r="GH132" i="8"/>
  <c r="GI132" i="8" s="1"/>
  <c r="GN132" i="8" s="1"/>
  <c r="CV133" i="8" l="1"/>
  <c r="EP129" i="8"/>
  <c r="EQ129" i="8" s="1"/>
  <c r="EV129" i="8" s="1"/>
  <c r="CW133" i="8"/>
  <c r="CP133" i="8"/>
  <c r="CO133" i="8"/>
  <c r="CU133" i="8"/>
  <c r="CQ133" i="8"/>
  <c r="CS133" i="8" s="1"/>
  <c r="CR133" i="8" s="1"/>
  <c r="ER129" i="8"/>
  <c r="EM130" i="8" s="1"/>
  <c r="AW189" i="22"/>
  <c r="EO130" i="8"/>
  <c r="H189" i="22"/>
  <c r="J189" i="22"/>
  <c r="B189" i="22"/>
  <c r="K189" i="22"/>
  <c r="I189" i="22"/>
  <c r="C189" i="22"/>
  <c r="BP134" i="8"/>
  <c r="BT134" i="8"/>
  <c r="BV134" i="8"/>
  <c r="BU134" i="8"/>
  <c r="BQ134" i="8"/>
  <c r="BS134" i="8" s="1"/>
  <c r="CX133" i="8"/>
  <c r="CY133" i="8" s="1"/>
  <c r="GJ132" i="8"/>
  <c r="DD133" i="8" l="1"/>
  <c r="EN130" i="8"/>
  <c r="EH130" i="8"/>
  <c r="EG130" i="8"/>
  <c r="GD133" i="8"/>
  <c r="GY133" i="8"/>
  <c r="EI130" i="8"/>
  <c r="EK130" i="8" s="1"/>
  <c r="EJ130" i="8" s="1"/>
  <c r="FG130" i="8"/>
  <c r="EL130" i="8"/>
  <c r="L189" i="22"/>
  <c r="M189" i="22" s="1"/>
  <c r="N189" i="22" s="1"/>
  <c r="H190" i="22" s="1"/>
  <c r="BR134" i="8"/>
  <c r="BX134" i="8"/>
  <c r="BY134" i="8" s="1"/>
  <c r="CZ133" i="8"/>
  <c r="FZ133" i="8"/>
  <c r="GG133" i="8"/>
  <c r="GA133" i="8"/>
  <c r="GC133" i="8" s="1"/>
  <c r="GB133" i="8" s="1"/>
  <c r="GF133" i="8"/>
  <c r="FY133" i="8"/>
  <c r="GE133" i="8"/>
  <c r="J190" i="22" l="1"/>
  <c r="AW190" i="22"/>
  <c r="I190" i="22"/>
  <c r="CT134" i="8"/>
  <c r="DP134" i="8"/>
  <c r="D190" i="22"/>
  <c r="E190" i="22" s="1"/>
  <c r="G190" i="22" s="1"/>
  <c r="F190" i="22" s="1"/>
  <c r="K190" i="22"/>
  <c r="C190" i="22"/>
  <c r="B190" i="22"/>
  <c r="EP130" i="8"/>
  <c r="EQ130" i="8" s="1"/>
  <c r="EV130" i="8" s="1"/>
  <c r="BZ134" i="8"/>
  <c r="BT135" i="8" s="1"/>
  <c r="CW134" i="8"/>
  <c r="CV134" i="8"/>
  <c r="CQ134" i="8"/>
  <c r="CS134" i="8" s="1"/>
  <c r="CR134" i="8" s="1"/>
  <c r="CU134" i="8"/>
  <c r="CO134" i="8"/>
  <c r="CP134" i="8"/>
  <c r="CC134" i="8"/>
  <c r="GH133" i="8"/>
  <c r="GI133" i="8" s="1"/>
  <c r="GN133" i="8" s="1"/>
  <c r="L190" i="22" l="1"/>
  <c r="M190" i="22" s="1"/>
  <c r="N190" i="22" s="1"/>
  <c r="D191" i="22" s="1"/>
  <c r="E191" i="22" s="1"/>
  <c r="G191" i="22" s="1"/>
  <c r="ER130" i="8"/>
  <c r="BP135" i="8"/>
  <c r="BU135" i="8"/>
  <c r="BV135" i="8"/>
  <c r="BQ135" i="8"/>
  <c r="BS135" i="8" s="1"/>
  <c r="BR135" i="8" s="1"/>
  <c r="CX134" i="8"/>
  <c r="CY134" i="8" s="1"/>
  <c r="DD134" i="8" s="1"/>
  <c r="GJ133" i="8"/>
  <c r="H191" i="22" l="1"/>
  <c r="C191" i="22"/>
  <c r="K191" i="22"/>
  <c r="I191" i="22"/>
  <c r="F191" i="22"/>
  <c r="GD134" i="8"/>
  <c r="GY134" i="8"/>
  <c r="J191" i="22"/>
  <c r="L191" i="22" s="1"/>
  <c r="M191" i="22" s="1"/>
  <c r="EH131" i="8"/>
  <c r="EL131" i="8"/>
  <c r="EM131" i="8"/>
  <c r="EN131" i="8"/>
  <c r="EO131" i="8"/>
  <c r="EG131" i="8"/>
  <c r="FG131" i="8"/>
  <c r="EI131" i="8"/>
  <c r="EK131" i="8" s="1"/>
  <c r="B191" i="22"/>
  <c r="AW191" i="22"/>
  <c r="BX135" i="8"/>
  <c r="BY135" i="8" s="1"/>
  <c r="BZ135" i="8" s="1"/>
  <c r="CZ134" i="8"/>
  <c r="FY134" i="8"/>
  <c r="GF134" i="8"/>
  <c r="GG134" i="8"/>
  <c r="FZ134" i="8"/>
  <c r="GE134" i="8"/>
  <c r="GA134" i="8"/>
  <c r="N191" i="22" l="1"/>
  <c r="H192" i="22" s="1"/>
  <c r="EP131" i="8"/>
  <c r="EQ131" i="8" s="1"/>
  <c r="EV131" i="8" s="1"/>
  <c r="EJ131" i="8"/>
  <c r="CC135" i="8"/>
  <c r="AW192" i="22"/>
  <c r="CT135" i="8"/>
  <c r="DP135" i="8"/>
  <c r="CP135" i="8"/>
  <c r="CQ135" i="8"/>
  <c r="CS135" i="8" s="1"/>
  <c r="CR135" i="8" s="1"/>
  <c r="CV135" i="8"/>
  <c r="CW135" i="8"/>
  <c r="CO135" i="8"/>
  <c r="CU135" i="8"/>
  <c r="BQ136" i="8"/>
  <c r="BS136" i="8" s="1"/>
  <c r="BU136" i="8"/>
  <c r="BP136" i="8"/>
  <c r="BV136" i="8"/>
  <c r="BT136" i="8"/>
  <c r="GC134" i="8"/>
  <c r="GB134" i="8" s="1"/>
  <c r="J192" i="22" l="1"/>
  <c r="B192" i="22"/>
  <c r="D192" i="22"/>
  <c r="E192" i="22" s="1"/>
  <c r="G192" i="22" s="1"/>
  <c r="F192" i="22" s="1"/>
  <c r="K192" i="22"/>
  <c r="I192" i="22"/>
  <c r="C192" i="22"/>
  <c r="ER131" i="8"/>
  <c r="EM132" i="8" s="1"/>
  <c r="L192" i="22"/>
  <c r="M192" i="22" s="1"/>
  <c r="N192" i="22" s="1"/>
  <c r="H193" i="22" s="1"/>
  <c r="CX135" i="8"/>
  <c r="CY135" i="8" s="1"/>
  <c r="DD135" i="8" s="1"/>
  <c r="BR136" i="8"/>
  <c r="BX136" i="8"/>
  <c r="BY136" i="8" s="1"/>
  <c r="GH134" i="8"/>
  <c r="GI134" i="8" s="1"/>
  <c r="GN134" i="8" s="1"/>
  <c r="EH132" i="8" l="1"/>
  <c r="EN132" i="8"/>
  <c r="EL132" i="8"/>
  <c r="EG132" i="8"/>
  <c r="EO132" i="8"/>
  <c r="EI132" i="8"/>
  <c r="EK132" i="8" s="1"/>
  <c r="EJ132" i="8" s="1"/>
  <c r="FG132" i="8"/>
  <c r="AW193" i="22"/>
  <c r="C193" i="22"/>
  <c r="I193" i="22"/>
  <c r="J193" i="22"/>
  <c r="K193" i="22"/>
  <c r="D193" i="22"/>
  <c r="E193" i="22" s="1"/>
  <c r="G193" i="22" s="1"/>
  <c r="F193" i="22" s="1"/>
  <c r="B193" i="22"/>
  <c r="CZ135" i="8"/>
  <c r="BZ136" i="8"/>
  <c r="CC136" i="8"/>
  <c r="GJ134" i="8"/>
  <c r="EP132" i="8" l="1"/>
  <c r="EQ132" i="8" s="1"/>
  <c r="ER132" i="8" s="1"/>
  <c r="EO133" i="8" s="1"/>
  <c r="FG133" i="8"/>
  <c r="GD135" i="8"/>
  <c r="GY135" i="8"/>
  <c r="CT136" i="8"/>
  <c r="DP136" i="8"/>
  <c r="CU136" i="8"/>
  <c r="CW136" i="8"/>
  <c r="L193" i="22"/>
  <c r="M193" i="22" s="1"/>
  <c r="N193" i="22" s="1"/>
  <c r="H194" i="22" s="1"/>
  <c r="CQ136" i="8"/>
  <c r="CS136" i="8" s="1"/>
  <c r="CR136" i="8" s="1"/>
  <c r="CP136" i="8"/>
  <c r="CV136" i="8"/>
  <c r="CO136" i="8"/>
  <c r="FY135" i="8"/>
  <c r="GF135" i="8"/>
  <c r="GE135" i="8"/>
  <c r="GA135" i="8"/>
  <c r="GC135" i="8" s="1"/>
  <c r="GB135" i="8" s="1"/>
  <c r="FZ135" i="8"/>
  <c r="GG135" i="8"/>
  <c r="BU137" i="8"/>
  <c r="BV137" i="8"/>
  <c r="BT137" i="8"/>
  <c r="BQ137" i="8"/>
  <c r="BS137" i="8" s="1"/>
  <c r="BP137" i="8"/>
  <c r="EM133" i="8" l="1"/>
  <c r="EI133" i="8"/>
  <c r="EK133" i="8" s="1"/>
  <c r="EJ133" i="8" s="1"/>
  <c r="EL133" i="8"/>
  <c r="EV132" i="8"/>
  <c r="EH133" i="8"/>
  <c r="EN133" i="8"/>
  <c r="EG133" i="8"/>
  <c r="FG134" i="8"/>
  <c r="AW194" i="22"/>
  <c r="J194" i="22"/>
  <c r="B194" i="22"/>
  <c r="C194" i="22"/>
  <c r="K194" i="22"/>
  <c r="I194" i="22"/>
  <c r="CX136" i="8"/>
  <c r="CY136" i="8" s="1"/>
  <c r="DD136" i="8" s="1"/>
  <c r="D194" i="22"/>
  <c r="E194" i="22" s="1"/>
  <c r="G194" i="22" s="1"/>
  <c r="F194" i="22" s="1"/>
  <c r="GH135" i="8"/>
  <c r="GI135" i="8" s="1"/>
  <c r="GJ135" i="8" s="1"/>
  <c r="FY136" i="8" s="1"/>
  <c r="BR137" i="8"/>
  <c r="BX137" i="8"/>
  <c r="BY137" i="8"/>
  <c r="EP133" i="8" l="1"/>
  <c r="EQ133" i="8" s="1"/>
  <c r="EV133" i="8" s="1"/>
  <c r="GY136" i="8"/>
  <c r="L194" i="22"/>
  <c r="M194" i="22" s="1"/>
  <c r="N194" i="22" s="1"/>
  <c r="CZ136" i="8"/>
  <c r="BZ137" i="8"/>
  <c r="BV138" i="8" s="1"/>
  <c r="GA136" i="8"/>
  <c r="GC136" i="8" s="1"/>
  <c r="GB136" i="8" s="1"/>
  <c r="GE136" i="8"/>
  <c r="GG136" i="8"/>
  <c r="GD136" i="8"/>
  <c r="FZ136" i="8"/>
  <c r="GN135" i="8"/>
  <c r="GF136" i="8"/>
  <c r="CC137" i="8"/>
  <c r="ER133" i="8" l="1"/>
  <c r="EN134" i="8" s="1"/>
  <c r="EH134" i="8"/>
  <c r="EI134" i="8"/>
  <c r="EK134" i="8" s="1"/>
  <c r="EJ134" i="8" s="1"/>
  <c r="EO134" i="8"/>
  <c r="EL134" i="8"/>
  <c r="EG134" i="8"/>
  <c r="EM134" i="8"/>
  <c r="H195" i="22"/>
  <c r="AW195" i="22"/>
  <c r="CW137" i="8"/>
  <c r="DP137" i="8"/>
  <c r="CP137" i="8"/>
  <c r="CQ137" i="8"/>
  <c r="CS137" i="8" s="1"/>
  <c r="CR137" i="8" s="1"/>
  <c r="CT137" i="8"/>
  <c r="CV137" i="8"/>
  <c r="CU137" i="8"/>
  <c r="CO137" i="8"/>
  <c r="BT138" i="8"/>
  <c r="BP138" i="8"/>
  <c r="BU138" i="8"/>
  <c r="BQ138" i="8"/>
  <c r="BS138" i="8" s="1"/>
  <c r="BR138" i="8" s="1"/>
  <c r="GH136" i="8"/>
  <c r="GI136" i="8" s="1"/>
  <c r="GN136" i="8" s="1"/>
  <c r="I195" i="22"/>
  <c r="D195" i="22"/>
  <c r="E195" i="22" s="1"/>
  <c r="G195" i="22" s="1"/>
  <c r="F195" i="22" s="1"/>
  <c r="K195" i="22"/>
  <c r="C195" i="22"/>
  <c r="J195" i="22"/>
  <c r="B195" i="22"/>
  <c r="EP134" i="8" l="1"/>
  <c r="EQ134" i="8" s="1"/>
  <c r="EV134" i="8" s="1"/>
  <c r="CX137" i="8"/>
  <c r="CY137" i="8" s="1"/>
  <c r="CZ137" i="8" s="1"/>
  <c r="CU138" i="8" s="1"/>
  <c r="BX138" i="8"/>
  <c r="BY138" i="8" s="1"/>
  <c r="CC138" i="8" s="1"/>
  <c r="GJ136" i="8"/>
  <c r="L195" i="22"/>
  <c r="M195" i="22" s="1"/>
  <c r="N195" i="22" s="1"/>
  <c r="H196" i="22" s="1"/>
  <c r="ER134" i="8" l="1"/>
  <c r="GD137" i="8"/>
  <c r="GY137" i="8"/>
  <c r="AW196" i="22"/>
  <c r="DP138" i="8"/>
  <c r="CO138" i="8"/>
  <c r="DD137" i="8"/>
  <c r="CT138" i="8"/>
  <c r="CV138" i="8"/>
  <c r="CQ138" i="8"/>
  <c r="CS138" i="8" s="1"/>
  <c r="CP138" i="8"/>
  <c r="CW138" i="8"/>
  <c r="GG137" i="8"/>
  <c r="FZ137" i="8"/>
  <c r="BZ138" i="8"/>
  <c r="BV139" i="8" s="1"/>
  <c r="FY137" i="8"/>
  <c r="GE137" i="8"/>
  <c r="GF137" i="8"/>
  <c r="GA137" i="8"/>
  <c r="GC137" i="8" s="1"/>
  <c r="GB137" i="8" s="1"/>
  <c r="C196" i="22"/>
  <c r="K196" i="22"/>
  <c r="D196" i="22"/>
  <c r="E196" i="22" s="1"/>
  <c r="G196" i="22" s="1"/>
  <c r="J196" i="22"/>
  <c r="B196" i="22"/>
  <c r="I196" i="22"/>
  <c r="FG135" i="8" l="1"/>
  <c r="EG135" i="8"/>
  <c r="EL135" i="8"/>
  <c r="EH135" i="8"/>
  <c r="EM135" i="8"/>
  <c r="EI135" i="8"/>
  <c r="EK135" i="8" s="1"/>
  <c r="EJ135" i="8" s="1"/>
  <c r="EO135" i="8"/>
  <c r="EN135" i="8"/>
  <c r="FG136" i="8"/>
  <c r="BQ139" i="8"/>
  <c r="BS139" i="8" s="1"/>
  <c r="BR139" i="8" s="1"/>
  <c r="BP139" i="8"/>
  <c r="BT139" i="8"/>
  <c r="BU139" i="8"/>
  <c r="GH137" i="8"/>
  <c r="GI137" i="8" s="1"/>
  <c r="GN137" i="8" s="1"/>
  <c r="CX138" i="8"/>
  <c r="CY138" i="8" s="1"/>
  <c r="DD138" i="8" s="1"/>
  <c r="CR138" i="8"/>
  <c r="L196" i="22"/>
  <c r="M196" i="22" s="1"/>
  <c r="F196" i="22"/>
  <c r="EP135" i="8" l="1"/>
  <c r="EQ135" i="8" s="1"/>
  <c r="EV135" i="8" s="1"/>
  <c r="GJ137" i="8"/>
  <c r="BX139" i="8"/>
  <c r="BY139" i="8"/>
  <c r="BZ139" i="8" s="1"/>
  <c r="CZ138" i="8"/>
  <c r="N196" i="22"/>
  <c r="ER135" i="8" l="1"/>
  <c r="EI136" i="8"/>
  <c r="EK136" i="8" s="1"/>
  <c r="H197" i="22"/>
  <c r="AW197" i="22"/>
  <c r="CO139" i="8"/>
  <c r="DP139" i="8"/>
  <c r="GD138" i="8"/>
  <c r="GY138" i="8"/>
  <c r="GE138" i="8"/>
  <c r="GA138" i="8"/>
  <c r="GC138" i="8" s="1"/>
  <c r="GB138" i="8" s="1"/>
  <c r="GF138" i="8"/>
  <c r="GG138" i="8"/>
  <c r="FY138" i="8"/>
  <c r="FZ138" i="8"/>
  <c r="CC139" i="8"/>
  <c r="BV140" i="8"/>
  <c r="BQ140" i="8"/>
  <c r="BP140" i="8"/>
  <c r="BT140" i="8"/>
  <c r="BU140" i="8"/>
  <c r="CV139" i="8"/>
  <c r="CT139" i="8"/>
  <c r="CU139" i="8"/>
  <c r="CP139" i="8"/>
  <c r="CW139" i="8"/>
  <c r="CQ139" i="8"/>
  <c r="CS139" i="8" s="1"/>
  <c r="CR139" i="8" s="1"/>
  <c r="K197" i="22"/>
  <c r="I197" i="22"/>
  <c r="B197" i="22"/>
  <c r="C197" i="22"/>
  <c r="J197" i="22"/>
  <c r="D197" i="22"/>
  <c r="E197" i="22" s="1"/>
  <c r="G197" i="22" s="1"/>
  <c r="F197" i="22" s="1"/>
  <c r="EH136" i="8" l="1"/>
  <c r="EG136" i="8"/>
  <c r="EN136" i="8"/>
  <c r="EO136" i="8"/>
  <c r="EL136" i="8"/>
  <c r="EM136" i="8"/>
  <c r="EJ136" i="8"/>
  <c r="EP136" i="8"/>
  <c r="EQ136" i="8" s="1"/>
  <c r="GH138" i="8"/>
  <c r="GI138" i="8" s="1"/>
  <c r="GN138" i="8" s="1"/>
  <c r="BS140" i="8"/>
  <c r="CX139" i="8"/>
  <c r="CY139" i="8" s="1"/>
  <c r="DD139" i="8" s="1"/>
  <c r="L197" i="22"/>
  <c r="M197" i="22" s="1"/>
  <c r="N197" i="22" s="1"/>
  <c r="H198" i="22" s="1"/>
  <c r="EV136" i="8" l="1"/>
  <c r="ER136" i="8"/>
  <c r="GJ138" i="8"/>
  <c r="GD139" i="8" s="1"/>
  <c r="AW198" i="22"/>
  <c r="GA139" i="8"/>
  <c r="GC139" i="8" s="1"/>
  <c r="GB139" i="8" s="1"/>
  <c r="GE139" i="8"/>
  <c r="FZ139" i="8"/>
  <c r="FY139" i="8"/>
  <c r="GF139" i="8"/>
  <c r="BR140" i="8"/>
  <c r="BX140" i="8"/>
  <c r="CZ139" i="8"/>
  <c r="B198" i="22"/>
  <c r="K198" i="22"/>
  <c r="C198" i="22"/>
  <c r="D198" i="22"/>
  <c r="E198" i="22" s="1"/>
  <c r="G198" i="22" s="1"/>
  <c r="J198" i="22"/>
  <c r="I198" i="22"/>
  <c r="GG139" i="8" l="1"/>
  <c r="FG137" i="8"/>
  <c r="EM137" i="8"/>
  <c r="EI137" i="8"/>
  <c r="EK137" i="8" s="1"/>
  <c r="EL137" i="8"/>
  <c r="EH137" i="8"/>
  <c r="EN137" i="8"/>
  <c r="EO137" i="8"/>
  <c r="EG137" i="8"/>
  <c r="GY139" i="8"/>
  <c r="CT140" i="8"/>
  <c r="DP140" i="8"/>
  <c r="GH139" i="8"/>
  <c r="GI139" i="8" s="1"/>
  <c r="CP140" i="8"/>
  <c r="BY140" i="8"/>
  <c r="BZ140" i="8" s="1"/>
  <c r="CU140" i="8"/>
  <c r="CW140" i="8"/>
  <c r="CV140" i="8"/>
  <c r="CO140" i="8"/>
  <c r="CQ140" i="8"/>
  <c r="CS140" i="8" s="1"/>
  <c r="CR140" i="8" s="1"/>
  <c r="L198" i="22"/>
  <c r="M198" i="22" s="1"/>
  <c r="F198" i="22"/>
  <c r="EJ137" i="8" l="1"/>
  <c r="EP137" i="8"/>
  <c r="EQ137" i="8" s="1"/>
  <c r="EV137" i="8" s="1"/>
  <c r="GN139" i="8"/>
  <c r="GJ139" i="8"/>
  <c r="GY140" i="8" s="1"/>
  <c r="BT141" i="8"/>
  <c r="BP141" i="8"/>
  <c r="BV141" i="8"/>
  <c r="BQ141" i="8"/>
  <c r="BS141" i="8" s="1"/>
  <c r="BR141" i="8" s="1"/>
  <c r="BU141" i="8"/>
  <c r="CC140" i="8"/>
  <c r="CX140" i="8"/>
  <c r="CY140" i="8" s="1"/>
  <c r="CZ140" i="8" s="1"/>
  <c r="CQ141" i="8" s="1"/>
  <c r="CS141" i="8" s="1"/>
  <c r="CR141" i="8" s="1"/>
  <c r="N198" i="22"/>
  <c r="AW199" i="22" s="1"/>
  <c r="ER137" i="8" l="1"/>
  <c r="DP141" i="8"/>
  <c r="GD140" i="8"/>
  <c r="FY140" i="8"/>
  <c r="GA140" i="8"/>
  <c r="GC140" i="8" s="1"/>
  <c r="GB140" i="8" s="1"/>
  <c r="GG140" i="8"/>
  <c r="GF140" i="8"/>
  <c r="FZ140" i="8"/>
  <c r="GE140" i="8"/>
  <c r="CO141" i="8"/>
  <c r="CP141" i="8"/>
  <c r="BX141" i="8"/>
  <c r="DD140" i="8"/>
  <c r="CV141" i="8"/>
  <c r="CU141" i="8"/>
  <c r="CT141" i="8"/>
  <c r="CW141" i="8"/>
  <c r="C199" i="22"/>
  <c r="H199" i="22"/>
  <c r="D199" i="22"/>
  <c r="E199" i="22" s="1"/>
  <c r="G199" i="22" s="1"/>
  <c r="F199" i="22" s="1"/>
  <c r="J199" i="22"/>
  <c r="K199" i="22"/>
  <c r="B199" i="22"/>
  <c r="I199" i="22"/>
  <c r="FG138" i="8" l="1"/>
  <c r="EI138" i="8"/>
  <c r="EK138" i="8" s="1"/>
  <c r="EL138" i="8"/>
  <c r="EN138" i="8"/>
  <c r="EG138" i="8"/>
  <c r="EO138" i="8"/>
  <c r="EH138" i="8"/>
  <c r="EM138" i="8"/>
  <c r="GH140" i="8"/>
  <c r="GI140" i="8" s="1"/>
  <c r="GN140" i="8" s="1"/>
  <c r="CX141" i="8"/>
  <c r="CY141" i="8" s="1"/>
  <c r="DD141" i="8" s="1"/>
  <c r="BY141" i="8"/>
  <c r="BZ141" i="8" s="1"/>
  <c r="L199" i="22"/>
  <c r="M199" i="22" s="1"/>
  <c r="N199" i="22" s="1"/>
  <c r="AW200" i="22" s="1"/>
  <c r="EJ138" i="8" l="1"/>
  <c r="EP138" i="8"/>
  <c r="EQ138" i="8" s="1"/>
  <c r="EV138" i="8" s="1"/>
  <c r="GJ140" i="8"/>
  <c r="GY141" i="8" s="1"/>
  <c r="CZ141" i="8"/>
  <c r="BP142" i="8"/>
  <c r="BV142" i="8"/>
  <c r="BU142" i="8"/>
  <c r="BQ142" i="8"/>
  <c r="BS142" i="8" s="1"/>
  <c r="BR142" i="8" s="1"/>
  <c r="BT142" i="8"/>
  <c r="CC141" i="8"/>
  <c r="K200" i="22"/>
  <c r="H200" i="22"/>
  <c r="D200" i="22"/>
  <c r="E200" i="22" s="1"/>
  <c r="G200" i="22" s="1"/>
  <c r="F200" i="22" s="1"/>
  <c r="I200" i="22"/>
  <c r="J200" i="22"/>
  <c r="C200" i="22"/>
  <c r="B200" i="22"/>
  <c r="ER138" i="8" l="1"/>
  <c r="CP142" i="8"/>
  <c r="DP142" i="8"/>
  <c r="CQ142" i="8"/>
  <c r="CS142" i="8" s="1"/>
  <c r="CR142" i="8" s="1"/>
  <c r="BX142" i="8"/>
  <c r="GD141" i="8"/>
  <c r="GG141" i="8"/>
  <c r="FZ141" i="8"/>
  <c r="GA141" i="8"/>
  <c r="GC141" i="8" s="1"/>
  <c r="GF141" i="8"/>
  <c r="GE141" i="8"/>
  <c r="FY141" i="8"/>
  <c r="CW142" i="8"/>
  <c r="CT142" i="8"/>
  <c r="CV142" i="8"/>
  <c r="CO142" i="8"/>
  <c r="CU142" i="8"/>
  <c r="BY142" i="8"/>
  <c r="BZ142" i="8" s="1"/>
  <c r="L200" i="22"/>
  <c r="M200" i="22" s="1"/>
  <c r="N200" i="22" s="1"/>
  <c r="C201" i="22" s="1"/>
  <c r="FG139" i="8" l="1"/>
  <c r="EN139" i="8"/>
  <c r="EI139" i="8"/>
  <c r="EK139" i="8" s="1"/>
  <c r="EG139" i="8"/>
  <c r="EH139" i="8"/>
  <c r="EO139" i="8"/>
  <c r="EL139" i="8"/>
  <c r="EM139" i="8"/>
  <c r="EJ139" i="8"/>
  <c r="AW201" i="22"/>
  <c r="GB141" i="8"/>
  <c r="GH141" i="8"/>
  <c r="GI141" i="8" s="1"/>
  <c r="GN141" i="8" s="1"/>
  <c r="CX142" i="8"/>
  <c r="CY142" i="8" s="1"/>
  <c r="CZ142" i="8" s="1"/>
  <c r="CU143" i="8" s="1"/>
  <c r="BQ143" i="8"/>
  <c r="BS143" i="8" s="1"/>
  <c r="BR143" i="8" s="1"/>
  <c r="BU143" i="8"/>
  <c r="BP143" i="8"/>
  <c r="BV143" i="8"/>
  <c r="BT143" i="8"/>
  <c r="CC142" i="8"/>
  <c r="I201" i="22"/>
  <c r="K201" i="22"/>
  <c r="B201" i="22"/>
  <c r="H201" i="22"/>
  <c r="D201" i="22"/>
  <c r="E201" i="22" s="1"/>
  <c r="G201" i="22" s="1"/>
  <c r="F201" i="22" s="1"/>
  <c r="J201" i="22"/>
  <c r="EP139" i="8" l="1"/>
  <c r="EQ139" i="8" s="1"/>
  <c r="EV139" i="8" s="1"/>
  <c r="DP143" i="8"/>
  <c r="CQ143" i="8"/>
  <c r="CS143" i="8" s="1"/>
  <c r="CR143" i="8" s="1"/>
  <c r="CO143" i="8"/>
  <c r="CV143" i="8"/>
  <c r="GJ141" i="8"/>
  <c r="GY142" i="8" s="1"/>
  <c r="CW143" i="8"/>
  <c r="CT143" i="8"/>
  <c r="CP143" i="8"/>
  <c r="DD142" i="8"/>
  <c r="BX143" i="8"/>
  <c r="BY143" i="8" s="1"/>
  <c r="CC143" i="8" s="1"/>
  <c r="L201" i="22"/>
  <c r="M201" i="22" s="1"/>
  <c r="N201" i="22" s="1"/>
  <c r="AW202" i="22" s="1"/>
  <c r="ER139" i="8" l="1"/>
  <c r="FG140" i="8"/>
  <c r="EI140" i="8"/>
  <c r="EK140" i="8" s="1"/>
  <c r="EJ140" i="8" s="1"/>
  <c r="CX143" i="8"/>
  <c r="CY143" i="8" s="1"/>
  <c r="DD143" i="8" s="1"/>
  <c r="GD142" i="8"/>
  <c r="FZ142" i="8"/>
  <c r="GA142" i="8"/>
  <c r="GC142" i="8" s="1"/>
  <c r="FY142" i="8"/>
  <c r="GG142" i="8"/>
  <c r="GE142" i="8"/>
  <c r="GF142" i="8"/>
  <c r="BZ143" i="8"/>
  <c r="BV144" i="8" s="1"/>
  <c r="C202" i="22"/>
  <c r="H202" i="22"/>
  <c r="K202" i="22"/>
  <c r="I202" i="22"/>
  <c r="D202" i="22"/>
  <c r="E202" i="22" s="1"/>
  <c r="G202" i="22" s="1"/>
  <c r="F202" i="22" s="1"/>
  <c r="B202" i="22"/>
  <c r="J202" i="22"/>
  <c r="EH140" i="8" l="1"/>
  <c r="EO140" i="8"/>
  <c r="EL140" i="8"/>
  <c r="EG140" i="8"/>
  <c r="EM140" i="8"/>
  <c r="EN140" i="8"/>
  <c r="EP140" i="8"/>
  <c r="EQ140" i="8" s="1"/>
  <c r="CZ143" i="8"/>
  <c r="CT144" i="8" s="1"/>
  <c r="GH142" i="8"/>
  <c r="GI142" i="8" s="1"/>
  <c r="GN142" i="8" s="1"/>
  <c r="BP144" i="8"/>
  <c r="BU144" i="8"/>
  <c r="BQ144" i="8"/>
  <c r="BS144" i="8" s="1"/>
  <c r="BT144" i="8"/>
  <c r="GB142" i="8"/>
  <c r="L202" i="22"/>
  <c r="M202" i="22" s="1"/>
  <c r="N202" i="22" s="1"/>
  <c r="AW203" i="22" s="1"/>
  <c r="EV140" i="8" l="1"/>
  <c r="CQ144" i="8"/>
  <c r="CS144" i="8" s="1"/>
  <c r="CR144" i="8" s="1"/>
  <c r="ER140" i="8"/>
  <c r="GJ142" i="8"/>
  <c r="GY143" i="8" s="1"/>
  <c r="CP144" i="8"/>
  <c r="CV144" i="8"/>
  <c r="CO144" i="8"/>
  <c r="CW144" i="8"/>
  <c r="CU144" i="8"/>
  <c r="CX144" i="8" s="1"/>
  <c r="CY144" i="8" s="1"/>
  <c r="DD144" i="8" s="1"/>
  <c r="DP144" i="8"/>
  <c r="GG143" i="8"/>
  <c r="FY143" i="8"/>
  <c r="GA143" i="8"/>
  <c r="GC143" i="8" s="1"/>
  <c r="GB143" i="8" s="1"/>
  <c r="BR144" i="8"/>
  <c r="BX144" i="8"/>
  <c r="J203" i="22"/>
  <c r="H203" i="22"/>
  <c r="C203" i="22"/>
  <c r="I203" i="22"/>
  <c r="B203" i="22"/>
  <c r="K203" i="22"/>
  <c r="D203" i="22"/>
  <c r="E203" i="22" s="1"/>
  <c r="G203" i="22" s="1"/>
  <c r="F203" i="22" s="1"/>
  <c r="GF143" i="8" l="1"/>
  <c r="GD143" i="8"/>
  <c r="GE143" i="8"/>
  <c r="FZ143" i="8"/>
  <c r="FG141" i="8"/>
  <c r="EI141" i="8"/>
  <c r="EK141" i="8" s="1"/>
  <c r="EJ141" i="8" s="1"/>
  <c r="EN141" i="8"/>
  <c r="EL141" i="8"/>
  <c r="EO141" i="8"/>
  <c r="EG141" i="8"/>
  <c r="EH141" i="8"/>
  <c r="EM141" i="8"/>
  <c r="CZ144" i="8"/>
  <c r="BY144" i="8"/>
  <c r="BZ144" i="8" s="1"/>
  <c r="L203" i="22"/>
  <c r="M203" i="22" s="1"/>
  <c r="N203" i="22" s="1"/>
  <c r="AW204" i="22" s="1"/>
  <c r="GH143" i="8" l="1"/>
  <c r="GI143" i="8" s="1"/>
  <c r="GN143" i="8" s="1"/>
  <c r="EP141" i="8"/>
  <c r="EQ141" i="8" s="1"/>
  <c r="EV141" i="8" s="1"/>
  <c r="CT145" i="8"/>
  <c r="DP145" i="8"/>
  <c r="GJ143" i="8"/>
  <c r="GY144" i="8" s="1"/>
  <c r="CQ145" i="8"/>
  <c r="CS145" i="8" s="1"/>
  <c r="CR145" i="8" s="1"/>
  <c r="CP145" i="8"/>
  <c r="CW145" i="8"/>
  <c r="CV145" i="8"/>
  <c r="CO145" i="8"/>
  <c r="CU145" i="8"/>
  <c r="GD144" i="8"/>
  <c r="BP145" i="8"/>
  <c r="BV145" i="8"/>
  <c r="BQ145" i="8"/>
  <c r="BS145" i="8" s="1"/>
  <c r="BR145" i="8" s="1"/>
  <c r="BT145" i="8"/>
  <c r="BU145" i="8"/>
  <c r="CC144" i="8"/>
  <c r="K204" i="22"/>
  <c r="H204" i="22"/>
  <c r="D204" i="22"/>
  <c r="E204" i="22" s="1"/>
  <c r="G204" i="22" s="1"/>
  <c r="J204" i="22"/>
  <c r="B204" i="22"/>
  <c r="C204" i="22"/>
  <c r="I204" i="22"/>
  <c r="GG144" i="8" l="1"/>
  <c r="ER141" i="8"/>
  <c r="EI142" i="8" s="1"/>
  <c r="EK142" i="8" s="1"/>
  <c r="GF144" i="8"/>
  <c r="FG142" i="8"/>
  <c r="EG142" i="8"/>
  <c r="EO142" i="8"/>
  <c r="EN142" i="8"/>
  <c r="GA144" i="8"/>
  <c r="GC144" i="8" s="1"/>
  <c r="GB144" i="8" s="1"/>
  <c r="FY144" i="8"/>
  <c r="GE144" i="8"/>
  <c r="FZ144" i="8"/>
  <c r="CX145" i="8"/>
  <c r="CY145" i="8" s="1"/>
  <c r="DD145" i="8" s="1"/>
  <c r="BX145" i="8"/>
  <c r="BY145" i="8"/>
  <c r="BZ145" i="8" s="1"/>
  <c r="CZ145" i="8"/>
  <c r="CP146" i="8" s="1"/>
  <c r="L204" i="22"/>
  <c r="M204" i="22" s="1"/>
  <c r="F204" i="22"/>
  <c r="EM142" i="8" l="1"/>
  <c r="EH142" i="8"/>
  <c r="EL142" i="8"/>
  <c r="EP142" i="8" s="1"/>
  <c r="EQ142" i="8" s="1"/>
  <c r="EJ142" i="8"/>
  <c r="GH144" i="8"/>
  <c r="GI144" i="8" s="1"/>
  <c r="GN144" i="8" s="1"/>
  <c r="DP146" i="8"/>
  <c r="CC145" i="8"/>
  <c r="BU146" i="8"/>
  <c r="BT146" i="8"/>
  <c r="BP146" i="8"/>
  <c r="BV146" i="8"/>
  <c r="BQ146" i="8"/>
  <c r="BS146" i="8" s="1"/>
  <c r="N204" i="22"/>
  <c r="CO146" i="8"/>
  <c r="CT146" i="8"/>
  <c r="CQ146" i="8"/>
  <c r="CS146" i="8" s="1"/>
  <c r="CR146" i="8" s="1"/>
  <c r="CV146" i="8"/>
  <c r="CU146" i="8"/>
  <c r="CW146" i="8"/>
  <c r="EV142" i="8" l="1"/>
  <c r="ER142" i="8"/>
  <c r="GJ144" i="8"/>
  <c r="GE145" i="8" s="1"/>
  <c r="D205" i="22"/>
  <c r="E205" i="22" s="1"/>
  <c r="G205" i="22" s="1"/>
  <c r="F205" i="22" s="1"/>
  <c r="AW205" i="22"/>
  <c r="GY145" i="8"/>
  <c r="BR146" i="8"/>
  <c r="BX146" i="8"/>
  <c r="BY146" i="8" s="1"/>
  <c r="K205" i="22"/>
  <c r="I205" i="22"/>
  <c r="C205" i="22"/>
  <c r="B205" i="22"/>
  <c r="J205" i="22"/>
  <c r="H205" i="22"/>
  <c r="CX146" i="8"/>
  <c r="CY146" i="8" s="1"/>
  <c r="DD146" i="8" s="1"/>
  <c r="FY145" i="8" l="1"/>
  <c r="GF145" i="8"/>
  <c r="GD145" i="8"/>
  <c r="FZ145" i="8"/>
  <c r="GA145" i="8"/>
  <c r="GC145" i="8" s="1"/>
  <c r="GB145" i="8" s="1"/>
  <c r="GG145" i="8"/>
  <c r="FG143" i="8"/>
  <c r="EN143" i="8"/>
  <c r="EG143" i="8"/>
  <c r="EM143" i="8"/>
  <c r="EO143" i="8"/>
  <c r="EI143" i="8"/>
  <c r="EK143" i="8" s="1"/>
  <c r="EH143" i="8"/>
  <c r="EL143" i="8"/>
  <c r="GH145" i="8"/>
  <c r="GI145" i="8" s="1"/>
  <c r="BZ146" i="8"/>
  <c r="BT147" i="8" s="1"/>
  <c r="CC146" i="8"/>
  <c r="CZ146" i="8"/>
  <c r="L205" i="22"/>
  <c r="M205" i="22" s="1"/>
  <c r="N205" i="22" s="1"/>
  <c r="H206" i="22" s="1"/>
  <c r="EJ143" i="8" l="1"/>
  <c r="EP143" i="8"/>
  <c r="EQ143" i="8" s="1"/>
  <c r="EV143" i="8" s="1"/>
  <c r="FG144" i="8"/>
  <c r="CT147" i="8"/>
  <c r="DP147" i="8"/>
  <c r="AW206" i="22"/>
  <c r="BV147" i="8"/>
  <c r="BU147" i="8"/>
  <c r="BQ147" i="8"/>
  <c r="BS147" i="8" s="1"/>
  <c r="BR147" i="8" s="1"/>
  <c r="BP147" i="8"/>
  <c r="GN145" i="8"/>
  <c r="GJ145" i="8"/>
  <c r="GY146" i="8" s="1"/>
  <c r="BY147" i="8"/>
  <c r="C206" i="22"/>
  <c r="B206" i="22"/>
  <c r="D206" i="22"/>
  <c r="E206" i="22" s="1"/>
  <c r="G206" i="22" s="1"/>
  <c r="F206" i="22" s="1"/>
  <c r="I206" i="22"/>
  <c r="CV147" i="8"/>
  <c r="J206" i="22"/>
  <c r="K206" i="22"/>
  <c r="CO147" i="8"/>
  <c r="CP147" i="8"/>
  <c r="CW147" i="8"/>
  <c r="CU147" i="8"/>
  <c r="CQ147" i="8"/>
  <c r="CS147" i="8" s="1"/>
  <c r="CR147" i="8" s="1"/>
  <c r="ER143" i="8" l="1"/>
  <c r="BZ147" i="8"/>
  <c r="BV148" i="8" s="1"/>
  <c r="BX147" i="8"/>
  <c r="CC147" i="8" s="1"/>
  <c r="GD146" i="8"/>
  <c r="FZ146" i="8"/>
  <c r="GA146" i="8"/>
  <c r="GC146" i="8" s="1"/>
  <c r="GF146" i="8"/>
  <c r="FY146" i="8"/>
  <c r="GG146" i="8"/>
  <c r="GE146" i="8"/>
  <c r="BP148" i="8"/>
  <c r="BT148" i="8"/>
  <c r="L206" i="22"/>
  <c r="M206" i="22" s="1"/>
  <c r="N206" i="22" s="1"/>
  <c r="H207" i="22" s="1"/>
  <c r="CX147" i="8"/>
  <c r="CY147" i="8" s="1"/>
  <c r="DD147" i="8" s="1"/>
  <c r="BQ148" i="8" l="1"/>
  <c r="BS148" i="8" s="1"/>
  <c r="BR148" i="8" s="1"/>
  <c r="EO144" i="8"/>
  <c r="EI144" i="8"/>
  <c r="EK144" i="8" s="1"/>
  <c r="EJ144" i="8" s="1"/>
  <c r="EG144" i="8"/>
  <c r="EH144" i="8"/>
  <c r="EN144" i="8"/>
  <c r="EL144" i="8"/>
  <c r="EM144" i="8"/>
  <c r="BU148" i="8"/>
  <c r="BX148" i="8" s="1"/>
  <c r="BY148" i="8" s="1"/>
  <c r="BZ148" i="8" s="1"/>
  <c r="BT149" i="8" s="1"/>
  <c r="AW207" i="22"/>
  <c r="GB146" i="8"/>
  <c r="GH146" i="8"/>
  <c r="GI146" i="8" s="1"/>
  <c r="GN146" i="8" s="1"/>
  <c r="CZ147" i="8"/>
  <c r="I207" i="22"/>
  <c r="D207" i="22"/>
  <c r="E207" i="22" s="1"/>
  <c r="G207" i="22" s="1"/>
  <c r="F207" i="22" s="1"/>
  <c r="C207" i="22"/>
  <c r="B207" i="22"/>
  <c r="J207" i="22"/>
  <c r="K207" i="22"/>
  <c r="EP144" i="8" l="1"/>
  <c r="EQ144" i="8" s="1"/>
  <c r="EV144" i="8" s="1"/>
  <c r="CT148" i="8"/>
  <c r="DP148" i="8"/>
  <c r="GJ146" i="8"/>
  <c r="GY147" i="8" s="1"/>
  <c r="CC148" i="8"/>
  <c r="BV149" i="8"/>
  <c r="BU149" i="8"/>
  <c r="BQ149" i="8"/>
  <c r="BS149" i="8" s="1"/>
  <c r="BR149" i="8" s="1"/>
  <c r="BP149" i="8"/>
  <c r="CP148" i="8"/>
  <c r="CU148" i="8"/>
  <c r="CV148" i="8"/>
  <c r="CW148" i="8"/>
  <c r="CO148" i="8"/>
  <c r="CQ148" i="8"/>
  <c r="CS148" i="8" s="1"/>
  <c r="L207" i="22"/>
  <c r="M207" i="22" s="1"/>
  <c r="N207" i="22" s="1"/>
  <c r="H208" i="22" s="1"/>
  <c r="ER144" i="8" l="1"/>
  <c r="AW208" i="22"/>
  <c r="GD147" i="8"/>
  <c r="GA147" i="8"/>
  <c r="GC147" i="8" s="1"/>
  <c r="GB147" i="8" s="1"/>
  <c r="FY147" i="8"/>
  <c r="GE147" i="8"/>
  <c r="FZ147" i="8"/>
  <c r="GF147" i="8"/>
  <c r="GG147" i="8"/>
  <c r="BX149" i="8"/>
  <c r="BY149" i="8" s="1"/>
  <c r="BZ149" i="8" s="1"/>
  <c r="BV150" i="8" s="1"/>
  <c r="CX148" i="8"/>
  <c r="CY148" i="8" s="1"/>
  <c r="DD148" i="8" s="1"/>
  <c r="CR148" i="8"/>
  <c r="I208" i="22"/>
  <c r="K208" i="22"/>
  <c r="D208" i="22"/>
  <c r="E208" i="22" s="1"/>
  <c r="G208" i="22" s="1"/>
  <c r="B208" i="22"/>
  <c r="J208" i="22"/>
  <c r="C208" i="22"/>
  <c r="FG145" i="8" l="1"/>
  <c r="EG145" i="8"/>
  <c r="EH145" i="8"/>
  <c r="EN145" i="8"/>
  <c r="EO145" i="8"/>
  <c r="EM145" i="8"/>
  <c r="EL145" i="8"/>
  <c r="EI145" i="8"/>
  <c r="EK145" i="8" s="1"/>
  <c r="FG146" i="8"/>
  <c r="GH147" i="8"/>
  <c r="GI147" i="8" s="1"/>
  <c r="GN147" i="8" s="1"/>
  <c r="BU150" i="8"/>
  <c r="BQ150" i="8"/>
  <c r="BS150" i="8" s="1"/>
  <c r="BR150" i="8" s="1"/>
  <c r="CC149" i="8"/>
  <c r="BP150" i="8"/>
  <c r="BT150" i="8"/>
  <c r="CZ148" i="8"/>
  <c r="F208" i="22"/>
  <c r="L208" i="22"/>
  <c r="M208" i="22" s="1"/>
  <c r="EP145" i="8" l="1"/>
  <c r="EQ145" i="8" s="1"/>
  <c r="EV145" i="8" s="1"/>
  <c r="EJ145" i="8"/>
  <c r="CT149" i="8"/>
  <c r="DP149" i="8"/>
  <c r="GJ147" i="8"/>
  <c r="CV149" i="8"/>
  <c r="CP149" i="8"/>
  <c r="CQ149" i="8"/>
  <c r="CS149" i="8" s="1"/>
  <c r="CR149" i="8" s="1"/>
  <c r="BX150" i="8"/>
  <c r="BY150" i="8" s="1"/>
  <c r="BZ150" i="8" s="1"/>
  <c r="BP151" i="8" s="1"/>
  <c r="CO149" i="8"/>
  <c r="CW149" i="8"/>
  <c r="CU149" i="8"/>
  <c r="N208" i="22"/>
  <c r="ER145" i="8" l="1"/>
  <c r="EL146" i="8" s="1"/>
  <c r="FG147" i="8"/>
  <c r="GD148" i="8"/>
  <c r="GY148" i="8"/>
  <c r="H209" i="22"/>
  <c r="AW209" i="22"/>
  <c r="GA148" i="8"/>
  <c r="GC148" i="8" s="1"/>
  <c r="GB148" i="8" s="1"/>
  <c r="GE148" i="8"/>
  <c r="FZ148" i="8"/>
  <c r="GG148" i="8"/>
  <c r="FY148" i="8"/>
  <c r="GF148" i="8"/>
  <c r="CX149" i="8"/>
  <c r="CY149" i="8" s="1"/>
  <c r="CZ149" i="8" s="1"/>
  <c r="CT150" i="8" s="1"/>
  <c r="BU151" i="8"/>
  <c r="CC150" i="8"/>
  <c r="BT151" i="8"/>
  <c r="BQ151" i="8"/>
  <c r="BS151" i="8" s="1"/>
  <c r="BR151" i="8" s="1"/>
  <c r="BV151" i="8"/>
  <c r="K209" i="22"/>
  <c r="C209" i="22"/>
  <c r="J209" i="22"/>
  <c r="B209" i="22"/>
  <c r="D209" i="22"/>
  <c r="E209" i="22" s="1"/>
  <c r="G209" i="22" s="1"/>
  <c r="I209" i="22"/>
  <c r="EG146" i="8" l="1"/>
  <c r="EI146" i="8"/>
  <c r="EK146" i="8" s="1"/>
  <c r="EM146" i="8"/>
  <c r="EH146" i="8"/>
  <c r="EN146" i="8"/>
  <c r="EO146" i="8"/>
  <c r="EJ146" i="8"/>
  <c r="EP146" i="8"/>
  <c r="EQ146" i="8" s="1"/>
  <c r="DP150" i="8"/>
  <c r="GH148" i="8"/>
  <c r="GI148" i="8" s="1"/>
  <c r="GJ148" i="8" s="1"/>
  <c r="GY149" i="8" s="1"/>
  <c r="DD149" i="8"/>
  <c r="BX151" i="8"/>
  <c r="BY151" i="8" s="1"/>
  <c r="BZ151" i="8" s="1"/>
  <c r="BT152" i="8" s="1"/>
  <c r="L209" i="22"/>
  <c r="M209" i="22" s="1"/>
  <c r="CP150" i="8"/>
  <c r="CV150" i="8"/>
  <c r="CQ150" i="8"/>
  <c r="CS150" i="8" s="1"/>
  <c r="CO150" i="8"/>
  <c r="CU150" i="8"/>
  <c r="CW150" i="8"/>
  <c r="F209" i="22"/>
  <c r="ER146" i="8" l="1"/>
  <c r="EV146" i="8"/>
  <c r="GN148" i="8"/>
  <c r="GD149" i="8"/>
  <c r="GA149" i="8"/>
  <c r="GC149" i="8" s="1"/>
  <c r="FZ149" i="8"/>
  <c r="FY149" i="8"/>
  <c r="GE149" i="8"/>
  <c r="GG149" i="8"/>
  <c r="GF149" i="8"/>
  <c r="BV152" i="8"/>
  <c r="BU152" i="8"/>
  <c r="BP152" i="8"/>
  <c r="BQ152" i="8"/>
  <c r="BS152" i="8" s="1"/>
  <c r="BR152" i="8" s="1"/>
  <c r="CC151" i="8"/>
  <c r="N209" i="22"/>
  <c r="CX150" i="8"/>
  <c r="CY150" i="8" s="1"/>
  <c r="DD150" i="8" s="1"/>
  <c r="CR150" i="8"/>
  <c r="EI147" i="8" l="1"/>
  <c r="EK147" i="8" s="1"/>
  <c r="EH147" i="8"/>
  <c r="EG147" i="8"/>
  <c r="EL147" i="8"/>
  <c r="EJ147" i="8"/>
  <c r="EN147" i="8"/>
  <c r="EO147" i="8"/>
  <c r="EM147" i="8"/>
  <c r="D210" i="22"/>
  <c r="E210" i="22" s="1"/>
  <c r="G210" i="22" s="1"/>
  <c r="F210" i="22" s="1"/>
  <c r="AW210" i="22"/>
  <c r="GB149" i="8"/>
  <c r="GH149" i="8"/>
  <c r="GI149" i="8" s="1"/>
  <c r="GN149" i="8" s="1"/>
  <c r="BX152" i="8"/>
  <c r="BY152" i="8" s="1"/>
  <c r="BZ152" i="8" s="1"/>
  <c r="BT153" i="8" s="1"/>
  <c r="CZ150" i="8"/>
  <c r="K210" i="22"/>
  <c r="I210" i="22"/>
  <c r="B210" i="22"/>
  <c r="H210" i="22"/>
  <c r="C210" i="22"/>
  <c r="J210" i="22"/>
  <c r="EP147" i="8" l="1"/>
  <c r="EQ147" i="8" s="1"/>
  <c r="ER147" i="8" s="1"/>
  <c r="EO148" i="8" s="1"/>
  <c r="FG148" i="8"/>
  <c r="CW151" i="8"/>
  <c r="DP151" i="8"/>
  <c r="CC152" i="8"/>
  <c r="GJ149" i="8"/>
  <c r="GY150" i="8" s="1"/>
  <c r="BQ153" i="8"/>
  <c r="BS153" i="8" s="1"/>
  <c r="BR153" i="8" s="1"/>
  <c r="BU153" i="8"/>
  <c r="BP153" i="8"/>
  <c r="BV153" i="8"/>
  <c r="CT151" i="8"/>
  <c r="CU151" i="8"/>
  <c r="CV151" i="8"/>
  <c r="CP151" i="8"/>
  <c r="CQ151" i="8"/>
  <c r="CS151" i="8" s="1"/>
  <c r="CO151" i="8"/>
  <c r="L210" i="22"/>
  <c r="M210" i="22" s="1"/>
  <c r="N210" i="22" s="1"/>
  <c r="H211" i="22" s="1"/>
  <c r="EL148" i="8" l="1"/>
  <c r="EM148" i="8"/>
  <c r="EN148" i="8"/>
  <c r="EH148" i="8"/>
  <c r="EV147" i="8"/>
  <c r="EI148" i="8"/>
  <c r="EK148" i="8" s="1"/>
  <c r="EJ148" i="8" s="1"/>
  <c r="EG148" i="8"/>
  <c r="EP148" i="8"/>
  <c r="EQ148" i="8" s="1"/>
  <c r="EV148" i="8" s="1"/>
  <c r="AW211" i="22"/>
  <c r="GD150" i="8"/>
  <c r="FY150" i="8"/>
  <c r="FZ150" i="8"/>
  <c r="GE150" i="8"/>
  <c r="GA150" i="8"/>
  <c r="GC150" i="8" s="1"/>
  <c r="GB150" i="8" s="1"/>
  <c r="GF150" i="8"/>
  <c r="GG150" i="8"/>
  <c r="BX153" i="8"/>
  <c r="CX151" i="8"/>
  <c r="CY151" i="8" s="1"/>
  <c r="DD151" i="8" s="1"/>
  <c r="CR151" i="8"/>
  <c r="C211" i="22"/>
  <c r="J211" i="22"/>
  <c r="K211" i="22"/>
  <c r="D211" i="22"/>
  <c r="E211" i="22" s="1"/>
  <c r="G211" i="22" s="1"/>
  <c r="I211" i="22"/>
  <c r="B211" i="22"/>
  <c r="ER148" i="8" l="1"/>
  <c r="EG149" i="8" s="1"/>
  <c r="FG149" i="8"/>
  <c r="FG150" i="8"/>
  <c r="GH150" i="8"/>
  <c r="GI150" i="8" s="1"/>
  <c r="GJ150" i="8" s="1"/>
  <c r="GD151" i="8" s="1"/>
  <c r="BY153" i="8"/>
  <c r="BZ153" i="8" s="1"/>
  <c r="CZ151" i="8"/>
  <c r="F211" i="22"/>
  <c r="L211" i="22"/>
  <c r="M211" i="22" s="1"/>
  <c r="EI149" i="8" l="1"/>
  <c r="EK149" i="8" s="1"/>
  <c r="EJ149" i="8" s="1"/>
  <c r="EM149" i="8"/>
  <c r="EN149" i="8"/>
  <c r="EH149" i="8"/>
  <c r="EL149" i="8"/>
  <c r="EO149" i="8"/>
  <c r="EP149" i="8"/>
  <c r="EQ149" i="8" s="1"/>
  <c r="CT152" i="8"/>
  <c r="DP152" i="8"/>
  <c r="GY151" i="8"/>
  <c r="GG151" i="8"/>
  <c r="GE151" i="8"/>
  <c r="FZ151" i="8"/>
  <c r="GF151" i="8"/>
  <c r="FY151" i="8"/>
  <c r="GA151" i="8"/>
  <c r="GC151" i="8" s="1"/>
  <c r="GB151" i="8" s="1"/>
  <c r="GN150" i="8"/>
  <c r="CU152" i="8"/>
  <c r="CO152" i="8"/>
  <c r="CW152" i="8"/>
  <c r="CQ152" i="8"/>
  <c r="CS152" i="8" s="1"/>
  <c r="BT154" i="8"/>
  <c r="BU154" i="8"/>
  <c r="BQ154" i="8"/>
  <c r="BS154" i="8" s="1"/>
  <c r="BR154" i="8" s="1"/>
  <c r="BP154" i="8"/>
  <c r="BV154" i="8"/>
  <c r="CV152" i="8"/>
  <c r="CC153" i="8"/>
  <c r="CP152" i="8"/>
  <c r="N211" i="22"/>
  <c r="EV149" i="8" l="1"/>
  <c r="ER149" i="8"/>
  <c r="EL150" i="8" s="1"/>
  <c r="H212" i="22"/>
  <c r="AW212" i="22"/>
  <c r="GH151" i="8"/>
  <c r="GI151" i="8" s="1"/>
  <c r="GN151" i="8" s="1"/>
  <c r="BX154" i="8"/>
  <c r="BY154" i="8" s="1"/>
  <c r="CC154" i="8" s="1"/>
  <c r="D212" i="22"/>
  <c r="E212" i="22" s="1"/>
  <c r="G212" i="22" s="1"/>
  <c r="F212" i="22" s="1"/>
  <c r="J212" i="22"/>
  <c r="C212" i="22"/>
  <c r="K212" i="22"/>
  <c r="I212" i="22"/>
  <c r="B212" i="22"/>
  <c r="CR152" i="8"/>
  <c r="CX152" i="8"/>
  <c r="CY152" i="8" s="1"/>
  <c r="DD152" i="8" s="1"/>
  <c r="EO150" i="8" l="1"/>
  <c r="EN150" i="8"/>
  <c r="EG150" i="8"/>
  <c r="EM150" i="8"/>
  <c r="EH150" i="8"/>
  <c r="EI150" i="8"/>
  <c r="EK150" i="8" s="1"/>
  <c r="EJ150" i="8" s="1"/>
  <c r="GJ151" i="8"/>
  <c r="BZ154" i="8"/>
  <c r="CZ152" i="8"/>
  <c r="L212" i="22"/>
  <c r="M212" i="22" s="1"/>
  <c r="N212" i="22" s="1"/>
  <c r="H213" i="22" s="1"/>
  <c r="EP150" i="8" l="1"/>
  <c r="EQ150" i="8" s="1"/>
  <c r="EV150" i="8" s="1"/>
  <c r="ER150" i="8"/>
  <c r="CT153" i="8"/>
  <c r="DP153" i="8"/>
  <c r="GE152" i="8"/>
  <c r="GY152" i="8"/>
  <c r="AW213" i="22"/>
  <c r="GF152" i="8"/>
  <c r="GA152" i="8"/>
  <c r="GC152" i="8" s="1"/>
  <c r="GB152" i="8" s="1"/>
  <c r="GG152" i="8"/>
  <c r="GD152" i="8"/>
  <c r="FZ152" i="8"/>
  <c r="FY152" i="8"/>
  <c r="BQ155" i="8"/>
  <c r="BS155" i="8" s="1"/>
  <c r="BR155" i="8" s="1"/>
  <c r="BU155" i="8"/>
  <c r="BV155" i="8"/>
  <c r="BT155" i="8"/>
  <c r="BP155" i="8"/>
  <c r="D213" i="22"/>
  <c r="E213" i="22" s="1"/>
  <c r="G213" i="22" s="1"/>
  <c r="F213" i="22" s="1"/>
  <c r="J213" i="22"/>
  <c r="I213" i="22"/>
  <c r="K213" i="22"/>
  <c r="B213" i="22"/>
  <c r="C213" i="22"/>
  <c r="CU153" i="8"/>
  <c r="CW153" i="8"/>
  <c r="CO153" i="8"/>
  <c r="CV153" i="8"/>
  <c r="CP153" i="8"/>
  <c r="CQ153" i="8"/>
  <c r="CS153" i="8" s="1"/>
  <c r="CR153" i="8" s="1"/>
  <c r="GH152" i="8" l="1"/>
  <c r="GI152" i="8" s="1"/>
  <c r="GJ152" i="8" s="1"/>
  <c r="GG153" i="8" s="1"/>
  <c r="FG151" i="8"/>
  <c r="EL151" i="8"/>
  <c r="EI151" i="8"/>
  <c r="EK151" i="8" s="1"/>
  <c r="EJ151" i="8" s="1"/>
  <c r="EH151" i="8"/>
  <c r="EO151" i="8"/>
  <c r="EM151" i="8"/>
  <c r="EG151" i="8"/>
  <c r="EN151" i="8"/>
  <c r="FG152" i="8"/>
  <c r="BX155" i="8"/>
  <c r="L213" i="22"/>
  <c r="M213" i="22" s="1"/>
  <c r="N213" i="22" s="1"/>
  <c r="H214" i="22" s="1"/>
  <c r="CX153" i="8"/>
  <c r="CY153" i="8" s="1"/>
  <c r="CZ153" i="8" s="1"/>
  <c r="DP154" i="8" s="1"/>
  <c r="GN152" i="8" l="1"/>
  <c r="EP151" i="8"/>
  <c r="EQ151" i="8" s="1"/>
  <c r="EV151" i="8" s="1"/>
  <c r="GY153" i="8"/>
  <c r="AW214" i="22"/>
  <c r="FZ153" i="8"/>
  <c r="GD153" i="8"/>
  <c r="GE153" i="8"/>
  <c r="FY153" i="8"/>
  <c r="GF153" i="8"/>
  <c r="GA153" i="8"/>
  <c r="GC153" i="8" s="1"/>
  <c r="GB153" i="8" s="1"/>
  <c r="BY155" i="8"/>
  <c r="BZ155" i="8" s="1"/>
  <c r="DD153" i="8"/>
  <c r="CT154" i="8"/>
  <c r="I214" i="22"/>
  <c r="C214" i="22"/>
  <c r="B214" i="22"/>
  <c r="D214" i="22"/>
  <c r="E214" i="22" s="1"/>
  <c r="G214" i="22" s="1"/>
  <c r="F214" i="22" s="1"/>
  <c r="K214" i="22"/>
  <c r="J214" i="22"/>
  <c r="ER151" i="8" l="1"/>
  <c r="EH152" i="8" s="1"/>
  <c r="GH153" i="8"/>
  <c r="GI153" i="8" s="1"/>
  <c r="GN153" i="8" s="1"/>
  <c r="CC155" i="8"/>
  <c r="BV156" i="8"/>
  <c r="BT156" i="8"/>
  <c r="BU156" i="8"/>
  <c r="BP156" i="8"/>
  <c r="BQ156" i="8"/>
  <c r="BS156" i="8" s="1"/>
  <c r="BR156" i="8" s="1"/>
  <c r="L214" i="22"/>
  <c r="M214" i="22" s="1"/>
  <c r="N214" i="22" s="1"/>
  <c r="H215" i="22" s="1"/>
  <c r="CW154" i="8"/>
  <c r="CP154" i="8"/>
  <c r="CQ154" i="8"/>
  <c r="CS154" i="8" s="1"/>
  <c r="CR154" i="8" s="1"/>
  <c r="CO154" i="8"/>
  <c r="CU154" i="8"/>
  <c r="CV154" i="8"/>
  <c r="EL152" i="8" l="1"/>
  <c r="EM152" i="8"/>
  <c r="EO152" i="8"/>
  <c r="EG152" i="8"/>
  <c r="EI152" i="8"/>
  <c r="EK152" i="8" s="1"/>
  <c r="EN152" i="8"/>
  <c r="EJ152" i="8"/>
  <c r="EP152" i="8"/>
  <c r="EQ152" i="8" s="1"/>
  <c r="GJ153" i="8"/>
  <c r="GY154" i="8" s="1"/>
  <c r="AW215" i="22"/>
  <c r="BX156" i="8"/>
  <c r="BY156" i="8"/>
  <c r="BZ156" i="8" s="1"/>
  <c r="CX154" i="8"/>
  <c r="CY154" i="8" s="1"/>
  <c r="DD154" i="8" s="1"/>
  <c r="K215" i="22"/>
  <c r="I215" i="22"/>
  <c r="C215" i="22"/>
  <c r="B215" i="22"/>
  <c r="J215" i="22"/>
  <c r="D215" i="22"/>
  <c r="E215" i="22" s="1"/>
  <c r="G215" i="22" s="1"/>
  <c r="EV152" i="8" l="1"/>
  <c r="ER152" i="8"/>
  <c r="FZ154" i="8"/>
  <c r="FY154" i="8"/>
  <c r="GF154" i="8"/>
  <c r="GE154" i="8"/>
  <c r="GG154" i="8"/>
  <c r="GA154" i="8"/>
  <c r="GC154" i="8" s="1"/>
  <c r="GB154" i="8" s="1"/>
  <c r="GD154" i="8"/>
  <c r="CC156" i="8"/>
  <c r="BT157" i="8"/>
  <c r="BQ157" i="8"/>
  <c r="BS157" i="8" s="1"/>
  <c r="BR157" i="8" s="1"/>
  <c r="BV157" i="8"/>
  <c r="BU157" i="8"/>
  <c r="BP157" i="8"/>
  <c r="CZ154" i="8"/>
  <c r="L215" i="22"/>
  <c r="M215" i="22" s="1"/>
  <c r="F215" i="22"/>
  <c r="FG153" i="8" l="1"/>
  <c r="EI153" i="8"/>
  <c r="EK153" i="8" s="1"/>
  <c r="EM153" i="8"/>
  <c r="EL153" i="8"/>
  <c r="EN153" i="8"/>
  <c r="EO153" i="8"/>
  <c r="EG153" i="8"/>
  <c r="EH153" i="8"/>
  <c r="GH154" i="8"/>
  <c r="GI154" i="8" s="1"/>
  <c r="GN154" i="8" s="1"/>
  <c r="CT155" i="8"/>
  <c r="DP155" i="8"/>
  <c r="BX157" i="8"/>
  <c r="BY157" i="8"/>
  <c r="BZ157" i="8" s="1"/>
  <c r="CU155" i="8"/>
  <c r="CO155" i="8"/>
  <c r="CQ155" i="8"/>
  <c r="CS155" i="8" s="1"/>
  <c r="CW155" i="8"/>
  <c r="CV155" i="8"/>
  <c r="CP155" i="8"/>
  <c r="N215" i="22"/>
  <c r="GJ154" i="8" l="1"/>
  <c r="EP153" i="8"/>
  <c r="EQ153" i="8" s="1"/>
  <c r="EV153" i="8" s="1"/>
  <c r="EJ153" i="8"/>
  <c r="GE155" i="8"/>
  <c r="GY155" i="8"/>
  <c r="H216" i="22"/>
  <c r="AW216" i="22"/>
  <c r="FY155" i="8"/>
  <c r="GA155" i="8"/>
  <c r="GC155" i="8" s="1"/>
  <c r="GB155" i="8" s="1"/>
  <c r="FZ155" i="8"/>
  <c r="GD155" i="8"/>
  <c r="GF155" i="8"/>
  <c r="GG155" i="8"/>
  <c r="BT158" i="8"/>
  <c r="BP158" i="8"/>
  <c r="BU158" i="8"/>
  <c r="BQ158" i="8"/>
  <c r="BS158" i="8" s="1"/>
  <c r="BR158" i="8" s="1"/>
  <c r="BV158" i="8"/>
  <c r="CC157" i="8"/>
  <c r="K216" i="22"/>
  <c r="B216" i="22"/>
  <c r="I216" i="22"/>
  <c r="C216" i="22"/>
  <c r="J216" i="22"/>
  <c r="D216" i="22"/>
  <c r="E216" i="22" s="1"/>
  <c r="G216" i="22" s="1"/>
  <c r="F216" i="22" s="1"/>
  <c r="CX155" i="8"/>
  <c r="CR155" i="8"/>
  <c r="CY155" i="8"/>
  <c r="DD155" i="8" s="1"/>
  <c r="ER153" i="8" l="1"/>
  <c r="EH154" i="8" s="1"/>
  <c r="FG154" i="8"/>
  <c r="GH155" i="8"/>
  <c r="GI155" i="8" s="1"/>
  <c r="GN155" i="8" s="1"/>
  <c r="BX158" i="8"/>
  <c r="CZ155" i="8"/>
  <c r="L216" i="22"/>
  <c r="M216" i="22" s="1"/>
  <c r="N216" i="22" s="1"/>
  <c r="H217" i="22" s="1"/>
  <c r="EI154" i="8" l="1"/>
  <c r="EK154" i="8" s="1"/>
  <c r="EJ154" i="8" s="1"/>
  <c r="EN154" i="8"/>
  <c r="EL154" i="8"/>
  <c r="EM154" i="8"/>
  <c r="EO154" i="8"/>
  <c r="EG154" i="8"/>
  <c r="EP154" i="8"/>
  <c r="EQ154" i="8" s="1"/>
  <c r="CT156" i="8"/>
  <c r="DP156" i="8"/>
  <c r="AW217" i="22"/>
  <c r="GJ155" i="8"/>
  <c r="BY158" i="8"/>
  <c r="BZ158" i="8" s="1"/>
  <c r="B217" i="22"/>
  <c r="C217" i="22"/>
  <c r="I217" i="22"/>
  <c r="J217" i="22"/>
  <c r="K217" i="22"/>
  <c r="D217" i="22"/>
  <c r="E217" i="22" s="1"/>
  <c r="G217" i="22" s="1"/>
  <c r="F217" i="22" s="1"/>
  <c r="CU156" i="8"/>
  <c r="CO156" i="8"/>
  <c r="CP156" i="8"/>
  <c r="CQ156" i="8"/>
  <c r="CS156" i="8" s="1"/>
  <c r="CR156" i="8" s="1"/>
  <c r="CW156" i="8"/>
  <c r="CV156" i="8"/>
  <c r="EV154" i="8" l="1"/>
  <c r="ER154" i="8"/>
  <c r="GD156" i="8"/>
  <c r="GY156" i="8"/>
  <c r="FZ156" i="8"/>
  <c r="GA156" i="8"/>
  <c r="GC156" i="8" s="1"/>
  <c r="GB156" i="8" s="1"/>
  <c r="GF156" i="8"/>
  <c r="GG156" i="8"/>
  <c r="FY156" i="8"/>
  <c r="GE156" i="8"/>
  <c r="BT159" i="8"/>
  <c r="BQ159" i="8"/>
  <c r="BS159" i="8" s="1"/>
  <c r="BR159" i="8" s="1"/>
  <c r="BU159" i="8"/>
  <c r="BV159" i="8"/>
  <c r="BP159" i="8"/>
  <c r="CC158" i="8"/>
  <c r="L217" i="22"/>
  <c r="M217" i="22" s="1"/>
  <c r="N217" i="22" s="1"/>
  <c r="H218" i="22" s="1"/>
  <c r="CX156" i="8"/>
  <c r="CY156" i="8"/>
  <c r="CZ156" i="8" s="1"/>
  <c r="DP157" i="8" s="1"/>
  <c r="FG155" i="8" l="1"/>
  <c r="EN155" i="8"/>
  <c r="EO155" i="8"/>
  <c r="EL155" i="8"/>
  <c r="EG155" i="8"/>
  <c r="EH155" i="8"/>
  <c r="EM155" i="8"/>
  <c r="EI155" i="8"/>
  <c r="EK155" i="8" s="1"/>
  <c r="EJ155" i="8" s="1"/>
  <c r="AW218" i="22"/>
  <c r="GH156" i="8"/>
  <c r="GI156" i="8" s="1"/>
  <c r="GN156" i="8" s="1"/>
  <c r="BX159" i="8"/>
  <c r="BY159" i="8" s="1"/>
  <c r="BZ159" i="8" s="1"/>
  <c r="BU160" i="8" s="1"/>
  <c r="DD156" i="8"/>
  <c r="CQ157" i="8"/>
  <c r="CS157" i="8" s="1"/>
  <c r="CV157" i="8"/>
  <c r="CO157" i="8"/>
  <c r="CP157" i="8"/>
  <c r="CW157" i="8"/>
  <c r="CU157" i="8"/>
  <c r="J218" i="22"/>
  <c r="C218" i="22"/>
  <c r="B218" i="22"/>
  <c r="K218" i="22"/>
  <c r="D218" i="22"/>
  <c r="E218" i="22" s="1"/>
  <c r="G218" i="22" s="1"/>
  <c r="I218" i="22"/>
  <c r="GJ156" i="8" l="1"/>
  <c r="GG157" i="8" s="1"/>
  <c r="EP155" i="8"/>
  <c r="EQ155" i="8" s="1"/>
  <c r="EV155" i="8" s="1"/>
  <c r="GY157" i="8"/>
  <c r="FZ157" i="8"/>
  <c r="FY157" i="8"/>
  <c r="GF157" i="8"/>
  <c r="GA157" i="8"/>
  <c r="GC157" i="8" s="1"/>
  <c r="GB157" i="8" s="1"/>
  <c r="BP160" i="8"/>
  <c r="BV160" i="8"/>
  <c r="BT160" i="8"/>
  <c r="BQ160" i="8"/>
  <c r="BS160" i="8" s="1"/>
  <c r="BR160" i="8" s="1"/>
  <c r="CC159" i="8"/>
  <c r="GD157" i="8"/>
  <c r="GE157" i="8"/>
  <c r="CT157" i="8"/>
  <c r="CX157" i="8" s="1"/>
  <c r="L218" i="22"/>
  <c r="M218" i="22" s="1"/>
  <c r="F218" i="22"/>
  <c r="CR157" i="8"/>
  <c r="ER155" i="8" l="1"/>
  <c r="BX160" i="8"/>
  <c r="BY160" i="8" s="1"/>
  <c r="BZ160" i="8" s="1"/>
  <c r="GH157" i="8"/>
  <c r="GI157" i="8" s="1"/>
  <c r="GJ157" i="8" s="1"/>
  <c r="GD158" i="8" s="1"/>
  <c r="CY157" i="8"/>
  <c r="CZ157" i="8" s="1"/>
  <c r="N218" i="22"/>
  <c r="FG156" i="8" l="1"/>
  <c r="EI156" i="8"/>
  <c r="EK156" i="8" s="1"/>
  <c r="EM156" i="8"/>
  <c r="EG156" i="8"/>
  <c r="EO156" i="8"/>
  <c r="EL156" i="8"/>
  <c r="EH156" i="8"/>
  <c r="EN156" i="8"/>
  <c r="EJ156" i="8"/>
  <c r="CT158" i="8"/>
  <c r="DP158" i="8"/>
  <c r="H219" i="22"/>
  <c r="AW219" i="22"/>
  <c r="FG157" i="8"/>
  <c r="GY158" i="8"/>
  <c r="GA158" i="8"/>
  <c r="GC158" i="8" s="1"/>
  <c r="GB158" i="8" s="1"/>
  <c r="FY158" i="8"/>
  <c r="GE158" i="8"/>
  <c r="GG158" i="8"/>
  <c r="FZ158" i="8"/>
  <c r="GF158" i="8"/>
  <c r="GN157" i="8"/>
  <c r="BT161" i="8"/>
  <c r="BP161" i="8"/>
  <c r="BV161" i="8"/>
  <c r="BU161" i="8"/>
  <c r="BQ161" i="8"/>
  <c r="BS161" i="8" s="1"/>
  <c r="BR161" i="8" s="1"/>
  <c r="CC160" i="8"/>
  <c r="DD157" i="8"/>
  <c r="K219" i="22"/>
  <c r="CV158" i="8"/>
  <c r="CQ158" i="8"/>
  <c r="CS158" i="8" s="1"/>
  <c r="CR158" i="8" s="1"/>
  <c r="B219" i="22"/>
  <c r="C219" i="22"/>
  <c r="I219" i="22"/>
  <c r="J219" i="22"/>
  <c r="D219" i="22"/>
  <c r="E219" i="22" s="1"/>
  <c r="G219" i="22" s="1"/>
  <c r="F219" i="22" s="1"/>
  <c r="CW158" i="8"/>
  <c r="CU158" i="8"/>
  <c r="CP158" i="8"/>
  <c r="CO158" i="8"/>
  <c r="EP156" i="8" l="1"/>
  <c r="EQ156" i="8" s="1"/>
  <c r="EV156" i="8" s="1"/>
  <c r="GH158" i="8"/>
  <c r="GI158" i="8" s="1"/>
  <c r="GN158" i="8" s="1"/>
  <c r="BX161" i="8"/>
  <c r="BY161" i="8" s="1"/>
  <c r="L219" i="22"/>
  <c r="M219" i="22" s="1"/>
  <c r="N219" i="22" s="1"/>
  <c r="AW220" i="22" s="1"/>
  <c r="CX158" i="8"/>
  <c r="CY158" i="8" s="1"/>
  <c r="DD158" i="8" s="1"/>
  <c r="ER156" i="8" l="1"/>
  <c r="EI157" i="8" s="1"/>
  <c r="EK157" i="8" s="1"/>
  <c r="GJ158" i="8"/>
  <c r="BZ161" i="8"/>
  <c r="CC161" i="8"/>
  <c r="CZ158" i="8"/>
  <c r="B220" i="22"/>
  <c r="H220" i="22"/>
  <c r="K220" i="22"/>
  <c r="D220" i="22"/>
  <c r="E220" i="22" s="1"/>
  <c r="G220" i="22" s="1"/>
  <c r="F220" i="22" s="1"/>
  <c r="I220" i="22"/>
  <c r="J220" i="22"/>
  <c r="C220" i="22"/>
  <c r="EN157" i="8" l="1"/>
  <c r="EL157" i="8"/>
  <c r="EH157" i="8"/>
  <c r="EG157" i="8"/>
  <c r="EO157" i="8"/>
  <c r="EM157" i="8"/>
  <c r="EJ157" i="8"/>
  <c r="EP157" i="8"/>
  <c r="EQ157" i="8" s="1"/>
  <c r="CT159" i="8"/>
  <c r="DP159" i="8"/>
  <c r="FG158" i="8"/>
  <c r="GD159" i="8"/>
  <c r="GY159" i="8"/>
  <c r="GG159" i="8"/>
  <c r="GF159" i="8"/>
  <c r="FY159" i="8"/>
  <c r="GA159" i="8"/>
  <c r="GC159" i="8" s="1"/>
  <c r="GB159" i="8" s="1"/>
  <c r="FZ159" i="8"/>
  <c r="GE159" i="8"/>
  <c r="BQ162" i="8"/>
  <c r="BP162" i="8"/>
  <c r="BT162" i="8"/>
  <c r="BU162" i="8"/>
  <c r="BV162" i="8"/>
  <c r="CP159" i="8"/>
  <c r="CW159" i="8"/>
  <c r="CQ159" i="8"/>
  <c r="CS159" i="8" s="1"/>
  <c r="CR159" i="8" s="1"/>
  <c r="CV159" i="8"/>
  <c r="CO159" i="8"/>
  <c r="CU159" i="8"/>
  <c r="L220" i="22"/>
  <c r="M220" i="22" s="1"/>
  <c r="N220" i="22" s="1"/>
  <c r="AW221" i="22" s="1"/>
  <c r="EV157" i="8" l="1"/>
  <c r="ER157" i="8"/>
  <c r="GH159" i="8"/>
  <c r="GI159" i="8" s="1"/>
  <c r="GN159" i="8" s="1"/>
  <c r="BS162" i="8"/>
  <c r="CX159" i="8"/>
  <c r="CY159" i="8" s="1"/>
  <c r="DD159" i="8" s="1"/>
  <c r="C221" i="22"/>
  <c r="H221" i="22"/>
  <c r="K221" i="22"/>
  <c r="B221" i="22"/>
  <c r="J221" i="22"/>
  <c r="I221" i="22"/>
  <c r="D221" i="22"/>
  <c r="E221" i="22" s="1"/>
  <c r="G221" i="22" s="1"/>
  <c r="EL158" i="8" l="1"/>
  <c r="EO158" i="8"/>
  <c r="EI158" i="8"/>
  <c r="EK158" i="8" s="1"/>
  <c r="EM158" i="8"/>
  <c r="EN158" i="8"/>
  <c r="EH158" i="8"/>
  <c r="EG158" i="8"/>
  <c r="GJ159" i="8"/>
  <c r="GA160" i="8" s="1"/>
  <c r="GC160" i="8" s="1"/>
  <c r="GB160" i="8" s="1"/>
  <c r="BR162" i="8"/>
  <c r="BX162" i="8"/>
  <c r="CZ159" i="8"/>
  <c r="L221" i="22"/>
  <c r="M221" i="22" s="1"/>
  <c r="F221" i="22"/>
  <c r="FY160" i="8" l="1"/>
  <c r="GF160" i="8"/>
  <c r="EJ158" i="8"/>
  <c r="EP158" i="8"/>
  <c r="EQ158" i="8" s="1"/>
  <c r="EV158" i="8" s="1"/>
  <c r="GG160" i="8"/>
  <c r="GE160" i="8"/>
  <c r="FZ160" i="8"/>
  <c r="FG159" i="8"/>
  <c r="CT160" i="8"/>
  <c r="DP160" i="8"/>
  <c r="GD160" i="8"/>
  <c r="GY160" i="8"/>
  <c r="BY162" i="8"/>
  <c r="BZ162" i="8" s="1"/>
  <c r="N221" i="22"/>
  <c r="CW160" i="8"/>
  <c r="CP160" i="8"/>
  <c r="CO160" i="8"/>
  <c r="CU160" i="8"/>
  <c r="CV160" i="8"/>
  <c r="CQ160" i="8"/>
  <c r="CS160" i="8" s="1"/>
  <c r="CR160" i="8" s="1"/>
  <c r="GH160" i="8" l="1"/>
  <c r="GI160" i="8" s="1"/>
  <c r="GJ160" i="8" s="1"/>
  <c r="GD161" i="8" s="1"/>
  <c r="ER158" i="8"/>
  <c r="EM159" i="8" s="1"/>
  <c r="GY161" i="8"/>
  <c r="J222" i="22"/>
  <c r="AW222" i="22"/>
  <c r="BT163" i="8"/>
  <c r="BV163" i="8"/>
  <c r="BP163" i="8"/>
  <c r="BU163" i="8"/>
  <c r="BQ163" i="8"/>
  <c r="BS163" i="8" s="1"/>
  <c r="BR163" i="8" s="1"/>
  <c r="K222" i="22"/>
  <c r="H222" i="22"/>
  <c r="CC162" i="8"/>
  <c r="GN160" i="8"/>
  <c r="C222" i="22"/>
  <c r="B222" i="22"/>
  <c r="I222" i="22"/>
  <c r="D222" i="22"/>
  <c r="E222" i="22" s="1"/>
  <c r="G222" i="22" s="1"/>
  <c r="F222" i="22" s="1"/>
  <c r="CX160" i="8"/>
  <c r="CY160" i="8" s="1"/>
  <c r="DD160" i="8" s="1"/>
  <c r="GE161" i="8"/>
  <c r="GG161" i="8"/>
  <c r="FY161" i="8"/>
  <c r="FZ161" i="8"/>
  <c r="GF161" i="8"/>
  <c r="GA161" i="8"/>
  <c r="GC161" i="8" s="1"/>
  <c r="EH159" i="8" l="1"/>
  <c r="EN159" i="8"/>
  <c r="EO159" i="8"/>
  <c r="EL159" i="8"/>
  <c r="EG159" i="8"/>
  <c r="EI159" i="8"/>
  <c r="EK159" i="8" s="1"/>
  <c r="BX163" i="8"/>
  <c r="BY163" i="8" s="1"/>
  <c r="CC163" i="8" s="1"/>
  <c r="L222" i="22"/>
  <c r="M222" i="22" s="1"/>
  <c r="N222" i="22" s="1"/>
  <c r="H223" i="22" s="1"/>
  <c r="CZ160" i="8"/>
  <c r="GH161" i="8"/>
  <c r="GI161" i="8" s="1"/>
  <c r="GN161" i="8" s="1"/>
  <c r="GB161" i="8"/>
  <c r="EJ159" i="8" l="1"/>
  <c r="EP159" i="8"/>
  <c r="EQ159" i="8" s="1"/>
  <c r="EV159" i="8" s="1"/>
  <c r="FG160" i="8"/>
  <c r="CT161" i="8"/>
  <c r="DP161" i="8"/>
  <c r="AW223" i="22"/>
  <c r="J223" i="22"/>
  <c r="K223" i="22"/>
  <c r="BZ163" i="8"/>
  <c r="BV164" i="8" s="1"/>
  <c r="D223" i="22"/>
  <c r="E223" i="22" s="1"/>
  <c r="G223" i="22" s="1"/>
  <c r="F223" i="22" s="1"/>
  <c r="C223" i="22"/>
  <c r="I223" i="22"/>
  <c r="B223" i="22"/>
  <c r="CP161" i="8"/>
  <c r="CV161" i="8"/>
  <c r="CO161" i="8"/>
  <c r="CU161" i="8"/>
  <c r="CQ161" i="8"/>
  <c r="CS161" i="8" s="1"/>
  <c r="CR161" i="8" s="1"/>
  <c r="CW161" i="8"/>
  <c r="GJ161" i="8"/>
  <c r="ER159" i="8" l="1"/>
  <c r="GD162" i="8"/>
  <c r="GY162" i="8"/>
  <c r="BT164" i="8"/>
  <c r="L223" i="22"/>
  <c r="M223" i="22" s="1"/>
  <c r="N223" i="22" s="1"/>
  <c r="BP164" i="8"/>
  <c r="BU164" i="8"/>
  <c r="BQ164" i="8"/>
  <c r="BS164" i="8" s="1"/>
  <c r="BR164" i="8" s="1"/>
  <c r="CX161" i="8"/>
  <c r="CY161" i="8" s="1"/>
  <c r="CZ161" i="8" s="1"/>
  <c r="CQ162" i="8" s="1"/>
  <c r="CS162" i="8" s="1"/>
  <c r="GG162" i="8"/>
  <c r="GE162" i="8"/>
  <c r="FZ162" i="8"/>
  <c r="FY162" i="8"/>
  <c r="GF162" i="8"/>
  <c r="GA162" i="8"/>
  <c r="GC162" i="8" s="1"/>
  <c r="GB162" i="8" s="1"/>
  <c r="EO160" i="8" l="1"/>
  <c r="EM160" i="8"/>
  <c r="EN160" i="8"/>
  <c r="EG160" i="8"/>
  <c r="EH160" i="8"/>
  <c r="EL160" i="8"/>
  <c r="EI160" i="8"/>
  <c r="EK160" i="8" s="1"/>
  <c r="H224" i="22"/>
  <c r="AW224" i="22"/>
  <c r="DP162" i="8"/>
  <c r="BX164" i="8"/>
  <c r="BY164" i="8" s="1"/>
  <c r="BZ164" i="8" s="1"/>
  <c r="DD161" i="8"/>
  <c r="CO162" i="8"/>
  <c r="CV162" i="8"/>
  <c r="CP162" i="8"/>
  <c r="CU162" i="8"/>
  <c r="GH162" i="8"/>
  <c r="GI162" i="8" s="1"/>
  <c r="GJ162" i="8" s="1"/>
  <c r="GY163" i="8" s="1"/>
  <c r="I224" i="22"/>
  <c r="D224" i="22"/>
  <c r="E224" i="22" s="1"/>
  <c r="G224" i="22" s="1"/>
  <c r="F224" i="22" s="1"/>
  <c r="K224" i="22"/>
  <c r="J224" i="22"/>
  <c r="C224" i="22"/>
  <c r="B224" i="22"/>
  <c r="CR162" i="8"/>
  <c r="CW162" i="8"/>
  <c r="CT162" i="8"/>
  <c r="EJ160" i="8" l="1"/>
  <c r="EP160" i="8"/>
  <c r="EQ160" i="8" s="1"/>
  <c r="EV160" i="8" s="1"/>
  <c r="FG161" i="8"/>
  <c r="CC164" i="8"/>
  <c r="BQ165" i="8"/>
  <c r="BS165" i="8" s="1"/>
  <c r="BR165" i="8" s="1"/>
  <c r="BV165" i="8"/>
  <c r="BP165" i="8"/>
  <c r="BU165" i="8"/>
  <c r="BT165" i="8"/>
  <c r="GN162" i="8"/>
  <c r="GD163" i="8"/>
  <c r="GG163" i="8"/>
  <c r="FY163" i="8"/>
  <c r="GE163" i="8"/>
  <c r="GA163" i="8"/>
  <c r="GC163" i="8" s="1"/>
  <c r="GB163" i="8" s="1"/>
  <c r="GF163" i="8"/>
  <c r="FZ163" i="8"/>
  <c r="L224" i="22"/>
  <c r="M224" i="22" s="1"/>
  <c r="N224" i="22" s="1"/>
  <c r="H225" i="22" s="1"/>
  <c r="CX162" i="8"/>
  <c r="CY162" i="8" s="1"/>
  <c r="CZ162" i="8" s="1"/>
  <c r="DP163" i="8" s="1"/>
  <c r="ER160" i="8" l="1"/>
  <c r="AW225" i="22"/>
  <c r="BX165" i="8"/>
  <c r="BY165" i="8" s="1"/>
  <c r="BZ165" i="8" s="1"/>
  <c r="BP166" i="8" s="1"/>
  <c r="GH163" i="8"/>
  <c r="GI163" i="8" s="1"/>
  <c r="GN163" i="8" s="1"/>
  <c r="J225" i="22"/>
  <c r="D225" i="22"/>
  <c r="E225" i="22" s="1"/>
  <c r="G225" i="22" s="1"/>
  <c r="F225" i="22" s="1"/>
  <c r="K225" i="22"/>
  <c r="B225" i="22"/>
  <c r="C225" i="22"/>
  <c r="I225" i="22"/>
  <c r="DD162" i="8"/>
  <c r="CP163" i="8"/>
  <c r="CV163" i="8"/>
  <c r="CO163" i="8"/>
  <c r="CU163" i="8"/>
  <c r="CW163" i="8"/>
  <c r="CQ163" i="8"/>
  <c r="CS163" i="8" s="1"/>
  <c r="CR163" i="8" s="1"/>
  <c r="CT163" i="8"/>
  <c r="EL161" i="8" l="1"/>
  <c r="EM161" i="8"/>
  <c r="EI161" i="8"/>
  <c r="EK161" i="8" s="1"/>
  <c r="EJ161" i="8" s="1"/>
  <c r="EH161" i="8"/>
  <c r="EO161" i="8"/>
  <c r="EN161" i="8"/>
  <c r="EG161" i="8"/>
  <c r="BV166" i="8"/>
  <c r="BQ166" i="8"/>
  <c r="BS166" i="8" s="1"/>
  <c r="BR166" i="8" s="1"/>
  <c r="BT166" i="8"/>
  <c r="CC165" i="8"/>
  <c r="BU166" i="8"/>
  <c r="GJ163" i="8"/>
  <c r="L225" i="22"/>
  <c r="M225" i="22" s="1"/>
  <c r="N225" i="22" s="1"/>
  <c r="H226" i="22" s="1"/>
  <c r="CX163" i="8"/>
  <c r="CY163" i="8" s="1"/>
  <c r="DD163" i="8" s="1"/>
  <c r="EP161" i="8" l="1"/>
  <c r="EQ161" i="8" s="1"/>
  <c r="ER161" i="8" s="1"/>
  <c r="GD164" i="8"/>
  <c r="GY164" i="8"/>
  <c r="AW226" i="22"/>
  <c r="BX166" i="8"/>
  <c r="BY166" i="8" s="1"/>
  <c r="BZ166" i="8" s="1"/>
  <c r="BU167" i="8" s="1"/>
  <c r="FZ164" i="8"/>
  <c r="GA164" i="8"/>
  <c r="GC164" i="8" s="1"/>
  <c r="GB164" i="8" s="1"/>
  <c r="FY164" i="8"/>
  <c r="GE164" i="8"/>
  <c r="GF164" i="8"/>
  <c r="GG164" i="8"/>
  <c r="CZ163" i="8"/>
  <c r="C226" i="22"/>
  <c r="I226" i="22"/>
  <c r="B226" i="22"/>
  <c r="D226" i="22"/>
  <c r="E226" i="22" s="1"/>
  <c r="G226" i="22" s="1"/>
  <c r="F226" i="22" s="1"/>
  <c r="J226" i="22"/>
  <c r="K226" i="22"/>
  <c r="EV161" i="8" l="1"/>
  <c r="FG162" i="8"/>
  <c r="EL162" i="8"/>
  <c r="EH162" i="8"/>
  <c r="EN162" i="8"/>
  <c r="EO162" i="8"/>
  <c r="EI162" i="8"/>
  <c r="EK162" i="8" s="1"/>
  <c r="EG162" i="8"/>
  <c r="EM162" i="8"/>
  <c r="CC166" i="8"/>
  <c r="BT167" i="8"/>
  <c r="BV167" i="8"/>
  <c r="BQ167" i="8"/>
  <c r="BS167" i="8" s="1"/>
  <c r="BR167" i="8" s="1"/>
  <c r="BP167" i="8"/>
  <c r="CT164" i="8"/>
  <c r="DP164" i="8"/>
  <c r="GH164" i="8"/>
  <c r="GI164" i="8" s="1"/>
  <c r="GN164" i="8" s="1"/>
  <c r="CO164" i="8"/>
  <c r="CW164" i="8"/>
  <c r="CU164" i="8"/>
  <c r="CV164" i="8"/>
  <c r="CP164" i="8"/>
  <c r="CQ164" i="8"/>
  <c r="CS164" i="8" s="1"/>
  <c r="CR164" i="8" s="1"/>
  <c r="L226" i="22"/>
  <c r="M226" i="22" s="1"/>
  <c r="N226" i="22" s="1"/>
  <c r="H227" i="22" s="1"/>
  <c r="EJ162" i="8" l="1"/>
  <c r="EP162" i="8"/>
  <c r="EQ162" i="8" s="1"/>
  <c r="EV162" i="8" s="1"/>
  <c r="BX167" i="8"/>
  <c r="BY167" i="8" s="1"/>
  <c r="BZ167" i="8" s="1"/>
  <c r="BV168" i="8" s="1"/>
  <c r="AW227" i="22"/>
  <c r="GJ164" i="8"/>
  <c r="FZ165" i="8" s="1"/>
  <c r="CX164" i="8"/>
  <c r="CY164" i="8" s="1"/>
  <c r="DD164" i="8" s="1"/>
  <c r="C227" i="22"/>
  <c r="B227" i="22"/>
  <c r="D227" i="22"/>
  <c r="E227" i="22" s="1"/>
  <c r="G227" i="22" s="1"/>
  <c r="F227" i="22" s="1"/>
  <c r="J227" i="22"/>
  <c r="K227" i="22"/>
  <c r="I227" i="22"/>
  <c r="BU168" i="8" l="1"/>
  <c r="BT168" i="8"/>
  <c r="CC167" i="8"/>
  <c r="BP168" i="8"/>
  <c r="ER162" i="8"/>
  <c r="BQ168" i="8"/>
  <c r="BS168" i="8" s="1"/>
  <c r="BR168" i="8" s="1"/>
  <c r="FY165" i="8"/>
  <c r="GG165" i="8"/>
  <c r="GF165" i="8"/>
  <c r="GD165" i="8"/>
  <c r="GY165" i="8"/>
  <c r="GE165" i="8"/>
  <c r="GA165" i="8"/>
  <c r="GC165" i="8" s="1"/>
  <c r="GB165" i="8" s="1"/>
  <c r="CZ164" i="8"/>
  <c r="L227" i="22"/>
  <c r="M227" i="22" s="1"/>
  <c r="N227" i="22" s="1"/>
  <c r="H228" i="22" s="1"/>
  <c r="BX168" i="8" l="1"/>
  <c r="BY168" i="8" s="1"/>
  <c r="BZ168" i="8" s="1"/>
  <c r="BV169" i="8" s="1"/>
  <c r="FG163" i="8"/>
  <c r="EG163" i="8"/>
  <c r="EM163" i="8"/>
  <c r="EL163" i="8"/>
  <c r="EI163" i="8"/>
  <c r="EK163" i="8" s="1"/>
  <c r="EH163" i="8"/>
  <c r="EN163" i="8"/>
  <c r="EO163" i="8"/>
  <c r="EJ163" i="8"/>
  <c r="AW228" i="22"/>
  <c r="GH165" i="8"/>
  <c r="GI165" i="8" s="1"/>
  <c r="GN165" i="8" s="1"/>
  <c r="CT165" i="8"/>
  <c r="DP165" i="8"/>
  <c r="CV165" i="8"/>
  <c r="CP165" i="8"/>
  <c r="CQ165" i="8"/>
  <c r="CS165" i="8" s="1"/>
  <c r="CR165" i="8" s="1"/>
  <c r="CW165" i="8"/>
  <c r="CU165" i="8"/>
  <c r="CO165" i="8"/>
  <c r="I228" i="22"/>
  <c r="J228" i="22"/>
  <c r="C228" i="22"/>
  <c r="K228" i="22"/>
  <c r="B228" i="22"/>
  <c r="D228" i="22"/>
  <c r="E228" i="22" s="1"/>
  <c r="G228" i="22" s="1"/>
  <c r="F228" i="22" s="1"/>
  <c r="EP163" i="8" l="1"/>
  <c r="EQ163" i="8" s="1"/>
  <c r="EV163" i="8" s="1"/>
  <c r="BU169" i="8"/>
  <c r="BQ169" i="8"/>
  <c r="BS169" i="8" s="1"/>
  <c r="BR169" i="8" s="1"/>
  <c r="BT169" i="8"/>
  <c r="BP169" i="8"/>
  <c r="CC168" i="8"/>
  <c r="GJ165" i="8"/>
  <c r="GD166" i="8" s="1"/>
  <c r="GY166" i="8"/>
  <c r="CX165" i="8"/>
  <c r="CY165" i="8" s="1"/>
  <c r="DD165" i="8" s="1"/>
  <c r="BY169" i="8"/>
  <c r="L228" i="22"/>
  <c r="M228" i="22" s="1"/>
  <c r="N228" i="22" s="1"/>
  <c r="H229" i="22" s="1"/>
  <c r="ER163" i="8" l="1"/>
  <c r="EG164" i="8" s="1"/>
  <c r="FG164" i="8"/>
  <c r="EH164" i="8"/>
  <c r="EL164" i="8"/>
  <c r="BZ169" i="8"/>
  <c r="BT170" i="8" s="1"/>
  <c r="BX169" i="8"/>
  <c r="CC169" i="8" s="1"/>
  <c r="GA166" i="8"/>
  <c r="GC166" i="8" s="1"/>
  <c r="GB166" i="8" s="1"/>
  <c r="GF166" i="8"/>
  <c r="GE166" i="8"/>
  <c r="FZ166" i="8"/>
  <c r="FY166" i="8"/>
  <c r="GG166" i="8"/>
  <c r="AW229" i="22"/>
  <c r="CZ165" i="8"/>
  <c r="K229" i="22"/>
  <c r="I229" i="22"/>
  <c r="J229" i="22"/>
  <c r="D229" i="22"/>
  <c r="E229" i="22" s="1"/>
  <c r="G229" i="22" s="1"/>
  <c r="F229" i="22" s="1"/>
  <c r="C229" i="22"/>
  <c r="B229" i="22"/>
  <c r="EO164" i="8" l="1"/>
  <c r="EM164" i="8"/>
  <c r="EN164" i="8"/>
  <c r="EI164" i="8"/>
  <c r="EK164" i="8" s="1"/>
  <c r="EJ164" i="8" s="1"/>
  <c r="BV170" i="8"/>
  <c r="BU170" i="8"/>
  <c r="EP164" i="8"/>
  <c r="EQ164" i="8" s="1"/>
  <c r="BP170" i="8"/>
  <c r="BQ170" i="8"/>
  <c r="BS170" i="8" s="1"/>
  <c r="BR170" i="8" s="1"/>
  <c r="GH166" i="8"/>
  <c r="GI166" i="8" s="1"/>
  <c r="GN166" i="8" s="1"/>
  <c r="CT166" i="8"/>
  <c r="DP166" i="8"/>
  <c r="CU166" i="8"/>
  <c r="CW166" i="8"/>
  <c r="CV166" i="8"/>
  <c r="CQ166" i="8"/>
  <c r="CS166" i="8" s="1"/>
  <c r="CR166" i="8" s="1"/>
  <c r="CO166" i="8"/>
  <c r="CP166" i="8"/>
  <c r="BY170" i="8"/>
  <c r="L229" i="22"/>
  <c r="M229" i="22" s="1"/>
  <c r="N229" i="22" s="1"/>
  <c r="H230" i="22" s="1"/>
  <c r="EV164" i="8" l="1"/>
  <c r="ER164" i="8"/>
  <c r="EN165" i="8" s="1"/>
  <c r="BZ170" i="8"/>
  <c r="BU171" i="8" s="1"/>
  <c r="BX170" i="8"/>
  <c r="CC170" i="8" s="1"/>
  <c r="FG165" i="8"/>
  <c r="EH165" i="8"/>
  <c r="EG165" i="8"/>
  <c r="EI165" i="8"/>
  <c r="EK165" i="8" s="1"/>
  <c r="EJ165" i="8" s="1"/>
  <c r="GJ166" i="8"/>
  <c r="FY167" i="8" s="1"/>
  <c r="AW230" i="22"/>
  <c r="GY167" i="8"/>
  <c r="CX166" i="8"/>
  <c r="CY166" i="8" s="1"/>
  <c r="DD166" i="8" s="1"/>
  <c r="D230" i="22"/>
  <c r="E230" i="22" s="1"/>
  <c r="G230" i="22" s="1"/>
  <c r="K230" i="22"/>
  <c r="I230" i="22"/>
  <c r="B230" i="22"/>
  <c r="C230" i="22"/>
  <c r="J230" i="22"/>
  <c r="EO165" i="8" l="1"/>
  <c r="EL165" i="8"/>
  <c r="EM165" i="8"/>
  <c r="BP171" i="8"/>
  <c r="BT171" i="8"/>
  <c r="BQ171" i="8"/>
  <c r="BS171" i="8" s="1"/>
  <c r="BR171" i="8" s="1"/>
  <c r="BV171" i="8"/>
  <c r="GE167" i="8"/>
  <c r="GA167" i="8"/>
  <c r="GC167" i="8" s="1"/>
  <c r="GB167" i="8" s="1"/>
  <c r="GF167" i="8"/>
  <c r="FZ167" i="8"/>
  <c r="GG167" i="8"/>
  <c r="GD167" i="8"/>
  <c r="EP165" i="8"/>
  <c r="EQ165" i="8" s="1"/>
  <c r="CZ166" i="8"/>
  <c r="CO167" i="8" s="1"/>
  <c r="BX171" i="8"/>
  <c r="L230" i="22"/>
  <c r="M230" i="22" s="1"/>
  <c r="F230" i="22"/>
  <c r="GH167" i="8" l="1"/>
  <c r="GI167" i="8" s="1"/>
  <c r="GN167" i="8" s="1"/>
  <c r="EV165" i="8"/>
  <c r="ER165" i="8"/>
  <c r="CT167" i="8"/>
  <c r="DP167" i="8"/>
  <c r="CU167" i="8"/>
  <c r="CW167" i="8"/>
  <c r="CV167" i="8"/>
  <c r="CP167" i="8"/>
  <c r="CQ167" i="8"/>
  <c r="CS167" i="8" s="1"/>
  <c r="CR167" i="8" s="1"/>
  <c r="BY171" i="8"/>
  <c r="BZ171" i="8" s="1"/>
  <c r="N230" i="22"/>
  <c r="GJ167" i="8" l="1"/>
  <c r="FG166" i="8"/>
  <c r="EI166" i="8"/>
  <c r="EK166" i="8" s="1"/>
  <c r="EN166" i="8"/>
  <c r="EO166" i="8"/>
  <c r="EH166" i="8"/>
  <c r="EL166" i="8"/>
  <c r="EM166" i="8"/>
  <c r="EG166" i="8"/>
  <c r="H231" i="22"/>
  <c r="AW231" i="22"/>
  <c r="CX167" i="8"/>
  <c r="CY167" i="8" s="1"/>
  <c r="DD167" i="8" s="1"/>
  <c r="GA168" i="8"/>
  <c r="GC168" i="8" s="1"/>
  <c r="GB168" i="8" s="1"/>
  <c r="GY168" i="8"/>
  <c r="CC171" i="8"/>
  <c r="BT172" i="8"/>
  <c r="BU172" i="8"/>
  <c r="BQ172" i="8"/>
  <c r="BS172" i="8" s="1"/>
  <c r="BR172" i="8" s="1"/>
  <c r="BP172" i="8"/>
  <c r="BV172" i="8"/>
  <c r="GF168" i="8"/>
  <c r="GE168" i="8"/>
  <c r="GG168" i="8"/>
  <c r="FZ168" i="8"/>
  <c r="FY168" i="8"/>
  <c r="GD168" i="8"/>
  <c r="CZ167" i="8"/>
  <c r="B231" i="22"/>
  <c r="K231" i="22"/>
  <c r="D231" i="22"/>
  <c r="E231" i="22" s="1"/>
  <c r="G231" i="22" s="1"/>
  <c r="F231" i="22" s="1"/>
  <c r="C231" i="22"/>
  <c r="J231" i="22"/>
  <c r="I231" i="22"/>
  <c r="EJ166" i="8" l="1"/>
  <c r="EP166" i="8"/>
  <c r="EQ166" i="8" s="1"/>
  <c r="EV166" i="8" s="1"/>
  <c r="CW168" i="8"/>
  <c r="DP168" i="8"/>
  <c r="GH168" i="8"/>
  <c r="GI168" i="8" s="1"/>
  <c r="GN168" i="8" s="1"/>
  <c r="BX172" i="8"/>
  <c r="BY172" i="8"/>
  <c r="CT168" i="8"/>
  <c r="CO168" i="8"/>
  <c r="CV168" i="8"/>
  <c r="CP168" i="8"/>
  <c r="CQ168" i="8"/>
  <c r="CS168" i="8" s="1"/>
  <c r="CR168" i="8" s="1"/>
  <c r="CU168" i="8"/>
  <c r="L231" i="22"/>
  <c r="M231" i="22" s="1"/>
  <c r="N231" i="22" s="1"/>
  <c r="H232" i="22" s="1"/>
  <c r="ER166" i="8" l="1"/>
  <c r="AW232" i="22"/>
  <c r="CC172" i="8"/>
  <c r="GJ168" i="8"/>
  <c r="BZ172" i="8"/>
  <c r="CX168" i="8"/>
  <c r="CY168" i="8" s="1"/>
  <c r="CZ168" i="8" s="1"/>
  <c r="CT169" i="8" s="1"/>
  <c r="K232" i="22"/>
  <c r="I232" i="22"/>
  <c r="B232" i="22"/>
  <c r="J232" i="22"/>
  <c r="D232" i="22"/>
  <c r="E232" i="22" s="1"/>
  <c r="G232" i="22" s="1"/>
  <c r="F232" i="22" s="1"/>
  <c r="C232" i="22"/>
  <c r="FG167" i="8" l="1"/>
  <c r="EI167" i="8"/>
  <c r="EK167" i="8" s="1"/>
  <c r="EO167" i="8"/>
  <c r="EG167" i="8"/>
  <c r="EH167" i="8"/>
  <c r="EN167" i="8"/>
  <c r="EM167" i="8"/>
  <c r="EL167" i="8"/>
  <c r="EJ167" i="8"/>
  <c r="GD169" i="8"/>
  <c r="GY169" i="8"/>
  <c r="DP169" i="8"/>
  <c r="FZ169" i="8"/>
  <c r="GF169" i="8"/>
  <c r="FY169" i="8"/>
  <c r="GE169" i="8"/>
  <c r="GA169" i="8"/>
  <c r="GC169" i="8" s="1"/>
  <c r="GB169" i="8" s="1"/>
  <c r="GG169" i="8"/>
  <c r="BV173" i="8"/>
  <c r="BU173" i="8"/>
  <c r="BT173" i="8"/>
  <c r="BQ173" i="8"/>
  <c r="BS173" i="8" s="1"/>
  <c r="BP173" i="8"/>
  <c r="CP169" i="8"/>
  <c r="CW169" i="8"/>
  <c r="CV169" i="8"/>
  <c r="CQ169" i="8"/>
  <c r="CS169" i="8" s="1"/>
  <c r="CR169" i="8" s="1"/>
  <c r="CO169" i="8"/>
  <c r="CU169" i="8"/>
  <c r="DD168" i="8"/>
  <c r="L232" i="22"/>
  <c r="M232" i="22" s="1"/>
  <c r="N232" i="22" s="1"/>
  <c r="H233" i="22" s="1"/>
  <c r="EP167" i="8" l="1"/>
  <c r="EQ167" i="8" s="1"/>
  <c r="AW233" i="22"/>
  <c r="GH169" i="8"/>
  <c r="GI169" i="8" s="1"/>
  <c r="GN169" i="8" s="1"/>
  <c r="BX173" i="8"/>
  <c r="BY173" i="8" s="1"/>
  <c r="CC173" i="8" s="1"/>
  <c r="BR173" i="8"/>
  <c r="CX169" i="8"/>
  <c r="CY169" i="8" s="1"/>
  <c r="DD169" i="8" s="1"/>
  <c r="J233" i="22"/>
  <c r="D233" i="22"/>
  <c r="E233" i="22" s="1"/>
  <c r="G233" i="22" s="1"/>
  <c r="F233" i="22" s="1"/>
  <c r="K233" i="22"/>
  <c r="C233" i="22"/>
  <c r="B233" i="22"/>
  <c r="I233" i="22"/>
  <c r="EV167" i="8" l="1"/>
  <c r="ER167" i="8"/>
  <c r="GJ169" i="8"/>
  <c r="BZ173" i="8"/>
  <c r="CZ169" i="8"/>
  <c r="L233" i="22"/>
  <c r="M233" i="22" s="1"/>
  <c r="N233" i="22" s="1"/>
  <c r="H234" i="22" s="1"/>
  <c r="FG168" i="8" l="1"/>
  <c r="EO168" i="8"/>
  <c r="EN168" i="8"/>
  <c r="EI168" i="8"/>
  <c r="EK168" i="8" s="1"/>
  <c r="EJ168" i="8" s="1"/>
  <c r="EL168" i="8"/>
  <c r="EM168" i="8"/>
  <c r="EH168" i="8"/>
  <c r="EG168" i="8"/>
  <c r="FZ170" i="8"/>
  <c r="GY170" i="8"/>
  <c r="CT170" i="8"/>
  <c r="DP170" i="8"/>
  <c r="AW234" i="22"/>
  <c r="GA170" i="8"/>
  <c r="GC170" i="8" s="1"/>
  <c r="GB170" i="8" s="1"/>
  <c r="GF170" i="8"/>
  <c r="GG170" i="8"/>
  <c r="GD170" i="8"/>
  <c r="GE170" i="8"/>
  <c r="FY170" i="8"/>
  <c r="BU174" i="8"/>
  <c r="BQ174" i="8"/>
  <c r="BS174" i="8" s="1"/>
  <c r="BR174" i="8" s="1"/>
  <c r="BV174" i="8"/>
  <c r="BP174" i="8"/>
  <c r="BT174" i="8"/>
  <c r="CU170" i="8"/>
  <c r="CP170" i="8"/>
  <c r="CW170" i="8"/>
  <c r="CO170" i="8"/>
  <c r="CQ170" i="8"/>
  <c r="CS170" i="8" s="1"/>
  <c r="CR170" i="8" s="1"/>
  <c r="CV170" i="8"/>
  <c r="J234" i="22"/>
  <c r="I234" i="22"/>
  <c r="D234" i="22"/>
  <c r="E234" i="22" s="1"/>
  <c r="G234" i="22" s="1"/>
  <c r="B234" i="22"/>
  <c r="C234" i="22"/>
  <c r="K234" i="22"/>
  <c r="EP168" i="8" l="1"/>
  <c r="EQ168" i="8" s="1"/>
  <c r="EV168" i="8" s="1"/>
  <c r="GH170" i="8"/>
  <c r="GI170" i="8" s="1"/>
  <c r="GN170" i="8" s="1"/>
  <c r="BX174" i="8"/>
  <c r="CX170" i="8"/>
  <c r="CY170" i="8" s="1"/>
  <c r="CZ170" i="8" s="1"/>
  <c r="CT171" i="8" s="1"/>
  <c r="L234" i="22"/>
  <c r="M234" i="22" s="1"/>
  <c r="F234" i="22"/>
  <c r="ER168" i="8" l="1"/>
  <c r="DP171" i="8"/>
  <c r="GJ170" i="8"/>
  <c r="DD170" i="8"/>
  <c r="BY174" i="8"/>
  <c r="BZ174" i="8" s="1"/>
  <c r="N234" i="22"/>
  <c r="CV171" i="8"/>
  <c r="CP171" i="8"/>
  <c r="CU171" i="8"/>
  <c r="CQ171" i="8"/>
  <c r="CS171" i="8" s="1"/>
  <c r="CO171" i="8"/>
  <c r="CW171" i="8"/>
  <c r="FG169" i="8" l="1"/>
  <c r="EN169" i="8"/>
  <c r="EH169" i="8"/>
  <c r="EL169" i="8"/>
  <c r="EO169" i="8"/>
  <c r="EI169" i="8"/>
  <c r="EK169" i="8" s="1"/>
  <c r="EG169" i="8"/>
  <c r="EM169" i="8"/>
  <c r="H235" i="22"/>
  <c r="AW235" i="22"/>
  <c r="GA171" i="8"/>
  <c r="GC171" i="8" s="1"/>
  <c r="GB171" i="8" s="1"/>
  <c r="GY171" i="8"/>
  <c r="FG170" i="8"/>
  <c r="FZ171" i="8"/>
  <c r="GG171" i="8"/>
  <c r="GD171" i="8"/>
  <c r="FY171" i="8"/>
  <c r="GF171" i="8"/>
  <c r="GE171" i="8"/>
  <c r="J235" i="22"/>
  <c r="BT175" i="8"/>
  <c r="BP175" i="8"/>
  <c r="BU175" i="8"/>
  <c r="BV175" i="8"/>
  <c r="BQ175" i="8"/>
  <c r="BS175" i="8" s="1"/>
  <c r="BR175" i="8" s="1"/>
  <c r="CC174" i="8"/>
  <c r="B235" i="22"/>
  <c r="I235" i="22"/>
  <c r="C235" i="22"/>
  <c r="D235" i="22"/>
  <c r="E235" i="22" s="1"/>
  <c r="G235" i="22" s="1"/>
  <c r="K235" i="22"/>
  <c r="CR171" i="8"/>
  <c r="CX171" i="8"/>
  <c r="CY171" i="8"/>
  <c r="DD171" i="8" s="1"/>
  <c r="EP169" i="8" l="1"/>
  <c r="EQ169" i="8" s="1"/>
  <c r="EV169" i="8" s="1"/>
  <c r="EJ169" i="8"/>
  <c r="ER169" i="8" s="1"/>
  <c r="GH171" i="8"/>
  <c r="GI171" i="8" s="1"/>
  <c r="GN171" i="8" s="1"/>
  <c r="BX175" i="8"/>
  <c r="CZ171" i="8"/>
  <c r="L235" i="22"/>
  <c r="M235" i="22" s="1"/>
  <c r="F235" i="22"/>
  <c r="EI170" i="8" l="1"/>
  <c r="EK170" i="8" s="1"/>
  <c r="EJ170" i="8" s="1"/>
  <c r="EL170" i="8"/>
  <c r="EH170" i="8"/>
  <c r="EO170" i="8"/>
  <c r="EM170" i="8"/>
  <c r="EN170" i="8"/>
  <c r="EG170" i="8"/>
  <c r="CT172" i="8"/>
  <c r="DP172" i="8"/>
  <c r="GJ171" i="8"/>
  <c r="GY172" i="8" s="1"/>
  <c r="BY175" i="8"/>
  <c r="BZ175" i="8" s="1"/>
  <c r="N235" i="22"/>
  <c r="AW236" i="22" s="1"/>
  <c r="CO172" i="8"/>
  <c r="CV172" i="8"/>
  <c r="CW172" i="8"/>
  <c r="CU172" i="8"/>
  <c r="CQ172" i="8"/>
  <c r="CS172" i="8" s="1"/>
  <c r="CP172" i="8"/>
  <c r="EP170" i="8" l="1"/>
  <c r="EQ170" i="8" s="1"/>
  <c r="EV170" i="8" s="1"/>
  <c r="GD172" i="8"/>
  <c r="FY172" i="8"/>
  <c r="GG172" i="8"/>
  <c r="GF172" i="8"/>
  <c r="GA172" i="8"/>
  <c r="GC172" i="8" s="1"/>
  <c r="GE172" i="8"/>
  <c r="FZ172" i="8"/>
  <c r="BT176" i="8"/>
  <c r="BV176" i="8"/>
  <c r="BP176" i="8"/>
  <c r="BU176" i="8"/>
  <c r="BQ176" i="8"/>
  <c r="BS176" i="8" s="1"/>
  <c r="BR176" i="8" s="1"/>
  <c r="CC175" i="8"/>
  <c r="K236" i="22"/>
  <c r="H236" i="22"/>
  <c r="D236" i="22"/>
  <c r="E236" i="22" s="1"/>
  <c r="G236" i="22" s="1"/>
  <c r="F236" i="22" s="1"/>
  <c r="B236" i="22"/>
  <c r="I236" i="22"/>
  <c r="J236" i="22"/>
  <c r="C236" i="22"/>
  <c r="CX172" i="8"/>
  <c r="CY172" i="8" s="1"/>
  <c r="DD172" i="8" s="1"/>
  <c r="CR172" i="8"/>
  <c r="ER170" i="8" l="1"/>
  <c r="EM171" i="8" s="1"/>
  <c r="FG171" i="8"/>
  <c r="FG172" i="8"/>
  <c r="GH172" i="8"/>
  <c r="GI172" i="8" s="1"/>
  <c r="GN172" i="8" s="1"/>
  <c r="GB172" i="8"/>
  <c r="BX176" i="8"/>
  <c r="CZ172" i="8"/>
  <c r="L236" i="22"/>
  <c r="M236" i="22" s="1"/>
  <c r="N236" i="22" s="1"/>
  <c r="H237" i="22" s="1"/>
  <c r="EI171" i="8" l="1"/>
  <c r="EK171" i="8" s="1"/>
  <c r="EJ171" i="8" s="1"/>
  <c r="EH171" i="8"/>
  <c r="EN171" i="8"/>
  <c r="EG171" i="8"/>
  <c r="EL171" i="8"/>
  <c r="EO171" i="8"/>
  <c r="AW237" i="22"/>
  <c r="CT173" i="8"/>
  <c r="DP173" i="8"/>
  <c r="GJ172" i="8"/>
  <c r="BY176" i="8"/>
  <c r="BZ176" i="8" s="1"/>
  <c r="CP173" i="8"/>
  <c r="CO173" i="8"/>
  <c r="CV173" i="8"/>
  <c r="CU173" i="8"/>
  <c r="CQ173" i="8"/>
  <c r="CS173" i="8" s="1"/>
  <c r="CW173" i="8"/>
  <c r="J237" i="22"/>
  <c r="B237" i="22"/>
  <c r="K237" i="22"/>
  <c r="C237" i="22"/>
  <c r="I237" i="22"/>
  <c r="D237" i="22"/>
  <c r="E237" i="22" s="1"/>
  <c r="G237" i="22" s="1"/>
  <c r="F237" i="22" s="1"/>
  <c r="EP171" i="8" l="1"/>
  <c r="EQ171" i="8" s="1"/>
  <c r="EV171" i="8" s="1"/>
  <c r="FY173" i="8"/>
  <c r="GY173" i="8"/>
  <c r="FZ173" i="8"/>
  <c r="GD173" i="8"/>
  <c r="GG173" i="8"/>
  <c r="GA173" i="8"/>
  <c r="GC173" i="8" s="1"/>
  <c r="GE173" i="8"/>
  <c r="GF173" i="8"/>
  <c r="CC176" i="8"/>
  <c r="BT177" i="8"/>
  <c r="BV177" i="8"/>
  <c r="BU177" i="8"/>
  <c r="BP177" i="8"/>
  <c r="BQ177" i="8"/>
  <c r="BS177" i="8" s="1"/>
  <c r="BR177" i="8" s="1"/>
  <c r="CX173" i="8"/>
  <c r="CY173" i="8" s="1"/>
  <c r="DD173" i="8" s="1"/>
  <c r="L237" i="22"/>
  <c r="M237" i="22" s="1"/>
  <c r="N237" i="22" s="1"/>
  <c r="H238" i="22" s="1"/>
  <c r="CR173" i="8"/>
  <c r="ER171" i="8" l="1"/>
  <c r="FG173" i="8"/>
  <c r="AW238" i="22"/>
  <c r="GH173" i="8"/>
  <c r="GI173" i="8" s="1"/>
  <c r="GN173" i="8" s="1"/>
  <c r="GB173" i="8"/>
  <c r="BX177" i="8"/>
  <c r="CZ173" i="8"/>
  <c r="I238" i="22"/>
  <c r="J238" i="22"/>
  <c r="C238" i="22"/>
  <c r="K238" i="22"/>
  <c r="D238" i="22"/>
  <c r="E238" i="22" s="1"/>
  <c r="G238" i="22" s="1"/>
  <c r="F238" i="22" s="1"/>
  <c r="B238" i="22"/>
  <c r="EL172" i="8" l="1"/>
  <c r="EH172" i="8"/>
  <c r="EO172" i="8"/>
  <c r="EN172" i="8"/>
  <c r="EI172" i="8"/>
  <c r="EK172" i="8" s="1"/>
  <c r="EM172" i="8"/>
  <c r="EG172" i="8"/>
  <c r="CT174" i="8"/>
  <c r="DP174" i="8"/>
  <c r="GJ173" i="8"/>
  <c r="BY177" i="8"/>
  <c r="BZ177" i="8" s="1"/>
  <c r="CU174" i="8"/>
  <c r="CQ174" i="8"/>
  <c r="CS174" i="8" s="1"/>
  <c r="CR174" i="8" s="1"/>
  <c r="CV174" i="8"/>
  <c r="CW174" i="8"/>
  <c r="CO174" i="8"/>
  <c r="CP174" i="8"/>
  <c r="L238" i="22"/>
  <c r="M238" i="22" s="1"/>
  <c r="N238" i="22" s="1"/>
  <c r="H239" i="22" s="1"/>
  <c r="EP172" i="8" l="1"/>
  <c r="EQ172" i="8" s="1"/>
  <c r="EV172" i="8" s="1"/>
  <c r="EJ172" i="8"/>
  <c r="ER172" i="8" s="1"/>
  <c r="EG173" i="8" s="1"/>
  <c r="GD174" i="8"/>
  <c r="GY174" i="8"/>
  <c r="AW239" i="22"/>
  <c r="GE174" i="8"/>
  <c r="GG174" i="8"/>
  <c r="FZ174" i="8"/>
  <c r="GA174" i="8"/>
  <c r="GC174" i="8" s="1"/>
  <c r="GB174" i="8" s="1"/>
  <c r="FY174" i="8"/>
  <c r="GF174" i="8"/>
  <c r="BT178" i="8"/>
  <c r="BV178" i="8"/>
  <c r="BP178" i="8"/>
  <c r="BQ178" i="8"/>
  <c r="BS178" i="8" s="1"/>
  <c r="BR178" i="8" s="1"/>
  <c r="BU178" i="8"/>
  <c r="CC177" i="8"/>
  <c r="CX174" i="8"/>
  <c r="CY174" i="8" s="1"/>
  <c r="DD174" i="8" s="1"/>
  <c r="J239" i="22"/>
  <c r="I239" i="22"/>
  <c r="K239" i="22"/>
  <c r="D239" i="22"/>
  <c r="E239" i="22" s="1"/>
  <c r="B239" i="22"/>
  <c r="C239" i="22"/>
  <c r="EI173" i="8" l="1"/>
  <c r="EK173" i="8" s="1"/>
  <c r="EO173" i="8"/>
  <c r="EH173" i="8"/>
  <c r="EN173" i="8"/>
  <c r="EM173" i="8"/>
  <c r="EL173" i="8"/>
  <c r="EJ173" i="8"/>
  <c r="GH174" i="8"/>
  <c r="GI174" i="8" s="1"/>
  <c r="GN174" i="8" s="1"/>
  <c r="BX178" i="8"/>
  <c r="BY178" i="8"/>
  <c r="BZ178" i="8" s="1"/>
  <c r="CZ174" i="8"/>
  <c r="G239" i="22"/>
  <c r="EP173" i="8" l="1"/>
  <c r="EQ173" i="8" s="1"/>
  <c r="EV173" i="8" s="1"/>
  <c r="GJ174" i="8"/>
  <c r="GD175" i="8" s="1"/>
  <c r="ER173" i="8"/>
  <c r="CT175" i="8"/>
  <c r="DP175" i="8"/>
  <c r="GY175" i="8"/>
  <c r="GA175" i="8"/>
  <c r="GC175" i="8" s="1"/>
  <c r="GB175" i="8" s="1"/>
  <c r="FZ175" i="8"/>
  <c r="FY175" i="8"/>
  <c r="GE175" i="8"/>
  <c r="BT179" i="8"/>
  <c r="BV179" i="8"/>
  <c r="BQ179" i="8"/>
  <c r="BS179" i="8" s="1"/>
  <c r="BR179" i="8" s="1"/>
  <c r="BP179" i="8"/>
  <c r="BU179" i="8"/>
  <c r="CC178" i="8"/>
  <c r="CV175" i="8"/>
  <c r="CO175" i="8"/>
  <c r="CU175" i="8"/>
  <c r="CQ175" i="8"/>
  <c r="CS175" i="8" s="1"/>
  <c r="CR175" i="8" s="1"/>
  <c r="CW175" i="8"/>
  <c r="CP175" i="8"/>
  <c r="F239" i="22"/>
  <c r="L239" i="22"/>
  <c r="M239" i="22" s="1"/>
  <c r="GG175" i="8" l="1"/>
  <c r="GF175" i="8"/>
  <c r="FG174" i="8"/>
  <c r="EG174" i="8"/>
  <c r="EL174" i="8"/>
  <c r="EN174" i="8"/>
  <c r="EO174" i="8"/>
  <c r="EH174" i="8"/>
  <c r="EI174" i="8"/>
  <c r="EK174" i="8" s="1"/>
  <c r="EM174" i="8"/>
  <c r="GH175" i="8"/>
  <c r="GI175" i="8" s="1"/>
  <c r="GN175" i="8" s="1"/>
  <c r="BX179" i="8"/>
  <c r="BY179" i="8"/>
  <c r="BZ179" i="8" s="1"/>
  <c r="CX175" i="8"/>
  <c r="CY175" i="8" s="1"/>
  <c r="CZ175" i="8" s="1"/>
  <c r="DP176" i="8" s="1"/>
  <c r="N239" i="22"/>
  <c r="EJ174" i="8" l="1"/>
  <c r="EP174" i="8"/>
  <c r="EQ174" i="8" s="1"/>
  <c r="EV174" i="8" s="1"/>
  <c r="H240" i="22"/>
  <c r="AW240" i="22"/>
  <c r="GJ175" i="8"/>
  <c r="CC179" i="8"/>
  <c r="BT180" i="8"/>
  <c r="BV180" i="8"/>
  <c r="BU180" i="8"/>
  <c r="BP180" i="8"/>
  <c r="BQ180" i="8"/>
  <c r="BS180" i="8" s="1"/>
  <c r="DD175" i="8"/>
  <c r="CP176" i="8"/>
  <c r="CW176" i="8"/>
  <c r="CV176" i="8"/>
  <c r="CQ176" i="8"/>
  <c r="CS176" i="8" s="1"/>
  <c r="CR176" i="8" s="1"/>
  <c r="CU176" i="8"/>
  <c r="K240" i="22"/>
  <c r="J240" i="22"/>
  <c r="C240" i="22"/>
  <c r="I240" i="22"/>
  <c r="D240" i="22"/>
  <c r="E240" i="22" s="1"/>
  <c r="G240" i="22" s="1"/>
  <c r="F240" i="22" s="1"/>
  <c r="B240" i="22"/>
  <c r="ER174" i="8" l="1"/>
  <c r="GD176" i="8"/>
  <c r="GY176" i="8"/>
  <c r="FZ176" i="8"/>
  <c r="GG176" i="8"/>
  <c r="GE176" i="8"/>
  <c r="FY176" i="8"/>
  <c r="GA176" i="8"/>
  <c r="GC176" i="8" s="1"/>
  <c r="GF176" i="8"/>
  <c r="BX180" i="8"/>
  <c r="BR180" i="8"/>
  <c r="BY180" i="8"/>
  <c r="CO176" i="8"/>
  <c r="CT176" i="8"/>
  <c r="L240" i="22"/>
  <c r="M240" i="22" s="1"/>
  <c r="N240" i="22" s="1"/>
  <c r="H241" i="22" s="1"/>
  <c r="FG175" i="8" l="1"/>
  <c r="EM175" i="8"/>
  <c r="EL175" i="8"/>
  <c r="EH175" i="8"/>
  <c r="EG175" i="8"/>
  <c r="EO175" i="8"/>
  <c r="EI175" i="8"/>
  <c r="EK175" i="8" s="1"/>
  <c r="EN175" i="8"/>
  <c r="AW241" i="22"/>
  <c r="BZ180" i="8"/>
  <c r="BP181" i="8" s="1"/>
  <c r="GB176" i="8"/>
  <c r="GH176" i="8"/>
  <c r="GI176" i="8" s="1"/>
  <c r="GN176" i="8" s="1"/>
  <c r="CC180" i="8"/>
  <c r="CX176" i="8"/>
  <c r="CY176" i="8" s="1"/>
  <c r="CZ176" i="8" s="1"/>
  <c r="DP177" i="8" s="1"/>
  <c r="K241" i="22"/>
  <c r="C241" i="22"/>
  <c r="I241" i="22"/>
  <c r="D241" i="22"/>
  <c r="E241" i="22" s="1"/>
  <c r="J241" i="22"/>
  <c r="B241" i="22"/>
  <c r="EP175" i="8" l="1"/>
  <c r="EQ175" i="8" s="1"/>
  <c r="EV175" i="8" s="1"/>
  <c r="EJ175" i="8"/>
  <c r="ER175" i="8" s="1"/>
  <c r="BQ181" i="8"/>
  <c r="BS181" i="8" s="1"/>
  <c r="BT181" i="8"/>
  <c r="BV181" i="8"/>
  <c r="BU181" i="8"/>
  <c r="GJ176" i="8"/>
  <c r="GY177" i="8" s="1"/>
  <c r="BR181" i="8"/>
  <c r="BY181" i="8"/>
  <c r="CQ177" i="8"/>
  <c r="CS177" i="8" s="1"/>
  <c r="CR177" i="8" s="1"/>
  <c r="CP177" i="8"/>
  <c r="CO177" i="8"/>
  <c r="CU177" i="8"/>
  <c r="CV177" i="8"/>
  <c r="CT177" i="8"/>
  <c r="CW177" i="8"/>
  <c r="DD176" i="8"/>
  <c r="G241" i="22"/>
  <c r="FG176" i="8" l="1"/>
  <c r="EL176" i="8"/>
  <c r="EM176" i="8"/>
  <c r="EO176" i="8"/>
  <c r="EG176" i="8"/>
  <c r="EH176" i="8"/>
  <c r="EN176" i="8"/>
  <c r="EI176" i="8"/>
  <c r="EK176" i="8" s="1"/>
  <c r="BX181" i="8"/>
  <c r="CC181" i="8" s="1"/>
  <c r="BZ181" i="8"/>
  <c r="BT182" i="8" s="1"/>
  <c r="GD177" i="8"/>
  <c r="GA177" i="8"/>
  <c r="GC177" i="8" s="1"/>
  <c r="GB177" i="8" s="1"/>
  <c r="GE177" i="8"/>
  <c r="GF177" i="8"/>
  <c r="FY177" i="8"/>
  <c r="FZ177" i="8"/>
  <c r="GG177" i="8"/>
  <c r="CX177" i="8"/>
  <c r="CY177" i="8" s="1"/>
  <c r="DD177" i="8" s="1"/>
  <c r="L241" i="22"/>
  <c r="M241" i="22" s="1"/>
  <c r="F241" i="22"/>
  <c r="EJ176" i="8" l="1"/>
  <c r="EP176" i="8"/>
  <c r="EQ176" i="8" s="1"/>
  <c r="EV176" i="8" s="1"/>
  <c r="BP182" i="8"/>
  <c r="BV182" i="8"/>
  <c r="BU182" i="8"/>
  <c r="BQ182" i="8"/>
  <c r="BS182" i="8" s="1"/>
  <c r="BR182" i="8" s="1"/>
  <c r="GH177" i="8"/>
  <c r="GI177" i="8" s="1"/>
  <c r="GN177" i="8" s="1"/>
  <c r="CZ177" i="8"/>
  <c r="N241" i="22"/>
  <c r="ER176" i="8" l="1"/>
  <c r="CV178" i="8"/>
  <c r="DP178" i="8"/>
  <c r="H242" i="22"/>
  <c r="AW242" i="22"/>
  <c r="BX182" i="8"/>
  <c r="BY182" i="8" s="1"/>
  <c r="BZ182" i="8" s="1"/>
  <c r="BT183" i="8" s="1"/>
  <c r="CU178" i="8"/>
  <c r="CQ178" i="8"/>
  <c r="CS178" i="8" s="1"/>
  <c r="CR178" i="8" s="1"/>
  <c r="GJ177" i="8"/>
  <c r="CW178" i="8"/>
  <c r="CO178" i="8"/>
  <c r="CT178" i="8"/>
  <c r="CP178" i="8"/>
  <c r="B242" i="22"/>
  <c r="C242" i="22"/>
  <c r="D242" i="22"/>
  <c r="E242" i="22" s="1"/>
  <c r="G242" i="22" s="1"/>
  <c r="F242" i="22" s="1"/>
  <c r="K242" i="22"/>
  <c r="J242" i="22"/>
  <c r="I242" i="22"/>
  <c r="FG177" i="8" l="1"/>
  <c r="EN177" i="8"/>
  <c r="EL177" i="8"/>
  <c r="EO177" i="8"/>
  <c r="EG177" i="8"/>
  <c r="EM177" i="8"/>
  <c r="EH177" i="8"/>
  <c r="EI177" i="8"/>
  <c r="EK177" i="8" s="1"/>
  <c r="BU183" i="8"/>
  <c r="BV183" i="8"/>
  <c r="BP183" i="8"/>
  <c r="BQ183" i="8"/>
  <c r="BS183" i="8" s="1"/>
  <c r="BR183" i="8" s="1"/>
  <c r="CC182" i="8"/>
  <c r="GA178" i="8"/>
  <c r="GC178" i="8" s="1"/>
  <c r="GB178" i="8" s="1"/>
  <c r="GY178" i="8"/>
  <c r="GF178" i="8"/>
  <c r="GE178" i="8"/>
  <c r="GD178" i="8"/>
  <c r="CX178" i="8"/>
  <c r="CY178" i="8" s="1"/>
  <c r="DD178" i="8" s="1"/>
  <c r="FZ178" i="8"/>
  <c r="FY178" i="8"/>
  <c r="GG178" i="8"/>
  <c r="L242" i="22"/>
  <c r="M242" i="22" s="1"/>
  <c r="N242" i="22" s="1"/>
  <c r="H243" i="22" s="1"/>
  <c r="EJ177" i="8" l="1"/>
  <c r="EP177" i="8"/>
  <c r="EQ177" i="8" s="1"/>
  <c r="EV177" i="8" s="1"/>
  <c r="AW243" i="22"/>
  <c r="BX183" i="8"/>
  <c r="BY183" i="8" s="1"/>
  <c r="BZ183" i="8" s="1"/>
  <c r="BQ184" i="8" s="1"/>
  <c r="GH178" i="8"/>
  <c r="GI178" i="8" s="1"/>
  <c r="GN178" i="8" s="1"/>
  <c r="CZ178" i="8"/>
  <c r="I243" i="22"/>
  <c r="K243" i="22"/>
  <c r="B243" i="22"/>
  <c r="J243" i="22"/>
  <c r="C243" i="22"/>
  <c r="D243" i="22"/>
  <c r="E243" i="22" s="1"/>
  <c r="G243" i="22" s="1"/>
  <c r="F243" i="22" s="1"/>
  <c r="BT184" i="8" l="1"/>
  <c r="BV184" i="8"/>
  <c r="BU184" i="8"/>
  <c r="ER177" i="8"/>
  <c r="CC183" i="8"/>
  <c r="BP184" i="8"/>
  <c r="CT179" i="8"/>
  <c r="DP179" i="8"/>
  <c r="CO179" i="8"/>
  <c r="CQ179" i="8"/>
  <c r="CS179" i="8" s="1"/>
  <c r="CV179" i="8"/>
  <c r="CU179" i="8"/>
  <c r="GJ178" i="8"/>
  <c r="CW179" i="8"/>
  <c r="CP179" i="8"/>
  <c r="BS184" i="8"/>
  <c r="L243" i="22"/>
  <c r="M243" i="22" s="1"/>
  <c r="N243" i="22" s="1"/>
  <c r="H244" i="22" s="1"/>
  <c r="FG178" i="8" l="1"/>
  <c r="EH178" i="8"/>
  <c r="EM178" i="8"/>
  <c r="EL178" i="8"/>
  <c r="EI178" i="8"/>
  <c r="EK178" i="8" s="1"/>
  <c r="EN178" i="8"/>
  <c r="EO178" i="8"/>
  <c r="EG178" i="8"/>
  <c r="AW244" i="22"/>
  <c r="GE179" i="8"/>
  <c r="GY179" i="8"/>
  <c r="GD179" i="8"/>
  <c r="GG179" i="8"/>
  <c r="GF179" i="8"/>
  <c r="FZ179" i="8"/>
  <c r="GA179" i="8"/>
  <c r="GC179" i="8" s="1"/>
  <c r="FY179" i="8"/>
  <c r="BR184" i="8"/>
  <c r="BX184" i="8"/>
  <c r="CR179" i="8"/>
  <c r="CX179" i="8"/>
  <c r="CY179" i="8" s="1"/>
  <c r="DD179" i="8" s="1"/>
  <c r="B244" i="22"/>
  <c r="K244" i="22"/>
  <c r="I244" i="22"/>
  <c r="C244" i="22"/>
  <c r="J244" i="22"/>
  <c r="D244" i="22"/>
  <c r="E244" i="22" s="1"/>
  <c r="G244" i="22" s="1"/>
  <c r="F244" i="22" s="1"/>
  <c r="EJ178" i="8" l="1"/>
  <c r="EP178" i="8"/>
  <c r="EQ178" i="8" s="1"/>
  <c r="EV178" i="8" s="1"/>
  <c r="GH179" i="8"/>
  <c r="GI179" i="8" s="1"/>
  <c r="GN179" i="8" s="1"/>
  <c r="GB179" i="8"/>
  <c r="BY184" i="8"/>
  <c r="BZ184" i="8" s="1"/>
  <c r="CZ179" i="8"/>
  <c r="L244" i="22"/>
  <c r="M244" i="22" s="1"/>
  <c r="N244" i="22" s="1"/>
  <c r="H245" i="22" s="1"/>
  <c r="ER178" i="8" l="1"/>
  <c r="GJ179" i="8"/>
  <c r="GY180" i="8" s="1"/>
  <c r="AW245" i="22"/>
  <c r="CT180" i="8"/>
  <c r="DP180" i="8"/>
  <c r="BT185" i="8"/>
  <c r="BU185" i="8"/>
  <c r="BP185" i="8"/>
  <c r="BQ185" i="8"/>
  <c r="BS185" i="8" s="1"/>
  <c r="BR185" i="8" s="1"/>
  <c r="BV185" i="8"/>
  <c r="CC184" i="8"/>
  <c r="CW180" i="8"/>
  <c r="CV180" i="8"/>
  <c r="CP180" i="8"/>
  <c r="CQ180" i="8"/>
  <c r="CS180" i="8" s="1"/>
  <c r="CR180" i="8" s="1"/>
  <c r="CU180" i="8"/>
  <c r="CO180" i="8"/>
  <c r="I245" i="22"/>
  <c r="D245" i="22"/>
  <c r="E245" i="22" s="1"/>
  <c r="G245" i="22" s="1"/>
  <c r="B245" i="22"/>
  <c r="K245" i="22"/>
  <c r="C245" i="22"/>
  <c r="J245" i="22"/>
  <c r="FG179" i="8" l="1"/>
  <c r="EG179" i="8"/>
  <c r="EO179" i="8"/>
  <c r="EH179" i="8"/>
  <c r="EN179" i="8"/>
  <c r="EI179" i="8"/>
  <c r="EK179" i="8" s="1"/>
  <c r="EM179" i="8"/>
  <c r="EL179" i="8"/>
  <c r="GG180" i="8"/>
  <c r="GE180" i="8"/>
  <c r="GA180" i="8"/>
  <c r="GC180" i="8" s="1"/>
  <c r="GB180" i="8" s="1"/>
  <c r="FZ180" i="8"/>
  <c r="GD180" i="8"/>
  <c r="GF180" i="8"/>
  <c r="FY180" i="8"/>
  <c r="BX185" i="8"/>
  <c r="CX180" i="8"/>
  <c r="CY180" i="8" s="1"/>
  <c r="DD180" i="8" s="1"/>
  <c r="L245" i="22"/>
  <c r="M245" i="22" s="1"/>
  <c r="F245" i="22"/>
  <c r="EJ179" i="8" l="1"/>
  <c r="EP179" i="8"/>
  <c r="EQ179" i="8" s="1"/>
  <c r="EV179" i="8" s="1"/>
  <c r="GH180" i="8"/>
  <c r="GI180" i="8" s="1"/>
  <c r="GN180" i="8" s="1"/>
  <c r="BY185" i="8"/>
  <c r="BZ185" i="8" s="1"/>
  <c r="CZ180" i="8"/>
  <c r="N245" i="22"/>
  <c r="ER179" i="8" l="1"/>
  <c r="GJ180" i="8"/>
  <c r="GY181" i="8" s="1"/>
  <c r="CQ181" i="8"/>
  <c r="CS181" i="8" s="1"/>
  <c r="CR181" i="8" s="1"/>
  <c r="DP181" i="8"/>
  <c r="C246" i="22"/>
  <c r="AW246" i="22"/>
  <c r="CO181" i="8"/>
  <c r="GF181" i="8"/>
  <c r="CP181" i="8"/>
  <c r="CT181" i="8"/>
  <c r="CU181" i="8"/>
  <c r="CW181" i="8"/>
  <c r="BT186" i="8"/>
  <c r="BP186" i="8"/>
  <c r="BQ186" i="8"/>
  <c r="BS186" i="8" s="1"/>
  <c r="BR186" i="8" s="1"/>
  <c r="BV186" i="8"/>
  <c r="BU186" i="8"/>
  <c r="CV181" i="8"/>
  <c r="CC185" i="8"/>
  <c r="I246" i="22"/>
  <c r="H246" i="22"/>
  <c r="D246" i="22"/>
  <c r="E246" i="22" s="1"/>
  <c r="G246" i="22" s="1"/>
  <c r="F246" i="22" s="1"/>
  <c r="K246" i="22"/>
  <c r="B246" i="22"/>
  <c r="J246" i="22"/>
  <c r="FZ181" i="8" l="1"/>
  <c r="GA181" i="8"/>
  <c r="GC181" i="8" s="1"/>
  <c r="GB181" i="8" s="1"/>
  <c r="GE181" i="8"/>
  <c r="GG181" i="8"/>
  <c r="FG180" i="8"/>
  <c r="EL180" i="8"/>
  <c r="EN180" i="8"/>
  <c r="EO180" i="8"/>
  <c r="EI180" i="8"/>
  <c r="EK180" i="8" s="1"/>
  <c r="EM180" i="8"/>
  <c r="EH180" i="8"/>
  <c r="EG180" i="8"/>
  <c r="FY181" i="8"/>
  <c r="GD181" i="8"/>
  <c r="GH181" i="8" s="1"/>
  <c r="GI181" i="8" s="1"/>
  <c r="CX181" i="8"/>
  <c r="CY181" i="8" s="1"/>
  <c r="DD181" i="8" s="1"/>
  <c r="BX186" i="8"/>
  <c r="BY186" i="8" s="1"/>
  <c r="BZ186" i="8" s="1"/>
  <c r="L246" i="22"/>
  <c r="M246" i="22" s="1"/>
  <c r="N246" i="22" s="1"/>
  <c r="AW247" i="22" s="1"/>
  <c r="GN181" i="8" l="1"/>
  <c r="EP180" i="8"/>
  <c r="EQ180" i="8" s="1"/>
  <c r="EV180" i="8" s="1"/>
  <c r="EJ180" i="8"/>
  <c r="FG181" i="8"/>
  <c r="GJ181" i="8"/>
  <c r="GY182" i="8" s="1"/>
  <c r="CC186" i="8"/>
  <c r="CZ181" i="8"/>
  <c r="DP182" i="8" s="1"/>
  <c r="BT187" i="8"/>
  <c r="BV187" i="8"/>
  <c r="BP187" i="8"/>
  <c r="BQ187" i="8"/>
  <c r="BS187" i="8" s="1"/>
  <c r="BR187" i="8" s="1"/>
  <c r="BU187" i="8"/>
  <c r="J247" i="22"/>
  <c r="H247" i="22"/>
  <c r="B247" i="22"/>
  <c r="I247" i="22"/>
  <c r="D247" i="22"/>
  <c r="E247" i="22" s="1"/>
  <c r="G247" i="22" s="1"/>
  <c r="F247" i="22" s="1"/>
  <c r="C247" i="22"/>
  <c r="K247" i="22"/>
  <c r="ER180" i="8" l="1"/>
  <c r="EO181" i="8" s="1"/>
  <c r="GD182" i="8"/>
  <c r="FY182" i="8"/>
  <c r="FZ182" i="8"/>
  <c r="GE182" i="8"/>
  <c r="GA182" i="8"/>
  <c r="GC182" i="8" s="1"/>
  <c r="GB182" i="8" s="1"/>
  <c r="GF182" i="8"/>
  <c r="GG182" i="8"/>
  <c r="BX187" i="8"/>
  <c r="BY187" i="8" s="1"/>
  <c r="BZ187" i="8" s="1"/>
  <c r="CW182" i="8"/>
  <c r="CO182" i="8"/>
  <c r="CP182" i="8"/>
  <c r="CV182" i="8"/>
  <c r="CT182" i="8"/>
  <c r="CQ182" i="8"/>
  <c r="CS182" i="8" s="1"/>
  <c r="CU182" i="8"/>
  <c r="L247" i="22"/>
  <c r="M247" i="22" s="1"/>
  <c r="N247" i="22" s="1"/>
  <c r="H248" i="22" s="1"/>
  <c r="EH181" i="8" l="1"/>
  <c r="EG181" i="8"/>
  <c r="EM181" i="8"/>
  <c r="EI181" i="8"/>
  <c r="EK181" i="8" s="1"/>
  <c r="EJ181" i="8" s="1"/>
  <c r="EL181" i="8"/>
  <c r="EN181" i="8"/>
  <c r="AW248" i="22"/>
  <c r="GH182" i="8"/>
  <c r="GI182" i="8" s="1"/>
  <c r="GN182" i="8" s="1"/>
  <c r="CC187" i="8"/>
  <c r="CX182" i="8"/>
  <c r="CY182" i="8" s="1"/>
  <c r="DD182" i="8" s="1"/>
  <c r="CR182" i="8"/>
  <c r="BT188" i="8"/>
  <c r="BV188" i="8"/>
  <c r="BQ188" i="8"/>
  <c r="BS188" i="8" s="1"/>
  <c r="BR188" i="8" s="1"/>
  <c r="BU188" i="8"/>
  <c r="BP188" i="8"/>
  <c r="J248" i="22"/>
  <c r="I248" i="22"/>
  <c r="K248" i="22"/>
  <c r="B248" i="22"/>
  <c r="D248" i="22"/>
  <c r="E248" i="22" s="1"/>
  <c r="G248" i="22" s="1"/>
  <c r="F248" i="22" s="1"/>
  <c r="C248" i="22"/>
  <c r="EP181" i="8" l="1"/>
  <c r="EQ181" i="8" s="1"/>
  <c r="GJ182" i="8"/>
  <c r="CZ182" i="8"/>
  <c r="DP183" i="8" s="1"/>
  <c r="BX188" i="8"/>
  <c r="BY188" i="8" s="1"/>
  <c r="BZ188" i="8" s="1"/>
  <c r="L248" i="22"/>
  <c r="M248" i="22" s="1"/>
  <c r="N248" i="22" s="1"/>
  <c r="H249" i="22" s="1"/>
  <c r="EV181" i="8" l="1"/>
  <c r="ER181" i="8"/>
  <c r="GD183" i="8"/>
  <c r="GY183" i="8"/>
  <c r="AW249" i="22"/>
  <c r="GE183" i="8"/>
  <c r="GG183" i="8"/>
  <c r="FZ183" i="8"/>
  <c r="GA183" i="8"/>
  <c r="GC183" i="8" s="1"/>
  <c r="GB183" i="8" s="1"/>
  <c r="GF183" i="8"/>
  <c r="FY183" i="8"/>
  <c r="CC188" i="8"/>
  <c r="CW183" i="8"/>
  <c r="CV183" i="8"/>
  <c r="CT183" i="8"/>
  <c r="CO183" i="8"/>
  <c r="CU183" i="8"/>
  <c r="CP183" i="8"/>
  <c r="CQ183" i="8"/>
  <c r="CS183" i="8" s="1"/>
  <c r="CR183" i="8" s="1"/>
  <c r="BT189" i="8"/>
  <c r="BQ189" i="8"/>
  <c r="BS189" i="8" s="1"/>
  <c r="BR189" i="8" s="1"/>
  <c r="BV189" i="8"/>
  <c r="BP189" i="8"/>
  <c r="BU189" i="8"/>
  <c r="B249" i="22"/>
  <c r="I249" i="22"/>
  <c r="K249" i="22"/>
  <c r="C249" i="22"/>
  <c r="D249" i="22"/>
  <c r="E249" i="22" s="1"/>
  <c r="G249" i="22" s="1"/>
  <c r="F249" i="22" s="1"/>
  <c r="J249" i="22"/>
  <c r="FG182" i="8" l="1"/>
  <c r="EL182" i="8"/>
  <c r="EI182" i="8"/>
  <c r="EK182" i="8" s="1"/>
  <c r="EJ182" i="8" s="1"/>
  <c r="EM182" i="8"/>
  <c r="EG182" i="8"/>
  <c r="EN182" i="8"/>
  <c r="EO182" i="8"/>
  <c r="EH182" i="8"/>
  <c r="FG183" i="8"/>
  <c r="BX189" i="8"/>
  <c r="BY189" i="8" s="1"/>
  <c r="CC189" i="8" s="1"/>
  <c r="GH183" i="8"/>
  <c r="GI183" i="8" s="1"/>
  <c r="GJ183" i="8" s="1"/>
  <c r="GG184" i="8" s="1"/>
  <c r="CX183" i="8"/>
  <c r="CY183" i="8" s="1"/>
  <c r="CZ183" i="8" s="1"/>
  <c r="DP184" i="8" s="1"/>
  <c r="L249" i="22"/>
  <c r="M249" i="22" s="1"/>
  <c r="N249" i="22" s="1"/>
  <c r="H250" i="22" s="1"/>
  <c r="EP182" i="8" l="1"/>
  <c r="EQ182" i="8" s="1"/>
  <c r="EV182" i="8" s="1"/>
  <c r="GY184" i="8"/>
  <c r="AW250" i="22"/>
  <c r="BZ189" i="8"/>
  <c r="BQ190" i="8" s="1"/>
  <c r="BS190" i="8" s="1"/>
  <c r="BR190" i="8" s="1"/>
  <c r="GE184" i="8"/>
  <c r="GA184" i="8"/>
  <c r="GC184" i="8" s="1"/>
  <c r="GB184" i="8" s="1"/>
  <c r="FZ184" i="8"/>
  <c r="FY184" i="8"/>
  <c r="GD184" i="8"/>
  <c r="GN183" i="8"/>
  <c r="GF184" i="8"/>
  <c r="CW184" i="8"/>
  <c r="CT184" i="8"/>
  <c r="CQ184" i="8"/>
  <c r="CS184" i="8" s="1"/>
  <c r="CR184" i="8" s="1"/>
  <c r="CU184" i="8"/>
  <c r="CP184" i="8"/>
  <c r="DD183" i="8"/>
  <c r="CV184" i="8"/>
  <c r="CO184" i="8"/>
  <c r="C250" i="22"/>
  <c r="J250" i="22"/>
  <c r="K250" i="22"/>
  <c r="B250" i="22"/>
  <c r="I250" i="22"/>
  <c r="D250" i="22"/>
  <c r="E250" i="22" s="1"/>
  <c r="G250" i="22" s="1"/>
  <c r="F250" i="22" s="1"/>
  <c r="ER182" i="8" l="1"/>
  <c r="EG183" i="8" s="1"/>
  <c r="EH183" i="8"/>
  <c r="BT190" i="8"/>
  <c r="BU190" i="8"/>
  <c r="BP190" i="8"/>
  <c r="BV190" i="8"/>
  <c r="GH184" i="8"/>
  <c r="GI184" i="8" s="1"/>
  <c r="GN184" i="8" s="1"/>
  <c r="CX184" i="8"/>
  <c r="CY184" i="8" s="1"/>
  <c r="DD184" i="8" s="1"/>
  <c r="L250" i="22"/>
  <c r="M250" i="22" s="1"/>
  <c r="N250" i="22" s="1"/>
  <c r="H251" i="22" s="1"/>
  <c r="EO183" i="8" l="1"/>
  <c r="EN183" i="8"/>
  <c r="EM183" i="8"/>
  <c r="EI183" i="8"/>
  <c r="EK183" i="8" s="1"/>
  <c r="EL183" i="8"/>
  <c r="EJ183" i="8"/>
  <c r="EP183" i="8"/>
  <c r="EQ183" i="8" s="1"/>
  <c r="AW251" i="22"/>
  <c r="BX190" i="8"/>
  <c r="BY190" i="8" s="1"/>
  <c r="BZ190" i="8" s="1"/>
  <c r="BT191" i="8" s="1"/>
  <c r="GJ184" i="8"/>
  <c r="CZ184" i="8"/>
  <c r="D251" i="22"/>
  <c r="E251" i="22" s="1"/>
  <c r="G251" i="22" s="1"/>
  <c r="F251" i="22" s="1"/>
  <c r="J251" i="22"/>
  <c r="B251" i="22"/>
  <c r="K251" i="22"/>
  <c r="C251" i="22"/>
  <c r="I251" i="22"/>
  <c r="EV183" i="8" l="1"/>
  <c r="ER183" i="8"/>
  <c r="FG184" i="8" s="1"/>
  <c r="BP191" i="8"/>
  <c r="CC190" i="8"/>
  <c r="BU191" i="8"/>
  <c r="BV191" i="8"/>
  <c r="BQ191" i="8"/>
  <c r="BS191" i="8" s="1"/>
  <c r="BR191" i="8" s="1"/>
  <c r="FG185" i="8"/>
  <c r="CW185" i="8"/>
  <c r="DP185" i="8"/>
  <c r="GG185" i="8"/>
  <c r="GY185" i="8"/>
  <c r="GF185" i="8"/>
  <c r="GD185" i="8"/>
  <c r="GE185" i="8"/>
  <c r="FZ185" i="8"/>
  <c r="FY185" i="8"/>
  <c r="GA185" i="8"/>
  <c r="GC185" i="8" s="1"/>
  <c r="CT185" i="8"/>
  <c r="CQ185" i="8"/>
  <c r="CS185" i="8" s="1"/>
  <c r="CR185" i="8" s="1"/>
  <c r="CU185" i="8"/>
  <c r="CP185" i="8"/>
  <c r="CV185" i="8"/>
  <c r="CO185" i="8"/>
  <c r="L251" i="22"/>
  <c r="M251" i="22" s="1"/>
  <c r="N251" i="22" s="1"/>
  <c r="H252" i="22" s="1"/>
  <c r="EN184" i="8" l="1"/>
  <c r="EG184" i="8"/>
  <c r="EI184" i="8"/>
  <c r="EK184" i="8" s="1"/>
  <c r="EJ184" i="8" s="1"/>
  <c r="EL184" i="8"/>
  <c r="EO184" i="8"/>
  <c r="EH184" i="8"/>
  <c r="EM184" i="8"/>
  <c r="EP184" i="8"/>
  <c r="EQ184" i="8" s="1"/>
  <c r="ER184" i="8"/>
  <c r="EN185" i="8" s="1"/>
  <c r="BX191" i="8"/>
  <c r="BY191" i="8" s="1"/>
  <c r="CC191" i="8" s="1"/>
  <c r="AW252" i="22"/>
  <c r="GH185" i="8"/>
  <c r="GI185" i="8" s="1"/>
  <c r="GN185" i="8" s="1"/>
  <c r="GB185" i="8"/>
  <c r="CX185" i="8"/>
  <c r="CY185" i="8" s="1"/>
  <c r="DD185" i="8" s="1"/>
  <c r="K252" i="22"/>
  <c r="J252" i="22"/>
  <c r="D252" i="22"/>
  <c r="E252" i="22" s="1"/>
  <c r="G252" i="22" s="1"/>
  <c r="F252" i="22" s="1"/>
  <c r="I252" i="22"/>
  <c r="C252" i="22"/>
  <c r="B252" i="22"/>
  <c r="EV184" i="8" l="1"/>
  <c r="EO185" i="8"/>
  <c r="EH185" i="8"/>
  <c r="EM185" i="8"/>
  <c r="EL185" i="8"/>
  <c r="EG185" i="8"/>
  <c r="EI185" i="8"/>
  <c r="EK185" i="8" s="1"/>
  <c r="EJ185" i="8" s="1"/>
  <c r="BZ191" i="8"/>
  <c r="BT192" i="8" s="1"/>
  <c r="GJ185" i="8"/>
  <c r="FY186" i="8" s="1"/>
  <c r="CZ185" i="8"/>
  <c r="L252" i="22"/>
  <c r="M252" i="22" s="1"/>
  <c r="N252" i="22" s="1"/>
  <c r="H253" i="22" s="1"/>
  <c r="EP185" i="8" l="1"/>
  <c r="EQ185" i="8" s="1"/>
  <c r="ER185" i="8" s="1"/>
  <c r="EI186" i="8" s="1"/>
  <c r="EK186" i="8" s="1"/>
  <c r="EJ186" i="8" s="1"/>
  <c r="BQ192" i="8"/>
  <c r="BS192" i="8" s="1"/>
  <c r="BR192" i="8" s="1"/>
  <c r="BV192" i="8"/>
  <c r="BP192" i="8"/>
  <c r="BU192" i="8"/>
  <c r="BX192" i="8" s="1"/>
  <c r="GD186" i="8"/>
  <c r="GY186" i="8"/>
  <c r="CT186" i="8"/>
  <c r="DP186" i="8"/>
  <c r="AW253" i="22"/>
  <c r="GE186" i="8"/>
  <c r="FZ186" i="8"/>
  <c r="GA186" i="8"/>
  <c r="GC186" i="8" s="1"/>
  <c r="GB186" i="8" s="1"/>
  <c r="GF186" i="8"/>
  <c r="GG186" i="8"/>
  <c r="CO186" i="8"/>
  <c r="CP186" i="8"/>
  <c r="CQ186" i="8"/>
  <c r="CS186" i="8" s="1"/>
  <c r="CR186" i="8" s="1"/>
  <c r="CU186" i="8"/>
  <c r="CV186" i="8"/>
  <c r="CW186" i="8"/>
  <c r="D253" i="22"/>
  <c r="E253" i="22" s="1"/>
  <c r="G253" i="22" s="1"/>
  <c r="F253" i="22" s="1"/>
  <c r="C253" i="22"/>
  <c r="B253" i="22"/>
  <c r="K253" i="22"/>
  <c r="I253" i="22"/>
  <c r="J253" i="22"/>
  <c r="EN186" i="8" l="1"/>
  <c r="FG186" i="8"/>
  <c r="EH186" i="8"/>
  <c r="EG186" i="8"/>
  <c r="EM186" i="8"/>
  <c r="EL186" i="8"/>
  <c r="EO186" i="8"/>
  <c r="EV185" i="8"/>
  <c r="GH186" i="8"/>
  <c r="GI186" i="8" s="1"/>
  <c r="GN186" i="8" s="1"/>
  <c r="CX186" i="8"/>
  <c r="CY186" i="8" s="1"/>
  <c r="DD186" i="8" s="1"/>
  <c r="BY192" i="8"/>
  <c r="BZ192" i="8" s="1"/>
  <c r="L253" i="22"/>
  <c r="M253" i="22" s="1"/>
  <c r="N253" i="22" s="1"/>
  <c r="H254" i="22" s="1"/>
  <c r="EP186" i="8" l="1"/>
  <c r="EQ186" i="8" s="1"/>
  <c r="EV186" i="8" s="1"/>
  <c r="AW254" i="22"/>
  <c r="GJ186" i="8"/>
  <c r="GA187" i="8" s="1"/>
  <c r="GC187" i="8" s="1"/>
  <c r="CZ186" i="8"/>
  <c r="CC192" i="8"/>
  <c r="BQ193" i="8"/>
  <c r="BS193" i="8" s="1"/>
  <c r="BU193" i="8"/>
  <c r="BP193" i="8"/>
  <c r="BV193" i="8"/>
  <c r="BT193" i="8"/>
  <c r="BY193" i="8"/>
  <c r="K254" i="22"/>
  <c r="I254" i="22"/>
  <c r="C254" i="22"/>
  <c r="D254" i="22"/>
  <c r="E254" i="22" s="1"/>
  <c r="G254" i="22" s="1"/>
  <c r="B254" i="22"/>
  <c r="J254" i="22"/>
  <c r="ER186" i="8" l="1"/>
  <c r="EI187" i="8" s="1"/>
  <c r="EK187" i="8" s="1"/>
  <c r="EJ187" i="8" s="1"/>
  <c r="GG187" i="8"/>
  <c r="GE187" i="8"/>
  <c r="FY187" i="8"/>
  <c r="GF187" i="8"/>
  <c r="FZ187" i="8"/>
  <c r="CP187" i="8"/>
  <c r="DP187" i="8"/>
  <c r="GD187" i="8"/>
  <c r="GY187" i="8"/>
  <c r="CV187" i="8"/>
  <c r="CW187" i="8"/>
  <c r="CQ187" i="8"/>
  <c r="CS187" i="8" s="1"/>
  <c r="CR187" i="8" s="1"/>
  <c r="CT187" i="8"/>
  <c r="CO187" i="8"/>
  <c r="CU187" i="8"/>
  <c r="BR193" i="8"/>
  <c r="BZ193" i="8" s="1"/>
  <c r="BX193" i="8"/>
  <c r="CC193" i="8" s="1"/>
  <c r="GB187" i="8"/>
  <c r="L254" i="22"/>
  <c r="M254" i="22" s="1"/>
  <c r="F254" i="22"/>
  <c r="EN187" i="8" l="1"/>
  <c r="EH187" i="8"/>
  <c r="EL187" i="8"/>
  <c r="FG187" i="8"/>
  <c r="EM187" i="8"/>
  <c r="EO187" i="8"/>
  <c r="EG187" i="8"/>
  <c r="GH187" i="8"/>
  <c r="GI187" i="8" s="1"/>
  <c r="GN187" i="8" s="1"/>
  <c r="CX187" i="8"/>
  <c r="CY187" i="8" s="1"/>
  <c r="DD187" i="8" s="1"/>
  <c r="BQ194" i="8"/>
  <c r="BS194" i="8" s="1"/>
  <c r="BR194" i="8" s="1"/>
  <c r="BP194" i="8"/>
  <c r="BT194" i="8"/>
  <c r="BU194" i="8"/>
  <c r="BV194" i="8"/>
  <c r="N254" i="22"/>
  <c r="GJ187" i="8" l="1"/>
  <c r="EP187" i="8"/>
  <c r="EQ187" i="8" s="1"/>
  <c r="CZ187" i="8"/>
  <c r="DP188" i="8" s="1"/>
  <c r="GA188" i="8"/>
  <c r="GC188" i="8" s="1"/>
  <c r="GB188" i="8" s="1"/>
  <c r="GY188" i="8"/>
  <c r="C255" i="22"/>
  <c r="AW255" i="22"/>
  <c r="FG188" i="8"/>
  <c r="BX194" i="8"/>
  <c r="GF188" i="8"/>
  <c r="FZ188" i="8"/>
  <c r="GE188" i="8"/>
  <c r="GG188" i="8"/>
  <c r="FY188" i="8"/>
  <c r="GD188" i="8"/>
  <c r="BY194" i="8"/>
  <c r="BZ194" i="8" s="1"/>
  <c r="J255" i="22"/>
  <c r="H255" i="22"/>
  <c r="K255" i="22"/>
  <c r="D255" i="22"/>
  <c r="E255" i="22" s="1"/>
  <c r="G255" i="22" s="1"/>
  <c r="F255" i="22" s="1"/>
  <c r="I255" i="22"/>
  <c r="B255" i="22"/>
  <c r="CW188" i="8" l="1"/>
  <c r="CQ188" i="8"/>
  <c r="CS188" i="8" s="1"/>
  <c r="CV188" i="8"/>
  <c r="CT188" i="8"/>
  <c r="CP188" i="8"/>
  <c r="CU188" i="8"/>
  <c r="CO188" i="8"/>
  <c r="EV187" i="8"/>
  <c r="ER187" i="8"/>
  <c r="GH188" i="8"/>
  <c r="GI188" i="8" s="1"/>
  <c r="GN188" i="8" s="1"/>
  <c r="BT195" i="8"/>
  <c r="BU195" i="8"/>
  <c r="BQ195" i="8"/>
  <c r="BS195" i="8" s="1"/>
  <c r="BR195" i="8" s="1"/>
  <c r="BV195" i="8"/>
  <c r="BP195" i="8"/>
  <c r="CR188" i="8"/>
  <c r="CC194" i="8"/>
  <c r="CX188" i="8"/>
  <c r="CY188" i="8" s="1"/>
  <c r="L255" i="22"/>
  <c r="M255" i="22" s="1"/>
  <c r="N255" i="22" s="1"/>
  <c r="AW256" i="22" s="1"/>
  <c r="DD188" i="8" l="1"/>
  <c r="EH188" i="8"/>
  <c r="EN188" i="8"/>
  <c r="EG188" i="8"/>
  <c r="EL188" i="8"/>
  <c r="EM188" i="8"/>
  <c r="EI188" i="8"/>
  <c r="EK188" i="8" s="1"/>
  <c r="EO188" i="8"/>
  <c r="GJ188" i="8"/>
  <c r="GD189" i="8" s="1"/>
  <c r="BX195" i="8"/>
  <c r="BY195" i="8" s="1"/>
  <c r="BZ195" i="8" s="1"/>
  <c r="BT196" i="8" s="1"/>
  <c r="CZ188" i="8"/>
  <c r="DP189" i="8" s="1"/>
  <c r="C256" i="22"/>
  <c r="H256" i="22"/>
  <c r="J256" i="22"/>
  <c r="I256" i="22"/>
  <c r="B256" i="22"/>
  <c r="K256" i="22"/>
  <c r="D256" i="22"/>
  <c r="E256" i="22" s="1"/>
  <c r="G256" i="22" s="1"/>
  <c r="F256" i="22" s="1"/>
  <c r="EJ188" i="8" l="1"/>
  <c r="EP188" i="8"/>
  <c r="EQ188" i="8" s="1"/>
  <c r="EV188" i="8" s="1"/>
  <c r="GA189" i="8"/>
  <c r="GC189" i="8" s="1"/>
  <c r="GB189" i="8" s="1"/>
  <c r="GG189" i="8"/>
  <c r="FZ189" i="8"/>
  <c r="GF189" i="8"/>
  <c r="FG189" i="8"/>
  <c r="GE189" i="8"/>
  <c r="GY189" i="8"/>
  <c r="FY189" i="8"/>
  <c r="CC195" i="8"/>
  <c r="BQ196" i="8"/>
  <c r="BS196" i="8" s="1"/>
  <c r="BR196" i="8" s="1"/>
  <c r="BP196" i="8"/>
  <c r="BV196" i="8"/>
  <c r="BU196" i="8"/>
  <c r="CU189" i="8"/>
  <c r="CW189" i="8"/>
  <c r="CV189" i="8"/>
  <c r="CQ189" i="8"/>
  <c r="CS189" i="8" s="1"/>
  <c r="CO189" i="8"/>
  <c r="CP189" i="8"/>
  <c r="CT189" i="8"/>
  <c r="L256" i="22"/>
  <c r="M256" i="22" s="1"/>
  <c r="N256" i="22" s="1"/>
  <c r="I257" i="22" s="1"/>
  <c r="ER188" i="8" l="1"/>
  <c r="GH189" i="8"/>
  <c r="GI189" i="8" s="1"/>
  <c r="GJ189" i="8" s="1"/>
  <c r="GE190" i="8" s="1"/>
  <c r="GY190" i="8"/>
  <c r="AW257" i="22"/>
  <c r="BX196" i="8"/>
  <c r="CR189" i="8"/>
  <c r="CX189" i="8"/>
  <c r="CY189" i="8" s="1"/>
  <c r="BY196" i="8"/>
  <c r="BZ196" i="8" s="1"/>
  <c r="D257" i="22"/>
  <c r="E257" i="22" s="1"/>
  <c r="G257" i="22" s="1"/>
  <c r="K257" i="22"/>
  <c r="B257" i="22"/>
  <c r="C257" i="22"/>
  <c r="H257" i="22"/>
  <c r="J257" i="22"/>
  <c r="GN189" i="8" l="1"/>
  <c r="GA190" i="8"/>
  <c r="GC190" i="8" s="1"/>
  <c r="GB190" i="8" s="1"/>
  <c r="FZ190" i="8"/>
  <c r="GG190" i="8"/>
  <c r="FY190" i="8"/>
  <c r="GD190" i="8"/>
  <c r="GF190" i="8"/>
  <c r="EL189" i="8"/>
  <c r="EM189" i="8"/>
  <c r="EO189" i="8"/>
  <c r="EH189" i="8"/>
  <c r="EI189" i="8"/>
  <c r="EK189" i="8" s="1"/>
  <c r="EG189" i="8"/>
  <c r="EN189" i="8"/>
  <c r="CZ189" i="8"/>
  <c r="GH190" i="8"/>
  <c r="GI190" i="8" s="1"/>
  <c r="BT197" i="8"/>
  <c r="BP197" i="8"/>
  <c r="BU197" i="8"/>
  <c r="BV197" i="8"/>
  <c r="BQ197" i="8"/>
  <c r="BS197" i="8" s="1"/>
  <c r="BR197" i="8" s="1"/>
  <c r="CC196" i="8"/>
  <c r="DD189" i="8"/>
  <c r="F257" i="22"/>
  <c r="L257" i="22"/>
  <c r="M257" i="22" s="1"/>
  <c r="GN190" i="8" l="1"/>
  <c r="EJ189" i="8"/>
  <c r="EP189" i="8"/>
  <c r="EQ189" i="8" s="1"/>
  <c r="EV189" i="8" s="1"/>
  <c r="CT190" i="8"/>
  <c r="DP190" i="8"/>
  <c r="FG190" i="8"/>
  <c r="CV190" i="8"/>
  <c r="CW190" i="8"/>
  <c r="CP190" i="8"/>
  <c r="CQ190" i="8"/>
  <c r="CS190" i="8" s="1"/>
  <c r="CR190" i="8" s="1"/>
  <c r="CU190" i="8"/>
  <c r="CO190" i="8"/>
  <c r="GJ190" i="8"/>
  <c r="BX197" i="8"/>
  <c r="BY197" i="8" s="1"/>
  <c r="BZ197" i="8" s="1"/>
  <c r="N257" i="22"/>
  <c r="ER189" i="8" l="1"/>
  <c r="CX190" i="8"/>
  <c r="CY190" i="8" s="1"/>
  <c r="DD190" i="8" s="1"/>
  <c r="H258" i="22"/>
  <c r="AW258" i="22"/>
  <c r="GE191" i="8"/>
  <c r="GY191" i="8"/>
  <c r="GA191" i="8"/>
  <c r="GC191" i="8" s="1"/>
  <c r="GB191" i="8" s="1"/>
  <c r="FY191" i="8"/>
  <c r="GG191" i="8"/>
  <c r="FZ191" i="8"/>
  <c r="GD191" i="8"/>
  <c r="GF191" i="8"/>
  <c r="CC197" i="8"/>
  <c r="BT198" i="8"/>
  <c r="BV198" i="8"/>
  <c r="BP198" i="8"/>
  <c r="BQ198" i="8"/>
  <c r="BS198" i="8" s="1"/>
  <c r="BR198" i="8" s="1"/>
  <c r="BU198" i="8"/>
  <c r="J258" i="22"/>
  <c r="K258" i="22"/>
  <c r="B258" i="22"/>
  <c r="I258" i="22"/>
  <c r="D258" i="22"/>
  <c r="E258" i="22" s="1"/>
  <c r="G258" i="22" s="1"/>
  <c r="F258" i="22" s="1"/>
  <c r="C258" i="22"/>
  <c r="EG190" i="8" l="1"/>
  <c r="EI190" i="8"/>
  <c r="EK190" i="8" s="1"/>
  <c r="EL190" i="8"/>
  <c r="EO190" i="8"/>
  <c r="EN190" i="8"/>
  <c r="EJ190" i="8"/>
  <c r="EH190" i="8"/>
  <c r="EM190" i="8"/>
  <c r="CZ190" i="8"/>
  <c r="DP191" i="8" s="1"/>
  <c r="GH191" i="8"/>
  <c r="GI191" i="8" s="1"/>
  <c r="GN191" i="8" s="1"/>
  <c r="BX198" i="8"/>
  <c r="BY198" i="8" s="1"/>
  <c r="BZ198" i="8" s="1"/>
  <c r="CP191" i="8"/>
  <c r="L258" i="22"/>
  <c r="M258" i="22" s="1"/>
  <c r="N258" i="22" s="1"/>
  <c r="H259" i="22" s="1"/>
  <c r="CT191" i="8" l="1"/>
  <c r="CO191" i="8"/>
  <c r="CV191" i="8"/>
  <c r="CW191" i="8"/>
  <c r="CQ191" i="8"/>
  <c r="CS191" i="8" s="1"/>
  <c r="CU191" i="8"/>
  <c r="EP190" i="8"/>
  <c r="EQ190" i="8" s="1"/>
  <c r="EV190" i="8" s="1"/>
  <c r="AW259" i="22"/>
  <c r="GJ191" i="8"/>
  <c r="BT199" i="8"/>
  <c r="BV199" i="8"/>
  <c r="BQ199" i="8"/>
  <c r="BS199" i="8" s="1"/>
  <c r="BR199" i="8" s="1"/>
  <c r="BU199" i="8"/>
  <c r="BP199" i="8"/>
  <c r="CC198" i="8"/>
  <c r="CX191" i="8"/>
  <c r="CY191" i="8" s="1"/>
  <c r="CR191" i="8"/>
  <c r="D259" i="22"/>
  <c r="E259" i="22" s="1"/>
  <c r="G259" i="22" s="1"/>
  <c r="F259" i="22" s="1"/>
  <c r="C259" i="22"/>
  <c r="K259" i="22"/>
  <c r="I259" i="22"/>
  <c r="J259" i="22"/>
  <c r="B259" i="22"/>
  <c r="ER190" i="8" l="1"/>
  <c r="GD192" i="8"/>
  <c r="GY192" i="8"/>
  <c r="FY192" i="8"/>
  <c r="GF192" i="8"/>
  <c r="FZ192" i="8"/>
  <c r="GE192" i="8"/>
  <c r="GA192" i="8"/>
  <c r="GC192" i="8" s="1"/>
  <c r="GB192" i="8" s="1"/>
  <c r="GG192" i="8"/>
  <c r="CZ191" i="8"/>
  <c r="BX199" i="8"/>
  <c r="BY199" i="8" s="1"/>
  <c r="DD191" i="8"/>
  <c r="L259" i="22"/>
  <c r="M259" i="22" s="1"/>
  <c r="N259" i="22" s="1"/>
  <c r="H260" i="22" s="1"/>
  <c r="FG191" i="8" l="1"/>
  <c r="EL191" i="8"/>
  <c r="EN191" i="8"/>
  <c r="EM191" i="8"/>
  <c r="EP191" i="8" s="1"/>
  <c r="EQ191" i="8" s="1"/>
  <c r="EO191" i="8"/>
  <c r="EI191" i="8"/>
  <c r="EK191" i="8" s="1"/>
  <c r="EJ191" i="8" s="1"/>
  <c r="EG191" i="8"/>
  <c r="EH191" i="8"/>
  <c r="FG192" i="8"/>
  <c r="CV192" i="8"/>
  <c r="DP192" i="8"/>
  <c r="AW260" i="22"/>
  <c r="GH192" i="8"/>
  <c r="GI192" i="8" s="1"/>
  <c r="GN192" i="8" s="1"/>
  <c r="CO192" i="8"/>
  <c r="CQ192" i="8"/>
  <c r="CS192" i="8" s="1"/>
  <c r="CR192" i="8" s="1"/>
  <c r="CP192" i="8"/>
  <c r="CT192" i="8"/>
  <c r="CW192" i="8"/>
  <c r="CU192" i="8"/>
  <c r="CC199" i="8"/>
  <c r="BZ199" i="8"/>
  <c r="C260" i="22"/>
  <c r="J260" i="22"/>
  <c r="K260" i="22"/>
  <c r="I260" i="22"/>
  <c r="B260" i="22"/>
  <c r="D260" i="22"/>
  <c r="E260" i="22" s="1"/>
  <c r="G260" i="22" s="1"/>
  <c r="F260" i="22" s="1"/>
  <c r="EV191" i="8" l="1"/>
  <c r="ER191" i="8"/>
  <c r="GJ192" i="8"/>
  <c r="FY193" i="8" s="1"/>
  <c r="CX192" i="8"/>
  <c r="CY192" i="8" s="1"/>
  <c r="DD192" i="8" s="1"/>
  <c r="BT200" i="8"/>
  <c r="BP200" i="8"/>
  <c r="BU200" i="8"/>
  <c r="BV200" i="8"/>
  <c r="BQ200" i="8"/>
  <c r="BS200" i="8" s="1"/>
  <c r="L260" i="22"/>
  <c r="M260" i="22" s="1"/>
  <c r="N260" i="22" s="1"/>
  <c r="H261" i="22" s="1"/>
  <c r="EH192" i="8" l="1"/>
  <c r="EG192" i="8"/>
  <c r="EI192" i="8"/>
  <c r="EK192" i="8" s="1"/>
  <c r="EJ192" i="8" s="1"/>
  <c r="EL192" i="8"/>
  <c r="EN192" i="8"/>
  <c r="EO192" i="8"/>
  <c r="EM192" i="8"/>
  <c r="FG193" i="8"/>
  <c r="GE193" i="8"/>
  <c r="GG193" i="8"/>
  <c r="GD193" i="8"/>
  <c r="GA193" i="8"/>
  <c r="GC193" i="8" s="1"/>
  <c r="GB193" i="8" s="1"/>
  <c r="GY193" i="8"/>
  <c r="FZ193" i="8"/>
  <c r="AW261" i="22"/>
  <c r="GF193" i="8"/>
  <c r="CZ192" i="8"/>
  <c r="BR200" i="8"/>
  <c r="BX200" i="8"/>
  <c r="D261" i="22"/>
  <c r="E261" i="22" s="1"/>
  <c r="G261" i="22" s="1"/>
  <c r="I261" i="22"/>
  <c r="J261" i="22"/>
  <c r="K261" i="22"/>
  <c r="C261" i="22"/>
  <c r="B261" i="22"/>
  <c r="EP192" i="8" l="1"/>
  <c r="EQ192" i="8" s="1"/>
  <c r="EV192" i="8" s="1"/>
  <c r="ER192" i="8"/>
  <c r="GH193" i="8"/>
  <c r="GI193" i="8" s="1"/>
  <c r="GJ193" i="8" s="1"/>
  <c r="GY194" i="8" s="1"/>
  <c r="CU193" i="8"/>
  <c r="DP193" i="8"/>
  <c r="CQ193" i="8"/>
  <c r="CS193" i="8" s="1"/>
  <c r="CR193" i="8" s="1"/>
  <c r="CT193" i="8"/>
  <c r="CV193" i="8"/>
  <c r="CO193" i="8"/>
  <c r="CW193" i="8"/>
  <c r="CP193" i="8"/>
  <c r="BY200" i="8"/>
  <c r="CC200" i="8" s="1"/>
  <c r="L261" i="22"/>
  <c r="M261" i="22" s="1"/>
  <c r="F261" i="22"/>
  <c r="EL193" i="8" l="1"/>
  <c r="EM193" i="8"/>
  <c r="EH193" i="8"/>
  <c r="EI193" i="8"/>
  <c r="EK193" i="8" s="1"/>
  <c r="EN193" i="8"/>
  <c r="EO193" i="8"/>
  <c r="EG193" i="8"/>
  <c r="GE194" i="8"/>
  <c r="GD194" i="8"/>
  <c r="GN193" i="8"/>
  <c r="GA194" i="8"/>
  <c r="GC194" i="8" s="1"/>
  <c r="GB194" i="8" s="1"/>
  <c r="FZ194" i="8"/>
  <c r="GF194" i="8"/>
  <c r="GG194" i="8"/>
  <c r="FY194" i="8"/>
  <c r="FG194" i="8"/>
  <c r="CX193" i="8"/>
  <c r="CY193" i="8" s="1"/>
  <c r="DD193" i="8" s="1"/>
  <c r="BZ200" i="8"/>
  <c r="N261" i="22"/>
  <c r="EJ193" i="8" l="1"/>
  <c r="EP193" i="8"/>
  <c r="EQ193" i="8" s="1"/>
  <c r="EV193" i="8" s="1"/>
  <c r="GH194" i="8"/>
  <c r="GI194" i="8" s="1"/>
  <c r="GN194" i="8" s="1"/>
  <c r="CZ193" i="8"/>
  <c r="CP194" i="8" s="1"/>
  <c r="H262" i="22"/>
  <c r="AW262" i="22"/>
  <c r="BP201" i="8"/>
  <c r="BV201" i="8"/>
  <c r="BQ201" i="8"/>
  <c r="BS201" i="8" s="1"/>
  <c r="BT201" i="8"/>
  <c r="BU201" i="8"/>
  <c r="D262" i="22"/>
  <c r="E262" i="22" s="1"/>
  <c r="G262" i="22" s="1"/>
  <c r="F262" i="22" s="1"/>
  <c r="C262" i="22"/>
  <c r="B262" i="22"/>
  <c r="K262" i="22"/>
  <c r="I262" i="22"/>
  <c r="J262" i="22"/>
  <c r="GJ194" i="8" l="1"/>
  <c r="GY195" i="8" s="1"/>
  <c r="ER193" i="8"/>
  <c r="CO194" i="8"/>
  <c r="CV194" i="8"/>
  <c r="CU194" i="8"/>
  <c r="DP194" i="8"/>
  <c r="CT194" i="8"/>
  <c r="CQ194" i="8"/>
  <c r="CS194" i="8" s="1"/>
  <c r="CR194" i="8" s="1"/>
  <c r="CW194" i="8"/>
  <c r="FG195" i="8"/>
  <c r="GD195" i="8"/>
  <c r="FY195" i="8"/>
  <c r="FZ195" i="8"/>
  <c r="GE195" i="8"/>
  <c r="GA195" i="8"/>
  <c r="GC195" i="8" s="1"/>
  <c r="GB195" i="8" s="1"/>
  <c r="BX201" i="8"/>
  <c r="BY201" i="8" s="1"/>
  <c r="BR201" i="8"/>
  <c r="L262" i="22"/>
  <c r="M262" i="22" s="1"/>
  <c r="N262" i="22" s="1"/>
  <c r="H263" i="22" s="1"/>
  <c r="GF195" i="8" l="1"/>
  <c r="GG195" i="8"/>
  <c r="EH194" i="8"/>
  <c r="EM194" i="8"/>
  <c r="EO194" i="8"/>
  <c r="EI194" i="8"/>
  <c r="EK194" i="8" s="1"/>
  <c r="EJ194" i="8" s="1"/>
  <c r="EL194" i="8"/>
  <c r="EG194" i="8"/>
  <c r="EN194" i="8"/>
  <c r="CX194" i="8"/>
  <c r="CY194" i="8" s="1"/>
  <c r="CZ194" i="8" s="1"/>
  <c r="DP195" i="8"/>
  <c r="AW263" i="22"/>
  <c r="GH195" i="8"/>
  <c r="GI195" i="8" s="1"/>
  <c r="GN195" i="8" s="1"/>
  <c r="CC201" i="8"/>
  <c r="BZ201" i="8"/>
  <c r="BT202" i="8" s="1"/>
  <c r="D263" i="22"/>
  <c r="E263" i="22" s="1"/>
  <c r="G263" i="22" s="1"/>
  <c r="F263" i="22" s="1"/>
  <c r="B263" i="22"/>
  <c r="J263" i="22"/>
  <c r="I263" i="22"/>
  <c r="K263" i="22"/>
  <c r="C263" i="22"/>
  <c r="EP194" i="8" l="1"/>
  <c r="EQ194" i="8" s="1"/>
  <c r="EV194" i="8" s="1"/>
  <c r="ER194" i="8"/>
  <c r="DD194" i="8"/>
  <c r="CO195" i="8"/>
  <c r="CQ195" i="8"/>
  <c r="CS195" i="8" s="1"/>
  <c r="CR195" i="8" s="1"/>
  <c r="CT195" i="8"/>
  <c r="CX195" i="8" s="1"/>
  <c r="CY195" i="8" s="1"/>
  <c r="CP195" i="8"/>
  <c r="CW195" i="8"/>
  <c r="CV195" i="8"/>
  <c r="CU195" i="8"/>
  <c r="FG196" i="8"/>
  <c r="GJ195" i="8"/>
  <c r="GY196" i="8" s="1"/>
  <c r="BV202" i="8"/>
  <c r="BQ202" i="8"/>
  <c r="BS202" i="8" s="1"/>
  <c r="BR202" i="8" s="1"/>
  <c r="BP202" i="8"/>
  <c r="BU202" i="8"/>
  <c r="L263" i="22"/>
  <c r="M263" i="22" s="1"/>
  <c r="N263" i="22" s="1"/>
  <c r="H264" i="22" s="1"/>
  <c r="DD195" i="8" l="1"/>
  <c r="EI195" i="8"/>
  <c r="EK195" i="8" s="1"/>
  <c r="EG195" i="8"/>
  <c r="EH195" i="8"/>
  <c r="EN195" i="8"/>
  <c r="EM195" i="8"/>
  <c r="EO195" i="8"/>
  <c r="EL195" i="8"/>
  <c r="EP195" i="8" s="1"/>
  <c r="EQ195" i="8" s="1"/>
  <c r="AW264" i="22"/>
  <c r="CZ195" i="8"/>
  <c r="BX202" i="8"/>
  <c r="GD196" i="8"/>
  <c r="GF196" i="8"/>
  <c r="FY196" i="8"/>
  <c r="FZ196" i="8"/>
  <c r="GG196" i="8"/>
  <c r="GE196" i="8"/>
  <c r="GA196" i="8"/>
  <c r="GC196" i="8" s="1"/>
  <c r="BY202" i="8"/>
  <c r="D264" i="22"/>
  <c r="E264" i="22" s="1"/>
  <c r="G264" i="22" s="1"/>
  <c r="F264" i="22" s="1"/>
  <c r="J264" i="22"/>
  <c r="B264" i="22"/>
  <c r="C264" i="22"/>
  <c r="K264" i="22"/>
  <c r="I264" i="22"/>
  <c r="EJ195" i="8" l="1"/>
  <c r="ER195" i="8" s="1"/>
  <c r="EV195" i="8"/>
  <c r="CV196" i="8"/>
  <c r="DP196" i="8"/>
  <c r="CO196" i="8"/>
  <c r="CP196" i="8"/>
  <c r="CW196" i="8"/>
  <c r="CQ196" i="8"/>
  <c r="CS196" i="8" s="1"/>
  <c r="CR196" i="8" s="1"/>
  <c r="CU196" i="8"/>
  <c r="CT196" i="8"/>
  <c r="CC202" i="8"/>
  <c r="GH196" i="8"/>
  <c r="GI196" i="8" s="1"/>
  <c r="GN196" i="8" s="1"/>
  <c r="GB196" i="8"/>
  <c r="BZ202" i="8"/>
  <c r="L264" i="22"/>
  <c r="M264" i="22" s="1"/>
  <c r="N264" i="22" s="1"/>
  <c r="H265" i="22" s="1"/>
  <c r="EL196" i="8" l="1"/>
  <c r="EH196" i="8"/>
  <c r="EO196" i="8"/>
  <c r="EG196" i="8"/>
  <c r="EM196" i="8"/>
  <c r="EN196" i="8"/>
  <c r="EI196" i="8"/>
  <c r="EK196" i="8" s="1"/>
  <c r="FG197" i="8"/>
  <c r="CX196" i="8"/>
  <c r="CY196" i="8" s="1"/>
  <c r="DD196" i="8" s="1"/>
  <c r="AW265" i="22"/>
  <c r="GJ196" i="8"/>
  <c r="BT203" i="8"/>
  <c r="BV203" i="8"/>
  <c r="BU203" i="8"/>
  <c r="BQ203" i="8"/>
  <c r="BS203" i="8" s="1"/>
  <c r="BR203" i="8" s="1"/>
  <c r="BP203" i="8"/>
  <c r="K265" i="22"/>
  <c r="B265" i="22"/>
  <c r="I265" i="22"/>
  <c r="D265" i="22"/>
  <c r="E265" i="22" s="1"/>
  <c r="G265" i="22" s="1"/>
  <c r="F265" i="22" s="1"/>
  <c r="J265" i="22"/>
  <c r="C265" i="22"/>
  <c r="EJ196" i="8" l="1"/>
  <c r="EP196" i="8"/>
  <c r="EQ196" i="8" s="1"/>
  <c r="ER196" i="8" s="1"/>
  <c r="CZ196" i="8"/>
  <c r="DP197" i="8" s="1"/>
  <c r="GD197" i="8"/>
  <c r="GY197" i="8"/>
  <c r="FG198" i="8"/>
  <c r="GA197" i="8"/>
  <c r="GC197" i="8" s="1"/>
  <c r="GB197" i="8" s="1"/>
  <c r="FY197" i="8"/>
  <c r="GG197" i="8"/>
  <c r="GF197" i="8"/>
  <c r="FZ197" i="8"/>
  <c r="GE197" i="8"/>
  <c r="BX203" i="8"/>
  <c r="L265" i="22"/>
  <c r="M265" i="22" s="1"/>
  <c r="N265" i="22" s="1"/>
  <c r="AW266" i="22" s="1"/>
  <c r="EV196" i="8" l="1"/>
  <c r="EG197" i="8"/>
  <c r="EH197" i="8"/>
  <c r="EO197" i="8"/>
  <c r="EI197" i="8"/>
  <c r="EK197" i="8" s="1"/>
  <c r="EL197" i="8"/>
  <c r="EM197" i="8"/>
  <c r="EN197" i="8"/>
  <c r="CO197" i="8"/>
  <c r="CV197" i="8"/>
  <c r="CU197" i="8"/>
  <c r="CT197" i="8"/>
  <c r="CP197" i="8"/>
  <c r="CQ197" i="8"/>
  <c r="CS197" i="8" s="1"/>
  <c r="CW197" i="8"/>
  <c r="CX197" i="8" s="1"/>
  <c r="CY197" i="8" s="1"/>
  <c r="GH197" i="8"/>
  <c r="GI197" i="8" s="1"/>
  <c r="GN197" i="8" s="1"/>
  <c r="BY203" i="8"/>
  <c r="BZ203" i="8" s="1"/>
  <c r="CR197" i="8"/>
  <c r="H266" i="22"/>
  <c r="K266" i="22"/>
  <c r="D266" i="22"/>
  <c r="E266" i="22" s="1"/>
  <c r="G266" i="22" s="1"/>
  <c r="F266" i="22" s="1"/>
  <c r="C266" i="22"/>
  <c r="I266" i="22"/>
  <c r="B266" i="22"/>
  <c r="J266" i="22"/>
  <c r="DD197" i="8" l="1"/>
  <c r="EJ197" i="8"/>
  <c r="EP197" i="8"/>
  <c r="EQ197" i="8" s="1"/>
  <c r="EV197" i="8" s="1"/>
  <c r="GJ197" i="8"/>
  <c r="GG198" i="8" s="1"/>
  <c r="BT204" i="8"/>
  <c r="BV204" i="8"/>
  <c r="BU204" i="8"/>
  <c r="BQ204" i="8"/>
  <c r="BS204" i="8" s="1"/>
  <c r="BP204" i="8"/>
  <c r="CC203" i="8"/>
  <c r="CZ197" i="8"/>
  <c r="DP198" i="8" s="1"/>
  <c r="L266" i="22"/>
  <c r="M266" i="22" s="1"/>
  <c r="N266" i="22" s="1"/>
  <c r="H267" i="22" s="1"/>
  <c r="GA198" i="8" l="1"/>
  <c r="GC198" i="8" s="1"/>
  <c r="GB198" i="8" s="1"/>
  <c r="GD198" i="8"/>
  <c r="FY198" i="8"/>
  <c r="FZ198" i="8"/>
  <c r="GE198" i="8"/>
  <c r="GF198" i="8"/>
  <c r="GH198" i="8" s="1"/>
  <c r="GI198" i="8" s="1"/>
  <c r="ER197" i="8"/>
  <c r="GY198" i="8"/>
  <c r="AW267" i="22"/>
  <c r="BX204" i="8"/>
  <c r="BR204" i="8"/>
  <c r="BY204" i="8"/>
  <c r="CO198" i="8"/>
  <c r="CW198" i="8"/>
  <c r="CU198" i="8"/>
  <c r="CP198" i="8"/>
  <c r="CQ198" i="8"/>
  <c r="CS198" i="8" s="1"/>
  <c r="CR198" i="8" s="1"/>
  <c r="CV198" i="8"/>
  <c r="CT198" i="8"/>
  <c r="C267" i="22"/>
  <c r="D267" i="22"/>
  <c r="E267" i="22" s="1"/>
  <c r="G267" i="22" s="1"/>
  <c r="F267" i="22" s="1"/>
  <c r="I267" i="22"/>
  <c r="B267" i="22"/>
  <c r="K267" i="22"/>
  <c r="J267" i="22"/>
  <c r="GN198" i="8" l="1"/>
  <c r="EL198" i="8"/>
  <c r="EN198" i="8"/>
  <c r="EG198" i="8"/>
  <c r="EM198" i="8"/>
  <c r="EH198" i="8"/>
  <c r="EO198" i="8"/>
  <c r="EI198" i="8"/>
  <c r="EK198" i="8" s="1"/>
  <c r="EJ198" i="8" s="1"/>
  <c r="GJ198" i="8"/>
  <c r="GY199" i="8" s="1"/>
  <c r="BZ204" i="8"/>
  <c r="BU205" i="8" s="1"/>
  <c r="CC204" i="8"/>
  <c r="CX198" i="8"/>
  <c r="CY198" i="8" s="1"/>
  <c r="DD198" i="8" s="1"/>
  <c r="L267" i="22"/>
  <c r="M267" i="22" s="1"/>
  <c r="N267" i="22" s="1"/>
  <c r="C268" i="22" s="1"/>
  <c r="GG199" i="8" l="1"/>
  <c r="GD199" i="8"/>
  <c r="EP198" i="8"/>
  <c r="EQ198" i="8" s="1"/>
  <c r="EV198" i="8" s="1"/>
  <c r="BT205" i="8"/>
  <c r="FZ199" i="8"/>
  <c r="FY199" i="8"/>
  <c r="GE199" i="8"/>
  <c r="GA199" i="8"/>
  <c r="GC199" i="8" s="1"/>
  <c r="GF199" i="8"/>
  <c r="BQ205" i="8"/>
  <c r="BS205" i="8" s="1"/>
  <c r="BR205" i="8" s="1"/>
  <c r="BV205" i="8"/>
  <c r="BP205" i="8"/>
  <c r="FG200" i="8"/>
  <c r="AW268" i="22"/>
  <c r="CZ198" i="8"/>
  <c r="D268" i="22"/>
  <c r="E268" i="22" s="1"/>
  <c r="G268" i="22" s="1"/>
  <c r="F268" i="22" s="1"/>
  <c r="J268" i="22"/>
  <c r="B268" i="22"/>
  <c r="H268" i="22"/>
  <c r="K268" i="22"/>
  <c r="I268" i="22"/>
  <c r="GH199" i="8" l="1"/>
  <c r="GI199" i="8" s="1"/>
  <c r="GN199" i="8" s="1"/>
  <c r="GB199" i="8"/>
  <c r="ER198" i="8"/>
  <c r="BX205" i="8"/>
  <c r="CO199" i="8"/>
  <c r="DP199" i="8"/>
  <c r="CV199" i="8"/>
  <c r="CU199" i="8"/>
  <c r="CP199" i="8"/>
  <c r="CQ199" i="8"/>
  <c r="CS199" i="8" s="1"/>
  <c r="CR199" i="8" s="1"/>
  <c r="CT199" i="8"/>
  <c r="CW199" i="8"/>
  <c r="BY205" i="8"/>
  <c r="BZ205" i="8" s="1"/>
  <c r="L268" i="22"/>
  <c r="M268" i="22" s="1"/>
  <c r="N268" i="22" s="1"/>
  <c r="H269" i="22" s="1"/>
  <c r="GJ199" i="8" l="1"/>
  <c r="GY200" i="8" s="1"/>
  <c r="FG199" i="8"/>
  <c r="EL199" i="8"/>
  <c r="EH199" i="8"/>
  <c r="EN199" i="8"/>
  <c r="EM199" i="8"/>
  <c r="EG199" i="8"/>
  <c r="EO199" i="8"/>
  <c r="EI199" i="8"/>
  <c r="EK199" i="8" s="1"/>
  <c r="EJ199" i="8" s="1"/>
  <c r="AW269" i="22"/>
  <c r="CX199" i="8"/>
  <c r="CY199" i="8" s="1"/>
  <c r="DD199" i="8" s="1"/>
  <c r="GD200" i="8"/>
  <c r="FZ200" i="8"/>
  <c r="GG200" i="8"/>
  <c r="GF200" i="8"/>
  <c r="CC205" i="8"/>
  <c r="BQ206" i="8"/>
  <c r="BS206" i="8" s="1"/>
  <c r="BU206" i="8"/>
  <c r="BV206" i="8"/>
  <c r="BP206" i="8"/>
  <c r="BT206" i="8"/>
  <c r="C269" i="22"/>
  <c r="J269" i="22"/>
  <c r="I269" i="22"/>
  <c r="K269" i="22"/>
  <c r="B269" i="22"/>
  <c r="D269" i="22"/>
  <c r="E269" i="22" s="1"/>
  <c r="G269" i="22" s="1"/>
  <c r="F269" i="22" s="1"/>
  <c r="GA200" i="8" l="1"/>
  <c r="GC200" i="8" s="1"/>
  <c r="FY200" i="8"/>
  <c r="GE200" i="8"/>
  <c r="GH200" i="8" s="1"/>
  <c r="GI200" i="8" s="1"/>
  <c r="EP199" i="8"/>
  <c r="EQ199" i="8" s="1"/>
  <c r="EV199" i="8" s="1"/>
  <c r="FG201" i="8"/>
  <c r="CZ199" i="8"/>
  <c r="GB200" i="8"/>
  <c r="BX206" i="8"/>
  <c r="BY206" i="8" s="1"/>
  <c r="CC206" i="8" s="1"/>
  <c r="BR206" i="8"/>
  <c r="L269" i="22"/>
  <c r="M269" i="22" s="1"/>
  <c r="N269" i="22" s="1"/>
  <c r="H270" i="22" s="1"/>
  <c r="GN200" i="8" l="1"/>
  <c r="ER199" i="8"/>
  <c r="CW200" i="8"/>
  <c r="DP200" i="8"/>
  <c r="AW270" i="22"/>
  <c r="CQ200" i="8"/>
  <c r="CS200" i="8" s="1"/>
  <c r="CR200" i="8" s="1"/>
  <c r="CO200" i="8"/>
  <c r="CT200" i="8"/>
  <c r="CP200" i="8"/>
  <c r="CV200" i="8"/>
  <c r="CU200" i="8"/>
  <c r="GJ200" i="8"/>
  <c r="GY201" i="8" s="1"/>
  <c r="BZ206" i="8"/>
  <c r="BV207" i="8" s="1"/>
  <c r="C270" i="22"/>
  <c r="D270" i="22"/>
  <c r="E270" i="22" s="1"/>
  <c r="G270" i="22" s="1"/>
  <c r="F270" i="22" s="1"/>
  <c r="I270" i="22"/>
  <c r="J270" i="22"/>
  <c r="B270" i="22"/>
  <c r="K270" i="22"/>
  <c r="EN200" i="8" l="1"/>
  <c r="EO200" i="8"/>
  <c r="EL200" i="8"/>
  <c r="EM200" i="8"/>
  <c r="EG200" i="8"/>
  <c r="EH200" i="8"/>
  <c r="EI200" i="8"/>
  <c r="EK200" i="8" s="1"/>
  <c r="EJ200" i="8" s="1"/>
  <c r="CX200" i="8"/>
  <c r="CY200" i="8" s="1"/>
  <c r="DD200" i="8" s="1"/>
  <c r="BQ207" i="8"/>
  <c r="BS207" i="8" s="1"/>
  <c r="BR207" i="8" s="1"/>
  <c r="FZ201" i="8"/>
  <c r="FY201" i="8"/>
  <c r="GD201" i="8"/>
  <c r="GF201" i="8"/>
  <c r="GE201" i="8"/>
  <c r="GG201" i="8"/>
  <c r="GA201" i="8"/>
  <c r="GC201" i="8" s="1"/>
  <c r="BU207" i="8"/>
  <c r="BT207" i="8"/>
  <c r="BP207" i="8"/>
  <c r="CZ200" i="8"/>
  <c r="DP201" i="8" s="1"/>
  <c r="L270" i="22"/>
  <c r="M270" i="22" s="1"/>
  <c r="N270" i="22" s="1"/>
  <c r="H271" i="22" s="1"/>
  <c r="EP200" i="8" l="1"/>
  <c r="EQ200" i="8" s="1"/>
  <c r="EV200" i="8" s="1"/>
  <c r="ER200" i="8"/>
  <c r="FG202" i="8"/>
  <c r="AW271" i="22"/>
  <c r="GH201" i="8"/>
  <c r="GI201" i="8" s="1"/>
  <c r="GN201" i="8" s="1"/>
  <c r="GB201" i="8"/>
  <c r="BX207" i="8"/>
  <c r="BY207" i="8"/>
  <c r="BZ207" i="8" s="1"/>
  <c r="BP208" i="8" s="1"/>
  <c r="D271" i="22"/>
  <c r="E271" i="22" s="1"/>
  <c r="G271" i="22" s="1"/>
  <c r="F271" i="22" s="1"/>
  <c r="C271" i="22"/>
  <c r="CT201" i="8"/>
  <c r="CO201" i="8"/>
  <c r="CW201" i="8"/>
  <c r="CV201" i="8"/>
  <c r="CQ201" i="8"/>
  <c r="CS201" i="8" s="1"/>
  <c r="CP201" i="8"/>
  <c r="CU201" i="8"/>
  <c r="K271" i="22"/>
  <c r="J271" i="22"/>
  <c r="B271" i="22"/>
  <c r="I271" i="22"/>
  <c r="EM201" i="8" l="1"/>
  <c r="EO201" i="8"/>
  <c r="EN201" i="8"/>
  <c r="EI201" i="8"/>
  <c r="EK201" i="8" s="1"/>
  <c r="EJ201" i="8" s="1"/>
  <c r="EH201" i="8"/>
  <c r="EG201" i="8"/>
  <c r="EL201" i="8"/>
  <c r="BT208" i="8"/>
  <c r="BU208" i="8"/>
  <c r="BQ208" i="8"/>
  <c r="BS208" i="8" s="1"/>
  <c r="BR208" i="8" s="1"/>
  <c r="BV208" i="8"/>
  <c r="GJ201" i="8"/>
  <c r="GY202" i="8" s="1"/>
  <c r="CC207" i="8"/>
  <c r="L271" i="22"/>
  <c r="M271" i="22" s="1"/>
  <c r="N271" i="22" s="1"/>
  <c r="H272" i="22" s="1"/>
  <c r="CX201" i="8"/>
  <c r="CY201" i="8" s="1"/>
  <c r="DD201" i="8" s="1"/>
  <c r="CR201" i="8"/>
  <c r="EP201" i="8" l="1"/>
  <c r="EQ201" i="8" s="1"/>
  <c r="EV201" i="8" s="1"/>
  <c r="ER201" i="8"/>
  <c r="AW272" i="22"/>
  <c r="BX208" i="8"/>
  <c r="BY208" i="8" s="1"/>
  <c r="BZ208" i="8" s="1"/>
  <c r="BT209" i="8" s="1"/>
  <c r="GG202" i="8"/>
  <c r="GE202" i="8"/>
  <c r="GA202" i="8"/>
  <c r="GC202" i="8" s="1"/>
  <c r="FY202" i="8"/>
  <c r="FZ202" i="8"/>
  <c r="GF202" i="8"/>
  <c r="GD202" i="8"/>
  <c r="D272" i="22"/>
  <c r="E272" i="22" s="1"/>
  <c r="G272" i="22" s="1"/>
  <c r="F272" i="22" s="1"/>
  <c r="K272" i="22"/>
  <c r="I272" i="22"/>
  <c r="B272" i="22"/>
  <c r="C272" i="22"/>
  <c r="J272" i="22"/>
  <c r="CZ201" i="8"/>
  <c r="EG202" i="8" l="1"/>
  <c r="EM202" i="8"/>
  <c r="EH202" i="8"/>
  <c r="EN202" i="8"/>
  <c r="EO202" i="8"/>
  <c r="EL202" i="8"/>
  <c r="EI202" i="8"/>
  <c r="EK202" i="8" s="1"/>
  <c r="EJ202" i="8" s="1"/>
  <c r="CQ202" i="8"/>
  <c r="CS202" i="8" s="1"/>
  <c r="CR202" i="8" s="1"/>
  <c r="DP202" i="8"/>
  <c r="BQ209" i="8"/>
  <c r="BS209" i="8" s="1"/>
  <c r="BR209" i="8" s="1"/>
  <c r="BU209" i="8"/>
  <c r="CC208" i="8"/>
  <c r="BP209" i="8"/>
  <c r="BV209" i="8"/>
  <c r="L272" i="22"/>
  <c r="M272" i="22" s="1"/>
  <c r="N272" i="22" s="1"/>
  <c r="B273" i="22" s="1"/>
  <c r="GB202" i="8"/>
  <c r="GH202" i="8"/>
  <c r="GI202" i="8" s="1"/>
  <c r="GN202" i="8" s="1"/>
  <c r="CT202" i="8"/>
  <c r="CU202" i="8"/>
  <c r="CO202" i="8"/>
  <c r="CW202" i="8"/>
  <c r="CV202" i="8"/>
  <c r="CP202" i="8"/>
  <c r="EP202" i="8" l="1"/>
  <c r="EQ202" i="8" s="1"/>
  <c r="EV202" i="8" s="1"/>
  <c r="ER202" i="8"/>
  <c r="AW273" i="22"/>
  <c r="J273" i="22"/>
  <c r="BX209" i="8"/>
  <c r="BY209" i="8" s="1"/>
  <c r="CC209" i="8" s="1"/>
  <c r="C273" i="22"/>
  <c r="H273" i="22"/>
  <c r="D273" i="22"/>
  <c r="E273" i="22" s="1"/>
  <c r="G273" i="22" s="1"/>
  <c r="F273" i="22" s="1"/>
  <c r="I273" i="22"/>
  <c r="K273" i="22"/>
  <c r="CX202" i="8"/>
  <c r="CY202" i="8" s="1"/>
  <c r="DD202" i="8" s="1"/>
  <c r="GJ202" i="8"/>
  <c r="GY203" i="8" s="1"/>
  <c r="FG203" i="8" l="1"/>
  <c r="EG203" i="8"/>
  <c r="EH203" i="8"/>
  <c r="EI203" i="8"/>
  <c r="EK203" i="8" s="1"/>
  <c r="EJ203" i="8" s="1"/>
  <c r="EL203" i="8"/>
  <c r="EM203" i="8"/>
  <c r="EN203" i="8"/>
  <c r="EO203" i="8"/>
  <c r="FG204" i="8"/>
  <c r="BZ209" i="8"/>
  <c r="BV210" i="8" s="1"/>
  <c r="L273" i="22"/>
  <c r="M273" i="22" s="1"/>
  <c r="N273" i="22" s="1"/>
  <c r="GF203" i="8"/>
  <c r="FY203" i="8"/>
  <c r="FZ203" i="8"/>
  <c r="GD203" i="8"/>
  <c r="GE203" i="8"/>
  <c r="GA203" i="8"/>
  <c r="GC203" i="8" s="1"/>
  <c r="GG203" i="8"/>
  <c r="CZ202" i="8"/>
  <c r="EP203" i="8" l="1"/>
  <c r="EQ203" i="8" s="1"/>
  <c r="EV203" i="8" s="1"/>
  <c r="ER203" i="8"/>
  <c r="D274" i="22"/>
  <c r="E274" i="22" s="1"/>
  <c r="G274" i="22" s="1"/>
  <c r="AW274" i="22"/>
  <c r="CW203" i="8"/>
  <c r="DP203" i="8"/>
  <c r="BQ210" i="8"/>
  <c r="BS210" i="8" s="1"/>
  <c r="BR210" i="8" s="1"/>
  <c r="BP210" i="8"/>
  <c r="BU210" i="8"/>
  <c r="BT210" i="8"/>
  <c r="H274" i="22"/>
  <c r="B274" i="22"/>
  <c r="C274" i="22"/>
  <c r="K274" i="22"/>
  <c r="I274" i="22"/>
  <c r="J274" i="22"/>
  <c r="CP203" i="8"/>
  <c r="CV203" i="8"/>
  <c r="CO203" i="8"/>
  <c r="GH203" i="8"/>
  <c r="GI203" i="8" s="1"/>
  <c r="GN203" i="8" s="1"/>
  <c r="GB203" i="8"/>
  <c r="CQ203" i="8"/>
  <c r="CS203" i="8" s="1"/>
  <c r="CR203" i="8" s="1"/>
  <c r="CT203" i="8"/>
  <c r="CU203" i="8"/>
  <c r="F274" i="22"/>
  <c r="EL204" i="8" l="1"/>
  <c r="EH204" i="8"/>
  <c r="EN204" i="8"/>
  <c r="EI204" i="8"/>
  <c r="EK204" i="8" s="1"/>
  <c r="EG204" i="8"/>
  <c r="EM204" i="8"/>
  <c r="EO204" i="8"/>
  <c r="BX210" i="8"/>
  <c r="BY210" i="8" s="1"/>
  <c r="CC210" i="8" s="1"/>
  <c r="L274" i="22"/>
  <c r="M274" i="22" s="1"/>
  <c r="N274" i="22" s="1"/>
  <c r="AW275" i="22" s="1"/>
  <c r="GJ203" i="8"/>
  <c r="CX203" i="8"/>
  <c r="CY203" i="8" s="1"/>
  <c r="DD203" i="8" s="1"/>
  <c r="EJ204" i="8" l="1"/>
  <c r="EP204" i="8"/>
  <c r="EQ204" i="8" s="1"/>
  <c r="EV204" i="8" s="1"/>
  <c r="BZ210" i="8"/>
  <c r="BP211" i="8" s="1"/>
  <c r="GD204" i="8"/>
  <c r="GY204" i="8"/>
  <c r="GA204" i="8"/>
  <c r="GC204" i="8" s="1"/>
  <c r="GB204" i="8" s="1"/>
  <c r="FY204" i="8"/>
  <c r="GF204" i="8"/>
  <c r="GE204" i="8"/>
  <c r="FZ204" i="8"/>
  <c r="GG204" i="8"/>
  <c r="CZ203" i="8"/>
  <c r="K275" i="22"/>
  <c r="C275" i="22"/>
  <c r="B275" i="22"/>
  <c r="I275" i="22"/>
  <c r="D275" i="22"/>
  <c r="E275" i="22" s="1"/>
  <c r="G275" i="22" s="1"/>
  <c r="J275" i="22"/>
  <c r="H275" i="22"/>
  <c r="BQ211" i="8" l="1"/>
  <c r="BS211" i="8" s="1"/>
  <c r="BR211" i="8" s="1"/>
  <c r="BU211" i="8"/>
  <c r="BV211" i="8"/>
  <c r="BT211" i="8"/>
  <c r="ER204" i="8"/>
  <c r="CQ204" i="8"/>
  <c r="CS204" i="8" s="1"/>
  <c r="CR204" i="8" s="1"/>
  <c r="DP204" i="8"/>
  <c r="CO204" i="8"/>
  <c r="CT204" i="8"/>
  <c r="CV204" i="8"/>
  <c r="GH204" i="8"/>
  <c r="GI204" i="8" s="1"/>
  <c r="GN204" i="8" s="1"/>
  <c r="CW204" i="8"/>
  <c r="CU204" i="8"/>
  <c r="CP204" i="8"/>
  <c r="BX211" i="8"/>
  <c r="BY211" i="8" s="1"/>
  <c r="BZ211" i="8" s="1"/>
  <c r="BQ212" i="8" s="1"/>
  <c r="BS212" i="8" s="1"/>
  <c r="BR212" i="8" s="1"/>
  <c r="F275" i="22"/>
  <c r="L275" i="22"/>
  <c r="M275" i="22" s="1"/>
  <c r="FG205" i="8" l="1"/>
  <c r="EI205" i="8"/>
  <c r="EK205" i="8" s="1"/>
  <c r="EM205" i="8"/>
  <c r="EN205" i="8"/>
  <c r="EO205" i="8"/>
  <c r="EL205" i="8"/>
  <c r="EG205" i="8"/>
  <c r="EH205" i="8"/>
  <c r="FG206" i="8"/>
  <c r="CX204" i="8"/>
  <c r="CY204" i="8" s="1"/>
  <c r="DD204" i="8" s="1"/>
  <c r="GJ204" i="8"/>
  <c r="BV212" i="8"/>
  <c r="BT212" i="8"/>
  <c r="CC211" i="8"/>
  <c r="BP212" i="8"/>
  <c r="BU212" i="8"/>
  <c r="N275" i="22"/>
  <c r="AW276" i="22" s="1"/>
  <c r="EJ205" i="8" l="1"/>
  <c r="EP205" i="8"/>
  <c r="EQ205" i="8" s="1"/>
  <c r="EV205" i="8" s="1"/>
  <c r="GF205" i="8"/>
  <c r="GY205" i="8"/>
  <c r="CZ204" i="8"/>
  <c r="CP205" i="8" s="1"/>
  <c r="GE205" i="8"/>
  <c r="GA205" i="8"/>
  <c r="GC205" i="8" s="1"/>
  <c r="GB205" i="8" s="1"/>
  <c r="GG205" i="8"/>
  <c r="FY205" i="8"/>
  <c r="FZ205" i="8"/>
  <c r="GD205" i="8"/>
  <c r="BX212" i="8"/>
  <c r="BY212" i="8" s="1"/>
  <c r="BZ212" i="8" s="1"/>
  <c r="BQ213" i="8" s="1"/>
  <c r="BS213" i="8" s="1"/>
  <c r="H276" i="22"/>
  <c r="D276" i="22"/>
  <c r="E276" i="22" s="1"/>
  <c r="G276" i="22" s="1"/>
  <c r="F276" i="22" s="1"/>
  <c r="I276" i="22"/>
  <c r="J276" i="22"/>
  <c r="C276" i="22"/>
  <c r="B276" i="22"/>
  <c r="K276" i="22"/>
  <c r="ER205" i="8" l="1"/>
  <c r="CO205" i="8"/>
  <c r="FG207" i="8"/>
  <c r="CV205" i="8"/>
  <c r="DP205" i="8"/>
  <c r="CT205" i="8"/>
  <c r="CW205" i="8"/>
  <c r="CU205" i="8"/>
  <c r="CQ205" i="8"/>
  <c r="CS205" i="8" s="1"/>
  <c r="CR205" i="8" s="1"/>
  <c r="GH205" i="8"/>
  <c r="GI205" i="8" s="1"/>
  <c r="GN205" i="8" s="1"/>
  <c r="BV213" i="8"/>
  <c r="BU213" i="8"/>
  <c r="BR213" i="8"/>
  <c r="BT213" i="8"/>
  <c r="CC212" i="8"/>
  <c r="BP213" i="8"/>
  <c r="L276" i="22"/>
  <c r="M276" i="22" s="1"/>
  <c r="N276" i="22" s="1"/>
  <c r="AW277" i="22" s="1"/>
  <c r="EI206" i="8" l="1"/>
  <c r="EK206" i="8" s="1"/>
  <c r="EJ206" i="8" s="1"/>
  <c r="EO206" i="8"/>
  <c r="EM206" i="8"/>
  <c r="EG206" i="8"/>
  <c r="EL206" i="8"/>
  <c r="EN206" i="8"/>
  <c r="EH206" i="8"/>
  <c r="CX205" i="8"/>
  <c r="CY205" i="8" s="1"/>
  <c r="DD205" i="8" s="1"/>
  <c r="GJ205" i="8"/>
  <c r="GY206" i="8" s="1"/>
  <c r="BX213" i="8"/>
  <c r="BY213" i="8" s="1"/>
  <c r="BZ213" i="8" s="1"/>
  <c r="BP214" i="8" s="1"/>
  <c r="H277" i="22"/>
  <c r="J277" i="22"/>
  <c r="C277" i="22"/>
  <c r="B277" i="22"/>
  <c r="D277" i="22"/>
  <c r="E277" i="22" s="1"/>
  <c r="G277" i="22" s="1"/>
  <c r="F277" i="22" s="1"/>
  <c r="K277" i="22"/>
  <c r="I277" i="22"/>
  <c r="EP206" i="8" l="1"/>
  <c r="EQ206" i="8" s="1"/>
  <c r="EV206" i="8" s="1"/>
  <c r="ER206" i="8"/>
  <c r="CZ205" i="8"/>
  <c r="CT206" i="8" s="1"/>
  <c r="FG208" i="8"/>
  <c r="GD206" i="8"/>
  <c r="GA206" i="8"/>
  <c r="GC206" i="8" s="1"/>
  <c r="GF206" i="8"/>
  <c r="GE206" i="8"/>
  <c r="FY206" i="8"/>
  <c r="GG206" i="8"/>
  <c r="FZ206" i="8"/>
  <c r="CC213" i="8"/>
  <c r="BU214" i="8"/>
  <c r="BV214" i="8"/>
  <c r="L277" i="22"/>
  <c r="M277" i="22" s="1"/>
  <c r="N277" i="22" s="1"/>
  <c r="AW278" i="22" s="1"/>
  <c r="BQ214" i="8"/>
  <c r="BS214" i="8" s="1"/>
  <c r="BR214" i="8" s="1"/>
  <c r="BT214" i="8"/>
  <c r="CV206" i="8" l="1"/>
  <c r="CU206" i="8"/>
  <c r="CQ206" i="8"/>
  <c r="CS206" i="8" s="1"/>
  <c r="CR206" i="8" s="1"/>
  <c r="CP206" i="8"/>
  <c r="CW206" i="8"/>
  <c r="EG207" i="8"/>
  <c r="EM207" i="8"/>
  <c r="EL207" i="8"/>
  <c r="EO207" i="8"/>
  <c r="EI207" i="8"/>
  <c r="EK207" i="8" s="1"/>
  <c r="EN207" i="8"/>
  <c r="EH207" i="8"/>
  <c r="CO206" i="8"/>
  <c r="DP206" i="8"/>
  <c r="GB206" i="8"/>
  <c r="GH206" i="8"/>
  <c r="GI206" i="8" s="1"/>
  <c r="GN206" i="8" s="1"/>
  <c r="CX206" i="8"/>
  <c r="CY206" i="8" s="1"/>
  <c r="BX214" i="8"/>
  <c r="H278" i="22"/>
  <c r="C278" i="22"/>
  <c r="J278" i="22"/>
  <c r="B278" i="22"/>
  <c r="I278" i="22"/>
  <c r="D278" i="22"/>
  <c r="E278" i="22" s="1"/>
  <c r="G278" i="22" s="1"/>
  <c r="F278" i="22" s="1"/>
  <c r="K278" i="22"/>
  <c r="DD206" i="8" l="1"/>
  <c r="EJ207" i="8"/>
  <c r="EP207" i="8"/>
  <c r="EQ207" i="8" s="1"/>
  <c r="ER207" i="8" s="1"/>
  <c r="GJ206" i="8"/>
  <c r="GY207" i="8" s="1"/>
  <c r="CZ206" i="8"/>
  <c r="CP207" i="8" s="1"/>
  <c r="BY214" i="8"/>
  <c r="BZ214" i="8" s="1"/>
  <c r="L278" i="22"/>
  <c r="M278" i="22" s="1"/>
  <c r="N278" i="22" s="1"/>
  <c r="AW279" i="22" s="1"/>
  <c r="EO208" i="8" l="1"/>
  <c r="EG208" i="8"/>
  <c r="EI208" i="8"/>
  <c r="EK208" i="8" s="1"/>
  <c r="EL208" i="8"/>
  <c r="EH208" i="8"/>
  <c r="EM208" i="8"/>
  <c r="EN208" i="8"/>
  <c r="EJ208" i="8"/>
  <c r="EV207" i="8"/>
  <c r="DP207" i="8"/>
  <c r="GD207" i="8"/>
  <c r="GG207" i="8"/>
  <c r="GF207" i="8"/>
  <c r="GE207" i="8"/>
  <c r="FZ207" i="8"/>
  <c r="FY207" i="8"/>
  <c r="GA207" i="8"/>
  <c r="GC207" i="8" s="1"/>
  <c r="CO207" i="8"/>
  <c r="CT207" i="8"/>
  <c r="CV207" i="8"/>
  <c r="CU207" i="8"/>
  <c r="CW207" i="8"/>
  <c r="CQ207" i="8"/>
  <c r="CS207" i="8" s="1"/>
  <c r="CC214" i="8"/>
  <c r="BT215" i="8"/>
  <c r="BU215" i="8"/>
  <c r="BP215" i="8"/>
  <c r="BQ215" i="8"/>
  <c r="BS215" i="8" s="1"/>
  <c r="BR215" i="8" s="1"/>
  <c r="BV215" i="8"/>
  <c r="H279" i="22"/>
  <c r="K279" i="22"/>
  <c r="C279" i="22"/>
  <c r="I279" i="22"/>
  <c r="D279" i="22"/>
  <c r="E279" i="22" s="1"/>
  <c r="G279" i="22" s="1"/>
  <c r="F279" i="22" s="1"/>
  <c r="J279" i="22"/>
  <c r="B279" i="22"/>
  <c r="EP208" i="8" l="1"/>
  <c r="EQ208" i="8" s="1"/>
  <c r="EV208" i="8" s="1"/>
  <c r="FG209" i="8"/>
  <c r="GH207" i="8"/>
  <c r="GI207" i="8" s="1"/>
  <c r="GN207" i="8" s="1"/>
  <c r="GB207" i="8"/>
  <c r="CX207" i="8"/>
  <c r="CY207" i="8" s="1"/>
  <c r="DD207" i="8" s="1"/>
  <c r="CR207" i="8"/>
  <c r="BX215" i="8"/>
  <c r="BY215" i="8"/>
  <c r="BZ215" i="8" s="1"/>
  <c r="L279" i="22"/>
  <c r="M279" i="22" s="1"/>
  <c r="N279" i="22" s="1"/>
  <c r="AW280" i="22" s="1"/>
  <c r="ER208" i="8" l="1"/>
  <c r="GJ207" i="8"/>
  <c r="GY208" i="8" s="1"/>
  <c r="CZ207" i="8"/>
  <c r="DP208" i="8" s="1"/>
  <c r="CC215" i="8"/>
  <c r="BQ216" i="8"/>
  <c r="BS216" i="8" s="1"/>
  <c r="BR216" i="8" s="1"/>
  <c r="BT216" i="8"/>
  <c r="BP216" i="8"/>
  <c r="BV216" i="8"/>
  <c r="BU216" i="8"/>
  <c r="H280" i="22"/>
  <c r="K280" i="22"/>
  <c r="C280" i="22"/>
  <c r="I280" i="22"/>
  <c r="J280" i="22"/>
  <c r="D280" i="22"/>
  <c r="E280" i="22" s="1"/>
  <c r="G280" i="22" s="1"/>
  <c r="F280" i="22" s="1"/>
  <c r="B280" i="22"/>
  <c r="EM209" i="8" l="1"/>
  <c r="EI209" i="8"/>
  <c r="EK209" i="8" s="1"/>
  <c r="EL209" i="8"/>
  <c r="EO209" i="8"/>
  <c r="EG209" i="8"/>
  <c r="EJ209" i="8"/>
  <c r="EN209" i="8"/>
  <c r="EH209" i="8"/>
  <c r="GF208" i="8"/>
  <c r="GD208" i="8"/>
  <c r="GE208" i="8"/>
  <c r="GA208" i="8"/>
  <c r="GC208" i="8" s="1"/>
  <c r="FZ208" i="8"/>
  <c r="GG208" i="8"/>
  <c r="FY208" i="8"/>
  <c r="CU208" i="8"/>
  <c r="CV208" i="8"/>
  <c r="CP208" i="8"/>
  <c r="CW208" i="8"/>
  <c r="CQ208" i="8"/>
  <c r="CS208" i="8" s="1"/>
  <c r="CO208" i="8"/>
  <c r="CT208" i="8"/>
  <c r="L280" i="22"/>
  <c r="M280" i="22" s="1"/>
  <c r="N280" i="22" s="1"/>
  <c r="I281" i="22" s="1"/>
  <c r="BX216" i="8"/>
  <c r="BY216" i="8" s="1"/>
  <c r="CC216" i="8" s="1"/>
  <c r="EP209" i="8" l="1"/>
  <c r="EQ209" i="8" s="1"/>
  <c r="EV209" i="8" s="1"/>
  <c r="ER209" i="8"/>
  <c r="AW281" i="22"/>
  <c r="GH208" i="8"/>
  <c r="GI208" i="8" s="1"/>
  <c r="GN208" i="8" s="1"/>
  <c r="GB208" i="8"/>
  <c r="CR208" i="8"/>
  <c r="CX208" i="8"/>
  <c r="CY208" i="8" s="1"/>
  <c r="DD208" i="8" s="1"/>
  <c r="K281" i="22"/>
  <c r="H281" i="22"/>
  <c r="B281" i="22"/>
  <c r="C281" i="22"/>
  <c r="D281" i="22"/>
  <c r="E281" i="22" s="1"/>
  <c r="G281" i="22" s="1"/>
  <c r="F281" i="22" s="1"/>
  <c r="J281" i="22"/>
  <c r="BZ216" i="8"/>
  <c r="BT217" i="8" s="1"/>
  <c r="FG210" i="8" l="1"/>
  <c r="EN210" i="8"/>
  <c r="EL210" i="8"/>
  <c r="EH210" i="8"/>
  <c r="EI210" i="8"/>
  <c r="EK210" i="8" s="1"/>
  <c r="EG210" i="8"/>
  <c r="EO210" i="8"/>
  <c r="EM210" i="8"/>
  <c r="GJ208" i="8"/>
  <c r="GY209" i="8" s="1"/>
  <c r="CZ208" i="8"/>
  <c r="DP209" i="8" s="1"/>
  <c r="L281" i="22"/>
  <c r="M281" i="22" s="1"/>
  <c r="N281" i="22" s="1"/>
  <c r="D282" i="22" s="1"/>
  <c r="E282" i="22" s="1"/>
  <c r="G282" i="22" s="1"/>
  <c r="F282" i="22" s="1"/>
  <c r="BQ217" i="8"/>
  <c r="BS217" i="8" s="1"/>
  <c r="BR217" i="8" s="1"/>
  <c r="BV217" i="8"/>
  <c r="BP217" i="8"/>
  <c r="BU217" i="8"/>
  <c r="EJ210" i="8" l="1"/>
  <c r="EP210" i="8"/>
  <c r="EQ210" i="8" s="1"/>
  <c r="EV210" i="8" s="1"/>
  <c r="FY209" i="8"/>
  <c r="GE209" i="8"/>
  <c r="GG209" i="8"/>
  <c r="FZ209" i="8"/>
  <c r="GD209" i="8"/>
  <c r="GF209" i="8"/>
  <c r="GA209" i="8"/>
  <c r="GC209" i="8" s="1"/>
  <c r="GB209" i="8" s="1"/>
  <c r="FG211" i="8"/>
  <c r="AW282" i="22"/>
  <c r="CU209" i="8"/>
  <c r="CQ209" i="8"/>
  <c r="CS209" i="8" s="1"/>
  <c r="CR209" i="8" s="1"/>
  <c r="CV209" i="8"/>
  <c r="CO209" i="8"/>
  <c r="CW209" i="8"/>
  <c r="CP209" i="8"/>
  <c r="CT209" i="8"/>
  <c r="H282" i="22"/>
  <c r="J282" i="22"/>
  <c r="C282" i="22"/>
  <c r="K282" i="22"/>
  <c r="B282" i="22"/>
  <c r="I282" i="22"/>
  <c r="BX217" i="8"/>
  <c r="BY217" i="8" s="1"/>
  <c r="BZ217" i="8" s="1"/>
  <c r="ER210" i="8" l="1"/>
  <c r="GH209" i="8"/>
  <c r="GI209" i="8" s="1"/>
  <c r="GN209" i="8" s="1"/>
  <c r="L282" i="22"/>
  <c r="M282" i="22" s="1"/>
  <c r="N282" i="22" s="1"/>
  <c r="C283" i="22" s="1"/>
  <c r="CX209" i="8"/>
  <c r="CY209" i="8" s="1"/>
  <c r="DD209" i="8" s="1"/>
  <c r="CC217" i="8"/>
  <c r="BT218" i="8"/>
  <c r="BU218" i="8"/>
  <c r="BQ218" i="8"/>
  <c r="BP218" i="8"/>
  <c r="BV218" i="8"/>
  <c r="EI211" i="8" l="1"/>
  <c r="EK211" i="8" s="1"/>
  <c r="EO211" i="8"/>
  <c r="EH211" i="8"/>
  <c r="EN211" i="8"/>
  <c r="EL211" i="8"/>
  <c r="EG211" i="8"/>
  <c r="EM211" i="8"/>
  <c r="GJ209" i="8"/>
  <c r="GY210" i="8" s="1"/>
  <c r="AW283" i="22"/>
  <c r="H283" i="22"/>
  <c r="D283" i="22"/>
  <c r="E283" i="22" s="1"/>
  <c r="G283" i="22" s="1"/>
  <c r="F283" i="22" s="1"/>
  <c r="B283" i="22"/>
  <c r="I283" i="22"/>
  <c r="J283" i="22"/>
  <c r="K283" i="22"/>
  <c r="CZ209" i="8"/>
  <c r="DP210" i="8" s="1"/>
  <c r="BS218" i="8"/>
  <c r="BR218" i="8" s="1"/>
  <c r="GA210" i="8" l="1"/>
  <c r="GC210" i="8" s="1"/>
  <c r="GB210" i="8" s="1"/>
  <c r="GE210" i="8"/>
  <c r="GD210" i="8"/>
  <c r="FY210" i="8"/>
  <c r="GG210" i="8"/>
  <c r="FZ210" i="8"/>
  <c r="EJ211" i="8"/>
  <c r="EP211" i="8"/>
  <c r="EQ211" i="8" s="1"/>
  <c r="EV211" i="8" s="1"/>
  <c r="GF210" i="8"/>
  <c r="FG212" i="8"/>
  <c r="L283" i="22"/>
  <c r="M283" i="22" s="1"/>
  <c r="N283" i="22" s="1"/>
  <c r="I284" i="22" s="1"/>
  <c r="CQ210" i="8"/>
  <c r="CS210" i="8" s="1"/>
  <c r="CR210" i="8" s="1"/>
  <c r="CT210" i="8"/>
  <c r="CO210" i="8"/>
  <c r="CU210" i="8"/>
  <c r="CW210" i="8"/>
  <c r="CV210" i="8"/>
  <c r="CP210" i="8"/>
  <c r="BX218" i="8"/>
  <c r="BY218" i="8" s="1"/>
  <c r="CC218" i="8" s="1"/>
  <c r="GH210" i="8" l="1"/>
  <c r="GI210" i="8" s="1"/>
  <c r="GN210" i="8" s="1"/>
  <c r="ER211" i="8"/>
  <c r="AW284" i="22"/>
  <c r="GJ210" i="8"/>
  <c r="D284" i="22"/>
  <c r="E284" i="22" s="1"/>
  <c r="G284" i="22" s="1"/>
  <c r="F284" i="22" s="1"/>
  <c r="C284" i="22"/>
  <c r="J284" i="22"/>
  <c r="H284" i="22"/>
  <c r="K284" i="22"/>
  <c r="B284" i="22"/>
  <c r="CX210" i="8"/>
  <c r="CY210" i="8" s="1"/>
  <c r="DD210" i="8" s="1"/>
  <c r="BZ218" i="8"/>
  <c r="BT219" i="8" s="1"/>
  <c r="EO212" i="8" l="1"/>
  <c r="EH212" i="8"/>
  <c r="EL212" i="8"/>
  <c r="EI212" i="8"/>
  <c r="EK212" i="8" s="1"/>
  <c r="EN212" i="8"/>
  <c r="EM212" i="8"/>
  <c r="EG212" i="8"/>
  <c r="GA211" i="8"/>
  <c r="GC211" i="8" s="1"/>
  <c r="GB211" i="8" s="1"/>
  <c r="GY211" i="8"/>
  <c r="GG211" i="8"/>
  <c r="GE211" i="8"/>
  <c r="GD211" i="8"/>
  <c r="FZ211" i="8"/>
  <c r="FY211" i="8"/>
  <c r="GF211" i="8"/>
  <c r="L284" i="22"/>
  <c r="M284" i="22" s="1"/>
  <c r="N284" i="22" s="1"/>
  <c r="K285" i="22" s="1"/>
  <c r="CZ210" i="8"/>
  <c r="BQ219" i="8"/>
  <c r="BS219" i="8" s="1"/>
  <c r="BR219" i="8" s="1"/>
  <c r="BP219" i="8"/>
  <c r="BV219" i="8"/>
  <c r="BU219" i="8"/>
  <c r="EJ212" i="8" l="1"/>
  <c r="EP212" i="8"/>
  <c r="EQ212" i="8" s="1"/>
  <c r="EV212" i="8" s="1"/>
  <c r="FG213" i="8"/>
  <c r="CT211" i="8"/>
  <c r="DP211" i="8"/>
  <c r="AW285" i="22"/>
  <c r="GH211" i="8"/>
  <c r="GI211" i="8" s="1"/>
  <c r="GJ211" i="8" s="1"/>
  <c r="FY212" i="8" s="1"/>
  <c r="CP211" i="8"/>
  <c r="H285" i="22"/>
  <c r="J285" i="22"/>
  <c r="B285" i="22"/>
  <c r="I285" i="22"/>
  <c r="CQ211" i="8"/>
  <c r="CS211" i="8" s="1"/>
  <c r="CR211" i="8" s="1"/>
  <c r="CV211" i="8"/>
  <c r="CW211" i="8"/>
  <c r="C285" i="22"/>
  <c r="D285" i="22"/>
  <c r="E285" i="22" s="1"/>
  <c r="G285" i="22" s="1"/>
  <c r="F285" i="22" s="1"/>
  <c r="CU211" i="8"/>
  <c r="CO211" i="8"/>
  <c r="BX219" i="8"/>
  <c r="BY219" i="8" s="1"/>
  <c r="ER212" i="8" l="1"/>
  <c r="FG214" i="8"/>
  <c r="GY212" i="8"/>
  <c r="GD212" i="8"/>
  <c r="GN211" i="8"/>
  <c r="GE212" i="8"/>
  <c r="GG212" i="8"/>
  <c r="GA212" i="8"/>
  <c r="GC212" i="8" s="1"/>
  <c r="GB212" i="8" s="1"/>
  <c r="GF212" i="8"/>
  <c r="FZ212" i="8"/>
  <c r="CX211" i="8"/>
  <c r="CY211" i="8" s="1"/>
  <c r="DD211" i="8" s="1"/>
  <c r="L285" i="22"/>
  <c r="M285" i="22" s="1"/>
  <c r="N285" i="22" s="1"/>
  <c r="C286" i="22" s="1"/>
  <c r="BZ219" i="8"/>
  <c r="BV220" i="8" s="1"/>
  <c r="CC219" i="8"/>
  <c r="EG213" i="8" l="1"/>
  <c r="EH213" i="8"/>
  <c r="EN213" i="8"/>
  <c r="EM213" i="8"/>
  <c r="EL213" i="8"/>
  <c r="EI213" i="8"/>
  <c r="EK213" i="8" s="1"/>
  <c r="EO213" i="8"/>
  <c r="AW286" i="22"/>
  <c r="CZ211" i="8"/>
  <c r="CQ212" i="8" s="1"/>
  <c r="CS212" i="8" s="1"/>
  <c r="CR212" i="8" s="1"/>
  <c r="GH212" i="8"/>
  <c r="GI212" i="8" s="1"/>
  <c r="GN212" i="8" s="1"/>
  <c r="D286" i="22"/>
  <c r="E286" i="22" s="1"/>
  <c r="G286" i="22" s="1"/>
  <c r="F286" i="22" s="1"/>
  <c r="H286" i="22"/>
  <c r="I286" i="22"/>
  <c r="B286" i="22"/>
  <c r="K286" i="22"/>
  <c r="J286" i="22"/>
  <c r="BQ220" i="8"/>
  <c r="BS220" i="8" s="1"/>
  <c r="BR220" i="8" s="1"/>
  <c r="BU220" i="8"/>
  <c r="BP220" i="8"/>
  <c r="BT220" i="8"/>
  <c r="EJ213" i="8" l="1"/>
  <c r="EP213" i="8"/>
  <c r="EQ213" i="8" s="1"/>
  <c r="CO212" i="8"/>
  <c r="CT212" i="8"/>
  <c r="CV212" i="8"/>
  <c r="CU212" i="8"/>
  <c r="CP212" i="8"/>
  <c r="DP212" i="8"/>
  <c r="CW212" i="8"/>
  <c r="GJ212" i="8"/>
  <c r="FZ213" i="8" s="1"/>
  <c r="L286" i="22"/>
  <c r="M286" i="22" s="1"/>
  <c r="N286" i="22" s="1"/>
  <c r="K287" i="22" s="1"/>
  <c r="BX220" i="8"/>
  <c r="BY220" i="8" s="1"/>
  <c r="BZ220" i="8" s="1"/>
  <c r="ER213" i="8" l="1"/>
  <c r="EV213" i="8"/>
  <c r="CX212" i="8"/>
  <c r="CY212" i="8" s="1"/>
  <c r="DD212" i="8" s="1"/>
  <c r="GG213" i="8"/>
  <c r="FY213" i="8"/>
  <c r="GD213" i="8"/>
  <c r="GE213" i="8"/>
  <c r="GA213" i="8"/>
  <c r="GC213" i="8" s="1"/>
  <c r="GB213" i="8" s="1"/>
  <c r="FG215" i="8"/>
  <c r="GF213" i="8"/>
  <c r="GY213" i="8"/>
  <c r="AW287" i="22"/>
  <c r="B287" i="22"/>
  <c r="H287" i="22"/>
  <c r="C287" i="22"/>
  <c r="I287" i="22"/>
  <c r="D287" i="22"/>
  <c r="E287" i="22" s="1"/>
  <c r="G287" i="22" s="1"/>
  <c r="F287" i="22" s="1"/>
  <c r="J287" i="22"/>
  <c r="CZ212" i="8"/>
  <c r="CC220" i="8"/>
  <c r="BV221" i="8"/>
  <c r="BQ221" i="8"/>
  <c r="BP221" i="8"/>
  <c r="BT221" i="8"/>
  <c r="BU221" i="8"/>
  <c r="EG214" i="8" l="1"/>
  <c r="EH214" i="8"/>
  <c r="EN214" i="8"/>
  <c r="EL214" i="8"/>
  <c r="EP214" i="8" s="1"/>
  <c r="EQ214" i="8" s="1"/>
  <c r="EO214" i="8"/>
  <c r="EI214" i="8"/>
  <c r="EK214" i="8" s="1"/>
  <c r="EJ214" i="8" s="1"/>
  <c r="EM214" i="8"/>
  <c r="GH213" i="8"/>
  <c r="GI213" i="8" s="1"/>
  <c r="GN213" i="8" s="1"/>
  <c r="CT213" i="8"/>
  <c r="DP213" i="8"/>
  <c r="CV213" i="8"/>
  <c r="CO213" i="8"/>
  <c r="CU213" i="8"/>
  <c r="CW213" i="8"/>
  <c r="CQ213" i="8"/>
  <c r="CS213" i="8" s="1"/>
  <c r="CR213" i="8" s="1"/>
  <c r="L287" i="22"/>
  <c r="M287" i="22" s="1"/>
  <c r="N287" i="22" s="1"/>
  <c r="B288" i="22" s="1"/>
  <c r="CP213" i="8"/>
  <c r="M288" i="22"/>
  <c r="BS221" i="8"/>
  <c r="EV214" i="8" l="1"/>
  <c r="ER214" i="8"/>
  <c r="GJ213" i="8"/>
  <c r="GG214" i="8" s="1"/>
  <c r="GY214" i="8"/>
  <c r="AW288" i="22"/>
  <c r="CX213" i="8"/>
  <c r="CY213" i="8" s="1"/>
  <c r="DD213" i="8" s="1"/>
  <c r="C288" i="22"/>
  <c r="J288" i="22"/>
  <c r="I288" i="22"/>
  <c r="H288" i="22"/>
  <c r="K288" i="22"/>
  <c r="D288" i="22"/>
  <c r="E288" i="22" s="1"/>
  <c r="G288" i="22" s="1"/>
  <c r="F288" i="22" s="1"/>
  <c r="N288" i="22" s="1"/>
  <c r="I289" i="22" s="1"/>
  <c r="M289" i="22"/>
  <c r="BR221" i="8"/>
  <c r="BX221" i="8"/>
  <c r="EM215" i="8" l="1"/>
  <c r="EI215" i="8"/>
  <c r="EK215" i="8" s="1"/>
  <c r="EJ215" i="8" s="1"/>
  <c r="EL215" i="8"/>
  <c r="EG215" i="8"/>
  <c r="EN215" i="8"/>
  <c r="EH215" i="8"/>
  <c r="EO215" i="8"/>
  <c r="EP215" i="8"/>
  <c r="EQ215" i="8" s="1"/>
  <c r="ER215" i="8" s="1"/>
  <c r="EH216" i="8" s="1"/>
  <c r="FY214" i="8"/>
  <c r="GE214" i="8"/>
  <c r="GA214" i="8"/>
  <c r="GC214" i="8" s="1"/>
  <c r="GB214" i="8" s="1"/>
  <c r="GF214" i="8"/>
  <c r="FZ214" i="8"/>
  <c r="GD214" i="8"/>
  <c r="CZ213" i="8"/>
  <c r="CW214" i="8" s="1"/>
  <c r="AW289" i="22"/>
  <c r="DP214" i="8"/>
  <c r="L288" i="22"/>
  <c r="J289" i="22"/>
  <c r="K289" i="22"/>
  <c r="H289" i="22"/>
  <c r="C289" i="22"/>
  <c r="D289" i="22"/>
  <c r="E289" i="22" s="1"/>
  <c r="G289" i="22" s="1"/>
  <c r="B289" i="22"/>
  <c r="M290" i="22"/>
  <c r="BY221" i="8"/>
  <c r="BZ221" i="8" s="1"/>
  <c r="EN216" i="8" l="1"/>
  <c r="CT214" i="8"/>
  <c r="CP214" i="8"/>
  <c r="FG216" i="8"/>
  <c r="EL216" i="8"/>
  <c r="EO216" i="8"/>
  <c r="EM216" i="8"/>
  <c r="EI216" i="8"/>
  <c r="EK216" i="8" s="1"/>
  <c r="EG216" i="8"/>
  <c r="EV215" i="8"/>
  <c r="GH214" i="8"/>
  <c r="GI214" i="8" s="1"/>
  <c r="GN214" i="8" s="1"/>
  <c r="CO214" i="8"/>
  <c r="CU214" i="8"/>
  <c r="CV214" i="8"/>
  <c r="CQ214" i="8"/>
  <c r="CS214" i="8" s="1"/>
  <c r="CR214" i="8" s="1"/>
  <c r="F289" i="22"/>
  <c r="N289" i="22" s="1"/>
  <c r="AW290" i="22" s="1"/>
  <c r="L289" i="22"/>
  <c r="CX214" i="8"/>
  <c r="CY214" i="8" s="1"/>
  <c r="M291" i="22"/>
  <c r="BP222" i="8"/>
  <c r="BT222" i="8"/>
  <c r="BV222" i="8"/>
  <c r="BU222" i="8"/>
  <c r="BQ222" i="8"/>
  <c r="BS222" i="8" s="1"/>
  <c r="BR222" i="8" s="1"/>
  <c r="CC221" i="8"/>
  <c r="DD214" i="8" l="1"/>
  <c r="EP216" i="8"/>
  <c r="EQ216" i="8" s="1"/>
  <c r="EV216" i="8" s="1"/>
  <c r="EJ216" i="8"/>
  <c r="ER216" i="8" s="1"/>
  <c r="FG217" i="8" s="1"/>
  <c r="GJ214" i="8"/>
  <c r="FY215" i="8" s="1"/>
  <c r="GY215" i="8"/>
  <c r="GG215" i="8"/>
  <c r="CZ214" i="8"/>
  <c r="I290" i="22"/>
  <c r="C290" i="22"/>
  <c r="D290" i="22"/>
  <c r="E290" i="22" s="1"/>
  <c r="G290" i="22" s="1"/>
  <c r="F290" i="22" s="1"/>
  <c r="N290" i="22" s="1"/>
  <c r="K290" i="22"/>
  <c r="B290" i="22"/>
  <c r="J290" i="22"/>
  <c r="H290" i="22"/>
  <c r="BX222" i="8"/>
  <c r="BY222" i="8" s="1"/>
  <c r="BZ222" i="8" s="1"/>
  <c r="FZ215" i="8" l="1"/>
  <c r="EO217" i="8"/>
  <c r="EM217" i="8"/>
  <c r="EG217" i="8"/>
  <c r="EL217" i="8"/>
  <c r="EN217" i="8"/>
  <c r="EI217" i="8"/>
  <c r="EK217" i="8" s="1"/>
  <c r="GD215" i="8"/>
  <c r="EH217" i="8"/>
  <c r="GA215" i="8"/>
  <c r="GC215" i="8" s="1"/>
  <c r="GE215" i="8"/>
  <c r="GF215" i="8"/>
  <c r="GB215" i="8"/>
  <c r="GH215" i="8"/>
  <c r="GI215" i="8" s="1"/>
  <c r="AW291" i="22"/>
  <c r="CP215" i="8"/>
  <c r="DP215" i="8"/>
  <c r="CT215" i="8"/>
  <c r="CO215" i="8"/>
  <c r="CV215" i="8"/>
  <c r="CQ215" i="8"/>
  <c r="CS215" i="8" s="1"/>
  <c r="CR215" i="8" s="1"/>
  <c r="CU215" i="8"/>
  <c r="CW215" i="8"/>
  <c r="B291" i="22"/>
  <c r="C291" i="22"/>
  <c r="H291" i="22"/>
  <c r="K291" i="22"/>
  <c r="J291" i="22"/>
  <c r="D291" i="22"/>
  <c r="E291" i="22" s="1"/>
  <c r="G291" i="22" s="1"/>
  <c r="F291" i="22" s="1"/>
  <c r="N291" i="22" s="1"/>
  <c r="I291" i="22"/>
  <c r="L290" i="22"/>
  <c r="EP217" i="8"/>
  <c r="EQ217" i="8" s="1"/>
  <c r="EJ217" i="8"/>
  <c r="CC222" i="8"/>
  <c r="BQ223" i="8"/>
  <c r="BS223" i="8" s="1"/>
  <c r="BR223" i="8" s="1"/>
  <c r="BV223" i="8"/>
  <c r="BU223" i="8"/>
  <c r="BP223" i="8"/>
  <c r="BT223" i="8"/>
  <c r="M293" i="22"/>
  <c r="EV217" i="8" l="1"/>
  <c r="GN215" i="8"/>
  <c r="GJ215" i="8"/>
  <c r="AW292" i="22"/>
  <c r="CX215" i="8"/>
  <c r="CY215" i="8" s="1"/>
  <c r="DD215" i="8" s="1"/>
  <c r="H292" i="22"/>
  <c r="K292" i="22"/>
  <c r="J292" i="22"/>
  <c r="C292" i="22"/>
  <c r="D292" i="22"/>
  <c r="E292" i="22" s="1"/>
  <c r="G292" i="22" s="1"/>
  <c r="F292" i="22" s="1"/>
  <c r="I292" i="22"/>
  <c r="M292" i="22" s="1"/>
  <c r="B292" i="22"/>
  <c r="L291" i="22"/>
  <c r="ER217" i="8"/>
  <c r="FG218" i="8" s="1"/>
  <c r="BX223" i="8"/>
  <c r="BY223" i="8"/>
  <c r="BZ223" i="8" s="1"/>
  <c r="FY216" i="8" l="1"/>
  <c r="FZ216" i="8"/>
  <c r="GA216" i="8"/>
  <c r="GC216" i="8" s="1"/>
  <c r="GB216" i="8" s="1"/>
  <c r="GF216" i="8"/>
  <c r="GG216" i="8"/>
  <c r="GD216" i="8"/>
  <c r="GY216" i="8"/>
  <c r="GE216" i="8"/>
  <c r="CZ215" i="8"/>
  <c r="DP216" i="8" s="1"/>
  <c r="N292" i="22"/>
  <c r="AW293" i="22" s="1"/>
  <c r="L292" i="22"/>
  <c r="EL218" i="8"/>
  <c r="EI218" i="8"/>
  <c r="EK218" i="8" s="1"/>
  <c r="EG218" i="8"/>
  <c r="EM218" i="8"/>
  <c r="EO218" i="8"/>
  <c r="EH218" i="8"/>
  <c r="EN218" i="8"/>
  <c r="CC223" i="8"/>
  <c r="BQ224" i="8"/>
  <c r="BT224" i="8"/>
  <c r="BU224" i="8"/>
  <c r="BP224" i="8"/>
  <c r="BV224" i="8"/>
  <c r="M294" i="22"/>
  <c r="CQ216" i="8" l="1"/>
  <c r="CS216" i="8" s="1"/>
  <c r="CU216" i="8"/>
  <c r="CP216" i="8"/>
  <c r="CO216" i="8"/>
  <c r="CV216" i="8"/>
  <c r="CW216" i="8"/>
  <c r="CT216" i="8"/>
  <c r="CX216" i="8" s="1"/>
  <c r="CY216" i="8" s="1"/>
  <c r="GH216" i="8"/>
  <c r="GI216" i="8" s="1"/>
  <c r="GJ216" i="8" s="1"/>
  <c r="H293" i="22"/>
  <c r="B293" i="22"/>
  <c r="J293" i="22"/>
  <c r="D293" i="22"/>
  <c r="E293" i="22" s="1"/>
  <c r="G293" i="22" s="1"/>
  <c r="F293" i="22" s="1"/>
  <c r="N293" i="22" s="1"/>
  <c r="K293" i="22"/>
  <c r="C293" i="22"/>
  <c r="I293" i="22"/>
  <c r="EJ218" i="8"/>
  <c r="EP218" i="8"/>
  <c r="EQ218" i="8" s="1"/>
  <c r="CR216" i="8"/>
  <c r="BS224" i="8"/>
  <c r="BR224" i="8" s="1"/>
  <c r="DD216" i="8" l="1"/>
  <c r="GN216" i="8"/>
  <c r="GY217" i="8"/>
  <c r="GA217" i="8"/>
  <c r="GC217" i="8" s="1"/>
  <c r="GE217" i="8"/>
  <c r="FZ217" i="8"/>
  <c r="GF217" i="8"/>
  <c r="GG217" i="8"/>
  <c r="GD217" i="8"/>
  <c r="FY217" i="8"/>
  <c r="AW294" i="22"/>
  <c r="ER218" i="8"/>
  <c r="FG219" i="8" s="1"/>
  <c r="H294" i="22"/>
  <c r="C294" i="22"/>
  <c r="D294" i="22"/>
  <c r="E294" i="22" s="1"/>
  <c r="G294" i="22" s="1"/>
  <c r="F294" i="22" s="1"/>
  <c r="N294" i="22" s="1"/>
  <c r="K294" i="22"/>
  <c r="B294" i="22"/>
  <c r="J294" i="22"/>
  <c r="I294" i="22"/>
  <c r="L293" i="22"/>
  <c r="EV218" i="8"/>
  <c r="CZ216" i="8"/>
  <c r="DP217" i="8" s="1"/>
  <c r="BX224" i="8"/>
  <c r="BY224" i="8" s="1"/>
  <c r="BZ224" i="8" s="1"/>
  <c r="BU225" i="8" s="1"/>
  <c r="M295" i="22"/>
  <c r="EM219" i="8" l="1"/>
  <c r="EL219" i="8"/>
  <c r="EN219" i="8"/>
  <c r="AW295" i="22"/>
  <c r="GB217" i="8"/>
  <c r="GH217" i="8"/>
  <c r="GI217" i="8" s="1"/>
  <c r="GN217" i="8" s="1"/>
  <c r="EH219" i="8"/>
  <c r="EI219" i="8"/>
  <c r="EK219" i="8" s="1"/>
  <c r="EJ219" i="8" s="1"/>
  <c r="EO219" i="8"/>
  <c r="EG219" i="8"/>
  <c r="L294" i="22"/>
  <c r="H295" i="22"/>
  <c r="C295" i="22"/>
  <c r="I295" i="22"/>
  <c r="K295" i="22"/>
  <c r="J295" i="22"/>
  <c r="B295" i="22"/>
  <c r="D295" i="22"/>
  <c r="E295" i="22" s="1"/>
  <c r="G295" i="22" s="1"/>
  <c r="F295" i="22" s="1"/>
  <c r="N295" i="22" s="1"/>
  <c r="BQ225" i="8"/>
  <c r="BS225" i="8" s="1"/>
  <c r="BR225" i="8" s="1"/>
  <c r="CC224" i="8"/>
  <c r="BV225" i="8"/>
  <c r="BT225" i="8"/>
  <c r="CW217" i="8"/>
  <c r="CU217" i="8"/>
  <c r="CO217" i="8"/>
  <c r="CV217" i="8"/>
  <c r="CQ217" i="8"/>
  <c r="CS217" i="8" s="1"/>
  <c r="CR217" i="8" s="1"/>
  <c r="CP217" i="8"/>
  <c r="CT217" i="8"/>
  <c r="BP225" i="8"/>
  <c r="EP219" i="8" l="1"/>
  <c r="EQ219" i="8" s="1"/>
  <c r="EV219" i="8" s="1"/>
  <c r="GJ217" i="8"/>
  <c r="FZ218" i="8" s="1"/>
  <c r="AW296" i="22"/>
  <c r="B296" i="22"/>
  <c r="H296" i="22"/>
  <c r="C296" i="22"/>
  <c r="J296" i="22"/>
  <c r="I296" i="22"/>
  <c r="K296" i="22"/>
  <c r="D296" i="22"/>
  <c r="E296" i="22" s="1"/>
  <c r="G296" i="22" s="1"/>
  <c r="F296" i="22" s="1"/>
  <c r="L295" i="22"/>
  <c r="BX225" i="8"/>
  <c r="BY225" i="8" s="1"/>
  <c r="BZ225" i="8" s="1"/>
  <c r="CX217" i="8"/>
  <c r="CY217" i="8" s="1"/>
  <c r="DD217" i="8" s="1"/>
  <c r="M296" i="22"/>
  <c r="ER219" i="8" l="1"/>
  <c r="GG218" i="8"/>
  <c r="GE218" i="8"/>
  <c r="GY218" i="8"/>
  <c r="GA218" i="8"/>
  <c r="GC218" i="8" s="1"/>
  <c r="GB218" i="8" s="1"/>
  <c r="GD218" i="8"/>
  <c r="GF218" i="8"/>
  <c r="FY218" i="8"/>
  <c r="FG220" i="8"/>
  <c r="L296" i="22"/>
  <c r="N296" i="22"/>
  <c r="AW297" i="22" s="1"/>
  <c r="CZ217" i="8"/>
  <c r="DP218" i="8" s="1"/>
  <c r="M297" i="22"/>
  <c r="CC225" i="8"/>
  <c r="BP226" i="8"/>
  <c r="BT226" i="8"/>
  <c r="BQ226" i="8"/>
  <c r="BS226" i="8" s="1"/>
  <c r="BR226" i="8" s="1"/>
  <c r="BU226" i="8"/>
  <c r="BV226" i="8"/>
  <c r="EL220" i="8" l="1"/>
  <c r="EN220" i="8"/>
  <c r="EM220" i="8"/>
  <c r="EH220" i="8"/>
  <c r="EO220" i="8"/>
  <c r="EI220" i="8"/>
  <c r="EK220" i="8" s="1"/>
  <c r="EJ220" i="8" s="1"/>
  <c r="EG220" i="8"/>
  <c r="GH218" i="8"/>
  <c r="GI218" i="8" s="1"/>
  <c r="GN218" i="8" s="1"/>
  <c r="EP220" i="8"/>
  <c r="EQ220" i="8" s="1"/>
  <c r="D297" i="22"/>
  <c r="E297" i="22" s="1"/>
  <c r="G297" i="22" s="1"/>
  <c r="F297" i="22" s="1"/>
  <c r="N297" i="22" s="1"/>
  <c r="H297" i="22"/>
  <c r="I297" i="22"/>
  <c r="K297" i="22"/>
  <c r="C297" i="22"/>
  <c r="B297" i="22"/>
  <c r="J297" i="22"/>
  <c r="CV218" i="8"/>
  <c r="CO218" i="8"/>
  <c r="CT218" i="8"/>
  <c r="CU218" i="8"/>
  <c r="CQ218" i="8"/>
  <c r="CS218" i="8" s="1"/>
  <c r="CR218" i="8" s="1"/>
  <c r="CW218" i="8"/>
  <c r="CP218" i="8"/>
  <c r="BX226" i="8"/>
  <c r="BY226" i="8" s="1"/>
  <c r="BZ226" i="8" s="1"/>
  <c r="EV220" i="8" l="1"/>
  <c r="GJ218" i="8"/>
  <c r="AW298" i="22"/>
  <c r="ER220" i="8"/>
  <c r="L297" i="22"/>
  <c r="H298" i="22"/>
  <c r="B298" i="22"/>
  <c r="J298" i="22"/>
  <c r="C298" i="22"/>
  <c r="K298" i="22"/>
  <c r="I298" i="22"/>
  <c r="D298" i="22"/>
  <c r="E298" i="22" s="1"/>
  <c r="G298" i="22" s="1"/>
  <c r="F298" i="22" s="1"/>
  <c r="CX218" i="8"/>
  <c r="CY218" i="8" s="1"/>
  <c r="DD218" i="8" s="1"/>
  <c r="M298" i="22"/>
  <c r="BU227" i="8"/>
  <c r="BP227" i="8"/>
  <c r="BV227" i="8"/>
  <c r="BQ227" i="8"/>
  <c r="BS227" i="8" s="1"/>
  <c r="BR227" i="8" s="1"/>
  <c r="BT227" i="8"/>
  <c r="CC226" i="8"/>
  <c r="GY219" i="8" l="1"/>
  <c r="GF219" i="8"/>
  <c r="GD219" i="8"/>
  <c r="FZ219" i="8"/>
  <c r="GG219" i="8"/>
  <c r="FY219" i="8"/>
  <c r="GA219" i="8"/>
  <c r="GC219" i="8" s="1"/>
  <c r="GE219" i="8"/>
  <c r="EH221" i="8"/>
  <c r="FG221" i="8"/>
  <c r="EL221" i="8"/>
  <c r="EI221" i="8"/>
  <c r="EK221" i="8" s="1"/>
  <c r="EJ221" i="8" s="1"/>
  <c r="EM221" i="8"/>
  <c r="EN221" i="8"/>
  <c r="EO221" i="8"/>
  <c r="EG221" i="8"/>
  <c r="L298" i="22"/>
  <c r="N298" i="22"/>
  <c r="H299" i="22" s="1"/>
  <c r="CZ218" i="8"/>
  <c r="BX227" i="8"/>
  <c r="BY227" i="8" s="1"/>
  <c r="BZ227" i="8" s="1"/>
  <c r="BV228" i="8" s="1"/>
  <c r="GH219" i="8" l="1"/>
  <c r="GI219" i="8" s="1"/>
  <c r="GN219" i="8" s="1"/>
  <c r="GB219" i="8"/>
  <c r="EP221" i="8"/>
  <c r="EQ221" i="8" s="1"/>
  <c r="ER221" i="8" s="1"/>
  <c r="EL222" i="8" s="1"/>
  <c r="CV219" i="8"/>
  <c r="DP219" i="8"/>
  <c r="AW299" i="22"/>
  <c r="AV299" i="22" s="1"/>
  <c r="AU299" i="22" s="1"/>
  <c r="CP219" i="8"/>
  <c r="CT219" i="8"/>
  <c r="CQ219" i="8"/>
  <c r="CS219" i="8" s="1"/>
  <c r="CR219" i="8" s="1"/>
  <c r="D299" i="22"/>
  <c r="E299" i="22" s="1"/>
  <c r="I299" i="22"/>
  <c r="CW219" i="8"/>
  <c r="CO219" i="8"/>
  <c r="J299" i="22"/>
  <c r="C299" i="22"/>
  <c r="K299" i="22"/>
  <c r="CU219" i="8"/>
  <c r="B299" i="22"/>
  <c r="M299" i="22"/>
  <c r="CC227" i="8"/>
  <c r="BP228" i="8"/>
  <c r="BQ228" i="8"/>
  <c r="BS228" i="8" s="1"/>
  <c r="BR228" i="8" s="1"/>
  <c r="BT228" i="8"/>
  <c r="BU228" i="8"/>
  <c r="GJ219" i="8" l="1"/>
  <c r="GD220" i="8" s="1"/>
  <c r="EV221" i="8"/>
  <c r="GY220" i="8"/>
  <c r="GA220" i="8"/>
  <c r="GC220" i="8" s="1"/>
  <c r="FY220" i="8"/>
  <c r="GF220" i="8"/>
  <c r="G299" i="22"/>
  <c r="F299" i="22" s="1"/>
  <c r="N299" i="22" s="1"/>
  <c r="C300" i="22" s="1"/>
  <c r="CX219" i="8"/>
  <c r="CY219" i="8" s="1"/>
  <c r="DD219" i="8" s="1"/>
  <c r="FG222" i="8"/>
  <c r="EN222" i="8"/>
  <c r="EI222" i="8"/>
  <c r="EK222" i="8" s="1"/>
  <c r="EJ222" i="8" s="1"/>
  <c r="EO222" i="8"/>
  <c r="EG222" i="8"/>
  <c r="EH222" i="8"/>
  <c r="EM222" i="8"/>
  <c r="M300" i="22"/>
  <c r="BX228" i="8"/>
  <c r="BY228" i="8" s="1"/>
  <c r="CC228" i="8" s="1"/>
  <c r="FZ220" i="8" l="1"/>
  <c r="GE220" i="8"/>
  <c r="GG220" i="8"/>
  <c r="L299" i="22"/>
  <c r="GB220" i="8"/>
  <c r="GH220" i="8"/>
  <c r="GI220" i="8" s="1"/>
  <c r="AW300" i="22"/>
  <c r="CZ219" i="8"/>
  <c r="DP220" i="8" s="1"/>
  <c r="J300" i="22"/>
  <c r="D300" i="22"/>
  <c r="E300" i="22" s="1"/>
  <c r="G300" i="22" s="1"/>
  <c r="F300" i="22" s="1"/>
  <c r="N300" i="22" s="1"/>
  <c r="I301" i="22" s="1"/>
  <c r="I300" i="22"/>
  <c r="K300" i="22"/>
  <c r="B300" i="22"/>
  <c r="H300" i="22"/>
  <c r="EP222" i="8"/>
  <c r="EQ222" i="8" s="1"/>
  <c r="ER222" i="8" s="1"/>
  <c r="FG223" i="8" s="1"/>
  <c r="BZ228" i="8"/>
  <c r="BT229" i="8" s="1"/>
  <c r="GN220" i="8" l="1"/>
  <c r="CT220" i="8"/>
  <c r="CV220" i="8"/>
  <c r="CO220" i="8"/>
  <c r="CU220" i="8"/>
  <c r="CW220" i="8"/>
  <c r="CP220" i="8"/>
  <c r="CQ220" i="8"/>
  <c r="CS220" i="8" s="1"/>
  <c r="CR220" i="8" s="1"/>
  <c r="L300" i="22"/>
  <c r="GJ220" i="8"/>
  <c r="H301" i="22"/>
  <c r="EV222" i="8"/>
  <c r="AW301" i="22"/>
  <c r="C301" i="22"/>
  <c r="J301" i="22"/>
  <c r="B301" i="22"/>
  <c r="D301" i="22"/>
  <c r="E301" i="22" s="1"/>
  <c r="G301" i="22" s="1"/>
  <c r="F301" i="22" s="1"/>
  <c r="K301" i="22"/>
  <c r="BQ229" i="8"/>
  <c r="BS229" i="8" s="1"/>
  <c r="BR229" i="8" s="1"/>
  <c r="BU229" i="8"/>
  <c r="BV229" i="8"/>
  <c r="BP229" i="8"/>
  <c r="EM223" i="8"/>
  <c r="EL223" i="8"/>
  <c r="EN223" i="8"/>
  <c r="EG223" i="8"/>
  <c r="EO223" i="8"/>
  <c r="EI223" i="8"/>
  <c r="EK223" i="8" s="1"/>
  <c r="EJ223" i="8" s="1"/>
  <c r="EH223" i="8"/>
  <c r="CX220" i="8" l="1"/>
  <c r="CY220" i="8" s="1"/>
  <c r="DD220" i="8" s="1"/>
  <c r="GY221" i="8"/>
  <c r="GE221" i="8"/>
  <c r="GD221" i="8"/>
  <c r="FY221" i="8"/>
  <c r="FZ221" i="8"/>
  <c r="GA221" i="8"/>
  <c r="GC221" i="8" s="1"/>
  <c r="GF221" i="8"/>
  <c r="GG221" i="8"/>
  <c r="L301" i="22"/>
  <c r="M301" i="22" s="1"/>
  <c r="N301" i="22" s="1"/>
  <c r="AW302" i="22" s="1"/>
  <c r="BX229" i="8"/>
  <c r="CZ220" i="8"/>
  <c r="DP221" i="8" s="1"/>
  <c r="BY229" i="8"/>
  <c r="BZ229" i="8" s="1"/>
  <c r="EP223" i="8"/>
  <c r="EQ223" i="8" s="1"/>
  <c r="EV223" i="8" s="1"/>
  <c r="GH221" i="8" l="1"/>
  <c r="GI221" i="8" s="1"/>
  <c r="GN221" i="8" s="1"/>
  <c r="GB221" i="8"/>
  <c r="J302" i="22"/>
  <c r="C302" i="22"/>
  <c r="I302" i="22"/>
  <c r="B302" i="22"/>
  <c r="D302" i="22"/>
  <c r="E302" i="22" s="1"/>
  <c r="G302" i="22" s="1"/>
  <c r="F302" i="22" s="1"/>
  <c r="K302" i="22"/>
  <c r="H302" i="22"/>
  <c r="CW221" i="8"/>
  <c r="CV221" i="8"/>
  <c r="CQ221" i="8"/>
  <c r="CS221" i="8" s="1"/>
  <c r="CR221" i="8" s="1"/>
  <c r="CU221" i="8"/>
  <c r="CO221" i="8"/>
  <c r="CT221" i="8"/>
  <c r="CP221" i="8"/>
  <c r="BU230" i="8"/>
  <c r="BV230" i="8"/>
  <c r="BT230" i="8"/>
  <c r="BQ230" i="8"/>
  <c r="BS230" i="8" s="1"/>
  <c r="BR230" i="8" s="1"/>
  <c r="BP230" i="8"/>
  <c r="CC229" i="8"/>
  <c r="ER223" i="8"/>
  <c r="GJ221" i="8" l="1"/>
  <c r="GG222" i="8" s="1"/>
  <c r="EL224" i="8"/>
  <c r="FG224" i="8"/>
  <c r="L302" i="22"/>
  <c r="M302" i="22" s="1"/>
  <c r="N302" i="22" s="1"/>
  <c r="H303" i="22" s="1"/>
  <c r="CX221" i="8"/>
  <c r="CY221" i="8" s="1"/>
  <c r="DD221" i="8" s="1"/>
  <c r="BX230" i="8"/>
  <c r="BY230" i="8"/>
  <c r="BZ230" i="8" s="1"/>
  <c r="EM224" i="8"/>
  <c r="EH224" i="8"/>
  <c r="EO224" i="8"/>
  <c r="EI224" i="8"/>
  <c r="EK224" i="8" s="1"/>
  <c r="EJ224" i="8" s="1"/>
  <c r="EN224" i="8"/>
  <c r="EG224" i="8"/>
  <c r="GF222" i="8" l="1"/>
  <c r="GY222" i="8"/>
  <c r="GD222" i="8"/>
  <c r="FZ222" i="8"/>
  <c r="GA222" i="8"/>
  <c r="GC222" i="8" s="1"/>
  <c r="GE222" i="8"/>
  <c r="FY222" i="8"/>
  <c r="J303" i="22"/>
  <c r="AW303" i="22"/>
  <c r="K303" i="22"/>
  <c r="D303" i="22"/>
  <c r="E303" i="22" s="1"/>
  <c r="G303" i="22" s="1"/>
  <c r="C303" i="22"/>
  <c r="B303" i="22"/>
  <c r="I303" i="22"/>
  <c r="CZ221" i="8"/>
  <c r="BQ231" i="8"/>
  <c r="BS231" i="8" s="1"/>
  <c r="BR231" i="8" s="1"/>
  <c r="BV231" i="8"/>
  <c r="BU231" i="8"/>
  <c r="BT231" i="8"/>
  <c r="BP231" i="8"/>
  <c r="CC230" i="8"/>
  <c r="EP224" i="8"/>
  <c r="EQ224" i="8" s="1"/>
  <c r="EV224" i="8" s="1"/>
  <c r="GB222" i="8" l="1"/>
  <c r="GH222" i="8"/>
  <c r="GI222" i="8" s="1"/>
  <c r="GN222" i="8" s="1"/>
  <c r="L303" i="22"/>
  <c r="M303" i="22" s="1"/>
  <c r="F303" i="22"/>
  <c r="CW222" i="8"/>
  <c r="DP222" i="8"/>
  <c r="GY223" i="8"/>
  <c r="CT222" i="8"/>
  <c r="CU222" i="8"/>
  <c r="CP222" i="8"/>
  <c r="CV222" i="8"/>
  <c r="CO222" i="8"/>
  <c r="CQ222" i="8"/>
  <c r="CS222" i="8" s="1"/>
  <c r="CR222" i="8" s="1"/>
  <c r="BX231" i="8"/>
  <c r="BY231" i="8"/>
  <c r="ER224" i="8"/>
  <c r="N303" i="22" l="1"/>
  <c r="H304" i="22" s="1"/>
  <c r="GJ222" i="8"/>
  <c r="AW304" i="22"/>
  <c r="EL225" i="8"/>
  <c r="FG225" i="8"/>
  <c r="CC231" i="8"/>
  <c r="CX222" i="8"/>
  <c r="CY222" i="8" s="1"/>
  <c r="DD222" i="8" s="1"/>
  <c r="BZ231" i="8"/>
  <c r="EH225" i="8"/>
  <c r="EO225" i="8"/>
  <c r="EN225" i="8"/>
  <c r="EI225" i="8"/>
  <c r="EK225" i="8" s="1"/>
  <c r="EJ225" i="8" s="1"/>
  <c r="EG225" i="8"/>
  <c r="EM225" i="8"/>
  <c r="C304" i="22"/>
  <c r="I304" i="22"/>
  <c r="D304" i="22"/>
  <c r="E304" i="22" s="1"/>
  <c r="G304" i="22" s="1"/>
  <c r="F304" i="22" s="1"/>
  <c r="K304" i="22"/>
  <c r="J304" i="22"/>
  <c r="B304" i="22" l="1"/>
  <c r="GF223" i="8"/>
  <c r="GD223" i="8"/>
  <c r="FY223" i="8"/>
  <c r="GA223" i="8"/>
  <c r="GC223" i="8" s="1"/>
  <c r="GB223" i="8" s="1"/>
  <c r="FZ223" i="8"/>
  <c r="GG223" i="8"/>
  <c r="GE223" i="8"/>
  <c r="CZ222" i="8"/>
  <c r="DP223" i="8" s="1"/>
  <c r="BQ232" i="8"/>
  <c r="BS232" i="8" s="1"/>
  <c r="BR232" i="8" s="1"/>
  <c r="BU232" i="8"/>
  <c r="BT232" i="8"/>
  <c r="BV232" i="8"/>
  <c r="BP232" i="8"/>
  <c r="EP225" i="8"/>
  <c r="EQ225" i="8" s="1"/>
  <c r="L304" i="22"/>
  <c r="M304" i="22" s="1"/>
  <c r="GH223" i="8" l="1"/>
  <c r="GI223" i="8" s="1"/>
  <c r="GN223" i="8" s="1"/>
  <c r="GY224" i="8"/>
  <c r="CW223" i="8"/>
  <c r="CO223" i="8"/>
  <c r="CQ223" i="8"/>
  <c r="CS223" i="8" s="1"/>
  <c r="CT223" i="8"/>
  <c r="CV223" i="8"/>
  <c r="CU223" i="8"/>
  <c r="CP223" i="8"/>
  <c r="ER225" i="8"/>
  <c r="FG226" i="8" s="1"/>
  <c r="EV225" i="8"/>
  <c r="BX232" i="8"/>
  <c r="BY232" i="8" s="1"/>
  <c r="BZ232" i="8" s="1"/>
  <c r="N304" i="22"/>
  <c r="AW305" i="22" s="1"/>
  <c r="GJ223" i="8" l="1"/>
  <c r="CR223" i="8"/>
  <c r="CX223" i="8"/>
  <c r="CY223" i="8" s="1"/>
  <c r="CZ223" i="8" s="1"/>
  <c r="DP224" i="8" s="1"/>
  <c r="BQ233" i="8"/>
  <c r="BS233" i="8" s="1"/>
  <c r="BR233" i="8" s="1"/>
  <c r="BU233" i="8"/>
  <c r="BT233" i="8"/>
  <c r="BP233" i="8"/>
  <c r="BV233" i="8"/>
  <c r="CC232" i="8"/>
  <c r="H305" i="22"/>
  <c r="H367" i="22" s="1"/>
  <c r="EG226" i="8"/>
  <c r="EN226" i="8"/>
  <c r="EH226" i="8"/>
  <c r="EL226" i="8"/>
  <c r="EI226" i="8"/>
  <c r="EK226" i="8" s="1"/>
  <c r="EM226" i="8"/>
  <c r="EO226" i="8"/>
  <c r="B305" i="22"/>
  <c r="D305" i="22"/>
  <c r="E305" i="22" s="1"/>
  <c r="E367" i="22" s="1"/>
  <c r="C305" i="22"/>
  <c r="I305" i="22"/>
  <c r="I367" i="22" s="1"/>
  <c r="K305" i="22"/>
  <c r="K367" i="22" s="1"/>
  <c r="J305" i="22"/>
  <c r="J367" i="22" s="1"/>
  <c r="GG224" i="8" l="1"/>
  <c r="GE224" i="8"/>
  <c r="GA224" i="8"/>
  <c r="GC224" i="8" s="1"/>
  <c r="FZ224" i="8"/>
  <c r="GF224" i="8"/>
  <c r="GD224" i="8"/>
  <c r="FY224" i="8"/>
  <c r="CV224" i="8"/>
  <c r="CT224" i="8"/>
  <c r="CP224" i="8"/>
  <c r="CU224" i="8"/>
  <c r="CQ224" i="8"/>
  <c r="CS224" i="8" s="1"/>
  <c r="CR224" i="8" s="1"/>
  <c r="CW224" i="8"/>
  <c r="CO224" i="8"/>
  <c r="DD223" i="8"/>
  <c r="BX233" i="8"/>
  <c r="EJ226" i="8"/>
  <c r="EP226" i="8"/>
  <c r="EQ226" i="8" s="1"/>
  <c r="EV226" i="8" s="1"/>
  <c r="G305" i="22"/>
  <c r="GB224" i="8" l="1"/>
  <c r="GH224" i="8"/>
  <c r="GI224" i="8" s="1"/>
  <c r="GN224" i="8" s="1"/>
  <c r="CX224" i="8"/>
  <c r="CY224" i="8" s="1"/>
  <c r="DD224" i="8" s="1"/>
  <c r="ER226" i="8"/>
  <c r="FG227" i="8" s="1"/>
  <c r="BY233" i="8"/>
  <c r="BZ233" i="8" s="1"/>
  <c r="G367" i="22"/>
  <c r="L305" i="22"/>
  <c r="F305" i="22"/>
  <c r="GJ224" i="8" l="1"/>
  <c r="CZ224" i="8"/>
  <c r="DP225" i="8" s="1"/>
  <c r="L367" i="22"/>
  <c r="M305" i="22"/>
  <c r="M367" i="22" s="1"/>
  <c r="BT234" i="8"/>
  <c r="BV234" i="8"/>
  <c r="BP234" i="8"/>
  <c r="BU234" i="8"/>
  <c r="BQ234" i="8"/>
  <c r="BS234" i="8" s="1"/>
  <c r="BR234" i="8" s="1"/>
  <c r="CC233" i="8"/>
  <c r="EL227" i="8"/>
  <c r="EM227" i="8"/>
  <c r="EO227" i="8"/>
  <c r="EI227" i="8"/>
  <c r="EK227" i="8" s="1"/>
  <c r="EH227" i="8"/>
  <c r="EG227" i="8"/>
  <c r="EN227" i="8"/>
  <c r="F367" i="22"/>
  <c r="GY225" i="8" l="1"/>
  <c r="FZ225" i="8"/>
  <c r="GE225" i="8"/>
  <c r="GD225" i="8"/>
  <c r="GA225" i="8"/>
  <c r="GC225" i="8" s="1"/>
  <c r="GB225" i="8" s="1"/>
  <c r="FY225" i="8"/>
  <c r="GF225" i="8"/>
  <c r="GG225" i="8"/>
  <c r="N305" i="22"/>
  <c r="H306" i="22" s="1"/>
  <c r="CV225" i="8"/>
  <c r="CP225" i="8"/>
  <c r="CW225" i="8"/>
  <c r="CT225" i="8"/>
  <c r="CQ225" i="8"/>
  <c r="CS225" i="8" s="1"/>
  <c r="CR225" i="8" s="1"/>
  <c r="CU225" i="8"/>
  <c r="CO225" i="8"/>
  <c r="BX234" i="8"/>
  <c r="BY234" i="8" s="1"/>
  <c r="CC234" i="8" s="1"/>
  <c r="EJ227" i="8"/>
  <c r="EP227" i="8"/>
  <c r="EQ227" i="8" s="1"/>
  <c r="EV227" i="8" s="1"/>
  <c r="GH225" i="8" l="1"/>
  <c r="GI225" i="8" s="1"/>
  <c r="GN225" i="8" s="1"/>
  <c r="K306" i="22"/>
  <c r="C306" i="22"/>
  <c r="I306" i="22"/>
  <c r="B306" i="22"/>
  <c r="J306" i="22"/>
  <c r="AW306" i="22"/>
  <c r="D306" i="22"/>
  <c r="E306" i="22" s="1"/>
  <c r="G306" i="22" s="1"/>
  <c r="L306" i="22" s="1"/>
  <c r="M306" i="22" s="1"/>
  <c r="CX225" i="8"/>
  <c r="CY225" i="8" s="1"/>
  <c r="CZ225" i="8" s="1"/>
  <c r="DP226" i="8" s="1"/>
  <c r="BZ234" i="8"/>
  <c r="ER227" i="8"/>
  <c r="FG228" i="8" s="1"/>
  <c r="GJ225" i="8" l="1"/>
  <c r="F306" i="22"/>
  <c r="N306" i="22" s="1"/>
  <c r="AW307" i="22" s="1"/>
  <c r="CW226" i="8"/>
  <c r="CQ226" i="8"/>
  <c r="CS226" i="8" s="1"/>
  <c r="CR226" i="8" s="1"/>
  <c r="CU226" i="8"/>
  <c r="CT226" i="8"/>
  <c r="CV226" i="8"/>
  <c r="CP226" i="8"/>
  <c r="CO226" i="8"/>
  <c r="DD225" i="8"/>
  <c r="EL228" i="8"/>
  <c r="EH228" i="8"/>
  <c r="EN228" i="8"/>
  <c r="EO228" i="8"/>
  <c r="EM228" i="8"/>
  <c r="EG228" i="8"/>
  <c r="EI228" i="8"/>
  <c r="EK228" i="8" s="1"/>
  <c r="BP235" i="8"/>
  <c r="BV235" i="8"/>
  <c r="BQ235" i="8"/>
  <c r="BS235" i="8" s="1"/>
  <c r="BR235" i="8" s="1"/>
  <c r="BU235" i="8"/>
  <c r="BT235" i="8"/>
  <c r="GY226" i="8" l="1"/>
  <c r="GE226" i="8"/>
  <c r="FZ226" i="8"/>
  <c r="GD226" i="8"/>
  <c r="FY226" i="8"/>
  <c r="GF226" i="8"/>
  <c r="GA226" i="8"/>
  <c r="GC226" i="8" s="1"/>
  <c r="GB226" i="8" s="1"/>
  <c r="GG226" i="8"/>
  <c r="CX226" i="8"/>
  <c r="CY226" i="8" s="1"/>
  <c r="DD226" i="8" s="1"/>
  <c r="I307" i="22"/>
  <c r="D307" i="22"/>
  <c r="E307" i="22" s="1"/>
  <c r="G307" i="22" s="1"/>
  <c r="F307" i="22" s="1"/>
  <c r="H307" i="22"/>
  <c r="C307" i="22"/>
  <c r="B307" i="22"/>
  <c r="K307" i="22"/>
  <c r="J307" i="22"/>
  <c r="BX235" i="8"/>
  <c r="EJ228" i="8"/>
  <c r="EP228" i="8"/>
  <c r="EQ228" i="8" s="1"/>
  <c r="EV228" i="8" s="1"/>
  <c r="CZ226" i="8" l="1"/>
  <c r="GH226" i="8"/>
  <c r="GI226" i="8" s="1"/>
  <c r="GN226" i="8" s="1"/>
  <c r="L307" i="22"/>
  <c r="M307" i="22" s="1"/>
  <c r="N307" i="22" s="1"/>
  <c r="D308" i="22" s="1"/>
  <c r="E308" i="22" s="1"/>
  <c r="G308" i="22" s="1"/>
  <c r="CO227" i="8"/>
  <c r="CU227" i="8"/>
  <c r="ER228" i="8"/>
  <c r="FG229" i="8" s="1"/>
  <c r="BY235" i="8"/>
  <c r="BZ235" i="8" s="1"/>
  <c r="M308" i="22"/>
  <c r="DP227" i="8" l="1"/>
  <c r="CV227" i="8"/>
  <c r="CQ227" i="8"/>
  <c r="CS227" i="8" s="1"/>
  <c r="CT227" i="8"/>
  <c r="CP227" i="8"/>
  <c r="CW227" i="8"/>
  <c r="GJ226" i="8"/>
  <c r="GG227" i="8" s="1"/>
  <c r="GY227" i="8"/>
  <c r="GE227" i="8"/>
  <c r="FZ227" i="8"/>
  <c r="GA227" i="8"/>
  <c r="GC227" i="8" s="1"/>
  <c r="FY227" i="8"/>
  <c r="GF227" i="8"/>
  <c r="GD227" i="8"/>
  <c r="AW308" i="22"/>
  <c r="C308" i="22"/>
  <c r="B308" i="22"/>
  <c r="H308" i="22"/>
  <c r="K308" i="22"/>
  <c r="J308" i="22"/>
  <c r="I308" i="22"/>
  <c r="F308" i="22"/>
  <c r="N308" i="22" s="1"/>
  <c r="C309" i="22" s="1"/>
  <c r="CX227" i="8"/>
  <c r="CY227" i="8" s="1"/>
  <c r="DD227" i="8" s="1"/>
  <c r="CR227" i="8"/>
  <c r="BT236" i="8"/>
  <c r="BU236" i="8"/>
  <c r="BV236" i="8"/>
  <c r="BP236" i="8"/>
  <c r="BQ236" i="8"/>
  <c r="BS236" i="8" s="1"/>
  <c r="CC235" i="8"/>
  <c r="EL229" i="8"/>
  <c r="EM229" i="8"/>
  <c r="EG229" i="8"/>
  <c r="EN229" i="8"/>
  <c r="EH229" i="8"/>
  <c r="EO229" i="8"/>
  <c r="EI229" i="8"/>
  <c r="EK229" i="8" s="1"/>
  <c r="EJ229" i="8" s="1"/>
  <c r="GB227" i="8" l="1"/>
  <c r="GH227" i="8"/>
  <c r="GI227" i="8" s="1"/>
  <c r="GN227" i="8" s="1"/>
  <c r="AW309" i="22"/>
  <c r="L308" i="22"/>
  <c r="D309" i="22"/>
  <c r="E309" i="22" s="1"/>
  <c r="G309" i="22" s="1"/>
  <c r="F309" i="22" s="1"/>
  <c r="B309" i="22"/>
  <c r="K309" i="22"/>
  <c r="I309" i="22"/>
  <c r="H309" i="22"/>
  <c r="J309" i="22"/>
  <c r="CZ227" i="8"/>
  <c r="BX236" i="8"/>
  <c r="EP229" i="8"/>
  <c r="EQ229" i="8" s="1"/>
  <c r="EV229" i="8" s="1"/>
  <c r="BR236" i="8"/>
  <c r="BY236" i="8"/>
  <c r="GJ227" i="8" l="1"/>
  <c r="CV228" i="8"/>
  <c r="DP228" i="8"/>
  <c r="L309" i="22"/>
  <c r="M309" i="22" s="1"/>
  <c r="N309" i="22" s="1"/>
  <c r="D310" i="22" s="1"/>
  <c r="E310" i="22" s="1"/>
  <c r="G310" i="22" s="1"/>
  <c r="F310" i="22" s="1"/>
  <c r="CP228" i="8"/>
  <c r="CC236" i="8"/>
  <c r="CW228" i="8"/>
  <c r="CQ228" i="8"/>
  <c r="CS228" i="8" s="1"/>
  <c r="CT228" i="8"/>
  <c r="CO228" i="8"/>
  <c r="CU228" i="8"/>
  <c r="ER229" i="8"/>
  <c r="FG230" i="8" s="1"/>
  <c r="BZ236" i="8"/>
  <c r="GY228" i="8" l="1"/>
  <c r="GG228" i="8"/>
  <c r="GE228" i="8"/>
  <c r="GF228" i="8"/>
  <c r="GA228" i="8"/>
  <c r="GC228" i="8" s="1"/>
  <c r="GD228" i="8"/>
  <c r="FY228" i="8"/>
  <c r="FZ228" i="8"/>
  <c r="AW310" i="22"/>
  <c r="H310" i="22"/>
  <c r="I310" i="22"/>
  <c r="J310" i="22"/>
  <c r="C310" i="22"/>
  <c r="K310" i="22"/>
  <c r="B310" i="22"/>
  <c r="CR228" i="8"/>
  <c r="CX228" i="8"/>
  <c r="CY228" i="8" s="1"/>
  <c r="DD228" i="8" s="1"/>
  <c r="L310" i="22"/>
  <c r="M310" i="22" s="1"/>
  <c r="N310" i="22" s="1"/>
  <c r="EM230" i="8"/>
  <c r="EH230" i="8"/>
  <c r="EO230" i="8"/>
  <c r="EL230" i="8"/>
  <c r="EN230" i="8"/>
  <c r="EG230" i="8"/>
  <c r="EI230" i="8"/>
  <c r="EK230" i="8" s="1"/>
  <c r="BQ237" i="8"/>
  <c r="BS237" i="8" s="1"/>
  <c r="BR237" i="8" s="1"/>
  <c r="BT237" i="8"/>
  <c r="BP237" i="8"/>
  <c r="BU237" i="8"/>
  <c r="BV237" i="8"/>
  <c r="GB228" i="8" l="1"/>
  <c r="GH228" i="8"/>
  <c r="GI228" i="8" s="1"/>
  <c r="GN228" i="8" s="1"/>
  <c r="GY229" i="8"/>
  <c r="AW311" i="22"/>
  <c r="B311" i="22"/>
  <c r="H311" i="22"/>
  <c r="J311" i="22"/>
  <c r="C311" i="22"/>
  <c r="I311" i="22"/>
  <c r="K311" i="22"/>
  <c r="D311" i="22"/>
  <c r="E311" i="22" s="1"/>
  <c r="G311" i="22" s="1"/>
  <c r="F311" i="22" s="1"/>
  <c r="CZ228" i="8"/>
  <c r="DP229" i="8" s="1"/>
  <c r="EJ230" i="8"/>
  <c r="EP230" i="8"/>
  <c r="EQ230" i="8" s="1"/>
  <c r="EV230" i="8" s="1"/>
  <c r="BX237" i="8"/>
  <c r="GJ228" i="8" l="1"/>
  <c r="L311" i="22"/>
  <c r="M311" i="22" s="1"/>
  <c r="N311" i="22" s="1"/>
  <c r="AW312" i="22" s="1"/>
  <c r="CP229" i="8"/>
  <c r="CT229" i="8"/>
  <c r="CU229" i="8"/>
  <c r="CV229" i="8"/>
  <c r="CQ229" i="8"/>
  <c r="CS229" i="8" s="1"/>
  <c r="CW229" i="8"/>
  <c r="CO229" i="8"/>
  <c r="ER230" i="8"/>
  <c r="FG231" i="8" s="1"/>
  <c r="BY237" i="8"/>
  <c r="BZ237" i="8" s="1"/>
  <c r="FZ229" i="8" l="1"/>
  <c r="GD229" i="8"/>
  <c r="GA229" i="8"/>
  <c r="GC229" i="8" s="1"/>
  <c r="GF229" i="8"/>
  <c r="FY229" i="8"/>
  <c r="GE229" i="8"/>
  <c r="GG229" i="8"/>
  <c r="CR229" i="8"/>
  <c r="CX229" i="8"/>
  <c r="CY229" i="8" s="1"/>
  <c r="DD229" i="8" s="1"/>
  <c r="H312" i="22"/>
  <c r="J312" i="22"/>
  <c r="D312" i="22"/>
  <c r="E312" i="22" s="1"/>
  <c r="G312" i="22" s="1"/>
  <c r="K312" i="22"/>
  <c r="I312" i="22"/>
  <c r="B312" i="22"/>
  <c r="C312" i="22"/>
  <c r="CC237" i="8"/>
  <c r="EN231" i="8"/>
  <c r="EI231" i="8"/>
  <c r="EO231" i="8"/>
  <c r="EL231" i="8"/>
  <c r="EM231" i="8"/>
  <c r="EG231" i="8"/>
  <c r="EH231" i="8"/>
  <c r="BU238" i="8"/>
  <c r="BV238" i="8"/>
  <c r="BT238" i="8"/>
  <c r="BQ238" i="8"/>
  <c r="BS238" i="8" s="1"/>
  <c r="BP238" i="8"/>
  <c r="GB229" i="8" l="1"/>
  <c r="GH229" i="8"/>
  <c r="GI229" i="8" s="1"/>
  <c r="GN229" i="8" s="1"/>
  <c r="L312" i="22"/>
  <c r="M312" i="22" s="1"/>
  <c r="F312" i="22"/>
  <c r="CZ229" i="8"/>
  <c r="DP230" i="8" s="1"/>
  <c r="BX238" i="8"/>
  <c r="BY238" i="8" s="1"/>
  <c r="CC238" i="8" s="1"/>
  <c r="EK231" i="8"/>
  <c r="EP231" i="8" s="1"/>
  <c r="EQ231" i="8" s="1"/>
  <c r="BR238" i="8"/>
  <c r="GJ229" i="8" l="1"/>
  <c r="N312" i="22"/>
  <c r="D313" i="22" s="1"/>
  <c r="E313" i="22" s="1"/>
  <c r="G313" i="22" s="1"/>
  <c r="CU230" i="8"/>
  <c r="CW230" i="8"/>
  <c r="CQ230" i="8"/>
  <c r="CS230" i="8" s="1"/>
  <c r="CV230" i="8"/>
  <c r="CP230" i="8"/>
  <c r="CT230" i="8"/>
  <c r="CO230" i="8"/>
  <c r="EV231" i="8"/>
  <c r="EJ231" i="8"/>
  <c r="ER231" i="8" s="1"/>
  <c r="FG232" i="8" s="1"/>
  <c r="BZ238" i="8"/>
  <c r="GY230" i="8" l="1"/>
  <c r="GG230" i="8"/>
  <c r="FZ230" i="8"/>
  <c r="GF230" i="8"/>
  <c r="GE230" i="8"/>
  <c r="GD230" i="8"/>
  <c r="FY230" i="8"/>
  <c r="GA230" i="8"/>
  <c r="GC230" i="8" s="1"/>
  <c r="GB230" i="8" s="1"/>
  <c r="GY231" i="8"/>
  <c r="J313" i="22"/>
  <c r="AW313" i="22"/>
  <c r="I313" i="22"/>
  <c r="C313" i="22"/>
  <c r="B313" i="22"/>
  <c r="F313" i="22"/>
  <c r="K313" i="22"/>
  <c r="H313" i="22"/>
  <c r="CR230" i="8"/>
  <c r="CX230" i="8"/>
  <c r="CY230" i="8" s="1"/>
  <c r="DD230" i="8" s="1"/>
  <c r="EM232" i="8"/>
  <c r="EI232" i="8"/>
  <c r="EK232" i="8" s="1"/>
  <c r="EJ232" i="8" s="1"/>
  <c r="EL232" i="8"/>
  <c r="EH232" i="8"/>
  <c r="EG232" i="8"/>
  <c r="EN232" i="8"/>
  <c r="EO232" i="8"/>
  <c r="BQ239" i="8"/>
  <c r="BS239" i="8" s="1"/>
  <c r="BR239" i="8" s="1"/>
  <c r="BT239" i="8"/>
  <c r="BU239" i="8"/>
  <c r="BP239" i="8"/>
  <c r="BV239" i="8"/>
  <c r="GH230" i="8" l="1"/>
  <c r="GI230" i="8" s="1"/>
  <c r="GJ230" i="8" s="1"/>
  <c r="L313" i="22"/>
  <c r="M313" i="22" s="1"/>
  <c r="N313" i="22" s="1"/>
  <c r="K314" i="22" s="1"/>
  <c r="CZ230" i="8"/>
  <c r="DP231" i="8" s="1"/>
  <c r="EP232" i="8"/>
  <c r="EQ232" i="8" s="1"/>
  <c r="EV232" i="8" s="1"/>
  <c r="BX239" i="8"/>
  <c r="BY239" i="8"/>
  <c r="BZ239" i="8" s="1"/>
  <c r="GN230" i="8" l="1"/>
  <c r="GD231" i="8"/>
  <c r="GE231" i="8"/>
  <c r="FZ231" i="8"/>
  <c r="GF231" i="8"/>
  <c r="FY231" i="8"/>
  <c r="GA231" i="8"/>
  <c r="GC231" i="8" s="1"/>
  <c r="GG231" i="8"/>
  <c r="AW314" i="22"/>
  <c r="C314" i="22"/>
  <c r="J314" i="22"/>
  <c r="I314" i="22"/>
  <c r="B314" i="22"/>
  <c r="D314" i="22"/>
  <c r="E314" i="22" s="1"/>
  <c r="G314" i="22" s="1"/>
  <c r="F314" i="22" s="1"/>
  <c r="H314" i="22"/>
  <c r="CT231" i="8"/>
  <c r="CU231" i="8"/>
  <c r="CP231" i="8"/>
  <c r="CO231" i="8"/>
  <c r="CQ231" i="8"/>
  <c r="CS231" i="8" s="1"/>
  <c r="CR231" i="8" s="1"/>
  <c r="CV231" i="8"/>
  <c r="CW231" i="8"/>
  <c r="ER232" i="8"/>
  <c r="BT240" i="8"/>
  <c r="BU240" i="8"/>
  <c r="BQ240" i="8"/>
  <c r="BS240" i="8" s="1"/>
  <c r="BR240" i="8" s="1"/>
  <c r="BP240" i="8"/>
  <c r="BV240" i="8"/>
  <c r="CC239" i="8"/>
  <c r="GB231" i="8" l="1"/>
  <c r="GH231" i="8"/>
  <c r="GI231" i="8" s="1"/>
  <c r="GN231" i="8" s="1"/>
  <c r="EN233" i="8"/>
  <c r="FG233" i="8"/>
  <c r="L314" i="22"/>
  <c r="M314" i="22" s="1"/>
  <c r="N314" i="22" s="1"/>
  <c r="J315" i="22" s="1"/>
  <c r="CX231" i="8"/>
  <c r="CY231" i="8" s="1"/>
  <c r="DD231" i="8" s="1"/>
  <c r="EM233" i="8"/>
  <c r="EO233" i="8"/>
  <c r="EI233" i="8"/>
  <c r="EK233" i="8" s="1"/>
  <c r="EJ233" i="8" s="1"/>
  <c r="EL233" i="8"/>
  <c r="EG233" i="8"/>
  <c r="EH233" i="8"/>
  <c r="BX240" i="8"/>
  <c r="BY240" i="8" s="1"/>
  <c r="CC240" i="8" s="1"/>
  <c r="GJ231" i="8" l="1"/>
  <c r="AW315" i="22"/>
  <c r="I315" i="22"/>
  <c r="D315" i="22"/>
  <c r="E315" i="22" s="1"/>
  <c r="G315" i="22" s="1"/>
  <c r="F315" i="22" s="1"/>
  <c r="H315" i="22"/>
  <c r="K315" i="22"/>
  <c r="B315" i="22"/>
  <c r="C315" i="22"/>
  <c r="L315" i="22"/>
  <c r="M315" i="22" s="1"/>
  <c r="N315" i="22" s="1"/>
  <c r="CZ231" i="8"/>
  <c r="DP232" i="8" s="1"/>
  <c r="EP233" i="8"/>
  <c r="EQ233" i="8" s="1"/>
  <c r="EV233" i="8" s="1"/>
  <c r="M318" i="22"/>
  <c r="BZ240" i="8"/>
  <c r="GY232" i="8" l="1"/>
  <c r="GG232" i="8"/>
  <c r="GA232" i="8"/>
  <c r="GC232" i="8" s="1"/>
  <c r="FZ232" i="8"/>
  <c r="GE232" i="8"/>
  <c r="GD232" i="8"/>
  <c r="FY232" i="8"/>
  <c r="GF232" i="8"/>
  <c r="AW316" i="22"/>
  <c r="J316" i="22"/>
  <c r="C316" i="22"/>
  <c r="K316" i="22"/>
  <c r="B316" i="22"/>
  <c r="I316" i="22"/>
  <c r="H316" i="22"/>
  <c r="D316" i="22"/>
  <c r="E316" i="22" s="1"/>
  <c r="G316" i="22" s="1"/>
  <c r="F316" i="22" s="1"/>
  <c r="CP232" i="8"/>
  <c r="CQ232" i="8"/>
  <c r="CS232" i="8" s="1"/>
  <c r="CU232" i="8"/>
  <c r="CW232" i="8"/>
  <c r="CT232" i="8"/>
  <c r="CO232" i="8"/>
  <c r="CV232" i="8"/>
  <c r="ER233" i="8"/>
  <c r="BV241" i="8"/>
  <c r="BP241" i="8"/>
  <c r="BT241" i="8"/>
  <c r="BU241" i="8"/>
  <c r="BQ241" i="8"/>
  <c r="BS241" i="8" s="1"/>
  <c r="BR241" i="8" s="1"/>
  <c r="M319" i="22"/>
  <c r="GB232" i="8" l="1"/>
  <c r="GH232" i="8"/>
  <c r="GI232" i="8" s="1"/>
  <c r="GN232" i="8" s="1"/>
  <c r="GY233" i="8"/>
  <c r="EL234" i="8"/>
  <c r="FG234" i="8"/>
  <c r="CX232" i="8"/>
  <c r="CY232" i="8" s="1"/>
  <c r="DD232" i="8" s="1"/>
  <c r="CR232" i="8"/>
  <c r="EG234" i="8"/>
  <c r="EI234" i="8"/>
  <c r="EK234" i="8" s="1"/>
  <c r="EJ234" i="8" s="1"/>
  <c r="EO234" i="8"/>
  <c r="EN234" i="8"/>
  <c r="EM234" i="8"/>
  <c r="L316" i="22"/>
  <c r="M316" i="22" s="1"/>
  <c r="N316" i="22" s="1"/>
  <c r="AW317" i="22" s="1"/>
  <c r="EH234" i="8"/>
  <c r="BX241" i="8"/>
  <c r="BY241" i="8" s="1"/>
  <c r="CC241" i="8" s="1"/>
  <c r="GJ232" i="8" l="1"/>
  <c r="CZ232" i="8"/>
  <c r="CU233" i="8" s="1"/>
  <c r="DP233" i="8"/>
  <c r="CT233" i="8"/>
  <c r="CP233" i="8"/>
  <c r="CO233" i="8"/>
  <c r="CV233" i="8"/>
  <c r="EP234" i="8"/>
  <c r="EQ234" i="8" s="1"/>
  <c r="ER234" i="8" s="1"/>
  <c r="EO235" i="8" s="1"/>
  <c r="B317" i="22"/>
  <c r="D317" i="22"/>
  <c r="E317" i="22" s="1"/>
  <c r="G317" i="22" s="1"/>
  <c r="H317" i="22"/>
  <c r="J317" i="22"/>
  <c r="K317" i="22"/>
  <c r="C317" i="22"/>
  <c r="I317" i="22"/>
  <c r="BZ241" i="8"/>
  <c r="CW233" i="8" l="1"/>
  <c r="CQ233" i="8"/>
  <c r="CS233" i="8" s="1"/>
  <c r="CR233" i="8" s="1"/>
  <c r="GG233" i="8"/>
  <c r="FY233" i="8"/>
  <c r="GA233" i="8"/>
  <c r="GC233" i="8" s="1"/>
  <c r="GD233" i="8"/>
  <c r="GF233" i="8"/>
  <c r="FZ233" i="8"/>
  <c r="GE233" i="8"/>
  <c r="FG235" i="8"/>
  <c r="GY234" i="8"/>
  <c r="CX233" i="8"/>
  <c r="CY233" i="8" s="1"/>
  <c r="DD233" i="8" s="1"/>
  <c r="EV234" i="8"/>
  <c r="EL235" i="8"/>
  <c r="L317" i="22"/>
  <c r="M317" i="22" s="1"/>
  <c r="EM235" i="8"/>
  <c r="EI235" i="8"/>
  <c r="EK235" i="8" s="1"/>
  <c r="EJ235" i="8" s="1"/>
  <c r="F317" i="22"/>
  <c r="EG235" i="8"/>
  <c r="EH235" i="8"/>
  <c r="EN235" i="8"/>
  <c r="BU242" i="8"/>
  <c r="BT242" i="8"/>
  <c r="BP242" i="8"/>
  <c r="BV242" i="8"/>
  <c r="BQ242" i="8"/>
  <c r="BS242" i="8" s="1"/>
  <c r="BR242" i="8" s="1"/>
  <c r="GB233" i="8" l="1"/>
  <c r="GH233" i="8"/>
  <c r="GI233" i="8" s="1"/>
  <c r="GN233" i="8" s="1"/>
  <c r="CZ233" i="8"/>
  <c r="DP234" i="8" s="1"/>
  <c r="EP235" i="8"/>
  <c r="EQ235" i="8" s="1"/>
  <c r="EV235" i="8" s="1"/>
  <c r="N317" i="22"/>
  <c r="BX242" i="8"/>
  <c r="BY242" i="8"/>
  <c r="BZ242" i="8" s="1"/>
  <c r="CW234" i="8" l="1"/>
  <c r="CQ234" i="8"/>
  <c r="CS234" i="8" s="1"/>
  <c r="CT234" i="8"/>
  <c r="CV234" i="8"/>
  <c r="CP234" i="8"/>
  <c r="CU234" i="8"/>
  <c r="CO234" i="8"/>
  <c r="GJ233" i="8"/>
  <c r="I318" i="22"/>
  <c r="AW318" i="22"/>
  <c r="GY235" i="8"/>
  <c r="CR234" i="8"/>
  <c r="CX234" i="8"/>
  <c r="CY234" i="8" s="1"/>
  <c r="K318" i="22"/>
  <c r="C318" i="22"/>
  <c r="J318" i="22"/>
  <c r="B318" i="22"/>
  <c r="AW319" i="22" s="1"/>
  <c r="ER235" i="8"/>
  <c r="H318" i="22"/>
  <c r="D318" i="22"/>
  <c r="E318" i="22" s="1"/>
  <c r="G318" i="22" s="1"/>
  <c r="F318" i="22" s="1"/>
  <c r="N318" i="22" s="1"/>
  <c r="C319" i="22" s="1"/>
  <c r="M322" i="22"/>
  <c r="BU243" i="8"/>
  <c r="BT243" i="8"/>
  <c r="BP243" i="8"/>
  <c r="BV243" i="8"/>
  <c r="BQ243" i="8"/>
  <c r="BS243" i="8" s="1"/>
  <c r="BR243" i="8" s="1"/>
  <c r="CC242" i="8"/>
  <c r="DD234" i="8" l="1"/>
  <c r="FZ234" i="8"/>
  <c r="GA234" i="8"/>
  <c r="GC234" i="8" s="1"/>
  <c r="GB234" i="8" s="1"/>
  <c r="GD234" i="8"/>
  <c r="GE234" i="8"/>
  <c r="GF234" i="8"/>
  <c r="FY234" i="8"/>
  <c r="GG234" i="8"/>
  <c r="EM236" i="8"/>
  <c r="FG236" i="8"/>
  <c r="EI236" i="8"/>
  <c r="EK236" i="8" s="1"/>
  <c r="EJ236" i="8" s="1"/>
  <c r="CZ234" i="8"/>
  <c r="DP235" i="8" s="1"/>
  <c r="EH236" i="8"/>
  <c r="EO236" i="8"/>
  <c r="EN236" i="8"/>
  <c r="EG236" i="8"/>
  <c r="EL236" i="8"/>
  <c r="J319" i="22"/>
  <c r="L318" i="22"/>
  <c r="K319" i="22"/>
  <c r="B319" i="22"/>
  <c r="I319" i="22"/>
  <c r="H319" i="22"/>
  <c r="D319" i="22"/>
  <c r="E319" i="22" s="1"/>
  <c r="G319" i="22" s="1"/>
  <c r="F319" i="22" s="1"/>
  <c r="N319" i="22" s="1"/>
  <c r="M323" i="22"/>
  <c r="BX243" i="8"/>
  <c r="BY243" i="8" s="1"/>
  <c r="BZ243" i="8" s="1"/>
  <c r="GH234" i="8" l="1"/>
  <c r="GI234" i="8" s="1"/>
  <c r="GN234" i="8" s="1"/>
  <c r="AW320" i="22"/>
  <c r="EP236" i="8"/>
  <c r="EQ236" i="8" s="1"/>
  <c r="EV236" i="8" s="1"/>
  <c r="CT235" i="8"/>
  <c r="CO235" i="8"/>
  <c r="CU235" i="8"/>
  <c r="CW235" i="8"/>
  <c r="CV235" i="8"/>
  <c r="CP235" i="8"/>
  <c r="CQ235" i="8"/>
  <c r="CS235" i="8" s="1"/>
  <c r="B320" i="22"/>
  <c r="L319" i="22"/>
  <c r="D320" i="22"/>
  <c r="E320" i="22" s="1"/>
  <c r="G320" i="22" s="1"/>
  <c r="F320" i="22" s="1"/>
  <c r="C320" i="22"/>
  <c r="H320" i="22"/>
  <c r="I320" i="22"/>
  <c r="J320" i="22"/>
  <c r="K320" i="22"/>
  <c r="BU244" i="8"/>
  <c r="BV244" i="8"/>
  <c r="BT244" i="8"/>
  <c r="BP244" i="8"/>
  <c r="BQ244" i="8"/>
  <c r="BS244" i="8" s="1"/>
  <c r="CC243" i="8"/>
  <c r="GJ234" i="8" l="1"/>
  <c r="ER236" i="8"/>
  <c r="FG237" i="8"/>
  <c r="CR235" i="8"/>
  <c r="CX235" i="8"/>
  <c r="CY235" i="8" s="1"/>
  <c r="DD235" i="8" s="1"/>
  <c r="L320" i="22"/>
  <c r="M320" i="22" s="1"/>
  <c r="N320" i="22" s="1"/>
  <c r="B321" i="22" s="1"/>
  <c r="BX244" i="8"/>
  <c r="BY244" i="8" s="1"/>
  <c r="CC244" i="8" s="1"/>
  <c r="BR244" i="8"/>
  <c r="EI237" i="8" l="1"/>
  <c r="EK237" i="8" s="1"/>
  <c r="EJ237" i="8" s="1"/>
  <c r="EN237" i="8"/>
  <c r="EG237" i="8"/>
  <c r="EM237" i="8"/>
  <c r="EL237" i="8"/>
  <c r="EH237" i="8"/>
  <c r="EO237" i="8"/>
  <c r="EP237" i="8" s="1"/>
  <c r="EQ237" i="8" s="1"/>
  <c r="EV237" i="8" s="1"/>
  <c r="GG235" i="8"/>
  <c r="GF235" i="8"/>
  <c r="GA235" i="8"/>
  <c r="GC235" i="8" s="1"/>
  <c r="GB235" i="8" s="1"/>
  <c r="FY235" i="8"/>
  <c r="GE235" i="8"/>
  <c r="FZ235" i="8"/>
  <c r="GD235" i="8"/>
  <c r="AW321" i="22"/>
  <c r="CZ235" i="8"/>
  <c r="DP236" i="8" s="1"/>
  <c r="H321" i="22"/>
  <c r="K321" i="22"/>
  <c r="C321" i="22"/>
  <c r="D321" i="22"/>
  <c r="E321" i="22" s="1"/>
  <c r="G321" i="22" s="1"/>
  <c r="F321" i="22" s="1"/>
  <c r="J321" i="22"/>
  <c r="I321" i="22"/>
  <c r="BZ244" i="8"/>
  <c r="GH235" i="8" l="1"/>
  <c r="GI235" i="8" s="1"/>
  <c r="CT236" i="8"/>
  <c r="CQ236" i="8"/>
  <c r="CS236" i="8" s="1"/>
  <c r="CR236" i="8" s="1"/>
  <c r="CW236" i="8"/>
  <c r="CO236" i="8"/>
  <c r="CP236" i="8"/>
  <c r="CU236" i="8"/>
  <c r="CV236" i="8"/>
  <c r="L321" i="22"/>
  <c r="M321" i="22" s="1"/>
  <c r="N321" i="22" s="1"/>
  <c r="ER237" i="8"/>
  <c r="BT245" i="8"/>
  <c r="BQ245" i="8"/>
  <c r="BS245" i="8" s="1"/>
  <c r="BR245" i="8" s="1"/>
  <c r="BP245" i="8"/>
  <c r="BU245" i="8"/>
  <c r="BV245" i="8"/>
  <c r="GN235" i="8" l="1"/>
  <c r="GJ235" i="8"/>
  <c r="EI238" i="8"/>
  <c r="EK238" i="8" s="1"/>
  <c r="EJ238" i="8" s="1"/>
  <c r="FG238" i="8"/>
  <c r="H322" i="22"/>
  <c r="AW322" i="22"/>
  <c r="CX236" i="8"/>
  <c r="CY236" i="8" s="1"/>
  <c r="DD236" i="8" s="1"/>
  <c r="K322" i="22"/>
  <c r="I322" i="22"/>
  <c r="J322" i="22"/>
  <c r="B322" i="22"/>
  <c r="EH238" i="8"/>
  <c r="EL238" i="8"/>
  <c r="EG238" i="8"/>
  <c r="D322" i="22"/>
  <c r="E322" i="22" s="1"/>
  <c r="G322" i="22" s="1"/>
  <c r="F322" i="22" s="1"/>
  <c r="N322" i="22" s="1"/>
  <c r="I323" i="22" s="1"/>
  <c r="EN238" i="8"/>
  <c r="EM238" i="8"/>
  <c r="C322" i="22"/>
  <c r="EO238" i="8"/>
  <c r="BX245" i="8"/>
  <c r="BY245" i="8"/>
  <c r="BZ245" i="8" s="1"/>
  <c r="GY236" i="8" l="1"/>
  <c r="FY236" i="8"/>
  <c r="GD236" i="8"/>
  <c r="GG236" i="8"/>
  <c r="GF236" i="8"/>
  <c r="GE236" i="8"/>
  <c r="GA236" i="8"/>
  <c r="GC236" i="8" s="1"/>
  <c r="GB236" i="8" s="1"/>
  <c r="FZ236" i="8"/>
  <c r="AW323" i="22"/>
  <c r="CZ236" i="8"/>
  <c r="EP238" i="8"/>
  <c r="EQ238" i="8" s="1"/>
  <c r="EV238" i="8" s="1"/>
  <c r="K323" i="22"/>
  <c r="C323" i="22"/>
  <c r="H323" i="22"/>
  <c r="B323" i="22"/>
  <c r="J323" i="22"/>
  <c r="D323" i="22"/>
  <c r="E323" i="22" s="1"/>
  <c r="G323" i="22" s="1"/>
  <c r="L322" i="22"/>
  <c r="BV246" i="8"/>
  <c r="BU246" i="8"/>
  <c r="BQ246" i="8"/>
  <c r="BS246" i="8" s="1"/>
  <c r="BR246" i="8" s="1"/>
  <c r="BP246" i="8"/>
  <c r="BT246" i="8"/>
  <c r="CC245" i="8"/>
  <c r="GH236" i="8" l="1"/>
  <c r="GI236" i="8" s="1"/>
  <c r="GN236" i="8" s="1"/>
  <c r="CO237" i="8"/>
  <c r="DP237" i="8"/>
  <c r="CW237" i="8"/>
  <c r="CQ237" i="8"/>
  <c r="CS237" i="8" s="1"/>
  <c r="CT237" i="8"/>
  <c r="CU237" i="8"/>
  <c r="CV237" i="8"/>
  <c r="CP237" i="8"/>
  <c r="CR237" i="8"/>
  <c r="ER238" i="8"/>
  <c r="L323" i="22"/>
  <c r="F323" i="22"/>
  <c r="N323" i="22" s="1"/>
  <c r="J324" i="22" s="1"/>
  <c r="BX246" i="8"/>
  <c r="BY246" i="8"/>
  <c r="GJ236" i="8" l="1"/>
  <c r="GE237" i="8" s="1"/>
  <c r="GY237" i="8"/>
  <c r="CX237" i="8"/>
  <c r="CY237" i="8" s="1"/>
  <c r="CZ237" i="8" s="1"/>
  <c r="DP238" i="8" s="1"/>
  <c r="EL239" i="8"/>
  <c r="FG239" i="8"/>
  <c r="AW324" i="22"/>
  <c r="DD237" i="8"/>
  <c r="EI239" i="8"/>
  <c r="EK239" i="8" s="1"/>
  <c r="EJ239" i="8" s="1"/>
  <c r="EG239" i="8"/>
  <c r="EH239" i="8"/>
  <c r="EN239" i="8"/>
  <c r="EM239" i="8"/>
  <c r="I324" i="22"/>
  <c r="EO239" i="8"/>
  <c r="C324" i="22"/>
  <c r="D324" i="22"/>
  <c r="E324" i="22" s="1"/>
  <c r="G324" i="22" s="1"/>
  <c r="F324" i="22" s="1"/>
  <c r="H324" i="22"/>
  <c r="CC246" i="8"/>
  <c r="K324" i="22"/>
  <c r="B324" i="22"/>
  <c r="BZ246" i="8"/>
  <c r="FY237" i="8" l="1"/>
  <c r="GF237" i="8"/>
  <c r="GD237" i="8"/>
  <c r="FZ237" i="8"/>
  <c r="GA237" i="8"/>
  <c r="GC237" i="8" s="1"/>
  <c r="GB237" i="8" s="1"/>
  <c r="GG237" i="8"/>
  <c r="EP239" i="8"/>
  <c r="EQ239" i="8" s="1"/>
  <c r="EV239" i="8" s="1"/>
  <c r="CT238" i="8"/>
  <c r="CW238" i="8"/>
  <c r="CU238" i="8"/>
  <c r="CV238" i="8"/>
  <c r="CP238" i="8"/>
  <c r="CQ238" i="8"/>
  <c r="CS238" i="8" s="1"/>
  <c r="CO238" i="8"/>
  <c r="L324" i="22"/>
  <c r="M324" i="22" s="1"/>
  <c r="N324" i="22" s="1"/>
  <c r="B325" i="22" s="1"/>
  <c r="BV247" i="8"/>
  <c r="BP247" i="8"/>
  <c r="BQ247" i="8"/>
  <c r="BS247" i="8" s="1"/>
  <c r="BR247" i="8" s="1"/>
  <c r="BU247" i="8"/>
  <c r="BT247" i="8"/>
  <c r="GH237" i="8" l="1"/>
  <c r="GI237" i="8" s="1"/>
  <c r="GN237" i="8" s="1"/>
  <c r="ER239" i="8"/>
  <c r="EG240" i="8" s="1"/>
  <c r="CX238" i="8"/>
  <c r="CY238" i="8" s="1"/>
  <c r="DD238" i="8" s="1"/>
  <c r="AW325" i="22"/>
  <c r="FG240" i="8"/>
  <c r="I325" i="22"/>
  <c r="C325" i="22"/>
  <c r="H325" i="22"/>
  <c r="K325" i="22"/>
  <c r="D325" i="22"/>
  <c r="E325" i="22" s="1"/>
  <c r="G325" i="22" s="1"/>
  <c r="L325" i="22" s="1"/>
  <c r="M325" i="22" s="1"/>
  <c r="J325" i="22"/>
  <c r="CR238" i="8"/>
  <c r="CZ238" i="8" s="1"/>
  <c r="DP239" i="8" s="1"/>
  <c r="BX247" i="8"/>
  <c r="BY247" i="8"/>
  <c r="GJ237" i="8" l="1"/>
  <c r="GA238" i="8" s="1"/>
  <c r="GC238" i="8" s="1"/>
  <c r="EN240" i="8"/>
  <c r="EI240" i="8"/>
  <c r="EK240" i="8" s="1"/>
  <c r="EJ240" i="8" s="1"/>
  <c r="EO240" i="8"/>
  <c r="EH240" i="8"/>
  <c r="EL240" i="8"/>
  <c r="EM240" i="8"/>
  <c r="GY238" i="8"/>
  <c r="GD238" i="8"/>
  <c r="FZ238" i="8"/>
  <c r="FY238" i="8"/>
  <c r="GE238" i="8"/>
  <c r="GF238" i="8"/>
  <c r="CC247" i="8"/>
  <c r="F325" i="22"/>
  <c r="CT239" i="8"/>
  <c r="CP239" i="8"/>
  <c r="CU239" i="8"/>
  <c r="CQ239" i="8"/>
  <c r="CS239" i="8" s="1"/>
  <c r="CO239" i="8"/>
  <c r="CW239" i="8"/>
  <c r="CV239" i="8"/>
  <c r="BZ247" i="8"/>
  <c r="BQ248" i="8" s="1"/>
  <c r="BS248" i="8" s="1"/>
  <c r="N325" i="22"/>
  <c r="AW326" i="22" s="1"/>
  <c r="GG238" i="8" l="1"/>
  <c r="EP240" i="8"/>
  <c r="EQ240" i="8" s="1"/>
  <c r="ER240" i="8" s="1"/>
  <c r="EH241" i="8" s="1"/>
  <c r="GH238" i="8"/>
  <c r="GI238" i="8" s="1"/>
  <c r="GN238" i="8" s="1"/>
  <c r="GB238" i="8"/>
  <c r="FG241" i="8"/>
  <c r="CX239" i="8"/>
  <c r="CY239" i="8" s="1"/>
  <c r="DD239" i="8" s="1"/>
  <c r="CR239" i="8"/>
  <c r="BU248" i="8"/>
  <c r="BV248" i="8"/>
  <c r="BT248" i="8"/>
  <c r="BP248" i="8"/>
  <c r="BR248" i="8"/>
  <c r="D326" i="22"/>
  <c r="E326" i="22" s="1"/>
  <c r="G326" i="22" s="1"/>
  <c r="H326" i="22"/>
  <c r="B326" i="22"/>
  <c r="I326" i="22"/>
  <c r="J326" i="22"/>
  <c r="C326" i="22"/>
  <c r="K326" i="22"/>
  <c r="BY248" i="8"/>
  <c r="EM241" i="8" l="1"/>
  <c r="EG241" i="8"/>
  <c r="EL241" i="8"/>
  <c r="EO241" i="8"/>
  <c r="EN241" i="8"/>
  <c r="EV240" i="8"/>
  <c r="EI241" i="8"/>
  <c r="EK241" i="8" s="1"/>
  <c r="EJ241" i="8" s="1"/>
  <c r="GJ238" i="8"/>
  <c r="CZ239" i="8"/>
  <c r="DP240" i="8" s="1"/>
  <c r="BX248" i="8"/>
  <c r="CC248" i="8" s="1"/>
  <c r="L326" i="22"/>
  <c r="M326" i="22" s="1"/>
  <c r="F326" i="22"/>
  <c r="BZ248" i="8"/>
  <c r="BP249" i="8" s="1"/>
  <c r="EP241" i="8"/>
  <c r="EQ241" i="8" s="1"/>
  <c r="ER241" i="8" s="1"/>
  <c r="EL242" i="8" s="1"/>
  <c r="CP240" i="8" l="1"/>
  <c r="CW240" i="8"/>
  <c r="CT240" i="8"/>
  <c r="CQ240" i="8"/>
  <c r="CS240" i="8" s="1"/>
  <c r="CR240" i="8" s="1"/>
  <c r="CU240" i="8"/>
  <c r="CV240" i="8"/>
  <c r="CO240" i="8"/>
  <c r="GY239" i="8"/>
  <c r="FY239" i="8"/>
  <c r="GE239" i="8"/>
  <c r="GD239" i="8"/>
  <c r="GG239" i="8"/>
  <c r="FZ239" i="8"/>
  <c r="GF239" i="8"/>
  <c r="GA239" i="8"/>
  <c r="GC239" i="8" s="1"/>
  <c r="GB239" i="8" s="1"/>
  <c r="GY240" i="8"/>
  <c r="FG242" i="8"/>
  <c r="BU249" i="8"/>
  <c r="CX240" i="8"/>
  <c r="CY240" i="8" s="1"/>
  <c r="BT249" i="8"/>
  <c r="N326" i="22"/>
  <c r="BQ249" i="8"/>
  <c r="BS249" i="8" s="1"/>
  <c r="BR249" i="8" s="1"/>
  <c r="BV249" i="8"/>
  <c r="EM242" i="8"/>
  <c r="EI242" i="8"/>
  <c r="EK242" i="8" s="1"/>
  <c r="EJ242" i="8" s="1"/>
  <c r="EN242" i="8"/>
  <c r="EH242" i="8"/>
  <c r="EG242" i="8"/>
  <c r="EV241" i="8"/>
  <c r="EO242" i="8"/>
  <c r="BY249" i="8"/>
  <c r="DD240" i="8" l="1"/>
  <c r="GH239" i="8"/>
  <c r="GI239" i="8" s="1"/>
  <c r="GN239" i="8" s="1"/>
  <c r="H327" i="22"/>
  <c r="AW327" i="22"/>
  <c r="K327" i="22"/>
  <c r="B327" i="22"/>
  <c r="D327" i="22"/>
  <c r="E327" i="22" s="1"/>
  <c r="G327" i="22" s="1"/>
  <c r="F327" i="22" s="1"/>
  <c r="CZ240" i="8"/>
  <c r="DP241" i="8" s="1"/>
  <c r="C327" i="22"/>
  <c r="J327" i="22"/>
  <c r="I327" i="22"/>
  <c r="L327" i="22" s="1"/>
  <c r="M327" i="22" s="1"/>
  <c r="N327" i="22" s="1"/>
  <c r="BX249" i="8"/>
  <c r="CC249" i="8" s="1"/>
  <c r="BZ249" i="8"/>
  <c r="BP250" i="8" s="1"/>
  <c r="EP242" i="8"/>
  <c r="EQ242" i="8" s="1"/>
  <c r="EV242" i="8" s="1"/>
  <c r="GJ239" i="8" l="1"/>
  <c r="GE240" i="8" s="1"/>
  <c r="GG240" i="8"/>
  <c r="FY240" i="8"/>
  <c r="FZ240" i="8"/>
  <c r="GA240" i="8"/>
  <c r="GC240" i="8" s="1"/>
  <c r="GF240" i="8"/>
  <c r="GD240" i="8"/>
  <c r="AW328" i="22"/>
  <c r="CV241" i="8"/>
  <c r="CT241" i="8"/>
  <c r="CP241" i="8"/>
  <c r="CW241" i="8"/>
  <c r="CQ241" i="8"/>
  <c r="CS241" i="8" s="1"/>
  <c r="CR241" i="8" s="1"/>
  <c r="CU241" i="8"/>
  <c r="CO241" i="8"/>
  <c r="BV250" i="8"/>
  <c r="BT250" i="8"/>
  <c r="BU250" i="8"/>
  <c r="BQ250" i="8"/>
  <c r="BS250" i="8" s="1"/>
  <c r="BR250" i="8" s="1"/>
  <c r="ER242" i="8"/>
  <c r="C328" i="22"/>
  <c r="J328" i="22"/>
  <c r="D328" i="22"/>
  <c r="E328" i="22" s="1"/>
  <c r="G328" i="22" s="1"/>
  <c r="I328" i="22"/>
  <c r="B328" i="22"/>
  <c r="H328" i="22"/>
  <c r="K328" i="22"/>
  <c r="BY250" i="8"/>
  <c r="GB240" i="8" l="1"/>
  <c r="GH240" i="8"/>
  <c r="GI240" i="8" s="1"/>
  <c r="GN240" i="8" s="1"/>
  <c r="EL243" i="8"/>
  <c r="FG243" i="8"/>
  <c r="CX241" i="8"/>
  <c r="CY241" i="8" s="1"/>
  <c r="DD241" i="8" s="1"/>
  <c r="EG243" i="8"/>
  <c r="L328" i="22"/>
  <c r="M328" i="22" s="1"/>
  <c r="EO243" i="8"/>
  <c r="EI243" i="8"/>
  <c r="EK243" i="8" s="1"/>
  <c r="EJ243" i="8" s="1"/>
  <c r="BX250" i="8"/>
  <c r="CC250" i="8" s="1"/>
  <c r="EM243" i="8"/>
  <c r="EN243" i="8"/>
  <c r="EH243" i="8"/>
  <c r="F328" i="22"/>
  <c r="BZ250" i="8"/>
  <c r="BY251" i="8"/>
  <c r="M334" i="22"/>
  <c r="EQ243" i="8"/>
  <c r="GJ240" i="8" l="1"/>
  <c r="CZ241" i="8"/>
  <c r="DP242" i="8" s="1"/>
  <c r="N328" i="22"/>
  <c r="EP243" i="8"/>
  <c r="EV243" i="8"/>
  <c r="BV251" i="8"/>
  <c r="BP251" i="8"/>
  <c r="BT251" i="8"/>
  <c r="BU251" i="8"/>
  <c r="BQ251" i="8"/>
  <c r="BS251" i="8" s="1"/>
  <c r="BR251" i="8" s="1"/>
  <c r="BZ251" i="8" s="1"/>
  <c r="BY252" i="8"/>
  <c r="ER243" i="8"/>
  <c r="EL244" i="8" s="1"/>
  <c r="GY241" i="8" l="1"/>
  <c r="FY241" i="8"/>
  <c r="GF241" i="8"/>
  <c r="GE241" i="8"/>
  <c r="GD241" i="8"/>
  <c r="GA241" i="8"/>
  <c r="GC241" i="8" s="1"/>
  <c r="GB241" i="8" s="1"/>
  <c r="FZ241" i="8"/>
  <c r="GG241" i="8"/>
  <c r="C329" i="22"/>
  <c r="AW329" i="22"/>
  <c r="GY242" i="8"/>
  <c r="FG244" i="8"/>
  <c r="I329" i="22"/>
  <c r="B329" i="22"/>
  <c r="CT242" i="8"/>
  <c r="CP242" i="8"/>
  <c r="CV242" i="8"/>
  <c r="CQ242" i="8"/>
  <c r="CS242" i="8" s="1"/>
  <c r="CW242" i="8"/>
  <c r="CU242" i="8"/>
  <c r="CO242" i="8"/>
  <c r="H329" i="22"/>
  <c r="K329" i="22"/>
  <c r="D329" i="22"/>
  <c r="E329" i="22" s="1"/>
  <c r="G329" i="22" s="1"/>
  <c r="F329" i="22" s="1"/>
  <c r="J329" i="22"/>
  <c r="BX251" i="8"/>
  <c r="CC251" i="8" s="1"/>
  <c r="BP252" i="8"/>
  <c r="BQ252" i="8"/>
  <c r="BS252" i="8" s="1"/>
  <c r="BR252" i="8" s="1"/>
  <c r="BZ252" i="8" s="1"/>
  <c r="BU252" i="8"/>
  <c r="BT252" i="8"/>
  <c r="BV252" i="8"/>
  <c r="BY253" i="8"/>
  <c r="EO244" i="8"/>
  <c r="EH244" i="8"/>
  <c r="EI244" i="8"/>
  <c r="EK244" i="8" s="1"/>
  <c r="EJ244" i="8" s="1"/>
  <c r="EG244" i="8"/>
  <c r="EN244" i="8"/>
  <c r="EM244" i="8"/>
  <c r="GH241" i="8" l="1"/>
  <c r="GI241" i="8" s="1"/>
  <c r="GN241" i="8" s="1"/>
  <c r="CX242" i="8"/>
  <c r="CY242" i="8" s="1"/>
  <c r="DD242" i="8" s="1"/>
  <c r="CR242" i="8"/>
  <c r="L329" i="22"/>
  <c r="M329" i="22" s="1"/>
  <c r="N329" i="22" s="1"/>
  <c r="I330" i="22" s="1"/>
  <c r="BX252" i="8"/>
  <c r="CC252" i="8" s="1"/>
  <c r="BP253" i="8"/>
  <c r="BT253" i="8"/>
  <c r="BQ253" i="8"/>
  <c r="BS253" i="8" s="1"/>
  <c r="BR253" i="8" s="1"/>
  <c r="BZ253" i="8" s="1"/>
  <c r="BU253" i="8"/>
  <c r="BV253" i="8"/>
  <c r="BY254" i="8"/>
  <c r="EP244" i="8"/>
  <c r="EQ244" i="8" s="1"/>
  <c r="EV244" i="8" s="1"/>
  <c r="GJ241" i="8" l="1"/>
  <c r="GA242" i="8" s="1"/>
  <c r="GC242" i="8" s="1"/>
  <c r="CZ242" i="8"/>
  <c r="DP243" i="8" s="1"/>
  <c r="AW330" i="22"/>
  <c r="GY243" i="8"/>
  <c r="H330" i="22"/>
  <c r="C330" i="22"/>
  <c r="D330" i="22"/>
  <c r="E330" i="22" s="1"/>
  <c r="G330" i="22" s="1"/>
  <c r="F330" i="22" s="1"/>
  <c r="B330" i="22"/>
  <c r="J330" i="22"/>
  <c r="K330" i="22"/>
  <c r="BX253" i="8"/>
  <c r="CC253" i="8" s="1"/>
  <c r="BQ254" i="8"/>
  <c r="BS254" i="8" s="1"/>
  <c r="BR254" i="8" s="1"/>
  <c r="BZ254" i="8" s="1"/>
  <c r="BP254" i="8"/>
  <c r="BT254" i="8"/>
  <c r="BU254" i="8"/>
  <c r="BV254" i="8"/>
  <c r="M336" i="22"/>
  <c r="ER244" i="8"/>
  <c r="GF242" i="8" l="1"/>
  <c r="GD242" i="8"/>
  <c r="GE242" i="8"/>
  <c r="FZ242" i="8"/>
  <c r="FY242" i="8"/>
  <c r="GG242" i="8"/>
  <c r="CW243" i="8"/>
  <c r="CP243" i="8"/>
  <c r="CU243" i="8"/>
  <c r="CO243" i="8"/>
  <c r="CV243" i="8"/>
  <c r="GB242" i="8"/>
  <c r="GH242" i="8"/>
  <c r="GI242" i="8" s="1"/>
  <c r="CT243" i="8"/>
  <c r="CQ243" i="8"/>
  <c r="CS243" i="8" s="1"/>
  <c r="CR243" i="8" s="1"/>
  <c r="EL245" i="8"/>
  <c r="FG245" i="8"/>
  <c r="L330" i="22"/>
  <c r="M330" i="22" s="1"/>
  <c r="N330" i="22" s="1"/>
  <c r="H331" i="22" s="1"/>
  <c r="CX243" i="8"/>
  <c r="CY243" i="8" s="1"/>
  <c r="BT255" i="8"/>
  <c r="BU255" i="8"/>
  <c r="BQ255" i="8"/>
  <c r="BS255" i="8" s="1"/>
  <c r="BR255" i="8" s="1"/>
  <c r="BP255" i="8"/>
  <c r="BV255" i="8"/>
  <c r="BX254" i="8"/>
  <c r="CC254" i="8" s="1"/>
  <c r="BY255" i="8"/>
  <c r="EH245" i="8"/>
  <c r="EI245" i="8"/>
  <c r="EK245" i="8" s="1"/>
  <c r="EJ245" i="8" s="1"/>
  <c r="EN245" i="8"/>
  <c r="EO245" i="8"/>
  <c r="EM245" i="8"/>
  <c r="EG245" i="8"/>
  <c r="GN242" i="8" l="1"/>
  <c r="DD243" i="8"/>
  <c r="GJ242" i="8"/>
  <c r="J331" i="22"/>
  <c r="D331" i="22"/>
  <c r="E331" i="22"/>
  <c r="G331" i="22" s="1"/>
  <c r="F331" i="22" s="1"/>
  <c r="B331" i="22"/>
  <c r="AW331" i="22"/>
  <c r="CZ243" i="8"/>
  <c r="DP244" i="8" s="1"/>
  <c r="K331" i="22"/>
  <c r="C331" i="22"/>
  <c r="I331" i="22"/>
  <c r="L331" i="22"/>
  <c r="M331" i="22" s="1"/>
  <c r="N331" i="22" s="1"/>
  <c r="BZ255" i="8"/>
  <c r="BX255" i="8"/>
  <c r="CC255" i="8" s="1"/>
  <c r="EP245" i="8"/>
  <c r="EQ245" i="8" s="1"/>
  <c r="ER245" i="8" s="1"/>
  <c r="EL246" i="8" s="1"/>
  <c r="BY257" i="8"/>
  <c r="CY245" i="8"/>
  <c r="CT244" i="8" l="1"/>
  <c r="CP244" i="8"/>
  <c r="CU244" i="8"/>
  <c r="CO244" i="8"/>
  <c r="GF243" i="8"/>
  <c r="FZ243" i="8"/>
  <c r="FY243" i="8"/>
  <c r="GG243" i="8"/>
  <c r="GD243" i="8"/>
  <c r="GE243" i="8"/>
  <c r="GA243" i="8"/>
  <c r="GC243" i="8" s="1"/>
  <c r="GB243" i="8" s="1"/>
  <c r="CQ244" i="8"/>
  <c r="CS244" i="8" s="1"/>
  <c r="CW244" i="8"/>
  <c r="AW332" i="22"/>
  <c r="CV244" i="8"/>
  <c r="FG246" i="8"/>
  <c r="CR244" i="8"/>
  <c r="CX244" i="8"/>
  <c r="CY244" i="8" s="1"/>
  <c r="CZ244" i="8" s="1"/>
  <c r="DP245" i="8" s="1"/>
  <c r="C332" i="22"/>
  <c r="D332" i="22"/>
  <c r="E332" i="22" s="1"/>
  <c r="G332" i="22" s="1"/>
  <c r="F332" i="22" s="1"/>
  <c r="H332" i="22"/>
  <c r="I332" i="22"/>
  <c r="J332" i="22"/>
  <c r="B332" i="22"/>
  <c r="K332" i="22"/>
  <c r="BQ256" i="8"/>
  <c r="BS256" i="8" s="1"/>
  <c r="BR256" i="8" s="1"/>
  <c r="BT256" i="8"/>
  <c r="BV256" i="8"/>
  <c r="BU256" i="8"/>
  <c r="BP256" i="8"/>
  <c r="EN246" i="8"/>
  <c r="EH246" i="8"/>
  <c r="EO246" i="8"/>
  <c r="EM246" i="8"/>
  <c r="EI246" i="8"/>
  <c r="EK246" i="8" s="1"/>
  <c r="EG246" i="8"/>
  <c r="EV245" i="8"/>
  <c r="BY258" i="8"/>
  <c r="GH243" i="8" l="1"/>
  <c r="GI243" i="8" s="1"/>
  <c r="GN243" i="8" s="1"/>
  <c r="CT245" i="8"/>
  <c r="CQ245" i="8"/>
  <c r="CS245" i="8" s="1"/>
  <c r="CR245" i="8" s="1"/>
  <c r="CZ245" i="8" s="1"/>
  <c r="CP245" i="8"/>
  <c r="CV245" i="8"/>
  <c r="CU245" i="8"/>
  <c r="CO245" i="8"/>
  <c r="CW245" i="8"/>
  <c r="DD244" i="8"/>
  <c r="L332" i="22"/>
  <c r="M332" i="22" s="1"/>
  <c r="N332" i="22" s="1"/>
  <c r="AW333" i="22" s="1"/>
  <c r="BX256" i="8"/>
  <c r="BY256" i="8" s="1"/>
  <c r="CC256" i="8" s="1"/>
  <c r="EP246" i="8"/>
  <c r="EQ246" i="8" s="1"/>
  <c r="EV246" i="8" s="1"/>
  <c r="EJ246" i="8"/>
  <c r="BY259" i="8"/>
  <c r="GJ243" i="8" l="1"/>
  <c r="GY244" i="8"/>
  <c r="GG244" i="8"/>
  <c r="GD244" i="8"/>
  <c r="FY244" i="8"/>
  <c r="FZ244" i="8"/>
  <c r="GE244" i="8"/>
  <c r="GF244" i="8"/>
  <c r="GA244" i="8"/>
  <c r="GC244" i="8" s="1"/>
  <c r="GB244" i="8" s="1"/>
  <c r="DP246" i="8"/>
  <c r="CX245" i="8"/>
  <c r="CT246" i="8"/>
  <c r="CP246" i="8"/>
  <c r="CW246" i="8"/>
  <c r="CO246" i="8"/>
  <c r="CV246" i="8"/>
  <c r="CQ246" i="8"/>
  <c r="CS246" i="8" s="1"/>
  <c r="CR246" i="8" s="1"/>
  <c r="CU246" i="8"/>
  <c r="DD245" i="8"/>
  <c r="BZ256" i="8"/>
  <c r="BU257" i="8" s="1"/>
  <c r="ER246" i="8"/>
  <c r="B333" i="22"/>
  <c r="I333" i="22"/>
  <c r="K333" i="22"/>
  <c r="C333" i="22"/>
  <c r="D333" i="22"/>
  <c r="E333" i="22" s="1"/>
  <c r="G333" i="22" s="1"/>
  <c r="J333" i="22"/>
  <c r="H333" i="22"/>
  <c r="BY260" i="8"/>
  <c r="GH244" i="8" l="1"/>
  <c r="GI244" i="8" s="1"/>
  <c r="GN244" i="8" s="1"/>
  <c r="EL247" i="8"/>
  <c r="FG247" i="8"/>
  <c r="CX246" i="8"/>
  <c r="CY246" i="8" s="1"/>
  <c r="CZ246" i="8" s="1"/>
  <c r="CT247" i="8" s="1"/>
  <c r="L333" i="22"/>
  <c r="M333" i="22" s="1"/>
  <c r="BQ257" i="8"/>
  <c r="BS257" i="8" s="1"/>
  <c r="BR257" i="8" s="1"/>
  <c r="BZ257" i="8" s="1"/>
  <c r="BT258" i="8" s="1"/>
  <c r="BT257" i="8"/>
  <c r="BV257" i="8"/>
  <c r="BP257" i="8"/>
  <c r="EO247" i="8"/>
  <c r="EH247" i="8"/>
  <c r="EM247" i="8"/>
  <c r="EG247" i="8"/>
  <c r="EI247" i="8"/>
  <c r="EK247" i="8" s="1"/>
  <c r="EJ247" i="8" s="1"/>
  <c r="EN247" i="8"/>
  <c r="F333" i="22"/>
  <c r="N333" i="22" s="1"/>
  <c r="AW334" i="22" s="1"/>
  <c r="BY261" i="8"/>
  <c r="GJ244" i="8" l="1"/>
  <c r="DP247" i="8"/>
  <c r="DD246" i="8"/>
  <c r="EP247" i="8"/>
  <c r="EQ247" i="8" s="1"/>
  <c r="EV247" i="8" s="1"/>
  <c r="BP258" i="8"/>
  <c r="BX257" i="8"/>
  <c r="CC257" i="8" s="1"/>
  <c r="BV258" i="8"/>
  <c r="BU258" i="8"/>
  <c r="BQ258" i="8"/>
  <c r="BS258" i="8" s="1"/>
  <c r="BR258" i="8" s="1"/>
  <c r="BZ258" i="8" s="1"/>
  <c r="BQ259" i="8" s="1"/>
  <c r="BS259" i="8" s="1"/>
  <c r="BR259" i="8" s="1"/>
  <c r="BZ259" i="8" s="1"/>
  <c r="H334" i="22"/>
  <c r="D334" i="22"/>
  <c r="E334" i="22" s="1"/>
  <c r="G334" i="22" s="1"/>
  <c r="F334" i="22" s="1"/>
  <c r="N334" i="22" s="1"/>
  <c r="B334" i="22"/>
  <c r="C334" i="22"/>
  <c r="J334" i="22"/>
  <c r="I334" i="22"/>
  <c r="K334" i="22"/>
  <c r="BY262" i="8"/>
  <c r="CP247" i="8"/>
  <c r="CQ247" i="8"/>
  <c r="CS247" i="8" s="1"/>
  <c r="CR247" i="8" s="1"/>
  <c r="CW247" i="8"/>
  <c r="CO247" i="8"/>
  <c r="CV247" i="8"/>
  <c r="CU247" i="8"/>
  <c r="GY245" i="8" l="1"/>
  <c r="GA245" i="8"/>
  <c r="GC245" i="8" s="1"/>
  <c r="GB245" i="8" s="1"/>
  <c r="FY245" i="8"/>
  <c r="GG245" i="8"/>
  <c r="FZ245" i="8"/>
  <c r="GF245" i="8"/>
  <c r="GD245" i="8"/>
  <c r="GE245" i="8"/>
  <c r="AW335" i="22"/>
  <c r="GY246" i="8"/>
  <c r="ER247" i="8"/>
  <c r="BX258" i="8"/>
  <c r="CC258" i="8" s="1"/>
  <c r="BP259" i="8"/>
  <c r="BP260" i="8" s="1"/>
  <c r="BV259" i="8"/>
  <c r="BT259" i="8"/>
  <c r="BU259" i="8"/>
  <c r="B335" i="22"/>
  <c r="H335" i="22"/>
  <c r="J335" i="22"/>
  <c r="C335" i="22"/>
  <c r="D335" i="22"/>
  <c r="E335" i="22" s="1"/>
  <c r="G335" i="22" s="1"/>
  <c r="F335" i="22" s="1"/>
  <c r="K335" i="22"/>
  <c r="I335" i="22"/>
  <c r="BV260" i="8"/>
  <c r="BT260" i="8"/>
  <c r="BU260" i="8"/>
  <c r="BQ260" i="8"/>
  <c r="BS260" i="8" s="1"/>
  <c r="BR260" i="8" s="1"/>
  <c r="BZ260" i="8" s="1"/>
  <c r="L334" i="22"/>
  <c r="BY263" i="8"/>
  <c r="CX247" i="8"/>
  <c r="CY247" i="8" s="1"/>
  <c r="CZ247" i="8" s="1"/>
  <c r="DP248" i="8" s="1"/>
  <c r="GH245" i="8" l="1"/>
  <c r="GI245" i="8" s="1"/>
  <c r="GN245" i="8" s="1"/>
  <c r="EL248" i="8"/>
  <c r="FG248" i="8"/>
  <c r="EM248" i="8"/>
  <c r="EO248" i="8"/>
  <c r="EI248" i="8"/>
  <c r="EK248" i="8" s="1"/>
  <c r="EJ248" i="8" s="1"/>
  <c r="EN248" i="8"/>
  <c r="EH248" i="8"/>
  <c r="EG248" i="8"/>
  <c r="BX259" i="8"/>
  <c r="CC259" i="8" s="1"/>
  <c r="BX260" i="8"/>
  <c r="CC260" i="8" s="1"/>
  <c r="BT261" i="8"/>
  <c r="BU261" i="8"/>
  <c r="BQ261" i="8"/>
  <c r="BS261" i="8" s="1"/>
  <c r="BR261" i="8" s="1"/>
  <c r="BZ261" i="8" s="1"/>
  <c r="BP261" i="8"/>
  <c r="BV261" i="8"/>
  <c r="L335" i="22"/>
  <c r="M335" i="22" s="1"/>
  <c r="N335" i="22" s="1"/>
  <c r="AW336" i="22" s="1"/>
  <c r="GI248" i="8"/>
  <c r="M344" i="22"/>
  <c r="BY264" i="8"/>
  <c r="BY266" i="8" s="1"/>
  <c r="CW248" i="8"/>
  <c r="CV248" i="8"/>
  <c r="DD247" i="8"/>
  <c r="GJ245" i="8" l="1"/>
  <c r="GF246" i="8" s="1"/>
  <c r="EP248" i="8"/>
  <c r="EQ248" i="8" s="1"/>
  <c r="ER248" i="8" s="1"/>
  <c r="I336" i="22"/>
  <c r="J336" i="22"/>
  <c r="C336" i="22"/>
  <c r="K336" i="22"/>
  <c r="H336" i="22"/>
  <c r="D336" i="22"/>
  <c r="E336" i="22" s="1"/>
  <c r="G336" i="22" s="1"/>
  <c r="B336" i="22"/>
  <c r="BX261" i="8"/>
  <c r="BU262" i="8"/>
  <c r="BT262" i="8"/>
  <c r="BP262" i="8"/>
  <c r="BQ262" i="8"/>
  <c r="BS262" i="8" s="1"/>
  <c r="BR262" i="8" s="1"/>
  <c r="BZ262" i="8" s="1"/>
  <c r="BV262" i="8"/>
  <c r="CP248" i="8"/>
  <c r="CO248" i="8"/>
  <c r="CU248" i="8"/>
  <c r="CQ248" i="8"/>
  <c r="CS248" i="8" s="1"/>
  <c r="CR248" i="8" s="1"/>
  <c r="CT248" i="8"/>
  <c r="GA246" i="8" l="1"/>
  <c r="GC246" i="8" s="1"/>
  <c r="FY246" i="8"/>
  <c r="GE246" i="8"/>
  <c r="FZ246" i="8"/>
  <c r="GD246" i="8"/>
  <c r="GG246" i="8"/>
  <c r="GB246" i="8"/>
  <c r="GH246" i="8"/>
  <c r="GI246" i="8" s="1"/>
  <c r="EV248" i="8"/>
  <c r="EL249" i="8"/>
  <c r="FG249" i="8"/>
  <c r="CX248" i="8"/>
  <c r="L336" i="22"/>
  <c r="BQ263" i="8"/>
  <c r="BS263" i="8" s="1"/>
  <c r="BU263" i="8"/>
  <c r="BV263" i="8"/>
  <c r="BT263" i="8"/>
  <c r="BP263" i="8"/>
  <c r="F336" i="22"/>
  <c r="N336" i="22" s="1"/>
  <c r="AW337" i="22" s="1"/>
  <c r="CC261" i="8"/>
  <c r="BX262" i="8"/>
  <c r="CC262" i="8" s="1"/>
  <c r="CY248" i="8"/>
  <c r="CZ248" i="8" s="1"/>
  <c r="CQ249" i="8" s="1"/>
  <c r="CS249" i="8" s="1"/>
  <c r="CR249" i="8" s="1"/>
  <c r="EM249" i="8"/>
  <c r="EH249" i="8"/>
  <c r="EN249" i="8"/>
  <c r="EI249" i="8"/>
  <c r="EK249" i="8" s="1"/>
  <c r="EO249" i="8"/>
  <c r="EG249" i="8"/>
  <c r="GN246" i="8" l="1"/>
  <c r="GJ246" i="8"/>
  <c r="DP249" i="8"/>
  <c r="GY248" i="8"/>
  <c r="BX263" i="8"/>
  <c r="BR263" i="8"/>
  <c r="BZ263" i="8" s="1"/>
  <c r="B337" i="22"/>
  <c r="C337" i="22"/>
  <c r="H337" i="22"/>
  <c r="D337" i="22"/>
  <c r="E337" i="22" s="1"/>
  <c r="G337" i="22" s="1"/>
  <c r="K337" i="22"/>
  <c r="I337" i="22"/>
  <c r="J337" i="22"/>
  <c r="DD248" i="8"/>
  <c r="CV249" i="8"/>
  <c r="CO249" i="8"/>
  <c r="CP249" i="8"/>
  <c r="CW249" i="8"/>
  <c r="CU249" i="8"/>
  <c r="CT249" i="8"/>
  <c r="EP249" i="8"/>
  <c r="EQ249" i="8" s="1"/>
  <c r="EV249" i="8" s="1"/>
  <c r="EJ249" i="8"/>
  <c r="GY247" i="8" l="1"/>
  <c r="FZ247" i="8"/>
  <c r="GA247" i="8"/>
  <c r="GC247" i="8" s="1"/>
  <c r="GF247" i="8"/>
  <c r="FY247" i="8"/>
  <c r="GG247" i="8"/>
  <c r="GD247" i="8"/>
  <c r="GE247" i="8"/>
  <c r="GI247" i="8" s="1"/>
  <c r="L337" i="22"/>
  <c r="M337" i="22" s="1"/>
  <c r="F337" i="22"/>
  <c r="N337" i="22" s="1"/>
  <c r="AW338" i="22" s="1"/>
  <c r="BT264" i="8"/>
  <c r="BT266" i="8" s="1"/>
  <c r="BU264" i="8"/>
  <c r="BU266" i="8" s="1"/>
  <c r="BP264" i="8"/>
  <c r="BV264" i="8"/>
  <c r="BV266" i="8" s="1"/>
  <c r="BQ264" i="8"/>
  <c r="BQ266" i="8" s="1"/>
  <c r="CC263" i="8"/>
  <c r="CX249" i="8"/>
  <c r="CY249" i="8" s="1"/>
  <c r="CZ249" i="8" s="1"/>
  <c r="CT250" i="8" s="1"/>
  <c r="ER249" i="8"/>
  <c r="GH247" i="8" l="1"/>
  <c r="GB247" i="8"/>
  <c r="GJ247" i="8" s="1"/>
  <c r="GN247" i="8"/>
  <c r="EL250" i="8"/>
  <c r="FG250" i="8"/>
  <c r="DP250" i="8"/>
  <c r="BS264" i="8"/>
  <c r="C338" i="22"/>
  <c r="D338" i="22"/>
  <c r="E338" i="22" s="1"/>
  <c r="G338" i="22" s="1"/>
  <c r="H338" i="22"/>
  <c r="B338" i="22"/>
  <c r="I338" i="22"/>
  <c r="K338" i="22"/>
  <c r="J338" i="22"/>
  <c r="DD249" i="8"/>
  <c r="EG250" i="8"/>
  <c r="EI250" i="8"/>
  <c r="EK250" i="8" s="1"/>
  <c r="EN250" i="8"/>
  <c r="EM250" i="8"/>
  <c r="EH250" i="8"/>
  <c r="EO250" i="8"/>
  <c r="CP250" i="8"/>
  <c r="CV250" i="8"/>
  <c r="CQ250" i="8"/>
  <c r="CS250" i="8" s="1"/>
  <c r="CR250" i="8" s="1"/>
  <c r="CU250" i="8"/>
  <c r="CO250" i="8"/>
  <c r="CW250" i="8"/>
  <c r="GG248" i="8" l="1"/>
  <c r="GE248" i="8"/>
  <c r="GF248" i="8"/>
  <c r="FY248" i="8"/>
  <c r="GA248" i="8"/>
  <c r="GC248" i="8" s="1"/>
  <c r="GB248" i="8" s="1"/>
  <c r="GJ248" i="8" s="1"/>
  <c r="GD248" i="8"/>
  <c r="FZ248" i="8"/>
  <c r="L338" i="22"/>
  <c r="M338" i="22" s="1"/>
  <c r="F338" i="22"/>
  <c r="BS266" i="8"/>
  <c r="BR264" i="8"/>
  <c r="BX264" i="8"/>
  <c r="CX250" i="8"/>
  <c r="CY250" i="8" s="1"/>
  <c r="CZ250" i="8" s="1"/>
  <c r="DP251" i="8" s="1"/>
  <c r="EJ250" i="8"/>
  <c r="EP250" i="8"/>
  <c r="EQ250" i="8" s="1"/>
  <c r="EV250" i="8" s="1"/>
  <c r="GH248" i="8" l="1"/>
  <c r="GY249" i="8"/>
  <c r="GF249" i="8"/>
  <c r="GA249" i="8"/>
  <c r="GC249" i="8" s="1"/>
  <c r="GB249" i="8" s="1"/>
  <c r="GD249" i="8"/>
  <c r="GE249" i="8"/>
  <c r="FZ249" i="8"/>
  <c r="FY249" i="8"/>
  <c r="GG249" i="8"/>
  <c r="GN248" i="8"/>
  <c r="GY250" i="8"/>
  <c r="N338" i="22"/>
  <c r="AW339" i="22" s="1"/>
  <c r="CC264" i="8"/>
  <c r="BX266" i="8"/>
  <c r="BR266" i="8"/>
  <c r="BZ264" i="8"/>
  <c r="CT251" i="8"/>
  <c r="DD250" i="8"/>
  <c r="ER250" i="8"/>
  <c r="GH249" i="8" l="1"/>
  <c r="GI249" i="8" s="1"/>
  <c r="GN249" i="8" s="1"/>
  <c r="J339" i="22"/>
  <c r="D339" i="22"/>
  <c r="E339" i="22" s="1"/>
  <c r="G339" i="22" s="1"/>
  <c r="F339" i="22" s="1"/>
  <c r="B339" i="22"/>
  <c r="H339" i="22"/>
  <c r="C339" i="22"/>
  <c r="EL251" i="8"/>
  <c r="FG251" i="8"/>
  <c r="I339" i="22"/>
  <c r="K339" i="22"/>
  <c r="L339" i="22"/>
  <c r="M339" i="22" s="1"/>
  <c r="N339" i="22" s="1"/>
  <c r="AW340" i="22" s="1"/>
  <c r="BR20" i="8"/>
  <c r="E60" i="22" s="1"/>
  <c r="CC21" i="8"/>
  <c r="EN251" i="8"/>
  <c r="EH251" i="8"/>
  <c r="EM251" i="8"/>
  <c r="EO251" i="8"/>
  <c r="EI251" i="8"/>
  <c r="EK251" i="8" s="1"/>
  <c r="EG251" i="8"/>
  <c r="CU251" i="8"/>
  <c r="CV251" i="8"/>
  <c r="CO251" i="8"/>
  <c r="CQ251" i="8"/>
  <c r="CS251" i="8" s="1"/>
  <c r="CR251" i="8" s="1"/>
  <c r="CW251" i="8"/>
  <c r="CP251" i="8"/>
  <c r="GJ249" i="8" l="1"/>
  <c r="FY250" i="8" s="1"/>
  <c r="C340" i="22"/>
  <c r="J340" i="22"/>
  <c r="D340" i="22"/>
  <c r="E340" i="22" s="1"/>
  <c r="G340" i="22" s="1"/>
  <c r="F340" i="22" s="1"/>
  <c r="I340" i="22"/>
  <c r="K340" i="22"/>
  <c r="B340" i="22"/>
  <c r="H340" i="22"/>
  <c r="EP251" i="8"/>
  <c r="EJ251" i="8"/>
  <c r="EQ251" i="8"/>
  <c r="EV251" i="8" s="1"/>
  <c r="CX251" i="8"/>
  <c r="CY251" i="8" s="1"/>
  <c r="CZ251" i="8" s="1"/>
  <c r="DP252" i="8" s="1"/>
  <c r="GA250" i="8" l="1"/>
  <c r="GC250" i="8" s="1"/>
  <c r="GD250" i="8"/>
  <c r="FZ250" i="8"/>
  <c r="GF250" i="8"/>
  <c r="GE250" i="8"/>
  <c r="GG250" i="8"/>
  <c r="GH250" i="8"/>
  <c r="GI250" i="8" s="1"/>
  <c r="GB250" i="8"/>
  <c r="L340" i="22"/>
  <c r="M340" i="22" s="1"/>
  <c r="N340" i="22" s="1"/>
  <c r="AW341" i="22" s="1"/>
  <c r="DD251" i="8"/>
  <c r="CT252" i="8"/>
  <c r="ER251" i="8"/>
  <c r="GN250" i="8" l="1"/>
  <c r="GJ250" i="8"/>
  <c r="GY251" i="8" s="1"/>
  <c r="GD251" i="8"/>
  <c r="GH251" i="8" s="1"/>
  <c r="GI251" i="8" s="1"/>
  <c r="FY251" i="8"/>
  <c r="EL252" i="8"/>
  <c r="FG252" i="8"/>
  <c r="GB251" i="8"/>
  <c r="J341" i="22"/>
  <c r="C341" i="22"/>
  <c r="I341" i="22"/>
  <c r="B341" i="22"/>
  <c r="K341" i="22"/>
  <c r="D341" i="22"/>
  <c r="E341" i="22" s="1"/>
  <c r="G341" i="22" s="1"/>
  <c r="H341" i="22"/>
  <c r="M351" i="22"/>
  <c r="EN252" i="8"/>
  <c r="EG252" i="8"/>
  <c r="EO252" i="8"/>
  <c r="EI252" i="8"/>
  <c r="EK252" i="8" s="1"/>
  <c r="EM252" i="8"/>
  <c r="EH252" i="8"/>
  <c r="CW252" i="8"/>
  <c r="CP252" i="8"/>
  <c r="CV252" i="8"/>
  <c r="CO252" i="8"/>
  <c r="CU252" i="8"/>
  <c r="CQ252" i="8"/>
  <c r="CS252" i="8" s="1"/>
  <c r="CR252" i="8" s="1"/>
  <c r="FZ251" i="8" l="1"/>
  <c r="GG251" i="8"/>
  <c r="GE251" i="8"/>
  <c r="GF251" i="8"/>
  <c r="GA251" i="8"/>
  <c r="GC251" i="8" s="1"/>
  <c r="GJ251" i="8"/>
  <c r="GY252" i="8" s="1"/>
  <c r="L341" i="22"/>
  <c r="M341" i="22" s="1"/>
  <c r="F341" i="22"/>
  <c r="EP252" i="8"/>
  <c r="EQ252" i="8" s="1"/>
  <c r="EV252" i="8" s="1"/>
  <c r="EJ252" i="8"/>
  <c r="CX252" i="8"/>
  <c r="CY252" i="8" s="1"/>
  <c r="CZ252" i="8" s="1"/>
  <c r="DP253" i="8" s="1"/>
  <c r="GN251" i="8" l="1"/>
  <c r="N341" i="22"/>
  <c r="GA252" i="8"/>
  <c r="GC252" i="8" s="1"/>
  <c r="GD252" i="8"/>
  <c r="GE252" i="8"/>
  <c r="FZ252" i="8"/>
  <c r="GG252" i="8"/>
  <c r="GF252" i="8"/>
  <c r="FY252" i="8"/>
  <c r="CT253" i="8"/>
  <c r="DD252" i="8"/>
  <c r="ER252" i="8"/>
  <c r="EL253" i="8" l="1"/>
  <c r="FG253" i="8"/>
  <c r="C342" i="22"/>
  <c r="AW342" i="22"/>
  <c r="B342" i="22"/>
  <c r="J342" i="22"/>
  <c r="H342" i="22"/>
  <c r="D342" i="22"/>
  <c r="E342" i="22" s="1"/>
  <c r="G342" i="22" s="1"/>
  <c r="F342" i="22" s="1"/>
  <c r="K342" i="22"/>
  <c r="I342" i="22"/>
  <c r="GB252" i="8"/>
  <c r="GH252" i="8"/>
  <c r="GI252" i="8" s="1"/>
  <c r="GN252" i="8" s="1"/>
  <c r="L342" i="22"/>
  <c r="M342" i="22" s="1"/>
  <c r="N342" i="22" s="1"/>
  <c r="EN253" i="8"/>
  <c r="EO253" i="8"/>
  <c r="EG253" i="8"/>
  <c r="EI253" i="8"/>
  <c r="EK253" i="8" s="1"/>
  <c r="EH253" i="8"/>
  <c r="EM253" i="8"/>
  <c r="CQ253" i="8"/>
  <c r="CS253" i="8" s="1"/>
  <c r="CU253" i="8"/>
  <c r="CV253" i="8"/>
  <c r="CO253" i="8"/>
  <c r="CP253" i="8"/>
  <c r="CW253" i="8"/>
  <c r="AW343" i="22" l="1"/>
  <c r="GJ252" i="8"/>
  <c r="GY253" i="8" s="1"/>
  <c r="H343" i="22"/>
  <c r="J343" i="22"/>
  <c r="B343" i="22"/>
  <c r="I343" i="22"/>
  <c r="D343" i="22"/>
  <c r="E343" i="22" s="1"/>
  <c r="G343" i="22" s="1"/>
  <c r="C343" i="22"/>
  <c r="K343" i="22"/>
  <c r="EJ253" i="8"/>
  <c r="EP253" i="8"/>
  <c r="EQ253" i="8" s="1"/>
  <c r="EV253" i="8" s="1"/>
  <c r="CR253" i="8"/>
  <c r="CX253" i="8"/>
  <c r="CY253" i="8" s="1"/>
  <c r="DD253" i="8" s="1"/>
  <c r="GG253" i="8" l="1"/>
  <c r="GE253" i="8"/>
  <c r="FZ253" i="8"/>
  <c r="GD253" i="8"/>
  <c r="FY253" i="8"/>
  <c r="GA253" i="8"/>
  <c r="GC253" i="8" s="1"/>
  <c r="GF253" i="8"/>
  <c r="L343" i="22"/>
  <c r="M343" i="22" s="1"/>
  <c r="F343" i="22"/>
  <c r="CZ253" i="8"/>
  <c r="ER253" i="8"/>
  <c r="EL254" i="8" l="1"/>
  <c r="FG254" i="8"/>
  <c r="CT254" i="8"/>
  <c r="DP254" i="8"/>
  <c r="N343" i="22"/>
  <c r="GB253" i="8"/>
  <c r="GH253" i="8"/>
  <c r="GI253" i="8" s="1"/>
  <c r="GN253" i="8" s="1"/>
  <c r="EN254" i="8"/>
  <c r="EH254" i="8"/>
  <c r="EO254" i="8"/>
  <c r="EI254" i="8"/>
  <c r="EG254" i="8"/>
  <c r="EM254" i="8"/>
  <c r="CW254" i="8"/>
  <c r="CO254" i="8"/>
  <c r="CQ254" i="8"/>
  <c r="CU254" i="8"/>
  <c r="CP254" i="8"/>
  <c r="CV254" i="8"/>
  <c r="B344" i="22" l="1"/>
  <c r="AW344" i="22"/>
  <c r="K344" i="22"/>
  <c r="C344" i="22"/>
  <c r="H344" i="22"/>
  <c r="J344" i="22"/>
  <c r="I344" i="22"/>
  <c r="D344" i="22"/>
  <c r="E344" i="22" s="1"/>
  <c r="G344" i="22" s="1"/>
  <c r="GJ253" i="8"/>
  <c r="GY254" i="8" s="1"/>
  <c r="L344" i="22"/>
  <c r="F344" i="22"/>
  <c r="N344" i="22" s="1"/>
  <c r="M356" i="22"/>
  <c r="CS254" i="8"/>
  <c r="EK254" i="8"/>
  <c r="AW345" i="22" l="1"/>
  <c r="GF254" i="8"/>
  <c r="GA254" i="8"/>
  <c r="GC254" i="8" s="1"/>
  <c r="GB254" i="8" s="1"/>
  <c r="GG254" i="8"/>
  <c r="FY254" i="8"/>
  <c r="GE254" i="8"/>
  <c r="GD254" i="8"/>
  <c r="FZ254" i="8"/>
  <c r="K345" i="22"/>
  <c r="D345" i="22"/>
  <c r="E345" i="22" s="1"/>
  <c r="G345" i="22" s="1"/>
  <c r="F345" i="22" s="1"/>
  <c r="C345" i="22"/>
  <c r="H345" i="22"/>
  <c r="I345" i="22"/>
  <c r="B345" i="22"/>
  <c r="J345" i="22"/>
  <c r="CR254" i="8"/>
  <c r="CX254" i="8"/>
  <c r="CY254" i="8" s="1"/>
  <c r="DD254" i="8" s="1"/>
  <c r="EJ254" i="8"/>
  <c r="EP254" i="8"/>
  <c r="EQ254" i="8" s="1"/>
  <c r="EV254" i="8" s="1"/>
  <c r="GH254" i="8" l="1"/>
  <c r="GI254" i="8" s="1"/>
  <c r="GN254" i="8" s="1"/>
  <c r="L345" i="22"/>
  <c r="M345" i="22" s="1"/>
  <c r="N345" i="22" s="1"/>
  <c r="AW346" i="22" s="1"/>
  <c r="CZ254" i="8"/>
  <c r="ER254" i="8"/>
  <c r="EH255" i="8" l="1"/>
  <c r="FG255" i="8"/>
  <c r="CT255" i="8"/>
  <c r="DP255" i="8"/>
  <c r="GJ254" i="8"/>
  <c r="GY255" i="8" s="1"/>
  <c r="D346" i="22"/>
  <c r="E346" i="22" s="1"/>
  <c r="G346" i="22" s="1"/>
  <c r="F346" i="22" s="1"/>
  <c r="H346" i="22"/>
  <c r="B346" i="22"/>
  <c r="J346" i="22"/>
  <c r="C346" i="22"/>
  <c r="K346" i="22"/>
  <c r="I346" i="22"/>
  <c r="EO255" i="8"/>
  <c r="EI255" i="8"/>
  <c r="EK255" i="8" s="1"/>
  <c r="EJ255" i="8" s="1"/>
  <c r="EG255" i="8"/>
  <c r="EM255" i="8"/>
  <c r="EN255" i="8"/>
  <c r="EL255" i="8"/>
  <c r="CW255" i="8"/>
  <c r="CQ255" i="8"/>
  <c r="CS255" i="8" s="1"/>
  <c r="CU255" i="8"/>
  <c r="CV255" i="8"/>
  <c r="CO255" i="8"/>
  <c r="CP255" i="8"/>
  <c r="L346" i="22" l="1"/>
  <c r="M346" i="22" s="1"/>
  <c r="FZ255" i="8"/>
  <c r="GD255" i="8"/>
  <c r="FY255" i="8"/>
  <c r="GF255" i="8"/>
  <c r="GG255" i="8"/>
  <c r="GE255" i="8"/>
  <c r="GA255" i="8"/>
  <c r="GC255" i="8" s="1"/>
  <c r="GB255" i="8" s="1"/>
  <c r="N346" i="22"/>
  <c r="AW347" i="22" s="1"/>
  <c r="EP255" i="8"/>
  <c r="EQ255" i="8" s="1"/>
  <c r="EV255" i="8" s="1"/>
  <c r="CX255" i="8"/>
  <c r="CY255" i="8" s="1"/>
  <c r="DD255" i="8" s="1"/>
  <c r="CR255" i="8"/>
  <c r="GH255" i="8" l="1"/>
  <c r="GI255" i="8" s="1"/>
  <c r="GN255" i="8" s="1"/>
  <c r="C347" i="22"/>
  <c r="K347" i="22"/>
  <c r="H347" i="22"/>
  <c r="I347" i="22"/>
  <c r="B347" i="22"/>
  <c r="J347" i="22"/>
  <c r="D347" i="22"/>
  <c r="E347" i="22" s="1"/>
  <c r="G347" i="22" s="1"/>
  <c r="CZ255" i="8"/>
  <c r="ER255" i="8"/>
  <c r="CT256" i="8" l="1"/>
  <c r="DP256" i="8"/>
  <c r="EL256" i="8"/>
  <c r="FG256" i="8"/>
  <c r="L347" i="22"/>
  <c r="M347" i="22" s="1"/>
  <c r="GJ255" i="8"/>
  <c r="GY256" i="8" s="1"/>
  <c r="F347" i="22"/>
  <c r="N347" i="22" s="1"/>
  <c r="AW348" i="22" s="1"/>
  <c r="EM256" i="8"/>
  <c r="EN256" i="8"/>
  <c r="EH256" i="8"/>
  <c r="EI256" i="8"/>
  <c r="EG256" i="8"/>
  <c r="EO256" i="8"/>
  <c r="CV256" i="8"/>
  <c r="CQ256" i="8"/>
  <c r="CS256" i="8" s="1"/>
  <c r="CU256" i="8"/>
  <c r="CP256" i="8"/>
  <c r="CO256" i="8"/>
  <c r="CW256" i="8"/>
  <c r="FY256" i="8" l="1"/>
  <c r="GG256" i="8"/>
  <c r="GF256" i="8"/>
  <c r="GD256" i="8"/>
  <c r="GA256" i="8"/>
  <c r="GC256" i="8" s="1"/>
  <c r="GE256" i="8"/>
  <c r="FZ256" i="8"/>
  <c r="I348" i="22"/>
  <c r="J348" i="22"/>
  <c r="D348" i="22"/>
  <c r="E348" i="22" s="1"/>
  <c r="G348" i="22" s="1"/>
  <c r="F348" i="22" s="1"/>
  <c r="K348" i="22"/>
  <c r="H348" i="22"/>
  <c r="C348" i="22"/>
  <c r="B348" i="22"/>
  <c r="EK256" i="8"/>
  <c r="EJ256" i="8" s="1"/>
  <c r="CX256" i="8"/>
  <c r="CY256" i="8"/>
  <c r="DD256" i="8" s="1"/>
  <c r="CR256" i="8"/>
  <c r="GH256" i="8" l="1"/>
  <c r="GI256" i="8" s="1"/>
  <c r="GN256" i="8" s="1"/>
  <c r="GB256" i="8"/>
  <c r="EP256" i="8"/>
  <c r="EQ256" i="8" s="1"/>
  <c r="EV256" i="8" s="1"/>
  <c r="L348" i="22"/>
  <c r="M348" i="22" s="1"/>
  <c r="N348" i="22" s="1"/>
  <c r="AW349" i="22" s="1"/>
  <c r="CZ256" i="8"/>
  <c r="CT257" i="8" l="1"/>
  <c r="DP257" i="8"/>
  <c r="GJ256" i="8"/>
  <c r="GY257" i="8" s="1"/>
  <c r="ER256" i="8"/>
  <c r="D349" i="22"/>
  <c r="E349" i="22" s="1"/>
  <c r="G349" i="22" s="1"/>
  <c r="F349" i="22" s="1"/>
  <c r="K349" i="22"/>
  <c r="J349" i="22"/>
  <c r="H349" i="22"/>
  <c r="I349" i="22"/>
  <c r="B349" i="22"/>
  <c r="C349" i="22"/>
  <c r="CQ257" i="8"/>
  <c r="CS257" i="8" s="1"/>
  <c r="CR257" i="8" s="1"/>
  <c r="M363" i="22"/>
  <c r="CO257" i="8"/>
  <c r="CW257" i="8"/>
  <c r="CU257" i="8"/>
  <c r="CP257" i="8"/>
  <c r="CV257" i="8"/>
  <c r="EI257" i="8" l="1"/>
  <c r="EK257" i="8" s="1"/>
  <c r="EJ257" i="8" s="1"/>
  <c r="FG257" i="8"/>
  <c r="GA257" i="8"/>
  <c r="GC257" i="8" s="1"/>
  <c r="GB257" i="8" s="1"/>
  <c r="GF257" i="8"/>
  <c r="GD257" i="8"/>
  <c r="GE257" i="8"/>
  <c r="GG257" i="8"/>
  <c r="FZ257" i="8"/>
  <c r="FY257" i="8"/>
  <c r="L349" i="22"/>
  <c r="M349" i="22" s="1"/>
  <c r="N349" i="22" s="1"/>
  <c r="AW350" i="22" s="1"/>
  <c r="EH257" i="8"/>
  <c r="EN257" i="8"/>
  <c r="EO257" i="8"/>
  <c r="EM257" i="8"/>
  <c r="EG257" i="8"/>
  <c r="EL257" i="8"/>
  <c r="M364" i="22"/>
  <c r="CX257" i="8"/>
  <c r="CY257" i="8" s="1"/>
  <c r="CZ257" i="8" s="1"/>
  <c r="CW258" i="8" s="1"/>
  <c r="DP258" i="8" l="1"/>
  <c r="DO258" i="8" s="1"/>
  <c r="DN258" i="8" s="1"/>
  <c r="GH257" i="8"/>
  <c r="GI257" i="8" s="1"/>
  <c r="GN257" i="8" s="1"/>
  <c r="EP257" i="8"/>
  <c r="EQ257" i="8" s="1"/>
  <c r="EV257" i="8" s="1"/>
  <c r="B350" i="22"/>
  <c r="D350" i="22"/>
  <c r="E350" i="22" s="1"/>
  <c r="G350" i="22" s="1"/>
  <c r="C350" i="22"/>
  <c r="H350" i="22"/>
  <c r="K350" i="22"/>
  <c r="I350" i="22"/>
  <c r="J350" i="22"/>
  <c r="CQ258" i="8"/>
  <c r="CS258" i="8" s="1"/>
  <c r="CR258" i="8" s="1"/>
  <c r="CU258" i="8"/>
  <c r="CV258" i="8"/>
  <c r="CO258" i="8"/>
  <c r="DD257" i="8"/>
  <c r="CP258" i="8"/>
  <c r="CT258" i="8"/>
  <c r="ER257" i="8" l="1"/>
  <c r="GJ257" i="8"/>
  <c r="CX258" i="8"/>
  <c r="CY258" i="8" s="1"/>
  <c r="CZ258" i="8" s="1"/>
  <c r="CQ259" i="8" s="1"/>
  <c r="CS259" i="8" s="1"/>
  <c r="CR259" i="8" s="1"/>
  <c r="L350" i="22"/>
  <c r="M350" i="22" s="1"/>
  <c r="N350" i="22" s="1"/>
  <c r="AW351" i="22" s="1"/>
  <c r="F350" i="22"/>
  <c r="EM258" i="8" l="1"/>
  <c r="EI258" i="8"/>
  <c r="EH258" i="8"/>
  <c r="EO258" i="8"/>
  <c r="EG258" i="8"/>
  <c r="GG258" i="8"/>
  <c r="GY258" i="8"/>
  <c r="GX258" i="8" s="1"/>
  <c r="GW258" i="8" s="1"/>
  <c r="EL258" i="8"/>
  <c r="FG258" i="8"/>
  <c r="FF258" i="8" s="1"/>
  <c r="FE258" i="8" s="1"/>
  <c r="EK258" i="8" s="1"/>
  <c r="EJ258" i="8" s="1"/>
  <c r="DP259" i="8"/>
  <c r="GF258" i="8"/>
  <c r="FZ258" i="8"/>
  <c r="EN258" i="8"/>
  <c r="GD258" i="8"/>
  <c r="CW259" i="8"/>
  <c r="FY258" i="8"/>
  <c r="GA258" i="8"/>
  <c r="CU259" i="8"/>
  <c r="GE258" i="8"/>
  <c r="CV259" i="8"/>
  <c r="CP259" i="8"/>
  <c r="DD258" i="8"/>
  <c r="CO259" i="8"/>
  <c r="B351" i="22"/>
  <c r="K351" i="22"/>
  <c r="H351" i="22"/>
  <c r="I351" i="22"/>
  <c r="J351" i="22"/>
  <c r="D351" i="22"/>
  <c r="E351" i="22" s="1"/>
  <c r="G351" i="22" s="1"/>
  <c r="C351" i="22"/>
  <c r="CT259" i="8"/>
  <c r="GC258" i="8" l="1"/>
  <c r="GB258" i="8" s="1"/>
  <c r="EP258" i="8"/>
  <c r="EQ258" i="8" s="1"/>
  <c r="EV258" i="8" s="1"/>
  <c r="CX259" i="8"/>
  <c r="CY259" i="8" s="1"/>
  <c r="CZ259" i="8" s="1"/>
  <c r="CW260" i="8" s="1"/>
  <c r="GH258" i="8"/>
  <c r="GI258" i="8" s="1"/>
  <c r="GJ258" i="8" s="1"/>
  <c r="FZ259" i="8" s="1"/>
  <c r="L351" i="22"/>
  <c r="F351" i="22"/>
  <c r="N351" i="22" s="1"/>
  <c r="AW352" i="22" s="1"/>
  <c r="ER258" i="8" l="1"/>
  <c r="GF259" i="8"/>
  <c r="CP260" i="8"/>
  <c r="DD259" i="8"/>
  <c r="DP260" i="8"/>
  <c r="GD259" i="8"/>
  <c r="GE259" i="8"/>
  <c r="CV260" i="8"/>
  <c r="GY259" i="8"/>
  <c r="CO260" i="8"/>
  <c r="GA259" i="8"/>
  <c r="GC259" i="8" s="1"/>
  <c r="GB259" i="8" s="1"/>
  <c r="GG259" i="8"/>
  <c r="FY259" i="8"/>
  <c r="GN258" i="8"/>
  <c r="EG259" i="8"/>
  <c r="J352" i="22"/>
  <c r="B352" i="22"/>
  <c r="K352" i="22"/>
  <c r="C352" i="22"/>
  <c r="D352" i="22"/>
  <c r="E352" i="22" s="1"/>
  <c r="G352" i="22" s="1"/>
  <c r="H352" i="22"/>
  <c r="I352" i="22"/>
  <c r="CT260" i="8"/>
  <c r="CU260" i="8"/>
  <c r="CQ260" i="8"/>
  <c r="CS260" i="8" s="1"/>
  <c r="CR260" i="8" s="1"/>
  <c r="FG259" i="8" l="1"/>
  <c r="EL259" i="8"/>
  <c r="EH259" i="8"/>
  <c r="EO259" i="8"/>
  <c r="EN259" i="8"/>
  <c r="EM259" i="8"/>
  <c r="EI259" i="8"/>
  <c r="EK259" i="8" s="1"/>
  <c r="EJ259" i="8" s="1"/>
  <c r="GH259" i="8"/>
  <c r="GI259" i="8" s="1"/>
  <c r="GN259" i="8" s="1"/>
  <c r="F352" i="22"/>
  <c r="L352" i="22"/>
  <c r="M352" i="22" s="1"/>
  <c r="EP259" i="8"/>
  <c r="EQ259" i="8" s="1"/>
  <c r="EV259" i="8" s="1"/>
  <c r="CX260" i="8"/>
  <c r="CY260" i="8" s="1"/>
  <c r="CZ260" i="8" s="1"/>
  <c r="DP261" i="8" s="1"/>
  <c r="GJ259" i="8" l="1"/>
  <c r="GY260" i="8" s="1"/>
  <c r="N352" i="22"/>
  <c r="ER259" i="8"/>
  <c r="FG260" i="8" s="1"/>
  <c r="CP261" i="8"/>
  <c r="CT261" i="8"/>
  <c r="CV261" i="8"/>
  <c r="CO261" i="8"/>
  <c r="CW261" i="8"/>
  <c r="CU261" i="8"/>
  <c r="DD260" i="8"/>
  <c r="CQ261" i="8"/>
  <c r="CS261" i="8" s="1"/>
  <c r="CR261" i="8" s="1"/>
  <c r="FY260" i="8" l="1"/>
  <c r="GG260" i="8"/>
  <c r="GE260" i="8"/>
  <c r="GA260" i="8"/>
  <c r="GC260" i="8" s="1"/>
  <c r="GB260" i="8" s="1"/>
  <c r="GF260" i="8"/>
  <c r="FZ260" i="8"/>
  <c r="GD260" i="8"/>
  <c r="GH260" i="8" s="1"/>
  <c r="GI260" i="8" s="1"/>
  <c r="K353" i="22"/>
  <c r="AW353" i="22"/>
  <c r="D353" i="22"/>
  <c r="E353" i="22" s="1"/>
  <c r="G353" i="22" s="1"/>
  <c r="F353" i="22" s="1"/>
  <c r="I353" i="22"/>
  <c r="J353" i="22"/>
  <c r="H353" i="22"/>
  <c r="B353" i="22"/>
  <c r="C353" i="22"/>
  <c r="L353" i="22"/>
  <c r="M353" i="22" s="1"/>
  <c r="N353" i="22" s="1"/>
  <c r="EL260" i="8"/>
  <c r="EG260" i="8"/>
  <c r="EH260" i="8"/>
  <c r="EO260" i="8"/>
  <c r="EM260" i="8"/>
  <c r="EN260" i="8"/>
  <c r="EI260" i="8"/>
  <c r="EK260" i="8" s="1"/>
  <c r="EJ260" i="8" s="1"/>
  <c r="CX261" i="8"/>
  <c r="CY261" i="8" s="1"/>
  <c r="CZ261" i="8" s="1"/>
  <c r="DP262" i="8" s="1"/>
  <c r="GN260" i="8" l="1"/>
  <c r="AW354" i="22"/>
  <c r="GJ260" i="8"/>
  <c r="GY261" i="8" s="1"/>
  <c r="EP260" i="8"/>
  <c r="EQ260" i="8" s="1"/>
  <c r="EV260" i="8" s="1"/>
  <c r="D354" i="22"/>
  <c r="E354" i="22" s="1"/>
  <c r="G354" i="22" s="1"/>
  <c r="F354" i="22" s="1"/>
  <c r="H354" i="22"/>
  <c r="B354" i="22"/>
  <c r="C354" i="22"/>
  <c r="K354" i="22"/>
  <c r="I354" i="22"/>
  <c r="J354" i="22"/>
  <c r="DD261" i="8"/>
  <c r="CV262" i="8"/>
  <c r="CO262" i="8"/>
  <c r="CQ262" i="8"/>
  <c r="CS262" i="8" s="1"/>
  <c r="CR262" i="8" s="1"/>
  <c r="CU262" i="8"/>
  <c r="CP262" i="8"/>
  <c r="CW262" i="8"/>
  <c r="CT262" i="8"/>
  <c r="FZ261" i="8" l="1"/>
  <c r="GE261" i="8"/>
  <c r="FY261" i="8"/>
  <c r="GA261" i="8"/>
  <c r="GC261" i="8" s="1"/>
  <c r="GB261" i="8" s="1"/>
  <c r="GG261" i="8"/>
  <c r="GF261" i="8"/>
  <c r="GD261" i="8"/>
  <c r="ER260" i="8"/>
  <c r="L354" i="22"/>
  <c r="M354" i="22" s="1"/>
  <c r="N354" i="22" s="1"/>
  <c r="AW355" i="22" s="1"/>
  <c r="CX262" i="8"/>
  <c r="CY262" i="8"/>
  <c r="CZ262" i="8" s="1"/>
  <c r="CT263" i="8" s="1"/>
  <c r="GH261" i="8" l="1"/>
  <c r="GI261" i="8" s="1"/>
  <c r="GN261" i="8" s="1"/>
  <c r="EL261" i="8"/>
  <c r="FG261" i="8"/>
  <c r="DP263" i="8"/>
  <c r="EM261" i="8"/>
  <c r="EG261" i="8"/>
  <c r="EN261" i="8"/>
  <c r="EH261" i="8"/>
  <c r="EI261" i="8"/>
  <c r="EK261" i="8" s="1"/>
  <c r="EJ261" i="8" s="1"/>
  <c r="EO261" i="8"/>
  <c r="J355" i="22"/>
  <c r="C355" i="22"/>
  <c r="I355" i="22"/>
  <c r="K355" i="22"/>
  <c r="B355" i="22"/>
  <c r="H355" i="22"/>
  <c r="D355" i="22"/>
  <c r="E355" i="22" s="1"/>
  <c r="G355" i="22" s="1"/>
  <c r="F355" i="22" s="1"/>
  <c r="DD262" i="8"/>
  <c r="CU263" i="8"/>
  <c r="CP263" i="8"/>
  <c r="CO263" i="8"/>
  <c r="CW263" i="8"/>
  <c r="CQ263" i="8"/>
  <c r="CS263" i="8" s="1"/>
  <c r="CV263" i="8"/>
  <c r="GJ261" i="8" l="1"/>
  <c r="GY262" i="8" s="1"/>
  <c r="EP261" i="8"/>
  <c r="EQ261" i="8" s="1"/>
  <c r="EV261" i="8" s="1"/>
  <c r="L355" i="22"/>
  <c r="M355" i="22" s="1"/>
  <c r="N355" i="22" s="1"/>
  <c r="AW356" i="22" s="1"/>
  <c r="CR263" i="8"/>
  <c r="CX263" i="8"/>
  <c r="CY263" i="8"/>
  <c r="DD263" i="8" s="1"/>
  <c r="GA262" i="8" l="1"/>
  <c r="GC262" i="8" s="1"/>
  <c r="GG262" i="8"/>
  <c r="FY262" i="8"/>
  <c r="GE262" i="8"/>
  <c r="GD262" i="8"/>
  <c r="FZ262" i="8"/>
  <c r="GF262" i="8"/>
  <c r="GB262" i="8"/>
  <c r="ER261" i="8"/>
  <c r="I356" i="22"/>
  <c r="B356" i="22"/>
  <c r="J356" i="22"/>
  <c r="H356" i="22"/>
  <c r="D356" i="22"/>
  <c r="E356" i="22" s="1"/>
  <c r="G356" i="22" s="1"/>
  <c r="C356" i="22"/>
  <c r="K356" i="22"/>
  <c r="CZ263" i="8"/>
  <c r="GH262" i="8" l="1"/>
  <c r="GI262" i="8" s="1"/>
  <c r="GN262" i="8" s="1"/>
  <c r="CT264" i="8"/>
  <c r="CT266" i="8" s="1"/>
  <c r="DP264" i="8"/>
  <c r="EH262" i="8"/>
  <c r="FG262" i="8"/>
  <c r="EN262" i="8"/>
  <c r="EO262" i="8"/>
  <c r="EL262" i="8"/>
  <c r="EM262" i="8"/>
  <c r="EG262" i="8"/>
  <c r="EI262" i="8"/>
  <c r="EK262" i="8" s="1"/>
  <c r="EJ262" i="8" s="1"/>
  <c r="L356" i="22"/>
  <c r="F356" i="22"/>
  <c r="N356" i="22" s="1"/>
  <c r="AW357" i="22" s="1"/>
  <c r="CP264" i="8"/>
  <c r="CW264" i="8"/>
  <c r="CQ264" i="8"/>
  <c r="CQ266" i="8" s="1"/>
  <c r="CO264" i="8"/>
  <c r="CV264" i="8"/>
  <c r="CV266" i="8" s="1"/>
  <c r="CU264" i="8"/>
  <c r="CU266" i="8" s="1"/>
  <c r="GJ262" i="8" l="1"/>
  <c r="FZ263" i="8" s="1"/>
  <c r="GY263" i="8"/>
  <c r="EP262" i="8"/>
  <c r="EQ262" i="8" s="1"/>
  <c r="ER262" i="8" s="1"/>
  <c r="EO263" i="8" s="1"/>
  <c r="GG263" i="8"/>
  <c r="GE263" i="8"/>
  <c r="J357" i="22"/>
  <c r="C357" i="22"/>
  <c r="K357" i="22"/>
  <c r="I357" i="22"/>
  <c r="H357" i="22"/>
  <c r="B357" i="22"/>
  <c r="D357" i="22"/>
  <c r="E357" i="22" s="1"/>
  <c r="G357" i="22" s="1"/>
  <c r="CS264" i="8"/>
  <c r="CR264" i="8" s="1"/>
  <c r="GF263" i="8" l="1"/>
  <c r="FY263" i="8"/>
  <c r="GA263" i="8"/>
  <c r="GC263" i="8" s="1"/>
  <c r="GD263" i="8"/>
  <c r="FG263" i="8"/>
  <c r="EH263" i="8"/>
  <c r="EL263" i="8"/>
  <c r="EV262" i="8"/>
  <c r="EI263" i="8"/>
  <c r="EK263" i="8" s="1"/>
  <c r="EJ263" i="8" s="1"/>
  <c r="EG263" i="8"/>
  <c r="EN263" i="8"/>
  <c r="EM263" i="8"/>
  <c r="GB263" i="8"/>
  <c r="GH263" i="8"/>
  <c r="GI263" i="8" s="1"/>
  <c r="F357" i="22"/>
  <c r="L357" i="22"/>
  <c r="M357" i="22" s="1"/>
  <c r="CS266" i="8"/>
  <c r="GI264" i="8"/>
  <c r="CX264" i="8"/>
  <c r="CX266" i="8" s="1"/>
  <c r="K49" i="22" s="1"/>
  <c r="N50" i="22" s="1"/>
  <c r="CR266" i="8"/>
  <c r="GN263" i="8" l="1"/>
  <c r="EP263" i="8"/>
  <c r="EQ263" i="8" s="1"/>
  <c r="EV263" i="8" s="1"/>
  <c r="GJ263" i="8"/>
  <c r="GY264" i="8" s="1"/>
  <c r="N357" i="22"/>
  <c r="AW358" i="22" s="1"/>
  <c r="CY264" i="8"/>
  <c r="CZ264" i="8" s="1"/>
  <c r="GI266" i="8"/>
  <c r="EQ264" i="8"/>
  <c r="ER263" i="8" l="1"/>
  <c r="FZ264" i="8"/>
  <c r="GE264" i="8"/>
  <c r="GE266" i="8" s="1"/>
  <c r="GA264" i="8"/>
  <c r="GD264" i="8"/>
  <c r="GD266" i="8" s="1"/>
  <c r="GF264" i="8"/>
  <c r="GF266" i="8" s="1"/>
  <c r="GG264" i="8"/>
  <c r="FY264" i="8"/>
  <c r="J358" i="22"/>
  <c r="B358" i="22"/>
  <c r="D358" i="22"/>
  <c r="E358" i="22" s="1"/>
  <c r="G358" i="22" s="1"/>
  <c r="C358" i="22"/>
  <c r="I358" i="22"/>
  <c r="K358" i="22"/>
  <c r="H358" i="22"/>
  <c r="DD264" i="8"/>
  <c r="DD266" i="8" s="1"/>
  <c r="CY266" i="8"/>
  <c r="EQ266" i="8"/>
  <c r="C30" i="2"/>
  <c r="C118" i="2" s="1"/>
  <c r="O24" i="8"/>
  <c r="EI264" i="8" l="1"/>
  <c r="EL264" i="8"/>
  <c r="EL266" i="8" s="1"/>
  <c r="EG264" i="8"/>
  <c r="EH264" i="8"/>
  <c r="EO264" i="8"/>
  <c r="EN264" i="8"/>
  <c r="EN266" i="8" s="1"/>
  <c r="EM264" i="8"/>
  <c r="EM266" i="8" s="1"/>
  <c r="FG264" i="8"/>
  <c r="GA266" i="8"/>
  <c r="GC264" i="8"/>
  <c r="EI266" i="8"/>
  <c r="EK264" i="8"/>
  <c r="L358" i="22"/>
  <c r="M358" i="22" s="1"/>
  <c r="F358" i="22"/>
  <c r="H46" i="1"/>
  <c r="AB118" i="2"/>
  <c r="J79" i="1" s="1"/>
  <c r="BE24" i="8"/>
  <c r="GC266" i="8" l="1"/>
  <c r="GB264" i="8"/>
  <c r="GH264" i="8"/>
  <c r="GH266" i="8" s="1"/>
  <c r="N49" i="22" s="1"/>
  <c r="GN264" i="8"/>
  <c r="GN266" i="8" s="1"/>
  <c r="EK266" i="8"/>
  <c r="EJ264" i="8"/>
  <c r="EP264" i="8"/>
  <c r="EP266" i="8" s="1"/>
  <c r="EV264" i="8"/>
  <c r="EV266" i="8" s="1"/>
  <c r="N358" i="22"/>
  <c r="AW359" i="22" s="1"/>
  <c r="IA24" i="8"/>
  <c r="HR20" i="8" s="1"/>
  <c r="D67" i="17" s="1"/>
  <c r="IZ24" i="8"/>
  <c r="IQ20" i="8" s="1"/>
  <c r="D11" i="20" s="1"/>
  <c r="D105" i="2"/>
  <c r="D119" i="2"/>
  <c r="AC119" i="2" s="1"/>
  <c r="GB266" i="8" l="1"/>
  <c r="GJ264" i="8"/>
  <c r="N36" i="22"/>
  <c r="L49" i="22"/>
  <c r="L50" i="22" s="1"/>
  <c r="I51" i="22" s="1"/>
  <c r="EJ266" i="8"/>
  <c r="ER264" i="8"/>
  <c r="J359" i="22"/>
  <c r="C359" i="22"/>
  <c r="B359" i="22"/>
  <c r="K359" i="22"/>
  <c r="I359" i="22"/>
  <c r="D359" i="22"/>
  <c r="E359" i="22" s="1"/>
  <c r="G359" i="22" s="1"/>
  <c r="H359" i="22"/>
  <c r="AC105" i="2"/>
  <c r="D80" i="1" s="1"/>
  <c r="I45" i="1"/>
  <c r="J64" i="1" s="1"/>
  <c r="AC14" i="8"/>
  <c r="K17" i="7"/>
  <c r="D127" i="2"/>
  <c r="AC127" i="2" s="1"/>
  <c r="D124" i="2"/>
  <c r="AC124" i="2" s="1"/>
  <c r="D110" i="2"/>
  <c r="AC110" i="2" s="1"/>
  <c r="D116" i="2"/>
  <c r="D117" i="2"/>
  <c r="F359" i="22" l="1"/>
  <c r="L359" i="22"/>
  <c r="M359" i="22" s="1"/>
  <c r="X198" i="7"/>
  <c r="X30" i="7"/>
  <c r="X54" i="7"/>
  <c r="X78" i="7"/>
  <c r="X102" i="7"/>
  <c r="X126" i="7"/>
  <c r="X150" i="7"/>
  <c r="X174" i="7"/>
  <c r="X222" i="7"/>
  <c r="X66" i="7"/>
  <c r="X90" i="7"/>
  <c r="X114" i="7"/>
  <c r="X138" i="7"/>
  <c r="X162" i="7"/>
  <c r="X186" i="7"/>
  <c r="X234" i="7"/>
  <c r="X210" i="7"/>
  <c r="X42" i="7"/>
  <c r="X246" i="7"/>
  <c r="D18" i="7"/>
  <c r="H18" i="7"/>
  <c r="G18" i="7"/>
  <c r="AI24" i="8"/>
  <c r="AC25" i="8" s="1"/>
  <c r="C18" i="7"/>
  <c r="B18" i="7"/>
  <c r="D123" i="2"/>
  <c r="I55" i="1" s="1"/>
  <c r="AC117" i="2"/>
  <c r="D129" i="2"/>
  <c r="AC129" i="2" s="1"/>
  <c r="AC116" i="2"/>
  <c r="AO157" i="8"/>
  <c r="AO85" i="8"/>
  <c r="AO253" i="8"/>
  <c r="AO121" i="8"/>
  <c r="AO109" i="8"/>
  <c r="AO61" i="8"/>
  <c r="AO193" i="8"/>
  <c r="AO133" i="8"/>
  <c r="AO49" i="8"/>
  <c r="AO97" i="8"/>
  <c r="AO205" i="8"/>
  <c r="AO37" i="8"/>
  <c r="AO181" i="8"/>
  <c r="AO145" i="8"/>
  <c r="AO217" i="8"/>
  <c r="AO169" i="8"/>
  <c r="AO73" i="8"/>
  <c r="AO229" i="8"/>
  <c r="AO241" i="8"/>
  <c r="I64" i="1"/>
  <c r="I70" i="1" s="1"/>
  <c r="I71" i="1" s="1"/>
  <c r="I57" i="1"/>
  <c r="I48" i="1"/>
  <c r="I49" i="1"/>
  <c r="I47" i="1"/>
  <c r="I58" i="1"/>
  <c r="I51" i="1"/>
  <c r="I56" i="1"/>
  <c r="I50" i="1"/>
  <c r="I61" i="1"/>
  <c r="J70" i="1"/>
  <c r="I52" i="1"/>
  <c r="N359" i="22" l="1"/>
  <c r="AW360" i="22" s="1"/>
  <c r="E18" i="7"/>
  <c r="I18" i="7" s="1"/>
  <c r="J18" i="7" s="1"/>
  <c r="AC123" i="2"/>
  <c r="C128" i="2"/>
  <c r="AB128" i="2" s="1"/>
  <c r="I59" i="1"/>
  <c r="I60" i="1" s="1"/>
  <c r="Z25" i="8"/>
  <c r="AD25" i="8"/>
  <c r="AG25" i="8" s="1"/>
  <c r="AK25" i="8" s="1"/>
  <c r="AA25" i="8"/>
  <c r="AK24" i="8"/>
  <c r="AF161" i="1"/>
  <c r="AE161" i="1" s="1"/>
  <c r="AB161" i="1" s="1"/>
  <c r="AF154" i="1"/>
  <c r="AE154" i="1" s="1"/>
  <c r="AB154" i="1" s="1"/>
  <c r="AF153" i="1"/>
  <c r="AE153" i="1" s="1"/>
  <c r="AB153" i="1" s="1"/>
  <c r="AF125" i="1"/>
  <c r="AE125" i="1" s="1"/>
  <c r="AB125" i="1" s="1"/>
  <c r="AF119" i="1"/>
  <c r="AE119" i="1" s="1"/>
  <c r="AB119" i="1" s="1"/>
  <c r="AF110" i="1"/>
  <c r="AE110" i="1" s="1"/>
  <c r="AB110" i="1" s="1"/>
  <c r="AF107" i="1"/>
  <c r="AE107" i="1" s="1"/>
  <c r="AB107" i="1" s="1"/>
  <c r="AF106" i="1"/>
  <c r="AE106" i="1" s="1"/>
  <c r="AB106" i="1" s="1"/>
  <c r="AC104" i="1"/>
  <c r="AB104" i="1" s="1"/>
  <c r="AF97" i="1"/>
  <c r="AE97" i="1" s="1"/>
  <c r="AF96" i="1"/>
  <c r="AE96" i="1" s="1"/>
  <c r="AB96" i="1" s="1"/>
  <c r="AF91" i="1"/>
  <c r="AE91" i="1" s="1"/>
  <c r="AB91" i="1" s="1"/>
  <c r="B360" i="22" l="1"/>
  <c r="K360" i="22"/>
  <c r="C360" i="22"/>
  <c r="H360" i="22"/>
  <c r="D360" i="22"/>
  <c r="E360" i="22" s="1"/>
  <c r="G360" i="22" s="1"/>
  <c r="F360" i="22" s="1"/>
  <c r="I360" i="22"/>
  <c r="J360" i="22"/>
  <c r="F18" i="7"/>
  <c r="K18" i="7" s="1"/>
  <c r="AE19" i="7" s="1"/>
  <c r="H52" i="1"/>
  <c r="AB25" i="8"/>
  <c r="AI25" i="8" s="1"/>
  <c r="Z26" i="8" s="1"/>
  <c r="Y86" i="1"/>
  <c r="U23" i="8"/>
  <c r="L360" i="22" l="1"/>
  <c r="M360" i="22" s="1"/>
  <c r="N360" i="22" s="1"/>
  <c r="AW361" i="22" s="1"/>
  <c r="B19" i="7"/>
  <c r="D19" i="7"/>
  <c r="E19" i="7" s="1"/>
  <c r="G19" i="7" s="1"/>
  <c r="F19" i="7" s="1"/>
  <c r="C19" i="7"/>
  <c r="H19" i="7"/>
  <c r="AA26" i="8"/>
  <c r="AC26" i="8" s="1"/>
  <c r="AB26" i="8" s="1"/>
  <c r="AI26" i="8" s="1"/>
  <c r="Z27" i="8" s="1"/>
  <c r="AD26" i="8"/>
  <c r="I19" i="7"/>
  <c r="Y88" i="1"/>
  <c r="Y89" i="1" s="1"/>
  <c r="U25" i="8"/>
  <c r="U26" i="8" s="1"/>
  <c r="D361" i="22" l="1"/>
  <c r="E361" i="22" s="1"/>
  <c r="G361" i="22" s="1"/>
  <c r="F361" i="22" s="1"/>
  <c r="B361" i="22"/>
  <c r="I361" i="22"/>
  <c r="J361" i="22"/>
  <c r="C361" i="22"/>
  <c r="K361" i="22"/>
  <c r="H361" i="22"/>
  <c r="L361" i="22" s="1"/>
  <c r="M361" i="22" s="1"/>
  <c r="U27" i="8"/>
  <c r="U28" i="8" s="1"/>
  <c r="V26" i="8"/>
  <c r="K26" i="8" s="1"/>
  <c r="Y90" i="1"/>
  <c r="Y91" i="1" s="1"/>
  <c r="Z89" i="1"/>
  <c r="M89" i="1" s="1"/>
  <c r="N89" i="1" s="1"/>
  <c r="AD90" i="1" s="1"/>
  <c r="J19" i="7"/>
  <c r="AD27" i="8"/>
  <c r="AA27" i="8"/>
  <c r="AC27" i="8" s="1"/>
  <c r="AB27" i="8" s="1"/>
  <c r="AI27" i="8" s="1"/>
  <c r="AD28" i="8" s="1"/>
  <c r="AG26" i="8"/>
  <c r="AK26" i="8" s="1"/>
  <c r="K19" i="7"/>
  <c r="AE20" i="7" s="1"/>
  <c r="Z90" i="1" l="1"/>
  <c r="V27" i="8"/>
  <c r="N361" i="22"/>
  <c r="AW362" i="22" s="1"/>
  <c r="D90" i="1"/>
  <c r="E90" i="1" s="1"/>
  <c r="G90" i="1" s="1"/>
  <c r="J90" i="1"/>
  <c r="B90" i="1"/>
  <c r="C90" i="1"/>
  <c r="K90" i="1"/>
  <c r="H90" i="1"/>
  <c r="I90" i="1"/>
  <c r="O26" i="8"/>
  <c r="L26" i="8"/>
  <c r="Y92" i="1"/>
  <c r="Y93" i="1" s="1"/>
  <c r="Z91" i="1"/>
  <c r="U29" i="8"/>
  <c r="U30" i="8" s="1"/>
  <c r="V28" i="8"/>
  <c r="Z28" i="8"/>
  <c r="AA28" i="8"/>
  <c r="AC28" i="8" s="1"/>
  <c r="AG28" i="8" s="1"/>
  <c r="AK28" i="8" s="1"/>
  <c r="AG27" i="8"/>
  <c r="AK27" i="8" s="1"/>
  <c r="H20" i="7"/>
  <c r="B20" i="7"/>
  <c r="C20" i="7"/>
  <c r="D20" i="7"/>
  <c r="E20" i="7" s="1"/>
  <c r="I20" i="7" s="1"/>
  <c r="V29" i="8" l="1"/>
  <c r="Z92" i="1"/>
  <c r="J362" i="22"/>
  <c r="C362" i="22"/>
  <c r="I362" i="22"/>
  <c r="B362" i="22"/>
  <c r="D362" i="22"/>
  <c r="H362" i="22"/>
  <c r="K362" i="22"/>
  <c r="E362" i="22"/>
  <c r="G362" i="22" s="1"/>
  <c r="F362" i="22" s="1"/>
  <c r="I27" i="8"/>
  <c r="D27" i="8"/>
  <c r="F27" i="8" s="1"/>
  <c r="E27" i="8" s="1"/>
  <c r="H27" i="8"/>
  <c r="C27" i="8"/>
  <c r="G27" i="8"/>
  <c r="F90" i="1"/>
  <c r="L90" i="1"/>
  <c r="M90" i="1" s="1"/>
  <c r="Y94" i="1"/>
  <c r="Y95" i="1" s="1"/>
  <c r="Z93" i="1"/>
  <c r="U31" i="8"/>
  <c r="U32" i="8" s="1"/>
  <c r="V30" i="8"/>
  <c r="AB28" i="8"/>
  <c r="AI28" i="8" s="1"/>
  <c r="AD29" i="8" s="1"/>
  <c r="G20" i="7"/>
  <c r="J20" i="7" s="1"/>
  <c r="Z94" i="1" l="1"/>
  <c r="V31" i="8"/>
  <c r="L362" i="22"/>
  <c r="M362" i="22" s="1"/>
  <c r="N362" i="22" s="1"/>
  <c r="AW363" i="22" s="1"/>
  <c r="J27" i="8"/>
  <c r="K27" i="8" s="1"/>
  <c r="O27" i="8" s="1"/>
  <c r="N90" i="1"/>
  <c r="U33" i="8"/>
  <c r="U34" i="8" s="1"/>
  <c r="V32" i="8"/>
  <c r="Y96" i="1"/>
  <c r="Y97" i="1" s="1"/>
  <c r="Z95" i="1"/>
  <c r="Z29" i="8"/>
  <c r="AA29" i="8"/>
  <c r="AC29" i="8" s="1"/>
  <c r="AB29" i="8" s="1"/>
  <c r="AI29" i="8" s="1"/>
  <c r="AD30" i="8" s="1"/>
  <c r="F20" i="7"/>
  <c r="V33" i="8" l="1"/>
  <c r="Z96" i="1"/>
  <c r="H363" i="22"/>
  <c r="C363" i="22"/>
  <c r="B363" i="22"/>
  <c r="K363" i="22"/>
  <c r="D363" i="22"/>
  <c r="E363" i="22" s="1"/>
  <c r="G363" i="22" s="1"/>
  <c r="F363" i="22" s="1"/>
  <c r="N363" i="22" s="1"/>
  <c r="I363" i="22"/>
  <c r="J363" i="22"/>
  <c r="L27" i="8"/>
  <c r="AD91" i="1"/>
  <c r="C91" i="1"/>
  <c r="I91" i="1"/>
  <c r="D91" i="1"/>
  <c r="E91" i="1" s="1"/>
  <c r="G91" i="1" s="1"/>
  <c r="F91" i="1" s="1"/>
  <c r="B91" i="1"/>
  <c r="J91" i="1"/>
  <c r="H91" i="1"/>
  <c r="K91" i="1"/>
  <c r="Y98" i="1"/>
  <c r="Y99" i="1" s="1"/>
  <c r="Z97" i="1"/>
  <c r="U35" i="8"/>
  <c r="U36" i="8" s="1"/>
  <c r="V34" i="8"/>
  <c r="AG29" i="8"/>
  <c r="AK29" i="8" s="1"/>
  <c r="Z30" i="8"/>
  <c r="AA30" i="8"/>
  <c r="AC30" i="8" s="1"/>
  <c r="AB30" i="8" s="1"/>
  <c r="AI30" i="8" s="1"/>
  <c r="AA31" i="8" s="1"/>
  <c r="AC31" i="8" s="1"/>
  <c r="AB31" i="8" s="1"/>
  <c r="AI31" i="8" s="1"/>
  <c r="K20" i="7"/>
  <c r="AE21" i="7" s="1"/>
  <c r="V35" i="8" l="1"/>
  <c r="AW364" i="22"/>
  <c r="Z98" i="1"/>
  <c r="K364" i="22"/>
  <c r="B364" i="22"/>
  <c r="D364" i="22"/>
  <c r="H364" i="22"/>
  <c r="I364" i="22"/>
  <c r="J364" i="22"/>
  <c r="C364" i="22"/>
  <c r="E364" i="22"/>
  <c r="G364" i="22" s="1"/>
  <c r="F364" i="22" s="1"/>
  <c r="N364" i="22" s="1"/>
  <c r="L363" i="22"/>
  <c r="L91" i="1"/>
  <c r="M91" i="1" s="1"/>
  <c r="N91" i="1" s="1"/>
  <c r="C28" i="8"/>
  <c r="I28" i="8"/>
  <c r="G28" i="8"/>
  <c r="H28" i="8"/>
  <c r="D28" i="8"/>
  <c r="F28" i="8" s="1"/>
  <c r="U37" i="8"/>
  <c r="U38" i="8" s="1"/>
  <c r="V36" i="8"/>
  <c r="Y100" i="1"/>
  <c r="Y101" i="1" s="1"/>
  <c r="Z99" i="1"/>
  <c r="AG30" i="8"/>
  <c r="AK30" i="8" s="1"/>
  <c r="AD32" i="8"/>
  <c r="AA32" i="8"/>
  <c r="AC32" i="8" s="1"/>
  <c r="AB32" i="8" s="1"/>
  <c r="AI32" i="8" s="1"/>
  <c r="AA33" i="8" s="1"/>
  <c r="AC33" i="8" s="1"/>
  <c r="AB33" i="8" s="1"/>
  <c r="AI33" i="8" s="1"/>
  <c r="Z31" i="8"/>
  <c r="Z32" i="8" s="1"/>
  <c r="AD31" i="8"/>
  <c r="AG31" i="8" s="1"/>
  <c r="AK31" i="8" s="1"/>
  <c r="H21" i="7"/>
  <c r="D21" i="7"/>
  <c r="E21" i="7" s="1"/>
  <c r="G21" i="7" s="1"/>
  <c r="F21" i="7" s="1"/>
  <c r="C21" i="7"/>
  <c r="B21" i="7"/>
  <c r="AW365" i="22" l="1"/>
  <c r="V37" i="8"/>
  <c r="Z100" i="1"/>
  <c r="D365" i="22"/>
  <c r="E365" i="22" s="1"/>
  <c r="G365" i="22" s="1"/>
  <c r="B365" i="22"/>
  <c r="I365" i="22"/>
  <c r="C365" i="22"/>
  <c r="AK61" i="22" s="1"/>
  <c r="K365" i="22"/>
  <c r="H365" i="22"/>
  <c r="J365" i="22"/>
  <c r="F365" i="22"/>
  <c r="L364" i="22"/>
  <c r="J28" i="8"/>
  <c r="K28" i="8" s="1"/>
  <c r="O28" i="8" s="1"/>
  <c r="AD92" i="1"/>
  <c r="AC92" i="1" s="1"/>
  <c r="AB92" i="1" s="1"/>
  <c r="I92" i="1"/>
  <c r="B92" i="1"/>
  <c r="J92" i="1"/>
  <c r="C92" i="1"/>
  <c r="D92" i="1"/>
  <c r="E92" i="1" s="1"/>
  <c r="K92" i="1" s="1"/>
  <c r="H92" i="1"/>
  <c r="E28" i="8"/>
  <c r="Y102" i="1"/>
  <c r="Y103" i="1" s="1"/>
  <c r="Z101" i="1"/>
  <c r="U39" i="8"/>
  <c r="U40" i="8" s="1"/>
  <c r="V38" i="8"/>
  <c r="AG32" i="8"/>
  <c r="AK32" i="8" s="1"/>
  <c r="AD33" i="8"/>
  <c r="AG33" i="8" s="1"/>
  <c r="AK33" i="8" s="1"/>
  <c r="Z33" i="8"/>
  <c r="Z34" i="8" s="1"/>
  <c r="I21" i="7"/>
  <c r="J21" i="7" s="1"/>
  <c r="K21" i="7"/>
  <c r="AE22" i="7" s="1"/>
  <c r="AD34" i="8"/>
  <c r="AA34" i="8"/>
  <c r="AC34" i="8" s="1"/>
  <c r="AB34" i="8" s="1"/>
  <c r="AI34" i="8" s="1"/>
  <c r="Z102" i="1" l="1"/>
  <c r="V39" i="8"/>
  <c r="L365" i="22"/>
  <c r="M365" i="22" s="1"/>
  <c r="N365" i="22" s="1"/>
  <c r="AK62" i="22"/>
  <c r="M60" i="22"/>
  <c r="N60" i="22" s="1"/>
  <c r="L28" i="8"/>
  <c r="H29" i="8" s="1"/>
  <c r="G92" i="1"/>
  <c r="L92" i="1" s="1"/>
  <c r="U41" i="8"/>
  <c r="U42" i="8" s="1"/>
  <c r="V40" i="8"/>
  <c r="Y104" i="1"/>
  <c r="Y105" i="1" s="1"/>
  <c r="Z103" i="1"/>
  <c r="AG34" i="8"/>
  <c r="AK34" i="8" s="1"/>
  <c r="AD35" i="8"/>
  <c r="AA35" i="8"/>
  <c r="AC35" i="8" s="1"/>
  <c r="AB35" i="8" s="1"/>
  <c r="AI35" i="8" s="1"/>
  <c r="Z35" i="8"/>
  <c r="H22" i="7"/>
  <c r="C22" i="7"/>
  <c r="D22" i="7"/>
  <c r="E22" i="7" s="1"/>
  <c r="G22" i="7" s="1"/>
  <c r="F22" i="7" s="1"/>
  <c r="B22" i="7"/>
  <c r="V41" i="8" l="1"/>
  <c r="Z104" i="1"/>
  <c r="D29" i="8"/>
  <c r="F29" i="8" s="1"/>
  <c r="E29" i="8" s="1"/>
  <c r="C29" i="8"/>
  <c r="I29" i="8"/>
  <c r="G29" i="8"/>
  <c r="F92" i="1"/>
  <c r="Y106" i="1"/>
  <c r="Y107" i="1" s="1"/>
  <c r="Z105" i="1"/>
  <c r="U43" i="8"/>
  <c r="U44" i="8" s="1"/>
  <c r="V42" i="8"/>
  <c r="AG35" i="8"/>
  <c r="AK35" i="8" s="1"/>
  <c r="I22" i="7"/>
  <c r="J22" i="7" s="1"/>
  <c r="K22" i="7"/>
  <c r="AE23" i="7" s="1"/>
  <c r="AD36" i="8"/>
  <c r="AA36" i="8"/>
  <c r="AC36" i="8" s="1"/>
  <c r="AB36" i="8" s="1"/>
  <c r="AI36" i="8" s="1"/>
  <c r="Z36" i="8"/>
  <c r="M92" i="1"/>
  <c r="Z106" i="1" l="1"/>
  <c r="V43" i="8"/>
  <c r="J29" i="8"/>
  <c r="K29" i="8" s="1"/>
  <c r="L29" i="8" s="1"/>
  <c r="I30" i="8" s="1"/>
  <c r="U45" i="8"/>
  <c r="U46" i="8" s="1"/>
  <c r="V44" i="8"/>
  <c r="Y108" i="1"/>
  <c r="Y109" i="1" s="1"/>
  <c r="Z107" i="1"/>
  <c r="AG36" i="8"/>
  <c r="AK36" i="8" s="1"/>
  <c r="AD37" i="8"/>
  <c r="Z37" i="8"/>
  <c r="AA37" i="8"/>
  <c r="AC37" i="8" s="1"/>
  <c r="AB37" i="8" s="1"/>
  <c r="AI37" i="8" s="1"/>
  <c r="H23" i="7"/>
  <c r="D23" i="7"/>
  <c r="E23" i="7" s="1"/>
  <c r="I23" i="7" s="1"/>
  <c r="C23" i="7"/>
  <c r="B23" i="7"/>
  <c r="N92" i="1"/>
  <c r="V45" i="8" l="1"/>
  <c r="Z108" i="1"/>
  <c r="C30" i="8"/>
  <c r="O29" i="8"/>
  <c r="G30" i="8"/>
  <c r="H30" i="8"/>
  <c r="D30" i="8"/>
  <c r="F30" i="8" s="1"/>
  <c r="Y110" i="1"/>
  <c r="Y111" i="1" s="1"/>
  <c r="Z109" i="1"/>
  <c r="U47" i="8"/>
  <c r="U48" i="8" s="1"/>
  <c r="V46" i="8"/>
  <c r="AD93" i="1"/>
  <c r="AC93" i="1" s="1"/>
  <c r="AG37" i="8"/>
  <c r="AK37" i="8" s="1"/>
  <c r="G23" i="7"/>
  <c r="F23" i="7" s="1"/>
  <c r="K23" i="7" s="1"/>
  <c r="AE24" i="7" s="1"/>
  <c r="AD24" i="7" s="1"/>
  <c r="AD38" i="8"/>
  <c r="Z38" i="8"/>
  <c r="AA38" i="8"/>
  <c r="AC38" i="8" s="1"/>
  <c r="AB38" i="8" s="1"/>
  <c r="AI38" i="8" s="1"/>
  <c r="C93" i="1"/>
  <c r="I93" i="1"/>
  <c r="H93" i="1"/>
  <c r="B93" i="1"/>
  <c r="J93" i="1"/>
  <c r="D93" i="1"/>
  <c r="E93" i="1" s="1"/>
  <c r="AF93" i="1" s="1"/>
  <c r="AE93" i="1" s="1"/>
  <c r="V47" i="8" l="1"/>
  <c r="Z110" i="1"/>
  <c r="E30" i="8"/>
  <c r="J30" i="8"/>
  <c r="K30" i="8" s="1"/>
  <c r="Y112" i="1"/>
  <c r="Y113" i="1" s="1"/>
  <c r="Z111" i="1"/>
  <c r="U49" i="8"/>
  <c r="U50" i="8" s="1"/>
  <c r="V48" i="8"/>
  <c r="K93" i="1"/>
  <c r="C24" i="7"/>
  <c r="AB93" i="1"/>
  <c r="G93" i="1" s="1"/>
  <c r="B24" i="7"/>
  <c r="H24" i="7"/>
  <c r="J23" i="7"/>
  <c r="AG38" i="8"/>
  <c r="AK38" i="8" s="1"/>
  <c r="D24" i="7"/>
  <c r="E24" i="7" s="1"/>
  <c r="AG24" i="7" s="1"/>
  <c r="AF24" i="7" s="1"/>
  <c r="AC24" i="7" s="1"/>
  <c r="AD39" i="8"/>
  <c r="Z39" i="8"/>
  <c r="AA39" i="8"/>
  <c r="AC39" i="8" s="1"/>
  <c r="AB39" i="8" s="1"/>
  <c r="AI39" i="8" s="1"/>
  <c r="Z112" i="1" l="1"/>
  <c r="V49" i="8"/>
  <c r="O30" i="8"/>
  <c r="L30" i="8"/>
  <c r="G31" i="8" s="1"/>
  <c r="U51" i="8"/>
  <c r="U52" i="8" s="1"/>
  <c r="V50" i="8"/>
  <c r="Y114" i="1"/>
  <c r="Y115" i="1" s="1"/>
  <c r="Z113" i="1"/>
  <c r="AG39" i="8"/>
  <c r="AK39" i="8" s="1"/>
  <c r="G24" i="7"/>
  <c r="I24" i="7"/>
  <c r="AD40" i="8"/>
  <c r="AA40" i="8"/>
  <c r="AC40" i="8" s="1"/>
  <c r="AB40" i="8" s="1"/>
  <c r="AI40" i="8" s="1"/>
  <c r="Z40" i="8"/>
  <c r="L93" i="1"/>
  <c r="F93" i="1"/>
  <c r="Z114" i="1" l="1"/>
  <c r="V51" i="8"/>
  <c r="D31" i="8"/>
  <c r="F31" i="8" s="1"/>
  <c r="E31" i="8" s="1"/>
  <c r="C31" i="8"/>
  <c r="I31" i="8"/>
  <c r="H31" i="8"/>
  <c r="Y116" i="1"/>
  <c r="Y117" i="1" s="1"/>
  <c r="Z115" i="1"/>
  <c r="U53" i="8"/>
  <c r="U54" i="8" s="1"/>
  <c r="V52" i="8"/>
  <c r="AG40" i="8"/>
  <c r="AK40" i="8" s="1"/>
  <c r="F24" i="7"/>
  <c r="K24" i="7" s="1"/>
  <c r="AE25" i="7" s="1"/>
  <c r="J24" i="7"/>
  <c r="AD41" i="8"/>
  <c r="AA41" i="8"/>
  <c r="AC41" i="8" s="1"/>
  <c r="AB41" i="8" s="1"/>
  <c r="AI41" i="8" s="1"/>
  <c r="Z41" i="8"/>
  <c r="M93" i="1"/>
  <c r="N93" i="1" s="1"/>
  <c r="AD94" i="1" s="1"/>
  <c r="Z116" i="1" l="1"/>
  <c r="V53" i="8"/>
  <c r="J31" i="8"/>
  <c r="K31" i="8" s="1"/>
  <c r="L31" i="8" s="1"/>
  <c r="Y118" i="1"/>
  <c r="Y119" i="1" s="1"/>
  <c r="Z117" i="1"/>
  <c r="U55" i="8"/>
  <c r="U56" i="8" s="1"/>
  <c r="V54" i="8"/>
  <c r="AG41" i="8"/>
  <c r="AK41" i="8" s="1"/>
  <c r="D25" i="7"/>
  <c r="E25" i="7" s="1"/>
  <c r="I25" i="7" s="1"/>
  <c r="H25" i="7"/>
  <c r="B25" i="7"/>
  <c r="C25" i="7"/>
  <c r="AD42" i="8"/>
  <c r="AA42" i="8"/>
  <c r="AC42" i="8" s="1"/>
  <c r="AB42" i="8" s="1"/>
  <c r="AI42" i="8" s="1"/>
  <c r="Z42" i="8"/>
  <c r="I94" i="1"/>
  <c r="J94" i="1"/>
  <c r="B94" i="1"/>
  <c r="C94" i="1"/>
  <c r="D94" i="1"/>
  <c r="E94" i="1" s="1"/>
  <c r="K94" i="1" s="1"/>
  <c r="H94" i="1"/>
  <c r="O31" i="8" l="1"/>
  <c r="Z118" i="1"/>
  <c r="V55" i="8"/>
  <c r="U57" i="8"/>
  <c r="U58" i="8" s="1"/>
  <c r="V56" i="8"/>
  <c r="Y120" i="1"/>
  <c r="Y121" i="1" s="1"/>
  <c r="Z119" i="1"/>
  <c r="D32" i="8"/>
  <c r="F32" i="8" s="1"/>
  <c r="E32" i="8" s="1"/>
  <c r="C32" i="8"/>
  <c r="I32" i="8"/>
  <c r="G32" i="8"/>
  <c r="H32" i="8"/>
  <c r="G25" i="7"/>
  <c r="F25" i="7" s="1"/>
  <c r="K25" i="7" s="1"/>
  <c r="D26" i="7" s="1"/>
  <c r="AG42" i="8"/>
  <c r="AK42" i="8" s="1"/>
  <c r="AD43" i="8"/>
  <c r="AA43" i="8"/>
  <c r="AC43" i="8" s="1"/>
  <c r="AB43" i="8" s="1"/>
  <c r="AI43" i="8" s="1"/>
  <c r="Z43" i="8"/>
  <c r="G94" i="1"/>
  <c r="Z120" i="1" l="1"/>
  <c r="V57" i="8"/>
  <c r="Y122" i="1"/>
  <c r="Y123" i="1" s="1"/>
  <c r="Z121" i="1"/>
  <c r="U59" i="8"/>
  <c r="U60" i="8" s="1"/>
  <c r="V58" i="8"/>
  <c r="AE26" i="7"/>
  <c r="J32" i="8"/>
  <c r="K32" i="8" s="1"/>
  <c r="L32" i="8" s="1"/>
  <c r="C26" i="7"/>
  <c r="H26" i="7"/>
  <c r="E26" i="7"/>
  <c r="I26" i="7" s="1"/>
  <c r="B26" i="7"/>
  <c r="J25" i="7"/>
  <c r="AG43" i="8"/>
  <c r="AK43" i="8" s="1"/>
  <c r="AD44" i="8"/>
  <c r="AA44" i="8"/>
  <c r="AC44" i="8" s="1"/>
  <c r="AB44" i="8" s="1"/>
  <c r="AI44" i="8" s="1"/>
  <c r="Z44" i="8"/>
  <c r="L94" i="1"/>
  <c r="F94" i="1"/>
  <c r="V59" i="8" l="1"/>
  <c r="Z122" i="1"/>
  <c r="U61" i="8"/>
  <c r="V61" i="8" s="1"/>
  <c r="V60" i="8"/>
  <c r="Y124" i="1"/>
  <c r="Y125" i="1" s="1"/>
  <c r="Z123" i="1"/>
  <c r="G26" i="7"/>
  <c r="F26" i="7" s="1"/>
  <c r="K26" i="7" s="1"/>
  <c r="B27" i="7" s="1"/>
  <c r="O32" i="8"/>
  <c r="D33" i="8"/>
  <c r="F33" i="8" s="1"/>
  <c r="E33" i="8" s="1"/>
  <c r="H33" i="8"/>
  <c r="I33" i="8"/>
  <c r="C33" i="8"/>
  <c r="G33" i="8"/>
  <c r="AG44" i="8"/>
  <c r="AK44" i="8" s="1"/>
  <c r="AD45" i="8"/>
  <c r="Z45" i="8"/>
  <c r="AA45" i="8"/>
  <c r="AC45" i="8" s="1"/>
  <c r="AB45" i="8" s="1"/>
  <c r="AI45" i="8" s="1"/>
  <c r="M94" i="1"/>
  <c r="N94" i="1" s="1"/>
  <c r="Z124" i="1" l="1"/>
  <c r="U62" i="8"/>
  <c r="U63" i="8" s="1"/>
  <c r="U64" i="8" s="1"/>
  <c r="Y126" i="1"/>
  <c r="Y127" i="1" s="1"/>
  <c r="Z125" i="1"/>
  <c r="V62" i="8"/>
  <c r="J26" i="7"/>
  <c r="C27" i="7"/>
  <c r="H27" i="7"/>
  <c r="AE27" i="7"/>
  <c r="D27" i="7"/>
  <c r="E27" i="7" s="1"/>
  <c r="G27" i="7" s="1"/>
  <c r="F27" i="7" s="1"/>
  <c r="K27" i="7" s="1"/>
  <c r="AE28" i="7" s="1"/>
  <c r="AD95" i="1"/>
  <c r="AC95" i="1" s="1"/>
  <c r="J33" i="8"/>
  <c r="K33" i="8" s="1"/>
  <c r="O33" i="8" s="1"/>
  <c r="AG45" i="8"/>
  <c r="AK45" i="8" s="1"/>
  <c r="AD46" i="8"/>
  <c r="Z46" i="8"/>
  <c r="AA46" i="8"/>
  <c r="AC46" i="8" s="1"/>
  <c r="AB46" i="8" s="1"/>
  <c r="AI46" i="8" s="1"/>
  <c r="D95" i="1"/>
  <c r="E95" i="1" s="1"/>
  <c r="AF95" i="1" s="1"/>
  <c r="AE95" i="1" s="1"/>
  <c r="C95" i="1"/>
  <c r="J95" i="1"/>
  <c r="B95" i="1"/>
  <c r="I95" i="1"/>
  <c r="H95" i="1"/>
  <c r="V63" i="8" l="1"/>
  <c r="Z126" i="1"/>
  <c r="U65" i="8"/>
  <c r="U66" i="8" s="1"/>
  <c r="V64" i="8"/>
  <c r="Y128" i="1"/>
  <c r="Y129" i="1" s="1"/>
  <c r="Z127" i="1"/>
  <c r="I27" i="7"/>
  <c r="J27" i="7" s="1"/>
  <c r="H28" i="7"/>
  <c r="K95" i="1"/>
  <c r="C28" i="7"/>
  <c r="B28" i="7"/>
  <c r="D28" i="7"/>
  <c r="E28" i="7" s="1"/>
  <c r="I28" i="7" s="1"/>
  <c r="AB95" i="1"/>
  <c r="G95" i="1" s="1"/>
  <c r="L33" i="8"/>
  <c r="AG46" i="8"/>
  <c r="AK46" i="8" s="1"/>
  <c r="AD47" i="8"/>
  <c r="Z47" i="8"/>
  <c r="AA47" i="8"/>
  <c r="AC47" i="8" s="1"/>
  <c r="AB47" i="8" s="1"/>
  <c r="AI47" i="8" s="1"/>
  <c r="V65" i="8" l="1"/>
  <c r="Z128" i="1"/>
  <c r="Y130" i="1"/>
  <c r="Z130" i="1" s="1"/>
  <c r="Z129" i="1"/>
  <c r="U67" i="8"/>
  <c r="U68" i="8" s="1"/>
  <c r="V66" i="8"/>
  <c r="D34" i="8"/>
  <c r="F34" i="8" s="1"/>
  <c r="E34" i="8" s="1"/>
  <c r="Q37" i="8"/>
  <c r="G28" i="7"/>
  <c r="J28" i="7" s="1"/>
  <c r="C34" i="8"/>
  <c r="G34" i="8"/>
  <c r="H34" i="8"/>
  <c r="I34" i="8"/>
  <c r="AG47" i="8"/>
  <c r="AK47" i="8" s="1"/>
  <c r="AD48" i="8"/>
  <c r="Z48" i="8"/>
  <c r="AA48" i="8"/>
  <c r="AC48" i="8" s="1"/>
  <c r="AB48" i="8" s="1"/>
  <c r="AI48" i="8" s="1"/>
  <c r="L95" i="1"/>
  <c r="F95" i="1"/>
  <c r="V67" i="8" l="1"/>
  <c r="Y131" i="1"/>
  <c r="Y132" i="1" s="1"/>
  <c r="U69" i="8"/>
  <c r="U70" i="8" s="1"/>
  <c r="V68" i="8"/>
  <c r="Z131" i="1"/>
  <c r="F28" i="7"/>
  <c r="K28" i="7" s="1"/>
  <c r="AE29" i="7" s="1"/>
  <c r="J34" i="8"/>
  <c r="K34" i="8" s="1"/>
  <c r="AG48" i="8"/>
  <c r="AK48" i="8" s="1"/>
  <c r="AD49" i="8"/>
  <c r="AA49" i="8"/>
  <c r="AC49" i="8" s="1"/>
  <c r="AB49" i="8" s="1"/>
  <c r="AI49" i="8" s="1"/>
  <c r="Z49" i="8"/>
  <c r="V69" i="8"/>
  <c r="M95" i="1"/>
  <c r="N95" i="1" s="1"/>
  <c r="AD96" i="1" s="1"/>
  <c r="Y133" i="1" l="1"/>
  <c r="Y134" i="1" s="1"/>
  <c r="Y135" i="1" s="1"/>
  <c r="Z132" i="1"/>
  <c r="Z133" i="1"/>
  <c r="U71" i="8"/>
  <c r="U72" i="8" s="1"/>
  <c r="V70" i="8"/>
  <c r="B29" i="7"/>
  <c r="C29" i="7"/>
  <c r="D29" i="7"/>
  <c r="E29" i="7" s="1"/>
  <c r="G29" i="7" s="1"/>
  <c r="F29" i="7" s="1"/>
  <c r="K29" i="7" s="1"/>
  <c r="B30" i="7" s="1"/>
  <c r="H29" i="7"/>
  <c r="AE30" i="7"/>
  <c r="L34" i="8"/>
  <c r="O34" i="8"/>
  <c r="AG49" i="8"/>
  <c r="AK49" i="8" s="1"/>
  <c r="AD50" i="8"/>
  <c r="Z50" i="8"/>
  <c r="AA50" i="8"/>
  <c r="AC50" i="8" s="1"/>
  <c r="AB50" i="8" s="1"/>
  <c r="AI50" i="8" s="1"/>
  <c r="D96" i="1"/>
  <c r="E96" i="1" s="1"/>
  <c r="C96" i="1"/>
  <c r="J96" i="1"/>
  <c r="I96" i="1"/>
  <c r="K96" i="1"/>
  <c r="H96" i="1"/>
  <c r="B96" i="1"/>
  <c r="Z134" i="1" l="1"/>
  <c r="V71" i="8"/>
  <c r="U73" i="8"/>
  <c r="U74" i="8" s="1"/>
  <c r="V72" i="8"/>
  <c r="Y136" i="1"/>
  <c r="Y137" i="1" s="1"/>
  <c r="Z135" i="1"/>
  <c r="I29" i="7"/>
  <c r="J29" i="7" s="1"/>
  <c r="D30" i="7"/>
  <c r="E30" i="7" s="1"/>
  <c r="G30" i="7" s="1"/>
  <c r="F30" i="7" s="1"/>
  <c r="K30" i="7" s="1"/>
  <c r="H30" i="7"/>
  <c r="C30" i="7"/>
  <c r="G35" i="8"/>
  <c r="H35" i="8"/>
  <c r="C35" i="8"/>
  <c r="I35" i="8"/>
  <c r="D35" i="8"/>
  <c r="F35" i="8" s="1"/>
  <c r="AG50" i="8"/>
  <c r="AK50" i="8" s="1"/>
  <c r="AD51" i="8"/>
  <c r="AA51" i="8"/>
  <c r="AC51" i="8" s="1"/>
  <c r="Z51" i="8"/>
  <c r="G96" i="1"/>
  <c r="V73" i="8" l="1"/>
  <c r="Z136" i="1"/>
  <c r="I30" i="7"/>
  <c r="J30" i="7" s="1"/>
  <c r="Y138" i="1"/>
  <c r="Y139" i="1" s="1"/>
  <c r="Z137" i="1"/>
  <c r="U75" i="8"/>
  <c r="U76" i="8" s="1"/>
  <c r="V74" i="8"/>
  <c r="C31" i="7"/>
  <c r="AE31" i="7"/>
  <c r="E35" i="8"/>
  <c r="J35" i="8"/>
  <c r="D31" i="7"/>
  <c r="E31" i="7" s="1"/>
  <c r="I31" i="7" s="1"/>
  <c r="H31" i="7"/>
  <c r="B31" i="7"/>
  <c r="AG51" i="8"/>
  <c r="AK51" i="8" s="1"/>
  <c r="AB51" i="8"/>
  <c r="AI51" i="8" s="1"/>
  <c r="AA52" i="8" s="1"/>
  <c r="AC52" i="8" s="1"/>
  <c r="AB52" i="8" s="1"/>
  <c r="AI52" i="8" s="1"/>
  <c r="L96" i="1"/>
  <c r="M96" i="1" s="1"/>
  <c r="F96" i="1"/>
  <c r="Z138" i="1" l="1"/>
  <c r="V75" i="8"/>
  <c r="U77" i="8"/>
  <c r="U78" i="8" s="1"/>
  <c r="V76" i="8"/>
  <c r="Y140" i="1"/>
  <c r="Y141" i="1" s="1"/>
  <c r="Z139" i="1"/>
  <c r="G31" i="7"/>
  <c r="J31" i="7" s="1"/>
  <c r="K35" i="8"/>
  <c r="L35" i="8" s="1"/>
  <c r="AD52" i="8"/>
  <c r="AG52" i="8" s="1"/>
  <c r="AK52" i="8" s="1"/>
  <c r="Z52" i="8"/>
  <c r="Z53" i="8" s="1"/>
  <c r="AD53" i="8"/>
  <c r="AA53" i="8"/>
  <c r="AC53" i="8" s="1"/>
  <c r="N96" i="1"/>
  <c r="Z140" i="1" l="1"/>
  <c r="V77" i="8"/>
  <c r="F31" i="7"/>
  <c r="K31" i="7" s="1"/>
  <c r="AE32" i="7" s="1"/>
  <c r="Y142" i="1"/>
  <c r="Y143" i="1" s="1"/>
  <c r="Z141" i="1"/>
  <c r="U79" i="8"/>
  <c r="U80" i="8" s="1"/>
  <c r="V78" i="8"/>
  <c r="AG53" i="8"/>
  <c r="AK53" i="8" s="1"/>
  <c r="O35" i="8"/>
  <c r="C36" i="8"/>
  <c r="H36" i="8"/>
  <c r="D36" i="8"/>
  <c r="F36" i="8" s="1"/>
  <c r="E36" i="8" s="1"/>
  <c r="G36" i="8"/>
  <c r="I36" i="8"/>
  <c r="AB53" i="8"/>
  <c r="AI53" i="8" s="1"/>
  <c r="AD54" i="8" s="1"/>
  <c r="C97" i="1"/>
  <c r="AD97" i="1"/>
  <c r="AC97" i="1" s="1"/>
  <c r="AB97" i="1" s="1"/>
  <c r="B97" i="1"/>
  <c r="D97" i="1"/>
  <c r="E97" i="1" s="1"/>
  <c r="I97" i="1"/>
  <c r="H97" i="1"/>
  <c r="J97" i="1"/>
  <c r="Z142" i="1" l="1"/>
  <c r="G97" i="1"/>
  <c r="F97" i="1" s="1"/>
  <c r="V79" i="8"/>
  <c r="D32" i="7"/>
  <c r="E32" i="7" s="1"/>
  <c r="I32" i="7" s="1"/>
  <c r="B32" i="7"/>
  <c r="C32" i="7"/>
  <c r="H32" i="7"/>
  <c r="U81" i="8"/>
  <c r="U82" i="8" s="1"/>
  <c r="V80" i="8"/>
  <c r="Y144" i="1"/>
  <c r="Y145" i="1" s="1"/>
  <c r="Z143" i="1"/>
  <c r="K97" i="1"/>
  <c r="J36" i="8"/>
  <c r="K36" i="8" s="1"/>
  <c r="L36" i="8" s="1"/>
  <c r="AA54" i="8"/>
  <c r="AC54" i="8" s="1"/>
  <c r="AB54" i="8" s="1"/>
  <c r="AI54" i="8" s="1"/>
  <c r="AD55" i="8" s="1"/>
  <c r="Z54" i="8"/>
  <c r="G32" i="7"/>
  <c r="F32" i="7" s="1"/>
  <c r="K32" i="7" s="1"/>
  <c r="D33" i="7" s="1"/>
  <c r="E33" i="7" s="1"/>
  <c r="L97" i="1" l="1"/>
  <c r="M97" i="1" s="1"/>
  <c r="N97" i="1" s="1"/>
  <c r="Z144" i="1"/>
  <c r="V81" i="8"/>
  <c r="Y146" i="1"/>
  <c r="Y147" i="1" s="1"/>
  <c r="Z145" i="1"/>
  <c r="U83" i="8"/>
  <c r="U84" i="8" s="1"/>
  <c r="V82" i="8"/>
  <c r="AE33" i="7"/>
  <c r="O36" i="8"/>
  <c r="C37" i="8"/>
  <c r="D37" i="8"/>
  <c r="F37" i="8" s="1"/>
  <c r="E37" i="8" s="1"/>
  <c r="I37" i="8"/>
  <c r="H37" i="8"/>
  <c r="G37" i="8"/>
  <c r="AG54" i="8"/>
  <c r="AK54" i="8" s="1"/>
  <c r="Z55" i="8"/>
  <c r="AA55" i="8"/>
  <c r="AC55" i="8" s="1"/>
  <c r="AB55" i="8" s="1"/>
  <c r="AI55" i="8" s="1"/>
  <c r="AD56" i="8" s="1"/>
  <c r="J32" i="7"/>
  <c r="H33" i="7"/>
  <c r="B33" i="7"/>
  <c r="C33" i="7"/>
  <c r="G33" i="7"/>
  <c r="I33" i="7"/>
  <c r="Z146" i="1" l="1"/>
  <c r="V83" i="8"/>
  <c r="U85" i="8"/>
  <c r="U86" i="8" s="1"/>
  <c r="V84" i="8"/>
  <c r="Y148" i="1"/>
  <c r="Y149" i="1" s="1"/>
  <c r="Z147" i="1"/>
  <c r="AG55" i="8"/>
  <c r="AK55" i="8" s="1"/>
  <c r="J37" i="8"/>
  <c r="K37" i="8" s="1"/>
  <c r="AA56" i="8"/>
  <c r="AC56" i="8" s="1"/>
  <c r="AB56" i="8" s="1"/>
  <c r="AI56" i="8" s="1"/>
  <c r="AA57" i="8" s="1"/>
  <c r="AC57" i="8" s="1"/>
  <c r="Z56" i="8"/>
  <c r="J33" i="7"/>
  <c r="F33" i="7"/>
  <c r="K33" i="7" s="1"/>
  <c r="AE34" i="7" s="1"/>
  <c r="C98" i="1"/>
  <c r="AD98" i="1"/>
  <c r="H98" i="1"/>
  <c r="I98" i="1"/>
  <c r="B98" i="1"/>
  <c r="K98" i="1"/>
  <c r="J98" i="1"/>
  <c r="D98" i="1"/>
  <c r="E98" i="1" s="1"/>
  <c r="G98" i="1" s="1"/>
  <c r="Z148" i="1" l="1"/>
  <c r="V85" i="8"/>
  <c r="Y150" i="1"/>
  <c r="Y151" i="1" s="1"/>
  <c r="Z149" i="1"/>
  <c r="U87" i="8"/>
  <c r="U88" i="8" s="1"/>
  <c r="V86" i="8"/>
  <c r="AG56" i="8"/>
  <c r="AK56" i="8" s="1"/>
  <c r="AD57" i="8"/>
  <c r="AG57" i="8" s="1"/>
  <c r="AK57" i="8" s="1"/>
  <c r="O37" i="8"/>
  <c r="L37" i="8"/>
  <c r="Z57" i="8"/>
  <c r="AB57" i="8"/>
  <c r="AI57" i="8" s="1"/>
  <c r="D34" i="7"/>
  <c r="E34" i="7" s="1"/>
  <c r="I34" i="7" s="1"/>
  <c r="B34" i="7"/>
  <c r="H34" i="7"/>
  <c r="C34" i="7"/>
  <c r="L98" i="1"/>
  <c r="M98" i="1" s="1"/>
  <c r="F98" i="1"/>
  <c r="Z150" i="1" l="1"/>
  <c r="V87" i="8"/>
  <c r="U89" i="8"/>
  <c r="U90" i="8" s="1"/>
  <c r="V88" i="8"/>
  <c r="Y152" i="1"/>
  <c r="Y153" i="1" s="1"/>
  <c r="Z151" i="1"/>
  <c r="Z58" i="8"/>
  <c r="I38" i="8"/>
  <c r="G38" i="8"/>
  <c r="C38" i="8"/>
  <c r="D38" i="8"/>
  <c r="F38" i="8" s="1"/>
  <c r="E38" i="8" s="1"/>
  <c r="H38" i="8"/>
  <c r="AD58" i="8"/>
  <c r="AA58" i="8"/>
  <c r="AC58" i="8" s="1"/>
  <c r="AB58" i="8" s="1"/>
  <c r="AI58" i="8" s="1"/>
  <c r="AD59" i="8" s="1"/>
  <c r="G34" i="7"/>
  <c r="N98" i="1"/>
  <c r="V89" i="8" l="1"/>
  <c r="Z152" i="1"/>
  <c r="Y154" i="1"/>
  <c r="Y155" i="1" s="1"/>
  <c r="Z153" i="1"/>
  <c r="U91" i="8"/>
  <c r="U92" i="8" s="1"/>
  <c r="V90" i="8"/>
  <c r="J38" i="8"/>
  <c r="K38" i="8" s="1"/>
  <c r="L38" i="8" s="1"/>
  <c r="Z59" i="8"/>
  <c r="AA59" i="8"/>
  <c r="AC59" i="8" s="1"/>
  <c r="AB59" i="8" s="1"/>
  <c r="AI59" i="8" s="1"/>
  <c r="AG58" i="8"/>
  <c r="AK58" i="8" s="1"/>
  <c r="J34" i="7"/>
  <c r="F34" i="7"/>
  <c r="K34" i="7" s="1"/>
  <c r="AE35" i="7" s="1"/>
  <c r="C99" i="1"/>
  <c r="AD99" i="1"/>
  <c r="H99" i="1"/>
  <c r="B99" i="1"/>
  <c r="D99" i="1"/>
  <c r="E99" i="1" s="1"/>
  <c r="G99" i="1" s="1"/>
  <c r="F99" i="1" s="1"/>
  <c r="J99" i="1"/>
  <c r="I99" i="1"/>
  <c r="Z154" i="1" l="1"/>
  <c r="V91" i="8"/>
  <c r="U93" i="8"/>
  <c r="U94" i="8" s="1"/>
  <c r="V92" i="8"/>
  <c r="Y156" i="1"/>
  <c r="Y157" i="1" s="1"/>
  <c r="Z155" i="1"/>
  <c r="Z60" i="8"/>
  <c r="K99" i="1"/>
  <c r="L99" i="1" s="1"/>
  <c r="M99" i="1" s="1"/>
  <c r="N99" i="1" s="1"/>
  <c r="AD60" i="8"/>
  <c r="AA60" i="8"/>
  <c r="AC60" i="8" s="1"/>
  <c r="AB60" i="8" s="1"/>
  <c r="AI60" i="8" s="1"/>
  <c r="AA61" i="8" s="1"/>
  <c r="AC61" i="8" s="1"/>
  <c r="AB61" i="8" s="1"/>
  <c r="AI61" i="8" s="1"/>
  <c r="I39" i="8"/>
  <c r="G39" i="8"/>
  <c r="C39" i="8"/>
  <c r="D39" i="8"/>
  <c r="F39" i="8" s="1"/>
  <c r="H39" i="8"/>
  <c r="O38" i="8"/>
  <c r="AG59" i="8"/>
  <c r="AK59" i="8" s="1"/>
  <c r="H35" i="7"/>
  <c r="D35" i="7"/>
  <c r="E35" i="7" s="1"/>
  <c r="G35" i="7" s="1"/>
  <c r="F35" i="7" s="1"/>
  <c r="K35" i="7" s="1"/>
  <c r="C35" i="7"/>
  <c r="B35" i="7"/>
  <c r="V93" i="8" l="1"/>
  <c r="Z156" i="1"/>
  <c r="Y158" i="1"/>
  <c r="Y159" i="1" s="1"/>
  <c r="Z157" i="1"/>
  <c r="U95" i="8"/>
  <c r="U96" i="8" s="1"/>
  <c r="V94" i="8"/>
  <c r="AG60" i="8"/>
  <c r="AK60" i="8" s="1"/>
  <c r="AD61" i="8"/>
  <c r="AG61" i="8" s="1"/>
  <c r="AK61" i="8" s="1"/>
  <c r="Z61" i="8"/>
  <c r="Z62" i="8" s="1"/>
  <c r="AE36" i="7"/>
  <c r="E39" i="8"/>
  <c r="J39" i="8"/>
  <c r="K39" i="8" s="1"/>
  <c r="O39" i="8" s="1"/>
  <c r="AD100" i="1"/>
  <c r="U100" i="1"/>
  <c r="I35" i="7"/>
  <c r="J35" i="7" s="1"/>
  <c r="D36" i="7"/>
  <c r="E36" i="7" s="1"/>
  <c r="G36" i="7" s="1"/>
  <c r="F36" i="7" s="1"/>
  <c r="K36" i="7" s="1"/>
  <c r="B36" i="7"/>
  <c r="H36" i="7"/>
  <c r="C36" i="7"/>
  <c r="AD62" i="8"/>
  <c r="AA62" i="8"/>
  <c r="AC62" i="8" s="1"/>
  <c r="AB62" i="8" s="1"/>
  <c r="AI62" i="8" s="1"/>
  <c r="H100" i="1"/>
  <c r="J100" i="1"/>
  <c r="C100" i="1"/>
  <c r="D100" i="1"/>
  <c r="E100" i="1" s="1"/>
  <c r="I100" i="1"/>
  <c r="B100" i="1"/>
  <c r="Z158" i="1" l="1"/>
  <c r="V95" i="8"/>
  <c r="Y160" i="1"/>
  <c r="Y161" i="1" s="1"/>
  <c r="Z159" i="1"/>
  <c r="U97" i="8"/>
  <c r="U98" i="8" s="1"/>
  <c r="V96" i="8"/>
  <c r="G100" i="1"/>
  <c r="F100" i="1" s="1"/>
  <c r="K100" i="1"/>
  <c r="AE37" i="7"/>
  <c r="L39" i="8"/>
  <c r="I36" i="7"/>
  <c r="J36" i="7" s="1"/>
  <c r="AG62" i="8"/>
  <c r="AK62" i="8" s="1"/>
  <c r="D37" i="7"/>
  <c r="E37" i="7" s="1"/>
  <c r="I37" i="7" s="1"/>
  <c r="H37" i="7"/>
  <c r="C37" i="7"/>
  <c r="B37" i="7"/>
  <c r="AD63" i="8"/>
  <c r="AA63" i="8"/>
  <c r="AC63" i="8" s="1"/>
  <c r="Z63" i="8"/>
  <c r="Z160" i="1" l="1"/>
  <c r="V97" i="8"/>
  <c r="U99" i="8"/>
  <c r="U100" i="8" s="1"/>
  <c r="V98" i="8"/>
  <c r="Y162" i="1"/>
  <c r="Z162" i="1" s="1"/>
  <c r="Z161" i="1"/>
  <c r="L100" i="1"/>
  <c r="M100" i="1" s="1"/>
  <c r="N100" i="1" s="1"/>
  <c r="H101" i="1" s="1"/>
  <c r="D40" i="8"/>
  <c r="F40" i="8" s="1"/>
  <c r="E40" i="8" s="1"/>
  <c r="H40" i="8"/>
  <c r="G40" i="8"/>
  <c r="C40" i="8"/>
  <c r="I40" i="8"/>
  <c r="AG63" i="8"/>
  <c r="AK63" i="8" s="1"/>
  <c r="AB63" i="8"/>
  <c r="AI63" i="8" s="1"/>
  <c r="AD64" i="8" s="1"/>
  <c r="G37" i="7"/>
  <c r="V99" i="8" l="1"/>
  <c r="Y163" i="1"/>
  <c r="Y164" i="1" s="1"/>
  <c r="U101" i="8"/>
  <c r="U102" i="8" s="1"/>
  <c r="V100" i="8"/>
  <c r="Z163" i="1"/>
  <c r="J40" i="8"/>
  <c r="K40" i="8" s="1"/>
  <c r="L40" i="8" s="1"/>
  <c r="C41" i="8" s="1"/>
  <c r="AA64" i="8"/>
  <c r="AC64" i="8" s="1"/>
  <c r="AB64" i="8" s="1"/>
  <c r="AI64" i="8" s="1"/>
  <c r="AD65" i="8" s="1"/>
  <c r="Z64" i="8"/>
  <c r="J37" i="7"/>
  <c r="F37" i="7"/>
  <c r="K37" i="7" s="1"/>
  <c r="AE38" i="7" s="1"/>
  <c r="I101" i="1"/>
  <c r="AD101" i="1"/>
  <c r="AC101" i="1" s="1"/>
  <c r="AB101" i="1" s="1"/>
  <c r="J101" i="1"/>
  <c r="B101" i="1"/>
  <c r="C101" i="1"/>
  <c r="D101" i="1"/>
  <c r="E101" i="1" s="1"/>
  <c r="V101" i="8" l="1"/>
  <c r="G101" i="1"/>
  <c r="Y165" i="1"/>
  <c r="Y166" i="1" s="1"/>
  <c r="Y167" i="1" s="1"/>
  <c r="Z164" i="1"/>
  <c r="Z165" i="1"/>
  <c r="U103" i="8"/>
  <c r="U104" i="8" s="1"/>
  <c r="V102" i="8"/>
  <c r="K101" i="1"/>
  <c r="D41" i="8"/>
  <c r="F41" i="8" s="1"/>
  <c r="E41" i="8" s="1"/>
  <c r="I41" i="8"/>
  <c r="AG64" i="8"/>
  <c r="AK64" i="8" s="1"/>
  <c r="G41" i="8"/>
  <c r="H41" i="8"/>
  <c r="O40" i="8"/>
  <c r="AA65" i="8"/>
  <c r="AC65" i="8" s="1"/>
  <c r="AG65" i="8" s="1"/>
  <c r="AK65" i="8" s="1"/>
  <c r="Z65" i="8"/>
  <c r="C38" i="7"/>
  <c r="H38" i="7"/>
  <c r="D38" i="7"/>
  <c r="E38" i="7" s="1"/>
  <c r="B38" i="7"/>
  <c r="F101" i="1"/>
  <c r="L101" i="1" l="1"/>
  <c r="M101" i="1" s="1"/>
  <c r="V103" i="8"/>
  <c r="Z166" i="1"/>
  <c r="U105" i="8"/>
  <c r="U106" i="8" s="1"/>
  <c r="V104" i="8"/>
  <c r="Y168" i="1"/>
  <c r="Y169" i="1" s="1"/>
  <c r="Z167" i="1"/>
  <c r="J41" i="8"/>
  <c r="K41" i="8" s="1"/>
  <c r="O41" i="8" s="1"/>
  <c r="AB65" i="8"/>
  <c r="AI65" i="8" s="1"/>
  <c r="AD66" i="8" s="1"/>
  <c r="I38" i="7"/>
  <c r="G38" i="7"/>
  <c r="Z168" i="1"/>
  <c r="N101" i="1"/>
  <c r="AD102" i="1" s="1"/>
  <c r="V105" i="8" l="1"/>
  <c r="Y170" i="1"/>
  <c r="Y171" i="1" s="1"/>
  <c r="Z169" i="1"/>
  <c r="U107" i="8"/>
  <c r="U108" i="8" s="1"/>
  <c r="V106" i="8"/>
  <c r="AA66" i="8"/>
  <c r="AC66" i="8" s="1"/>
  <c r="AB66" i="8" s="1"/>
  <c r="AI66" i="8" s="1"/>
  <c r="AD67" i="8" s="1"/>
  <c r="Z66" i="8"/>
  <c r="L41" i="8"/>
  <c r="D42" i="8" s="1"/>
  <c r="F42" i="8" s="1"/>
  <c r="J38" i="7"/>
  <c r="F38" i="7"/>
  <c r="K38" i="7" s="1"/>
  <c r="AE39" i="7" s="1"/>
  <c r="Z170" i="1"/>
  <c r="I102" i="1"/>
  <c r="C102" i="1"/>
  <c r="D102" i="1"/>
  <c r="E102" i="1" s="1"/>
  <c r="B102" i="1"/>
  <c r="K102" i="1"/>
  <c r="H102" i="1"/>
  <c r="J102" i="1"/>
  <c r="V107" i="8" l="1"/>
  <c r="U109" i="8"/>
  <c r="V109" i="8" s="1"/>
  <c r="V108" i="8"/>
  <c r="Y172" i="1"/>
  <c r="Y173" i="1" s="1"/>
  <c r="Z171" i="1"/>
  <c r="I42" i="8"/>
  <c r="H42" i="8"/>
  <c r="AA67" i="8"/>
  <c r="AC67" i="8" s="1"/>
  <c r="AB67" i="8" s="1"/>
  <c r="AI67" i="8" s="1"/>
  <c r="AA68" i="8" s="1"/>
  <c r="AC68" i="8" s="1"/>
  <c r="AB68" i="8" s="1"/>
  <c r="AI68" i="8" s="1"/>
  <c r="AD69" i="8" s="1"/>
  <c r="G42" i="8"/>
  <c r="C42" i="8"/>
  <c r="E42" i="8"/>
  <c r="AG66" i="8"/>
  <c r="AK66" i="8" s="1"/>
  <c r="Z67" i="8"/>
  <c r="H39" i="7"/>
  <c r="D39" i="7"/>
  <c r="E39" i="7" s="1"/>
  <c r="I39" i="7" s="1"/>
  <c r="C39" i="7"/>
  <c r="B39" i="7"/>
  <c r="G102" i="1"/>
  <c r="Z172" i="1" l="1"/>
  <c r="U110" i="8"/>
  <c r="U111" i="8" s="1"/>
  <c r="Y174" i="1"/>
  <c r="Y175" i="1" s="1"/>
  <c r="Z173" i="1"/>
  <c r="V110" i="8"/>
  <c r="Z68" i="8"/>
  <c r="Z69" i="8" s="1"/>
  <c r="AA69" i="8"/>
  <c r="AC69" i="8" s="1"/>
  <c r="AB69" i="8" s="1"/>
  <c r="AI69" i="8" s="1"/>
  <c r="AA70" i="8" s="1"/>
  <c r="AC70" i="8" s="1"/>
  <c r="AB70" i="8" s="1"/>
  <c r="AI70" i="8" s="1"/>
  <c r="J42" i="8"/>
  <c r="K42" i="8" s="1"/>
  <c r="O42" i="8" s="1"/>
  <c r="AD68" i="8"/>
  <c r="AG68" i="8" s="1"/>
  <c r="AK68" i="8" s="1"/>
  <c r="AG67" i="8"/>
  <c r="AK67" i="8" s="1"/>
  <c r="G39" i="7"/>
  <c r="J39" i="7" s="1"/>
  <c r="L102" i="1"/>
  <c r="M102" i="1" s="1"/>
  <c r="F102" i="1"/>
  <c r="U112" i="8" l="1"/>
  <c r="U113" i="8" s="1"/>
  <c r="V111" i="8"/>
  <c r="Z174" i="1"/>
  <c r="V112" i="8"/>
  <c r="Y176" i="1"/>
  <c r="Y177" i="1" s="1"/>
  <c r="Z175" i="1"/>
  <c r="AG69" i="8"/>
  <c r="AK69" i="8" s="1"/>
  <c r="AD70" i="8"/>
  <c r="AG70" i="8" s="1"/>
  <c r="AK70" i="8" s="1"/>
  <c r="Z70" i="8"/>
  <c r="Z71" i="8" s="1"/>
  <c r="L42" i="8"/>
  <c r="F39" i="7"/>
  <c r="K39" i="7" s="1"/>
  <c r="AD71" i="8"/>
  <c r="AA71" i="8"/>
  <c r="AC71" i="8" s="1"/>
  <c r="AB71" i="8" s="1"/>
  <c r="AI71" i="8" s="1"/>
  <c r="N102" i="1"/>
  <c r="Z176" i="1" l="1"/>
  <c r="U114" i="8"/>
  <c r="U115" i="8" s="1"/>
  <c r="V113" i="8"/>
  <c r="Y178" i="1"/>
  <c r="Y179" i="1" s="1"/>
  <c r="Z177" i="1"/>
  <c r="V114" i="8"/>
  <c r="C43" i="8"/>
  <c r="Q43" i="8"/>
  <c r="I43" i="8"/>
  <c r="D43" i="8"/>
  <c r="H43" i="8"/>
  <c r="G43" i="8"/>
  <c r="D40" i="7"/>
  <c r="E40" i="7" s="1"/>
  <c r="I40" i="7" s="1"/>
  <c r="AE40" i="7"/>
  <c r="B40" i="7"/>
  <c r="H40" i="7"/>
  <c r="AG71" i="8"/>
  <c r="AK71" i="8" s="1"/>
  <c r="C40" i="7"/>
  <c r="AD72" i="8"/>
  <c r="AA72" i="8"/>
  <c r="AC72" i="8" s="1"/>
  <c r="AB72" i="8" s="1"/>
  <c r="AI72" i="8" s="1"/>
  <c r="Z72" i="8"/>
  <c r="I103" i="1"/>
  <c r="AD103" i="1"/>
  <c r="J103" i="1"/>
  <c r="D103" i="1"/>
  <c r="E103" i="1" s="1"/>
  <c r="G103" i="1" s="1"/>
  <c r="F103" i="1" s="1"/>
  <c r="C103" i="1"/>
  <c r="H103" i="1"/>
  <c r="B103" i="1"/>
  <c r="Z178" i="1" l="1"/>
  <c r="U116" i="8"/>
  <c r="U117" i="8" s="1"/>
  <c r="V115" i="8"/>
  <c r="V116" i="8"/>
  <c r="Y180" i="1"/>
  <c r="Y181" i="1" s="1"/>
  <c r="Z179" i="1"/>
  <c r="F43" i="8"/>
  <c r="E43" i="8" s="1"/>
  <c r="G40" i="7"/>
  <c r="F40" i="7" s="1"/>
  <c r="K40" i="7" s="1"/>
  <c r="H41" i="7" s="1"/>
  <c r="K103" i="1"/>
  <c r="L103" i="1" s="1"/>
  <c r="M103" i="1" s="1"/>
  <c r="N103" i="1" s="1"/>
  <c r="AD104" i="1" s="1"/>
  <c r="AG72" i="8"/>
  <c r="AK72" i="8" s="1"/>
  <c r="AD73" i="8"/>
  <c r="AA73" i="8"/>
  <c r="AC73" i="8" s="1"/>
  <c r="AB73" i="8" s="1"/>
  <c r="AI73" i="8" s="1"/>
  <c r="Z73" i="8"/>
  <c r="Z180" i="1" l="1"/>
  <c r="U118" i="8"/>
  <c r="U119" i="8" s="1"/>
  <c r="U120" i="8" s="1"/>
  <c r="V117" i="8"/>
  <c r="V118" i="8"/>
  <c r="Y182" i="1"/>
  <c r="Y183" i="1" s="1"/>
  <c r="Z181" i="1"/>
  <c r="J43" i="8"/>
  <c r="D41" i="7"/>
  <c r="E41" i="7" s="1"/>
  <c r="G41" i="7" s="1"/>
  <c r="F41" i="7" s="1"/>
  <c r="K41" i="7" s="1"/>
  <c r="AE41" i="7"/>
  <c r="B41" i="7"/>
  <c r="C41" i="7"/>
  <c r="J40" i="7"/>
  <c r="AG73" i="8"/>
  <c r="AK73" i="8" s="1"/>
  <c r="AD74" i="8"/>
  <c r="Z74" i="8"/>
  <c r="AA74" i="8"/>
  <c r="AC74" i="8" s="1"/>
  <c r="J104" i="1"/>
  <c r="D104" i="1"/>
  <c r="E104" i="1" s="1"/>
  <c r="G104" i="1" s="1"/>
  <c r="I104" i="1"/>
  <c r="H104" i="1"/>
  <c r="B104" i="1"/>
  <c r="C104" i="1"/>
  <c r="V119" i="8" l="1"/>
  <c r="Z182" i="1"/>
  <c r="I41" i="7"/>
  <c r="J41" i="7" s="1"/>
  <c r="Y184" i="1"/>
  <c r="Y185" i="1" s="1"/>
  <c r="Z183" i="1"/>
  <c r="U121" i="8"/>
  <c r="U122" i="8" s="1"/>
  <c r="V120" i="8"/>
  <c r="K43" i="8"/>
  <c r="AE42" i="7"/>
  <c r="AG74" i="8"/>
  <c r="AK74" i="8" s="1"/>
  <c r="K104" i="1"/>
  <c r="L104" i="1" s="1"/>
  <c r="M104" i="1" s="1"/>
  <c r="AB74" i="8"/>
  <c r="AI74" i="8" s="1"/>
  <c r="AA75" i="8" s="1"/>
  <c r="AC75" i="8" s="1"/>
  <c r="AB75" i="8" s="1"/>
  <c r="AI75" i="8" s="1"/>
  <c r="H42" i="7"/>
  <c r="B42" i="7"/>
  <c r="C42" i="7"/>
  <c r="D42" i="7"/>
  <c r="E42" i="7" s="1"/>
  <c r="F104" i="1"/>
  <c r="Z184" i="1" l="1"/>
  <c r="V121" i="8"/>
  <c r="O43" i="8"/>
  <c r="L43" i="8"/>
  <c r="Y186" i="1"/>
  <c r="Z186" i="1" s="1"/>
  <c r="Z185" i="1"/>
  <c r="U123" i="8"/>
  <c r="U124" i="8" s="1"/>
  <c r="V122" i="8"/>
  <c r="Z75" i="8"/>
  <c r="Z76" i="8" s="1"/>
  <c r="AD75" i="8"/>
  <c r="AG75" i="8" s="1"/>
  <c r="AK75" i="8" s="1"/>
  <c r="I42" i="7"/>
  <c r="G42" i="7"/>
  <c r="AD76" i="8"/>
  <c r="AA76" i="8"/>
  <c r="AC76" i="8" s="1"/>
  <c r="AB76" i="8" s="1"/>
  <c r="AI76" i="8" s="1"/>
  <c r="N104" i="1"/>
  <c r="AD105" i="1" s="1"/>
  <c r="V123" i="8" l="1"/>
  <c r="Y187" i="1"/>
  <c r="Y188" i="1" s="1"/>
  <c r="Y189" i="1" s="1"/>
  <c r="H44" i="8"/>
  <c r="G44" i="8"/>
  <c r="D44" i="8"/>
  <c r="F44" i="8" s="1"/>
  <c r="E44" i="8" s="1"/>
  <c r="C44" i="8"/>
  <c r="I44" i="8"/>
  <c r="U125" i="8"/>
  <c r="U126" i="8" s="1"/>
  <c r="V124" i="8"/>
  <c r="Z187" i="1"/>
  <c r="AG76" i="8"/>
  <c r="AK76" i="8" s="1"/>
  <c r="J42" i="7"/>
  <c r="F42" i="7"/>
  <c r="K42" i="7" s="1"/>
  <c r="AE43" i="7" s="1"/>
  <c r="AD77" i="8"/>
  <c r="Z77" i="8"/>
  <c r="AA77" i="8"/>
  <c r="AC77" i="8" s="1"/>
  <c r="AB77" i="8" s="1"/>
  <c r="AI77" i="8" s="1"/>
  <c r="C105" i="1"/>
  <c r="H105" i="1"/>
  <c r="B105" i="1"/>
  <c r="I105" i="1"/>
  <c r="J105" i="1"/>
  <c r="D105" i="1"/>
  <c r="E105" i="1" s="1"/>
  <c r="K105" i="1" s="1"/>
  <c r="Z188" i="1" l="1"/>
  <c r="V125" i="8"/>
  <c r="J44" i="8"/>
  <c r="K44" i="8"/>
  <c r="L44" i="8" s="1"/>
  <c r="U127" i="8"/>
  <c r="U128" i="8" s="1"/>
  <c r="V126" i="8"/>
  <c r="Y190" i="1"/>
  <c r="Y191" i="1" s="1"/>
  <c r="Z189" i="1"/>
  <c r="AG77" i="8"/>
  <c r="AK77" i="8" s="1"/>
  <c r="H43" i="7"/>
  <c r="C43" i="7"/>
  <c r="B43" i="7"/>
  <c r="D43" i="7"/>
  <c r="E43" i="7" s="1"/>
  <c r="AD78" i="8"/>
  <c r="AA78" i="8"/>
  <c r="AC78" i="8" s="1"/>
  <c r="AB78" i="8" s="1"/>
  <c r="AI78" i="8" s="1"/>
  <c r="Z78" i="8"/>
  <c r="G105" i="1"/>
  <c r="V127" i="8" l="1"/>
  <c r="Z190" i="1"/>
  <c r="O44" i="8"/>
  <c r="I45" i="8"/>
  <c r="C45" i="8"/>
  <c r="H45" i="8"/>
  <c r="D45" i="8"/>
  <c r="G45" i="8"/>
  <c r="Y192" i="1"/>
  <c r="Y193" i="1" s="1"/>
  <c r="Z191" i="1"/>
  <c r="U129" i="8"/>
  <c r="U130" i="8" s="1"/>
  <c r="V128" i="8"/>
  <c r="AG78" i="8"/>
  <c r="AK78" i="8" s="1"/>
  <c r="I43" i="7"/>
  <c r="G43" i="7"/>
  <c r="AD79" i="8"/>
  <c r="Z79" i="8"/>
  <c r="AA79" i="8"/>
  <c r="AC79" i="8" s="1"/>
  <c r="AB79" i="8" s="1"/>
  <c r="AI79" i="8" s="1"/>
  <c r="L105" i="1"/>
  <c r="M105" i="1" s="1"/>
  <c r="F105" i="1"/>
  <c r="Z192" i="1" l="1"/>
  <c r="V129" i="8"/>
  <c r="F45" i="8"/>
  <c r="U131" i="8"/>
  <c r="U132" i="8" s="1"/>
  <c r="V130" i="8"/>
  <c r="Y194" i="1"/>
  <c r="Y195" i="1" s="1"/>
  <c r="Z193" i="1"/>
  <c r="AG79" i="8"/>
  <c r="AK79" i="8" s="1"/>
  <c r="J43" i="7"/>
  <c r="F43" i="7"/>
  <c r="K43" i="7" s="1"/>
  <c r="AE44" i="7" s="1"/>
  <c r="AD80" i="8"/>
  <c r="AA80" i="8"/>
  <c r="AC80" i="8" s="1"/>
  <c r="AB80" i="8" s="1"/>
  <c r="AI80" i="8" s="1"/>
  <c r="Z80" i="8"/>
  <c r="N105" i="1"/>
  <c r="Z194" i="1" l="1"/>
  <c r="V131" i="8"/>
  <c r="E45" i="8"/>
  <c r="J45" i="8"/>
  <c r="U133" i="8"/>
  <c r="U134" i="8" s="1"/>
  <c r="V132" i="8"/>
  <c r="Y196" i="1"/>
  <c r="Y197" i="1" s="1"/>
  <c r="Z195" i="1"/>
  <c r="AD106" i="1"/>
  <c r="U106" i="1"/>
  <c r="AG80" i="8"/>
  <c r="AK80" i="8" s="1"/>
  <c r="D44" i="7"/>
  <c r="E44" i="7" s="1"/>
  <c r="H44" i="7"/>
  <c r="B44" i="7"/>
  <c r="C44" i="7"/>
  <c r="AD81" i="8"/>
  <c r="AA81" i="8"/>
  <c r="AC81" i="8" s="1"/>
  <c r="AB81" i="8" s="1"/>
  <c r="AI81" i="8" s="1"/>
  <c r="Z81" i="8"/>
  <c r="K106" i="1"/>
  <c r="C106" i="1"/>
  <c r="I106" i="1"/>
  <c r="B106" i="1"/>
  <c r="H106" i="1"/>
  <c r="D106" i="1"/>
  <c r="E106" i="1" s="1"/>
  <c r="J106" i="1"/>
  <c r="V133" i="8" l="1"/>
  <c r="Z196" i="1"/>
  <c r="K45" i="8"/>
  <c r="L45" i="8" s="1"/>
  <c r="U135" i="8"/>
  <c r="U136" i="8" s="1"/>
  <c r="V134" i="8"/>
  <c r="Y198" i="1"/>
  <c r="Y199" i="1" s="1"/>
  <c r="Z197" i="1"/>
  <c r="I44" i="7"/>
  <c r="G44" i="7"/>
  <c r="F44" i="7" s="1"/>
  <c r="K44" i="7" s="1"/>
  <c r="C45" i="7" s="1"/>
  <c r="AG81" i="8"/>
  <c r="AK81" i="8" s="1"/>
  <c r="AD82" i="8"/>
  <c r="AA82" i="8"/>
  <c r="AC82" i="8" s="1"/>
  <c r="AB82" i="8" s="1"/>
  <c r="AI82" i="8" s="1"/>
  <c r="Z82" i="8"/>
  <c r="G106" i="1"/>
  <c r="Z198" i="1" l="1"/>
  <c r="V135" i="8"/>
  <c r="I46" i="8"/>
  <c r="C46" i="8"/>
  <c r="G46" i="8"/>
  <c r="D46" i="8"/>
  <c r="F46" i="8" s="1"/>
  <c r="E46" i="8" s="1"/>
  <c r="H46" i="8"/>
  <c r="O45" i="8"/>
  <c r="U137" i="8"/>
  <c r="U138" i="8" s="1"/>
  <c r="V136" i="8"/>
  <c r="Y200" i="1"/>
  <c r="Y201" i="1" s="1"/>
  <c r="Z199" i="1"/>
  <c r="AE45" i="7"/>
  <c r="H45" i="7"/>
  <c r="D45" i="7"/>
  <c r="E45" i="7" s="1"/>
  <c r="I45" i="7" s="1"/>
  <c r="B45" i="7"/>
  <c r="J44" i="7"/>
  <c r="AG82" i="8"/>
  <c r="AK82" i="8" s="1"/>
  <c r="AD83" i="8"/>
  <c r="AA83" i="8"/>
  <c r="AC83" i="8" s="1"/>
  <c r="AB83" i="8" s="1"/>
  <c r="AI83" i="8" s="1"/>
  <c r="Z83" i="8"/>
  <c r="L106" i="1"/>
  <c r="M106" i="1" s="1"/>
  <c r="F106" i="1"/>
  <c r="V137" i="8" l="1"/>
  <c r="Z200" i="1"/>
  <c r="J46" i="8"/>
  <c r="K46" i="8" s="1"/>
  <c r="L46" i="8" s="1"/>
  <c r="U139" i="8"/>
  <c r="U140" i="8" s="1"/>
  <c r="V138" i="8"/>
  <c r="Y202" i="1"/>
  <c r="Y203" i="1" s="1"/>
  <c r="Z201" i="1"/>
  <c r="G45" i="7"/>
  <c r="J45" i="7" s="1"/>
  <c r="AG83" i="8"/>
  <c r="AK83" i="8" s="1"/>
  <c r="AD84" i="8"/>
  <c r="Z84" i="8"/>
  <c r="AA84" i="8"/>
  <c r="AC84" i="8" s="1"/>
  <c r="N106" i="1"/>
  <c r="V139" i="8" l="1"/>
  <c r="Z202" i="1"/>
  <c r="D47" i="8"/>
  <c r="F47" i="8" s="1"/>
  <c r="E47" i="8" s="1"/>
  <c r="G47" i="8"/>
  <c r="H47" i="8"/>
  <c r="I47" i="8"/>
  <c r="C47" i="8"/>
  <c r="O46" i="8"/>
  <c r="U141" i="8"/>
  <c r="U142" i="8" s="1"/>
  <c r="V140" i="8"/>
  <c r="Y204" i="1"/>
  <c r="Y205" i="1" s="1"/>
  <c r="Z203" i="1"/>
  <c r="F45" i="7"/>
  <c r="K45" i="7" s="1"/>
  <c r="AE46" i="7" s="1"/>
  <c r="AG84" i="8"/>
  <c r="AK84" i="8" s="1"/>
  <c r="AB84" i="8"/>
  <c r="AI84" i="8" s="1"/>
  <c r="Z85" i="8" s="1"/>
  <c r="B107" i="1"/>
  <c r="AD107" i="1"/>
  <c r="J107" i="1"/>
  <c r="D107" i="1"/>
  <c r="E107" i="1" s="1"/>
  <c r="G107" i="1" s="1"/>
  <c r="I107" i="1"/>
  <c r="H107" i="1"/>
  <c r="C107" i="1"/>
  <c r="V141" i="8" l="1"/>
  <c r="Z204" i="1"/>
  <c r="J47" i="8"/>
  <c r="K47" i="8" s="1"/>
  <c r="L47" i="8" s="1"/>
  <c r="Y206" i="1"/>
  <c r="Y207" i="1" s="1"/>
  <c r="Z205" i="1"/>
  <c r="U143" i="8"/>
  <c r="U144" i="8" s="1"/>
  <c r="V142" i="8"/>
  <c r="D46" i="7"/>
  <c r="E46" i="7" s="1"/>
  <c r="G46" i="7" s="1"/>
  <c r="B46" i="7"/>
  <c r="H46" i="7"/>
  <c r="C46" i="7"/>
  <c r="K107" i="1"/>
  <c r="L107" i="1" s="1"/>
  <c r="M107" i="1" s="1"/>
  <c r="AD85" i="8"/>
  <c r="AA85" i="8"/>
  <c r="AC85" i="8" s="1"/>
  <c r="AB85" i="8" s="1"/>
  <c r="AI85" i="8" s="1"/>
  <c r="AA86" i="8" s="1"/>
  <c r="AC86" i="8" s="1"/>
  <c r="AB86" i="8" s="1"/>
  <c r="AI86" i="8" s="1"/>
  <c r="F107" i="1"/>
  <c r="Z206" i="1" l="1"/>
  <c r="V143" i="8"/>
  <c r="I46" i="7"/>
  <c r="J46" i="7" s="1"/>
  <c r="O47" i="8"/>
  <c r="H48" i="8"/>
  <c r="I48" i="8"/>
  <c r="C48" i="8"/>
  <c r="D48" i="8"/>
  <c r="F48" i="8" s="1"/>
  <c r="G48" i="8"/>
  <c r="U145" i="8"/>
  <c r="U146" i="8" s="1"/>
  <c r="V144" i="8"/>
  <c r="Y208" i="1"/>
  <c r="Y209" i="1" s="1"/>
  <c r="Z207" i="1"/>
  <c r="AD86" i="8"/>
  <c r="AG86" i="8" s="1"/>
  <c r="AK86" i="8" s="1"/>
  <c r="Z86" i="8"/>
  <c r="Z87" i="8" s="1"/>
  <c r="AG85" i="8"/>
  <c r="AK85" i="8" s="1"/>
  <c r="F46" i="7"/>
  <c r="K46" i="7" s="1"/>
  <c r="AE47" i="7" s="1"/>
  <c r="AD87" i="8"/>
  <c r="AA87" i="8"/>
  <c r="AC87" i="8" s="1"/>
  <c r="N107" i="1"/>
  <c r="AD108" i="1" s="1"/>
  <c r="V145" i="8" l="1"/>
  <c r="Z208" i="1"/>
  <c r="J48" i="8"/>
  <c r="K48" i="8" s="1"/>
  <c r="E48" i="8"/>
  <c r="Y210" i="1"/>
  <c r="Y211" i="1" s="1"/>
  <c r="Z209" i="1"/>
  <c r="U147" i="8"/>
  <c r="U148" i="8" s="1"/>
  <c r="V146" i="8"/>
  <c r="AG87" i="8"/>
  <c r="AK87" i="8" s="1"/>
  <c r="AB87" i="8"/>
  <c r="AI87" i="8" s="1"/>
  <c r="Z88" i="8" s="1"/>
  <c r="B47" i="7"/>
  <c r="C47" i="7"/>
  <c r="H47" i="7"/>
  <c r="D47" i="7"/>
  <c r="E47" i="7" s="1"/>
  <c r="D108" i="1"/>
  <c r="E108" i="1" s="1"/>
  <c r="K108" i="1" s="1"/>
  <c r="J108" i="1"/>
  <c r="H108" i="1"/>
  <c r="B108" i="1"/>
  <c r="I108" i="1"/>
  <c r="C108" i="1"/>
  <c r="Z210" i="1" l="1"/>
  <c r="V147" i="8"/>
  <c r="L48" i="8"/>
  <c r="I49" i="8" s="1"/>
  <c r="O48" i="8"/>
  <c r="Y212" i="1"/>
  <c r="Y213" i="1" s="1"/>
  <c r="Z211" i="1"/>
  <c r="U149" i="8"/>
  <c r="U150" i="8" s="1"/>
  <c r="V148" i="8"/>
  <c r="AA88" i="8"/>
  <c r="AC88" i="8" s="1"/>
  <c r="AB88" i="8" s="1"/>
  <c r="AI88" i="8" s="1"/>
  <c r="AD89" i="8" s="1"/>
  <c r="AD88" i="8"/>
  <c r="G47" i="7"/>
  <c r="I47" i="7"/>
  <c r="G108" i="1"/>
  <c r="V149" i="8" l="1"/>
  <c r="Z212" i="1"/>
  <c r="C49" i="8"/>
  <c r="D49" i="8"/>
  <c r="F49" i="8" s="1"/>
  <c r="E49" i="8" s="1"/>
  <c r="H49" i="8"/>
  <c r="G49" i="8"/>
  <c r="U151" i="8"/>
  <c r="U152" i="8" s="1"/>
  <c r="V150" i="8"/>
  <c r="Y214" i="1"/>
  <c r="Y215" i="1" s="1"/>
  <c r="Z213" i="1"/>
  <c r="AG88" i="8"/>
  <c r="AK88" i="8" s="1"/>
  <c r="AA89" i="8"/>
  <c r="AC89" i="8" s="1"/>
  <c r="AG89" i="8" s="1"/>
  <c r="AK89" i="8" s="1"/>
  <c r="Z89" i="8"/>
  <c r="J47" i="7"/>
  <c r="F47" i="7"/>
  <c r="K47" i="7" s="1"/>
  <c r="AE48" i="7" s="1"/>
  <c r="L108" i="1"/>
  <c r="M108" i="1" s="1"/>
  <c r="F108" i="1"/>
  <c r="V151" i="8" l="1"/>
  <c r="Z214" i="1"/>
  <c r="J49" i="8"/>
  <c r="K49" i="8" s="1"/>
  <c r="L49" i="8" s="1"/>
  <c r="U153" i="8"/>
  <c r="U154" i="8" s="1"/>
  <c r="V152" i="8"/>
  <c r="Y216" i="1"/>
  <c r="Y217" i="1" s="1"/>
  <c r="Z215" i="1"/>
  <c r="AB89" i="8"/>
  <c r="AI89" i="8" s="1"/>
  <c r="AD90" i="8" s="1"/>
  <c r="C48" i="7"/>
  <c r="D48" i="7"/>
  <c r="E48" i="7" s="1"/>
  <c r="I48" i="7" s="1"/>
  <c r="H48" i="7"/>
  <c r="B48" i="7"/>
  <c r="N108" i="1"/>
  <c r="AD109" i="1" s="1"/>
  <c r="Z216" i="1" l="1"/>
  <c r="V153" i="8"/>
  <c r="O49" i="8"/>
  <c r="I50" i="8"/>
  <c r="D50" i="8"/>
  <c r="F50" i="8" s="1"/>
  <c r="E50" i="8" s="1"/>
  <c r="H50" i="8"/>
  <c r="G50" i="8"/>
  <c r="C50" i="8"/>
  <c r="Y218" i="1"/>
  <c r="Y219" i="1" s="1"/>
  <c r="Z217" i="1"/>
  <c r="U155" i="8"/>
  <c r="U156" i="8" s="1"/>
  <c r="V154" i="8"/>
  <c r="AA90" i="8"/>
  <c r="AC90" i="8" s="1"/>
  <c r="AB90" i="8" s="1"/>
  <c r="AI90" i="8" s="1"/>
  <c r="AD91" i="8" s="1"/>
  <c r="Z90" i="8"/>
  <c r="G48" i="7"/>
  <c r="J109" i="1"/>
  <c r="D109" i="1"/>
  <c r="E109" i="1" s="1"/>
  <c r="G109" i="1" s="1"/>
  <c r="I109" i="1"/>
  <c r="H109" i="1"/>
  <c r="B109" i="1"/>
  <c r="C109" i="1"/>
  <c r="Z218" i="1" l="1"/>
  <c r="V155" i="8"/>
  <c r="J50" i="8"/>
  <c r="K50" i="8" s="1"/>
  <c r="O50" i="8" s="1"/>
  <c r="Y220" i="1"/>
  <c r="Y221" i="1" s="1"/>
  <c r="Z219" i="1"/>
  <c r="U157" i="8"/>
  <c r="U158" i="8" s="1"/>
  <c r="V156" i="8"/>
  <c r="Z91" i="8"/>
  <c r="AA91" i="8"/>
  <c r="AC91" i="8" s="1"/>
  <c r="AB91" i="8" s="1"/>
  <c r="AI91" i="8" s="1"/>
  <c r="Z92" i="8" s="1"/>
  <c r="AG90" i="8"/>
  <c r="AK90" i="8" s="1"/>
  <c r="K109" i="1"/>
  <c r="L109" i="1" s="1"/>
  <c r="M109" i="1" s="1"/>
  <c r="J48" i="7"/>
  <c r="F48" i="7"/>
  <c r="K48" i="7" s="1"/>
  <c r="AE49" i="7" s="1"/>
  <c r="F109" i="1"/>
  <c r="Z220" i="1" l="1"/>
  <c r="V157" i="8"/>
  <c r="L50" i="8"/>
  <c r="I51" i="8" s="1"/>
  <c r="U159" i="8"/>
  <c r="U160" i="8" s="1"/>
  <c r="V158" i="8"/>
  <c r="Y222" i="1"/>
  <c r="Y223" i="1" s="1"/>
  <c r="Z221" i="1"/>
  <c r="AD92" i="8"/>
  <c r="AA92" i="8"/>
  <c r="AC92" i="8" s="1"/>
  <c r="AB92" i="8" s="1"/>
  <c r="AI92" i="8" s="1"/>
  <c r="AA93" i="8" s="1"/>
  <c r="AC93" i="8" s="1"/>
  <c r="AB93" i="8" s="1"/>
  <c r="AI93" i="8" s="1"/>
  <c r="AA94" i="8" s="1"/>
  <c r="AC94" i="8" s="1"/>
  <c r="AB94" i="8" s="1"/>
  <c r="AI94" i="8" s="1"/>
  <c r="AG91" i="8"/>
  <c r="AK91" i="8" s="1"/>
  <c r="B49" i="7"/>
  <c r="C49" i="7"/>
  <c r="D49" i="7"/>
  <c r="E49" i="7" s="1"/>
  <c r="G49" i="7" s="1"/>
  <c r="H49" i="7"/>
  <c r="N109" i="1"/>
  <c r="Z222" i="1" l="1"/>
  <c r="V159" i="8"/>
  <c r="AG92" i="8"/>
  <c r="AK92" i="8" s="1"/>
  <c r="C51" i="8"/>
  <c r="D51" i="8"/>
  <c r="F51" i="8" s="1"/>
  <c r="E51" i="8" s="1"/>
  <c r="H51" i="8"/>
  <c r="G51" i="8"/>
  <c r="U161" i="8"/>
  <c r="U162" i="8" s="1"/>
  <c r="V160" i="8"/>
  <c r="Y224" i="1"/>
  <c r="Y225" i="1" s="1"/>
  <c r="Z223" i="1"/>
  <c r="AD94" i="8"/>
  <c r="AD93" i="8"/>
  <c r="AG93" i="8" s="1"/>
  <c r="AK93" i="8" s="1"/>
  <c r="Z93" i="8"/>
  <c r="Z94" i="8" s="1"/>
  <c r="Z95" i="8" s="1"/>
  <c r="I49" i="7"/>
  <c r="J49" i="7" s="1"/>
  <c r="F49" i="7"/>
  <c r="K49" i="7" s="1"/>
  <c r="AE50" i="7" s="1"/>
  <c r="AG94" i="8"/>
  <c r="AK94" i="8" s="1"/>
  <c r="AA95" i="8"/>
  <c r="AC95" i="8" s="1"/>
  <c r="AB95" i="8" s="1"/>
  <c r="AI95" i="8" s="1"/>
  <c r="AD95" i="8"/>
  <c r="H110" i="1"/>
  <c r="AD110" i="1"/>
  <c r="B110" i="1"/>
  <c r="J110" i="1"/>
  <c r="I110" i="1"/>
  <c r="C110" i="1"/>
  <c r="D110" i="1"/>
  <c r="E110" i="1" s="1"/>
  <c r="G110" i="1" s="1"/>
  <c r="Z224" i="1" l="1"/>
  <c r="V161" i="8"/>
  <c r="J51" i="8"/>
  <c r="K51" i="8" s="1"/>
  <c r="L51" i="8" s="1"/>
  <c r="U163" i="8"/>
  <c r="U164" i="8" s="1"/>
  <c r="V162" i="8"/>
  <c r="Y226" i="1"/>
  <c r="Y227" i="1" s="1"/>
  <c r="Z225" i="1"/>
  <c r="K110" i="1"/>
  <c r="L110" i="1" s="1"/>
  <c r="M110" i="1" s="1"/>
  <c r="D50" i="7"/>
  <c r="E50" i="7" s="1"/>
  <c r="C50" i="7"/>
  <c r="B50" i="7"/>
  <c r="H50" i="7"/>
  <c r="AG95" i="8"/>
  <c r="AK95" i="8" s="1"/>
  <c r="AD96" i="8"/>
  <c r="AA96" i="8"/>
  <c r="AC96" i="8" s="1"/>
  <c r="AB96" i="8" s="1"/>
  <c r="AI96" i="8" s="1"/>
  <c r="Z96" i="8"/>
  <c r="F110" i="1"/>
  <c r="V163" i="8" l="1"/>
  <c r="Z226" i="1"/>
  <c r="O51" i="8"/>
  <c r="C52" i="8"/>
  <c r="I52" i="8"/>
  <c r="G52" i="8"/>
  <c r="H52" i="8"/>
  <c r="D52" i="8"/>
  <c r="F52" i="8" s="1"/>
  <c r="E52" i="8" s="1"/>
  <c r="Y228" i="1"/>
  <c r="Y229" i="1" s="1"/>
  <c r="Z227" i="1"/>
  <c r="U165" i="8"/>
  <c r="U166" i="8" s="1"/>
  <c r="V164" i="8"/>
  <c r="AG96" i="8"/>
  <c r="AK96" i="8" s="1"/>
  <c r="I50" i="7"/>
  <c r="G50" i="7"/>
  <c r="F50" i="7" s="1"/>
  <c r="K50" i="7" s="1"/>
  <c r="H51" i="7" s="1"/>
  <c r="AD97" i="8"/>
  <c r="AA97" i="8"/>
  <c r="AC97" i="8" s="1"/>
  <c r="AB97" i="8" s="1"/>
  <c r="AI97" i="8" s="1"/>
  <c r="Z97" i="8"/>
  <c r="N110" i="1"/>
  <c r="AD111" i="1" s="1"/>
  <c r="Z228" i="1" l="1"/>
  <c r="V165" i="8"/>
  <c r="J52" i="8"/>
  <c r="K52" i="8" s="1"/>
  <c r="O52" i="8" s="1"/>
  <c r="U167" i="8"/>
  <c r="U168" i="8" s="1"/>
  <c r="V166" i="8"/>
  <c r="Y230" i="1"/>
  <c r="Y231" i="1" s="1"/>
  <c r="Z229" i="1"/>
  <c r="AE51" i="7"/>
  <c r="B51" i="7"/>
  <c r="C51" i="7"/>
  <c r="D51" i="7"/>
  <c r="E51" i="7" s="1"/>
  <c r="J50" i="7"/>
  <c r="AG97" i="8"/>
  <c r="AK97" i="8" s="1"/>
  <c r="AD98" i="8"/>
  <c r="AA98" i="8"/>
  <c r="AC98" i="8" s="1"/>
  <c r="Z98" i="8"/>
  <c r="K111" i="1"/>
  <c r="I111" i="1"/>
  <c r="C111" i="1"/>
  <c r="H111" i="1"/>
  <c r="D111" i="1"/>
  <c r="E111" i="1" s="1"/>
  <c r="G111" i="1" s="1"/>
  <c r="J111" i="1"/>
  <c r="B111" i="1"/>
  <c r="V167" i="8" l="1"/>
  <c r="Z230" i="1"/>
  <c r="L52" i="8"/>
  <c r="Y232" i="1"/>
  <c r="Y233" i="1" s="1"/>
  <c r="Z231" i="1"/>
  <c r="U169" i="8"/>
  <c r="U170" i="8" s="1"/>
  <c r="V168" i="8"/>
  <c r="I51" i="7"/>
  <c r="G51" i="7"/>
  <c r="F51" i="7" s="1"/>
  <c r="K51" i="7" s="1"/>
  <c r="AE52" i="7" s="1"/>
  <c r="AG98" i="8"/>
  <c r="AK98" i="8" s="1"/>
  <c r="AB98" i="8"/>
  <c r="AI98" i="8" s="1"/>
  <c r="AD99" i="8" s="1"/>
  <c r="L111" i="1"/>
  <c r="M111" i="1" s="1"/>
  <c r="F111" i="1"/>
  <c r="Z232" i="1" l="1"/>
  <c r="V169" i="8"/>
  <c r="G53" i="8"/>
  <c r="D53" i="8"/>
  <c r="F53" i="8" s="1"/>
  <c r="E53" i="8" s="1"/>
  <c r="H53" i="8"/>
  <c r="I53" i="8"/>
  <c r="C53" i="8"/>
  <c r="U171" i="8"/>
  <c r="U172" i="8" s="1"/>
  <c r="V170" i="8"/>
  <c r="Y234" i="1"/>
  <c r="Y235" i="1" s="1"/>
  <c r="Z233" i="1"/>
  <c r="J51" i="7"/>
  <c r="AA99" i="8"/>
  <c r="AC99" i="8" s="1"/>
  <c r="AB99" i="8" s="1"/>
  <c r="AI99" i="8" s="1"/>
  <c r="AA100" i="8" s="1"/>
  <c r="AC100" i="8" s="1"/>
  <c r="Z99" i="8"/>
  <c r="B52" i="7"/>
  <c r="H52" i="7"/>
  <c r="D52" i="7"/>
  <c r="E52" i="7" s="1"/>
  <c r="C52" i="7"/>
  <c r="N111" i="1"/>
  <c r="AD112" i="1" s="1"/>
  <c r="V171" i="8" l="1"/>
  <c r="Z234" i="1"/>
  <c r="J53" i="8"/>
  <c r="K53" i="8" s="1"/>
  <c r="O53" i="8" s="1"/>
  <c r="U173" i="8"/>
  <c r="U174" i="8" s="1"/>
  <c r="V172" i="8"/>
  <c r="Y236" i="1"/>
  <c r="Y237" i="1" s="1"/>
  <c r="Z235" i="1"/>
  <c r="AG99" i="8"/>
  <c r="AK99" i="8" s="1"/>
  <c r="Z100" i="8"/>
  <c r="AD100" i="8"/>
  <c r="AG100" i="8" s="1"/>
  <c r="AK100" i="8" s="1"/>
  <c r="I52" i="7"/>
  <c r="G52" i="7"/>
  <c r="AB100" i="8"/>
  <c r="AI100" i="8" s="1"/>
  <c r="AD101" i="8" s="1"/>
  <c r="H112" i="1"/>
  <c r="J112" i="1"/>
  <c r="B112" i="1"/>
  <c r="D112" i="1"/>
  <c r="E112" i="1" s="1"/>
  <c r="G112" i="1" s="1"/>
  <c r="C112" i="1"/>
  <c r="I112" i="1"/>
  <c r="V173" i="8" l="1"/>
  <c r="Z236" i="1"/>
  <c r="L53" i="8"/>
  <c r="C54" i="8" s="1"/>
  <c r="Y238" i="1"/>
  <c r="Y239" i="1" s="1"/>
  <c r="Z237" i="1"/>
  <c r="U175" i="8"/>
  <c r="U176" i="8" s="1"/>
  <c r="V174" i="8"/>
  <c r="K112" i="1"/>
  <c r="L112" i="1" s="1"/>
  <c r="M112" i="1" s="1"/>
  <c r="Z101" i="8"/>
  <c r="AA101" i="8"/>
  <c r="AC101" i="8" s="1"/>
  <c r="AG101" i="8" s="1"/>
  <c r="AK101" i="8" s="1"/>
  <c r="J52" i="7"/>
  <c r="F52" i="7"/>
  <c r="K52" i="7" s="1"/>
  <c r="AE53" i="7" s="1"/>
  <c r="F112" i="1"/>
  <c r="Z238" i="1" l="1"/>
  <c r="V175" i="8"/>
  <c r="I54" i="8"/>
  <c r="G54" i="8"/>
  <c r="H54" i="8"/>
  <c r="D54" i="8"/>
  <c r="F54" i="8" s="1"/>
  <c r="E54" i="8" s="1"/>
  <c r="U177" i="8"/>
  <c r="U178" i="8" s="1"/>
  <c r="V176" i="8"/>
  <c r="Y240" i="1"/>
  <c r="Y241" i="1" s="1"/>
  <c r="Z239" i="1"/>
  <c r="AB101" i="8"/>
  <c r="AI101" i="8" s="1"/>
  <c r="AD102" i="8" s="1"/>
  <c r="H53" i="7"/>
  <c r="B53" i="7"/>
  <c r="C53" i="7"/>
  <c r="D53" i="7"/>
  <c r="E53" i="7" s="1"/>
  <c r="I53" i="7" s="1"/>
  <c r="N112" i="1"/>
  <c r="AD113" i="1" s="1"/>
  <c r="V177" i="8" l="1"/>
  <c r="Z240" i="1"/>
  <c r="J54" i="8"/>
  <c r="K54" i="8" s="1"/>
  <c r="Y242" i="1"/>
  <c r="Y243" i="1" s="1"/>
  <c r="Z241" i="1"/>
  <c r="U179" i="8"/>
  <c r="U180" i="8" s="1"/>
  <c r="V178" i="8"/>
  <c r="Z102" i="8"/>
  <c r="AA102" i="8"/>
  <c r="AC102" i="8" s="1"/>
  <c r="G53" i="7"/>
  <c r="J113" i="1"/>
  <c r="D113" i="1"/>
  <c r="E113" i="1" s="1"/>
  <c r="G113" i="1" s="1"/>
  <c r="I113" i="1"/>
  <c r="B113" i="1"/>
  <c r="C113" i="1"/>
  <c r="H113" i="1"/>
  <c r="Z242" i="1" l="1"/>
  <c r="V179" i="8"/>
  <c r="O54" i="8"/>
  <c r="L54" i="8"/>
  <c r="U181" i="8"/>
  <c r="U182" i="8" s="1"/>
  <c r="V180" i="8"/>
  <c r="Y244" i="1"/>
  <c r="Y245" i="1" s="1"/>
  <c r="Z243" i="1"/>
  <c r="K113" i="1"/>
  <c r="L113" i="1" s="1"/>
  <c r="M113" i="1" s="1"/>
  <c r="AB102" i="8"/>
  <c r="AI102" i="8" s="1"/>
  <c r="AG102" i="8"/>
  <c r="AK102" i="8" s="1"/>
  <c r="J53" i="7"/>
  <c r="F53" i="7"/>
  <c r="K53" i="7" s="1"/>
  <c r="AE54" i="7" s="1"/>
  <c r="F113" i="1"/>
  <c r="Z244" i="1" l="1"/>
  <c r="V181" i="8"/>
  <c r="G55" i="8"/>
  <c r="H55" i="8"/>
  <c r="C55" i="8"/>
  <c r="I55" i="8"/>
  <c r="D55" i="8"/>
  <c r="F55" i="8" s="1"/>
  <c r="E55" i="8" s="1"/>
  <c r="Y246" i="1"/>
  <c r="Y247" i="1" s="1"/>
  <c r="Z245" i="1"/>
  <c r="U183" i="8"/>
  <c r="U184" i="8" s="1"/>
  <c r="V182" i="8"/>
  <c r="AA103" i="8"/>
  <c r="AC103" i="8" s="1"/>
  <c r="AB103" i="8" s="1"/>
  <c r="AI103" i="8" s="1"/>
  <c r="AD103" i="8"/>
  <c r="Z103" i="8"/>
  <c r="B54" i="7"/>
  <c r="C54" i="7"/>
  <c r="H54" i="7"/>
  <c r="D54" i="7"/>
  <c r="E54" i="7" s="1"/>
  <c r="I54" i="7" s="1"/>
  <c r="N113" i="1"/>
  <c r="Z246" i="1" l="1"/>
  <c r="V183" i="8"/>
  <c r="J55" i="8"/>
  <c r="K55" i="8" s="1"/>
  <c r="L55" i="8" s="1"/>
  <c r="Y248" i="1"/>
  <c r="Y249" i="1" s="1"/>
  <c r="Z247" i="1"/>
  <c r="U185" i="8"/>
  <c r="U186" i="8" s="1"/>
  <c r="V184" i="8"/>
  <c r="AG103" i="8"/>
  <c r="AK103" i="8" s="1"/>
  <c r="AA104" i="8"/>
  <c r="AC104" i="8" s="1"/>
  <c r="AB104" i="8" s="1"/>
  <c r="AI104" i="8" s="1"/>
  <c r="AD104" i="8"/>
  <c r="Z104" i="8"/>
  <c r="G54" i="7"/>
  <c r="I114" i="1"/>
  <c r="C114" i="1"/>
  <c r="B114" i="1"/>
  <c r="D114" i="1"/>
  <c r="E114" i="1" s="1"/>
  <c r="G114" i="1" s="1"/>
  <c r="AD114" i="1"/>
  <c r="H114" i="1"/>
  <c r="J114" i="1"/>
  <c r="V185" i="8" l="1"/>
  <c r="Z248" i="1"/>
  <c r="G56" i="8"/>
  <c r="D56" i="8"/>
  <c r="F56" i="8" s="1"/>
  <c r="E56" i="8" s="1"/>
  <c r="I56" i="8"/>
  <c r="C56" i="8"/>
  <c r="H56" i="8"/>
  <c r="O55" i="8"/>
  <c r="U187" i="8"/>
  <c r="U188" i="8" s="1"/>
  <c r="V186" i="8"/>
  <c r="Y250" i="1"/>
  <c r="Y251" i="1" s="1"/>
  <c r="Z249" i="1"/>
  <c r="K114" i="1"/>
  <c r="L114" i="1" s="1"/>
  <c r="M114" i="1" s="1"/>
  <c r="AG104" i="8"/>
  <c r="AK104" i="8" s="1"/>
  <c r="AD105" i="8"/>
  <c r="Z105" i="8"/>
  <c r="AA105" i="8"/>
  <c r="AC105" i="8" s="1"/>
  <c r="AB105" i="8" s="1"/>
  <c r="AI105" i="8" s="1"/>
  <c r="J54" i="7"/>
  <c r="F54" i="7"/>
  <c r="K54" i="7" s="1"/>
  <c r="AE55" i="7" s="1"/>
  <c r="F114" i="1"/>
  <c r="V187" i="8" l="1"/>
  <c r="Z250" i="1"/>
  <c r="J56" i="8"/>
  <c r="K56" i="8" s="1"/>
  <c r="L56" i="8" s="1"/>
  <c r="U189" i="8"/>
  <c r="U190" i="8" s="1"/>
  <c r="V188" i="8"/>
  <c r="Y252" i="1"/>
  <c r="Y253" i="1" s="1"/>
  <c r="Z251" i="1"/>
  <c r="AD106" i="8"/>
  <c r="AA106" i="8"/>
  <c r="AC106" i="8" s="1"/>
  <c r="AB106" i="8" s="1"/>
  <c r="AI106" i="8" s="1"/>
  <c r="Z106" i="8"/>
  <c r="AG105" i="8"/>
  <c r="AK105" i="8" s="1"/>
  <c r="B55" i="7"/>
  <c r="H55" i="7"/>
  <c r="C55" i="7"/>
  <c r="D55" i="7"/>
  <c r="E55" i="7" s="1"/>
  <c r="I55" i="7" s="1"/>
  <c r="N114" i="1"/>
  <c r="AD115" i="1" s="1"/>
  <c r="Z252" i="1" l="1"/>
  <c r="V189" i="8"/>
  <c r="C57" i="8"/>
  <c r="D57" i="8"/>
  <c r="F57" i="8" s="1"/>
  <c r="I57" i="8"/>
  <c r="G57" i="8"/>
  <c r="H57" i="8"/>
  <c r="O56" i="8"/>
  <c r="Y254" i="1"/>
  <c r="Y255" i="1" s="1"/>
  <c r="Z253" i="1"/>
  <c r="U191" i="8"/>
  <c r="U192" i="8" s="1"/>
  <c r="V190" i="8"/>
  <c r="AG106" i="8"/>
  <c r="AK106" i="8" s="1"/>
  <c r="AD107" i="8"/>
  <c r="Z107" i="8"/>
  <c r="AA107" i="8"/>
  <c r="AC107" i="8" s="1"/>
  <c r="AB107" i="8" s="1"/>
  <c r="AI107" i="8" s="1"/>
  <c r="G55" i="7"/>
  <c r="C115" i="1"/>
  <c r="I115" i="1"/>
  <c r="J115" i="1"/>
  <c r="D115" i="1"/>
  <c r="E115" i="1" s="1"/>
  <c r="G115" i="1" s="1"/>
  <c r="H115" i="1"/>
  <c r="B115" i="1"/>
  <c r="V191" i="8" l="1"/>
  <c r="Z254" i="1"/>
  <c r="J57" i="8"/>
  <c r="K57" i="8" s="1"/>
  <c r="E57" i="8"/>
  <c r="U193" i="8"/>
  <c r="U194" i="8" s="1"/>
  <c r="V192" i="8"/>
  <c r="Y256" i="1"/>
  <c r="Y257" i="1" s="1"/>
  <c r="Z255" i="1"/>
  <c r="K115" i="1"/>
  <c r="L115" i="1" s="1"/>
  <c r="M115" i="1" s="1"/>
  <c r="AG107" i="8"/>
  <c r="AK107" i="8" s="1"/>
  <c r="AA108" i="8"/>
  <c r="AC108" i="8" s="1"/>
  <c r="AB108" i="8" s="1"/>
  <c r="AI108" i="8" s="1"/>
  <c r="Z108" i="8"/>
  <c r="AD108" i="8"/>
  <c r="J55" i="7"/>
  <c r="F55" i="7"/>
  <c r="K55" i="7" s="1"/>
  <c r="AE56" i="7" s="1"/>
  <c r="F115" i="1"/>
  <c r="Z256" i="1" l="1"/>
  <c r="V193" i="8"/>
  <c r="O57" i="8"/>
  <c r="L57" i="8"/>
  <c r="D58" i="8" s="1"/>
  <c r="F58" i="8" s="1"/>
  <c r="Y258" i="1"/>
  <c r="Y259" i="1" s="1"/>
  <c r="Z257" i="1"/>
  <c r="U195" i="8"/>
  <c r="U196" i="8" s="1"/>
  <c r="V194" i="8"/>
  <c r="AG108" i="8"/>
  <c r="AK108" i="8" s="1"/>
  <c r="AD109" i="8"/>
  <c r="Z109" i="8"/>
  <c r="AA109" i="8"/>
  <c r="AC109" i="8" s="1"/>
  <c r="AB109" i="8" s="1"/>
  <c r="AI109" i="8" s="1"/>
  <c r="D56" i="7"/>
  <c r="E56" i="7" s="1"/>
  <c r="G56" i="7" s="1"/>
  <c r="B56" i="7"/>
  <c r="C56" i="7"/>
  <c r="H56" i="7"/>
  <c r="N115" i="1"/>
  <c r="AD116" i="1" s="1"/>
  <c r="V195" i="8" l="1"/>
  <c r="Z258" i="1"/>
  <c r="E58" i="8"/>
  <c r="I58" i="8"/>
  <c r="H58" i="8"/>
  <c r="C58" i="8"/>
  <c r="G58" i="8"/>
  <c r="U197" i="8"/>
  <c r="U198" i="8" s="1"/>
  <c r="V196" i="8"/>
  <c r="Y260" i="1"/>
  <c r="Y261" i="1" s="1"/>
  <c r="Z259" i="1"/>
  <c r="AA110" i="8"/>
  <c r="AC110" i="8" s="1"/>
  <c r="AB110" i="8" s="1"/>
  <c r="AI110" i="8" s="1"/>
  <c r="Z110" i="8"/>
  <c r="AD110" i="8"/>
  <c r="AG109" i="8"/>
  <c r="AK109" i="8" s="1"/>
  <c r="I56" i="7"/>
  <c r="J56" i="7" s="1"/>
  <c r="F56" i="7"/>
  <c r="K56" i="7" s="1"/>
  <c r="AE57" i="7" s="1"/>
  <c r="B116" i="1"/>
  <c r="J116" i="1"/>
  <c r="H116" i="1"/>
  <c r="D116" i="1"/>
  <c r="E116" i="1" s="1"/>
  <c r="G116" i="1" s="1"/>
  <c r="I116" i="1"/>
  <c r="C116" i="1"/>
  <c r="Z260" i="1" l="1"/>
  <c r="V197" i="8"/>
  <c r="J58" i="8"/>
  <c r="K58" i="8" s="1"/>
  <c r="Y262" i="1"/>
  <c r="Y263" i="1" s="1"/>
  <c r="Z261" i="1"/>
  <c r="U199" i="8"/>
  <c r="U200" i="8" s="1"/>
  <c r="V198" i="8"/>
  <c r="AG110" i="8"/>
  <c r="AK110" i="8" s="1"/>
  <c r="K116" i="1"/>
  <c r="L116" i="1" s="1"/>
  <c r="M116" i="1" s="1"/>
  <c r="Z111" i="8"/>
  <c r="AA111" i="8"/>
  <c r="AC111" i="8" s="1"/>
  <c r="AB111" i="8" s="1"/>
  <c r="AI111" i="8" s="1"/>
  <c r="AD111" i="8"/>
  <c r="C57" i="7"/>
  <c r="B57" i="7"/>
  <c r="D57" i="7"/>
  <c r="E57" i="7" s="1"/>
  <c r="H57" i="7"/>
  <c r="F116" i="1"/>
  <c r="Z262" i="1" l="1"/>
  <c r="V199" i="8"/>
  <c r="O58" i="8"/>
  <c r="L58" i="8"/>
  <c r="C59" i="8" s="1"/>
  <c r="U201" i="8"/>
  <c r="U202" i="8" s="1"/>
  <c r="V200" i="8"/>
  <c r="Y264" i="1"/>
  <c r="Y265" i="1" s="1"/>
  <c r="Z263" i="1"/>
  <c r="AG111" i="8"/>
  <c r="AK111" i="8" s="1"/>
  <c r="Z112" i="8"/>
  <c r="AA112" i="8"/>
  <c r="AC112" i="8" s="1"/>
  <c r="AB112" i="8" s="1"/>
  <c r="AI112" i="8" s="1"/>
  <c r="AD112" i="8"/>
  <c r="I57" i="7"/>
  <c r="G57" i="7"/>
  <c r="N116" i="1"/>
  <c r="V201" i="8" l="1"/>
  <c r="Z264" i="1"/>
  <c r="AD117" i="1"/>
  <c r="AC117" i="1" s="1"/>
  <c r="D59" i="8"/>
  <c r="F59" i="8" s="1"/>
  <c r="E59" i="8" s="1"/>
  <c r="H59" i="8"/>
  <c r="G59" i="8"/>
  <c r="I59" i="8"/>
  <c r="Y266" i="1"/>
  <c r="Y267" i="1" s="1"/>
  <c r="Z265" i="1"/>
  <c r="U203" i="8"/>
  <c r="U204" i="8" s="1"/>
  <c r="V202" i="8"/>
  <c r="AG112" i="8"/>
  <c r="AK112" i="8" s="1"/>
  <c r="AD113" i="8"/>
  <c r="Z113" i="8"/>
  <c r="AA113" i="8"/>
  <c r="AC113" i="8" s="1"/>
  <c r="AB113" i="8" s="1"/>
  <c r="AI113" i="8" s="1"/>
  <c r="J57" i="7"/>
  <c r="F57" i="7"/>
  <c r="K57" i="7" s="1"/>
  <c r="AE58" i="7" s="1"/>
  <c r="C117" i="1"/>
  <c r="I117" i="1"/>
  <c r="J117" i="1"/>
  <c r="D117" i="1"/>
  <c r="E117" i="1" s="1"/>
  <c r="AF117" i="1" s="1"/>
  <c r="AE117" i="1" s="1"/>
  <c r="H117" i="1"/>
  <c r="B117" i="1"/>
  <c r="V203" i="8" l="1"/>
  <c r="Z266" i="1"/>
  <c r="AB117" i="1"/>
  <c r="G117" i="1" s="1"/>
  <c r="F117" i="1" s="1"/>
  <c r="J59" i="8"/>
  <c r="K59" i="8" s="1"/>
  <c r="L59" i="8" s="1"/>
  <c r="U205" i="8"/>
  <c r="U206" i="8" s="1"/>
  <c r="V204" i="8"/>
  <c r="Y268" i="1"/>
  <c r="Y269" i="1" s="1"/>
  <c r="Z267" i="1"/>
  <c r="K117" i="1"/>
  <c r="AG113" i="8"/>
  <c r="AK113" i="8" s="1"/>
  <c r="Z114" i="8"/>
  <c r="AA114" i="8"/>
  <c r="AC114" i="8" s="1"/>
  <c r="AD114" i="8"/>
  <c r="H58" i="7"/>
  <c r="B58" i="7"/>
  <c r="D58" i="7"/>
  <c r="E58" i="7" s="1"/>
  <c r="I58" i="7" s="1"/>
  <c r="C58" i="7"/>
  <c r="V205" i="8" l="1"/>
  <c r="Z268" i="1"/>
  <c r="L117" i="1"/>
  <c r="M117" i="1" s="1"/>
  <c r="N117" i="1" s="1"/>
  <c r="AD118" i="1" s="1"/>
  <c r="Y270" i="1"/>
  <c r="Y271" i="1" s="1"/>
  <c r="Z269" i="1"/>
  <c r="U207" i="8"/>
  <c r="U208" i="8" s="1"/>
  <c r="V206" i="8"/>
  <c r="AG114" i="8"/>
  <c r="AK114" i="8" s="1"/>
  <c r="AB114" i="8"/>
  <c r="AI114" i="8" s="1"/>
  <c r="AD115" i="8" s="1"/>
  <c r="G58" i="7"/>
  <c r="D60" i="8"/>
  <c r="F60" i="8" s="1"/>
  <c r="I60" i="8"/>
  <c r="H60" i="8"/>
  <c r="G60" i="8"/>
  <c r="C60" i="8"/>
  <c r="O59" i="8"/>
  <c r="V207" i="8" l="1"/>
  <c r="Z270" i="1"/>
  <c r="U209" i="8"/>
  <c r="U210" i="8" s="1"/>
  <c r="V208" i="8"/>
  <c r="Y272" i="1"/>
  <c r="Y273" i="1" s="1"/>
  <c r="Z271" i="1"/>
  <c r="Z115" i="8"/>
  <c r="AA115" i="8"/>
  <c r="AC115" i="8" s="1"/>
  <c r="AB115" i="8" s="1"/>
  <c r="AI115" i="8" s="1"/>
  <c r="J58" i="7"/>
  <c r="F58" i="7"/>
  <c r="K58" i="7" s="1"/>
  <c r="AE59" i="7" s="1"/>
  <c r="J60" i="8"/>
  <c r="E60" i="8"/>
  <c r="B118" i="1"/>
  <c r="K118" i="1"/>
  <c r="H118" i="1"/>
  <c r="J118" i="1"/>
  <c r="I118" i="1"/>
  <c r="C118" i="1"/>
  <c r="D118" i="1"/>
  <c r="E118" i="1" s="1"/>
  <c r="V209" i="8" l="1"/>
  <c r="Z272" i="1"/>
  <c r="Y274" i="1"/>
  <c r="Y275" i="1" s="1"/>
  <c r="Z273" i="1"/>
  <c r="U211" i="8"/>
  <c r="U212" i="8" s="1"/>
  <c r="V210" i="8"/>
  <c r="AG115" i="8"/>
  <c r="AK115" i="8" s="1"/>
  <c r="AA116" i="8"/>
  <c r="AC116" i="8" s="1"/>
  <c r="AB116" i="8" s="1"/>
  <c r="AI116" i="8" s="1"/>
  <c r="Z116" i="8"/>
  <c r="AD116" i="8"/>
  <c r="D59" i="7"/>
  <c r="E59" i="7" s="1"/>
  <c r="G59" i="7" s="1"/>
  <c r="F59" i="7" s="1"/>
  <c r="K59" i="7" s="1"/>
  <c r="C59" i="7"/>
  <c r="B59" i="7"/>
  <c r="H59" i="7"/>
  <c r="G118" i="1"/>
  <c r="K60" i="8"/>
  <c r="L60" i="8" s="1"/>
  <c r="V211" i="8" l="1"/>
  <c r="Z274" i="1"/>
  <c r="Y276" i="1"/>
  <c r="Y277" i="1" s="1"/>
  <c r="Z275" i="1"/>
  <c r="U213" i="8"/>
  <c r="U214" i="8" s="1"/>
  <c r="V212" i="8"/>
  <c r="I59" i="7"/>
  <c r="J59" i="7" s="1"/>
  <c r="AE60" i="7"/>
  <c r="AG116" i="8"/>
  <c r="AK116" i="8" s="1"/>
  <c r="Z117" i="8"/>
  <c r="AD117" i="8"/>
  <c r="AA117" i="8"/>
  <c r="AC117" i="8" s="1"/>
  <c r="B60" i="7"/>
  <c r="C60" i="7"/>
  <c r="D60" i="7"/>
  <c r="E60" i="7" s="1"/>
  <c r="I60" i="7" s="1"/>
  <c r="H60" i="7"/>
  <c r="O60" i="8"/>
  <c r="C61" i="8"/>
  <c r="D61" i="8"/>
  <c r="F61" i="8" s="1"/>
  <c r="G61" i="8"/>
  <c r="H61" i="8"/>
  <c r="I61" i="8"/>
  <c r="L118" i="1"/>
  <c r="M118" i="1" s="1"/>
  <c r="F118" i="1"/>
  <c r="Z276" i="1" l="1"/>
  <c r="V213" i="8"/>
  <c r="U215" i="8"/>
  <c r="U216" i="8" s="1"/>
  <c r="V214" i="8"/>
  <c r="Y278" i="1"/>
  <c r="Y279" i="1" s="1"/>
  <c r="Z277" i="1"/>
  <c r="AG117" i="8"/>
  <c r="AK117" i="8" s="1"/>
  <c r="AB117" i="8"/>
  <c r="AI117" i="8" s="1"/>
  <c r="AD118" i="8" s="1"/>
  <c r="G60" i="7"/>
  <c r="J60" i="7" s="1"/>
  <c r="E61" i="8"/>
  <c r="J61" i="8"/>
  <c r="N118" i="1"/>
  <c r="AD119" i="1" s="1"/>
  <c r="V215" i="8" l="1"/>
  <c r="Z278" i="1"/>
  <c r="U217" i="8"/>
  <c r="U218" i="8" s="1"/>
  <c r="V216" i="8"/>
  <c r="Y280" i="1"/>
  <c r="Y281" i="1" s="1"/>
  <c r="Z279" i="1"/>
  <c r="AA118" i="8"/>
  <c r="AC118" i="8" s="1"/>
  <c r="AB118" i="8" s="1"/>
  <c r="AI118" i="8" s="1"/>
  <c r="AD119" i="8" s="1"/>
  <c r="Z118" i="8"/>
  <c r="AG118" i="8"/>
  <c r="AK118" i="8" s="1"/>
  <c r="F60" i="7"/>
  <c r="K60" i="7" s="1"/>
  <c r="I119" i="1"/>
  <c r="J119" i="1"/>
  <c r="H119" i="1"/>
  <c r="B119" i="1"/>
  <c r="C119" i="1"/>
  <c r="D119" i="1"/>
  <c r="E119" i="1" s="1"/>
  <c r="K119" i="1" s="1"/>
  <c r="K61" i="8"/>
  <c r="O61" i="8" s="1"/>
  <c r="Z280" i="1" l="1"/>
  <c r="V217" i="8"/>
  <c r="Y282" i="1"/>
  <c r="Y283" i="1" s="1"/>
  <c r="Z281" i="1"/>
  <c r="U219" i="8"/>
  <c r="U220" i="8" s="1"/>
  <c r="V218" i="8"/>
  <c r="Z119" i="8"/>
  <c r="AA119" i="8"/>
  <c r="AC119" i="8" s="1"/>
  <c r="AB119" i="8" s="1"/>
  <c r="AI119" i="8" s="1"/>
  <c r="AD120" i="8" s="1"/>
  <c r="H61" i="7"/>
  <c r="AE61" i="7"/>
  <c r="C61" i="7"/>
  <c r="B61" i="7"/>
  <c r="D61" i="7"/>
  <c r="E61" i="7" s="1"/>
  <c r="G119" i="1"/>
  <c r="L61" i="8"/>
  <c r="Z282" i="1" l="1"/>
  <c r="V219" i="8"/>
  <c r="AG119" i="8"/>
  <c r="AK119" i="8" s="1"/>
  <c r="U221" i="8"/>
  <c r="U222" i="8" s="1"/>
  <c r="V220" i="8"/>
  <c r="Y284" i="1"/>
  <c r="Y285" i="1" s="1"/>
  <c r="Z283" i="1"/>
  <c r="AA120" i="8"/>
  <c r="AC120" i="8" s="1"/>
  <c r="AB120" i="8" s="1"/>
  <c r="AI120" i="8" s="1"/>
  <c r="AD121" i="8" s="1"/>
  <c r="Z120" i="8"/>
  <c r="I61" i="7"/>
  <c r="G61" i="7"/>
  <c r="C62" i="8"/>
  <c r="D62" i="8"/>
  <c r="F62" i="8" s="1"/>
  <c r="H62" i="8"/>
  <c r="I62" i="8"/>
  <c r="G62" i="8"/>
  <c r="L119" i="1"/>
  <c r="M119" i="1" s="1"/>
  <c r="F119" i="1"/>
  <c r="V221" i="8" l="1"/>
  <c r="Z284" i="1"/>
  <c r="AG120" i="8"/>
  <c r="AK120" i="8" s="1"/>
  <c r="U223" i="8"/>
  <c r="U224" i="8" s="1"/>
  <c r="V222" i="8"/>
  <c r="Y286" i="1"/>
  <c r="Y287" i="1" s="1"/>
  <c r="Z285" i="1"/>
  <c r="Z121" i="8"/>
  <c r="AA121" i="8"/>
  <c r="AC121" i="8" s="1"/>
  <c r="AB121" i="8" s="1"/>
  <c r="AI121" i="8" s="1"/>
  <c r="AA122" i="8" s="1"/>
  <c r="AC122" i="8" s="1"/>
  <c r="AB122" i="8" s="1"/>
  <c r="AI122" i="8" s="1"/>
  <c r="J61" i="7"/>
  <c r="F61" i="7"/>
  <c r="K61" i="7" s="1"/>
  <c r="AE62" i="7" s="1"/>
  <c r="J62" i="8"/>
  <c r="E62" i="8"/>
  <c r="N119" i="1"/>
  <c r="AD120" i="1" s="1"/>
  <c r="V223" i="8" l="1"/>
  <c r="Z286" i="1"/>
  <c r="U225" i="8"/>
  <c r="U226" i="8" s="1"/>
  <c r="V224" i="8"/>
  <c r="Y288" i="1"/>
  <c r="Y289" i="1" s="1"/>
  <c r="Z287" i="1"/>
  <c r="AG121" i="8"/>
  <c r="AK121" i="8" s="1"/>
  <c r="Z122" i="8"/>
  <c r="Z123" i="8" s="1"/>
  <c r="AD122" i="8"/>
  <c r="AG122" i="8" s="1"/>
  <c r="AK122" i="8" s="1"/>
  <c r="AD123" i="8"/>
  <c r="AA123" i="8"/>
  <c r="AC123" i="8" s="1"/>
  <c r="AB123" i="8" s="1"/>
  <c r="AI123" i="8" s="1"/>
  <c r="H62" i="7"/>
  <c r="B62" i="7"/>
  <c r="D62" i="7"/>
  <c r="E62" i="7" s="1"/>
  <c r="C62" i="7"/>
  <c r="B120" i="1"/>
  <c r="H120" i="1"/>
  <c r="C120" i="1"/>
  <c r="D120" i="1"/>
  <c r="E120" i="1" s="1"/>
  <c r="K120" i="1" s="1"/>
  <c r="J120" i="1"/>
  <c r="I120" i="1"/>
  <c r="K62" i="8"/>
  <c r="L62" i="8" s="1"/>
  <c r="V225" i="8" l="1"/>
  <c r="Z288" i="1"/>
  <c r="Y290" i="1"/>
  <c r="Y291" i="1" s="1"/>
  <c r="Z289" i="1"/>
  <c r="U227" i="8"/>
  <c r="U228" i="8" s="1"/>
  <c r="V226" i="8"/>
  <c r="AG123" i="8"/>
  <c r="AK123" i="8" s="1"/>
  <c r="AA124" i="8"/>
  <c r="AC124" i="8" s="1"/>
  <c r="AB124" i="8" s="1"/>
  <c r="AI124" i="8" s="1"/>
  <c r="AD124" i="8"/>
  <c r="Z124" i="8"/>
  <c r="I62" i="7"/>
  <c r="G62" i="7"/>
  <c r="AG63" i="7"/>
  <c r="AF63" i="7" s="1"/>
  <c r="AC63" i="7" s="1"/>
  <c r="G120" i="1"/>
  <c r="D63" i="8"/>
  <c r="F63" i="8" s="1"/>
  <c r="G63" i="8"/>
  <c r="H63" i="8"/>
  <c r="C63" i="8"/>
  <c r="I63" i="8"/>
  <c r="O62" i="8"/>
  <c r="V227" i="8" l="1"/>
  <c r="Z290" i="1"/>
  <c r="Y292" i="1"/>
  <c r="Y293" i="1" s="1"/>
  <c r="Z291" i="1"/>
  <c r="U229" i="8"/>
  <c r="U230" i="8" s="1"/>
  <c r="V228" i="8"/>
  <c r="AG124" i="8"/>
  <c r="AK124" i="8" s="1"/>
  <c r="AA125" i="8"/>
  <c r="AC125" i="8" s="1"/>
  <c r="AB125" i="8" s="1"/>
  <c r="AI125" i="8" s="1"/>
  <c r="Z125" i="8"/>
  <c r="AD125" i="8"/>
  <c r="AG125" i="8" s="1"/>
  <c r="AK125" i="8" s="1"/>
  <c r="F62" i="7"/>
  <c r="K62" i="7" s="1"/>
  <c r="AE63" i="7" s="1"/>
  <c r="J62" i="7"/>
  <c r="J63" i="8"/>
  <c r="E63" i="8"/>
  <c r="L120" i="1"/>
  <c r="M120" i="1" s="1"/>
  <c r="F120" i="1"/>
  <c r="V229" i="8" l="1"/>
  <c r="Z292" i="1"/>
  <c r="Y294" i="1"/>
  <c r="Y295" i="1" s="1"/>
  <c r="Z293" i="1"/>
  <c r="U231" i="8"/>
  <c r="U232" i="8" s="1"/>
  <c r="V230" i="8"/>
  <c r="AD126" i="8"/>
  <c r="AA126" i="8"/>
  <c r="AC126" i="8" s="1"/>
  <c r="AB126" i="8" s="1"/>
  <c r="AI126" i="8" s="1"/>
  <c r="Z126" i="8"/>
  <c r="C63" i="7"/>
  <c r="D63" i="7"/>
  <c r="E63" i="7" s="1"/>
  <c r="B63" i="7"/>
  <c r="H63" i="7"/>
  <c r="N120" i="1"/>
  <c r="K63" i="8"/>
  <c r="L63" i="8" s="1"/>
  <c r="V231" i="8" l="1"/>
  <c r="Z294" i="1"/>
  <c r="U233" i="8"/>
  <c r="U234" i="8" s="1"/>
  <c r="V232" i="8"/>
  <c r="Y296" i="1"/>
  <c r="Y297" i="1" s="1"/>
  <c r="Z295" i="1"/>
  <c r="AG126" i="8"/>
  <c r="AK126" i="8" s="1"/>
  <c r="AD127" i="8"/>
  <c r="Z127" i="8"/>
  <c r="AA127" i="8"/>
  <c r="AC127" i="8" s="1"/>
  <c r="AB127" i="8" s="1"/>
  <c r="AI127" i="8" s="1"/>
  <c r="I63" i="7"/>
  <c r="G63" i="7"/>
  <c r="AD121" i="1"/>
  <c r="B121" i="1"/>
  <c r="J121" i="1"/>
  <c r="D121" i="1"/>
  <c r="E121" i="1" s="1"/>
  <c r="G121" i="1" s="1"/>
  <c r="H121" i="1"/>
  <c r="I121" i="1"/>
  <c r="C121" i="1"/>
  <c r="D64" i="8"/>
  <c r="F64" i="8" s="1"/>
  <c r="H64" i="8"/>
  <c r="I64" i="8"/>
  <c r="G64" i="8"/>
  <c r="C64" i="8"/>
  <c r="O63" i="8"/>
  <c r="Z296" i="1" l="1"/>
  <c r="V233" i="8"/>
  <c r="U235" i="8"/>
  <c r="U236" i="8" s="1"/>
  <c r="V234" i="8"/>
  <c r="Y298" i="1"/>
  <c r="Y299" i="1" s="1"/>
  <c r="Z297" i="1"/>
  <c r="K121" i="1"/>
  <c r="L121" i="1" s="1"/>
  <c r="M121" i="1" s="1"/>
  <c r="AG127" i="8"/>
  <c r="AK127" i="8" s="1"/>
  <c r="AA128" i="8"/>
  <c r="AC128" i="8" s="1"/>
  <c r="AB128" i="8" s="1"/>
  <c r="AI128" i="8" s="1"/>
  <c r="Z128" i="8"/>
  <c r="AD128" i="8"/>
  <c r="J63" i="7"/>
  <c r="F63" i="7"/>
  <c r="K63" i="7" s="1"/>
  <c r="AE64" i="7" s="1"/>
  <c r="J64" i="8"/>
  <c r="K64" i="8" s="1"/>
  <c r="O64" i="8" s="1"/>
  <c r="E64" i="8"/>
  <c r="F121" i="1"/>
  <c r="Z298" i="1" l="1"/>
  <c r="V235" i="8"/>
  <c r="Y300" i="1"/>
  <c r="Y301" i="1" s="1"/>
  <c r="Z299" i="1"/>
  <c r="U237" i="8"/>
  <c r="U238" i="8" s="1"/>
  <c r="V236" i="8"/>
  <c r="AG128" i="8"/>
  <c r="AK128" i="8" s="1"/>
  <c r="AD129" i="8"/>
  <c r="AA129" i="8"/>
  <c r="AC129" i="8" s="1"/>
  <c r="Z129" i="8"/>
  <c r="C64" i="7"/>
  <c r="D64" i="7"/>
  <c r="E64" i="7" s="1"/>
  <c r="H64" i="7"/>
  <c r="B64" i="7"/>
  <c r="L64" i="8"/>
  <c r="N121" i="1"/>
  <c r="AD122" i="1" s="1"/>
  <c r="V237" i="8" l="1"/>
  <c r="Z300" i="1"/>
  <c r="Y302" i="1"/>
  <c r="Y303" i="1" s="1"/>
  <c r="Z301" i="1"/>
  <c r="U239" i="8"/>
  <c r="U240" i="8" s="1"/>
  <c r="V238" i="8"/>
  <c r="AG129" i="8"/>
  <c r="AK129" i="8" s="1"/>
  <c r="AB129" i="8"/>
  <c r="AI129" i="8" s="1"/>
  <c r="I64" i="7"/>
  <c r="G64" i="7"/>
  <c r="Z302" i="1"/>
  <c r="C122" i="1"/>
  <c r="B122" i="1"/>
  <c r="D122" i="1"/>
  <c r="E122" i="1" s="1"/>
  <c r="H122" i="1"/>
  <c r="I122" i="1"/>
  <c r="K122" i="1"/>
  <c r="J122" i="1"/>
  <c r="G65" i="8"/>
  <c r="H65" i="8"/>
  <c r="C65" i="8"/>
  <c r="D65" i="8"/>
  <c r="I65" i="8"/>
  <c r="V239" i="8" l="1"/>
  <c r="U241" i="8"/>
  <c r="U242" i="8" s="1"/>
  <c r="V240" i="8"/>
  <c r="Y304" i="1"/>
  <c r="Y305" i="1" s="1"/>
  <c r="Z303" i="1"/>
  <c r="AD130" i="8"/>
  <c r="Z130" i="8"/>
  <c r="AA130" i="8"/>
  <c r="AC130" i="8" s="1"/>
  <c r="AB130" i="8" s="1"/>
  <c r="AI130" i="8" s="1"/>
  <c r="F64" i="7"/>
  <c r="K64" i="7" s="1"/>
  <c r="AE65" i="7" s="1"/>
  <c r="J64" i="7"/>
  <c r="G122" i="1"/>
  <c r="F65" i="8"/>
  <c r="V241" i="8" l="1"/>
  <c r="Z304" i="1"/>
  <c r="Y306" i="1"/>
  <c r="Y307" i="1" s="1"/>
  <c r="Z305" i="1"/>
  <c r="U243" i="8"/>
  <c r="U244" i="8" s="1"/>
  <c r="V242" i="8"/>
  <c r="AG130" i="8"/>
  <c r="AK130" i="8" s="1"/>
  <c r="AD131" i="8"/>
  <c r="Z131" i="8"/>
  <c r="AA131" i="8"/>
  <c r="AC131" i="8" s="1"/>
  <c r="AB131" i="8" s="1"/>
  <c r="AI131" i="8" s="1"/>
  <c r="B65" i="7"/>
  <c r="H65" i="7"/>
  <c r="D65" i="7"/>
  <c r="E65" i="7" s="1"/>
  <c r="G65" i="7" s="1"/>
  <c r="F65" i="7" s="1"/>
  <c r="K65" i="7" s="1"/>
  <c r="C65" i="7"/>
  <c r="L122" i="1"/>
  <c r="M122" i="1" s="1"/>
  <c r="F122" i="1"/>
  <c r="J65" i="8"/>
  <c r="E65" i="8"/>
  <c r="V243" i="8" l="1"/>
  <c r="Z306" i="1"/>
  <c r="Y308" i="1"/>
  <c r="Y309" i="1" s="1"/>
  <c r="Z307" i="1"/>
  <c r="U245" i="8"/>
  <c r="U246" i="8" s="1"/>
  <c r="V244" i="8"/>
  <c r="AE66" i="7"/>
  <c r="AG131" i="8"/>
  <c r="AK131" i="8" s="1"/>
  <c r="Z132" i="8"/>
  <c r="AD132" i="8"/>
  <c r="AA132" i="8"/>
  <c r="AC132" i="8" s="1"/>
  <c r="AB132" i="8" s="1"/>
  <c r="AI132" i="8" s="1"/>
  <c r="I65" i="7"/>
  <c r="J65" i="7" s="1"/>
  <c r="B66" i="7"/>
  <c r="D66" i="7"/>
  <c r="E66" i="7" s="1"/>
  <c r="I66" i="7" s="1"/>
  <c r="H66" i="7"/>
  <c r="C66" i="7"/>
  <c r="K65" i="8"/>
  <c r="L65" i="8" s="1"/>
  <c r="N122" i="1"/>
  <c r="AD123" i="1" s="1"/>
  <c r="Z308" i="1" l="1"/>
  <c r="V245" i="8"/>
  <c r="U247" i="8"/>
  <c r="U248" i="8" s="1"/>
  <c r="V246" i="8"/>
  <c r="Y310" i="1"/>
  <c r="Y311" i="1" s="1"/>
  <c r="Z309" i="1"/>
  <c r="AG132" i="8"/>
  <c r="AK132" i="8" s="1"/>
  <c r="G66" i="7"/>
  <c r="J66" i="7" s="1"/>
  <c r="AD133" i="8"/>
  <c r="AA133" i="8"/>
  <c r="AC133" i="8" s="1"/>
  <c r="AB133" i="8" s="1"/>
  <c r="AI133" i="8" s="1"/>
  <c r="Z133" i="8"/>
  <c r="C66" i="8"/>
  <c r="G66" i="8"/>
  <c r="D66" i="8"/>
  <c r="I66" i="8"/>
  <c r="H66" i="8"/>
  <c r="H123" i="1"/>
  <c r="B123" i="1"/>
  <c r="I123" i="1"/>
  <c r="D123" i="1"/>
  <c r="E123" i="1" s="1"/>
  <c r="K123" i="1" s="1"/>
  <c r="J123" i="1"/>
  <c r="C123" i="1"/>
  <c r="O65" i="8"/>
  <c r="Z310" i="1" l="1"/>
  <c r="V247" i="8"/>
  <c r="F66" i="7"/>
  <c r="K66" i="7" s="1"/>
  <c r="AE67" i="7" s="1"/>
  <c r="U249" i="8"/>
  <c r="U250" i="8" s="1"/>
  <c r="V248" i="8"/>
  <c r="Y312" i="1"/>
  <c r="Y313" i="1" s="1"/>
  <c r="Z311" i="1"/>
  <c r="AA134" i="8"/>
  <c r="AC134" i="8" s="1"/>
  <c r="AB134" i="8" s="1"/>
  <c r="AI134" i="8" s="1"/>
  <c r="AD134" i="8"/>
  <c r="Z134" i="8"/>
  <c r="AG133" i="8"/>
  <c r="AK133" i="8" s="1"/>
  <c r="G123" i="1"/>
  <c r="F66" i="8"/>
  <c r="V249" i="8" l="1"/>
  <c r="Z312" i="1"/>
  <c r="H67" i="7"/>
  <c r="B67" i="7"/>
  <c r="C67" i="7"/>
  <c r="D67" i="7"/>
  <c r="E67" i="7" s="1"/>
  <c r="G67" i="7" s="1"/>
  <c r="F67" i="7" s="1"/>
  <c r="K67" i="7" s="1"/>
  <c r="B68" i="7" s="1"/>
  <c r="Y314" i="1"/>
  <c r="Y315" i="1" s="1"/>
  <c r="Z313" i="1"/>
  <c r="U251" i="8"/>
  <c r="U252" i="8" s="1"/>
  <c r="V250" i="8"/>
  <c r="Z135" i="8"/>
  <c r="AG134" i="8"/>
  <c r="AK134" i="8" s="1"/>
  <c r="AE68" i="7"/>
  <c r="AD135" i="8"/>
  <c r="AA135" i="8"/>
  <c r="AC135" i="8" s="1"/>
  <c r="AB135" i="8" s="1"/>
  <c r="AI135" i="8" s="1"/>
  <c r="I67" i="7"/>
  <c r="L123" i="1"/>
  <c r="M123" i="1" s="1"/>
  <c r="F123" i="1"/>
  <c r="E66" i="8"/>
  <c r="J66" i="8"/>
  <c r="V251" i="8" l="1"/>
  <c r="Z314" i="1"/>
  <c r="C68" i="7"/>
  <c r="H68" i="7"/>
  <c r="J67" i="7"/>
  <c r="D68" i="7"/>
  <c r="E68" i="7" s="1"/>
  <c r="I68" i="7" s="1"/>
  <c r="U253" i="8"/>
  <c r="U254" i="8" s="1"/>
  <c r="V252" i="8"/>
  <c r="Y316" i="1"/>
  <c r="Y317" i="1" s="1"/>
  <c r="Z315" i="1"/>
  <c r="AG135" i="8"/>
  <c r="AK135" i="8" s="1"/>
  <c r="AD136" i="8"/>
  <c r="AA136" i="8"/>
  <c r="AC136" i="8" s="1"/>
  <c r="AB136" i="8" s="1"/>
  <c r="AI136" i="8" s="1"/>
  <c r="Z136" i="8"/>
  <c r="G68" i="7"/>
  <c r="N123" i="1"/>
  <c r="K66" i="8"/>
  <c r="O66" i="8" s="1"/>
  <c r="V253" i="8" l="1"/>
  <c r="Z316" i="1"/>
  <c r="Y318" i="1"/>
  <c r="Y319" i="1" s="1"/>
  <c r="Z317" i="1"/>
  <c r="U255" i="8"/>
  <c r="U256" i="8" s="1"/>
  <c r="V254" i="8"/>
  <c r="AA137" i="8"/>
  <c r="AC137" i="8" s="1"/>
  <c r="AB137" i="8" s="1"/>
  <c r="AI137" i="8" s="1"/>
  <c r="AD137" i="8"/>
  <c r="Z137" i="8"/>
  <c r="AG136" i="8"/>
  <c r="AK136" i="8" s="1"/>
  <c r="J68" i="7"/>
  <c r="F68" i="7"/>
  <c r="K68" i="7" s="1"/>
  <c r="AE69" i="7" s="1"/>
  <c r="B124" i="1"/>
  <c r="AD124" i="1"/>
  <c r="C124" i="1"/>
  <c r="I124" i="1"/>
  <c r="D124" i="1"/>
  <c r="E124" i="1" s="1"/>
  <c r="G124" i="1" s="1"/>
  <c r="H124" i="1"/>
  <c r="J124" i="1"/>
  <c r="L66" i="8"/>
  <c r="C67" i="8" s="1"/>
  <c r="Z318" i="1" l="1"/>
  <c r="V255" i="8"/>
  <c r="U257" i="8"/>
  <c r="U258" i="8" s="1"/>
  <c r="V256" i="8"/>
  <c r="Y320" i="1"/>
  <c r="Y321" i="1" s="1"/>
  <c r="Z319" i="1"/>
  <c r="K124" i="1"/>
  <c r="L124" i="1" s="1"/>
  <c r="M124" i="1" s="1"/>
  <c r="AG137" i="8"/>
  <c r="AK137" i="8" s="1"/>
  <c r="AA138" i="8"/>
  <c r="AC138" i="8" s="1"/>
  <c r="AB138" i="8" s="1"/>
  <c r="AI138" i="8" s="1"/>
  <c r="Z138" i="8"/>
  <c r="AD138" i="8"/>
  <c r="H69" i="7"/>
  <c r="C69" i="7"/>
  <c r="B69" i="7"/>
  <c r="D69" i="7"/>
  <c r="E69" i="7" s="1"/>
  <c r="G69" i="7" s="1"/>
  <c r="I67" i="8"/>
  <c r="D67" i="8"/>
  <c r="F67" i="8" s="1"/>
  <c r="G67" i="8"/>
  <c r="H67" i="8"/>
  <c r="F124" i="1"/>
  <c r="V257" i="8" l="1"/>
  <c r="Z320" i="1"/>
  <c r="U259" i="8"/>
  <c r="U260" i="8" s="1"/>
  <c r="V258" i="8"/>
  <c r="Y322" i="1"/>
  <c r="Y323" i="1" s="1"/>
  <c r="Z321" i="1"/>
  <c r="AG138" i="8"/>
  <c r="AK138" i="8" s="1"/>
  <c r="AD139" i="8"/>
  <c r="Z139" i="8"/>
  <c r="AA139" i="8"/>
  <c r="AC139" i="8" s="1"/>
  <c r="F69" i="7"/>
  <c r="K69" i="7" s="1"/>
  <c r="AE70" i="7" s="1"/>
  <c r="I69" i="7"/>
  <c r="J69" i="7" s="1"/>
  <c r="J67" i="8"/>
  <c r="E67" i="8"/>
  <c r="N124" i="1"/>
  <c r="AD125" i="1" s="1"/>
  <c r="Z322" i="1" l="1"/>
  <c r="V259" i="8"/>
  <c r="Y324" i="1"/>
  <c r="Y325" i="1" s="1"/>
  <c r="Z323" i="1"/>
  <c r="U261" i="8"/>
  <c r="U262" i="8" s="1"/>
  <c r="V260" i="8"/>
  <c r="AG139" i="8"/>
  <c r="AK139" i="8" s="1"/>
  <c r="AB139" i="8"/>
  <c r="AI139" i="8" s="1"/>
  <c r="Z140" i="8" s="1"/>
  <c r="D70" i="7"/>
  <c r="E70" i="7" s="1"/>
  <c r="G70" i="7" s="1"/>
  <c r="F70" i="7" s="1"/>
  <c r="K70" i="7" s="1"/>
  <c r="B70" i="7"/>
  <c r="C70" i="7"/>
  <c r="H70" i="7"/>
  <c r="D125" i="1"/>
  <c r="E125" i="1" s="1"/>
  <c r="K125" i="1" s="1"/>
  <c r="C125" i="1"/>
  <c r="H125" i="1"/>
  <c r="J125" i="1"/>
  <c r="B125" i="1"/>
  <c r="I125" i="1"/>
  <c r="K67" i="8"/>
  <c r="L67" i="8" s="1"/>
  <c r="Z324" i="1" l="1"/>
  <c r="V261" i="8"/>
  <c r="U263" i="8"/>
  <c r="U264" i="8" s="1"/>
  <c r="V262" i="8"/>
  <c r="Y326" i="1"/>
  <c r="Y327" i="1" s="1"/>
  <c r="Z325" i="1"/>
  <c r="AD140" i="8"/>
  <c r="AA140" i="8"/>
  <c r="AC140" i="8" s="1"/>
  <c r="AB140" i="8" s="1"/>
  <c r="AI140" i="8" s="1"/>
  <c r="Z141" i="8" s="1"/>
  <c r="AE71" i="7"/>
  <c r="I70" i="7"/>
  <c r="J70" i="7" s="1"/>
  <c r="D71" i="7"/>
  <c r="E71" i="7" s="1"/>
  <c r="I71" i="7" s="1"/>
  <c r="H71" i="7"/>
  <c r="B71" i="7"/>
  <c r="C71" i="7"/>
  <c r="G68" i="8"/>
  <c r="I68" i="8"/>
  <c r="H68" i="8"/>
  <c r="D68" i="8"/>
  <c r="F68" i="8" s="1"/>
  <c r="C68" i="8"/>
  <c r="G125" i="1"/>
  <c r="O67" i="8"/>
  <c r="Z326" i="1" l="1"/>
  <c r="V263" i="8"/>
  <c r="V264" i="8"/>
  <c r="U265" i="8"/>
  <c r="Z327" i="1"/>
  <c r="Y328" i="1"/>
  <c r="AD141" i="8"/>
  <c r="AA141" i="8"/>
  <c r="AC141" i="8" s="1"/>
  <c r="AB141" i="8" s="1"/>
  <c r="AI141" i="8" s="1"/>
  <c r="Z142" i="8" s="1"/>
  <c r="AG140" i="8"/>
  <c r="AK140" i="8" s="1"/>
  <c r="G71" i="7"/>
  <c r="J71" i="7" s="1"/>
  <c r="J68" i="8"/>
  <c r="K68" i="8" s="1"/>
  <c r="E68" i="8"/>
  <c r="L125" i="1"/>
  <c r="M125" i="1" s="1"/>
  <c r="F125" i="1"/>
  <c r="Y329" i="1" l="1"/>
  <c r="Y330" i="1" s="1"/>
  <c r="Z328" i="1"/>
  <c r="U266" i="8"/>
  <c r="U267" i="8" s="1"/>
  <c r="V265" i="8"/>
  <c r="V266" i="8"/>
  <c r="Z329" i="1"/>
  <c r="AG141" i="8"/>
  <c r="AK141" i="8" s="1"/>
  <c r="AD142" i="8"/>
  <c r="AA142" i="8"/>
  <c r="AC142" i="8" s="1"/>
  <c r="AB142" i="8" s="1"/>
  <c r="AI142" i="8" s="1"/>
  <c r="AA143" i="8" s="1"/>
  <c r="AC143" i="8" s="1"/>
  <c r="AB143" i="8" s="1"/>
  <c r="AI143" i="8" s="1"/>
  <c r="F71" i="7"/>
  <c r="K71" i="7" s="1"/>
  <c r="D72" i="7" s="1"/>
  <c r="E72" i="7" s="1"/>
  <c r="G72" i="7" s="1"/>
  <c r="F72" i="7" s="1"/>
  <c r="K72" i="7" s="1"/>
  <c r="N125" i="1"/>
  <c r="AD126" i="1" s="1"/>
  <c r="L68" i="8"/>
  <c r="O68" i="8"/>
  <c r="Y331" i="1" l="1"/>
  <c r="Y332" i="1" s="1"/>
  <c r="Z330" i="1"/>
  <c r="U268" i="8"/>
  <c r="U269" i="8" s="1"/>
  <c r="V267" i="8"/>
  <c r="V268" i="8"/>
  <c r="Z331" i="1"/>
  <c r="Z143" i="8"/>
  <c r="AG142" i="8"/>
  <c r="AK142" i="8" s="1"/>
  <c r="AD143" i="8"/>
  <c r="AG143" i="8" s="1"/>
  <c r="AK143" i="8" s="1"/>
  <c r="C72" i="7"/>
  <c r="C73" i="7" s="1"/>
  <c r="H72" i="7"/>
  <c r="B72" i="7"/>
  <c r="AE73" i="7" s="1"/>
  <c r="AE72" i="7"/>
  <c r="Z144" i="8"/>
  <c r="AD144" i="8"/>
  <c r="AA144" i="8"/>
  <c r="AC144" i="8" s="1"/>
  <c r="AB144" i="8" s="1"/>
  <c r="AI144" i="8" s="1"/>
  <c r="I72" i="7"/>
  <c r="D73" i="7"/>
  <c r="E73" i="7" s="1"/>
  <c r="I73" i="7" s="1"/>
  <c r="H73" i="7"/>
  <c r="C69" i="8"/>
  <c r="D69" i="8"/>
  <c r="F69" i="8" s="1"/>
  <c r="G69" i="8"/>
  <c r="I69" i="8"/>
  <c r="H69" i="8"/>
  <c r="H126" i="1"/>
  <c r="C126" i="1"/>
  <c r="B126" i="1"/>
  <c r="I126" i="1"/>
  <c r="J126" i="1"/>
  <c r="D126" i="1"/>
  <c r="E126" i="1" s="1"/>
  <c r="K126" i="1" s="1"/>
  <c r="Y333" i="1" l="1"/>
  <c r="Y334" i="1" s="1"/>
  <c r="Z332" i="1"/>
  <c r="U270" i="8"/>
  <c r="U271" i="8" s="1"/>
  <c r="V269" i="8"/>
  <c r="V270" i="8"/>
  <c r="Z333" i="1"/>
  <c r="B73" i="7"/>
  <c r="J72" i="7"/>
  <c r="AG144" i="8"/>
  <c r="AK144" i="8" s="1"/>
  <c r="AD145" i="8"/>
  <c r="AA145" i="8"/>
  <c r="AC145" i="8" s="1"/>
  <c r="Z145" i="8"/>
  <c r="G73" i="7"/>
  <c r="G126" i="1"/>
  <c r="E69" i="8"/>
  <c r="J69" i="8"/>
  <c r="Y335" i="1" l="1"/>
  <c r="Y336" i="1" s="1"/>
  <c r="Z334" i="1"/>
  <c r="U272" i="8"/>
  <c r="U273" i="8" s="1"/>
  <c r="V271" i="8"/>
  <c r="V272" i="8"/>
  <c r="Z335" i="1"/>
  <c r="AG145" i="8"/>
  <c r="AK145" i="8" s="1"/>
  <c r="AB145" i="8"/>
  <c r="AI145" i="8" s="1"/>
  <c r="J73" i="7"/>
  <c r="F73" i="7"/>
  <c r="K73" i="7" s="1"/>
  <c r="AE74" i="7" s="1"/>
  <c r="K69" i="8"/>
  <c r="L69" i="8" s="1"/>
  <c r="L126" i="1"/>
  <c r="M126" i="1" s="1"/>
  <c r="F126" i="1"/>
  <c r="Y337" i="1" l="1"/>
  <c r="Y338" i="1" s="1"/>
  <c r="Z336" i="1"/>
  <c r="U274" i="8"/>
  <c r="U275" i="8" s="1"/>
  <c r="V273" i="8"/>
  <c r="V274" i="8"/>
  <c r="Z337" i="1"/>
  <c r="AD146" i="8"/>
  <c r="AA146" i="8"/>
  <c r="AC146" i="8" s="1"/>
  <c r="AB146" i="8" s="1"/>
  <c r="AI146" i="8" s="1"/>
  <c r="Z146" i="8"/>
  <c r="H74" i="7"/>
  <c r="C74" i="7"/>
  <c r="B74" i="7"/>
  <c r="D74" i="7"/>
  <c r="E74" i="7" s="1"/>
  <c r="G74" i="7" s="1"/>
  <c r="D70" i="8"/>
  <c r="H70" i="8"/>
  <c r="C70" i="8"/>
  <c r="I70" i="8"/>
  <c r="G70" i="8"/>
  <c r="N126" i="1"/>
  <c r="AD127" i="1" s="1"/>
  <c r="O69" i="8"/>
  <c r="U276" i="8" l="1"/>
  <c r="U277" i="8" s="1"/>
  <c r="V275" i="8"/>
  <c r="Y339" i="1"/>
  <c r="Y340" i="1" s="1"/>
  <c r="Z338" i="1"/>
  <c r="V276" i="8"/>
  <c r="Z339" i="1"/>
  <c r="AD147" i="8"/>
  <c r="Z147" i="8"/>
  <c r="AA147" i="8"/>
  <c r="AC147" i="8" s="1"/>
  <c r="AB147" i="8" s="1"/>
  <c r="AI147" i="8" s="1"/>
  <c r="AG146" i="8"/>
  <c r="AK146" i="8" s="1"/>
  <c r="I74" i="7"/>
  <c r="J74" i="7" s="1"/>
  <c r="F74" i="7"/>
  <c r="K74" i="7" s="1"/>
  <c r="AE75" i="7" s="1"/>
  <c r="C127" i="1"/>
  <c r="I127" i="1"/>
  <c r="B127" i="1"/>
  <c r="D127" i="1"/>
  <c r="E127" i="1" s="1"/>
  <c r="K127" i="1" s="1"/>
  <c r="J127" i="1"/>
  <c r="H127" i="1"/>
  <c r="F70" i="8"/>
  <c r="U278" i="8" l="1"/>
  <c r="U279" i="8" s="1"/>
  <c r="V277" i="8"/>
  <c r="Y341" i="1"/>
  <c r="Y342" i="1" s="1"/>
  <c r="Z340" i="1"/>
  <c r="V278" i="8"/>
  <c r="Z341" i="1"/>
  <c r="AD148" i="8"/>
  <c r="Z148" i="8"/>
  <c r="AA148" i="8"/>
  <c r="AC148" i="8" s="1"/>
  <c r="AB148" i="8" s="1"/>
  <c r="AI148" i="8" s="1"/>
  <c r="AG147" i="8"/>
  <c r="AK147" i="8" s="1"/>
  <c r="B75" i="7"/>
  <c r="C75" i="7"/>
  <c r="D75" i="7"/>
  <c r="E75" i="7" s="1"/>
  <c r="H75" i="7"/>
  <c r="G127" i="1"/>
  <c r="J70" i="8"/>
  <c r="E70" i="8"/>
  <c r="Y343" i="1" l="1"/>
  <c r="Y344" i="1" s="1"/>
  <c r="Z342" i="1"/>
  <c r="U280" i="8"/>
  <c r="U281" i="8" s="1"/>
  <c r="V279" i="8"/>
  <c r="V280" i="8"/>
  <c r="Z343" i="1"/>
  <c r="AG148" i="8"/>
  <c r="AK148" i="8" s="1"/>
  <c r="AA149" i="8"/>
  <c r="AC149" i="8" s="1"/>
  <c r="AB149" i="8" s="1"/>
  <c r="AI149" i="8" s="1"/>
  <c r="AD149" i="8"/>
  <c r="Z149" i="8"/>
  <c r="I75" i="7"/>
  <c r="G75" i="7"/>
  <c r="L127" i="1"/>
  <c r="M127" i="1" s="1"/>
  <c r="F127" i="1"/>
  <c r="K70" i="8"/>
  <c r="L70" i="8" s="1"/>
  <c r="Y345" i="1" l="1"/>
  <c r="Y346" i="1" s="1"/>
  <c r="Z344" i="1"/>
  <c r="U282" i="8"/>
  <c r="U283" i="8" s="1"/>
  <c r="V281" i="8"/>
  <c r="V282" i="8"/>
  <c r="Z345" i="1"/>
  <c r="AG149" i="8"/>
  <c r="AK149" i="8" s="1"/>
  <c r="AD150" i="8"/>
  <c r="Z150" i="8"/>
  <c r="AA150" i="8"/>
  <c r="AC150" i="8" s="1"/>
  <c r="AB150" i="8" s="1"/>
  <c r="AI150" i="8" s="1"/>
  <c r="J75" i="7"/>
  <c r="F75" i="7"/>
  <c r="K75" i="7" s="1"/>
  <c r="AE76" i="7" s="1"/>
  <c r="D71" i="8"/>
  <c r="F71" i="8" s="1"/>
  <c r="E71" i="8" s="1"/>
  <c r="I71" i="8"/>
  <c r="C71" i="8"/>
  <c r="G71" i="8"/>
  <c r="H71" i="8"/>
  <c r="O70" i="8"/>
  <c r="N127" i="1"/>
  <c r="AD128" i="1" s="1"/>
  <c r="Y347" i="1" l="1"/>
  <c r="Y348" i="1" s="1"/>
  <c r="Z346" i="1"/>
  <c r="U284" i="8"/>
  <c r="U285" i="8" s="1"/>
  <c r="V283" i="8"/>
  <c r="V284" i="8"/>
  <c r="Z347" i="1"/>
  <c r="AA151" i="8"/>
  <c r="AC151" i="8" s="1"/>
  <c r="AB151" i="8" s="1"/>
  <c r="AI151" i="8" s="1"/>
  <c r="AD151" i="8"/>
  <c r="Z151" i="8"/>
  <c r="AG150" i="8"/>
  <c r="AK150" i="8" s="1"/>
  <c r="H76" i="7"/>
  <c r="D76" i="7"/>
  <c r="E76" i="7" s="1"/>
  <c r="G76" i="7" s="1"/>
  <c r="F76" i="7" s="1"/>
  <c r="K76" i="7" s="1"/>
  <c r="C76" i="7"/>
  <c r="B76" i="7"/>
  <c r="J128" i="1"/>
  <c r="D128" i="1"/>
  <c r="E128" i="1" s="1"/>
  <c r="K128" i="1" s="1"/>
  <c r="C128" i="1"/>
  <c r="B128" i="1"/>
  <c r="H128" i="1"/>
  <c r="I128" i="1"/>
  <c r="J71" i="8"/>
  <c r="Y349" i="1" l="1"/>
  <c r="Y350" i="1" s="1"/>
  <c r="Z348" i="1"/>
  <c r="U286" i="8"/>
  <c r="U287" i="8" s="1"/>
  <c r="V285" i="8"/>
  <c r="V286" i="8"/>
  <c r="Z349" i="1"/>
  <c r="AG151" i="8"/>
  <c r="AK151" i="8" s="1"/>
  <c r="AE77" i="7"/>
  <c r="AD152" i="8"/>
  <c r="AA152" i="8"/>
  <c r="AC152" i="8" s="1"/>
  <c r="AB152" i="8" s="1"/>
  <c r="AI152" i="8" s="1"/>
  <c r="Z152" i="8"/>
  <c r="I76" i="7"/>
  <c r="J76" i="7" s="1"/>
  <c r="C77" i="7"/>
  <c r="B77" i="7"/>
  <c r="D77" i="7"/>
  <c r="E77" i="7" s="1"/>
  <c r="G77" i="7" s="1"/>
  <c r="F77" i="7" s="1"/>
  <c r="K77" i="7" s="1"/>
  <c r="H77" i="7"/>
  <c r="G128" i="1"/>
  <c r="K71" i="8"/>
  <c r="L71" i="8" s="1"/>
  <c r="U288" i="8" l="1"/>
  <c r="U289" i="8" s="1"/>
  <c r="V287" i="8"/>
  <c r="Y351" i="1"/>
  <c r="Y352" i="1" s="1"/>
  <c r="Z350" i="1"/>
  <c r="V288" i="8"/>
  <c r="Z351" i="1"/>
  <c r="AE78" i="7"/>
  <c r="AG152" i="8"/>
  <c r="AK152" i="8" s="1"/>
  <c r="AA153" i="8"/>
  <c r="AC153" i="8" s="1"/>
  <c r="AB153" i="8" s="1"/>
  <c r="AI153" i="8" s="1"/>
  <c r="AD153" i="8"/>
  <c r="Z153" i="8"/>
  <c r="I77" i="7"/>
  <c r="J77" i="7" s="1"/>
  <c r="B78" i="7"/>
  <c r="D78" i="7"/>
  <c r="E78" i="7" s="1"/>
  <c r="G78" i="7" s="1"/>
  <c r="F78" i="7" s="1"/>
  <c r="K78" i="7" s="1"/>
  <c r="H79" i="7" s="1"/>
  <c r="H78" i="7"/>
  <c r="C78" i="7"/>
  <c r="D72" i="8"/>
  <c r="F72" i="8" s="1"/>
  <c r="G72" i="8"/>
  <c r="I72" i="8"/>
  <c r="H72" i="8"/>
  <c r="C72" i="8"/>
  <c r="O71" i="8"/>
  <c r="L128" i="1"/>
  <c r="M128" i="1" s="1"/>
  <c r="F128" i="1"/>
  <c r="Y353" i="1" l="1"/>
  <c r="Y354" i="1" s="1"/>
  <c r="Z352" i="1"/>
  <c r="U290" i="8"/>
  <c r="U291" i="8" s="1"/>
  <c r="V289" i="8"/>
  <c r="V290" i="8"/>
  <c r="Z353" i="1"/>
  <c r="AG153" i="8"/>
  <c r="AK153" i="8" s="1"/>
  <c r="AE79" i="7"/>
  <c r="I78" i="7"/>
  <c r="J78" i="7" s="1"/>
  <c r="Z154" i="8"/>
  <c r="AD154" i="8"/>
  <c r="AA154" i="8"/>
  <c r="AC154" i="8" s="1"/>
  <c r="AB154" i="8" s="1"/>
  <c r="AI154" i="8" s="1"/>
  <c r="D79" i="7"/>
  <c r="E79" i="7" s="1"/>
  <c r="I79" i="7" s="1"/>
  <c r="B79" i="7"/>
  <c r="C79" i="7"/>
  <c r="J72" i="8"/>
  <c r="K72" i="8" s="1"/>
  <c r="E72" i="8"/>
  <c r="N128" i="1"/>
  <c r="AD129" i="1" s="1"/>
  <c r="U292" i="8" l="1"/>
  <c r="U293" i="8" s="1"/>
  <c r="V291" i="8"/>
  <c r="Y355" i="1"/>
  <c r="Y356" i="1" s="1"/>
  <c r="Z354" i="1"/>
  <c r="V292" i="8"/>
  <c r="Z355" i="1"/>
  <c r="G79" i="7"/>
  <c r="F79" i="7" s="1"/>
  <c r="K79" i="7" s="1"/>
  <c r="D80" i="7" s="1"/>
  <c r="AG154" i="8"/>
  <c r="AK154" i="8" s="1"/>
  <c r="AA155" i="8"/>
  <c r="AC155" i="8" s="1"/>
  <c r="AB155" i="8" s="1"/>
  <c r="AI155" i="8" s="1"/>
  <c r="AD155" i="8"/>
  <c r="Z155" i="8"/>
  <c r="H129" i="1"/>
  <c r="I129" i="1"/>
  <c r="J129" i="1"/>
  <c r="C129" i="1"/>
  <c r="D129" i="1"/>
  <c r="E129" i="1" s="1"/>
  <c r="K129" i="1" s="1"/>
  <c r="B129" i="1"/>
  <c r="L72" i="8"/>
  <c r="O72" i="8"/>
  <c r="Y357" i="1" l="1"/>
  <c r="Y358" i="1" s="1"/>
  <c r="Z356" i="1"/>
  <c r="U294" i="8"/>
  <c r="U295" i="8" s="1"/>
  <c r="V293" i="8"/>
  <c r="V294" i="8"/>
  <c r="Z357" i="1"/>
  <c r="J79" i="7"/>
  <c r="B80" i="7"/>
  <c r="E80" i="7"/>
  <c r="G80" i="7" s="1"/>
  <c r="F80" i="7" s="1"/>
  <c r="K80" i="7" s="1"/>
  <c r="D81" i="7" s="1"/>
  <c r="E81" i="7" s="1"/>
  <c r="H80" i="7"/>
  <c r="AG155" i="8"/>
  <c r="AK155" i="8" s="1"/>
  <c r="C80" i="7"/>
  <c r="AE80" i="7"/>
  <c r="Z156" i="8"/>
  <c r="AD156" i="8"/>
  <c r="AA156" i="8"/>
  <c r="AC156" i="8" s="1"/>
  <c r="AB156" i="8" s="1"/>
  <c r="AI156" i="8" s="1"/>
  <c r="G129" i="1"/>
  <c r="D73" i="8"/>
  <c r="F73" i="8" s="1"/>
  <c r="G73" i="8"/>
  <c r="I73" i="8"/>
  <c r="H73" i="8"/>
  <c r="C73" i="8"/>
  <c r="Y359" i="1" l="1"/>
  <c r="Y360" i="1" s="1"/>
  <c r="Z358" i="1"/>
  <c r="U296" i="8"/>
  <c r="U297" i="8" s="1"/>
  <c r="V295" i="8"/>
  <c r="V296" i="8"/>
  <c r="Z359" i="1"/>
  <c r="I81" i="7"/>
  <c r="I80" i="7"/>
  <c r="J80" i="7" s="1"/>
  <c r="C81" i="7"/>
  <c r="B81" i="7"/>
  <c r="G81" i="7"/>
  <c r="F81" i="7" s="1"/>
  <c r="K81" i="7" s="1"/>
  <c r="B82" i="7" s="1"/>
  <c r="H81" i="7"/>
  <c r="AE81" i="7"/>
  <c r="AG156" i="8"/>
  <c r="AK156" i="8" s="1"/>
  <c r="AA157" i="8"/>
  <c r="AC157" i="8" s="1"/>
  <c r="AB157" i="8" s="1"/>
  <c r="AI157" i="8" s="1"/>
  <c r="Z157" i="8"/>
  <c r="AD157" i="8"/>
  <c r="J73" i="8"/>
  <c r="E73" i="8"/>
  <c r="L129" i="1"/>
  <c r="M129" i="1" s="1"/>
  <c r="F129" i="1"/>
  <c r="Y361" i="1" l="1"/>
  <c r="Y362" i="1" s="1"/>
  <c r="Z360" i="1"/>
  <c r="U298" i="8"/>
  <c r="U299" i="8" s="1"/>
  <c r="V297" i="8"/>
  <c r="V298" i="8"/>
  <c r="Z361" i="1"/>
  <c r="J81" i="7"/>
  <c r="D82" i="7"/>
  <c r="E82" i="7" s="1"/>
  <c r="G82" i="7" s="1"/>
  <c r="F82" i="7" s="1"/>
  <c r="K82" i="7" s="1"/>
  <c r="H83" i="7" s="1"/>
  <c r="AE82" i="7"/>
  <c r="C82" i="7"/>
  <c r="H82" i="7"/>
  <c r="AG157" i="8"/>
  <c r="AK157" i="8" s="1"/>
  <c r="Z158" i="8"/>
  <c r="AA158" i="8"/>
  <c r="AC158" i="8" s="1"/>
  <c r="AB158" i="8" s="1"/>
  <c r="AI158" i="8" s="1"/>
  <c r="AD158" i="8"/>
  <c r="N129" i="1"/>
  <c r="AD130" i="1" s="1"/>
  <c r="K73" i="8"/>
  <c r="O73" i="8" s="1"/>
  <c r="Y363" i="1" l="1"/>
  <c r="Y364" i="1" s="1"/>
  <c r="Z362" i="1"/>
  <c r="U300" i="8"/>
  <c r="U301" i="8" s="1"/>
  <c r="V299" i="8"/>
  <c r="V300" i="8"/>
  <c r="Z363" i="1"/>
  <c r="AE83" i="7"/>
  <c r="B83" i="7"/>
  <c r="I82" i="7"/>
  <c r="J82" i="7" s="1"/>
  <c r="D83" i="7"/>
  <c r="AG83" i="7" s="1"/>
  <c r="AF83" i="7" s="1"/>
  <c r="AC83" i="7" s="1"/>
  <c r="C83" i="7"/>
  <c r="AG158" i="8"/>
  <c r="AK158" i="8" s="1"/>
  <c r="AD159" i="8"/>
  <c r="Z159" i="8"/>
  <c r="AA159" i="8"/>
  <c r="AC159" i="8" s="1"/>
  <c r="AB159" i="8" s="1"/>
  <c r="AI159" i="8" s="1"/>
  <c r="L73" i="8"/>
  <c r="B130" i="1"/>
  <c r="J130" i="1"/>
  <c r="H130" i="1"/>
  <c r="C130" i="1"/>
  <c r="D130" i="1"/>
  <c r="E130" i="1" s="1"/>
  <c r="G130" i="1" s="1"/>
  <c r="I130" i="1"/>
  <c r="U302" i="8" l="1"/>
  <c r="U303" i="8" s="1"/>
  <c r="V301" i="8"/>
  <c r="Y365" i="1"/>
  <c r="Y366" i="1" s="1"/>
  <c r="Z364" i="1"/>
  <c r="V302" i="8"/>
  <c r="Z365" i="1"/>
  <c r="E83" i="7"/>
  <c r="G83" i="7" s="1"/>
  <c r="F83" i="7" s="1"/>
  <c r="K83" i="7" s="1"/>
  <c r="AE84" i="7" s="1"/>
  <c r="K130" i="1"/>
  <c r="L130" i="1" s="1"/>
  <c r="M130" i="1" s="1"/>
  <c r="I83" i="7"/>
  <c r="AD160" i="8"/>
  <c r="Z160" i="8"/>
  <c r="AA160" i="8"/>
  <c r="AC160" i="8" s="1"/>
  <c r="AB160" i="8" s="1"/>
  <c r="AI160" i="8" s="1"/>
  <c r="AG159" i="8"/>
  <c r="AK159" i="8" s="1"/>
  <c r="F130" i="1"/>
  <c r="C74" i="8"/>
  <c r="G74" i="8"/>
  <c r="D74" i="8"/>
  <c r="F74" i="8" s="1"/>
  <c r="I74" i="8"/>
  <c r="H74" i="8"/>
  <c r="Y367" i="1" l="1"/>
  <c r="Y368" i="1" s="1"/>
  <c r="Z366" i="1"/>
  <c r="U304" i="8"/>
  <c r="U305" i="8" s="1"/>
  <c r="V303" i="8"/>
  <c r="V304" i="8"/>
  <c r="Z367" i="1"/>
  <c r="J83" i="7"/>
  <c r="AG160" i="8"/>
  <c r="AK160" i="8" s="1"/>
  <c r="AA161" i="8"/>
  <c r="AC161" i="8" s="1"/>
  <c r="AB161" i="8" s="1"/>
  <c r="AI161" i="8" s="1"/>
  <c r="AD161" i="8"/>
  <c r="Z161" i="8"/>
  <c r="H84" i="7"/>
  <c r="C84" i="7"/>
  <c r="B84" i="7"/>
  <c r="D84" i="7"/>
  <c r="E84" i="7" s="1"/>
  <c r="J74" i="8"/>
  <c r="K74" i="8" s="1"/>
  <c r="E74" i="8"/>
  <c r="N130" i="1"/>
  <c r="AD131" i="1" s="1"/>
  <c r="Y369" i="1" l="1"/>
  <c r="Y370" i="1" s="1"/>
  <c r="Z368" i="1"/>
  <c r="U306" i="8"/>
  <c r="U307" i="8" s="1"/>
  <c r="V305" i="8"/>
  <c r="V306" i="8"/>
  <c r="Z369" i="1"/>
  <c r="AG161" i="8"/>
  <c r="AK161" i="8" s="1"/>
  <c r="Z162" i="8"/>
  <c r="AA162" i="8"/>
  <c r="AC162" i="8" s="1"/>
  <c r="AD162" i="8"/>
  <c r="I84" i="7"/>
  <c r="G84" i="7"/>
  <c r="H131" i="1"/>
  <c r="C131" i="1"/>
  <c r="B131" i="1"/>
  <c r="I131" i="1"/>
  <c r="D131" i="1"/>
  <c r="E131" i="1" s="1"/>
  <c r="K131" i="1" s="1"/>
  <c r="J131" i="1"/>
  <c r="L74" i="8"/>
  <c r="O74" i="8"/>
  <c r="Y371" i="1" l="1"/>
  <c r="Y372" i="1" s="1"/>
  <c r="Z370" i="1"/>
  <c r="U308" i="8"/>
  <c r="U309" i="8" s="1"/>
  <c r="V307" i="8"/>
  <c r="V308" i="8"/>
  <c r="Z371" i="1"/>
  <c r="AG162" i="8"/>
  <c r="AK162" i="8" s="1"/>
  <c r="AB162" i="8"/>
  <c r="AI162" i="8" s="1"/>
  <c r="J84" i="7"/>
  <c r="F84" i="7"/>
  <c r="K84" i="7" s="1"/>
  <c r="AE85" i="7" s="1"/>
  <c r="G131" i="1"/>
  <c r="I75" i="8"/>
  <c r="C75" i="8"/>
  <c r="D75" i="8"/>
  <c r="F75" i="8" s="1"/>
  <c r="G75" i="8"/>
  <c r="H75" i="8"/>
  <c r="Y373" i="1" l="1"/>
  <c r="Y374" i="1" s="1"/>
  <c r="Z372" i="1"/>
  <c r="U310" i="8"/>
  <c r="U311" i="8" s="1"/>
  <c r="V309" i="8"/>
  <c r="V310" i="8"/>
  <c r="Z373" i="1"/>
  <c r="Z163" i="8"/>
  <c r="AA163" i="8"/>
  <c r="AC163" i="8" s="1"/>
  <c r="AD163" i="8"/>
  <c r="B85" i="7"/>
  <c r="C85" i="7"/>
  <c r="D85" i="7"/>
  <c r="E85" i="7" s="1"/>
  <c r="G85" i="7" s="1"/>
  <c r="H85" i="7"/>
  <c r="E75" i="8"/>
  <c r="J75" i="8"/>
  <c r="L131" i="1"/>
  <c r="M131" i="1" s="1"/>
  <c r="F131" i="1"/>
  <c r="K75" i="8"/>
  <c r="Y375" i="1" l="1"/>
  <c r="Y376" i="1" s="1"/>
  <c r="Z374" i="1"/>
  <c r="U312" i="8"/>
  <c r="U313" i="8" s="1"/>
  <c r="V311" i="8"/>
  <c r="V312" i="8"/>
  <c r="Z375" i="1"/>
  <c r="AG163" i="8"/>
  <c r="AK163" i="8" s="1"/>
  <c r="AB163" i="8"/>
  <c r="AI163" i="8" s="1"/>
  <c r="I85" i="7"/>
  <c r="J85" i="7" s="1"/>
  <c r="F85" i="7"/>
  <c r="K85" i="7" s="1"/>
  <c r="AE86" i="7" s="1"/>
  <c r="N131" i="1"/>
  <c r="AD132" i="1" s="1"/>
  <c r="O75" i="8"/>
  <c r="L75" i="8"/>
  <c r="U314" i="8" l="1"/>
  <c r="U315" i="8" s="1"/>
  <c r="V313" i="8"/>
  <c r="Y377" i="1"/>
  <c r="Y378" i="1" s="1"/>
  <c r="Z376" i="1"/>
  <c r="V314" i="8"/>
  <c r="Z377" i="1"/>
  <c r="AA164" i="8"/>
  <c r="AC164" i="8" s="1"/>
  <c r="AB164" i="8" s="1"/>
  <c r="AI164" i="8" s="1"/>
  <c r="AD164" i="8"/>
  <c r="Z164" i="8"/>
  <c r="H86" i="7"/>
  <c r="C86" i="7"/>
  <c r="D86" i="7"/>
  <c r="E86" i="7" s="1"/>
  <c r="G86" i="7" s="1"/>
  <c r="F86" i="7" s="1"/>
  <c r="K86" i="7" s="1"/>
  <c r="B86" i="7"/>
  <c r="H76" i="8"/>
  <c r="D76" i="8"/>
  <c r="C76" i="8"/>
  <c r="I76" i="8"/>
  <c r="G76" i="8"/>
  <c r="I132" i="1"/>
  <c r="H132" i="1"/>
  <c r="D132" i="1"/>
  <c r="E132" i="1" s="1"/>
  <c r="K132" i="1" s="1"/>
  <c r="J132" i="1"/>
  <c r="B132" i="1"/>
  <c r="C132" i="1"/>
  <c r="U316" i="8" l="1"/>
  <c r="U317" i="8" s="1"/>
  <c r="V315" i="8"/>
  <c r="Y379" i="1"/>
  <c r="Y380" i="1" s="1"/>
  <c r="Z378" i="1"/>
  <c r="V316" i="8"/>
  <c r="Z379" i="1"/>
  <c r="AE87" i="7"/>
  <c r="Z165" i="8"/>
  <c r="AG164" i="8"/>
  <c r="AK164" i="8" s="1"/>
  <c r="AA165" i="8"/>
  <c r="AC165" i="8" s="1"/>
  <c r="AB165" i="8" s="1"/>
  <c r="AI165" i="8" s="1"/>
  <c r="AD165" i="8"/>
  <c r="B87" i="7"/>
  <c r="D87" i="7"/>
  <c r="E87" i="7" s="1"/>
  <c r="C87" i="7"/>
  <c r="H87" i="7"/>
  <c r="I86" i="7"/>
  <c r="J86" i="7" s="1"/>
  <c r="G132" i="1"/>
  <c r="F76" i="8"/>
  <c r="Y381" i="1" l="1"/>
  <c r="Y382" i="1" s="1"/>
  <c r="Z380" i="1"/>
  <c r="U318" i="8"/>
  <c r="U319" i="8" s="1"/>
  <c r="V317" i="8"/>
  <c r="V318" i="8"/>
  <c r="Z381" i="1"/>
  <c r="AG165" i="8"/>
  <c r="AK165" i="8" s="1"/>
  <c r="AA166" i="8"/>
  <c r="AC166" i="8" s="1"/>
  <c r="AB166" i="8" s="1"/>
  <c r="AI166" i="8" s="1"/>
  <c r="Z166" i="8"/>
  <c r="AD166" i="8"/>
  <c r="AG166" i="8" s="1"/>
  <c r="AK166" i="8" s="1"/>
  <c r="I87" i="7"/>
  <c r="G87" i="7"/>
  <c r="J76" i="8"/>
  <c r="E76" i="8"/>
  <c r="L132" i="1"/>
  <c r="M132" i="1" s="1"/>
  <c r="F132" i="1"/>
  <c r="Y383" i="1" l="1"/>
  <c r="Y384" i="1" s="1"/>
  <c r="Z382" i="1"/>
  <c r="U320" i="8"/>
  <c r="U321" i="8" s="1"/>
  <c r="V319" i="8"/>
  <c r="V320" i="8"/>
  <c r="Z383" i="1"/>
  <c r="Z167" i="8"/>
  <c r="AD167" i="8"/>
  <c r="AA167" i="8"/>
  <c r="AC167" i="8" s="1"/>
  <c r="AB167" i="8" s="1"/>
  <c r="AI167" i="8" s="1"/>
  <c r="J87" i="7"/>
  <c r="F87" i="7"/>
  <c r="K87" i="7" s="1"/>
  <c r="AE88" i="7" s="1"/>
  <c r="N132" i="1"/>
  <c r="AD133" i="1" s="1"/>
  <c r="K76" i="8"/>
  <c r="L76" i="8" s="1"/>
  <c r="Y385" i="1" l="1"/>
  <c r="Y386" i="1" s="1"/>
  <c r="Z384" i="1"/>
  <c r="U322" i="8"/>
  <c r="U323" i="8" s="1"/>
  <c r="V321" i="8"/>
  <c r="V322" i="8"/>
  <c r="Z385" i="1"/>
  <c r="AD168" i="8"/>
  <c r="Z168" i="8"/>
  <c r="AA168" i="8"/>
  <c r="AC168" i="8" s="1"/>
  <c r="AB168" i="8" s="1"/>
  <c r="AI168" i="8" s="1"/>
  <c r="AG167" i="8"/>
  <c r="AK167" i="8" s="1"/>
  <c r="D88" i="7"/>
  <c r="E88" i="7" s="1"/>
  <c r="G88" i="7" s="1"/>
  <c r="C88" i="7"/>
  <c r="B88" i="7"/>
  <c r="H88" i="7"/>
  <c r="H77" i="8"/>
  <c r="I77" i="8"/>
  <c r="G77" i="8"/>
  <c r="D77" i="8"/>
  <c r="F77" i="8" s="1"/>
  <c r="C77" i="8"/>
  <c r="O76" i="8"/>
  <c r="C133" i="1"/>
  <c r="J133" i="1"/>
  <c r="H133" i="1"/>
  <c r="I133" i="1"/>
  <c r="D133" i="1"/>
  <c r="E133" i="1" s="1"/>
  <c r="G133" i="1" s="1"/>
  <c r="F133" i="1" s="1"/>
  <c r="B133" i="1"/>
  <c r="Y387" i="1" l="1"/>
  <c r="Z387" i="1" s="1"/>
  <c r="Z386" i="1"/>
  <c r="U324" i="8"/>
  <c r="V324" i="8" s="1"/>
  <c r="V323" i="8"/>
  <c r="K133" i="1"/>
  <c r="L133" i="1" s="1"/>
  <c r="M133" i="1" s="1"/>
  <c r="N133" i="1" s="1"/>
  <c r="AD134" i="1" s="1"/>
  <c r="AG168" i="8"/>
  <c r="AK168" i="8" s="1"/>
  <c r="AD169" i="8"/>
  <c r="AA169" i="8"/>
  <c r="AC169" i="8" s="1"/>
  <c r="Z169" i="8"/>
  <c r="I88" i="7"/>
  <c r="J88" i="7" s="1"/>
  <c r="F88" i="7"/>
  <c r="K88" i="7" s="1"/>
  <c r="AE89" i="7" s="1"/>
  <c r="J77" i="8"/>
  <c r="K77" i="8" s="1"/>
  <c r="E77" i="8"/>
  <c r="AG169" i="8" l="1"/>
  <c r="AK169" i="8" s="1"/>
  <c r="AB169" i="8"/>
  <c r="AI169" i="8" s="1"/>
  <c r="B89" i="7"/>
  <c r="D89" i="7"/>
  <c r="E89" i="7" s="1"/>
  <c r="I89" i="7" s="1"/>
  <c r="C89" i="7"/>
  <c r="H89" i="7"/>
  <c r="C134" i="1"/>
  <c r="H134" i="1"/>
  <c r="B134" i="1"/>
  <c r="D134" i="1"/>
  <c r="E134" i="1" s="1"/>
  <c r="K134" i="1" s="1"/>
  <c r="I134" i="1"/>
  <c r="J134" i="1"/>
  <c r="L77" i="8"/>
  <c r="O77" i="8"/>
  <c r="AD170" i="8" l="1"/>
  <c r="AA170" i="8"/>
  <c r="AC170" i="8" s="1"/>
  <c r="AB170" i="8" s="1"/>
  <c r="AI170" i="8" s="1"/>
  <c r="Z170" i="8"/>
  <c r="G89" i="7"/>
  <c r="J89" i="7" s="1"/>
  <c r="G134" i="1"/>
  <c r="C78" i="8"/>
  <c r="I78" i="8"/>
  <c r="D78" i="8"/>
  <c r="F78" i="8" s="1"/>
  <c r="H78" i="8"/>
  <c r="G78" i="8"/>
  <c r="F89" i="7" l="1"/>
  <c r="K89" i="7" s="1"/>
  <c r="AE90" i="7" s="1"/>
  <c r="AG170" i="8"/>
  <c r="AK170" i="8" s="1"/>
  <c r="AA171" i="8"/>
  <c r="AC171" i="8" s="1"/>
  <c r="AB171" i="8" s="1"/>
  <c r="AI171" i="8" s="1"/>
  <c r="Z171" i="8"/>
  <c r="AD171" i="8"/>
  <c r="E78" i="8"/>
  <c r="J78" i="8"/>
  <c r="K78" i="8" s="1"/>
  <c r="L134" i="1"/>
  <c r="M134" i="1" s="1"/>
  <c r="F134" i="1"/>
  <c r="B90" i="7" l="1"/>
  <c r="D90" i="7"/>
  <c r="E90" i="7" s="1"/>
  <c r="G90" i="7" s="1"/>
  <c r="F90" i="7" s="1"/>
  <c r="K90" i="7" s="1"/>
  <c r="AE91" i="7" s="1"/>
  <c r="C90" i="7"/>
  <c r="H90" i="7"/>
  <c r="AG171" i="8"/>
  <c r="AK171" i="8" s="1"/>
  <c r="I90" i="7"/>
  <c r="AD172" i="8"/>
  <c r="AA172" i="8"/>
  <c r="AC172" i="8" s="1"/>
  <c r="AB172" i="8" s="1"/>
  <c r="AI172" i="8" s="1"/>
  <c r="Z172" i="8"/>
  <c r="N134" i="1"/>
  <c r="AD135" i="1" s="1"/>
  <c r="O78" i="8"/>
  <c r="L78" i="8"/>
  <c r="J90" i="7" l="1"/>
  <c r="AG172" i="8"/>
  <c r="AK172" i="8" s="1"/>
  <c r="Z173" i="8"/>
  <c r="AD173" i="8"/>
  <c r="AA173" i="8"/>
  <c r="AC173" i="8" s="1"/>
  <c r="AB173" i="8" s="1"/>
  <c r="AI173" i="8" s="1"/>
  <c r="E91" i="7"/>
  <c r="G91" i="7" s="1"/>
  <c r="C91" i="7"/>
  <c r="B91" i="7"/>
  <c r="H91" i="7"/>
  <c r="D91" i="7"/>
  <c r="C79" i="8"/>
  <c r="G79" i="8"/>
  <c r="D79" i="8"/>
  <c r="F79" i="8" s="1"/>
  <c r="H79" i="8"/>
  <c r="I79" i="8"/>
  <c r="B135" i="1"/>
  <c r="D135" i="1"/>
  <c r="E135" i="1" s="1"/>
  <c r="K135" i="1" s="1"/>
  <c r="H135" i="1"/>
  <c r="J135" i="1"/>
  <c r="I135" i="1"/>
  <c r="C135" i="1"/>
  <c r="AG173" i="8" l="1"/>
  <c r="AK173" i="8" s="1"/>
  <c r="AD174" i="8"/>
  <c r="Z174" i="8"/>
  <c r="AA174" i="8"/>
  <c r="AC174" i="8" s="1"/>
  <c r="AB174" i="8" s="1"/>
  <c r="AI174" i="8" s="1"/>
  <c r="F91" i="7"/>
  <c r="K91" i="7" s="1"/>
  <c r="AE92" i="7" s="1"/>
  <c r="I91" i="7"/>
  <c r="J91" i="7" s="1"/>
  <c r="G135" i="1"/>
  <c r="J79" i="8"/>
  <c r="K79" i="8" s="1"/>
  <c r="E79" i="8"/>
  <c r="AD175" i="8" l="1"/>
  <c r="Z175" i="8"/>
  <c r="AA175" i="8"/>
  <c r="AC175" i="8" s="1"/>
  <c r="AB175" i="8" s="1"/>
  <c r="AI175" i="8" s="1"/>
  <c r="AG174" i="8"/>
  <c r="AK174" i="8" s="1"/>
  <c r="C92" i="7"/>
  <c r="B92" i="7"/>
  <c r="H92" i="7"/>
  <c r="D92" i="7"/>
  <c r="E92" i="7" s="1"/>
  <c r="G92" i="7" s="1"/>
  <c r="O79" i="8"/>
  <c r="L135" i="1"/>
  <c r="M135" i="1" s="1"/>
  <c r="F135" i="1"/>
  <c r="L79" i="8"/>
  <c r="AD176" i="8" l="1"/>
  <c r="AA176" i="8"/>
  <c r="AC176" i="8" s="1"/>
  <c r="AB176" i="8" s="1"/>
  <c r="AI176" i="8" s="1"/>
  <c r="Z176" i="8"/>
  <c r="AG175" i="8"/>
  <c r="AK175" i="8" s="1"/>
  <c r="I92" i="7"/>
  <c r="J92" i="7" s="1"/>
  <c r="F92" i="7"/>
  <c r="K92" i="7" s="1"/>
  <c r="AE93" i="7" s="1"/>
  <c r="C80" i="8"/>
  <c r="I80" i="8"/>
  <c r="D80" i="8"/>
  <c r="F80" i="8" s="1"/>
  <c r="G80" i="8"/>
  <c r="H80" i="8"/>
  <c r="N135" i="1"/>
  <c r="AD136" i="1" s="1"/>
  <c r="AG176" i="8" l="1"/>
  <c r="AK176" i="8" s="1"/>
  <c r="Z177" i="8"/>
  <c r="AD177" i="8"/>
  <c r="AA177" i="8"/>
  <c r="AC177" i="8" s="1"/>
  <c r="AB177" i="8" s="1"/>
  <c r="AI177" i="8" s="1"/>
  <c r="B93" i="7"/>
  <c r="H93" i="7"/>
  <c r="D93" i="7"/>
  <c r="E93" i="7" s="1"/>
  <c r="C93" i="7"/>
  <c r="J80" i="8"/>
  <c r="E80" i="8"/>
  <c r="K136" i="1"/>
  <c r="J136" i="1"/>
  <c r="C136" i="1"/>
  <c r="B136" i="1"/>
  <c r="I136" i="1"/>
  <c r="H136" i="1"/>
  <c r="D136" i="1"/>
  <c r="E136" i="1" s="1"/>
  <c r="AA178" i="8" l="1"/>
  <c r="AC178" i="8" s="1"/>
  <c r="AB178" i="8" s="1"/>
  <c r="AI178" i="8" s="1"/>
  <c r="Z178" i="8"/>
  <c r="AD178" i="8"/>
  <c r="AG177" i="8"/>
  <c r="AK177" i="8" s="1"/>
  <c r="I93" i="7"/>
  <c r="G93" i="7"/>
  <c r="G136" i="1"/>
  <c r="K80" i="8"/>
  <c r="O80" i="8" s="1"/>
  <c r="AG178" i="8" l="1"/>
  <c r="AK178" i="8" s="1"/>
  <c r="Z179" i="8"/>
  <c r="AD179" i="8"/>
  <c r="AA179" i="8"/>
  <c r="AC179" i="8" s="1"/>
  <c r="AB179" i="8" s="1"/>
  <c r="AI179" i="8" s="1"/>
  <c r="J93" i="7"/>
  <c r="F93" i="7"/>
  <c r="K93" i="7" s="1"/>
  <c r="AE94" i="7" s="1"/>
  <c r="L80" i="8"/>
  <c r="L136" i="1"/>
  <c r="M136" i="1" s="1"/>
  <c r="F136" i="1"/>
  <c r="AD180" i="8" l="1"/>
  <c r="AA180" i="8"/>
  <c r="AC180" i="8" s="1"/>
  <c r="Z180" i="8"/>
  <c r="AG179" i="8"/>
  <c r="AK179" i="8" s="1"/>
  <c r="H94" i="7"/>
  <c r="C94" i="7"/>
  <c r="D94" i="7"/>
  <c r="E94" i="7" s="1"/>
  <c r="B94" i="7"/>
  <c r="N136" i="1"/>
  <c r="AD137" i="1" s="1"/>
  <c r="I81" i="8"/>
  <c r="C81" i="8"/>
  <c r="G81" i="8"/>
  <c r="H81" i="8"/>
  <c r="D81" i="8"/>
  <c r="F81" i="8" s="1"/>
  <c r="AG180" i="8" l="1"/>
  <c r="AK180" i="8" s="1"/>
  <c r="AB180" i="8"/>
  <c r="AI180" i="8" s="1"/>
  <c r="I94" i="7"/>
  <c r="G94" i="7"/>
  <c r="E81" i="8"/>
  <c r="J81" i="8"/>
  <c r="K81" i="8" s="1"/>
  <c r="C137" i="1"/>
  <c r="H137" i="1"/>
  <c r="B137" i="1"/>
  <c r="J137" i="1"/>
  <c r="D137" i="1"/>
  <c r="E137" i="1" s="1"/>
  <c r="G137" i="1" s="1"/>
  <c r="I137" i="1"/>
  <c r="K137" i="1" l="1"/>
  <c r="L137" i="1" s="1"/>
  <c r="M137" i="1" s="1"/>
  <c r="Z181" i="8"/>
  <c r="AA181" i="8"/>
  <c r="AC181" i="8" s="1"/>
  <c r="AB181" i="8" s="1"/>
  <c r="AI181" i="8" s="1"/>
  <c r="AD181" i="8"/>
  <c r="J94" i="7"/>
  <c r="F94" i="7"/>
  <c r="K94" i="7" s="1"/>
  <c r="AE95" i="7" s="1"/>
  <c r="F137" i="1"/>
  <c r="O81" i="8"/>
  <c r="L81" i="8"/>
  <c r="AG181" i="8" l="1"/>
  <c r="AK181" i="8" s="1"/>
  <c r="AA182" i="8"/>
  <c r="AC182" i="8" s="1"/>
  <c r="AB182" i="8" s="1"/>
  <c r="AI182" i="8" s="1"/>
  <c r="Z182" i="8"/>
  <c r="AD182" i="8"/>
  <c r="B95" i="7"/>
  <c r="H95" i="7"/>
  <c r="C95" i="7"/>
  <c r="D95" i="7"/>
  <c r="E95" i="7" s="1"/>
  <c r="I95" i="7" s="1"/>
  <c r="I82" i="8"/>
  <c r="C82" i="8"/>
  <c r="D82" i="8"/>
  <c r="F82" i="8" s="1"/>
  <c r="G82" i="8"/>
  <c r="H82" i="8"/>
  <c r="N137" i="1"/>
  <c r="AD138" i="1" s="1"/>
  <c r="AG182" i="8" l="1"/>
  <c r="AK182" i="8" s="1"/>
  <c r="Z183" i="8"/>
  <c r="AD183" i="8"/>
  <c r="AA183" i="8"/>
  <c r="AC183" i="8" s="1"/>
  <c r="AB183" i="8" s="1"/>
  <c r="AI183" i="8" s="1"/>
  <c r="G95" i="7"/>
  <c r="E82" i="8"/>
  <c r="J82" i="8"/>
  <c r="C138" i="1"/>
  <c r="B138" i="1"/>
  <c r="H138" i="1"/>
  <c r="J138" i="1"/>
  <c r="I138" i="1"/>
  <c r="D138" i="1"/>
  <c r="E138" i="1" s="1"/>
  <c r="K138" i="1" s="1"/>
  <c r="AG183" i="8" l="1"/>
  <c r="AK183" i="8" s="1"/>
  <c r="Z184" i="8"/>
  <c r="AA184" i="8"/>
  <c r="AC184" i="8" s="1"/>
  <c r="AB184" i="8" s="1"/>
  <c r="AI184" i="8" s="1"/>
  <c r="AD184" i="8"/>
  <c r="J95" i="7"/>
  <c r="F95" i="7"/>
  <c r="K95" i="7" s="1"/>
  <c r="AE96" i="7" s="1"/>
  <c r="G138" i="1"/>
  <c r="K82" i="8"/>
  <c r="L82" i="8" s="1"/>
  <c r="AG184" i="8" l="1"/>
  <c r="AK184" i="8" s="1"/>
  <c r="Z185" i="8"/>
  <c r="AD185" i="8"/>
  <c r="AA185" i="8"/>
  <c r="AC185" i="8" s="1"/>
  <c r="AB185" i="8" s="1"/>
  <c r="AI185" i="8" s="1"/>
  <c r="D96" i="7"/>
  <c r="E96" i="7" s="1"/>
  <c r="G96" i="7" s="1"/>
  <c r="F96" i="7" s="1"/>
  <c r="K96" i="7" s="1"/>
  <c r="B96" i="7"/>
  <c r="H96" i="7"/>
  <c r="C96" i="7"/>
  <c r="G83" i="8"/>
  <c r="C83" i="8"/>
  <c r="D83" i="8"/>
  <c r="F83" i="8" s="1"/>
  <c r="I83" i="8"/>
  <c r="H83" i="8"/>
  <c r="O82" i="8"/>
  <c r="L138" i="1"/>
  <c r="M138" i="1" s="1"/>
  <c r="F138" i="1"/>
  <c r="AE97" i="7" l="1"/>
  <c r="AG185" i="8"/>
  <c r="AK185" i="8" s="1"/>
  <c r="AA186" i="8"/>
  <c r="AC186" i="8" s="1"/>
  <c r="AB186" i="8" s="1"/>
  <c r="AI186" i="8" s="1"/>
  <c r="Z186" i="8"/>
  <c r="AD186" i="8"/>
  <c r="D97" i="7"/>
  <c r="E97" i="7" s="1"/>
  <c r="G97" i="7" s="1"/>
  <c r="F97" i="7" s="1"/>
  <c r="K97" i="7" s="1"/>
  <c r="C97" i="7"/>
  <c r="B97" i="7"/>
  <c r="H97" i="7"/>
  <c r="I96" i="7"/>
  <c r="J96" i="7" s="1"/>
  <c r="J83" i="8"/>
  <c r="E83" i="8"/>
  <c r="N138" i="1"/>
  <c r="AD139" i="1" s="1"/>
  <c r="AE98" i="7" l="1"/>
  <c r="I97" i="7"/>
  <c r="J97" i="7" s="1"/>
  <c r="AA187" i="8"/>
  <c r="AC187" i="8" s="1"/>
  <c r="AB187" i="8" s="1"/>
  <c r="AI187" i="8" s="1"/>
  <c r="Z187" i="8"/>
  <c r="AD187" i="8"/>
  <c r="AG186" i="8"/>
  <c r="AK186" i="8" s="1"/>
  <c r="H98" i="7"/>
  <c r="B98" i="7"/>
  <c r="C98" i="7"/>
  <c r="D98" i="7"/>
  <c r="E98" i="7" s="1"/>
  <c r="B139" i="1"/>
  <c r="H139" i="1"/>
  <c r="D139" i="1"/>
  <c r="E139" i="1" s="1"/>
  <c r="K139" i="1" s="1"/>
  <c r="I139" i="1"/>
  <c r="C139" i="1"/>
  <c r="J139" i="1"/>
  <c r="K83" i="8"/>
  <c r="O83" i="8" s="1"/>
  <c r="AG187" i="8" l="1"/>
  <c r="AK187" i="8" s="1"/>
  <c r="AA188" i="8"/>
  <c r="AC188" i="8" s="1"/>
  <c r="AB188" i="8" s="1"/>
  <c r="AI188" i="8" s="1"/>
  <c r="AD188" i="8"/>
  <c r="Z188" i="8"/>
  <c r="I98" i="7"/>
  <c r="G98" i="7"/>
  <c r="G139" i="1"/>
  <c r="L83" i="8"/>
  <c r="AG188" i="8" l="1"/>
  <c r="AK188" i="8" s="1"/>
  <c r="Z189" i="8"/>
  <c r="AA189" i="8"/>
  <c r="AC189" i="8" s="1"/>
  <c r="AB189" i="8" s="1"/>
  <c r="AI189" i="8" s="1"/>
  <c r="AD189" i="8"/>
  <c r="J98" i="7"/>
  <c r="F98" i="7"/>
  <c r="K98" i="7" s="1"/>
  <c r="AE99" i="7" s="1"/>
  <c r="D84" i="8"/>
  <c r="F84" i="8" s="1"/>
  <c r="G84" i="8"/>
  <c r="I84" i="8"/>
  <c r="C84" i="8"/>
  <c r="H84" i="8"/>
  <c r="L139" i="1"/>
  <c r="M139" i="1" s="1"/>
  <c r="F139" i="1"/>
  <c r="AD190" i="8" l="1"/>
  <c r="AA190" i="8"/>
  <c r="AC190" i="8" s="1"/>
  <c r="AB190" i="8" s="1"/>
  <c r="AI190" i="8" s="1"/>
  <c r="Z190" i="8"/>
  <c r="AG189" i="8"/>
  <c r="AK189" i="8" s="1"/>
  <c r="D99" i="7"/>
  <c r="E99" i="7" s="1"/>
  <c r="B99" i="7"/>
  <c r="C99" i="7"/>
  <c r="H99" i="7"/>
  <c r="J84" i="8"/>
  <c r="K84" i="8" s="1"/>
  <c r="O84" i="8" s="1"/>
  <c r="N139" i="1"/>
  <c r="AD140" i="1" s="1"/>
  <c r="E84" i="8"/>
  <c r="AG190" i="8" l="1"/>
  <c r="AK190" i="8" s="1"/>
  <c r="AA191" i="8"/>
  <c r="AC191" i="8" s="1"/>
  <c r="AB191" i="8" s="1"/>
  <c r="AI191" i="8" s="1"/>
  <c r="Z191" i="8"/>
  <c r="AD191" i="8"/>
  <c r="I99" i="7"/>
  <c r="G99" i="7"/>
  <c r="L84" i="8"/>
  <c r="H85" i="8" s="1"/>
  <c r="D140" i="1"/>
  <c r="E140" i="1" s="1"/>
  <c r="G140" i="1" s="1"/>
  <c r="J140" i="1"/>
  <c r="B140" i="1"/>
  <c r="C140" i="1"/>
  <c r="H140" i="1"/>
  <c r="I140" i="1"/>
  <c r="K140" i="1" l="1"/>
  <c r="L140" i="1" s="1"/>
  <c r="M140" i="1" s="1"/>
  <c r="AG191" i="8"/>
  <c r="AK191" i="8" s="1"/>
  <c r="Z192" i="8"/>
  <c r="AD192" i="8"/>
  <c r="AA192" i="8"/>
  <c r="AC192" i="8" s="1"/>
  <c r="AB192" i="8" s="1"/>
  <c r="AI192" i="8" s="1"/>
  <c r="J99" i="7"/>
  <c r="F99" i="7"/>
  <c r="K99" i="7" s="1"/>
  <c r="AE100" i="7" s="1"/>
  <c r="I85" i="8"/>
  <c r="D85" i="8"/>
  <c r="F85" i="8" s="1"/>
  <c r="E85" i="8" s="1"/>
  <c r="G85" i="8"/>
  <c r="C85" i="8"/>
  <c r="F140" i="1"/>
  <c r="AA193" i="8" l="1"/>
  <c r="AC193" i="8" s="1"/>
  <c r="AB193" i="8" s="1"/>
  <c r="AI193" i="8" s="1"/>
  <c r="AD193" i="8"/>
  <c r="Z193" i="8"/>
  <c r="AG192" i="8"/>
  <c r="AK192" i="8" s="1"/>
  <c r="B100" i="7"/>
  <c r="C100" i="7"/>
  <c r="H100" i="7"/>
  <c r="D100" i="7"/>
  <c r="E100" i="7" s="1"/>
  <c r="I100" i="7" s="1"/>
  <c r="J85" i="8"/>
  <c r="K85" i="8" s="1"/>
  <c r="O85" i="8" s="1"/>
  <c r="N140" i="1"/>
  <c r="AD141" i="1" s="1"/>
  <c r="AG193" i="8" l="1"/>
  <c r="AK193" i="8" s="1"/>
  <c r="Z194" i="8"/>
  <c r="AA194" i="8"/>
  <c r="AC194" i="8" s="1"/>
  <c r="AB194" i="8" s="1"/>
  <c r="AI194" i="8" s="1"/>
  <c r="AD194" i="8"/>
  <c r="G100" i="7"/>
  <c r="J100" i="7" s="1"/>
  <c r="L85" i="8"/>
  <c r="C86" i="8" s="1"/>
  <c r="B141" i="1"/>
  <c r="D141" i="1"/>
  <c r="E141" i="1" s="1"/>
  <c r="K141" i="1" s="1"/>
  <c r="C141" i="1"/>
  <c r="H141" i="1"/>
  <c r="I141" i="1"/>
  <c r="J141" i="1"/>
  <c r="AG194" i="8" l="1"/>
  <c r="AK194" i="8" s="1"/>
  <c r="F100" i="7"/>
  <c r="K100" i="7" s="1"/>
  <c r="AE101" i="7" s="1"/>
  <c r="AA195" i="8"/>
  <c r="AC195" i="8" s="1"/>
  <c r="AB195" i="8" s="1"/>
  <c r="AI195" i="8" s="1"/>
  <c r="Z195" i="8"/>
  <c r="AD195" i="8"/>
  <c r="H86" i="8"/>
  <c r="D86" i="8"/>
  <c r="F86" i="8" s="1"/>
  <c r="E86" i="8" s="1"/>
  <c r="G86" i="8"/>
  <c r="I86" i="8"/>
  <c r="G141" i="1"/>
  <c r="C101" i="7" l="1"/>
  <c r="B101" i="7"/>
  <c r="D101" i="7"/>
  <c r="E101" i="7" s="1"/>
  <c r="I101" i="7" s="1"/>
  <c r="H101" i="7"/>
  <c r="AG195" i="8"/>
  <c r="AK195" i="8" s="1"/>
  <c r="AA196" i="8"/>
  <c r="AC196" i="8" s="1"/>
  <c r="AB196" i="8" s="1"/>
  <c r="AI196" i="8" s="1"/>
  <c r="AD196" i="8"/>
  <c r="Z196" i="8"/>
  <c r="J86" i="8"/>
  <c r="K86" i="8" s="1"/>
  <c r="L86" i="8" s="1"/>
  <c r="L141" i="1"/>
  <c r="M141" i="1" s="1"/>
  <c r="F141" i="1"/>
  <c r="G101" i="7" l="1"/>
  <c r="J101" i="7" s="1"/>
  <c r="AG196" i="8"/>
  <c r="AK196" i="8" s="1"/>
  <c r="AA197" i="8"/>
  <c r="AC197" i="8" s="1"/>
  <c r="AB197" i="8" s="1"/>
  <c r="AI197" i="8" s="1"/>
  <c r="AD197" i="8"/>
  <c r="Z197" i="8"/>
  <c r="F101" i="7"/>
  <c r="K101" i="7" s="1"/>
  <c r="I87" i="8"/>
  <c r="H87" i="8"/>
  <c r="G87" i="8"/>
  <c r="D87" i="8"/>
  <c r="F87" i="8" s="1"/>
  <c r="E87" i="8" s="1"/>
  <c r="C87" i="8"/>
  <c r="O86" i="8"/>
  <c r="N141" i="1"/>
  <c r="AD142" i="1" s="1"/>
  <c r="D102" i="7" l="1"/>
  <c r="E102" i="7" s="1"/>
  <c r="G102" i="7" s="1"/>
  <c r="F102" i="7" s="1"/>
  <c r="K102" i="7" s="1"/>
  <c r="D103" i="7" s="1"/>
  <c r="E103" i="7" s="1"/>
  <c r="G103" i="7" s="1"/>
  <c r="F103" i="7" s="1"/>
  <c r="K103" i="7" s="1"/>
  <c r="AE102" i="7"/>
  <c r="C102" i="7"/>
  <c r="B102" i="7"/>
  <c r="H102" i="7"/>
  <c r="AD198" i="8"/>
  <c r="AA198" i="8"/>
  <c r="AC198" i="8" s="1"/>
  <c r="AB198" i="8" s="1"/>
  <c r="AI198" i="8" s="1"/>
  <c r="Z198" i="8"/>
  <c r="AG197" i="8"/>
  <c r="AK197" i="8" s="1"/>
  <c r="J142" i="1"/>
  <c r="D142" i="1"/>
  <c r="E142" i="1" s="1"/>
  <c r="K142" i="1" s="1"/>
  <c r="I142" i="1"/>
  <c r="B142" i="1"/>
  <c r="H142" i="1"/>
  <c r="C142" i="1"/>
  <c r="J87" i="8"/>
  <c r="I102" i="7" l="1"/>
  <c r="J102" i="7" s="1"/>
  <c r="AE103" i="7"/>
  <c r="C103" i="7"/>
  <c r="C104" i="7" s="1"/>
  <c r="B103" i="7"/>
  <c r="AE104" i="7" s="1"/>
  <c r="H103" i="7"/>
  <c r="AA199" i="8"/>
  <c r="AC199" i="8" s="1"/>
  <c r="Z199" i="8"/>
  <c r="AD199" i="8"/>
  <c r="AG198" i="8"/>
  <c r="AK198" i="8" s="1"/>
  <c r="H104" i="7"/>
  <c r="I103" i="7"/>
  <c r="D104" i="7"/>
  <c r="E104" i="7" s="1"/>
  <c r="G104" i="7" s="1"/>
  <c r="G142" i="1"/>
  <c r="K87" i="8"/>
  <c r="L87" i="8" s="1"/>
  <c r="B104" i="7" l="1"/>
  <c r="J103" i="7"/>
  <c r="AG199" i="8"/>
  <c r="AK199" i="8" s="1"/>
  <c r="AB199" i="8"/>
  <c r="AI199" i="8" s="1"/>
  <c r="I104" i="7"/>
  <c r="J104" i="7" s="1"/>
  <c r="F104" i="7"/>
  <c r="K104" i="7" s="1"/>
  <c r="C105" i="7" s="1"/>
  <c r="O87" i="8"/>
  <c r="D88" i="8"/>
  <c r="C88" i="8"/>
  <c r="G88" i="8"/>
  <c r="I88" i="8"/>
  <c r="H88" i="8"/>
  <c r="L142" i="1"/>
  <c r="M142" i="1" s="1"/>
  <c r="F142" i="1"/>
  <c r="AE105" i="7" l="1"/>
  <c r="AD200" i="8"/>
  <c r="Z200" i="8"/>
  <c r="AA200" i="8"/>
  <c r="AC200" i="8" s="1"/>
  <c r="D105" i="7"/>
  <c r="E105" i="7" s="1"/>
  <c r="I105" i="7" s="1"/>
  <c r="B105" i="7"/>
  <c r="H105" i="7"/>
  <c r="N142" i="1"/>
  <c r="F88" i="8"/>
  <c r="G105" i="7" l="1"/>
  <c r="F105" i="7" s="1"/>
  <c r="K105" i="7" s="1"/>
  <c r="AE106" i="7" s="1"/>
  <c r="AB200" i="8"/>
  <c r="AI200" i="8" s="1"/>
  <c r="AG200" i="8"/>
  <c r="AK200" i="8" s="1"/>
  <c r="C143" i="1"/>
  <c r="AD143" i="1"/>
  <c r="D143" i="1"/>
  <c r="E143" i="1" s="1"/>
  <c r="G143" i="1" s="1"/>
  <c r="F143" i="1" s="1"/>
  <c r="J143" i="1"/>
  <c r="H143" i="1"/>
  <c r="B143" i="1"/>
  <c r="I143" i="1"/>
  <c r="E88" i="8"/>
  <c r="J88" i="8"/>
  <c r="H106" i="7" l="1"/>
  <c r="B106" i="7"/>
  <c r="D106" i="7"/>
  <c r="E106" i="7" s="1"/>
  <c r="G106" i="7" s="1"/>
  <c r="F106" i="7" s="1"/>
  <c r="K106" i="7" s="1"/>
  <c r="C106" i="7"/>
  <c r="J105" i="7"/>
  <c r="K143" i="1"/>
  <c r="L143" i="1" s="1"/>
  <c r="M143" i="1" s="1"/>
  <c r="N143" i="1" s="1"/>
  <c r="AD144" i="1" s="1"/>
  <c r="AD201" i="8"/>
  <c r="AA201" i="8"/>
  <c r="AC201" i="8" s="1"/>
  <c r="AB201" i="8" s="1"/>
  <c r="AI201" i="8" s="1"/>
  <c r="Z201" i="8"/>
  <c r="K88" i="8"/>
  <c r="O88" i="8" s="1"/>
  <c r="AE107" i="7" l="1"/>
  <c r="I106" i="7"/>
  <c r="J106" i="7" s="1"/>
  <c r="AG201" i="8"/>
  <c r="AK201" i="8" s="1"/>
  <c r="AD202" i="8"/>
  <c r="Z202" i="8"/>
  <c r="AA202" i="8"/>
  <c r="AC202" i="8" s="1"/>
  <c r="AB202" i="8" s="1"/>
  <c r="AI202" i="8" s="1"/>
  <c r="H107" i="7"/>
  <c r="D107" i="7"/>
  <c r="E107" i="7" s="1"/>
  <c r="B107" i="7"/>
  <c r="C107" i="7"/>
  <c r="L88" i="8"/>
  <c r="C144" i="1"/>
  <c r="I144" i="1"/>
  <c r="H144" i="1"/>
  <c r="J144" i="1"/>
  <c r="B144" i="1"/>
  <c r="D144" i="1"/>
  <c r="E144" i="1" s="1"/>
  <c r="K144" i="1" s="1"/>
  <c r="AG202" i="8" l="1"/>
  <c r="AK202" i="8" s="1"/>
  <c r="AA203" i="8"/>
  <c r="AC203" i="8" s="1"/>
  <c r="AB203" i="8" s="1"/>
  <c r="AI203" i="8" s="1"/>
  <c r="Z203" i="8"/>
  <c r="AD203" i="8"/>
  <c r="I107" i="7"/>
  <c r="G107" i="7"/>
  <c r="F107" i="7" s="1"/>
  <c r="K107" i="7" s="1"/>
  <c r="AE108" i="7" s="1"/>
  <c r="G144" i="1"/>
  <c r="D89" i="8"/>
  <c r="F89" i="8" s="1"/>
  <c r="H89" i="8"/>
  <c r="C89" i="8"/>
  <c r="G89" i="8"/>
  <c r="I89" i="8"/>
  <c r="AG203" i="8" l="1"/>
  <c r="AK203" i="8" s="1"/>
  <c r="Z204" i="8"/>
  <c r="AA204" i="8"/>
  <c r="AC204" i="8" s="1"/>
  <c r="AB204" i="8" s="1"/>
  <c r="AI204" i="8" s="1"/>
  <c r="AD204" i="8"/>
  <c r="J107" i="7"/>
  <c r="B108" i="7"/>
  <c r="D108" i="7"/>
  <c r="E108" i="7" s="1"/>
  <c r="G108" i="7" s="1"/>
  <c r="H108" i="7"/>
  <c r="C108" i="7"/>
  <c r="E89" i="8"/>
  <c r="J89" i="8"/>
  <c r="L144" i="1"/>
  <c r="M144" i="1" s="1"/>
  <c r="F144" i="1"/>
  <c r="AG204" i="8" l="1"/>
  <c r="AK204" i="8" s="1"/>
  <c r="Z205" i="8"/>
  <c r="AD205" i="8"/>
  <c r="AA205" i="8"/>
  <c r="AC205" i="8" s="1"/>
  <c r="AB205" i="8" s="1"/>
  <c r="AI205" i="8" s="1"/>
  <c r="F108" i="7"/>
  <c r="K108" i="7" s="1"/>
  <c r="C109" i="7" s="1"/>
  <c r="I108" i="7"/>
  <c r="J108" i="7" s="1"/>
  <c r="N144" i="1"/>
  <c r="AD145" i="1" s="1"/>
  <c r="K89" i="8"/>
  <c r="O89" i="8" s="1"/>
  <c r="AE109" i="7" l="1"/>
  <c r="Z206" i="8"/>
  <c r="AA206" i="8"/>
  <c r="AC206" i="8" s="1"/>
  <c r="AB206" i="8" s="1"/>
  <c r="AI206" i="8" s="1"/>
  <c r="AD206" i="8"/>
  <c r="AG205" i="8"/>
  <c r="AK205" i="8" s="1"/>
  <c r="D109" i="7"/>
  <c r="E109" i="7" s="1"/>
  <c r="I109" i="7" s="1"/>
  <c r="B109" i="7"/>
  <c r="H109" i="7"/>
  <c r="L89" i="8"/>
  <c r="C145" i="1"/>
  <c r="J145" i="1"/>
  <c r="H145" i="1"/>
  <c r="I145" i="1"/>
  <c r="D145" i="1"/>
  <c r="E145" i="1" s="1"/>
  <c r="K145" i="1" s="1"/>
  <c r="B145" i="1"/>
  <c r="AG206" i="8" l="1"/>
  <c r="AK206" i="8" s="1"/>
  <c r="Z207" i="8"/>
  <c r="AD207" i="8"/>
  <c r="AA207" i="8"/>
  <c r="AC207" i="8" s="1"/>
  <c r="AB207" i="8" s="1"/>
  <c r="AI207" i="8" s="1"/>
  <c r="G109" i="7"/>
  <c r="F109" i="7" s="1"/>
  <c r="K109" i="7" s="1"/>
  <c r="B110" i="7" s="1"/>
  <c r="G145" i="1"/>
  <c r="I90" i="8"/>
  <c r="C90" i="8"/>
  <c r="H90" i="8"/>
  <c r="D90" i="8"/>
  <c r="G90" i="8"/>
  <c r="AE110" i="7" l="1"/>
  <c r="AA208" i="8"/>
  <c r="AC208" i="8" s="1"/>
  <c r="AB208" i="8" s="1"/>
  <c r="AI208" i="8" s="1"/>
  <c r="Z208" i="8"/>
  <c r="AD208" i="8"/>
  <c r="AG207" i="8"/>
  <c r="AK207" i="8" s="1"/>
  <c r="H110" i="7"/>
  <c r="C110" i="7"/>
  <c r="D110" i="7"/>
  <c r="E110" i="7" s="1"/>
  <c r="G110" i="7" s="1"/>
  <c r="F110" i="7" s="1"/>
  <c r="K110" i="7" s="1"/>
  <c r="D111" i="7" s="1"/>
  <c r="E111" i="7" s="1"/>
  <c r="I111" i="7" s="1"/>
  <c r="J109" i="7"/>
  <c r="F90" i="8"/>
  <c r="L145" i="1"/>
  <c r="M145" i="1" s="1"/>
  <c r="F145" i="1"/>
  <c r="AG208" i="8" l="1"/>
  <c r="AK208" i="8" s="1"/>
  <c r="AE111" i="7"/>
  <c r="I110" i="7"/>
  <c r="J110" i="7" s="1"/>
  <c r="AA209" i="8"/>
  <c r="AC209" i="8" s="1"/>
  <c r="AB209" i="8" s="1"/>
  <c r="AI209" i="8" s="1"/>
  <c r="Z209" i="8"/>
  <c r="AD209" i="8"/>
  <c r="C111" i="7"/>
  <c r="H111" i="7"/>
  <c r="G111" i="7"/>
  <c r="F111" i="7" s="1"/>
  <c r="K111" i="7" s="1"/>
  <c r="H112" i="7" s="1"/>
  <c r="B111" i="7"/>
  <c r="N145" i="1"/>
  <c r="J90" i="8"/>
  <c r="E90" i="8"/>
  <c r="AG209" i="8" l="1"/>
  <c r="AK209" i="8" s="1"/>
  <c r="AE112" i="7"/>
  <c r="Z210" i="8"/>
  <c r="AA210" i="8"/>
  <c r="AC210" i="8" s="1"/>
  <c r="AB210" i="8" s="1"/>
  <c r="AI210" i="8" s="1"/>
  <c r="AD210" i="8"/>
  <c r="C112" i="7"/>
  <c r="D112" i="7"/>
  <c r="E112" i="7" s="1"/>
  <c r="I112" i="7" s="1"/>
  <c r="B112" i="7"/>
  <c r="J111" i="7"/>
  <c r="J146" i="1"/>
  <c r="AD146" i="1"/>
  <c r="B146" i="1"/>
  <c r="H146" i="1"/>
  <c r="C146" i="1"/>
  <c r="I146" i="1"/>
  <c r="D146" i="1"/>
  <c r="E146" i="1" s="1"/>
  <c r="G146" i="1" s="1"/>
  <c r="F146" i="1" s="1"/>
  <c r="K90" i="8"/>
  <c r="L90" i="8" s="1"/>
  <c r="K146" i="1" l="1"/>
  <c r="L146" i="1" s="1"/>
  <c r="M146" i="1" s="1"/>
  <c r="N146" i="1" s="1"/>
  <c r="AD147" i="1" s="1"/>
  <c r="AG210" i="8"/>
  <c r="AK210" i="8" s="1"/>
  <c r="G112" i="7"/>
  <c r="F112" i="7" s="1"/>
  <c r="K112" i="7" s="1"/>
  <c r="D113" i="7" s="1"/>
  <c r="E113" i="7" s="1"/>
  <c r="G113" i="7" s="1"/>
  <c r="AD211" i="8"/>
  <c r="AA211" i="8"/>
  <c r="AC211" i="8" s="1"/>
  <c r="AB211" i="8" s="1"/>
  <c r="AI211" i="8" s="1"/>
  <c r="Z211" i="8"/>
  <c r="G91" i="8"/>
  <c r="D91" i="8"/>
  <c r="F91" i="8" s="1"/>
  <c r="I91" i="8"/>
  <c r="H91" i="8"/>
  <c r="C91" i="8"/>
  <c r="O90" i="8"/>
  <c r="J112" i="7" l="1"/>
  <c r="C113" i="7"/>
  <c r="B113" i="7"/>
  <c r="I113" i="7"/>
  <c r="AG211" i="8"/>
  <c r="AK211" i="8" s="1"/>
  <c r="H113" i="7"/>
  <c r="AE113" i="7"/>
  <c r="F113" i="7"/>
  <c r="K113" i="7" s="1"/>
  <c r="Z212" i="8"/>
  <c r="AA212" i="8"/>
  <c r="AC212" i="8" s="1"/>
  <c r="AB212" i="8" s="1"/>
  <c r="AI212" i="8" s="1"/>
  <c r="AD212" i="8"/>
  <c r="E91" i="8"/>
  <c r="J91" i="8"/>
  <c r="J147" i="1"/>
  <c r="H147" i="1"/>
  <c r="B147" i="1"/>
  <c r="D147" i="1"/>
  <c r="E147" i="1" s="1"/>
  <c r="K147" i="1" s="1"/>
  <c r="I147" i="1"/>
  <c r="C147" i="1"/>
  <c r="AE114" i="7" l="1"/>
  <c r="J113" i="7"/>
  <c r="H114" i="7"/>
  <c r="D114" i="7"/>
  <c r="E114" i="7" s="1"/>
  <c r="G114" i="7" s="1"/>
  <c r="F114" i="7" s="1"/>
  <c r="K114" i="7" s="1"/>
  <c r="B114" i="7"/>
  <c r="C114" i="7"/>
  <c r="AG212" i="8"/>
  <c r="AK212" i="8" s="1"/>
  <c r="AD213" i="8"/>
  <c r="Z213" i="8"/>
  <c r="AA213" i="8"/>
  <c r="AC213" i="8" s="1"/>
  <c r="AB213" i="8" s="1"/>
  <c r="AI213" i="8" s="1"/>
  <c r="G147" i="1"/>
  <c r="K91" i="8"/>
  <c r="L91" i="8" s="1"/>
  <c r="B115" i="7" l="1"/>
  <c r="C115" i="7"/>
  <c r="AE115" i="7"/>
  <c r="I114" i="7"/>
  <c r="J114" i="7" s="1"/>
  <c r="H115" i="7"/>
  <c r="D115" i="7"/>
  <c r="E115" i="7" s="1"/>
  <c r="G115" i="7" s="1"/>
  <c r="F115" i="7" s="1"/>
  <c r="K115" i="7" s="1"/>
  <c r="AD214" i="8"/>
  <c r="Z214" i="8"/>
  <c r="AA214" i="8"/>
  <c r="AC214" i="8" s="1"/>
  <c r="AG213" i="8"/>
  <c r="AK213" i="8" s="1"/>
  <c r="G92" i="8"/>
  <c r="H92" i="8"/>
  <c r="D92" i="8"/>
  <c r="C92" i="8"/>
  <c r="I92" i="8"/>
  <c r="O91" i="8"/>
  <c r="L147" i="1"/>
  <c r="M147" i="1" s="1"/>
  <c r="F147" i="1"/>
  <c r="AE116" i="7" l="1"/>
  <c r="AG214" i="8"/>
  <c r="AK214" i="8" s="1"/>
  <c r="H116" i="7"/>
  <c r="I115" i="7"/>
  <c r="J115" i="7" s="1"/>
  <c r="C116" i="7"/>
  <c r="B116" i="7"/>
  <c r="D116" i="7"/>
  <c r="E116" i="7" s="1"/>
  <c r="G116" i="7" s="1"/>
  <c r="F116" i="7" s="1"/>
  <c r="K116" i="7" s="1"/>
  <c r="H117" i="7" s="1"/>
  <c r="AB214" i="8"/>
  <c r="AI214" i="8" s="1"/>
  <c r="Z215" i="8" s="1"/>
  <c r="N147" i="1"/>
  <c r="F92" i="8"/>
  <c r="AA215" i="8" l="1"/>
  <c r="AC215" i="8" s="1"/>
  <c r="AB215" i="8" s="1"/>
  <c r="AI215" i="8" s="1"/>
  <c r="AA216" i="8" s="1"/>
  <c r="AC216" i="8" s="1"/>
  <c r="AB216" i="8" s="1"/>
  <c r="AI216" i="8" s="1"/>
  <c r="AD215" i="8"/>
  <c r="I116" i="7"/>
  <c r="J116" i="7" s="1"/>
  <c r="AE117" i="7"/>
  <c r="B117" i="7"/>
  <c r="C117" i="7"/>
  <c r="D117" i="7"/>
  <c r="E117" i="7" s="1"/>
  <c r="G117" i="7" s="1"/>
  <c r="F117" i="7" s="1"/>
  <c r="K117" i="7" s="1"/>
  <c r="D118" i="7" s="1"/>
  <c r="E118" i="7" s="1"/>
  <c r="G118" i="7" s="1"/>
  <c r="F118" i="7" s="1"/>
  <c r="K118" i="7" s="1"/>
  <c r="B148" i="1"/>
  <c r="AD148" i="1"/>
  <c r="I148" i="1"/>
  <c r="J148" i="1"/>
  <c r="D148" i="1"/>
  <c r="E148" i="1" s="1"/>
  <c r="G148" i="1" s="1"/>
  <c r="F148" i="1" s="1"/>
  <c r="C148" i="1"/>
  <c r="H148" i="1"/>
  <c r="J92" i="8"/>
  <c r="E92" i="8"/>
  <c r="K148" i="1" l="1"/>
  <c r="L148" i="1" s="1"/>
  <c r="M148" i="1" s="1"/>
  <c r="N148" i="1" s="1"/>
  <c r="AD149" i="1" s="1"/>
  <c r="Z216" i="8"/>
  <c r="AD216" i="8"/>
  <c r="AG216" i="8" s="1"/>
  <c r="AK216" i="8" s="1"/>
  <c r="AG215" i="8"/>
  <c r="AK215" i="8" s="1"/>
  <c r="AE118" i="7"/>
  <c r="Z217" i="8"/>
  <c r="AD217" i="8"/>
  <c r="AA217" i="8"/>
  <c r="AC217" i="8" s="1"/>
  <c r="AB217" i="8" s="1"/>
  <c r="AI217" i="8" s="1"/>
  <c r="I117" i="7"/>
  <c r="J117" i="7" s="1"/>
  <c r="C118" i="7"/>
  <c r="C119" i="7" s="1"/>
  <c r="B118" i="7"/>
  <c r="H118" i="7"/>
  <c r="I118" i="7"/>
  <c r="D119" i="7"/>
  <c r="E119" i="7" s="1"/>
  <c r="H119" i="7"/>
  <c r="K92" i="8"/>
  <c r="L92" i="8" s="1"/>
  <c r="B119" i="7" l="1"/>
  <c r="AE119" i="7"/>
  <c r="AG217" i="8"/>
  <c r="AK217" i="8" s="1"/>
  <c r="AA218" i="8"/>
  <c r="AC218" i="8" s="1"/>
  <c r="AB218" i="8" s="1"/>
  <c r="AI218" i="8" s="1"/>
  <c r="Z218" i="8"/>
  <c r="AD218" i="8"/>
  <c r="J118" i="7"/>
  <c r="I119" i="7"/>
  <c r="G119" i="7"/>
  <c r="H93" i="8"/>
  <c r="I93" i="8"/>
  <c r="D93" i="8"/>
  <c r="F93" i="8" s="1"/>
  <c r="E93" i="8" s="1"/>
  <c r="C93" i="8"/>
  <c r="G93" i="8"/>
  <c r="C149" i="1"/>
  <c r="B149" i="1"/>
  <c r="I149" i="1"/>
  <c r="D149" i="1"/>
  <c r="E149" i="1" s="1"/>
  <c r="G149" i="1" s="1"/>
  <c r="H149" i="1"/>
  <c r="J149" i="1"/>
  <c r="O92" i="8"/>
  <c r="K149" i="1" l="1"/>
  <c r="L149" i="1" s="1"/>
  <c r="M149" i="1" s="1"/>
  <c r="AG218" i="8"/>
  <c r="AK218" i="8" s="1"/>
  <c r="AD219" i="8"/>
  <c r="Z219" i="8"/>
  <c r="AA219" i="8"/>
  <c r="AC219" i="8" s="1"/>
  <c r="AB219" i="8" s="1"/>
  <c r="AI219" i="8" s="1"/>
  <c r="J119" i="7"/>
  <c r="F119" i="7"/>
  <c r="K119" i="7" s="1"/>
  <c r="AE120" i="7" s="1"/>
  <c r="F149" i="1"/>
  <c r="J93" i="8"/>
  <c r="K93" i="8" s="1"/>
  <c r="L93" i="8" s="1"/>
  <c r="AA220" i="8" l="1"/>
  <c r="AC220" i="8" s="1"/>
  <c r="AB220" i="8" s="1"/>
  <c r="AI220" i="8" s="1"/>
  <c r="AD220" i="8"/>
  <c r="Z220" i="8"/>
  <c r="AG219" i="8"/>
  <c r="AK219" i="8" s="1"/>
  <c r="C120" i="7"/>
  <c r="B120" i="7"/>
  <c r="H120" i="7"/>
  <c r="D120" i="7"/>
  <c r="E120" i="7" s="1"/>
  <c r="N149" i="1"/>
  <c r="I94" i="8"/>
  <c r="D94" i="8"/>
  <c r="F94" i="8" s="1"/>
  <c r="H94" i="8"/>
  <c r="G94" i="8"/>
  <c r="C94" i="8"/>
  <c r="O93" i="8"/>
  <c r="AG220" i="8" l="1"/>
  <c r="AK220" i="8" s="1"/>
  <c r="AA221" i="8"/>
  <c r="AC221" i="8" s="1"/>
  <c r="AB221" i="8" s="1"/>
  <c r="AI221" i="8" s="1"/>
  <c r="Z221" i="8"/>
  <c r="AD221" i="8"/>
  <c r="I120" i="7"/>
  <c r="G120" i="7"/>
  <c r="H150" i="1"/>
  <c r="AD150" i="1"/>
  <c r="J150" i="1"/>
  <c r="D150" i="1"/>
  <c r="E150" i="1" s="1"/>
  <c r="G150" i="1" s="1"/>
  <c r="I150" i="1"/>
  <c r="C150" i="1"/>
  <c r="B150" i="1"/>
  <c r="E94" i="8"/>
  <c r="J94" i="8"/>
  <c r="K94" i="8" s="1"/>
  <c r="K150" i="1" l="1"/>
  <c r="L150" i="1" s="1"/>
  <c r="M150" i="1" s="1"/>
  <c r="AG221" i="8"/>
  <c r="AK221" i="8" s="1"/>
  <c r="Z222" i="8"/>
  <c r="AA222" i="8"/>
  <c r="AC222" i="8" s="1"/>
  <c r="AB222" i="8" s="1"/>
  <c r="AI222" i="8" s="1"/>
  <c r="AD222" i="8"/>
  <c r="J120" i="7"/>
  <c r="F120" i="7"/>
  <c r="K120" i="7" s="1"/>
  <c r="AE121" i="7" s="1"/>
  <c r="O94" i="8"/>
  <c r="L94" i="8"/>
  <c r="F150" i="1"/>
  <c r="AG222" i="8" l="1"/>
  <c r="AK222" i="8" s="1"/>
  <c r="AD223" i="8"/>
  <c r="Z223" i="8"/>
  <c r="AA223" i="8"/>
  <c r="AC223" i="8" s="1"/>
  <c r="AB223" i="8" s="1"/>
  <c r="AI223" i="8" s="1"/>
  <c r="B121" i="7"/>
  <c r="H121" i="7"/>
  <c r="D121" i="7"/>
  <c r="E121" i="7" s="1"/>
  <c r="C121" i="7"/>
  <c r="N150" i="1"/>
  <c r="AD151" i="1" s="1"/>
  <c r="G95" i="8"/>
  <c r="H95" i="8"/>
  <c r="D95" i="8"/>
  <c r="F95" i="8" s="1"/>
  <c r="C95" i="8"/>
  <c r="I95" i="8"/>
  <c r="AD224" i="8" l="1"/>
  <c r="Z224" i="8"/>
  <c r="AA224" i="8"/>
  <c r="AC224" i="8" s="1"/>
  <c r="AG223" i="8"/>
  <c r="AK223" i="8" s="1"/>
  <c r="G121" i="7"/>
  <c r="I121" i="7"/>
  <c r="J95" i="8"/>
  <c r="K95" i="8" s="1"/>
  <c r="E95" i="8"/>
  <c r="H151" i="1"/>
  <c r="I151" i="1"/>
  <c r="B151" i="1"/>
  <c r="J151" i="1"/>
  <c r="D151" i="1"/>
  <c r="E151" i="1" s="1"/>
  <c r="K151" i="1" s="1"/>
  <c r="C151" i="1"/>
  <c r="AG224" i="8" l="1"/>
  <c r="AK224" i="8" s="1"/>
  <c r="AB224" i="8"/>
  <c r="AI224" i="8" s="1"/>
  <c r="J121" i="7"/>
  <c r="F121" i="7"/>
  <c r="K121" i="7" s="1"/>
  <c r="AE122" i="7" s="1"/>
  <c r="G151" i="1"/>
  <c r="L95" i="8"/>
  <c r="O95" i="8"/>
  <c r="AD225" i="8" l="1"/>
  <c r="AA225" i="8"/>
  <c r="AC225" i="8" s="1"/>
  <c r="AB225" i="8" s="1"/>
  <c r="AI225" i="8" s="1"/>
  <c r="Z225" i="8"/>
  <c r="H122" i="7"/>
  <c r="C122" i="7"/>
  <c r="D122" i="7"/>
  <c r="E122" i="7" s="1"/>
  <c r="G122" i="7" s="1"/>
  <c r="B122" i="7"/>
  <c r="C96" i="8"/>
  <c r="H96" i="8"/>
  <c r="G96" i="8"/>
  <c r="I96" i="8"/>
  <c r="D96" i="8"/>
  <c r="F96" i="8" s="1"/>
  <c r="L151" i="1"/>
  <c r="M151" i="1" s="1"/>
  <c r="F151" i="1"/>
  <c r="AD226" i="8" l="1"/>
  <c r="Z226" i="8"/>
  <c r="AA226" i="8"/>
  <c r="AC226" i="8" s="1"/>
  <c r="AB226" i="8" s="1"/>
  <c r="AI226" i="8" s="1"/>
  <c r="AG225" i="8"/>
  <c r="AK225" i="8" s="1"/>
  <c r="F122" i="7"/>
  <c r="K122" i="7" s="1"/>
  <c r="AE123" i="7" s="1"/>
  <c r="I122" i="7"/>
  <c r="J122" i="7" s="1"/>
  <c r="N151" i="1"/>
  <c r="J96" i="8"/>
  <c r="K96" i="8" s="1"/>
  <c r="O96" i="8" s="1"/>
  <c r="E96" i="8"/>
  <c r="AA227" i="8" l="1"/>
  <c r="AC227" i="8" s="1"/>
  <c r="AB227" i="8" s="1"/>
  <c r="AI227" i="8" s="1"/>
  <c r="Z227" i="8"/>
  <c r="AD227" i="8"/>
  <c r="AG226" i="8"/>
  <c r="AK226" i="8" s="1"/>
  <c r="B123" i="7"/>
  <c r="D123" i="7"/>
  <c r="E123" i="7" s="1"/>
  <c r="I123" i="7" s="1"/>
  <c r="C123" i="7"/>
  <c r="H123" i="7"/>
  <c r="C152" i="1"/>
  <c r="AD152" i="1"/>
  <c r="D152" i="1"/>
  <c r="E152" i="1" s="1"/>
  <c r="G152" i="1" s="1"/>
  <c r="J152" i="1"/>
  <c r="H152" i="1"/>
  <c r="B152" i="1"/>
  <c r="I152" i="1"/>
  <c r="L96" i="8"/>
  <c r="C97" i="8" s="1"/>
  <c r="AG227" i="8" l="1"/>
  <c r="AK227" i="8" s="1"/>
  <c r="K152" i="1"/>
  <c r="L152" i="1" s="1"/>
  <c r="M152" i="1" s="1"/>
  <c r="AA228" i="8"/>
  <c r="AC228" i="8" s="1"/>
  <c r="AB228" i="8" s="1"/>
  <c r="AI228" i="8" s="1"/>
  <c r="AD228" i="8"/>
  <c r="Z228" i="8"/>
  <c r="G123" i="7"/>
  <c r="I97" i="8"/>
  <c r="H97" i="8"/>
  <c r="D97" i="8"/>
  <c r="F97" i="8" s="1"/>
  <c r="E97" i="8" s="1"/>
  <c r="G97" i="8"/>
  <c r="F152" i="1"/>
  <c r="AG228" i="8" l="1"/>
  <c r="AK228" i="8" s="1"/>
  <c r="AD229" i="8"/>
  <c r="AA229" i="8"/>
  <c r="AC229" i="8" s="1"/>
  <c r="AB229" i="8" s="1"/>
  <c r="AI229" i="8" s="1"/>
  <c r="Z229" i="8"/>
  <c r="J123" i="7"/>
  <c r="F123" i="7"/>
  <c r="K123" i="7" s="1"/>
  <c r="AE124" i="7" s="1"/>
  <c r="J97" i="8"/>
  <c r="K97" i="8" s="1"/>
  <c r="L97" i="8" s="1"/>
  <c r="N152" i="1"/>
  <c r="AG229" i="8" l="1"/>
  <c r="AK229" i="8" s="1"/>
  <c r="AA230" i="8"/>
  <c r="AC230" i="8" s="1"/>
  <c r="Z230" i="8"/>
  <c r="AD230" i="8"/>
  <c r="H124" i="7"/>
  <c r="D124" i="7"/>
  <c r="E124" i="7" s="1"/>
  <c r="G124" i="7" s="1"/>
  <c r="F124" i="7" s="1"/>
  <c r="K124" i="7" s="1"/>
  <c r="C124" i="7"/>
  <c r="B124" i="7"/>
  <c r="AD153" i="1"/>
  <c r="O97" i="8"/>
  <c r="H98" i="8"/>
  <c r="G98" i="8"/>
  <c r="C98" i="8"/>
  <c r="I98" i="8"/>
  <c r="D98" i="8"/>
  <c r="F98" i="8" s="1"/>
  <c r="E98" i="8" s="1"/>
  <c r="J153" i="1"/>
  <c r="I153" i="1"/>
  <c r="D153" i="1"/>
  <c r="E153" i="1" s="1"/>
  <c r="G153" i="1" s="1"/>
  <c r="F153" i="1" s="1"/>
  <c r="H153" i="1"/>
  <c r="B153" i="1"/>
  <c r="C153" i="1"/>
  <c r="K153" i="1" l="1"/>
  <c r="L153" i="1" s="1"/>
  <c r="M153" i="1" s="1"/>
  <c r="N153" i="1" s="1"/>
  <c r="AD154" i="1" s="1"/>
  <c r="AE125" i="7"/>
  <c r="I124" i="7"/>
  <c r="J124" i="7" s="1"/>
  <c r="AB230" i="8"/>
  <c r="AI230" i="8" s="1"/>
  <c r="AG230" i="8"/>
  <c r="AK230" i="8" s="1"/>
  <c r="B125" i="7"/>
  <c r="C125" i="7"/>
  <c r="H125" i="7"/>
  <c r="D125" i="7"/>
  <c r="E125" i="7" s="1"/>
  <c r="I125" i="7" s="1"/>
  <c r="J98" i="8"/>
  <c r="K98" i="8" s="1"/>
  <c r="O98" i="8" s="1"/>
  <c r="AD231" i="8" l="1"/>
  <c r="AA231" i="8"/>
  <c r="AC231" i="8" s="1"/>
  <c r="Z231" i="8"/>
  <c r="G125" i="7"/>
  <c r="J125" i="7" s="1"/>
  <c r="L98" i="8"/>
  <c r="G99" i="8" s="1"/>
  <c r="D154" i="1"/>
  <c r="E154" i="1" s="1"/>
  <c r="K154" i="1" s="1"/>
  <c r="J154" i="1"/>
  <c r="I154" i="1"/>
  <c r="B154" i="1"/>
  <c r="H154" i="1"/>
  <c r="C154" i="1"/>
  <c r="AG231" i="8" l="1"/>
  <c r="AK231" i="8" s="1"/>
  <c r="AB231" i="8"/>
  <c r="AI231" i="8" s="1"/>
  <c r="AA232" i="8" s="1"/>
  <c r="AC232" i="8" s="1"/>
  <c r="AB232" i="8" s="1"/>
  <c r="AI232" i="8" s="1"/>
  <c r="F125" i="7"/>
  <c r="K125" i="7" s="1"/>
  <c r="AE126" i="7" s="1"/>
  <c r="D99" i="8"/>
  <c r="F99" i="8" s="1"/>
  <c r="H99" i="8"/>
  <c r="C99" i="8"/>
  <c r="I99" i="8"/>
  <c r="G154" i="1"/>
  <c r="B126" i="7" l="1"/>
  <c r="H126" i="7"/>
  <c r="C126" i="7"/>
  <c r="Z232" i="8"/>
  <c r="Z233" i="8" s="1"/>
  <c r="AD232" i="8"/>
  <c r="AG232" i="8" s="1"/>
  <c r="AK232" i="8" s="1"/>
  <c r="D126" i="7"/>
  <c r="E126" i="7" s="1"/>
  <c r="G126" i="7" s="1"/>
  <c r="AA233" i="8"/>
  <c r="AC233" i="8" s="1"/>
  <c r="AD233" i="8"/>
  <c r="J99" i="8"/>
  <c r="E99" i="8"/>
  <c r="L154" i="1"/>
  <c r="M154" i="1" s="1"/>
  <c r="F154" i="1"/>
  <c r="I126" i="7" l="1"/>
  <c r="J126" i="7" s="1"/>
  <c r="AG233" i="8"/>
  <c r="AK233" i="8" s="1"/>
  <c r="AB233" i="8"/>
  <c r="AI233" i="8" s="1"/>
  <c r="F126" i="7"/>
  <c r="K126" i="7" s="1"/>
  <c r="AE127" i="7" s="1"/>
  <c r="N154" i="1"/>
  <c r="AD155" i="1" s="1"/>
  <c r="K99" i="8"/>
  <c r="L99" i="8" s="1"/>
  <c r="AD234" i="8" l="1"/>
  <c r="AA234" i="8"/>
  <c r="AC234" i="8" s="1"/>
  <c r="Z234" i="8"/>
  <c r="C127" i="7"/>
  <c r="H127" i="7"/>
  <c r="D127" i="7"/>
  <c r="E127" i="7" s="1"/>
  <c r="B127" i="7"/>
  <c r="D100" i="8"/>
  <c r="F100" i="8" s="1"/>
  <c r="G100" i="8"/>
  <c r="H100" i="8"/>
  <c r="I100" i="8"/>
  <c r="C100" i="8"/>
  <c r="O99" i="8"/>
  <c r="C155" i="1"/>
  <c r="D155" i="1"/>
  <c r="E155" i="1" s="1"/>
  <c r="K155" i="1" s="1"/>
  <c r="H155" i="1"/>
  <c r="J155" i="1"/>
  <c r="I155" i="1"/>
  <c r="B155" i="1"/>
  <c r="AB234" i="8" l="1"/>
  <c r="AI234" i="8" s="1"/>
  <c r="AG234" i="8"/>
  <c r="AK234" i="8" s="1"/>
  <c r="G127" i="7"/>
  <c r="I127" i="7"/>
  <c r="G155" i="1"/>
  <c r="J100" i="8"/>
  <c r="E100" i="8"/>
  <c r="AD235" i="8" l="1"/>
  <c r="Z235" i="8"/>
  <c r="AA235" i="8"/>
  <c r="AC235" i="8" s="1"/>
  <c r="AB235" i="8" s="1"/>
  <c r="AI235" i="8" s="1"/>
  <c r="J127" i="7"/>
  <c r="F127" i="7"/>
  <c r="K127" i="7" s="1"/>
  <c r="AE128" i="7" s="1"/>
  <c r="L155" i="1"/>
  <c r="M155" i="1" s="1"/>
  <c r="F155" i="1"/>
  <c r="K100" i="8"/>
  <c r="L100" i="8" s="1"/>
  <c r="AA236" i="8" l="1"/>
  <c r="AC236" i="8" s="1"/>
  <c r="AB236" i="8" s="1"/>
  <c r="AI236" i="8" s="1"/>
  <c r="AD236" i="8"/>
  <c r="Z236" i="8"/>
  <c r="AG235" i="8"/>
  <c r="AK235" i="8" s="1"/>
  <c r="H128" i="7"/>
  <c r="B128" i="7"/>
  <c r="D128" i="7"/>
  <c r="E128" i="7" s="1"/>
  <c r="I128" i="7" s="1"/>
  <c r="C128" i="7"/>
  <c r="I101" i="8"/>
  <c r="C101" i="8"/>
  <c r="D101" i="8"/>
  <c r="F101" i="8" s="1"/>
  <c r="E101" i="8" s="1"/>
  <c r="G101" i="8"/>
  <c r="H101" i="8"/>
  <c r="O100" i="8"/>
  <c r="N155" i="1"/>
  <c r="AD156" i="1" s="1"/>
  <c r="AG236" i="8" l="1"/>
  <c r="AK236" i="8" s="1"/>
  <c r="Z237" i="8"/>
  <c r="AA237" i="8"/>
  <c r="AC237" i="8" s="1"/>
  <c r="AB237" i="8" s="1"/>
  <c r="AI237" i="8" s="1"/>
  <c r="AD237" i="8"/>
  <c r="G128" i="7"/>
  <c r="H156" i="1"/>
  <c r="D156" i="1"/>
  <c r="E156" i="1" s="1"/>
  <c r="K156" i="1" s="1"/>
  <c r="B156" i="1"/>
  <c r="I156" i="1"/>
  <c r="J156" i="1"/>
  <c r="C156" i="1"/>
  <c r="J101" i="8"/>
  <c r="K101" i="8" s="1"/>
  <c r="L101" i="8" s="1"/>
  <c r="AG237" i="8" l="1"/>
  <c r="AK237" i="8" s="1"/>
  <c r="AD238" i="8"/>
  <c r="AA238" i="8"/>
  <c r="AC238" i="8" s="1"/>
  <c r="AB238" i="8" s="1"/>
  <c r="AI238" i="8" s="1"/>
  <c r="Z238" i="8"/>
  <c r="J128" i="7"/>
  <c r="F128" i="7"/>
  <c r="K128" i="7" s="1"/>
  <c r="AE129" i="7" s="1"/>
  <c r="H102" i="8"/>
  <c r="D102" i="8"/>
  <c r="F102" i="8" s="1"/>
  <c r="E102" i="8" s="1"/>
  <c r="G102" i="8"/>
  <c r="I102" i="8"/>
  <c r="C102" i="8"/>
  <c r="G156" i="1"/>
  <c r="O101" i="8"/>
  <c r="AG238" i="8" l="1"/>
  <c r="AK238" i="8" s="1"/>
  <c r="Z239" i="8"/>
  <c r="AD239" i="8"/>
  <c r="AA239" i="8"/>
  <c r="AC239" i="8" s="1"/>
  <c r="D129" i="7"/>
  <c r="E129" i="7" s="1"/>
  <c r="I129" i="7" s="1"/>
  <c r="B129" i="7"/>
  <c r="C129" i="7"/>
  <c r="H129" i="7"/>
  <c r="L156" i="1"/>
  <c r="M156" i="1" s="1"/>
  <c r="F156" i="1"/>
  <c r="J102" i="8"/>
  <c r="AG239" i="8" l="1"/>
  <c r="AK239" i="8" s="1"/>
  <c r="AB239" i="8"/>
  <c r="AI239" i="8" s="1"/>
  <c r="G129" i="7"/>
  <c r="F129" i="7" s="1"/>
  <c r="K129" i="7" s="1"/>
  <c r="AE130" i="7" s="1"/>
  <c r="K102" i="8"/>
  <c r="L102" i="8" s="1"/>
  <c r="N156" i="1"/>
  <c r="AD157" i="1" s="1"/>
  <c r="AD240" i="8" l="1"/>
  <c r="AA240" i="8"/>
  <c r="AC240" i="8" s="1"/>
  <c r="AB240" i="8" s="1"/>
  <c r="AI240" i="8" s="1"/>
  <c r="Z240" i="8"/>
  <c r="D130" i="7"/>
  <c r="E130" i="7" s="1"/>
  <c r="H130" i="7"/>
  <c r="B130" i="7"/>
  <c r="J129" i="7"/>
  <c r="C130" i="7"/>
  <c r="D103" i="8"/>
  <c r="F103" i="8" s="1"/>
  <c r="E103" i="8" s="1"/>
  <c r="C103" i="8"/>
  <c r="I103" i="8"/>
  <c r="H103" i="8"/>
  <c r="G103" i="8"/>
  <c r="J157" i="1"/>
  <c r="I157" i="1"/>
  <c r="C157" i="1"/>
  <c r="D157" i="1"/>
  <c r="E157" i="1" s="1"/>
  <c r="K157" i="1" s="1"/>
  <c r="H157" i="1"/>
  <c r="B157" i="1"/>
  <c r="O102" i="8"/>
  <c r="AA241" i="8" l="1"/>
  <c r="AC241" i="8" s="1"/>
  <c r="AB241" i="8" s="1"/>
  <c r="AI241" i="8" s="1"/>
  <c r="AD241" i="8"/>
  <c r="Z241" i="8"/>
  <c r="AG240" i="8"/>
  <c r="AK240" i="8" s="1"/>
  <c r="I130" i="7"/>
  <c r="G130" i="7"/>
  <c r="J103" i="8"/>
  <c r="K103" i="8" s="1"/>
  <c r="L103" i="8" s="1"/>
  <c r="G157" i="1"/>
  <c r="AG241" i="8" l="1"/>
  <c r="AK241" i="8" s="1"/>
  <c r="AD242" i="8"/>
  <c r="AA242" i="8"/>
  <c r="AC242" i="8" s="1"/>
  <c r="AB242" i="8" s="1"/>
  <c r="AI242" i="8" s="1"/>
  <c r="Z242" i="8"/>
  <c r="J130" i="7"/>
  <c r="F130" i="7"/>
  <c r="K130" i="7" s="1"/>
  <c r="AE131" i="7" s="1"/>
  <c r="G104" i="8"/>
  <c r="H104" i="8"/>
  <c r="D104" i="8"/>
  <c r="I104" i="8"/>
  <c r="C104" i="8"/>
  <c r="L157" i="1"/>
  <c r="M157" i="1" s="1"/>
  <c r="F157" i="1"/>
  <c r="O103" i="8"/>
  <c r="AG242" i="8" l="1"/>
  <c r="AK242" i="8" s="1"/>
  <c r="AA243" i="8"/>
  <c r="AC243" i="8" s="1"/>
  <c r="AB243" i="8" s="1"/>
  <c r="AI243" i="8" s="1"/>
  <c r="AD243" i="8"/>
  <c r="Z243" i="8"/>
  <c r="C131" i="7"/>
  <c r="H131" i="7"/>
  <c r="D131" i="7"/>
  <c r="E131" i="7" s="1"/>
  <c r="I131" i="7" s="1"/>
  <c r="B131" i="7"/>
  <c r="F104" i="8"/>
  <c r="N157" i="1"/>
  <c r="AD158" i="1" s="1"/>
  <c r="AG243" i="8" l="1"/>
  <c r="AK243" i="8" s="1"/>
  <c r="AA244" i="8"/>
  <c r="AC244" i="8" s="1"/>
  <c r="AB244" i="8" s="1"/>
  <c r="AI244" i="8" s="1"/>
  <c r="AD244" i="8"/>
  <c r="Z244" i="8"/>
  <c r="G131" i="7"/>
  <c r="J131" i="7" s="1"/>
  <c r="H158" i="1"/>
  <c r="C158" i="1"/>
  <c r="K158" i="1"/>
  <c r="I158" i="1"/>
  <c r="J158" i="1"/>
  <c r="D158" i="1"/>
  <c r="E158" i="1" s="1"/>
  <c r="G158" i="1" s="1"/>
  <c r="B158" i="1"/>
  <c r="J104" i="8"/>
  <c r="E104" i="8"/>
  <c r="F131" i="7" l="1"/>
  <c r="K131" i="7" s="1"/>
  <c r="AE132" i="7" s="1"/>
  <c r="AG244" i="8"/>
  <c r="AK244" i="8" s="1"/>
  <c r="AD245" i="8"/>
  <c r="AA245" i="8"/>
  <c r="AC245" i="8" s="1"/>
  <c r="AB245" i="8" s="1"/>
  <c r="AI245" i="8" s="1"/>
  <c r="Z245" i="8"/>
  <c r="L158" i="1"/>
  <c r="M158" i="1" s="1"/>
  <c r="F158" i="1"/>
  <c r="K104" i="8"/>
  <c r="O104" i="8" s="1"/>
  <c r="H132" i="7" l="1"/>
  <c r="B132" i="7"/>
  <c r="C132" i="7"/>
  <c r="D132" i="7"/>
  <c r="E132" i="7" s="1"/>
  <c r="G132" i="7" s="1"/>
  <c r="F132" i="7" s="1"/>
  <c r="K132" i="7" s="1"/>
  <c r="D133" i="7" s="1"/>
  <c r="E133" i="7" s="1"/>
  <c r="AG245" i="8"/>
  <c r="AK245" i="8" s="1"/>
  <c r="Z246" i="8"/>
  <c r="AD246" i="8"/>
  <c r="AA246" i="8"/>
  <c r="AC246" i="8" s="1"/>
  <c r="AB246" i="8" s="1"/>
  <c r="AI246" i="8" s="1"/>
  <c r="L104" i="8"/>
  <c r="N158" i="1"/>
  <c r="AD159" i="1" s="1"/>
  <c r="I133" i="7" l="1"/>
  <c r="G133" i="7"/>
  <c r="F133" i="7" s="1"/>
  <c r="K133" i="7" s="1"/>
  <c r="H134" i="7" s="1"/>
  <c r="C133" i="7"/>
  <c r="AE133" i="7"/>
  <c r="B133" i="7"/>
  <c r="H133" i="7"/>
  <c r="I132" i="7"/>
  <c r="J132" i="7" s="1"/>
  <c r="AG246" i="8"/>
  <c r="AK246" i="8" s="1"/>
  <c r="AA247" i="8"/>
  <c r="AC247" i="8" s="1"/>
  <c r="AB247" i="8" s="1"/>
  <c r="AI247" i="8" s="1"/>
  <c r="AD247" i="8"/>
  <c r="Z247" i="8"/>
  <c r="D159" i="1"/>
  <c r="E159" i="1" s="1"/>
  <c r="G159" i="1" s="1"/>
  <c r="J159" i="1"/>
  <c r="B159" i="1"/>
  <c r="K159" i="1"/>
  <c r="H159" i="1"/>
  <c r="C159" i="1"/>
  <c r="I159" i="1"/>
  <c r="H105" i="8"/>
  <c r="C105" i="8"/>
  <c r="I105" i="8"/>
  <c r="D105" i="8"/>
  <c r="F105" i="8" s="1"/>
  <c r="G105" i="8"/>
  <c r="D134" i="7" l="1"/>
  <c r="E134" i="7" s="1"/>
  <c r="I134" i="7" s="1"/>
  <c r="J133" i="7"/>
  <c r="AE134" i="7"/>
  <c r="B134" i="7"/>
  <c r="C134" i="7"/>
  <c r="AD248" i="8"/>
  <c r="Z248" i="8"/>
  <c r="AA248" i="8"/>
  <c r="AC248" i="8" s="1"/>
  <c r="AB248" i="8" s="1"/>
  <c r="AI248" i="8" s="1"/>
  <c r="AG247" i="8"/>
  <c r="AK247" i="8" s="1"/>
  <c r="G134" i="7"/>
  <c r="F134" i="7" s="1"/>
  <c r="K134" i="7" s="1"/>
  <c r="J105" i="8"/>
  <c r="K105" i="8" s="1"/>
  <c r="O105" i="8" s="1"/>
  <c r="E105" i="8"/>
  <c r="L159" i="1"/>
  <c r="M159" i="1" s="1"/>
  <c r="F159" i="1"/>
  <c r="C135" i="7" l="1"/>
  <c r="AE135" i="7"/>
  <c r="AG248" i="8"/>
  <c r="AK248" i="8" s="1"/>
  <c r="AA249" i="8"/>
  <c r="AC249" i="8" s="1"/>
  <c r="AB249" i="8" s="1"/>
  <c r="AI249" i="8" s="1"/>
  <c r="Z249" i="8"/>
  <c r="AD249" i="8"/>
  <c r="J134" i="7"/>
  <c r="B135" i="7"/>
  <c r="H135" i="7"/>
  <c r="D135" i="7"/>
  <c r="E135" i="7" s="1"/>
  <c r="I135" i="7" s="1"/>
  <c r="L105" i="8"/>
  <c r="D106" i="8" s="1"/>
  <c r="F106" i="8" s="1"/>
  <c r="N159" i="1"/>
  <c r="AD160" i="1" s="1"/>
  <c r="AG249" i="8" l="1"/>
  <c r="AK249" i="8" s="1"/>
  <c r="Z250" i="8"/>
  <c r="AD250" i="8"/>
  <c r="AA250" i="8"/>
  <c r="AC250" i="8" s="1"/>
  <c r="AB250" i="8" s="1"/>
  <c r="AI250" i="8" s="1"/>
  <c r="G135" i="7"/>
  <c r="J135" i="7" s="1"/>
  <c r="C106" i="8"/>
  <c r="G106" i="8"/>
  <c r="H106" i="8"/>
  <c r="I106" i="8"/>
  <c r="E106" i="8"/>
  <c r="D160" i="1"/>
  <c r="E160" i="1" s="1"/>
  <c r="K160" i="1" s="1"/>
  <c r="J160" i="1"/>
  <c r="C160" i="1"/>
  <c r="H160" i="1"/>
  <c r="B160" i="1"/>
  <c r="I160" i="1"/>
  <c r="F135" i="7" l="1"/>
  <c r="K135" i="7" s="1"/>
  <c r="AE136" i="7" s="1"/>
  <c r="Z251" i="8"/>
  <c r="AA251" i="8"/>
  <c r="AC251" i="8" s="1"/>
  <c r="AB251" i="8" s="1"/>
  <c r="AI251" i="8" s="1"/>
  <c r="AD251" i="8"/>
  <c r="AG250" i="8"/>
  <c r="AK250" i="8" s="1"/>
  <c r="J106" i="8"/>
  <c r="K106" i="8" s="1"/>
  <c r="G160" i="1"/>
  <c r="B136" i="7" l="1"/>
  <c r="D136" i="7"/>
  <c r="E136" i="7" s="1"/>
  <c r="I136" i="7" s="1"/>
  <c r="H136" i="7"/>
  <c r="C136" i="7"/>
  <c r="AG251" i="8"/>
  <c r="AK251" i="8" s="1"/>
  <c r="Z252" i="8"/>
  <c r="AA252" i="8"/>
  <c r="AC252" i="8" s="1"/>
  <c r="AB252" i="8" s="1"/>
  <c r="AI252" i="8" s="1"/>
  <c r="AD252" i="8"/>
  <c r="O106" i="8"/>
  <c r="L106" i="8"/>
  <c r="L160" i="1"/>
  <c r="M160" i="1" s="1"/>
  <c r="F160" i="1"/>
  <c r="G136" i="7" l="1"/>
  <c r="J136" i="7" s="1"/>
  <c r="AG252" i="8"/>
  <c r="AK252" i="8" s="1"/>
  <c r="AD253" i="8"/>
  <c r="AA253" i="8"/>
  <c r="AC253" i="8" s="1"/>
  <c r="AB253" i="8" s="1"/>
  <c r="AI253" i="8" s="1"/>
  <c r="Z253" i="8"/>
  <c r="F136" i="7"/>
  <c r="K136" i="7" s="1"/>
  <c r="AE137" i="7" s="1"/>
  <c r="N160" i="1"/>
  <c r="AD161" i="1" s="1"/>
  <c r="C107" i="8"/>
  <c r="G107" i="8"/>
  <c r="H107" i="8"/>
  <c r="D107" i="8"/>
  <c r="F107" i="8" s="1"/>
  <c r="I107" i="8"/>
  <c r="AD254" i="8" l="1"/>
  <c r="AA254" i="8"/>
  <c r="AC254" i="8" s="1"/>
  <c r="AB254" i="8" s="1"/>
  <c r="AI254" i="8" s="1"/>
  <c r="Z254" i="8"/>
  <c r="AG253" i="8"/>
  <c r="AK253" i="8" s="1"/>
  <c r="H137" i="7"/>
  <c r="B137" i="7"/>
  <c r="D137" i="7"/>
  <c r="E137" i="7" s="1"/>
  <c r="I137" i="7" s="1"/>
  <c r="C137" i="7"/>
  <c r="J107" i="8"/>
  <c r="K107" i="8" s="1"/>
  <c r="E107" i="8"/>
  <c r="B161" i="1"/>
  <c r="J161" i="1"/>
  <c r="H161" i="1"/>
  <c r="D161" i="1"/>
  <c r="E161" i="1" s="1"/>
  <c r="K161" i="1" s="1"/>
  <c r="I161" i="1"/>
  <c r="C161" i="1"/>
  <c r="AG254" i="8" l="1"/>
  <c r="AK254" i="8" s="1"/>
  <c r="AD255" i="8"/>
  <c r="Z255" i="8"/>
  <c r="AA255" i="8"/>
  <c r="AC255" i="8" s="1"/>
  <c r="AB255" i="8" s="1"/>
  <c r="AI255" i="8" s="1"/>
  <c r="G137" i="7"/>
  <c r="J137" i="7" s="1"/>
  <c r="G161" i="1"/>
  <c r="L107" i="8"/>
  <c r="O107" i="8"/>
  <c r="F137" i="7" l="1"/>
  <c r="K137" i="7" s="1"/>
  <c r="AE138" i="7" s="1"/>
  <c r="Z256" i="8"/>
  <c r="AD256" i="8"/>
  <c r="AA256" i="8"/>
  <c r="AC256" i="8" s="1"/>
  <c r="AG255" i="8"/>
  <c r="AK255" i="8" s="1"/>
  <c r="L161" i="1"/>
  <c r="M161" i="1" s="1"/>
  <c r="F161" i="1"/>
  <c r="H108" i="8"/>
  <c r="D108" i="8"/>
  <c r="F108" i="8" s="1"/>
  <c r="G108" i="8"/>
  <c r="I108" i="8"/>
  <c r="C108" i="8"/>
  <c r="D138" i="7" l="1"/>
  <c r="E138" i="7" s="1"/>
  <c r="C138" i="7"/>
  <c r="H138" i="7"/>
  <c r="B138" i="7"/>
  <c r="AG256" i="8"/>
  <c r="AK256" i="8" s="1"/>
  <c r="AB256" i="8"/>
  <c r="AI256" i="8" s="1"/>
  <c r="AA257" i="8" s="1"/>
  <c r="AC257" i="8" s="1"/>
  <c r="AB257" i="8" s="1"/>
  <c r="AI257" i="8" s="1"/>
  <c r="I138" i="7"/>
  <c r="G138" i="7"/>
  <c r="J108" i="8"/>
  <c r="K108" i="8" s="1"/>
  <c r="O108" i="8" s="1"/>
  <c r="E108" i="8"/>
  <c r="N161" i="1"/>
  <c r="AD162" i="1" s="1"/>
  <c r="AD257" i="8" l="1"/>
  <c r="AG257" i="8" s="1"/>
  <c r="AK257" i="8" s="1"/>
  <c r="Z257" i="8"/>
  <c r="Z258" i="8" s="1"/>
  <c r="AA258" i="8"/>
  <c r="AC258" i="8" s="1"/>
  <c r="AD258" i="8"/>
  <c r="J138" i="7"/>
  <c r="F138" i="7"/>
  <c r="K138" i="7" s="1"/>
  <c r="AE139" i="7" s="1"/>
  <c r="L108" i="8"/>
  <c r="G109" i="8" s="1"/>
  <c r="D162" i="1"/>
  <c r="E162" i="1" s="1"/>
  <c r="G162" i="1" s="1"/>
  <c r="J162" i="1"/>
  <c r="B162" i="1"/>
  <c r="I162" i="1"/>
  <c r="H162" i="1"/>
  <c r="C162" i="1"/>
  <c r="K162" i="1" l="1"/>
  <c r="L162" i="1" s="1"/>
  <c r="M162" i="1" s="1"/>
  <c r="AG258" i="8"/>
  <c r="AK258" i="8" s="1"/>
  <c r="AB258" i="8"/>
  <c r="AI258" i="8" s="1"/>
  <c r="I109" i="8"/>
  <c r="B139" i="7"/>
  <c r="D139" i="7"/>
  <c r="E139" i="7" s="1"/>
  <c r="G139" i="7" s="1"/>
  <c r="F139" i="7" s="1"/>
  <c r="K139" i="7" s="1"/>
  <c r="C139" i="7"/>
  <c r="H139" i="7"/>
  <c r="D109" i="8"/>
  <c r="F109" i="8" s="1"/>
  <c r="E109" i="8" s="1"/>
  <c r="H109" i="8"/>
  <c r="C109" i="8"/>
  <c r="F162" i="1"/>
  <c r="AE140" i="7" l="1"/>
  <c r="Z259" i="8"/>
  <c r="AD259" i="8"/>
  <c r="AA259" i="8"/>
  <c r="AC259" i="8" s="1"/>
  <c r="B140" i="7"/>
  <c r="C140" i="7"/>
  <c r="H140" i="7"/>
  <c r="D140" i="7"/>
  <c r="E140" i="7" s="1"/>
  <c r="I139" i="7"/>
  <c r="J139" i="7" s="1"/>
  <c r="J109" i="8"/>
  <c r="N162" i="1"/>
  <c r="AD163" i="1" s="1"/>
  <c r="AB259" i="8" l="1"/>
  <c r="AI259" i="8" s="1"/>
  <c r="AG259" i="8"/>
  <c r="AK259" i="8" s="1"/>
  <c r="K109" i="8"/>
  <c r="L109" i="8" s="1"/>
  <c r="C110" i="8" s="1"/>
  <c r="G140" i="7"/>
  <c r="F140" i="7" s="1"/>
  <c r="K140" i="7" s="1"/>
  <c r="AE141" i="7" s="1"/>
  <c r="I140" i="7"/>
  <c r="I163" i="1"/>
  <c r="C163" i="1"/>
  <c r="H163" i="1"/>
  <c r="J163" i="1"/>
  <c r="D163" i="1"/>
  <c r="E163" i="1" s="1"/>
  <c r="G163" i="1" s="1"/>
  <c r="B163" i="1"/>
  <c r="K163" i="1" l="1"/>
  <c r="L163" i="1" s="1"/>
  <c r="M163" i="1" s="1"/>
  <c r="AA260" i="8"/>
  <c r="AC260" i="8" s="1"/>
  <c r="AB260" i="8" s="1"/>
  <c r="AI260" i="8" s="1"/>
  <c r="Z260" i="8"/>
  <c r="AD260" i="8"/>
  <c r="H110" i="8"/>
  <c r="D110" i="8"/>
  <c r="F110" i="8" s="1"/>
  <c r="E110" i="8" s="1"/>
  <c r="I110" i="8"/>
  <c r="G110" i="8"/>
  <c r="O109" i="8"/>
  <c r="J140" i="7"/>
  <c r="B141" i="7"/>
  <c r="C141" i="7"/>
  <c r="D141" i="7"/>
  <c r="E141" i="7" s="1"/>
  <c r="H141" i="7"/>
  <c r="F163" i="1"/>
  <c r="AG260" i="8" l="1"/>
  <c r="AK260" i="8" s="1"/>
  <c r="AD261" i="8"/>
  <c r="AA261" i="8"/>
  <c r="AC261" i="8" s="1"/>
  <c r="AB261" i="8" s="1"/>
  <c r="AI261" i="8" s="1"/>
  <c r="Z261" i="8"/>
  <c r="J110" i="8"/>
  <c r="K110" i="8" s="1"/>
  <c r="O110" i="8" s="1"/>
  <c r="I141" i="7"/>
  <c r="G141" i="7"/>
  <c r="N163" i="1"/>
  <c r="AD164" i="1" s="1"/>
  <c r="AG261" i="8" l="1"/>
  <c r="AK261" i="8" s="1"/>
  <c r="AD262" i="8"/>
  <c r="Z262" i="8"/>
  <c r="AA262" i="8"/>
  <c r="AC262" i="8" s="1"/>
  <c r="AB262" i="8" s="1"/>
  <c r="AI262" i="8" s="1"/>
  <c r="L110" i="8"/>
  <c r="C111" i="8" s="1"/>
  <c r="J141" i="7"/>
  <c r="F141" i="7"/>
  <c r="K141" i="7" s="1"/>
  <c r="AE142" i="7" s="1"/>
  <c r="B164" i="1"/>
  <c r="C164" i="1"/>
  <c r="D164" i="1"/>
  <c r="E164" i="1" s="1"/>
  <c r="H164" i="1"/>
  <c r="I164" i="1"/>
  <c r="J164" i="1"/>
  <c r="K164" i="1"/>
  <c r="D111" i="8" l="1"/>
  <c r="F111" i="8" s="1"/>
  <c r="E111" i="8" s="1"/>
  <c r="G111" i="8"/>
  <c r="AA263" i="8"/>
  <c r="AC263" i="8" s="1"/>
  <c r="AB263" i="8" s="1"/>
  <c r="AI263" i="8" s="1"/>
  <c r="Z263" i="8"/>
  <c r="AD263" i="8"/>
  <c r="AG262" i="8"/>
  <c r="AK262" i="8" s="1"/>
  <c r="I111" i="8"/>
  <c r="H111" i="8"/>
  <c r="H142" i="7"/>
  <c r="D142" i="7"/>
  <c r="E142" i="7" s="1"/>
  <c r="I142" i="7" s="1"/>
  <c r="C142" i="7"/>
  <c r="B142" i="7"/>
  <c r="G164" i="1"/>
  <c r="AG263" i="8" l="1"/>
  <c r="AK263" i="8" s="1"/>
  <c r="AD264" i="8"/>
  <c r="AA264" i="8"/>
  <c r="AC264" i="8" s="1"/>
  <c r="AB264" i="8" s="1"/>
  <c r="AI264" i="8" s="1"/>
  <c r="Z264" i="8"/>
  <c r="J111" i="8"/>
  <c r="G142" i="7"/>
  <c r="L164" i="1"/>
  <c r="M164" i="1" s="1"/>
  <c r="F164" i="1"/>
  <c r="K111" i="8" l="1"/>
  <c r="AG264" i="8"/>
  <c r="AK264" i="8" s="1"/>
  <c r="J142" i="7"/>
  <c r="F142" i="7"/>
  <c r="K142" i="7" s="1"/>
  <c r="AE143" i="7" s="1"/>
  <c r="N164" i="1"/>
  <c r="AD165" i="1" s="1"/>
  <c r="O111" i="8" l="1"/>
  <c r="L111" i="8"/>
  <c r="AK21" i="8"/>
  <c r="AB20" i="8"/>
  <c r="D13" i="7" s="1"/>
  <c r="D143" i="7"/>
  <c r="E143" i="7" s="1"/>
  <c r="G143" i="7" s="1"/>
  <c r="F143" i="7" s="1"/>
  <c r="K143" i="7" s="1"/>
  <c r="C143" i="7"/>
  <c r="H143" i="7"/>
  <c r="B143" i="7"/>
  <c r="K165" i="1"/>
  <c r="J165" i="1"/>
  <c r="D165" i="1"/>
  <c r="E165" i="1" s="1"/>
  <c r="I165" i="1"/>
  <c r="B165" i="1"/>
  <c r="C165" i="1"/>
  <c r="H165" i="1"/>
  <c r="D112" i="8" l="1"/>
  <c r="F112" i="8" s="1"/>
  <c r="E112" i="8" s="1"/>
  <c r="H112" i="8"/>
  <c r="G112" i="8"/>
  <c r="C112" i="8"/>
  <c r="I112" i="8"/>
  <c r="AE144" i="7"/>
  <c r="H144" i="7"/>
  <c r="C144" i="7"/>
  <c r="B144" i="7"/>
  <c r="D144" i="7"/>
  <c r="E144" i="7" s="1"/>
  <c r="G144" i="7" s="1"/>
  <c r="F144" i="7" s="1"/>
  <c r="K144" i="7" s="1"/>
  <c r="I143" i="7"/>
  <c r="J143" i="7" s="1"/>
  <c r="G165" i="1"/>
  <c r="J112" i="8" l="1"/>
  <c r="K112" i="8" s="1"/>
  <c r="L112" i="8" s="1"/>
  <c r="D113" i="8" s="1"/>
  <c r="F113" i="8" s="1"/>
  <c r="E113" i="8" s="1"/>
  <c r="AE145" i="7"/>
  <c r="H145" i="7"/>
  <c r="B145" i="7"/>
  <c r="C145" i="7"/>
  <c r="D145" i="7"/>
  <c r="E145" i="7" s="1"/>
  <c r="I144" i="7"/>
  <c r="J144" i="7" s="1"/>
  <c r="L165" i="1"/>
  <c r="M165" i="1" s="1"/>
  <c r="F165" i="1"/>
  <c r="I113" i="8" l="1"/>
  <c r="O112" i="8"/>
  <c r="H113" i="8"/>
  <c r="G113" i="8"/>
  <c r="C113" i="8"/>
  <c r="G145" i="7"/>
  <c r="F145" i="7" s="1"/>
  <c r="K145" i="7" s="1"/>
  <c r="AE146" i="7" s="1"/>
  <c r="I145" i="7"/>
  <c r="N165" i="1"/>
  <c r="AD166" i="1" s="1"/>
  <c r="J113" i="8" l="1"/>
  <c r="K113" i="8" s="1"/>
  <c r="O113" i="8" s="1"/>
  <c r="J145" i="7"/>
  <c r="C146" i="7"/>
  <c r="B146" i="7"/>
  <c r="D146" i="7"/>
  <c r="E146" i="7" s="1"/>
  <c r="G146" i="7" s="1"/>
  <c r="F146" i="7" s="1"/>
  <c r="K146" i="7" s="1"/>
  <c r="H146" i="7"/>
  <c r="C166" i="1"/>
  <c r="J166" i="1"/>
  <c r="B166" i="1"/>
  <c r="D166" i="1"/>
  <c r="E166" i="1" s="1"/>
  <c r="K166" i="1" s="1"/>
  <c r="H166" i="1"/>
  <c r="I166" i="1"/>
  <c r="L113" i="8" l="1"/>
  <c r="AE147" i="7"/>
  <c r="I146" i="7"/>
  <c r="J146" i="7" s="1"/>
  <c r="B147" i="7"/>
  <c r="D147" i="7"/>
  <c r="E147" i="7" s="1"/>
  <c r="H147" i="7"/>
  <c r="C147" i="7"/>
  <c r="G166" i="1"/>
  <c r="I114" i="8" l="1"/>
  <c r="C114" i="8"/>
  <c r="D114" i="8"/>
  <c r="F114" i="8" s="1"/>
  <c r="E114" i="8" s="1"/>
  <c r="H114" i="8"/>
  <c r="G114" i="8"/>
  <c r="G147" i="7"/>
  <c r="F147" i="7" s="1"/>
  <c r="K147" i="7" s="1"/>
  <c r="AE148" i="7" s="1"/>
  <c r="I147" i="7"/>
  <c r="L166" i="1"/>
  <c r="M166" i="1" s="1"/>
  <c r="F166" i="1"/>
  <c r="J114" i="8" l="1"/>
  <c r="J147" i="7"/>
  <c r="C148" i="7"/>
  <c r="H148" i="7"/>
  <c r="D148" i="7"/>
  <c r="E148" i="7" s="1"/>
  <c r="B148" i="7"/>
  <c r="K114" i="8"/>
  <c r="L114" i="8" s="1"/>
  <c r="N166" i="1"/>
  <c r="AD167" i="1" s="1"/>
  <c r="G148" i="7" l="1"/>
  <c r="F148" i="7" s="1"/>
  <c r="K148" i="7" s="1"/>
  <c r="AE149" i="7" s="1"/>
  <c r="I148" i="7"/>
  <c r="G115" i="8"/>
  <c r="D115" i="8"/>
  <c r="F115" i="8" s="1"/>
  <c r="C115" i="8"/>
  <c r="H115" i="8"/>
  <c r="I115" i="8"/>
  <c r="H167" i="1"/>
  <c r="I167" i="1"/>
  <c r="B167" i="1"/>
  <c r="C167" i="1"/>
  <c r="D167" i="1"/>
  <c r="E167" i="1" s="1"/>
  <c r="K167" i="1" s="1"/>
  <c r="J167" i="1"/>
  <c r="O114" i="8"/>
  <c r="J148" i="7" l="1"/>
  <c r="B149" i="7"/>
  <c r="C149" i="7"/>
  <c r="H149" i="7"/>
  <c r="D149" i="7"/>
  <c r="E149" i="7" s="1"/>
  <c r="G167" i="1"/>
  <c r="L167" i="1" s="1"/>
  <c r="M167" i="1" s="1"/>
  <c r="J115" i="8"/>
  <c r="E115" i="8"/>
  <c r="I149" i="7" l="1"/>
  <c r="G149" i="7"/>
  <c r="F167" i="1"/>
  <c r="N167" i="1" s="1"/>
  <c r="K115" i="8"/>
  <c r="O115" i="8" s="1"/>
  <c r="J149" i="7" l="1"/>
  <c r="F149" i="7"/>
  <c r="K149" i="7" s="1"/>
  <c r="AE150" i="7" s="1"/>
  <c r="B168" i="1"/>
  <c r="AD168" i="1"/>
  <c r="J168" i="1"/>
  <c r="H168" i="1"/>
  <c r="I168" i="1"/>
  <c r="C168" i="1"/>
  <c r="D168" i="1"/>
  <c r="E168" i="1" s="1"/>
  <c r="G168" i="1" s="1"/>
  <c r="L115" i="8"/>
  <c r="K168" i="1" l="1"/>
  <c r="L168" i="1" s="1"/>
  <c r="M168" i="1" s="1"/>
  <c r="H150" i="7"/>
  <c r="C150" i="7"/>
  <c r="B150" i="7"/>
  <c r="D150" i="7"/>
  <c r="E150" i="7" s="1"/>
  <c r="I150" i="7" s="1"/>
  <c r="I116" i="8"/>
  <c r="H116" i="8"/>
  <c r="C116" i="8"/>
  <c r="D116" i="8"/>
  <c r="F116" i="8" s="1"/>
  <c r="G116" i="8"/>
  <c r="F168" i="1"/>
  <c r="G150" i="7" l="1"/>
  <c r="J150" i="7" s="1"/>
  <c r="N168" i="1"/>
  <c r="E116" i="8"/>
  <c r="J116" i="8"/>
  <c r="K116" i="8" s="1"/>
  <c r="F150" i="7" l="1"/>
  <c r="K150" i="7" s="1"/>
  <c r="AE151" i="7" s="1"/>
  <c r="D169" i="1"/>
  <c r="E169" i="1" s="1"/>
  <c r="G169" i="1" s="1"/>
  <c r="AD169" i="1"/>
  <c r="H169" i="1"/>
  <c r="B169" i="1"/>
  <c r="J169" i="1"/>
  <c r="C169" i="1"/>
  <c r="I169" i="1"/>
  <c r="O116" i="8"/>
  <c r="L116" i="8"/>
  <c r="C151" i="7" l="1"/>
  <c r="K169" i="1"/>
  <c r="L169" i="1" s="1"/>
  <c r="M169" i="1" s="1"/>
  <c r="H151" i="7"/>
  <c r="B151" i="7"/>
  <c r="D151" i="7"/>
  <c r="E151" i="7" s="1"/>
  <c r="G151" i="7" s="1"/>
  <c r="F151" i="7" s="1"/>
  <c r="K151" i="7" s="1"/>
  <c r="I117" i="8"/>
  <c r="H117" i="8"/>
  <c r="C117" i="8"/>
  <c r="D117" i="8"/>
  <c r="F117" i="8" s="1"/>
  <c r="G117" i="8"/>
  <c r="F169" i="1"/>
  <c r="AE152" i="7" l="1"/>
  <c r="H152" i="7"/>
  <c r="B152" i="7"/>
  <c r="C152" i="7"/>
  <c r="D152" i="7"/>
  <c r="E152" i="7" s="1"/>
  <c r="I152" i="7" s="1"/>
  <c r="I151" i="7"/>
  <c r="J151" i="7" s="1"/>
  <c r="N169" i="1"/>
  <c r="J117" i="8"/>
  <c r="E117" i="8"/>
  <c r="G152" i="7" l="1"/>
  <c r="J152" i="7" s="1"/>
  <c r="J170" i="1"/>
  <c r="AD170" i="1"/>
  <c r="B170" i="1"/>
  <c r="H170" i="1"/>
  <c r="I170" i="1"/>
  <c r="D170" i="1"/>
  <c r="E170" i="1" s="1"/>
  <c r="G170" i="1" s="1"/>
  <c r="C170" i="1"/>
  <c r="K117" i="8"/>
  <c r="L117" i="8" s="1"/>
  <c r="F152" i="7" l="1"/>
  <c r="K152" i="7" s="1"/>
  <c r="AE153" i="7" s="1"/>
  <c r="K170" i="1"/>
  <c r="L170" i="1" s="1"/>
  <c r="M170" i="1" s="1"/>
  <c r="F170" i="1"/>
  <c r="G118" i="8"/>
  <c r="I118" i="8"/>
  <c r="D118" i="8"/>
  <c r="F118" i="8" s="1"/>
  <c r="E118" i="8" s="1"/>
  <c r="H118" i="8"/>
  <c r="C118" i="8"/>
  <c r="O117" i="8"/>
  <c r="C153" i="7" l="1"/>
  <c r="H153" i="7"/>
  <c r="B153" i="7"/>
  <c r="D153" i="7"/>
  <c r="E153" i="7" s="1"/>
  <c r="I153" i="7" s="1"/>
  <c r="N170" i="1"/>
  <c r="J118" i="8"/>
  <c r="G153" i="7" l="1"/>
  <c r="J153" i="7" s="1"/>
  <c r="I171" i="1"/>
  <c r="AD171" i="1"/>
  <c r="C171" i="1"/>
  <c r="K171" i="1"/>
  <c r="H171" i="1"/>
  <c r="J171" i="1"/>
  <c r="B171" i="1"/>
  <c r="D171" i="1"/>
  <c r="E171" i="1" s="1"/>
  <c r="G171" i="1" s="1"/>
  <c r="K118" i="8"/>
  <c r="L118" i="8" s="1"/>
  <c r="F153" i="7" l="1"/>
  <c r="K153" i="7" s="1"/>
  <c r="H154" i="7" s="1"/>
  <c r="L171" i="1"/>
  <c r="M171" i="1" s="1"/>
  <c r="F171" i="1"/>
  <c r="O118" i="8"/>
  <c r="D119" i="8"/>
  <c r="F119" i="8" s="1"/>
  <c r="G119" i="8"/>
  <c r="I119" i="8"/>
  <c r="C119" i="8"/>
  <c r="H119" i="8"/>
  <c r="C154" i="7" l="1"/>
  <c r="B154" i="7"/>
  <c r="D154" i="7"/>
  <c r="E154" i="7" s="1"/>
  <c r="I154" i="7" s="1"/>
  <c r="AE154" i="7"/>
  <c r="G154" i="7"/>
  <c r="F154" i="7" s="1"/>
  <c r="K154" i="7" s="1"/>
  <c r="AE155" i="7" s="1"/>
  <c r="N171" i="1"/>
  <c r="H172" i="1" s="1"/>
  <c r="J119" i="8"/>
  <c r="E119" i="8"/>
  <c r="D155" i="7" l="1"/>
  <c r="E155" i="7" s="1"/>
  <c r="G155" i="7" s="1"/>
  <c r="H155" i="7"/>
  <c r="C155" i="7"/>
  <c r="B155" i="7"/>
  <c r="J154" i="7"/>
  <c r="I172" i="1"/>
  <c r="J172" i="1"/>
  <c r="AD172" i="1"/>
  <c r="D172" i="1"/>
  <c r="E172" i="1" s="1"/>
  <c r="G172" i="1" s="1"/>
  <c r="F172" i="1" s="1"/>
  <c r="B172" i="1"/>
  <c r="C172" i="1"/>
  <c r="K119" i="8"/>
  <c r="L119" i="8" s="1"/>
  <c r="I155" i="7" l="1"/>
  <c r="J155" i="7" s="1"/>
  <c r="K172" i="1"/>
  <c r="L172" i="1" s="1"/>
  <c r="M172" i="1" s="1"/>
  <c r="N172" i="1" s="1"/>
  <c r="AD173" i="1" s="1"/>
  <c r="F155" i="7"/>
  <c r="K155" i="7" s="1"/>
  <c r="AE156" i="7" s="1"/>
  <c r="H120" i="8"/>
  <c r="D120" i="8"/>
  <c r="F120" i="8" s="1"/>
  <c r="C120" i="8"/>
  <c r="I120" i="8"/>
  <c r="G120" i="8"/>
  <c r="O119" i="8"/>
  <c r="H156" i="7" l="1"/>
  <c r="B156" i="7"/>
  <c r="C156" i="7"/>
  <c r="D156" i="7"/>
  <c r="E156" i="7" s="1"/>
  <c r="E120" i="8"/>
  <c r="J120" i="8"/>
  <c r="K120" i="8" s="1"/>
  <c r="I173" i="1"/>
  <c r="B173" i="1"/>
  <c r="H173" i="1"/>
  <c r="J173" i="1"/>
  <c r="C173" i="1"/>
  <c r="D173" i="1"/>
  <c r="E173" i="1" s="1"/>
  <c r="K173" i="1" s="1"/>
  <c r="I156" i="7" l="1"/>
  <c r="G156" i="7"/>
  <c r="G173" i="1"/>
  <c r="O120" i="8"/>
  <c r="L120" i="8"/>
  <c r="J156" i="7" l="1"/>
  <c r="F156" i="7"/>
  <c r="K156" i="7" s="1"/>
  <c r="AE157" i="7" s="1"/>
  <c r="H121" i="8"/>
  <c r="G121" i="8"/>
  <c r="D121" i="8"/>
  <c r="F121" i="8" s="1"/>
  <c r="I121" i="8"/>
  <c r="C121" i="8"/>
  <c r="L173" i="1"/>
  <c r="M173" i="1" s="1"/>
  <c r="F173" i="1"/>
  <c r="B157" i="7" l="1"/>
  <c r="C157" i="7"/>
  <c r="H157" i="7"/>
  <c r="D157" i="7"/>
  <c r="E157" i="7" s="1"/>
  <c r="N173" i="1"/>
  <c r="H174" i="1" s="1"/>
  <c r="J121" i="8"/>
  <c r="E121" i="8"/>
  <c r="I157" i="7" l="1"/>
  <c r="G157" i="7"/>
  <c r="J174" i="1"/>
  <c r="B174" i="1"/>
  <c r="I174" i="1"/>
  <c r="AD174" i="1"/>
  <c r="C174" i="1"/>
  <c r="D174" i="1"/>
  <c r="E174" i="1" s="1"/>
  <c r="G174" i="1" s="1"/>
  <c r="K121" i="8"/>
  <c r="O121" i="8" s="1"/>
  <c r="K174" i="1" l="1"/>
  <c r="L174" i="1" s="1"/>
  <c r="M174" i="1" s="1"/>
  <c r="F157" i="7"/>
  <c r="K157" i="7" s="1"/>
  <c r="AE158" i="7" s="1"/>
  <c r="J157" i="7"/>
  <c r="L121" i="8"/>
  <c r="D122" i="8" s="1"/>
  <c r="F174" i="1"/>
  <c r="B158" i="7" l="1"/>
  <c r="D158" i="7"/>
  <c r="E158" i="7" s="1"/>
  <c r="I158" i="7" s="1"/>
  <c r="H158" i="7"/>
  <c r="C158" i="7"/>
  <c r="C122" i="8"/>
  <c r="H122" i="8"/>
  <c r="G122" i="8"/>
  <c r="I122" i="8"/>
  <c r="N174" i="1"/>
  <c r="AD175" i="1" s="1"/>
  <c r="F122" i="8"/>
  <c r="G158" i="7" l="1"/>
  <c r="J175" i="1"/>
  <c r="I175" i="1"/>
  <c r="D175" i="1"/>
  <c r="E175" i="1" s="1"/>
  <c r="K175" i="1" s="1"/>
  <c r="H175" i="1"/>
  <c r="C175" i="1"/>
  <c r="B175" i="1"/>
  <c r="J122" i="8"/>
  <c r="E122" i="8"/>
  <c r="J158" i="7" l="1"/>
  <c r="F158" i="7"/>
  <c r="K158" i="7" s="1"/>
  <c r="AE159" i="7" s="1"/>
  <c r="G175" i="1"/>
  <c r="K122" i="8"/>
  <c r="L122" i="8" s="1"/>
  <c r="B159" i="7" l="1"/>
  <c r="D159" i="7"/>
  <c r="E159" i="7" s="1"/>
  <c r="G159" i="7" s="1"/>
  <c r="F159" i="7" s="1"/>
  <c r="K159" i="7" s="1"/>
  <c r="C159" i="7"/>
  <c r="H159" i="7"/>
  <c r="I159" i="7"/>
  <c r="I123" i="8"/>
  <c r="G123" i="8"/>
  <c r="D123" i="8"/>
  <c r="F123" i="8" s="1"/>
  <c r="C123" i="8"/>
  <c r="H123" i="8"/>
  <c r="O122" i="8"/>
  <c r="L175" i="1"/>
  <c r="M175" i="1" s="1"/>
  <c r="F175" i="1"/>
  <c r="AE160" i="7" l="1"/>
  <c r="H160" i="7"/>
  <c r="C160" i="7"/>
  <c r="B160" i="7"/>
  <c r="D160" i="7"/>
  <c r="E160" i="7" s="1"/>
  <c r="I160" i="7" s="1"/>
  <c r="J159" i="7"/>
  <c r="E123" i="8"/>
  <c r="J123" i="8"/>
  <c r="K123" i="8" s="1"/>
  <c r="N175" i="1"/>
  <c r="AD176" i="1" s="1"/>
  <c r="G160" i="7" l="1"/>
  <c r="F160" i="7" s="1"/>
  <c r="K160" i="7" s="1"/>
  <c r="H161" i="7" s="1"/>
  <c r="H176" i="1"/>
  <c r="D176" i="1"/>
  <c r="E176" i="1" s="1"/>
  <c r="K176" i="1" s="1"/>
  <c r="B176" i="1"/>
  <c r="I176" i="1"/>
  <c r="C176" i="1"/>
  <c r="J176" i="1"/>
  <c r="O123" i="8"/>
  <c r="L123" i="8"/>
  <c r="AE161" i="7" l="1"/>
  <c r="J160" i="7"/>
  <c r="C161" i="7"/>
  <c r="D161" i="7"/>
  <c r="E161" i="7" s="1"/>
  <c r="G161" i="7" s="1"/>
  <c r="F161" i="7" s="1"/>
  <c r="K161" i="7" s="1"/>
  <c r="B161" i="7"/>
  <c r="G176" i="1"/>
  <c r="H124" i="8"/>
  <c r="C124" i="8"/>
  <c r="G124" i="8"/>
  <c r="I124" i="8"/>
  <c r="D124" i="8"/>
  <c r="F124" i="8" s="1"/>
  <c r="AE162" i="7" l="1"/>
  <c r="B162" i="7"/>
  <c r="I161" i="7"/>
  <c r="J161" i="7" s="1"/>
  <c r="D162" i="7"/>
  <c r="E162" i="7" s="1"/>
  <c r="I162" i="7" s="1"/>
  <c r="H162" i="7"/>
  <c r="C162" i="7"/>
  <c r="J124" i="8"/>
  <c r="K124" i="8" s="1"/>
  <c r="E124" i="8"/>
  <c r="L176" i="1"/>
  <c r="M176" i="1" s="1"/>
  <c r="F176" i="1"/>
  <c r="G162" i="7" l="1"/>
  <c r="F162" i="7" s="1"/>
  <c r="K162" i="7" s="1"/>
  <c r="AE163" i="7" s="1"/>
  <c r="N176" i="1"/>
  <c r="L124" i="8"/>
  <c r="O124" i="8"/>
  <c r="J162" i="7" l="1"/>
  <c r="H163" i="7"/>
  <c r="D163" i="7"/>
  <c r="E163" i="7" s="1"/>
  <c r="G163" i="7" s="1"/>
  <c r="F163" i="7" s="1"/>
  <c r="K163" i="7" s="1"/>
  <c r="B163" i="7"/>
  <c r="C163" i="7"/>
  <c r="D177" i="1"/>
  <c r="E177" i="1" s="1"/>
  <c r="G177" i="1" s="1"/>
  <c r="F177" i="1" s="1"/>
  <c r="AD177" i="1"/>
  <c r="I177" i="1"/>
  <c r="B177" i="1"/>
  <c r="C177" i="1"/>
  <c r="J177" i="1"/>
  <c r="H177" i="1"/>
  <c r="C125" i="8"/>
  <c r="H125" i="8"/>
  <c r="I125" i="8"/>
  <c r="G125" i="8"/>
  <c r="D125" i="8"/>
  <c r="F125" i="8" s="1"/>
  <c r="E125" i="8" s="1"/>
  <c r="K177" i="1" l="1"/>
  <c r="L177" i="1" s="1"/>
  <c r="M177" i="1" s="1"/>
  <c r="N177" i="1" s="1"/>
  <c r="AD178" i="1" s="1"/>
  <c r="AE164" i="7"/>
  <c r="D164" i="7"/>
  <c r="E164" i="7" s="1"/>
  <c r="I164" i="7" s="1"/>
  <c r="B164" i="7"/>
  <c r="H164" i="7"/>
  <c r="C164" i="7"/>
  <c r="I163" i="7"/>
  <c r="J163" i="7" s="1"/>
  <c r="J125" i="8"/>
  <c r="G164" i="7" l="1"/>
  <c r="F164" i="7" s="1"/>
  <c r="K164" i="7" s="1"/>
  <c r="AE165" i="7" s="1"/>
  <c r="I178" i="1"/>
  <c r="C178" i="1"/>
  <c r="B178" i="1"/>
  <c r="H178" i="1"/>
  <c r="D178" i="1"/>
  <c r="E178" i="1" s="1"/>
  <c r="G178" i="1" s="1"/>
  <c r="J178" i="1"/>
  <c r="K125" i="8"/>
  <c r="L125" i="8" s="1"/>
  <c r="K178" i="1" l="1"/>
  <c r="L178" i="1" s="1"/>
  <c r="M178" i="1" s="1"/>
  <c r="D165" i="7"/>
  <c r="E165" i="7" s="1"/>
  <c r="I165" i="7" s="1"/>
  <c r="B165" i="7"/>
  <c r="C165" i="7"/>
  <c r="H165" i="7"/>
  <c r="J164" i="7"/>
  <c r="G165" i="7"/>
  <c r="F178" i="1"/>
  <c r="I126" i="8"/>
  <c r="G126" i="8"/>
  <c r="C126" i="8"/>
  <c r="H126" i="8"/>
  <c r="D126" i="8"/>
  <c r="F126" i="8" s="1"/>
  <c r="O125" i="8"/>
  <c r="J165" i="7" l="1"/>
  <c r="F165" i="7"/>
  <c r="K165" i="7" s="1"/>
  <c r="AE166" i="7" s="1"/>
  <c r="E126" i="8"/>
  <c r="J126" i="8"/>
  <c r="N178" i="1"/>
  <c r="AD179" i="1" s="1"/>
  <c r="H166" i="7" l="1"/>
  <c r="B166" i="7"/>
  <c r="C166" i="7"/>
  <c r="D166" i="7"/>
  <c r="E166" i="7" s="1"/>
  <c r="G166" i="7" s="1"/>
  <c r="C179" i="1"/>
  <c r="H179" i="1"/>
  <c r="I179" i="1"/>
  <c r="B179" i="1"/>
  <c r="D179" i="1"/>
  <c r="E179" i="1" s="1"/>
  <c r="K179" i="1" s="1"/>
  <c r="J179" i="1"/>
  <c r="K126" i="8"/>
  <c r="O126" i="8" s="1"/>
  <c r="F166" i="7" l="1"/>
  <c r="K166" i="7" s="1"/>
  <c r="AE167" i="7" s="1"/>
  <c r="I166" i="7"/>
  <c r="J166" i="7" s="1"/>
  <c r="G179" i="1"/>
  <c r="L126" i="8"/>
  <c r="C167" i="7" l="1"/>
  <c r="H167" i="7"/>
  <c r="D167" i="7"/>
  <c r="E167" i="7" s="1"/>
  <c r="B167" i="7"/>
  <c r="D127" i="8"/>
  <c r="F127" i="8" s="1"/>
  <c r="E127" i="8" s="1"/>
  <c r="C127" i="8"/>
  <c r="I127" i="8"/>
  <c r="G127" i="8"/>
  <c r="H127" i="8"/>
  <c r="L179" i="1"/>
  <c r="M179" i="1" s="1"/>
  <c r="F179" i="1"/>
  <c r="G167" i="7" l="1"/>
  <c r="F167" i="7" s="1"/>
  <c r="K167" i="7" s="1"/>
  <c r="AE168" i="7" s="1"/>
  <c r="I167" i="7"/>
  <c r="J127" i="8"/>
  <c r="K127" i="8" s="1"/>
  <c r="L127" i="8" s="1"/>
  <c r="N179" i="1"/>
  <c r="AD180" i="1" s="1"/>
  <c r="J167" i="7" l="1"/>
  <c r="H168" i="7"/>
  <c r="B168" i="7"/>
  <c r="D168" i="7"/>
  <c r="E168" i="7" s="1"/>
  <c r="G168" i="7" s="1"/>
  <c r="F168" i="7" s="1"/>
  <c r="K168" i="7" s="1"/>
  <c r="C168" i="7"/>
  <c r="O127" i="8"/>
  <c r="B180" i="1"/>
  <c r="K180" i="1"/>
  <c r="I180" i="1"/>
  <c r="D180" i="1"/>
  <c r="E180" i="1" s="1"/>
  <c r="C180" i="1"/>
  <c r="J180" i="1"/>
  <c r="H180" i="1"/>
  <c r="G128" i="8"/>
  <c r="I128" i="8"/>
  <c r="D128" i="8"/>
  <c r="F128" i="8" s="1"/>
  <c r="E128" i="8" s="1"/>
  <c r="C128" i="8"/>
  <c r="H128" i="8"/>
  <c r="AE169" i="7" l="1"/>
  <c r="D169" i="7"/>
  <c r="E169" i="7" s="1"/>
  <c r="H169" i="7"/>
  <c r="C169" i="7"/>
  <c r="B169" i="7"/>
  <c r="I168" i="7"/>
  <c r="J168" i="7" s="1"/>
  <c r="J128" i="8"/>
  <c r="K128" i="8" s="1"/>
  <c r="G180" i="1"/>
  <c r="I169" i="7" l="1"/>
  <c r="G169" i="7"/>
  <c r="F169" i="7" s="1"/>
  <c r="K169" i="7" s="1"/>
  <c r="C170" i="7" s="1"/>
  <c r="O128" i="8"/>
  <c r="L128" i="8"/>
  <c r="I129" i="8" s="1"/>
  <c r="L180" i="1"/>
  <c r="M180" i="1" s="1"/>
  <c r="F180" i="1"/>
  <c r="AE170" i="7" l="1"/>
  <c r="J169" i="7"/>
  <c r="H170" i="7"/>
  <c r="D170" i="7"/>
  <c r="E170" i="7" s="1"/>
  <c r="G170" i="7" s="1"/>
  <c r="B170" i="7"/>
  <c r="G129" i="8"/>
  <c r="H129" i="8"/>
  <c r="D129" i="8"/>
  <c r="F129" i="8" s="1"/>
  <c r="C129" i="8"/>
  <c r="N180" i="1"/>
  <c r="AD181" i="1" s="1"/>
  <c r="I170" i="7" l="1"/>
  <c r="J170" i="7" s="1"/>
  <c r="F170" i="7"/>
  <c r="K170" i="7" s="1"/>
  <c r="AE171" i="7" s="1"/>
  <c r="J129" i="8"/>
  <c r="K129" i="8" s="1"/>
  <c r="O129" i="8" s="1"/>
  <c r="E129" i="8"/>
  <c r="H181" i="1"/>
  <c r="J181" i="1"/>
  <c r="C181" i="1"/>
  <c r="I181" i="1"/>
  <c r="B181" i="1"/>
  <c r="D181" i="1"/>
  <c r="E181" i="1" s="1"/>
  <c r="K181" i="1" s="1"/>
  <c r="C171" i="7" l="1"/>
  <c r="H171" i="7"/>
  <c r="B171" i="7"/>
  <c r="D171" i="7"/>
  <c r="E171" i="7" s="1"/>
  <c r="I171" i="7" s="1"/>
  <c r="G181" i="1"/>
  <c r="L129" i="8"/>
  <c r="G171" i="7" l="1"/>
  <c r="D130" i="8"/>
  <c r="F130" i="8" s="1"/>
  <c r="H130" i="8"/>
  <c r="C130" i="8"/>
  <c r="I130" i="8"/>
  <c r="G130" i="8"/>
  <c r="L181" i="1"/>
  <c r="M181" i="1" s="1"/>
  <c r="F181" i="1"/>
  <c r="J171" i="7" l="1"/>
  <c r="F171" i="7"/>
  <c r="K171" i="7" s="1"/>
  <c r="AE172" i="7" s="1"/>
  <c r="E130" i="8"/>
  <c r="J130" i="8"/>
  <c r="N181" i="1"/>
  <c r="AD182" i="1" s="1"/>
  <c r="C172" i="7" l="1"/>
  <c r="D172" i="7"/>
  <c r="E172" i="7" s="1"/>
  <c r="G172" i="7" s="1"/>
  <c r="H172" i="7"/>
  <c r="B172" i="7"/>
  <c r="I182" i="1"/>
  <c r="D182" i="1"/>
  <c r="E182" i="1" s="1"/>
  <c r="K182" i="1" s="1"/>
  <c r="J182" i="1"/>
  <c r="H182" i="1"/>
  <c r="C182" i="1"/>
  <c r="B182" i="1"/>
  <c r="K130" i="8"/>
  <c r="O130" i="8" s="1"/>
  <c r="I172" i="7" l="1"/>
  <c r="J172" i="7" s="1"/>
  <c r="F172" i="7"/>
  <c r="K172" i="7" s="1"/>
  <c r="AE173" i="7" s="1"/>
  <c r="G182" i="1"/>
  <c r="L130" i="8"/>
  <c r="D173" i="7" l="1"/>
  <c r="E173" i="7" s="1"/>
  <c r="G173" i="7" s="1"/>
  <c r="F173" i="7" s="1"/>
  <c r="K173" i="7" s="1"/>
  <c r="H173" i="7"/>
  <c r="C173" i="7"/>
  <c r="B173" i="7"/>
  <c r="G131" i="8"/>
  <c r="C131" i="8"/>
  <c r="I131" i="8"/>
  <c r="H131" i="8"/>
  <c r="D131" i="8"/>
  <c r="F131" i="8" s="1"/>
  <c r="E131" i="8" s="1"/>
  <c r="L182" i="1"/>
  <c r="M182" i="1" s="1"/>
  <c r="F182" i="1"/>
  <c r="AE174" i="7" l="1"/>
  <c r="I173" i="7"/>
  <c r="J173" i="7" s="1"/>
  <c r="B174" i="7"/>
  <c r="D174" i="7"/>
  <c r="E174" i="7" s="1"/>
  <c r="I174" i="7" s="1"/>
  <c r="C174" i="7"/>
  <c r="H174" i="7"/>
  <c r="N182" i="1"/>
  <c r="J131" i="8"/>
  <c r="K131" i="8" s="1"/>
  <c r="L131" i="8" s="1"/>
  <c r="G174" i="7" l="1"/>
  <c r="F174" i="7" s="1"/>
  <c r="K174" i="7" s="1"/>
  <c r="H175" i="7" s="1"/>
  <c r="AD183" i="1"/>
  <c r="J183" i="1"/>
  <c r="B183" i="1"/>
  <c r="C183" i="1"/>
  <c r="I183" i="1"/>
  <c r="H183" i="1"/>
  <c r="D183" i="1"/>
  <c r="E183" i="1" s="1"/>
  <c r="G183" i="1" s="1"/>
  <c r="D132" i="8"/>
  <c r="F132" i="8" s="1"/>
  <c r="I132" i="8"/>
  <c r="C132" i="8"/>
  <c r="G132" i="8"/>
  <c r="H132" i="8"/>
  <c r="O131" i="8"/>
  <c r="K183" i="1" l="1"/>
  <c r="L183" i="1" s="1"/>
  <c r="M183" i="1" s="1"/>
  <c r="AE175" i="7"/>
  <c r="J174" i="7"/>
  <c r="C175" i="7"/>
  <c r="B175" i="7"/>
  <c r="D175" i="7"/>
  <c r="E175" i="7" s="1"/>
  <c r="J132" i="8"/>
  <c r="E132" i="8"/>
  <c r="F183" i="1"/>
  <c r="G175" i="7" l="1"/>
  <c r="F175" i="7" s="1"/>
  <c r="K175" i="7" s="1"/>
  <c r="C176" i="7" s="1"/>
  <c r="I175" i="7"/>
  <c r="N183" i="1"/>
  <c r="K132" i="8"/>
  <c r="L132" i="8" s="1"/>
  <c r="AE176" i="7" l="1"/>
  <c r="J175" i="7"/>
  <c r="D176" i="7"/>
  <c r="E176" i="7" s="1"/>
  <c r="I176" i="7" s="1"/>
  <c r="B176" i="7"/>
  <c r="H176" i="7"/>
  <c r="K184" i="1"/>
  <c r="AD184" i="1"/>
  <c r="AC184" i="1" s="1"/>
  <c r="J184" i="1"/>
  <c r="H184" i="1"/>
  <c r="D184" i="1"/>
  <c r="E184" i="1" s="1"/>
  <c r="I184" i="1"/>
  <c r="C184" i="1"/>
  <c r="B184" i="1"/>
  <c r="I133" i="8"/>
  <c r="H133" i="8"/>
  <c r="C133" i="8"/>
  <c r="G133" i="8"/>
  <c r="D133" i="8"/>
  <c r="F133" i="8" s="1"/>
  <c r="E133" i="8" s="1"/>
  <c r="O132" i="8"/>
  <c r="G176" i="7" l="1"/>
  <c r="AF184" i="1"/>
  <c r="AE184" i="1" s="1"/>
  <c r="AB184" i="1" s="1"/>
  <c r="G184" i="1" s="1"/>
  <c r="J133" i="8"/>
  <c r="J176" i="7" l="1"/>
  <c r="F176" i="7"/>
  <c r="K176" i="7" s="1"/>
  <c r="AE177" i="7" s="1"/>
  <c r="L184" i="1"/>
  <c r="M184" i="1" s="1"/>
  <c r="F184" i="1"/>
  <c r="K133" i="8"/>
  <c r="L133" i="8" s="1"/>
  <c r="D177" i="7" l="1"/>
  <c r="E177" i="7" s="1"/>
  <c r="I177" i="7" s="1"/>
  <c r="B177" i="7"/>
  <c r="H177" i="7"/>
  <c r="C177" i="7"/>
  <c r="N184" i="1"/>
  <c r="C134" i="8"/>
  <c r="H134" i="8"/>
  <c r="D134" i="8"/>
  <c r="F134" i="8" s="1"/>
  <c r="G134" i="8"/>
  <c r="I134" i="8"/>
  <c r="O133" i="8"/>
  <c r="G177" i="7" l="1"/>
  <c r="F177" i="7" s="1"/>
  <c r="K177" i="7" s="1"/>
  <c r="AE178" i="7" s="1"/>
  <c r="B185" i="1"/>
  <c r="I185" i="1"/>
  <c r="D185" i="1"/>
  <c r="E185" i="1" s="1"/>
  <c r="G185" i="1" s="1"/>
  <c r="F185" i="1" s="1"/>
  <c r="AD185" i="1"/>
  <c r="C185" i="1"/>
  <c r="H185" i="1"/>
  <c r="J185" i="1"/>
  <c r="J134" i="8"/>
  <c r="E134" i="8"/>
  <c r="J177" i="7" l="1"/>
  <c r="K185" i="1"/>
  <c r="L185" i="1" s="1"/>
  <c r="M185" i="1" s="1"/>
  <c r="N185" i="1" s="1"/>
  <c r="B178" i="7"/>
  <c r="C178" i="7"/>
  <c r="H178" i="7"/>
  <c r="D178" i="7"/>
  <c r="E178" i="7" s="1"/>
  <c r="G178" i="7" s="1"/>
  <c r="F178" i="7" s="1"/>
  <c r="K178" i="7" s="1"/>
  <c r="K134" i="8"/>
  <c r="L134" i="8" s="1"/>
  <c r="AE179" i="7" l="1"/>
  <c r="I178" i="7"/>
  <c r="J178" i="7" s="1"/>
  <c r="H179" i="7"/>
  <c r="C179" i="7"/>
  <c r="D179" i="7"/>
  <c r="E179" i="7" s="1"/>
  <c r="B179" i="7"/>
  <c r="AD186" i="1"/>
  <c r="C186" i="1"/>
  <c r="B186" i="1"/>
  <c r="J186" i="1"/>
  <c r="H186" i="1"/>
  <c r="I186" i="1"/>
  <c r="D186" i="1"/>
  <c r="E186" i="1" s="1"/>
  <c r="G186" i="1" s="1"/>
  <c r="D135" i="8"/>
  <c r="F135" i="8" s="1"/>
  <c r="E135" i="8" s="1"/>
  <c r="I135" i="8"/>
  <c r="C135" i="8"/>
  <c r="G135" i="8"/>
  <c r="H135" i="8"/>
  <c r="O134" i="8"/>
  <c r="K186" i="1" l="1"/>
  <c r="L186" i="1" s="1"/>
  <c r="M186" i="1" s="1"/>
  <c r="G179" i="7"/>
  <c r="I179" i="7"/>
  <c r="J135" i="8"/>
  <c r="K135" i="8" s="1"/>
  <c r="O135" i="8" s="1"/>
  <c r="F186" i="1"/>
  <c r="F179" i="7" l="1"/>
  <c r="K179" i="7" s="1"/>
  <c r="AE180" i="7" s="1"/>
  <c r="J179" i="7"/>
  <c r="N186" i="1"/>
  <c r="AD187" i="1" s="1"/>
  <c r="L135" i="8"/>
  <c r="B180" i="7" l="1"/>
  <c r="C180" i="7"/>
  <c r="D180" i="7"/>
  <c r="E180" i="7" s="1"/>
  <c r="H180" i="7"/>
  <c r="H136" i="8"/>
  <c r="D136" i="8"/>
  <c r="F136" i="8" s="1"/>
  <c r="G136" i="8"/>
  <c r="C136" i="8"/>
  <c r="I136" i="8"/>
  <c r="C187" i="1"/>
  <c r="D187" i="1"/>
  <c r="E187" i="1" s="1"/>
  <c r="K187" i="1" s="1"/>
  <c r="B187" i="1"/>
  <c r="I187" i="1"/>
  <c r="H187" i="1"/>
  <c r="J187" i="1"/>
  <c r="I180" i="7" l="1"/>
  <c r="G180" i="7"/>
  <c r="G187" i="1"/>
  <c r="J136" i="8"/>
  <c r="K136" i="8" s="1"/>
  <c r="E136" i="8"/>
  <c r="F180" i="7" l="1"/>
  <c r="K180" i="7" s="1"/>
  <c r="AE181" i="7" s="1"/>
  <c r="J180" i="7"/>
  <c r="L136" i="8"/>
  <c r="L187" i="1"/>
  <c r="M187" i="1" s="1"/>
  <c r="F187" i="1"/>
  <c r="O136" i="8"/>
  <c r="H181" i="7" l="1"/>
  <c r="D181" i="7"/>
  <c r="E181" i="7" s="1"/>
  <c r="G181" i="7" s="1"/>
  <c r="B181" i="7"/>
  <c r="C181" i="7"/>
  <c r="N187" i="1"/>
  <c r="C137" i="8"/>
  <c r="D137" i="8"/>
  <c r="G137" i="8"/>
  <c r="H137" i="8"/>
  <c r="I137" i="8"/>
  <c r="I181" i="7" l="1"/>
  <c r="J181" i="7" s="1"/>
  <c r="F181" i="7"/>
  <c r="K181" i="7" s="1"/>
  <c r="AE182" i="7" s="1"/>
  <c r="H188" i="1"/>
  <c r="AD188" i="1"/>
  <c r="D188" i="1"/>
  <c r="E188" i="1" s="1"/>
  <c r="G188" i="1" s="1"/>
  <c r="F188" i="1" s="1"/>
  <c r="B188" i="1"/>
  <c r="C188" i="1"/>
  <c r="J188" i="1"/>
  <c r="I188" i="1"/>
  <c r="F137" i="8"/>
  <c r="K188" i="1" l="1"/>
  <c r="L188" i="1" s="1"/>
  <c r="M188" i="1" s="1"/>
  <c r="N188" i="1" s="1"/>
  <c r="AD189" i="1" s="1"/>
  <c r="H182" i="7"/>
  <c r="B182" i="7"/>
  <c r="D182" i="7"/>
  <c r="E182" i="7" s="1"/>
  <c r="G182" i="7" s="1"/>
  <c r="C182" i="7"/>
  <c r="E137" i="8"/>
  <c r="J137" i="8"/>
  <c r="F182" i="7" l="1"/>
  <c r="K182" i="7" s="1"/>
  <c r="AE183" i="7" s="1"/>
  <c r="I182" i="7"/>
  <c r="J182" i="7" s="1"/>
  <c r="K137" i="8"/>
  <c r="O137" i="8" s="1"/>
  <c r="D189" i="1"/>
  <c r="E189" i="1" s="1"/>
  <c r="G189" i="1" s="1"/>
  <c r="B189" i="1"/>
  <c r="H189" i="1"/>
  <c r="I189" i="1"/>
  <c r="J189" i="1"/>
  <c r="C189" i="1"/>
  <c r="K189" i="1" l="1"/>
  <c r="L189" i="1" s="1"/>
  <c r="M189" i="1" s="1"/>
  <c r="H183" i="7"/>
  <c r="C183" i="7"/>
  <c r="B183" i="7"/>
  <c r="D183" i="7"/>
  <c r="E183" i="7" s="1"/>
  <c r="I183" i="7" s="1"/>
  <c r="L137" i="8"/>
  <c r="C138" i="8" s="1"/>
  <c r="F189" i="1"/>
  <c r="G183" i="7" l="1"/>
  <c r="J183" i="7" s="1"/>
  <c r="D138" i="8"/>
  <c r="F138" i="8" s="1"/>
  <c r="E138" i="8" s="1"/>
  <c r="I138" i="8"/>
  <c r="G138" i="8"/>
  <c r="H138" i="8"/>
  <c r="N189" i="1"/>
  <c r="AD190" i="1" s="1"/>
  <c r="F183" i="7" l="1"/>
  <c r="K183" i="7" s="1"/>
  <c r="AE184" i="7" s="1"/>
  <c r="J138" i="8"/>
  <c r="K138" i="8" s="1"/>
  <c r="L138" i="8" s="1"/>
  <c r="B190" i="1"/>
  <c r="J190" i="1"/>
  <c r="C190" i="1"/>
  <c r="I190" i="1"/>
  <c r="D190" i="1"/>
  <c r="E190" i="1" s="1"/>
  <c r="G190" i="1" s="1"/>
  <c r="H190" i="1"/>
  <c r="H184" i="7" l="1"/>
  <c r="C184" i="7"/>
  <c r="D184" i="7"/>
  <c r="E184" i="7" s="1"/>
  <c r="G184" i="7" s="1"/>
  <c r="K190" i="1"/>
  <c r="L190" i="1" s="1"/>
  <c r="M190" i="1" s="1"/>
  <c r="B184" i="7"/>
  <c r="F190" i="1"/>
  <c r="O138" i="8"/>
  <c r="G139" i="8"/>
  <c r="H139" i="8"/>
  <c r="D139" i="8"/>
  <c r="C139" i="8"/>
  <c r="I139" i="8"/>
  <c r="F184" i="7" l="1"/>
  <c r="K184" i="7" s="1"/>
  <c r="AE185" i="7" s="1"/>
  <c r="I184" i="7"/>
  <c r="J184" i="7" s="1"/>
  <c r="F139" i="8"/>
  <c r="E139" i="8" s="1"/>
  <c r="N190" i="1"/>
  <c r="AD191" i="1" s="1"/>
  <c r="D185" i="7" l="1"/>
  <c r="E185" i="7" s="1"/>
  <c r="I185" i="7" s="1"/>
  <c r="H185" i="7"/>
  <c r="C185" i="7"/>
  <c r="B185" i="7"/>
  <c r="J139" i="8"/>
  <c r="J191" i="1"/>
  <c r="H191" i="1"/>
  <c r="K191" i="1"/>
  <c r="B191" i="1"/>
  <c r="I191" i="1"/>
  <c r="C191" i="1"/>
  <c r="D191" i="1"/>
  <c r="E191" i="1" s="1"/>
  <c r="G191" i="1" s="1"/>
  <c r="G185" i="7" l="1"/>
  <c r="F185" i="7" s="1"/>
  <c r="K185" i="7" s="1"/>
  <c r="B186" i="7" s="1"/>
  <c r="K139" i="8"/>
  <c r="L139" i="8" s="1"/>
  <c r="L191" i="1"/>
  <c r="M191" i="1" s="1"/>
  <c r="F191" i="1"/>
  <c r="D186" i="7" l="1"/>
  <c r="E186" i="7" s="1"/>
  <c r="I186" i="7" s="1"/>
  <c r="C186" i="7"/>
  <c r="H186" i="7"/>
  <c r="AE186" i="7"/>
  <c r="J185" i="7"/>
  <c r="G186" i="7"/>
  <c r="O139" i="8"/>
  <c r="C140" i="8"/>
  <c r="D140" i="8"/>
  <c r="F140" i="8" s="1"/>
  <c r="G140" i="8"/>
  <c r="I140" i="8"/>
  <c r="H140" i="8"/>
  <c r="N191" i="1"/>
  <c r="AD192" i="1" s="1"/>
  <c r="J186" i="7" l="1"/>
  <c r="F186" i="7"/>
  <c r="K186" i="7" s="1"/>
  <c r="AE187" i="7" s="1"/>
  <c r="J140" i="8"/>
  <c r="K140" i="8" s="1"/>
  <c r="E140" i="8"/>
  <c r="C192" i="1"/>
  <c r="D192" i="1"/>
  <c r="E192" i="1" s="1"/>
  <c r="K192" i="1" s="1"/>
  <c r="J192" i="1"/>
  <c r="H192" i="1"/>
  <c r="B192" i="1"/>
  <c r="I192" i="1"/>
  <c r="C187" i="7" l="1"/>
  <c r="D187" i="7"/>
  <c r="E187" i="7" s="1"/>
  <c r="H187" i="7"/>
  <c r="B187" i="7"/>
  <c r="O140" i="8"/>
  <c r="L140" i="8"/>
  <c r="G192" i="1"/>
  <c r="G187" i="7" l="1"/>
  <c r="F187" i="7" s="1"/>
  <c r="K187" i="7" s="1"/>
  <c r="AE188" i="7" s="1"/>
  <c r="I187" i="7"/>
  <c r="G141" i="8"/>
  <c r="I141" i="8"/>
  <c r="D141" i="8"/>
  <c r="F141" i="8" s="1"/>
  <c r="E141" i="8" s="1"/>
  <c r="C141" i="8"/>
  <c r="H141" i="8"/>
  <c r="L192" i="1"/>
  <c r="M192" i="1" s="1"/>
  <c r="F192" i="1"/>
  <c r="C188" i="7" l="1"/>
  <c r="D188" i="7"/>
  <c r="E188" i="7" s="1"/>
  <c r="I188" i="7" s="1"/>
  <c r="J187" i="7"/>
  <c r="B188" i="7"/>
  <c r="H188" i="7"/>
  <c r="J141" i="8"/>
  <c r="K141" i="8" s="1"/>
  <c r="O141" i="8" s="1"/>
  <c r="N192" i="1"/>
  <c r="AD193" i="1" s="1"/>
  <c r="G188" i="7" l="1"/>
  <c r="J188" i="7" s="1"/>
  <c r="L141" i="8"/>
  <c r="B193" i="1"/>
  <c r="J193" i="1"/>
  <c r="I193" i="1"/>
  <c r="H193" i="1"/>
  <c r="D193" i="1"/>
  <c r="E193" i="1" s="1"/>
  <c r="K193" i="1" s="1"/>
  <c r="C193" i="1"/>
  <c r="F188" i="7" l="1"/>
  <c r="K188" i="7" s="1"/>
  <c r="AE189" i="7" s="1"/>
  <c r="C142" i="8"/>
  <c r="H142" i="8"/>
  <c r="I142" i="8"/>
  <c r="G142" i="8"/>
  <c r="D142" i="8"/>
  <c r="F142" i="8" s="1"/>
  <c r="G193" i="1"/>
  <c r="B189" i="7" l="1"/>
  <c r="H189" i="7"/>
  <c r="D189" i="7"/>
  <c r="E189" i="7" s="1"/>
  <c r="G189" i="7" s="1"/>
  <c r="C189" i="7"/>
  <c r="E142" i="8"/>
  <c r="J142" i="8"/>
  <c r="K142" i="8" s="1"/>
  <c r="L193" i="1"/>
  <c r="M193" i="1" s="1"/>
  <c r="F193" i="1"/>
  <c r="I189" i="7" l="1"/>
  <c r="J189" i="7" s="1"/>
  <c r="F189" i="7"/>
  <c r="K189" i="7" s="1"/>
  <c r="AE190" i="7" s="1"/>
  <c r="L142" i="8"/>
  <c r="G143" i="8" s="1"/>
  <c r="O142" i="8"/>
  <c r="N193" i="1"/>
  <c r="AD194" i="1" s="1"/>
  <c r="H190" i="7" l="1"/>
  <c r="B190" i="7"/>
  <c r="C190" i="7"/>
  <c r="D190" i="7"/>
  <c r="E190" i="7" s="1"/>
  <c r="I190" i="7" s="1"/>
  <c r="C143" i="8"/>
  <c r="D143" i="8"/>
  <c r="F143" i="8" s="1"/>
  <c r="E143" i="8" s="1"/>
  <c r="H143" i="8"/>
  <c r="I143" i="8"/>
  <c r="J194" i="1"/>
  <c r="I194" i="1"/>
  <c r="D194" i="1"/>
  <c r="E194" i="1" s="1"/>
  <c r="K194" i="1" s="1"/>
  <c r="H194" i="1"/>
  <c r="C194" i="1"/>
  <c r="B194" i="1"/>
  <c r="G190" i="7" l="1"/>
  <c r="F190" i="7" s="1"/>
  <c r="K190" i="7" s="1"/>
  <c r="C191" i="7" s="1"/>
  <c r="J143" i="8"/>
  <c r="K143" i="8" s="1"/>
  <c r="L143" i="8" s="1"/>
  <c r="G194" i="1"/>
  <c r="H191" i="7" l="1"/>
  <c r="D191" i="7"/>
  <c r="E191" i="7" s="1"/>
  <c r="G191" i="7" s="1"/>
  <c r="F191" i="7" s="1"/>
  <c r="K191" i="7" s="1"/>
  <c r="B191" i="7"/>
  <c r="AE191" i="7"/>
  <c r="I191" i="7"/>
  <c r="J190" i="7"/>
  <c r="G144" i="8"/>
  <c r="C144" i="8"/>
  <c r="D144" i="8"/>
  <c r="F144" i="8" s="1"/>
  <c r="I144" i="8"/>
  <c r="H144" i="8"/>
  <c r="O143" i="8"/>
  <c r="L194" i="1"/>
  <c r="M194" i="1" s="1"/>
  <c r="F194" i="1"/>
  <c r="J191" i="7" l="1"/>
  <c r="AE192" i="7"/>
  <c r="B192" i="7"/>
  <c r="C192" i="7"/>
  <c r="H192" i="7"/>
  <c r="D192" i="7"/>
  <c r="E192" i="7" s="1"/>
  <c r="J144" i="8"/>
  <c r="K144" i="8" s="1"/>
  <c r="O144" i="8" s="1"/>
  <c r="N194" i="1"/>
  <c r="AD195" i="1" s="1"/>
  <c r="E144" i="8"/>
  <c r="I192" i="7" l="1"/>
  <c r="G192" i="7"/>
  <c r="L144" i="8"/>
  <c r="G145" i="8" s="1"/>
  <c r="D195" i="1"/>
  <c r="E195" i="1" s="1"/>
  <c r="K195" i="1" s="1"/>
  <c r="C195" i="1"/>
  <c r="H195" i="1"/>
  <c r="B195" i="1"/>
  <c r="I195" i="1"/>
  <c r="J195" i="1"/>
  <c r="J192" i="7" l="1"/>
  <c r="F192" i="7"/>
  <c r="K192" i="7" s="1"/>
  <c r="AE193" i="7" s="1"/>
  <c r="D145" i="8"/>
  <c r="F145" i="8" s="1"/>
  <c r="C145" i="8"/>
  <c r="I145" i="8"/>
  <c r="H145" i="8"/>
  <c r="G195" i="1"/>
  <c r="C193" i="7" l="1"/>
  <c r="H193" i="7"/>
  <c r="B193" i="7"/>
  <c r="D193" i="7"/>
  <c r="E193" i="7" s="1"/>
  <c r="E145" i="8"/>
  <c r="J145" i="8"/>
  <c r="L195" i="1"/>
  <c r="M195" i="1" s="1"/>
  <c r="F195" i="1"/>
  <c r="I193" i="7" l="1"/>
  <c r="G193" i="7"/>
  <c r="N195" i="1"/>
  <c r="AD196" i="1" s="1"/>
  <c r="K145" i="8"/>
  <c r="O145" i="8" s="1"/>
  <c r="J193" i="7" l="1"/>
  <c r="F193" i="7"/>
  <c r="K193" i="7" s="1"/>
  <c r="AE194" i="7" s="1"/>
  <c r="L145" i="8"/>
  <c r="C196" i="1"/>
  <c r="J196" i="1"/>
  <c r="H196" i="1"/>
  <c r="I196" i="1"/>
  <c r="B196" i="1"/>
  <c r="D196" i="1"/>
  <c r="E196" i="1" s="1"/>
  <c r="K196" i="1" s="1"/>
  <c r="B194" i="7" l="1"/>
  <c r="H194" i="7"/>
  <c r="D194" i="7"/>
  <c r="E194" i="7" s="1"/>
  <c r="C194" i="7"/>
  <c r="G196" i="1"/>
  <c r="H146" i="8"/>
  <c r="G146" i="8"/>
  <c r="I146" i="8"/>
  <c r="C146" i="8"/>
  <c r="D146" i="8"/>
  <c r="F146" i="8" s="1"/>
  <c r="G194" i="7" l="1"/>
  <c r="F194" i="7" s="1"/>
  <c r="K194" i="7" s="1"/>
  <c r="AE195" i="7" s="1"/>
  <c r="I194" i="7"/>
  <c r="J146" i="8"/>
  <c r="K146" i="8" s="1"/>
  <c r="E146" i="8"/>
  <c r="L196" i="1"/>
  <c r="M196" i="1" s="1"/>
  <c r="F196" i="1"/>
  <c r="J194" i="7" l="1"/>
  <c r="C195" i="7"/>
  <c r="B195" i="7"/>
  <c r="D195" i="7"/>
  <c r="E195" i="7" s="1"/>
  <c r="H195" i="7"/>
  <c r="N196" i="1"/>
  <c r="AD197" i="1" s="1"/>
  <c r="L146" i="8"/>
  <c r="O146" i="8"/>
  <c r="G195" i="7" l="1"/>
  <c r="F195" i="7" s="1"/>
  <c r="K195" i="7" s="1"/>
  <c r="AE196" i="7" s="1"/>
  <c r="I195" i="7"/>
  <c r="I147" i="8"/>
  <c r="G147" i="8"/>
  <c r="D147" i="8"/>
  <c r="F147" i="8" s="1"/>
  <c r="H147" i="8"/>
  <c r="C147" i="8"/>
  <c r="D197" i="1"/>
  <c r="E197" i="1" s="1"/>
  <c r="G197" i="1" s="1"/>
  <c r="F197" i="1" s="1"/>
  <c r="I197" i="1"/>
  <c r="H197" i="1"/>
  <c r="B197" i="1"/>
  <c r="C197" i="1"/>
  <c r="J197" i="1"/>
  <c r="K197" i="1" l="1"/>
  <c r="L197" i="1" s="1"/>
  <c r="M197" i="1" s="1"/>
  <c r="N197" i="1" s="1"/>
  <c r="AD198" i="1" s="1"/>
  <c r="J195" i="7"/>
  <c r="H196" i="7"/>
  <c r="D196" i="7"/>
  <c r="E196" i="7" s="1"/>
  <c r="I196" i="7" s="1"/>
  <c r="C196" i="7"/>
  <c r="B196" i="7"/>
  <c r="J147" i="8"/>
  <c r="E147" i="8"/>
  <c r="G196" i="7" l="1"/>
  <c r="J196" i="7" s="1"/>
  <c r="J198" i="1"/>
  <c r="H198" i="1"/>
  <c r="C198" i="1"/>
  <c r="D198" i="1"/>
  <c r="E198" i="1" s="1"/>
  <c r="K198" i="1" s="1"/>
  <c r="I198" i="1"/>
  <c r="B198" i="1"/>
  <c r="K147" i="8"/>
  <c r="L147" i="8" s="1"/>
  <c r="F196" i="7" l="1"/>
  <c r="K196" i="7" s="1"/>
  <c r="AE197" i="7" s="1"/>
  <c r="C148" i="8"/>
  <c r="G148" i="8"/>
  <c r="D148" i="8"/>
  <c r="F148" i="8" s="1"/>
  <c r="I148" i="8"/>
  <c r="H148" i="8"/>
  <c r="G198" i="1"/>
  <c r="O147" i="8"/>
  <c r="B197" i="7" l="1"/>
  <c r="H197" i="7"/>
  <c r="D197" i="7"/>
  <c r="E197" i="7" s="1"/>
  <c r="G197" i="7" s="1"/>
  <c r="F197" i="7" s="1"/>
  <c r="K197" i="7" s="1"/>
  <c r="H198" i="7" s="1"/>
  <c r="C197" i="7"/>
  <c r="J148" i="8"/>
  <c r="E148" i="8"/>
  <c r="L198" i="1"/>
  <c r="M198" i="1" s="1"/>
  <c r="F198" i="1"/>
  <c r="I197" i="7" l="1"/>
  <c r="J197" i="7" s="1"/>
  <c r="AE198" i="7"/>
  <c r="B198" i="7"/>
  <c r="D198" i="7"/>
  <c r="E198" i="7" s="1"/>
  <c r="I198" i="7" s="1"/>
  <c r="C198" i="7"/>
  <c r="N198" i="1"/>
  <c r="AD199" i="1" s="1"/>
  <c r="K148" i="8"/>
  <c r="L148" i="8" s="1"/>
  <c r="G198" i="7" l="1"/>
  <c r="J198" i="7" s="1"/>
  <c r="D149" i="8"/>
  <c r="F149" i="8" s="1"/>
  <c r="E149" i="8" s="1"/>
  <c r="G149" i="8"/>
  <c r="C149" i="8"/>
  <c r="H149" i="8"/>
  <c r="I149" i="8"/>
  <c r="O148" i="8"/>
  <c r="H199" i="1"/>
  <c r="I199" i="1"/>
  <c r="C199" i="1"/>
  <c r="D199" i="1"/>
  <c r="E199" i="1" s="1"/>
  <c r="K199" i="1" s="1"/>
  <c r="J199" i="1"/>
  <c r="B199" i="1"/>
  <c r="F198" i="7" l="1"/>
  <c r="K198" i="7" s="1"/>
  <c r="AE199" i="7" s="1"/>
  <c r="J149" i="8"/>
  <c r="K149" i="8" s="1"/>
  <c r="O149" i="8" s="1"/>
  <c r="G199" i="1"/>
  <c r="C199" i="7" l="1"/>
  <c r="B199" i="7"/>
  <c r="D199" i="7"/>
  <c r="E199" i="7" s="1"/>
  <c r="I199" i="7" s="1"/>
  <c r="H199" i="7"/>
  <c r="L149" i="8"/>
  <c r="I150" i="8" s="1"/>
  <c r="L199" i="1"/>
  <c r="M199" i="1" s="1"/>
  <c r="F199" i="1"/>
  <c r="G199" i="7" l="1"/>
  <c r="F199" i="7" s="1"/>
  <c r="K199" i="7" s="1"/>
  <c r="C200" i="7" s="1"/>
  <c r="C150" i="8"/>
  <c r="H150" i="8"/>
  <c r="G150" i="8"/>
  <c r="D150" i="8"/>
  <c r="F150" i="8" s="1"/>
  <c r="E150" i="8" s="1"/>
  <c r="N199" i="1"/>
  <c r="AD200" i="1" s="1"/>
  <c r="B200" i="7" l="1"/>
  <c r="J199" i="7"/>
  <c r="D200" i="7"/>
  <c r="E200" i="7" s="1"/>
  <c r="G200" i="7" s="1"/>
  <c r="F200" i="7" s="1"/>
  <c r="K200" i="7" s="1"/>
  <c r="B201" i="7" s="1"/>
  <c r="AE200" i="7"/>
  <c r="H200" i="7"/>
  <c r="J150" i="8"/>
  <c r="K150" i="8" s="1"/>
  <c r="L150" i="8" s="1"/>
  <c r="D200" i="1"/>
  <c r="E200" i="1" s="1"/>
  <c r="I200" i="1"/>
  <c r="J200" i="1"/>
  <c r="C200" i="1"/>
  <c r="B200" i="1"/>
  <c r="K200" i="1"/>
  <c r="H200" i="1"/>
  <c r="I200" i="7" l="1"/>
  <c r="J200" i="7" s="1"/>
  <c r="H201" i="7"/>
  <c r="AE201" i="7"/>
  <c r="D201" i="7"/>
  <c r="E201" i="7" s="1"/>
  <c r="G201" i="7" s="1"/>
  <c r="F201" i="7" s="1"/>
  <c r="K201" i="7" s="1"/>
  <c r="D202" i="7" s="1"/>
  <c r="E202" i="7" s="1"/>
  <c r="I202" i="7" s="1"/>
  <c r="C201" i="7"/>
  <c r="I201" i="7"/>
  <c r="H151" i="8"/>
  <c r="G151" i="8"/>
  <c r="D151" i="8"/>
  <c r="F151" i="8" s="1"/>
  <c r="I151" i="8"/>
  <c r="C151" i="8"/>
  <c r="G200" i="1"/>
  <c r="O150" i="8"/>
  <c r="AE202" i="7" l="1"/>
  <c r="G202" i="7"/>
  <c r="B202" i="7"/>
  <c r="C202" i="7"/>
  <c r="H202" i="7"/>
  <c r="J201" i="7"/>
  <c r="F202" i="7"/>
  <c r="K202" i="7" s="1"/>
  <c r="J151" i="8"/>
  <c r="E151" i="8"/>
  <c r="L200" i="1"/>
  <c r="M200" i="1" s="1"/>
  <c r="F200" i="1"/>
  <c r="AE203" i="7" l="1"/>
  <c r="J202" i="7"/>
  <c r="D203" i="7"/>
  <c r="E203" i="7" s="1"/>
  <c r="I203" i="7" s="1"/>
  <c r="B203" i="7"/>
  <c r="C203" i="7"/>
  <c r="H203" i="7"/>
  <c r="N200" i="1"/>
  <c r="AD201" i="1" s="1"/>
  <c r="K151" i="8"/>
  <c r="O151" i="8" s="1"/>
  <c r="G203" i="7" l="1"/>
  <c r="F203" i="7" s="1"/>
  <c r="K203" i="7" s="1"/>
  <c r="B204" i="7" s="1"/>
  <c r="L151" i="8"/>
  <c r="H201" i="1"/>
  <c r="C201" i="1"/>
  <c r="I201" i="1"/>
  <c r="J201" i="1"/>
  <c r="D201" i="1"/>
  <c r="E201" i="1" s="1"/>
  <c r="G201" i="1" s="1"/>
  <c r="B201" i="1"/>
  <c r="K201" i="1" l="1"/>
  <c r="L201" i="1" s="1"/>
  <c r="M201" i="1" s="1"/>
  <c r="AE204" i="7"/>
  <c r="J203" i="7"/>
  <c r="D204" i="7"/>
  <c r="E204" i="7" s="1"/>
  <c r="I204" i="7" s="1"/>
  <c r="C204" i="7"/>
  <c r="H204" i="7"/>
  <c r="F201" i="1"/>
  <c r="D152" i="8"/>
  <c r="F152" i="8" s="1"/>
  <c r="E152" i="8" s="1"/>
  <c r="I152" i="8"/>
  <c r="H152" i="8"/>
  <c r="C152" i="8"/>
  <c r="G152" i="8"/>
  <c r="G204" i="7" l="1"/>
  <c r="J204" i="7" s="1"/>
  <c r="J152" i="8"/>
  <c r="N201" i="1"/>
  <c r="AD202" i="1" s="1"/>
  <c r="F204" i="7" l="1"/>
  <c r="K204" i="7" s="1"/>
  <c r="AE205" i="7" s="1"/>
  <c r="B202" i="1"/>
  <c r="J202" i="1"/>
  <c r="H202" i="1"/>
  <c r="D202" i="1"/>
  <c r="E202" i="1" s="1"/>
  <c r="K202" i="1" s="1"/>
  <c r="I202" i="1"/>
  <c r="C202" i="1"/>
  <c r="K152" i="8"/>
  <c r="L152" i="8" s="1"/>
  <c r="H205" i="7" l="1"/>
  <c r="B205" i="7"/>
  <c r="C205" i="7"/>
  <c r="D205" i="7"/>
  <c r="E205" i="7" s="1"/>
  <c r="I205" i="7" s="1"/>
  <c r="G202" i="1"/>
  <c r="O152" i="8"/>
  <c r="C153" i="8"/>
  <c r="H153" i="8"/>
  <c r="D153" i="8"/>
  <c r="F153" i="8" s="1"/>
  <c r="E153" i="8" s="1"/>
  <c r="I153" i="8"/>
  <c r="G153" i="8"/>
  <c r="G205" i="7" l="1"/>
  <c r="J205" i="7" s="1"/>
  <c r="J153" i="8"/>
  <c r="L202" i="1"/>
  <c r="M202" i="1" s="1"/>
  <c r="F202" i="1"/>
  <c r="F205" i="7" l="1"/>
  <c r="K205" i="7" s="1"/>
  <c r="AE206" i="7" s="1"/>
  <c r="N202" i="1"/>
  <c r="AD203" i="1" s="1"/>
  <c r="K153" i="8"/>
  <c r="L153" i="8" s="1"/>
  <c r="H206" i="7" l="1"/>
  <c r="B206" i="7"/>
  <c r="C206" i="7"/>
  <c r="D206" i="7"/>
  <c r="E206" i="7" s="1"/>
  <c r="I206" i="7" s="1"/>
  <c r="H154" i="8"/>
  <c r="D154" i="8"/>
  <c r="F154" i="8" s="1"/>
  <c r="C154" i="8"/>
  <c r="G154" i="8"/>
  <c r="I154" i="8"/>
  <c r="O153" i="8"/>
  <c r="I203" i="1"/>
  <c r="C203" i="1"/>
  <c r="D203" i="1"/>
  <c r="E203" i="1" s="1"/>
  <c r="G203" i="1" s="1"/>
  <c r="H203" i="1"/>
  <c r="J203" i="1"/>
  <c r="B203" i="1"/>
  <c r="G206" i="7" l="1"/>
  <c r="J206" i="7" s="1"/>
  <c r="F206" i="7"/>
  <c r="K206" i="7" s="1"/>
  <c r="B207" i="7" s="1"/>
  <c r="K203" i="1"/>
  <c r="L203" i="1" s="1"/>
  <c r="M203" i="1" s="1"/>
  <c r="F203" i="1"/>
  <c r="J154" i="8"/>
  <c r="K154" i="8" s="1"/>
  <c r="E154" i="8"/>
  <c r="D207" i="7" l="1"/>
  <c r="E207" i="7" s="1"/>
  <c r="I207" i="7" s="1"/>
  <c r="AE207" i="7"/>
  <c r="C207" i="7"/>
  <c r="H207" i="7"/>
  <c r="L154" i="8"/>
  <c r="N203" i="1"/>
  <c r="AD204" i="1" s="1"/>
  <c r="O154" i="8"/>
  <c r="G207" i="7" l="1"/>
  <c r="J207" i="7" s="1"/>
  <c r="J204" i="1"/>
  <c r="B204" i="1"/>
  <c r="C204" i="1"/>
  <c r="D204" i="1"/>
  <c r="E204" i="1" s="1"/>
  <c r="K204" i="1" s="1"/>
  <c r="H204" i="1"/>
  <c r="I204" i="1"/>
  <c r="H155" i="8"/>
  <c r="I155" i="8"/>
  <c r="G155" i="8"/>
  <c r="C155" i="8"/>
  <c r="D155" i="8"/>
  <c r="F155" i="8" s="1"/>
  <c r="E155" i="8" s="1"/>
  <c r="F207" i="7" l="1"/>
  <c r="K207" i="7" s="1"/>
  <c r="AE208" i="7" s="1"/>
  <c r="G204" i="1"/>
  <c r="J155" i="8"/>
  <c r="H208" i="7" l="1"/>
  <c r="C208" i="7"/>
  <c r="D208" i="7"/>
  <c r="E208" i="7" s="1"/>
  <c r="G208" i="7" s="1"/>
  <c r="F208" i="7" s="1"/>
  <c r="K208" i="7" s="1"/>
  <c r="D209" i="7" s="1"/>
  <c r="E209" i="7" s="1"/>
  <c r="I209" i="7" s="1"/>
  <c r="B208" i="7"/>
  <c r="I208" i="7"/>
  <c r="AE209" i="7"/>
  <c r="L204" i="1"/>
  <c r="M204" i="1" s="1"/>
  <c r="F204" i="1"/>
  <c r="K155" i="8"/>
  <c r="L155" i="8" s="1"/>
  <c r="B209" i="7" l="1"/>
  <c r="G209" i="7"/>
  <c r="F209" i="7" s="1"/>
  <c r="K209" i="7" s="1"/>
  <c r="C210" i="7" s="1"/>
  <c r="J208" i="7"/>
  <c r="H209" i="7"/>
  <c r="C209" i="7"/>
  <c r="AE210" i="7"/>
  <c r="H156" i="8"/>
  <c r="I156" i="8"/>
  <c r="G156" i="8"/>
  <c r="C156" i="8"/>
  <c r="D156" i="8"/>
  <c r="N204" i="1"/>
  <c r="AD205" i="1" s="1"/>
  <c r="O155" i="8"/>
  <c r="B210" i="7" l="1"/>
  <c r="H210" i="7"/>
  <c r="J209" i="7"/>
  <c r="D210" i="7"/>
  <c r="E210" i="7" s="1"/>
  <c r="G210" i="7" s="1"/>
  <c r="I210" i="7"/>
  <c r="F210" i="7"/>
  <c r="K210" i="7" s="1"/>
  <c r="AE211" i="7" s="1"/>
  <c r="F156" i="8"/>
  <c r="C205" i="1"/>
  <c r="H205" i="1"/>
  <c r="J205" i="1"/>
  <c r="I205" i="1"/>
  <c r="B205" i="1"/>
  <c r="D205" i="1"/>
  <c r="E205" i="1" s="1"/>
  <c r="K205" i="1" s="1"/>
  <c r="J210" i="7" l="1"/>
  <c r="H211" i="7"/>
  <c r="C211" i="7"/>
  <c r="D211" i="7"/>
  <c r="E211" i="7" s="1"/>
  <c r="I211" i="7" s="1"/>
  <c r="B211" i="7"/>
  <c r="G205" i="1"/>
  <c r="E156" i="8"/>
  <c r="J156" i="8"/>
  <c r="G211" i="7" l="1"/>
  <c r="F211" i="7" s="1"/>
  <c r="K211" i="7" s="1"/>
  <c r="B212" i="7" s="1"/>
  <c r="K156" i="8"/>
  <c r="O156" i="8" s="1"/>
  <c r="L205" i="1"/>
  <c r="M205" i="1" s="1"/>
  <c r="F205" i="1"/>
  <c r="J211" i="7" l="1"/>
  <c r="AE212" i="7"/>
  <c r="C212" i="7"/>
  <c r="D212" i="7"/>
  <c r="E212" i="7" s="1"/>
  <c r="G212" i="7" s="1"/>
  <c r="F212" i="7" s="1"/>
  <c r="K212" i="7" s="1"/>
  <c r="AE213" i="7" s="1"/>
  <c r="H212" i="7"/>
  <c r="N205" i="1"/>
  <c r="AD206" i="1" s="1"/>
  <c r="L156" i="8"/>
  <c r="B213" i="7" l="1"/>
  <c r="I212" i="7"/>
  <c r="J212" i="7" s="1"/>
  <c r="C213" i="7"/>
  <c r="D213" i="7"/>
  <c r="E213" i="7" s="1"/>
  <c r="I213" i="7" s="1"/>
  <c r="H213" i="7"/>
  <c r="G157" i="8"/>
  <c r="D157" i="8"/>
  <c r="F157" i="8" s="1"/>
  <c r="H157" i="8"/>
  <c r="I157" i="8"/>
  <c r="C157" i="8"/>
  <c r="H206" i="1"/>
  <c r="J206" i="1"/>
  <c r="C206" i="1"/>
  <c r="D206" i="1"/>
  <c r="E206" i="1" s="1"/>
  <c r="K206" i="1" s="1"/>
  <c r="I206" i="1"/>
  <c r="B206" i="1"/>
  <c r="G213" i="7" l="1"/>
  <c r="F213" i="7" s="1"/>
  <c r="K213" i="7" s="1"/>
  <c r="D214" i="7" s="1"/>
  <c r="J157" i="8"/>
  <c r="K157" i="8" s="1"/>
  <c r="E157" i="8"/>
  <c r="G206" i="1"/>
  <c r="B214" i="7" l="1"/>
  <c r="C214" i="7"/>
  <c r="H214" i="7"/>
  <c r="J213" i="7"/>
  <c r="E214" i="7"/>
  <c r="G214" i="7" s="1"/>
  <c r="F214" i="7" s="1"/>
  <c r="K214" i="7" s="1"/>
  <c r="C215" i="7" s="1"/>
  <c r="AE214" i="7"/>
  <c r="L206" i="1"/>
  <c r="M206" i="1" s="1"/>
  <c r="F206" i="1"/>
  <c r="L157" i="8"/>
  <c r="O157" i="8"/>
  <c r="I214" i="7" l="1"/>
  <c r="J214" i="7" s="1"/>
  <c r="AE215" i="7"/>
  <c r="H215" i="7"/>
  <c r="D215" i="7"/>
  <c r="E215" i="7" s="1"/>
  <c r="I215" i="7" s="1"/>
  <c r="B215" i="7"/>
  <c r="N206" i="1"/>
  <c r="H158" i="8"/>
  <c r="G158" i="8"/>
  <c r="D158" i="8"/>
  <c r="I158" i="8"/>
  <c r="C158" i="8"/>
  <c r="G215" i="7" l="1"/>
  <c r="F215" i="7" s="1"/>
  <c r="K215" i="7" s="1"/>
  <c r="D216" i="7" s="1"/>
  <c r="AE216" i="7"/>
  <c r="C207" i="1"/>
  <c r="AD207" i="1"/>
  <c r="D207" i="1"/>
  <c r="E207" i="1" s="1"/>
  <c r="G207" i="1" s="1"/>
  <c r="B207" i="1"/>
  <c r="J207" i="1"/>
  <c r="I207" i="1"/>
  <c r="H207" i="1"/>
  <c r="F158" i="8"/>
  <c r="J158" i="8" s="1"/>
  <c r="K158" i="8" s="1"/>
  <c r="H216" i="7" l="1"/>
  <c r="E216" i="7"/>
  <c r="G216" i="7" s="1"/>
  <c r="F216" i="7" s="1"/>
  <c r="K216" i="7" s="1"/>
  <c r="H217" i="7" s="1"/>
  <c r="C216" i="7"/>
  <c r="B216" i="7"/>
  <c r="J215" i="7"/>
  <c r="AE217" i="7"/>
  <c r="K207" i="1"/>
  <c r="L207" i="1" s="1"/>
  <c r="M207" i="1" s="1"/>
  <c r="E158" i="8"/>
  <c r="L158" i="8" s="1"/>
  <c r="D159" i="8" s="1"/>
  <c r="F159" i="8" s="1"/>
  <c r="O158" i="8"/>
  <c r="F207" i="1"/>
  <c r="I216" i="7" l="1"/>
  <c r="J216" i="7" s="1"/>
  <c r="B217" i="7"/>
  <c r="D217" i="7"/>
  <c r="E217" i="7" s="1"/>
  <c r="I217" i="7" s="1"/>
  <c r="C217" i="7"/>
  <c r="I159" i="8"/>
  <c r="H159" i="8"/>
  <c r="C159" i="8"/>
  <c r="G159" i="8"/>
  <c r="E159" i="8"/>
  <c r="N207" i="1"/>
  <c r="AD208" i="1" s="1"/>
  <c r="G217" i="7" l="1"/>
  <c r="F217" i="7" s="1"/>
  <c r="K217" i="7" s="1"/>
  <c r="AE218" i="7" s="1"/>
  <c r="J159" i="8"/>
  <c r="K159" i="8" s="1"/>
  <c r="C208" i="1"/>
  <c r="K208" i="1"/>
  <c r="H208" i="1"/>
  <c r="J208" i="1"/>
  <c r="I208" i="1"/>
  <c r="D208" i="1"/>
  <c r="E208" i="1" s="1"/>
  <c r="B208" i="1"/>
  <c r="D218" i="7" l="1"/>
  <c r="E218" i="7" s="1"/>
  <c r="B218" i="7"/>
  <c r="H218" i="7"/>
  <c r="C218" i="7"/>
  <c r="J217" i="7"/>
  <c r="I218" i="7"/>
  <c r="G218" i="7"/>
  <c r="F218" i="7" s="1"/>
  <c r="K218" i="7" s="1"/>
  <c r="AE219" i="7" s="1"/>
  <c r="O159" i="8"/>
  <c r="L159" i="8"/>
  <c r="G208" i="1"/>
  <c r="B219" i="7" l="1"/>
  <c r="C219" i="7"/>
  <c r="D219" i="7"/>
  <c r="E219" i="7" s="1"/>
  <c r="H219" i="7"/>
  <c r="J218" i="7"/>
  <c r="L208" i="1"/>
  <c r="M208" i="1" s="1"/>
  <c r="F208" i="1"/>
  <c r="H160" i="8"/>
  <c r="G160" i="8"/>
  <c r="C160" i="8"/>
  <c r="I160" i="8"/>
  <c r="D160" i="8"/>
  <c r="F160" i="8" s="1"/>
  <c r="E160" i="8" s="1"/>
  <c r="I219" i="7" l="1"/>
  <c r="G219" i="7"/>
  <c r="J160" i="8"/>
  <c r="K160" i="8" s="1"/>
  <c r="O160" i="8" s="1"/>
  <c r="N208" i="1"/>
  <c r="AD209" i="1" s="1"/>
  <c r="J219" i="7" l="1"/>
  <c r="F219" i="7"/>
  <c r="K219" i="7" s="1"/>
  <c r="AE220" i="7" s="1"/>
  <c r="B209" i="1"/>
  <c r="C209" i="1"/>
  <c r="J209" i="1"/>
  <c r="D209" i="1"/>
  <c r="E209" i="1" s="1"/>
  <c r="K209" i="1" s="1"/>
  <c r="I209" i="1"/>
  <c r="H209" i="1"/>
  <c r="L160" i="8"/>
  <c r="D220" i="7" l="1"/>
  <c r="E220" i="7" s="1"/>
  <c r="C220" i="7"/>
  <c r="H220" i="7"/>
  <c r="B220" i="7"/>
  <c r="G209" i="1"/>
  <c r="H161" i="8"/>
  <c r="C161" i="8"/>
  <c r="D161" i="8"/>
  <c r="F161" i="8" s="1"/>
  <c r="G161" i="8"/>
  <c r="I161" i="8"/>
  <c r="G220" i="7" l="1"/>
  <c r="F220" i="7" s="1"/>
  <c r="K220" i="7" s="1"/>
  <c r="AE221" i="7" s="1"/>
  <c r="I220" i="7"/>
  <c r="E161" i="8"/>
  <c r="J161" i="8"/>
  <c r="K161" i="8" s="1"/>
  <c r="L209" i="1"/>
  <c r="M209" i="1" s="1"/>
  <c r="F209" i="1"/>
  <c r="J220" i="7" l="1"/>
  <c r="H221" i="7"/>
  <c r="C221" i="7"/>
  <c r="D221" i="7"/>
  <c r="E221" i="7" s="1"/>
  <c r="B221" i="7"/>
  <c r="N209" i="1"/>
  <c r="AD210" i="1" s="1"/>
  <c r="O161" i="8"/>
  <c r="L161" i="8"/>
  <c r="G221" i="7" l="1"/>
  <c r="I221" i="7"/>
  <c r="G162" i="8"/>
  <c r="C162" i="8"/>
  <c r="I162" i="8"/>
  <c r="H162" i="8"/>
  <c r="D162" i="8"/>
  <c r="D210" i="1"/>
  <c r="E210" i="1" s="1"/>
  <c r="K210" i="1" s="1"/>
  <c r="H210" i="1"/>
  <c r="C210" i="1"/>
  <c r="J210" i="1"/>
  <c r="B210" i="1"/>
  <c r="I210" i="1"/>
  <c r="J221" i="7" l="1"/>
  <c r="F221" i="7"/>
  <c r="K221" i="7" s="1"/>
  <c r="AE222" i="7" s="1"/>
  <c r="G210" i="1"/>
  <c r="F162" i="8"/>
  <c r="B222" i="7" l="1"/>
  <c r="D222" i="7"/>
  <c r="E222" i="7" s="1"/>
  <c r="G222" i="7" s="1"/>
  <c r="C222" i="7"/>
  <c r="H222" i="7"/>
  <c r="J162" i="8"/>
  <c r="E162" i="8"/>
  <c r="L210" i="1"/>
  <c r="M210" i="1" s="1"/>
  <c r="F210" i="1"/>
  <c r="I222" i="7" l="1"/>
  <c r="J222" i="7" s="1"/>
  <c r="F222" i="7"/>
  <c r="K222" i="7" s="1"/>
  <c r="AE223" i="7" s="1"/>
  <c r="N210" i="1"/>
  <c r="AD211" i="1" s="1"/>
  <c r="K162" i="8"/>
  <c r="L162" i="8" s="1"/>
  <c r="B223" i="7" l="1"/>
  <c r="H223" i="7"/>
  <c r="D223" i="7"/>
  <c r="E223" i="7" s="1"/>
  <c r="C223" i="7"/>
  <c r="H163" i="8"/>
  <c r="C163" i="8"/>
  <c r="G163" i="8"/>
  <c r="I163" i="8"/>
  <c r="D163" i="8"/>
  <c r="F163" i="8" s="1"/>
  <c r="E163" i="8" s="1"/>
  <c r="O162" i="8"/>
  <c r="J211" i="1"/>
  <c r="I211" i="1"/>
  <c r="D211" i="1"/>
  <c r="E211" i="1" s="1"/>
  <c r="C211" i="1"/>
  <c r="H211" i="1"/>
  <c r="K211" i="1"/>
  <c r="B211" i="1"/>
  <c r="G223" i="7" l="1"/>
  <c r="I223" i="7"/>
  <c r="J163" i="8"/>
  <c r="G211" i="1"/>
  <c r="J223" i="7" l="1"/>
  <c r="F223" i="7"/>
  <c r="K223" i="7" s="1"/>
  <c r="AE224" i="7" s="1"/>
  <c r="L211" i="1"/>
  <c r="M211" i="1" s="1"/>
  <c r="F211" i="1"/>
  <c r="K163" i="8"/>
  <c r="L163" i="8" s="1"/>
  <c r="C224" i="7" l="1"/>
  <c r="D224" i="7"/>
  <c r="E224" i="7" s="1"/>
  <c r="G224" i="7" s="1"/>
  <c r="H224" i="7"/>
  <c r="B224" i="7"/>
  <c r="I164" i="8"/>
  <c r="G164" i="8"/>
  <c r="C164" i="8"/>
  <c r="H164" i="8"/>
  <c r="D164" i="8"/>
  <c r="N211" i="1"/>
  <c r="AD212" i="1" s="1"/>
  <c r="O163" i="8"/>
  <c r="I224" i="7" l="1"/>
  <c r="J224" i="7" s="1"/>
  <c r="F224" i="7"/>
  <c r="K224" i="7" s="1"/>
  <c r="AE225" i="7" s="1"/>
  <c r="F164" i="8"/>
  <c r="J212" i="1"/>
  <c r="D212" i="1"/>
  <c r="E212" i="1" s="1"/>
  <c r="K212" i="1" s="1"/>
  <c r="B212" i="1"/>
  <c r="I212" i="1"/>
  <c r="H212" i="1"/>
  <c r="C212" i="1"/>
  <c r="B225" i="7" l="1"/>
  <c r="C225" i="7"/>
  <c r="D225" i="7"/>
  <c r="E225" i="7"/>
  <c r="G225" i="7" s="1"/>
  <c r="H225" i="7"/>
  <c r="J164" i="8"/>
  <c r="E164" i="8"/>
  <c r="G212" i="1"/>
  <c r="F225" i="7" l="1"/>
  <c r="K225" i="7" s="1"/>
  <c r="AE226" i="7" s="1"/>
  <c r="I225" i="7"/>
  <c r="J225" i="7" s="1"/>
  <c r="K164" i="8"/>
  <c r="L164" i="8" s="1"/>
  <c r="L212" i="1"/>
  <c r="M212" i="1" s="1"/>
  <c r="F212" i="1"/>
  <c r="H226" i="7" l="1"/>
  <c r="D226" i="7"/>
  <c r="C226" i="7"/>
  <c r="B226" i="7"/>
  <c r="E226" i="7"/>
  <c r="I226" i="7" s="1"/>
  <c r="I165" i="8"/>
  <c r="C165" i="8"/>
  <c r="H165" i="8"/>
  <c r="D165" i="8"/>
  <c r="F165" i="8" s="1"/>
  <c r="E165" i="8" s="1"/>
  <c r="G165" i="8"/>
  <c r="O164" i="8"/>
  <c r="N212" i="1"/>
  <c r="AD213" i="1" s="1"/>
  <c r="G226" i="7" l="1"/>
  <c r="J165" i="8"/>
  <c r="K165" i="8" s="1"/>
  <c r="H213" i="1"/>
  <c r="I213" i="1"/>
  <c r="C213" i="1"/>
  <c r="B213" i="1"/>
  <c r="D213" i="1"/>
  <c r="E213" i="1" s="1"/>
  <c r="K213" i="1" s="1"/>
  <c r="J213" i="1"/>
  <c r="J226" i="7" l="1"/>
  <c r="F226" i="7"/>
  <c r="K226" i="7" s="1"/>
  <c r="AE227" i="7" s="1"/>
  <c r="O165" i="8"/>
  <c r="L165" i="8"/>
  <c r="G213" i="1"/>
  <c r="H227" i="7" l="1"/>
  <c r="D227" i="7"/>
  <c r="E227" i="7" s="1"/>
  <c r="B227" i="7"/>
  <c r="C227" i="7"/>
  <c r="C166" i="8"/>
  <c r="G166" i="8"/>
  <c r="H166" i="8"/>
  <c r="I166" i="8"/>
  <c r="D166" i="8"/>
  <c r="F166" i="8" s="1"/>
  <c r="L213" i="1"/>
  <c r="M213" i="1" s="1"/>
  <c r="F213" i="1"/>
  <c r="I227" i="7" l="1"/>
  <c r="G227" i="7"/>
  <c r="N213" i="1"/>
  <c r="J166" i="8"/>
  <c r="K166" i="8" s="1"/>
  <c r="O166" i="8" s="1"/>
  <c r="E166" i="8"/>
  <c r="J227" i="7" l="1"/>
  <c r="F227" i="7"/>
  <c r="K227" i="7" s="1"/>
  <c r="AE228" i="7" s="1"/>
  <c r="C214" i="1"/>
  <c r="AD214" i="1"/>
  <c r="H214" i="1"/>
  <c r="I214" i="1"/>
  <c r="J214" i="1"/>
  <c r="D214" i="1"/>
  <c r="E214" i="1" s="1"/>
  <c r="G214" i="1" s="1"/>
  <c r="F214" i="1" s="1"/>
  <c r="B214" i="1"/>
  <c r="L166" i="8"/>
  <c r="G167" i="8" s="1"/>
  <c r="K214" i="1" l="1"/>
  <c r="L214" i="1" s="1"/>
  <c r="M214" i="1" s="1"/>
  <c r="N214" i="1" s="1"/>
  <c r="I215" i="1" s="1"/>
  <c r="C228" i="7"/>
  <c r="D228" i="7"/>
  <c r="E228" i="7" s="1"/>
  <c r="I228" i="7" s="1"/>
  <c r="B228" i="7"/>
  <c r="H228" i="7"/>
  <c r="D167" i="8"/>
  <c r="F167" i="8" s="1"/>
  <c r="E167" i="8" s="1"/>
  <c r="I167" i="8"/>
  <c r="H167" i="8"/>
  <c r="C167" i="8"/>
  <c r="G228" i="7" l="1"/>
  <c r="J228" i="7" s="1"/>
  <c r="J167" i="8"/>
  <c r="K167" i="8" s="1"/>
  <c r="L167" i="8" s="1"/>
  <c r="AD215" i="1"/>
  <c r="H215" i="1"/>
  <c r="J215" i="1"/>
  <c r="B215" i="1"/>
  <c r="K215" i="1"/>
  <c r="C215" i="1"/>
  <c r="D215" i="1"/>
  <c r="E215" i="1" s="1"/>
  <c r="G215" i="1" s="1"/>
  <c r="F228" i="7" l="1"/>
  <c r="K228" i="7" s="1"/>
  <c r="AE229" i="7" s="1"/>
  <c r="O167" i="8"/>
  <c r="C168" i="8"/>
  <c r="G168" i="8"/>
  <c r="H168" i="8"/>
  <c r="I168" i="8"/>
  <c r="D168" i="8"/>
  <c r="F168" i="8" s="1"/>
  <c r="L215" i="1"/>
  <c r="M215" i="1" s="1"/>
  <c r="F215" i="1"/>
  <c r="C229" i="7" l="1"/>
  <c r="D229" i="7"/>
  <c r="E229" i="7" s="1"/>
  <c r="H229" i="7"/>
  <c r="B229" i="7"/>
  <c r="I229" i="7"/>
  <c r="G229" i="7"/>
  <c r="J168" i="8"/>
  <c r="K168" i="8" s="1"/>
  <c r="O168" i="8" s="1"/>
  <c r="N215" i="1"/>
  <c r="AD216" i="1" s="1"/>
  <c r="E168" i="8"/>
  <c r="J229" i="7" l="1"/>
  <c r="F229" i="7"/>
  <c r="K229" i="7" s="1"/>
  <c r="AE230" i="7" s="1"/>
  <c r="L168" i="8"/>
  <c r="I169" i="8" s="1"/>
  <c r="B216" i="1"/>
  <c r="I216" i="1"/>
  <c r="D216" i="1"/>
  <c r="E216" i="1" s="1"/>
  <c r="K216" i="1" s="1"/>
  <c r="H216" i="1"/>
  <c r="J216" i="1"/>
  <c r="C216" i="1"/>
  <c r="C230" i="7" l="1"/>
  <c r="H230" i="7"/>
  <c r="B230" i="7"/>
  <c r="D230" i="7"/>
  <c r="E230" i="7" s="1"/>
  <c r="D169" i="8"/>
  <c r="F169" i="8" s="1"/>
  <c r="E169" i="8" s="1"/>
  <c r="H169" i="8"/>
  <c r="G169" i="8"/>
  <c r="C169" i="8"/>
  <c r="G216" i="1"/>
  <c r="I230" i="7" l="1"/>
  <c r="G230" i="7"/>
  <c r="J169" i="8"/>
  <c r="K169" i="8" s="1"/>
  <c r="L216" i="1"/>
  <c r="M216" i="1" s="1"/>
  <c r="F216" i="1"/>
  <c r="J230" i="7" l="1"/>
  <c r="F230" i="7"/>
  <c r="K230" i="7" s="1"/>
  <c r="AE231" i="7" s="1"/>
  <c r="O169" i="8"/>
  <c r="L169" i="8"/>
  <c r="D170" i="8" s="1"/>
  <c r="N216" i="1"/>
  <c r="AD217" i="1" l="1"/>
  <c r="H231" i="7"/>
  <c r="C231" i="7"/>
  <c r="B231" i="7"/>
  <c r="D231" i="7"/>
  <c r="E231" i="7" s="1"/>
  <c r="F170" i="8"/>
  <c r="E170" i="8" s="1"/>
  <c r="C170" i="8"/>
  <c r="G170" i="8"/>
  <c r="I170" i="8"/>
  <c r="H170" i="8"/>
  <c r="D217" i="1"/>
  <c r="E217" i="1" s="1"/>
  <c r="B217" i="1"/>
  <c r="I217" i="1"/>
  <c r="C217" i="1"/>
  <c r="H217" i="1"/>
  <c r="J217" i="1"/>
  <c r="K217" i="1"/>
  <c r="AF217" i="1" l="1"/>
  <c r="AE217" i="1" s="1"/>
  <c r="AB217" i="1" s="1"/>
  <c r="G217" i="1" s="1"/>
  <c r="G231" i="7"/>
  <c r="I231" i="7"/>
  <c r="J170" i="8"/>
  <c r="K170" i="8"/>
  <c r="F217" i="1" l="1"/>
  <c r="L217" i="1"/>
  <c r="M217" i="1" s="1"/>
  <c r="J231" i="7"/>
  <c r="F231" i="7"/>
  <c r="K231" i="7" s="1"/>
  <c r="AE232" i="7" s="1"/>
  <c r="O170" i="8"/>
  <c r="L170" i="8"/>
  <c r="N217" i="1" l="1"/>
  <c r="AF218" i="1"/>
  <c r="AE218" i="1" s="1"/>
  <c r="AB218" i="1" s="1"/>
  <c r="D232" i="7"/>
  <c r="H232" i="7"/>
  <c r="C232" i="7"/>
  <c r="E232" i="7"/>
  <c r="I232" i="7" s="1"/>
  <c r="B232" i="7"/>
  <c r="G171" i="8"/>
  <c r="D171" i="8"/>
  <c r="F171" i="8" s="1"/>
  <c r="H171" i="8"/>
  <c r="C171" i="8"/>
  <c r="I171" i="8"/>
  <c r="H218" i="1" l="1"/>
  <c r="AD218" i="1"/>
  <c r="K218" i="1"/>
  <c r="J218" i="1"/>
  <c r="C218" i="1"/>
  <c r="D218" i="1"/>
  <c r="E218" i="1" s="1"/>
  <c r="G218" i="1" s="1"/>
  <c r="F218" i="1" s="1"/>
  <c r="I218" i="1"/>
  <c r="B218" i="1"/>
  <c r="G232" i="7"/>
  <c r="J232" i="7" s="1"/>
  <c r="E171" i="8"/>
  <c r="J171" i="8"/>
  <c r="K171" i="8" s="1"/>
  <c r="L218" i="1" l="1"/>
  <c r="M218" i="1" s="1"/>
  <c r="N218" i="1" s="1"/>
  <c r="AD219" i="1" s="1"/>
  <c r="F232" i="7"/>
  <c r="K232" i="7" s="1"/>
  <c r="AE233" i="7" s="1"/>
  <c r="O171" i="8"/>
  <c r="L171" i="8"/>
  <c r="I219" i="1" l="1"/>
  <c r="D219" i="1"/>
  <c r="E219" i="1" s="1"/>
  <c r="G219" i="1" s="1"/>
  <c r="F219" i="1" s="1"/>
  <c r="H219" i="1"/>
  <c r="J219" i="1"/>
  <c r="B219" i="1"/>
  <c r="C219" i="1"/>
  <c r="K219" i="1"/>
  <c r="C233" i="7"/>
  <c r="H233" i="7"/>
  <c r="B233" i="7"/>
  <c r="D233" i="7"/>
  <c r="E233" i="7" s="1"/>
  <c r="I172" i="8"/>
  <c r="H172" i="8"/>
  <c r="C172" i="8"/>
  <c r="D172" i="8"/>
  <c r="F172" i="8" s="1"/>
  <c r="E172" i="8" s="1"/>
  <c r="G172" i="8"/>
  <c r="L219" i="1" l="1"/>
  <c r="M219" i="1" s="1"/>
  <c r="N219" i="1" s="1"/>
  <c r="AD220" i="1" s="1"/>
  <c r="I233" i="7"/>
  <c r="G233" i="7"/>
  <c r="J172" i="8"/>
  <c r="J233" i="7" l="1"/>
  <c r="F233" i="7"/>
  <c r="K233" i="7" s="1"/>
  <c r="AE234" i="7" s="1"/>
  <c r="I220" i="1"/>
  <c r="H220" i="1"/>
  <c r="D220" i="1"/>
  <c r="E220" i="1" s="1"/>
  <c r="K220" i="1" s="1"/>
  <c r="J220" i="1"/>
  <c r="B220" i="1"/>
  <c r="C220" i="1"/>
  <c r="K172" i="8"/>
  <c r="L172" i="8" s="1"/>
  <c r="C234" i="7" l="1"/>
  <c r="H234" i="7"/>
  <c r="D234" i="7"/>
  <c r="E234" i="7" s="1"/>
  <c r="B234" i="7"/>
  <c r="G220" i="1"/>
  <c r="H173" i="8"/>
  <c r="D173" i="8"/>
  <c r="F173" i="8" s="1"/>
  <c r="G173" i="8"/>
  <c r="I173" i="8"/>
  <c r="C173" i="8"/>
  <c r="O172" i="8"/>
  <c r="I234" i="7" l="1"/>
  <c r="G234" i="7"/>
  <c r="J173" i="8"/>
  <c r="K173" i="8" s="1"/>
  <c r="E173" i="8"/>
  <c r="L220" i="1"/>
  <c r="M220" i="1" s="1"/>
  <c r="F220" i="1"/>
  <c r="F234" i="7" l="1"/>
  <c r="K234" i="7" s="1"/>
  <c r="AE235" i="7" s="1"/>
  <c r="J234" i="7"/>
  <c r="L173" i="8"/>
  <c r="D174" i="8" s="1"/>
  <c r="F174" i="8" s="1"/>
  <c r="O173" i="8"/>
  <c r="N220" i="1"/>
  <c r="AD221" i="1" s="1"/>
  <c r="C235" i="7" l="1"/>
  <c r="H235" i="7"/>
  <c r="D235" i="7"/>
  <c r="E235" i="7" s="1"/>
  <c r="G235" i="7" s="1"/>
  <c r="B235" i="7"/>
  <c r="G174" i="8"/>
  <c r="H174" i="8"/>
  <c r="I174" i="8"/>
  <c r="C174" i="8"/>
  <c r="E174" i="8"/>
  <c r="I221" i="1"/>
  <c r="H221" i="1"/>
  <c r="B221" i="1"/>
  <c r="D221" i="1"/>
  <c r="E221" i="1" s="1"/>
  <c r="G221" i="1" s="1"/>
  <c r="C221" i="1"/>
  <c r="J221" i="1"/>
  <c r="K221" i="1"/>
  <c r="I235" i="7" l="1"/>
  <c r="J235" i="7" s="1"/>
  <c r="F235" i="7"/>
  <c r="K235" i="7" s="1"/>
  <c r="AE236" i="7" s="1"/>
  <c r="J174" i="8"/>
  <c r="K174" i="8" s="1"/>
  <c r="O174" i="8" s="1"/>
  <c r="L221" i="1"/>
  <c r="M221" i="1" s="1"/>
  <c r="F221" i="1"/>
  <c r="H236" i="7" l="1"/>
  <c r="B236" i="7"/>
  <c r="C236" i="7"/>
  <c r="D236" i="7"/>
  <c r="E236" i="7" s="1"/>
  <c r="L174" i="8"/>
  <c r="N221" i="1"/>
  <c r="AD222" i="1" s="1"/>
  <c r="G236" i="7" l="1"/>
  <c r="F236" i="7" s="1"/>
  <c r="K236" i="7" s="1"/>
  <c r="AE237" i="7" s="1"/>
  <c r="I236" i="7"/>
  <c r="C175" i="8"/>
  <c r="D175" i="8"/>
  <c r="I175" i="8"/>
  <c r="G175" i="8"/>
  <c r="H175" i="8"/>
  <c r="I222" i="1"/>
  <c r="H222" i="1"/>
  <c r="B222" i="1"/>
  <c r="J222" i="1"/>
  <c r="C222" i="1"/>
  <c r="D222" i="1"/>
  <c r="E222" i="1" s="1"/>
  <c r="K222" i="1" s="1"/>
  <c r="J236" i="7" l="1"/>
  <c r="C237" i="7"/>
  <c r="B237" i="7"/>
  <c r="D237" i="7"/>
  <c r="E237" i="7" s="1"/>
  <c r="H237" i="7"/>
  <c r="F175" i="8"/>
  <c r="E175" i="8" s="1"/>
  <c r="G222" i="1"/>
  <c r="I237" i="7" l="1"/>
  <c r="G237" i="7"/>
  <c r="J175" i="8"/>
  <c r="K175" i="8"/>
  <c r="L175" i="8" s="1"/>
  <c r="L222" i="1"/>
  <c r="M222" i="1" s="1"/>
  <c r="F222" i="1"/>
  <c r="F237" i="7" l="1"/>
  <c r="K237" i="7" s="1"/>
  <c r="AE238" i="7" s="1"/>
  <c r="J237" i="7"/>
  <c r="I176" i="8"/>
  <c r="C176" i="8"/>
  <c r="G176" i="8"/>
  <c r="H176" i="8"/>
  <c r="D176" i="8"/>
  <c r="F176" i="8" s="1"/>
  <c r="E176" i="8" s="1"/>
  <c r="O175" i="8"/>
  <c r="N222" i="1"/>
  <c r="AD223" i="1" s="1"/>
  <c r="D238" i="7" l="1"/>
  <c r="E238" i="7" s="1"/>
  <c r="B238" i="7"/>
  <c r="C238" i="7"/>
  <c r="H238" i="7"/>
  <c r="J176" i="8"/>
  <c r="D223" i="1"/>
  <c r="E223" i="1" s="1"/>
  <c r="K223" i="1" s="1"/>
  <c r="J223" i="1"/>
  <c r="I223" i="1"/>
  <c r="H223" i="1"/>
  <c r="C223" i="1"/>
  <c r="B223" i="1"/>
  <c r="G238" i="7" l="1"/>
  <c r="I238" i="7"/>
  <c r="K176" i="8"/>
  <c r="L176" i="8" s="1"/>
  <c r="G223" i="1"/>
  <c r="J238" i="7" l="1"/>
  <c r="F238" i="7"/>
  <c r="K238" i="7" s="1"/>
  <c r="AE239" i="7" s="1"/>
  <c r="D177" i="8"/>
  <c r="F177" i="8" s="1"/>
  <c r="E177" i="8" s="1"/>
  <c r="G177" i="8"/>
  <c r="H177" i="8"/>
  <c r="C177" i="8"/>
  <c r="I177" i="8"/>
  <c r="O176" i="8"/>
  <c r="L223" i="1"/>
  <c r="M223" i="1" s="1"/>
  <c r="F223" i="1"/>
  <c r="H239" i="7" l="1"/>
  <c r="B239" i="7"/>
  <c r="D239" i="7"/>
  <c r="E239" i="7" s="1"/>
  <c r="C239" i="7"/>
  <c r="J177" i="8"/>
  <c r="K177" i="8" s="1"/>
  <c r="O177" i="8" s="1"/>
  <c r="N223" i="1"/>
  <c r="AD224" i="1" s="1"/>
  <c r="I239" i="7" l="1"/>
  <c r="G239" i="7"/>
  <c r="L177" i="8"/>
  <c r="D224" i="1"/>
  <c r="E224" i="1" s="1"/>
  <c r="K224" i="1" s="1"/>
  <c r="B224" i="1"/>
  <c r="H224" i="1"/>
  <c r="C224" i="1"/>
  <c r="I224" i="1"/>
  <c r="J224" i="1"/>
  <c r="F239" i="7" l="1"/>
  <c r="K239" i="7" s="1"/>
  <c r="AE240" i="7" s="1"/>
  <c r="J239" i="7"/>
  <c r="C178" i="8"/>
  <c r="G178" i="8"/>
  <c r="I178" i="8"/>
  <c r="D178" i="8"/>
  <c r="F178" i="8" s="1"/>
  <c r="H178" i="8"/>
  <c r="G224" i="1"/>
  <c r="H240" i="7" l="1"/>
  <c r="B240" i="7"/>
  <c r="C240" i="7"/>
  <c r="D240" i="7"/>
  <c r="E240" i="7" s="1"/>
  <c r="E178" i="8"/>
  <c r="J178" i="8"/>
  <c r="L224" i="1"/>
  <c r="M224" i="1" s="1"/>
  <c r="F224" i="1"/>
  <c r="I240" i="7" l="1"/>
  <c r="G240" i="7"/>
  <c r="K178" i="8"/>
  <c r="O178" i="8" s="1"/>
  <c r="N224" i="1"/>
  <c r="AD225" i="1" s="1"/>
  <c r="F240" i="7" l="1"/>
  <c r="K240" i="7" s="1"/>
  <c r="AE241" i="7" s="1"/>
  <c r="J240" i="7"/>
  <c r="L178" i="8"/>
  <c r="D179" i="8" s="1"/>
  <c r="F179" i="8" s="1"/>
  <c r="E179" i="8" s="1"/>
  <c r="B225" i="1"/>
  <c r="H225" i="1"/>
  <c r="D225" i="1"/>
  <c r="E225" i="1" s="1"/>
  <c r="G225" i="1" s="1"/>
  <c r="J225" i="1"/>
  <c r="C225" i="1"/>
  <c r="I225" i="1"/>
  <c r="K225" i="1" l="1"/>
  <c r="L225" i="1" s="1"/>
  <c r="M225" i="1" s="1"/>
  <c r="G179" i="8"/>
  <c r="C179" i="8"/>
  <c r="I179" i="8"/>
  <c r="D241" i="7"/>
  <c r="E241" i="7" s="1"/>
  <c r="H241" i="7"/>
  <c r="B241" i="7"/>
  <c r="C241" i="7"/>
  <c r="H179" i="8"/>
  <c r="F225" i="1"/>
  <c r="J179" i="8" l="1"/>
  <c r="K179" i="8" s="1"/>
  <c r="L179" i="8" s="1"/>
  <c r="G241" i="7"/>
  <c r="F241" i="7" s="1"/>
  <c r="K241" i="7" s="1"/>
  <c r="AE242" i="7" s="1"/>
  <c r="I241" i="7"/>
  <c r="N225" i="1"/>
  <c r="AD226" i="1" s="1"/>
  <c r="J241" i="7" l="1"/>
  <c r="H242" i="7"/>
  <c r="B242" i="7"/>
  <c r="C242" i="7"/>
  <c r="D242" i="7"/>
  <c r="E242" i="7" s="1"/>
  <c r="D180" i="8"/>
  <c r="F180" i="8" s="1"/>
  <c r="E180" i="8" s="1"/>
  <c r="I180" i="8"/>
  <c r="H180" i="8"/>
  <c r="G180" i="8"/>
  <c r="C180" i="8"/>
  <c r="O179" i="8"/>
  <c r="D226" i="1"/>
  <c r="E226" i="1" s="1"/>
  <c r="G226" i="1" s="1"/>
  <c r="C226" i="1"/>
  <c r="J226" i="1"/>
  <c r="H226" i="1"/>
  <c r="B226" i="1"/>
  <c r="I226" i="1"/>
  <c r="K226" i="1" l="1"/>
  <c r="L226" i="1" s="1"/>
  <c r="I242" i="7"/>
  <c r="G242" i="7"/>
  <c r="J180" i="8"/>
  <c r="F226" i="1"/>
  <c r="M226" i="1"/>
  <c r="J242" i="7" l="1"/>
  <c r="F242" i="7"/>
  <c r="K242" i="7" s="1"/>
  <c r="AE243" i="7" s="1"/>
  <c r="K180" i="8"/>
  <c r="L180" i="8" s="1"/>
  <c r="N226" i="1"/>
  <c r="AD227" i="1" s="1"/>
  <c r="B243" i="7" l="1"/>
  <c r="D243" i="7"/>
  <c r="E243" i="7" s="1"/>
  <c r="H243" i="7"/>
  <c r="C243" i="7"/>
  <c r="G243" i="7"/>
  <c r="F243" i="7" s="1"/>
  <c r="K243" i="7" s="1"/>
  <c r="I243" i="7"/>
  <c r="H181" i="8"/>
  <c r="D181" i="8"/>
  <c r="F181" i="8" s="1"/>
  <c r="I181" i="8"/>
  <c r="G181" i="8"/>
  <c r="C181" i="8"/>
  <c r="O180" i="8"/>
  <c r="B227" i="1"/>
  <c r="I227" i="1"/>
  <c r="K227" i="1"/>
  <c r="C227" i="1"/>
  <c r="D227" i="1"/>
  <c r="E227" i="1" s="1"/>
  <c r="H227" i="1"/>
  <c r="J227" i="1"/>
  <c r="AE244" i="7" l="1"/>
  <c r="H244" i="7"/>
  <c r="C244" i="7"/>
  <c r="J243" i="7"/>
  <c r="D244" i="7"/>
  <c r="E244" i="7" s="1"/>
  <c r="I244" i="7" s="1"/>
  <c r="B244" i="7"/>
  <c r="E181" i="8"/>
  <c r="J181" i="8"/>
  <c r="G227" i="1"/>
  <c r="G244" i="7" l="1"/>
  <c r="K181" i="8"/>
  <c r="O181" i="8" s="1"/>
  <c r="L227" i="1"/>
  <c r="M227" i="1" s="1"/>
  <c r="F227" i="1"/>
  <c r="J244" i="7" l="1"/>
  <c r="F244" i="7"/>
  <c r="K244" i="7" s="1"/>
  <c r="AE245" i="7" s="1"/>
  <c r="L181" i="8"/>
  <c r="I182" i="8" s="1"/>
  <c r="N227" i="1"/>
  <c r="AD228" i="1" s="1"/>
  <c r="H182" i="8" l="1"/>
  <c r="D182" i="8"/>
  <c r="F182" i="8" s="1"/>
  <c r="E182" i="8" s="1"/>
  <c r="G182" i="8"/>
  <c r="H245" i="7"/>
  <c r="B245" i="7"/>
  <c r="D245" i="7"/>
  <c r="E245" i="7" s="1"/>
  <c r="G245" i="7" s="1"/>
  <c r="C245" i="7"/>
  <c r="C182" i="8"/>
  <c r="C228" i="1"/>
  <c r="J228" i="1"/>
  <c r="B228" i="1"/>
  <c r="I228" i="1"/>
  <c r="H228" i="1"/>
  <c r="D228" i="1"/>
  <c r="E228" i="1" s="1"/>
  <c r="G228" i="1" s="1"/>
  <c r="K228" i="1" l="1"/>
  <c r="L228" i="1" s="1"/>
  <c r="M228" i="1" s="1"/>
  <c r="I245" i="7"/>
  <c r="J245" i="7" s="1"/>
  <c r="J182" i="8"/>
  <c r="K182" i="8" s="1"/>
  <c r="O182" i="8" s="1"/>
  <c r="F245" i="7"/>
  <c r="K245" i="7" s="1"/>
  <c r="AE246" i="7" s="1"/>
  <c r="F228" i="1"/>
  <c r="L182" i="8" l="1"/>
  <c r="H183" i="8" s="1"/>
  <c r="H246" i="7"/>
  <c r="C246" i="7"/>
  <c r="D246" i="7"/>
  <c r="E246" i="7" s="1"/>
  <c r="B246" i="7"/>
  <c r="N228" i="1"/>
  <c r="AD229" i="1" s="1"/>
  <c r="G183" i="8" l="1"/>
  <c r="I183" i="8"/>
  <c r="C183" i="8"/>
  <c r="D183" i="8"/>
  <c r="F183" i="8" s="1"/>
  <c r="E183" i="8" s="1"/>
  <c r="G246" i="7"/>
  <c r="I246" i="7"/>
  <c r="C229" i="1"/>
  <c r="D229" i="1"/>
  <c r="E229" i="1" s="1"/>
  <c r="K229" i="1" s="1"/>
  <c r="J229" i="1"/>
  <c r="H229" i="1"/>
  <c r="I229" i="1"/>
  <c r="B229" i="1"/>
  <c r="J183" i="8" l="1"/>
  <c r="K183" i="8" s="1"/>
  <c r="O183" i="8" s="1"/>
  <c r="J246" i="7"/>
  <c r="F246" i="7"/>
  <c r="K246" i="7" s="1"/>
  <c r="AE247" i="7" s="1"/>
  <c r="G229" i="1"/>
  <c r="L183" i="8" l="1"/>
  <c r="I184" i="8" s="1"/>
  <c r="B247" i="7"/>
  <c r="H247" i="7"/>
  <c r="D247" i="7"/>
  <c r="E247" i="7" s="1"/>
  <c r="C247" i="7"/>
  <c r="L229" i="1"/>
  <c r="M229" i="1" s="1"/>
  <c r="F229" i="1"/>
  <c r="D184" i="8" l="1"/>
  <c r="F184" i="8" s="1"/>
  <c r="E184" i="8" s="1"/>
  <c r="G184" i="8"/>
  <c r="C184" i="8"/>
  <c r="H184" i="8"/>
  <c r="I247" i="7"/>
  <c r="G247" i="7"/>
  <c r="N229" i="1"/>
  <c r="AD230" i="1" s="1"/>
  <c r="J184" i="8" l="1"/>
  <c r="K184" i="8" s="1"/>
  <c r="O184" i="8" s="1"/>
  <c r="J247" i="7"/>
  <c r="F247" i="7"/>
  <c r="K247" i="7" s="1"/>
  <c r="AE248" i="7" s="1"/>
  <c r="C230" i="1"/>
  <c r="D230" i="1"/>
  <c r="E230" i="1" s="1"/>
  <c r="G230" i="1" s="1"/>
  <c r="I230" i="1"/>
  <c r="B230" i="1"/>
  <c r="J230" i="1"/>
  <c r="H230" i="1"/>
  <c r="L184" i="8" l="1"/>
  <c r="I185" i="8" s="1"/>
  <c r="K230" i="1"/>
  <c r="L230" i="1" s="1"/>
  <c r="M230" i="1" s="1"/>
  <c r="B248" i="7"/>
  <c r="C248" i="7"/>
  <c r="H248" i="7"/>
  <c r="D248" i="7"/>
  <c r="E248" i="7" s="1"/>
  <c r="F230" i="1"/>
  <c r="G185" i="8" l="1"/>
  <c r="C185" i="8"/>
  <c r="H185" i="8"/>
  <c r="D185" i="8"/>
  <c r="F185" i="8" s="1"/>
  <c r="E185" i="8" s="1"/>
  <c r="G248" i="7"/>
  <c r="I248" i="7"/>
  <c r="N230" i="1"/>
  <c r="AD231" i="1" s="1"/>
  <c r="J185" i="8" l="1"/>
  <c r="F248" i="7"/>
  <c r="K248" i="7" s="1"/>
  <c r="AE249" i="7" s="1"/>
  <c r="J248" i="7"/>
  <c r="J231" i="1"/>
  <c r="C231" i="1"/>
  <c r="H231" i="1"/>
  <c r="D231" i="1"/>
  <c r="E231" i="1" s="1"/>
  <c r="K231" i="1" s="1"/>
  <c r="I231" i="1"/>
  <c r="B231" i="1"/>
  <c r="K185" i="8" l="1"/>
  <c r="L185" i="8" s="1"/>
  <c r="H186" i="8" s="1"/>
  <c r="C249" i="7"/>
  <c r="H249" i="7"/>
  <c r="B249" i="7"/>
  <c r="D249" i="7"/>
  <c r="E249" i="7" s="1"/>
  <c r="G231" i="1"/>
  <c r="I186" i="8" l="1"/>
  <c r="D186" i="8"/>
  <c r="F186" i="8" s="1"/>
  <c r="E186" i="8" s="1"/>
  <c r="G186" i="8"/>
  <c r="C186" i="8"/>
  <c r="O185" i="8"/>
  <c r="G249" i="7"/>
  <c r="I249" i="7"/>
  <c r="L231" i="1"/>
  <c r="M231" i="1" s="1"/>
  <c r="F231" i="1"/>
  <c r="J186" i="8" l="1"/>
  <c r="K186" i="8" s="1"/>
  <c r="O186" i="8" s="1"/>
  <c r="J249" i="7"/>
  <c r="F249" i="7"/>
  <c r="K249" i="7" s="1"/>
  <c r="AE250" i="7" s="1"/>
  <c r="N231" i="1"/>
  <c r="L186" i="8" l="1"/>
  <c r="C187" i="8" s="1"/>
  <c r="D250" i="7"/>
  <c r="E250" i="7" s="1"/>
  <c r="C250" i="7"/>
  <c r="B250" i="7"/>
  <c r="H250" i="7"/>
  <c r="K232" i="1"/>
  <c r="AD232" i="1"/>
  <c r="J232" i="1"/>
  <c r="D232" i="1"/>
  <c r="E232" i="1" s="1"/>
  <c r="G232" i="1" s="1"/>
  <c r="F232" i="1" s="1"/>
  <c r="B232" i="1"/>
  <c r="I232" i="1"/>
  <c r="C232" i="1"/>
  <c r="H232" i="1"/>
  <c r="G187" i="8" l="1"/>
  <c r="D187" i="8"/>
  <c r="F187" i="8" s="1"/>
  <c r="E187" i="8" s="1"/>
  <c r="H187" i="8"/>
  <c r="I187" i="8"/>
  <c r="G250" i="7"/>
  <c r="I250" i="7"/>
  <c r="L232" i="1"/>
  <c r="M232" i="1" s="1"/>
  <c r="N232" i="1" s="1"/>
  <c r="AD233" i="1" s="1"/>
  <c r="J187" i="8" l="1"/>
  <c r="K187" i="8" s="1"/>
  <c r="J250" i="7"/>
  <c r="F250" i="7"/>
  <c r="K250" i="7" s="1"/>
  <c r="AE251" i="7" s="1"/>
  <c r="D233" i="1"/>
  <c r="E233" i="1" s="1"/>
  <c r="G233" i="1" s="1"/>
  <c r="J233" i="1"/>
  <c r="B233" i="1"/>
  <c r="I233" i="1"/>
  <c r="C233" i="1"/>
  <c r="H233" i="1"/>
  <c r="O187" i="8" l="1"/>
  <c r="L187" i="8"/>
  <c r="K233" i="1"/>
  <c r="L233" i="1" s="1"/>
  <c r="M233" i="1" s="1"/>
  <c r="H251" i="7"/>
  <c r="B251" i="7"/>
  <c r="C251" i="7"/>
  <c r="D251" i="7"/>
  <c r="E251" i="7" s="1"/>
  <c r="F233" i="1"/>
  <c r="I188" i="8" l="1"/>
  <c r="C188" i="8"/>
  <c r="D188" i="8"/>
  <c r="F188" i="8" s="1"/>
  <c r="H188" i="8"/>
  <c r="G188" i="8"/>
  <c r="I251" i="7"/>
  <c r="G251" i="7"/>
  <c r="N233" i="1"/>
  <c r="AD234" i="1" s="1"/>
  <c r="J188" i="8" l="1"/>
  <c r="K188" i="8" s="1"/>
  <c r="E188" i="8"/>
  <c r="J251" i="7"/>
  <c r="F251" i="7"/>
  <c r="K251" i="7" s="1"/>
  <c r="AE252" i="7" s="1"/>
  <c r="C234" i="1"/>
  <c r="D234" i="1"/>
  <c r="E234" i="1" s="1"/>
  <c r="J234" i="1"/>
  <c r="K234" i="1"/>
  <c r="H234" i="1"/>
  <c r="B234" i="1"/>
  <c r="I234" i="1"/>
  <c r="L188" i="8" l="1"/>
  <c r="O188" i="8"/>
  <c r="D252" i="7"/>
  <c r="E252" i="7" s="1"/>
  <c r="B252" i="7"/>
  <c r="C252" i="7"/>
  <c r="H252" i="7"/>
  <c r="G234" i="1"/>
  <c r="G189" i="8" l="1"/>
  <c r="H189" i="8"/>
  <c r="I189" i="8"/>
  <c r="D189" i="8"/>
  <c r="F189" i="8" s="1"/>
  <c r="C189" i="8"/>
  <c r="G252" i="7"/>
  <c r="F252" i="7" s="1"/>
  <c r="K252" i="7" s="1"/>
  <c r="AE253" i="7" s="1"/>
  <c r="I252" i="7"/>
  <c r="L234" i="1"/>
  <c r="M234" i="1" s="1"/>
  <c r="F234" i="1"/>
  <c r="E189" i="8" l="1"/>
  <c r="J189" i="8"/>
  <c r="J252" i="7"/>
  <c r="H253" i="7"/>
  <c r="D253" i="7"/>
  <c r="E253" i="7" s="1"/>
  <c r="C253" i="7"/>
  <c r="B253" i="7"/>
  <c r="N234" i="1"/>
  <c r="AD235" i="1" s="1"/>
  <c r="K189" i="8" l="1"/>
  <c r="L189" i="8" s="1"/>
  <c r="G253" i="7"/>
  <c r="I253" i="7"/>
  <c r="H235" i="1"/>
  <c r="J235" i="1"/>
  <c r="C235" i="1"/>
  <c r="B235" i="1"/>
  <c r="D235" i="1"/>
  <c r="E235" i="1" s="1"/>
  <c r="G235" i="1" s="1"/>
  <c r="I235" i="1"/>
  <c r="O189" i="8" l="1"/>
  <c r="D190" i="8"/>
  <c r="F190" i="8" s="1"/>
  <c r="E190" i="8" s="1"/>
  <c r="H190" i="8"/>
  <c r="I190" i="8"/>
  <c r="C190" i="8"/>
  <c r="G190" i="8"/>
  <c r="K235" i="1"/>
  <c r="L235" i="1" s="1"/>
  <c r="M235" i="1" s="1"/>
  <c r="J253" i="7"/>
  <c r="F253" i="7"/>
  <c r="K253" i="7" s="1"/>
  <c r="AE254" i="7" s="1"/>
  <c r="F235" i="1"/>
  <c r="J190" i="8" l="1"/>
  <c r="K190" i="8"/>
  <c r="L190" i="8" s="1"/>
  <c r="B254" i="7"/>
  <c r="H254" i="7"/>
  <c r="D254" i="7"/>
  <c r="E254" i="7" s="1"/>
  <c r="I254" i="7" s="1"/>
  <c r="C254" i="7"/>
  <c r="N235" i="1"/>
  <c r="AD236" i="1" s="1"/>
  <c r="O190" i="8" l="1"/>
  <c r="H191" i="8"/>
  <c r="G191" i="8"/>
  <c r="D191" i="8"/>
  <c r="F191" i="8" s="1"/>
  <c r="E191" i="8" s="1"/>
  <c r="I191" i="8"/>
  <c r="C191" i="8"/>
  <c r="G254" i="7"/>
  <c r="F254" i="7" s="1"/>
  <c r="K254" i="7" s="1"/>
  <c r="C255" i="7" s="1"/>
  <c r="AE255" i="7"/>
  <c r="I236" i="1"/>
  <c r="D236" i="1"/>
  <c r="E236" i="1" s="1"/>
  <c r="H236" i="1"/>
  <c r="C236" i="1"/>
  <c r="B236" i="1"/>
  <c r="J236" i="1"/>
  <c r="K236" i="1"/>
  <c r="J191" i="8" l="1"/>
  <c r="K191" i="8"/>
  <c r="L191" i="8" s="1"/>
  <c r="H255" i="7"/>
  <c r="D255" i="7"/>
  <c r="E255" i="7" s="1"/>
  <c r="B255" i="7"/>
  <c r="J254" i="7"/>
  <c r="I255" i="7"/>
  <c r="G255" i="7"/>
  <c r="G236" i="1"/>
  <c r="O191" i="8" l="1"/>
  <c r="C192" i="8"/>
  <c r="G192" i="8"/>
  <c r="I192" i="8"/>
  <c r="H192" i="8"/>
  <c r="D192" i="8"/>
  <c r="F192" i="8" s="1"/>
  <c r="E192" i="8" s="1"/>
  <c r="J255" i="7"/>
  <c r="F255" i="7"/>
  <c r="K255" i="7" s="1"/>
  <c r="AE256" i="7" s="1"/>
  <c r="L236" i="1"/>
  <c r="M236" i="1" s="1"/>
  <c r="F236" i="1"/>
  <c r="J192" i="8" l="1"/>
  <c r="K192" i="8" s="1"/>
  <c r="H256" i="7"/>
  <c r="B256" i="7"/>
  <c r="C256" i="7"/>
  <c r="D256" i="7"/>
  <c r="E256" i="7" s="1"/>
  <c r="N236" i="1"/>
  <c r="AD237" i="1" s="1"/>
  <c r="L192" i="8" l="1"/>
  <c r="O192" i="8"/>
  <c r="I256" i="7"/>
  <c r="G256" i="7"/>
  <c r="I237" i="1"/>
  <c r="C237" i="1"/>
  <c r="B237" i="1"/>
  <c r="D237" i="1"/>
  <c r="E237" i="1" s="1"/>
  <c r="G237" i="1" s="1"/>
  <c r="H237" i="1"/>
  <c r="J237" i="1"/>
  <c r="I193" i="8" l="1"/>
  <c r="H193" i="8"/>
  <c r="C193" i="8"/>
  <c r="D193" i="8"/>
  <c r="F193" i="8" s="1"/>
  <c r="G193" i="8"/>
  <c r="K237" i="1"/>
  <c r="L237" i="1" s="1"/>
  <c r="M237" i="1" s="1"/>
  <c r="J256" i="7"/>
  <c r="F256" i="7"/>
  <c r="K256" i="7" s="1"/>
  <c r="AE257" i="7" s="1"/>
  <c r="F237" i="1"/>
  <c r="E193" i="8" l="1"/>
  <c r="J193" i="8"/>
  <c r="K193" i="8" s="1"/>
  <c r="D257" i="7"/>
  <c r="E257" i="7" s="1"/>
  <c r="E259" i="7" s="1"/>
  <c r="C257" i="7"/>
  <c r="Z7" i="7" s="1"/>
  <c r="I257" i="7"/>
  <c r="I259" i="7" s="1"/>
  <c r="B257" i="7"/>
  <c r="H257" i="7"/>
  <c r="H259" i="7" s="1"/>
  <c r="N237" i="1"/>
  <c r="L193" i="8" l="1"/>
  <c r="C194" i="8" s="1"/>
  <c r="O193" i="8"/>
  <c r="K11" i="7"/>
  <c r="L11" i="7" s="1"/>
  <c r="Z8" i="7"/>
  <c r="G257" i="7"/>
  <c r="B238" i="1"/>
  <c r="AD238" i="1"/>
  <c r="D238" i="1"/>
  <c r="E238" i="1" s="1"/>
  <c r="G238" i="1" s="1"/>
  <c r="C238" i="1"/>
  <c r="H238" i="1"/>
  <c r="I238" i="1"/>
  <c r="J238" i="1"/>
  <c r="G194" i="8" l="1"/>
  <c r="I194" i="8"/>
  <c r="D194" i="8"/>
  <c r="F194" i="8" s="1"/>
  <c r="E194" i="8" s="1"/>
  <c r="H194" i="8"/>
  <c r="K238" i="1"/>
  <c r="L238" i="1" s="1"/>
  <c r="M238" i="1" s="1"/>
  <c r="J257" i="7"/>
  <c r="J259" i="7" s="1"/>
  <c r="G259" i="7"/>
  <c r="F257" i="7"/>
  <c r="F238" i="1"/>
  <c r="J194" i="8" l="1"/>
  <c r="K194" i="8" s="1"/>
  <c r="L194" i="8" s="1"/>
  <c r="H195" i="8" s="1"/>
  <c r="F259" i="7"/>
  <c r="K257" i="7"/>
  <c r="N238" i="1"/>
  <c r="AD239" i="1" s="1"/>
  <c r="O194" i="8" l="1"/>
  <c r="I195" i="8"/>
  <c r="G195" i="8"/>
  <c r="D195" i="8"/>
  <c r="F195" i="8" s="1"/>
  <c r="C195" i="8"/>
  <c r="C239" i="1"/>
  <c r="B239" i="1"/>
  <c r="H239" i="1"/>
  <c r="J239" i="1"/>
  <c r="I239" i="1"/>
  <c r="D239" i="1"/>
  <c r="E239" i="1" s="1"/>
  <c r="G239" i="1" s="1"/>
  <c r="K239" i="1" l="1"/>
  <c r="L239" i="1" s="1"/>
  <c r="M239" i="1" s="1"/>
  <c r="J195" i="8"/>
  <c r="K195" i="8" s="1"/>
  <c r="O195" i="8" s="1"/>
  <c r="E195" i="8"/>
  <c r="F239" i="1"/>
  <c r="L195" i="8" l="1"/>
  <c r="N239" i="1"/>
  <c r="AD240" i="1" s="1"/>
  <c r="C196" i="8" l="1"/>
  <c r="H196" i="8"/>
  <c r="D196" i="8"/>
  <c r="I196" i="8"/>
  <c r="G196" i="8"/>
  <c r="D240" i="1"/>
  <c r="E240" i="1" s="1"/>
  <c r="G240" i="1" s="1"/>
  <c r="C240" i="1"/>
  <c r="I240" i="1"/>
  <c r="H240" i="1"/>
  <c r="B240" i="1"/>
  <c r="J240" i="1"/>
  <c r="K240" i="1" l="1"/>
  <c r="L240" i="1" s="1"/>
  <c r="F196" i="8"/>
  <c r="F240" i="1"/>
  <c r="M240" i="1"/>
  <c r="E196" i="8" l="1"/>
  <c r="J196" i="8"/>
  <c r="N240" i="1"/>
  <c r="AD241" i="1" s="1"/>
  <c r="K196" i="8" l="1"/>
  <c r="L196" i="8" s="1"/>
  <c r="D241" i="1"/>
  <c r="E241" i="1" s="1"/>
  <c r="H241" i="1"/>
  <c r="J241" i="1"/>
  <c r="B241" i="1"/>
  <c r="C241" i="1"/>
  <c r="K241" i="1"/>
  <c r="I241" i="1"/>
  <c r="H197" i="8" l="1"/>
  <c r="G197" i="8"/>
  <c r="D197" i="8"/>
  <c r="F197" i="8" s="1"/>
  <c r="E197" i="8" s="1"/>
  <c r="C197" i="8"/>
  <c r="I197" i="8"/>
  <c r="O196" i="8"/>
  <c r="G241" i="1"/>
  <c r="L241" i="1" s="1"/>
  <c r="M241" i="1" s="1"/>
  <c r="J197" i="8" l="1"/>
  <c r="K197" i="8" s="1"/>
  <c r="O197" i="8" s="1"/>
  <c r="F241" i="1"/>
  <c r="N241" i="1" s="1"/>
  <c r="D242" i="1" l="1"/>
  <c r="E242" i="1" s="1"/>
  <c r="G242" i="1" s="1"/>
  <c r="AD242" i="1"/>
  <c r="L197" i="8"/>
  <c r="I242" i="1"/>
  <c r="C242" i="1"/>
  <c r="K242" i="1"/>
  <c r="J242" i="1"/>
  <c r="H242" i="1"/>
  <c r="B242" i="1"/>
  <c r="G198" i="8" l="1"/>
  <c r="C198" i="8"/>
  <c r="D198" i="8"/>
  <c r="F198" i="8" s="1"/>
  <c r="I198" i="8"/>
  <c r="H198" i="8"/>
  <c r="L242" i="1"/>
  <c r="M242" i="1" s="1"/>
  <c r="F242" i="1"/>
  <c r="E198" i="8" l="1"/>
  <c r="J198" i="8"/>
  <c r="N242" i="1"/>
  <c r="I243" i="1" l="1"/>
  <c r="AD243" i="1"/>
  <c r="H243" i="1"/>
  <c r="B243" i="1"/>
  <c r="C243" i="1"/>
  <c r="K198" i="8"/>
  <c r="O198" i="8" s="1"/>
  <c r="J243" i="1"/>
  <c r="K243" i="1"/>
  <c r="D243" i="1"/>
  <c r="E243" i="1" s="1"/>
  <c r="G243" i="1" s="1"/>
  <c r="L243" i="1" l="1"/>
  <c r="M243" i="1" s="1"/>
  <c r="L198" i="8"/>
  <c r="H199" i="8" s="1"/>
  <c r="F243" i="1"/>
  <c r="N243" i="1" l="1"/>
  <c r="B244" i="1" s="1"/>
  <c r="C199" i="8"/>
  <c r="I199" i="8"/>
  <c r="G199" i="8"/>
  <c r="D199" i="8"/>
  <c r="F199" i="8" s="1"/>
  <c r="E199" i="8" s="1"/>
  <c r="H244" i="1" l="1"/>
  <c r="C244" i="1"/>
  <c r="AD244" i="1"/>
  <c r="D244" i="1"/>
  <c r="E244" i="1" s="1"/>
  <c r="G244" i="1" s="1"/>
  <c r="F244" i="1" s="1"/>
  <c r="I244" i="1"/>
  <c r="J244" i="1"/>
  <c r="J199" i="8"/>
  <c r="K199" i="8" s="1"/>
  <c r="K244" i="1" l="1"/>
  <c r="L244" i="1" s="1"/>
  <c r="M244" i="1" s="1"/>
  <c r="N244" i="1" s="1"/>
  <c r="O199" i="8"/>
  <c r="L199" i="8"/>
  <c r="AD245" i="1" l="1"/>
  <c r="H200" i="8"/>
  <c r="G200" i="8"/>
  <c r="C200" i="8"/>
  <c r="I200" i="8"/>
  <c r="D200" i="8"/>
  <c r="C245" i="1"/>
  <c r="B245" i="1"/>
  <c r="I245" i="1"/>
  <c r="H245" i="1"/>
  <c r="D245" i="1"/>
  <c r="E245" i="1" s="1"/>
  <c r="J245" i="1"/>
  <c r="AF245" i="1" l="1"/>
  <c r="AE245" i="1" s="1"/>
  <c r="AB245" i="1" s="1"/>
  <c r="G245" i="1" s="1"/>
  <c r="F245" i="1" s="1"/>
  <c r="K245" i="1"/>
  <c r="F200" i="8"/>
  <c r="L245" i="1" l="1"/>
  <c r="M245" i="1" s="1"/>
  <c r="N245" i="1" s="1"/>
  <c r="E200" i="8"/>
  <c r="J200" i="8"/>
  <c r="K200" i="8" s="1"/>
  <c r="O200" i="8" s="1"/>
  <c r="C246" i="1" l="1"/>
  <c r="AD246" i="1"/>
  <c r="H246" i="1"/>
  <c r="I246" i="1"/>
  <c r="B246" i="1"/>
  <c r="J246" i="1"/>
  <c r="D246" i="1"/>
  <c r="E246" i="1" s="1"/>
  <c r="G246" i="1" s="1"/>
  <c r="L200" i="8"/>
  <c r="K246" i="1" l="1"/>
  <c r="L246" i="1" s="1"/>
  <c r="M246" i="1" s="1"/>
  <c r="I201" i="8"/>
  <c r="G201" i="8"/>
  <c r="C201" i="8"/>
  <c r="H201" i="8"/>
  <c r="D201" i="8"/>
  <c r="F201" i="8" s="1"/>
  <c r="E201" i="8" s="1"/>
  <c r="F246" i="1"/>
  <c r="J201" i="8" l="1"/>
  <c r="N246" i="1"/>
  <c r="AD247" i="1" s="1"/>
  <c r="K201" i="8" l="1"/>
  <c r="L201" i="8" s="1"/>
  <c r="H247" i="1"/>
  <c r="J247" i="1"/>
  <c r="C247" i="1"/>
  <c r="D247" i="1"/>
  <c r="E247" i="1" s="1"/>
  <c r="K247" i="1" s="1"/>
  <c r="B247" i="1"/>
  <c r="I247" i="1"/>
  <c r="O201" i="8" l="1"/>
  <c r="G202" i="8"/>
  <c r="D202" i="8"/>
  <c r="F202" i="8" s="1"/>
  <c r="E202" i="8" s="1"/>
  <c r="H202" i="8"/>
  <c r="C202" i="8"/>
  <c r="I202" i="8"/>
  <c r="G247" i="1"/>
  <c r="J202" i="8" l="1"/>
  <c r="K202" i="8" s="1"/>
  <c r="O202" i="8" s="1"/>
  <c r="L247" i="1"/>
  <c r="M247" i="1" s="1"/>
  <c r="F247" i="1"/>
  <c r="L202" i="8" l="1"/>
  <c r="N247" i="1"/>
  <c r="H248" i="1" l="1"/>
  <c r="AD248" i="1"/>
  <c r="D248" i="1"/>
  <c r="E248" i="1" s="1"/>
  <c r="G248" i="1" s="1"/>
  <c r="B248" i="1"/>
  <c r="C248" i="1"/>
  <c r="I203" i="8"/>
  <c r="H203" i="8"/>
  <c r="C203" i="8"/>
  <c r="G203" i="8"/>
  <c r="D203" i="8"/>
  <c r="F203" i="8" s="1"/>
  <c r="E203" i="8" s="1"/>
  <c r="I248" i="1"/>
  <c r="J248" i="1"/>
  <c r="K248" i="1" l="1"/>
  <c r="L248" i="1" s="1"/>
  <c r="M248" i="1" s="1"/>
  <c r="J203" i="8"/>
  <c r="K203" i="8" s="1"/>
  <c r="O203" i="8" s="1"/>
  <c r="F248" i="1"/>
  <c r="L203" i="8" l="1"/>
  <c r="N248" i="1"/>
  <c r="B249" i="1" l="1"/>
  <c r="AD249" i="1"/>
  <c r="I204" i="8"/>
  <c r="D204" i="8"/>
  <c r="F204" i="8" s="1"/>
  <c r="E204" i="8" s="1"/>
  <c r="G204" i="8"/>
  <c r="H204" i="8"/>
  <c r="C204" i="8"/>
  <c r="J249" i="1"/>
  <c r="I249" i="1"/>
  <c r="H249" i="1"/>
  <c r="C249" i="1"/>
  <c r="D249" i="1"/>
  <c r="E249" i="1" s="1"/>
  <c r="G249" i="1" s="1"/>
  <c r="K249" i="1" l="1"/>
  <c r="L249" i="1" s="1"/>
  <c r="M249" i="1" s="1"/>
  <c r="J204" i="8"/>
  <c r="K204" i="8" s="1"/>
  <c r="F249" i="1"/>
  <c r="O204" i="8" l="1"/>
  <c r="L204" i="8"/>
  <c r="G205" i="8" s="1"/>
  <c r="N249" i="1"/>
  <c r="I250" i="1" l="1"/>
  <c r="AD250" i="1"/>
  <c r="I205" i="8"/>
  <c r="H205" i="8"/>
  <c r="D205" i="8"/>
  <c r="F205" i="8" s="1"/>
  <c r="E205" i="8" s="1"/>
  <c r="C205" i="8"/>
  <c r="D250" i="1"/>
  <c r="E250" i="1" s="1"/>
  <c r="G250" i="1" s="1"/>
  <c r="B250" i="1"/>
  <c r="H250" i="1"/>
  <c r="C250" i="1"/>
  <c r="J250" i="1"/>
  <c r="K250" i="1" l="1"/>
  <c r="L250" i="1" s="1"/>
  <c r="M250" i="1" s="1"/>
  <c r="J205" i="8"/>
  <c r="F250" i="1"/>
  <c r="K205" i="8" l="1"/>
  <c r="L205" i="8" s="1"/>
  <c r="I206" i="8" s="1"/>
  <c r="N250" i="1"/>
  <c r="D206" i="8" l="1"/>
  <c r="F206" i="8" s="1"/>
  <c r="E206" i="8" s="1"/>
  <c r="C206" i="8"/>
  <c r="H206" i="8"/>
  <c r="G206" i="8"/>
  <c r="O205" i="8"/>
  <c r="H251" i="1"/>
  <c r="AD251" i="1"/>
  <c r="B251" i="1"/>
  <c r="C251" i="1"/>
  <c r="I251" i="1"/>
  <c r="J251" i="1"/>
  <c r="D251" i="1"/>
  <c r="E251" i="1" s="1"/>
  <c r="G251" i="1" s="1"/>
  <c r="K251" i="1" l="1"/>
  <c r="L251" i="1" s="1"/>
  <c r="M251" i="1" s="1"/>
  <c r="J206" i="8"/>
  <c r="K206" i="8" s="1"/>
  <c r="L206" i="8" s="1"/>
  <c r="H207" i="8" s="1"/>
  <c r="F251" i="1"/>
  <c r="C207" i="8" l="1"/>
  <c r="I207" i="8"/>
  <c r="G207" i="8"/>
  <c r="D207" i="8"/>
  <c r="F207" i="8" s="1"/>
  <c r="E207" i="8" s="1"/>
  <c r="O206" i="8"/>
  <c r="N251" i="1"/>
  <c r="AD252" i="1" s="1"/>
  <c r="J207" i="8" l="1"/>
  <c r="K207" i="8" s="1"/>
  <c r="J252" i="1"/>
  <c r="B252" i="1"/>
  <c r="I252" i="1"/>
  <c r="C252" i="1"/>
  <c r="H252" i="1"/>
  <c r="D252" i="1"/>
  <c r="E252" i="1" s="1"/>
  <c r="G252" i="1" s="1"/>
  <c r="F252" i="1" s="1"/>
  <c r="K252" i="1" l="1"/>
  <c r="L252" i="1" s="1"/>
  <c r="M252" i="1" s="1"/>
  <c r="N252" i="1" s="1"/>
  <c r="AD253" i="1" s="1"/>
  <c r="O207" i="8"/>
  <c r="L207" i="8"/>
  <c r="H208" i="8" l="1"/>
  <c r="D208" i="8"/>
  <c r="F208" i="8" s="1"/>
  <c r="I208" i="8"/>
  <c r="G208" i="8"/>
  <c r="C208" i="8"/>
  <c r="H253" i="1"/>
  <c r="J253" i="1"/>
  <c r="B253" i="1"/>
  <c r="D253" i="1"/>
  <c r="E253" i="1" s="1"/>
  <c r="I253" i="1"/>
  <c r="C253" i="1"/>
  <c r="K253" i="1"/>
  <c r="E208" i="8" l="1"/>
  <c r="J208" i="8"/>
  <c r="G253" i="1"/>
  <c r="K208" i="8" l="1"/>
  <c r="O208" i="8" s="1"/>
  <c r="L253" i="1"/>
  <c r="M253" i="1" s="1"/>
  <c r="F253" i="1"/>
  <c r="L208" i="8" l="1"/>
  <c r="I209" i="8" s="1"/>
  <c r="N253" i="1"/>
  <c r="AD254" i="1" s="1"/>
  <c r="C209" i="8" l="1"/>
  <c r="D209" i="8"/>
  <c r="F209" i="8" s="1"/>
  <c r="E209" i="8" s="1"/>
  <c r="G209" i="8"/>
  <c r="H209" i="8"/>
  <c r="C254" i="1"/>
  <c r="H254" i="1"/>
  <c r="J254" i="1"/>
  <c r="B254" i="1"/>
  <c r="I254" i="1"/>
  <c r="D254" i="1"/>
  <c r="E254" i="1" s="1"/>
  <c r="K254" i="1" s="1"/>
  <c r="J209" i="8" l="1"/>
  <c r="K209" i="8" s="1"/>
  <c r="O209" i="8" s="1"/>
  <c r="G254" i="1"/>
  <c r="L209" i="8" l="1"/>
  <c r="C210" i="8" s="1"/>
  <c r="L254" i="1"/>
  <c r="M254" i="1" s="1"/>
  <c r="F254" i="1"/>
  <c r="I210" i="8" l="1"/>
  <c r="G210" i="8"/>
  <c r="H210" i="8"/>
  <c r="D210" i="8"/>
  <c r="F210" i="8" s="1"/>
  <c r="E210" i="8" s="1"/>
  <c r="N254" i="1"/>
  <c r="AD255" i="1" s="1"/>
  <c r="J210" i="8" l="1"/>
  <c r="K210" i="8" s="1"/>
  <c r="H255" i="1"/>
  <c r="C255" i="1"/>
  <c r="J255" i="1"/>
  <c r="D255" i="1"/>
  <c r="E255" i="1" s="1"/>
  <c r="G255" i="1" s="1"/>
  <c r="B255" i="1"/>
  <c r="I255" i="1"/>
  <c r="O210" i="8" l="1"/>
  <c r="K255" i="1"/>
  <c r="L255" i="1" s="1"/>
  <c r="M255" i="1" s="1"/>
  <c r="L210" i="8"/>
  <c r="F255" i="1"/>
  <c r="H211" i="8" l="1"/>
  <c r="I211" i="8"/>
  <c r="D211" i="8"/>
  <c r="C211" i="8"/>
  <c r="G211" i="8"/>
  <c r="N255" i="1"/>
  <c r="AD256" i="1" s="1"/>
  <c r="F211" i="8" l="1"/>
  <c r="E211" i="8" s="1"/>
  <c r="I256" i="1"/>
  <c r="D256" i="1"/>
  <c r="E256" i="1" s="1"/>
  <c r="K256" i="1" s="1"/>
  <c r="H256" i="1"/>
  <c r="B256" i="1"/>
  <c r="C256" i="1"/>
  <c r="J256" i="1"/>
  <c r="J211" i="8" l="1"/>
  <c r="K211" i="8"/>
  <c r="G256" i="1"/>
  <c r="O211" i="8" l="1"/>
  <c r="L211" i="8"/>
  <c r="L256" i="1"/>
  <c r="M256" i="1" s="1"/>
  <c r="F256" i="1"/>
  <c r="I212" i="8" l="1"/>
  <c r="D212" i="8"/>
  <c r="F212" i="8" s="1"/>
  <c r="E212" i="8" s="1"/>
  <c r="H212" i="8"/>
  <c r="C212" i="8"/>
  <c r="G212" i="8"/>
  <c r="N256" i="1"/>
  <c r="AD257" i="1" s="1"/>
  <c r="J212" i="8" l="1"/>
  <c r="K212" i="8"/>
  <c r="L212" i="8" s="1"/>
  <c r="H213" i="8" s="1"/>
  <c r="I257" i="1"/>
  <c r="J257" i="1"/>
  <c r="D257" i="1"/>
  <c r="E257" i="1" s="1"/>
  <c r="K257" i="1" s="1"/>
  <c r="H257" i="1"/>
  <c r="C257" i="1"/>
  <c r="B257" i="1"/>
  <c r="O212" i="8" l="1"/>
  <c r="I213" i="8"/>
  <c r="D213" i="8"/>
  <c r="F213" i="8" s="1"/>
  <c r="E213" i="8" s="1"/>
  <c r="G213" i="8"/>
  <c r="C213" i="8"/>
  <c r="G257" i="1"/>
  <c r="J213" i="8" l="1"/>
  <c r="K213" i="8"/>
  <c r="L257" i="1"/>
  <c r="M257" i="1" s="1"/>
  <c r="F257" i="1"/>
  <c r="O213" i="8" l="1"/>
  <c r="L213" i="8"/>
  <c r="N257" i="1"/>
  <c r="AD258" i="1" s="1"/>
  <c r="I214" i="8" l="1"/>
  <c r="D214" i="8"/>
  <c r="F214" i="8" s="1"/>
  <c r="G214" i="8"/>
  <c r="H214" i="8"/>
  <c r="C214" i="8"/>
  <c r="D258" i="1"/>
  <c r="E258" i="1" s="1"/>
  <c r="G258" i="1" s="1"/>
  <c r="C258" i="1"/>
  <c r="J258" i="1"/>
  <c r="B258" i="1"/>
  <c r="I258" i="1"/>
  <c r="H258" i="1"/>
  <c r="E214" i="8" l="1"/>
  <c r="J214" i="8"/>
  <c r="K258" i="1"/>
  <c r="L258" i="1" s="1"/>
  <c r="M258" i="1" s="1"/>
  <c r="F258" i="1"/>
  <c r="K214" i="8" l="1"/>
  <c r="O214" i="8" s="1"/>
  <c r="N258" i="1"/>
  <c r="L214" i="8" l="1"/>
  <c r="AD259" i="1"/>
  <c r="C259" i="1"/>
  <c r="D259" i="1"/>
  <c r="E259" i="1" s="1"/>
  <c r="G259" i="1" s="1"/>
  <c r="F259" i="1" s="1"/>
  <c r="B259" i="1"/>
  <c r="J259" i="1"/>
  <c r="H259" i="1"/>
  <c r="I259" i="1"/>
  <c r="C215" i="8" l="1"/>
  <c r="H215" i="8"/>
  <c r="D215" i="8"/>
  <c r="F215" i="8" s="1"/>
  <c r="E215" i="8" s="1"/>
  <c r="I215" i="8"/>
  <c r="G215" i="8"/>
  <c r="K259" i="1"/>
  <c r="L259" i="1" s="1"/>
  <c r="M259" i="1" s="1"/>
  <c r="N259" i="1" s="1"/>
  <c r="AD260" i="1" s="1"/>
  <c r="J215" i="8" l="1"/>
  <c r="K215" i="8" s="1"/>
  <c r="O215" i="8" s="1"/>
  <c r="J260" i="1"/>
  <c r="C260" i="1"/>
  <c r="H260" i="1"/>
  <c r="I260" i="1"/>
  <c r="B260" i="1"/>
  <c r="D260" i="1"/>
  <c r="E260" i="1" s="1"/>
  <c r="G260" i="1" s="1"/>
  <c r="F260" i="1" s="1"/>
  <c r="L215" i="8" l="1"/>
  <c r="D216" i="8" s="1"/>
  <c r="F216" i="8" s="1"/>
  <c r="E216" i="8" s="1"/>
  <c r="K260" i="1"/>
  <c r="L260" i="1" s="1"/>
  <c r="M260" i="1" s="1"/>
  <c r="N260" i="1" s="1"/>
  <c r="AD261" i="1" s="1"/>
  <c r="C216" i="8" l="1"/>
  <c r="G216" i="8"/>
  <c r="H216" i="8"/>
  <c r="I216" i="8"/>
  <c r="C261" i="1"/>
  <c r="H261" i="1"/>
  <c r="J261" i="1"/>
  <c r="D261" i="1"/>
  <c r="E261" i="1" s="1"/>
  <c r="G261" i="1" s="1"/>
  <c r="I261" i="1"/>
  <c r="B261" i="1"/>
  <c r="J216" i="8" l="1"/>
  <c r="K216" i="8" s="1"/>
  <c r="O216" i="8" s="1"/>
  <c r="K261" i="1"/>
  <c r="L261" i="1" s="1"/>
  <c r="M261" i="1" s="1"/>
  <c r="F261" i="1"/>
  <c r="L216" i="8" l="1"/>
  <c r="G217" i="8" s="1"/>
  <c r="N261" i="1"/>
  <c r="C217" i="8" l="1"/>
  <c r="H217" i="8"/>
  <c r="D217" i="8"/>
  <c r="F217" i="8" s="1"/>
  <c r="E217" i="8" s="1"/>
  <c r="I217" i="8"/>
  <c r="C262" i="1"/>
  <c r="AD262" i="1"/>
  <c r="I262" i="1"/>
  <c r="D262" i="1"/>
  <c r="E262" i="1" s="1"/>
  <c r="G262" i="1" s="1"/>
  <c r="H262" i="1"/>
  <c r="J262" i="1"/>
  <c r="B262" i="1"/>
  <c r="J217" i="8" l="1"/>
  <c r="K217" i="8" s="1"/>
  <c r="L217" i="8" s="1"/>
  <c r="I218" i="8" s="1"/>
  <c r="K262" i="1"/>
  <c r="L262" i="1" s="1"/>
  <c r="M262" i="1" s="1"/>
  <c r="F262" i="1"/>
  <c r="O217" i="8" l="1"/>
  <c r="C218" i="8"/>
  <c r="D218" i="8"/>
  <c r="F218" i="8" s="1"/>
  <c r="E218" i="8" s="1"/>
  <c r="H218" i="8"/>
  <c r="G218" i="8"/>
  <c r="N262" i="1"/>
  <c r="J218" i="8" l="1"/>
  <c r="K218" i="8" s="1"/>
  <c r="L218" i="8" s="1"/>
  <c r="B263" i="1"/>
  <c r="AD263" i="1"/>
  <c r="C263" i="1"/>
  <c r="H263" i="1"/>
  <c r="J263" i="1"/>
  <c r="I263" i="1"/>
  <c r="D263" i="1"/>
  <c r="E263" i="1" s="1"/>
  <c r="G263" i="1" s="1"/>
  <c r="F263" i="1" s="1"/>
  <c r="K263" i="1"/>
  <c r="O218" i="8" l="1"/>
  <c r="H219" i="8"/>
  <c r="C219" i="8"/>
  <c r="D219" i="8"/>
  <c r="F219" i="8" s="1"/>
  <c r="E219" i="8" s="1"/>
  <c r="I219" i="8"/>
  <c r="G219" i="8"/>
  <c r="L263" i="1"/>
  <c r="M263" i="1" s="1"/>
  <c r="N263" i="1" s="1"/>
  <c r="J219" i="8" l="1"/>
  <c r="K219" i="8" s="1"/>
  <c r="O219" i="8" s="1"/>
  <c r="AD264" i="1"/>
  <c r="C264" i="1"/>
  <c r="B264" i="1"/>
  <c r="D264" i="1"/>
  <c r="E264" i="1" s="1"/>
  <c r="G264" i="1" s="1"/>
  <c r="F264" i="1" s="1"/>
  <c r="J264" i="1"/>
  <c r="H264" i="1"/>
  <c r="I264" i="1"/>
  <c r="L219" i="8" l="1"/>
  <c r="D220" i="8" s="1"/>
  <c r="F220" i="8" s="1"/>
  <c r="E220" i="8" s="1"/>
  <c r="K264" i="1"/>
  <c r="L264" i="1" s="1"/>
  <c r="M264" i="1" s="1"/>
  <c r="N264" i="1" s="1"/>
  <c r="I265" i="1" s="1"/>
  <c r="C220" i="8" l="1"/>
  <c r="H220" i="8"/>
  <c r="I220" i="8"/>
  <c r="G220" i="8"/>
  <c r="AD265" i="1"/>
  <c r="H265" i="1"/>
  <c r="D265" i="1"/>
  <c r="E265" i="1" s="1"/>
  <c r="G265" i="1" s="1"/>
  <c r="F265" i="1" s="1"/>
  <c r="C265" i="1"/>
  <c r="J265" i="1"/>
  <c r="B265" i="1"/>
  <c r="J220" i="8" l="1"/>
  <c r="K265" i="1"/>
  <c r="L265" i="1" s="1"/>
  <c r="M265" i="1" s="1"/>
  <c r="N265" i="1" s="1"/>
  <c r="D266" i="1" s="1"/>
  <c r="E266" i="1" s="1"/>
  <c r="G266" i="1" s="1"/>
  <c r="K220" i="8" l="1"/>
  <c r="L220" i="8" s="1"/>
  <c r="K266" i="1"/>
  <c r="J266" i="1"/>
  <c r="I266" i="1"/>
  <c r="B266" i="1"/>
  <c r="F266" i="1"/>
  <c r="H266" i="1"/>
  <c r="C266" i="1"/>
  <c r="AD266" i="1"/>
  <c r="G221" i="8" l="1"/>
  <c r="D221" i="8"/>
  <c r="F221" i="8" s="1"/>
  <c r="C221" i="8"/>
  <c r="H221" i="8"/>
  <c r="I221" i="8"/>
  <c r="O220" i="8"/>
  <c r="L266" i="1"/>
  <c r="M266" i="1" s="1"/>
  <c r="N266" i="1" s="1"/>
  <c r="J267" i="1" s="1"/>
  <c r="E221" i="8" l="1"/>
  <c r="J221" i="8"/>
  <c r="K221" i="8" s="1"/>
  <c r="O221" i="8" s="1"/>
  <c r="C267" i="1"/>
  <c r="K267" i="1"/>
  <c r="I267" i="1"/>
  <c r="H267" i="1"/>
  <c r="D267" i="1"/>
  <c r="E267" i="1" s="1"/>
  <c r="G267" i="1" s="1"/>
  <c r="F267" i="1" s="1"/>
  <c r="B267" i="1"/>
  <c r="AD267" i="1"/>
  <c r="L221" i="8" l="1"/>
  <c r="D222" i="8" s="1"/>
  <c r="F222" i="8" s="1"/>
  <c r="E222" i="8" s="1"/>
  <c r="L267" i="1"/>
  <c r="M267" i="1" s="1"/>
  <c r="N267" i="1" s="1"/>
  <c r="H222" i="8" l="1"/>
  <c r="I222" i="8"/>
  <c r="G222" i="8"/>
  <c r="C222" i="8"/>
  <c r="C268" i="1"/>
  <c r="AD268" i="1"/>
  <c r="B268" i="1"/>
  <c r="H268" i="1"/>
  <c r="D268" i="1"/>
  <c r="E268" i="1" s="1"/>
  <c r="G268" i="1" s="1"/>
  <c r="F268" i="1" s="1"/>
  <c r="K268" i="1"/>
  <c r="I268" i="1"/>
  <c r="J268" i="1"/>
  <c r="J222" i="8" l="1"/>
  <c r="L268" i="1"/>
  <c r="M268" i="1" s="1"/>
  <c r="N268" i="1" s="1"/>
  <c r="C269" i="1" s="1"/>
  <c r="K222" i="8" l="1"/>
  <c r="L222" i="8" s="1"/>
  <c r="AD269" i="1"/>
  <c r="J269" i="1"/>
  <c r="H269" i="1"/>
  <c r="B269" i="1"/>
  <c r="D269" i="1"/>
  <c r="E269" i="1" s="1"/>
  <c r="G269" i="1" s="1"/>
  <c r="F269" i="1" s="1"/>
  <c r="I269" i="1"/>
  <c r="H223" i="8" l="1"/>
  <c r="I223" i="8"/>
  <c r="G223" i="8"/>
  <c r="C223" i="8"/>
  <c r="D223" i="8"/>
  <c r="O222" i="8"/>
  <c r="K269" i="1"/>
  <c r="L269" i="1" s="1"/>
  <c r="M269" i="1" s="1"/>
  <c r="N269" i="1" s="1"/>
  <c r="H270" i="1" s="1"/>
  <c r="F223" i="8" l="1"/>
  <c r="K223" i="8"/>
  <c r="AD270" i="1"/>
  <c r="I270" i="1"/>
  <c r="J270" i="1"/>
  <c r="C270" i="1"/>
  <c r="D270" i="1"/>
  <c r="E270" i="1" s="1"/>
  <c r="G270" i="1" s="1"/>
  <c r="F270" i="1" s="1"/>
  <c r="B270" i="1"/>
  <c r="J223" i="8" l="1"/>
  <c r="O223" i="8" s="1"/>
  <c r="E223" i="8"/>
  <c r="L223" i="8" s="1"/>
  <c r="K270" i="1"/>
  <c r="L270" i="1" s="1"/>
  <c r="M270" i="1" s="1"/>
  <c r="N270" i="1" s="1"/>
  <c r="C224" i="8" l="1"/>
  <c r="D224" i="8"/>
  <c r="F224" i="8" s="1"/>
  <c r="G224" i="8"/>
  <c r="H224" i="8"/>
  <c r="I224" i="8"/>
  <c r="H271" i="1"/>
  <c r="K224" i="8"/>
  <c r="AD271" i="1"/>
  <c r="D271" i="1"/>
  <c r="E271" i="1" s="1"/>
  <c r="J271" i="1"/>
  <c r="B271" i="1"/>
  <c r="I271" i="1"/>
  <c r="C271" i="1"/>
  <c r="E224" i="8" l="1"/>
  <c r="L224" i="8" s="1"/>
  <c r="J224" i="8"/>
  <c r="O224" i="8" s="1"/>
  <c r="AF271" i="1"/>
  <c r="AE271" i="1" s="1"/>
  <c r="AB271" i="1" s="1"/>
  <c r="G271" i="1" s="1"/>
  <c r="F271" i="1" s="1"/>
  <c r="K271" i="1"/>
  <c r="L271" i="1" l="1"/>
  <c r="M271" i="1" s="1"/>
  <c r="N271" i="1" s="1"/>
  <c r="H272" i="1" s="1"/>
  <c r="I225" i="8"/>
  <c r="G225" i="8"/>
  <c r="D225" i="8"/>
  <c r="F225" i="8" s="1"/>
  <c r="E225" i="8" s="1"/>
  <c r="C225" i="8"/>
  <c r="H225" i="8"/>
  <c r="AD272" i="1" l="1"/>
  <c r="B272" i="1"/>
  <c r="D272" i="1"/>
  <c r="E272" i="1" s="1"/>
  <c r="G272" i="1" s="1"/>
  <c r="F272" i="1" s="1"/>
  <c r="J272" i="1"/>
  <c r="C272" i="1"/>
  <c r="I272" i="1"/>
  <c r="J225" i="8"/>
  <c r="K225" i="8" s="1"/>
  <c r="O225" i="8" s="1"/>
  <c r="K272" i="1"/>
  <c r="L272" i="1" l="1"/>
  <c r="M272" i="1" s="1"/>
  <c r="N272" i="1" s="1"/>
  <c r="AD273" i="1" s="1"/>
  <c r="L225" i="8"/>
  <c r="B273" i="1" l="1"/>
  <c r="J273" i="1"/>
  <c r="C273" i="1"/>
  <c r="D273" i="1"/>
  <c r="E273" i="1" s="1"/>
  <c r="G273" i="1" s="1"/>
  <c r="F273" i="1" s="1"/>
  <c r="H273" i="1"/>
  <c r="I273" i="1"/>
  <c r="C226" i="8"/>
  <c r="I226" i="8"/>
  <c r="H226" i="8"/>
  <c r="D226" i="8"/>
  <c r="F226" i="8" s="1"/>
  <c r="E226" i="8" s="1"/>
  <c r="G226" i="8"/>
  <c r="K273" i="1"/>
  <c r="L273" i="1" l="1"/>
  <c r="M273" i="1" s="1"/>
  <c r="N273" i="1" s="1"/>
  <c r="AD274" i="1" s="1"/>
  <c r="J226" i="8"/>
  <c r="K226" i="8" s="1"/>
  <c r="L226" i="8" s="1"/>
  <c r="I227" i="8" s="1"/>
  <c r="G227" i="8" l="1"/>
  <c r="D227" i="8"/>
  <c r="F227" i="8" s="1"/>
  <c r="E227" i="8" s="1"/>
  <c r="H227" i="8"/>
  <c r="C227" i="8"/>
  <c r="O226" i="8"/>
  <c r="D274" i="1"/>
  <c r="E274" i="1" s="1"/>
  <c r="G274" i="1" s="1"/>
  <c r="I274" i="1"/>
  <c r="C274" i="1"/>
  <c r="B274" i="1"/>
  <c r="J274" i="1"/>
  <c r="H274" i="1"/>
  <c r="J227" i="8" l="1"/>
  <c r="K274" i="1"/>
  <c r="L274" i="1" s="1"/>
  <c r="M274" i="1" s="1"/>
  <c r="F274" i="1"/>
  <c r="K227" i="8" l="1"/>
  <c r="L227" i="8" s="1"/>
  <c r="I228" i="8" s="1"/>
  <c r="N274" i="1"/>
  <c r="AD275" i="1" s="1"/>
  <c r="C228" i="8" l="1"/>
  <c r="H228" i="8"/>
  <c r="G228" i="8"/>
  <c r="D228" i="8"/>
  <c r="F228" i="8" s="1"/>
  <c r="E228" i="8" s="1"/>
  <c r="O227" i="8"/>
  <c r="I275" i="1"/>
  <c r="K275" i="1"/>
  <c r="H275" i="1"/>
  <c r="J275" i="1"/>
  <c r="C275" i="1"/>
  <c r="D275" i="1"/>
  <c r="E275" i="1" s="1"/>
  <c r="G275" i="1" s="1"/>
  <c r="B275" i="1"/>
  <c r="J228" i="8" l="1"/>
  <c r="K228" i="8" s="1"/>
  <c r="O228" i="8" s="1"/>
  <c r="L275" i="1"/>
  <c r="M275" i="1" s="1"/>
  <c r="F275" i="1"/>
  <c r="L228" i="8" l="1"/>
  <c r="G229" i="8" s="1"/>
  <c r="N275" i="1"/>
  <c r="H229" i="8" l="1"/>
  <c r="C229" i="8"/>
  <c r="I229" i="8"/>
  <c r="D229" i="8"/>
  <c r="F229" i="8" s="1"/>
  <c r="E229" i="8" s="1"/>
  <c r="I276" i="1"/>
  <c r="AD276" i="1"/>
  <c r="C276" i="1"/>
  <c r="B276" i="1"/>
  <c r="J276" i="1"/>
  <c r="D276" i="1"/>
  <c r="E276" i="1" s="1"/>
  <c r="G276" i="1" s="1"/>
  <c r="F276" i="1" s="1"/>
  <c r="H276" i="1"/>
  <c r="J229" i="8" l="1"/>
  <c r="K229" i="8" s="1"/>
  <c r="O229" i="8" s="1"/>
  <c r="K276" i="1"/>
  <c r="L276" i="1" s="1"/>
  <c r="M276" i="1" s="1"/>
  <c r="N276" i="1" s="1"/>
  <c r="B277" i="1" s="1"/>
  <c r="L229" i="8" l="1"/>
  <c r="D230" i="8" s="1"/>
  <c r="F230" i="8" s="1"/>
  <c r="E230" i="8" s="1"/>
  <c r="AD277" i="1"/>
  <c r="H277" i="1"/>
  <c r="C277" i="1"/>
  <c r="K277" i="1"/>
  <c r="J277" i="1"/>
  <c r="D277" i="1"/>
  <c r="E277" i="1" s="1"/>
  <c r="G277" i="1" s="1"/>
  <c r="F277" i="1" s="1"/>
  <c r="I277" i="1"/>
  <c r="H230" i="8" l="1"/>
  <c r="C230" i="8"/>
  <c r="I230" i="8"/>
  <c r="G230" i="8"/>
  <c r="L277" i="1"/>
  <c r="M277" i="1" s="1"/>
  <c r="N277" i="1" s="1"/>
  <c r="J230" i="8" l="1"/>
  <c r="K230" i="8" s="1"/>
  <c r="O230" i="8" s="1"/>
  <c r="B278" i="1"/>
  <c r="AD278" i="1"/>
  <c r="D278" i="1"/>
  <c r="E278" i="1" s="1"/>
  <c r="G278" i="1" s="1"/>
  <c r="F278" i="1" s="1"/>
  <c r="K278" i="1"/>
  <c r="C278" i="1"/>
  <c r="J278" i="1"/>
  <c r="I278" i="1"/>
  <c r="H278" i="1"/>
  <c r="L230" i="8" l="1"/>
  <c r="C231" i="8" s="1"/>
  <c r="L278" i="1"/>
  <c r="M278" i="1" s="1"/>
  <c r="N278" i="1" s="1"/>
  <c r="D231" i="8" l="1"/>
  <c r="F231" i="8" s="1"/>
  <c r="E231" i="8" s="1"/>
  <c r="I231" i="8"/>
  <c r="G231" i="8"/>
  <c r="H231" i="8"/>
  <c r="AD279" i="1"/>
  <c r="C279" i="1"/>
  <c r="D279" i="1"/>
  <c r="E279" i="1" s="1"/>
  <c r="G279" i="1" s="1"/>
  <c r="F279" i="1" s="1"/>
  <c r="I279" i="1"/>
  <c r="J279" i="1"/>
  <c r="H279" i="1"/>
  <c r="B279" i="1"/>
  <c r="J231" i="8" l="1"/>
  <c r="K231" i="8"/>
  <c r="L231" i="8" s="1"/>
  <c r="H232" i="8" s="1"/>
  <c r="K279" i="1"/>
  <c r="L279" i="1" s="1"/>
  <c r="M279" i="1" s="1"/>
  <c r="N279" i="1" s="1"/>
  <c r="AD280" i="1" s="1"/>
  <c r="D232" i="8" l="1"/>
  <c r="F232" i="8" s="1"/>
  <c r="E232" i="8" s="1"/>
  <c r="C232" i="8"/>
  <c r="I232" i="8"/>
  <c r="G232" i="8"/>
  <c r="O231" i="8"/>
  <c r="C280" i="1"/>
  <c r="J280" i="1"/>
  <c r="H280" i="1"/>
  <c r="B280" i="1"/>
  <c r="D280" i="1"/>
  <c r="E280" i="1" s="1"/>
  <c r="G280" i="1" s="1"/>
  <c r="I280" i="1"/>
  <c r="J232" i="8" l="1"/>
  <c r="K232" i="8" s="1"/>
  <c r="O232" i="8" s="1"/>
  <c r="K280" i="1"/>
  <c r="L280" i="1" s="1"/>
  <c r="M280" i="1" s="1"/>
  <c r="F280" i="1"/>
  <c r="L232" i="8" l="1"/>
  <c r="I233" i="8" s="1"/>
  <c r="N280" i="1"/>
  <c r="G233" i="8" l="1"/>
  <c r="H233" i="8"/>
  <c r="D233" i="8"/>
  <c r="F233" i="8" s="1"/>
  <c r="E233" i="8" s="1"/>
  <c r="C233" i="8"/>
  <c r="D281" i="1"/>
  <c r="E281" i="1" s="1"/>
  <c r="G281" i="1" s="1"/>
  <c r="AD281" i="1"/>
  <c r="B281" i="1"/>
  <c r="I281" i="1"/>
  <c r="J281" i="1"/>
  <c r="H281" i="1"/>
  <c r="C281" i="1"/>
  <c r="J233" i="8" l="1"/>
  <c r="K233" i="8" s="1"/>
  <c r="O233" i="8" s="1"/>
  <c r="K281" i="1"/>
  <c r="L281" i="1" s="1"/>
  <c r="M281" i="1" s="1"/>
  <c r="F281" i="1"/>
  <c r="L233" i="8" l="1"/>
  <c r="I234" i="8" s="1"/>
  <c r="N281" i="1"/>
  <c r="C234" i="8" l="1"/>
  <c r="G234" i="8"/>
  <c r="H234" i="8"/>
  <c r="D234" i="8"/>
  <c r="F234" i="8" s="1"/>
  <c r="E234" i="8" s="1"/>
  <c r="H282" i="1"/>
  <c r="AD282" i="1"/>
  <c r="I282" i="1"/>
  <c r="J282" i="1"/>
  <c r="D282" i="1"/>
  <c r="E282" i="1" s="1"/>
  <c r="G282" i="1" s="1"/>
  <c r="F282" i="1" s="1"/>
  <c r="C282" i="1"/>
  <c r="B282" i="1"/>
  <c r="J234" i="8" l="1"/>
  <c r="K234" i="8"/>
  <c r="L234" i="8" s="1"/>
  <c r="K282" i="1"/>
  <c r="L282" i="1" s="1"/>
  <c r="M282" i="1" s="1"/>
  <c r="N282" i="1" s="1"/>
  <c r="J283" i="1" s="1"/>
  <c r="O234" i="8" l="1"/>
  <c r="G235" i="8"/>
  <c r="H235" i="8"/>
  <c r="D235" i="8"/>
  <c r="F235" i="8" s="1"/>
  <c r="E235" i="8" s="1"/>
  <c r="C235" i="8"/>
  <c r="I235" i="8"/>
  <c r="AD283" i="1"/>
  <c r="K283" i="1"/>
  <c r="B283" i="1"/>
  <c r="C283" i="1"/>
  <c r="H283" i="1"/>
  <c r="I283" i="1"/>
  <c r="D283" i="1"/>
  <c r="E283" i="1" s="1"/>
  <c r="G283" i="1" s="1"/>
  <c r="F283" i="1" s="1"/>
  <c r="J235" i="8" l="1"/>
  <c r="L283" i="1"/>
  <c r="M283" i="1" s="1"/>
  <c r="N283" i="1" s="1"/>
  <c r="AD284" i="1" s="1"/>
  <c r="K235" i="8" l="1"/>
  <c r="L235" i="8" s="1"/>
  <c r="J284" i="1"/>
  <c r="H284" i="1"/>
  <c r="D284" i="1"/>
  <c r="E284" i="1" s="1"/>
  <c r="G284" i="1" s="1"/>
  <c r="F284" i="1" s="1"/>
  <c r="I284" i="1"/>
  <c r="C284" i="1"/>
  <c r="B284" i="1"/>
  <c r="K284" i="1"/>
  <c r="H236" i="8" l="1"/>
  <c r="C236" i="8"/>
  <c r="D236" i="8"/>
  <c r="F236" i="8" s="1"/>
  <c r="E236" i="8" s="1"/>
  <c r="G236" i="8"/>
  <c r="I236" i="8"/>
  <c r="O235" i="8"/>
  <c r="L284" i="1"/>
  <c r="M284" i="1" s="1"/>
  <c r="N284" i="1" s="1"/>
  <c r="B285" i="1" s="1"/>
  <c r="J236" i="8" l="1"/>
  <c r="K236" i="8" s="1"/>
  <c r="L236" i="8" s="1"/>
  <c r="C237" i="8" s="1"/>
  <c r="AD285" i="1"/>
  <c r="C285" i="1"/>
  <c r="D285" i="1"/>
  <c r="E285" i="1" s="1"/>
  <c r="G285" i="1" s="1"/>
  <c r="F285" i="1" s="1"/>
  <c r="H285" i="1"/>
  <c r="J285" i="1"/>
  <c r="K285" i="1"/>
  <c r="I285" i="1"/>
  <c r="O236" i="8" l="1"/>
  <c r="G237" i="8"/>
  <c r="I237" i="8"/>
  <c r="H237" i="8"/>
  <c r="D237" i="8"/>
  <c r="F237" i="8" s="1"/>
  <c r="E237" i="8" s="1"/>
  <c r="L285" i="1"/>
  <c r="M285" i="1" s="1"/>
  <c r="N285" i="1" s="1"/>
  <c r="J237" i="8" l="1"/>
  <c r="K237" i="8" s="1"/>
  <c r="L237" i="8" s="1"/>
  <c r="B286" i="1"/>
  <c r="AD286" i="1"/>
  <c r="I286" i="1"/>
  <c r="C286" i="1"/>
  <c r="D286" i="1"/>
  <c r="E286" i="1" s="1"/>
  <c r="G286" i="1" s="1"/>
  <c r="H286" i="1"/>
  <c r="J286" i="1"/>
  <c r="K286" i="1"/>
  <c r="O237" i="8" l="1"/>
  <c r="I238" i="8"/>
  <c r="G238" i="8"/>
  <c r="D238" i="8"/>
  <c r="H238" i="8"/>
  <c r="C238" i="8"/>
  <c r="L286" i="1"/>
  <c r="M286" i="1" s="1"/>
  <c r="F286" i="1"/>
  <c r="F238" i="8" l="1"/>
  <c r="E238" i="8" s="1"/>
  <c r="N286" i="1"/>
  <c r="J238" i="8" l="1"/>
  <c r="K238" i="8"/>
  <c r="B287" i="1"/>
  <c r="AD287" i="1"/>
  <c r="K287" i="1"/>
  <c r="H287" i="1"/>
  <c r="J287" i="1"/>
  <c r="C287" i="1"/>
  <c r="I287" i="1"/>
  <c r="D287" i="1"/>
  <c r="E287" i="1" s="1"/>
  <c r="G287" i="1" s="1"/>
  <c r="F287" i="1" s="1"/>
  <c r="O238" i="8" l="1"/>
  <c r="L238" i="8"/>
  <c r="H239" i="8" s="1"/>
  <c r="L287" i="1"/>
  <c r="M287" i="1" s="1"/>
  <c r="N287" i="1" s="1"/>
  <c r="D288" i="1" s="1"/>
  <c r="E288" i="1" s="1"/>
  <c r="G288" i="1" s="1"/>
  <c r="F288" i="1" s="1"/>
  <c r="C239" i="8" l="1"/>
  <c r="D239" i="8"/>
  <c r="F239" i="8" s="1"/>
  <c r="E239" i="8" s="1"/>
  <c r="I239" i="8"/>
  <c r="G239" i="8"/>
  <c r="AD288" i="1"/>
  <c r="H288" i="1"/>
  <c r="C288" i="1"/>
  <c r="J288" i="1"/>
  <c r="I288" i="1"/>
  <c r="B288" i="1"/>
  <c r="K288" i="1"/>
  <c r="J239" i="8" l="1"/>
  <c r="K239" i="8" s="1"/>
  <c r="L239" i="8" s="1"/>
  <c r="I240" i="8" s="1"/>
  <c r="L288" i="1"/>
  <c r="M288" i="1" s="1"/>
  <c r="N288" i="1" s="1"/>
  <c r="J289" i="1" s="1"/>
  <c r="C240" i="8" l="1"/>
  <c r="O239" i="8"/>
  <c r="H240" i="8"/>
  <c r="D240" i="8"/>
  <c r="F240" i="8" s="1"/>
  <c r="E240" i="8" s="1"/>
  <c r="G240" i="8"/>
  <c r="AD289" i="1"/>
  <c r="H289" i="1"/>
  <c r="D289" i="1"/>
  <c r="E289" i="1" s="1"/>
  <c r="G289" i="1" s="1"/>
  <c r="F289" i="1" s="1"/>
  <c r="I289" i="1"/>
  <c r="B289" i="1"/>
  <c r="C289" i="1"/>
  <c r="J240" i="8" l="1"/>
  <c r="K240" i="8" s="1"/>
  <c r="O240" i="8" s="1"/>
  <c r="K289" i="1"/>
  <c r="L289" i="1" s="1"/>
  <c r="M289" i="1" s="1"/>
  <c r="N289" i="1" s="1"/>
  <c r="J290" i="1" s="1"/>
  <c r="L240" i="8" l="1"/>
  <c r="C241" i="8" s="1"/>
  <c r="AD290" i="1"/>
  <c r="B290" i="1"/>
  <c r="C290" i="1"/>
  <c r="I290" i="1"/>
  <c r="D290" i="1"/>
  <c r="E290" i="1" s="1"/>
  <c r="G290" i="1" s="1"/>
  <c r="F290" i="1" s="1"/>
  <c r="H290" i="1"/>
  <c r="K290" i="1"/>
  <c r="H241" i="8" l="1"/>
  <c r="I241" i="8"/>
  <c r="D241" i="8"/>
  <c r="F241" i="8" s="1"/>
  <c r="E241" i="8" s="1"/>
  <c r="G241" i="8"/>
  <c r="L290" i="1"/>
  <c r="M290" i="1" s="1"/>
  <c r="N290" i="1" s="1"/>
  <c r="J241" i="8" l="1"/>
  <c r="K241" i="8" s="1"/>
  <c r="O241" i="8" s="1"/>
  <c r="AD291" i="1"/>
  <c r="C291" i="1"/>
  <c r="J291" i="1"/>
  <c r="B291" i="1"/>
  <c r="H291" i="1"/>
  <c r="I291" i="1"/>
  <c r="D291" i="1"/>
  <c r="E291" i="1" s="1"/>
  <c r="G291" i="1" s="1"/>
  <c r="F291" i="1" s="1"/>
  <c r="L241" i="8" l="1"/>
  <c r="C242" i="8" s="1"/>
  <c r="K291" i="1"/>
  <c r="L291" i="1" s="1"/>
  <c r="M291" i="1" s="1"/>
  <c r="N291" i="1" s="1"/>
  <c r="J292" i="1" s="1"/>
  <c r="H242" i="8" l="1"/>
  <c r="D242" i="8"/>
  <c r="F242" i="8" s="1"/>
  <c r="E242" i="8" s="1"/>
  <c r="I242" i="8"/>
  <c r="G242" i="8"/>
  <c r="AD292" i="1"/>
  <c r="I292" i="1"/>
  <c r="C292" i="1"/>
  <c r="D292" i="1"/>
  <c r="E292" i="1" s="1"/>
  <c r="G292" i="1" s="1"/>
  <c r="F292" i="1" s="1"/>
  <c r="B292" i="1"/>
  <c r="K292" i="1"/>
  <c r="H292" i="1"/>
  <c r="J242" i="8" l="1"/>
  <c r="K242" i="8"/>
  <c r="L292" i="1"/>
  <c r="M292" i="1" s="1"/>
  <c r="N292" i="1" s="1"/>
  <c r="J293" i="1" s="1"/>
  <c r="O242" i="8" l="1"/>
  <c r="L242" i="8"/>
  <c r="K243" i="8"/>
  <c r="AD293" i="1"/>
  <c r="C293" i="1"/>
  <c r="B293" i="1"/>
  <c r="D293" i="1"/>
  <c r="E293" i="1" s="1"/>
  <c r="G293" i="1" s="1"/>
  <c r="F293" i="1" s="1"/>
  <c r="I293" i="1"/>
  <c r="K293" i="1"/>
  <c r="H293" i="1"/>
  <c r="G243" i="8" l="1"/>
  <c r="C243" i="8"/>
  <c r="H243" i="8"/>
  <c r="I243" i="8"/>
  <c r="D243" i="8"/>
  <c r="F243" i="8" s="1"/>
  <c r="E243" i="8" s="1"/>
  <c r="L243" i="8" s="1"/>
  <c r="L293" i="1"/>
  <c r="M293" i="1" s="1"/>
  <c r="N293" i="1" s="1"/>
  <c r="AD294" i="1" s="1"/>
  <c r="J243" i="8" l="1"/>
  <c r="O243" i="8" s="1"/>
  <c r="H244" i="8"/>
  <c r="G244" i="8"/>
  <c r="D244" i="8"/>
  <c r="F244" i="8" s="1"/>
  <c r="C244" i="8"/>
  <c r="I244" i="8"/>
  <c r="C294" i="1"/>
  <c r="B294" i="1"/>
  <c r="I294" i="1"/>
  <c r="H294" i="1"/>
  <c r="D294" i="1"/>
  <c r="E294" i="1" s="1"/>
  <c r="G294" i="1" s="1"/>
  <c r="F294" i="1" s="1"/>
  <c r="J294" i="1"/>
  <c r="E244" i="8" l="1"/>
  <c r="J244" i="8"/>
  <c r="K244" i="8" s="1"/>
  <c r="O244" i="8" s="1"/>
  <c r="K294" i="1"/>
  <c r="L294" i="1" s="1"/>
  <c r="M294" i="1" s="1"/>
  <c r="N294" i="1" s="1"/>
  <c r="AD295" i="1" s="1"/>
  <c r="L244" i="8" l="1"/>
  <c r="B295" i="1"/>
  <c r="D295" i="1"/>
  <c r="E295" i="1" s="1"/>
  <c r="G295" i="1" s="1"/>
  <c r="F295" i="1" s="1"/>
  <c r="I295" i="1"/>
  <c r="H295" i="1"/>
  <c r="C295" i="1"/>
  <c r="J295" i="1"/>
  <c r="G245" i="8" l="1"/>
  <c r="C245" i="8"/>
  <c r="D245" i="8"/>
  <c r="F245" i="8" s="1"/>
  <c r="I245" i="8"/>
  <c r="H245" i="8"/>
  <c r="K245" i="8"/>
  <c r="K295" i="1"/>
  <c r="L295" i="1" s="1"/>
  <c r="M295" i="1" s="1"/>
  <c r="N295" i="1" s="1"/>
  <c r="E245" i="8" l="1"/>
  <c r="L245" i="8" s="1"/>
  <c r="G246" i="8" s="1"/>
  <c r="J245" i="8"/>
  <c r="O245" i="8" s="1"/>
  <c r="AD296" i="1"/>
  <c r="H296" i="1"/>
  <c r="C296" i="1"/>
  <c r="J296" i="1"/>
  <c r="I296" i="1"/>
  <c r="D296" i="1"/>
  <c r="E296" i="1" s="1"/>
  <c r="G296" i="1" s="1"/>
  <c r="F296" i="1" s="1"/>
  <c r="B296" i="1"/>
  <c r="C246" i="8" l="1"/>
  <c r="I246" i="8"/>
  <c r="H246" i="8"/>
  <c r="D246" i="8"/>
  <c r="F246" i="8" s="1"/>
  <c r="E246" i="8" s="1"/>
  <c r="K296" i="1"/>
  <c r="L296" i="1" s="1"/>
  <c r="M296" i="1" s="1"/>
  <c r="N296" i="1" s="1"/>
  <c r="J246" i="8" l="1"/>
  <c r="K246" i="8" s="1"/>
  <c r="O246" i="8" s="1"/>
  <c r="AD297" i="1"/>
  <c r="H297" i="1"/>
  <c r="B297" i="1"/>
  <c r="I297" i="1"/>
  <c r="J297" i="1"/>
  <c r="C297" i="1"/>
  <c r="D297" i="1"/>
  <c r="E297" i="1" s="1"/>
  <c r="L246" i="8" l="1"/>
  <c r="D247" i="8" s="1"/>
  <c r="F247" i="8" s="1"/>
  <c r="E247" i="8" s="1"/>
  <c r="AF297" i="1"/>
  <c r="AE297" i="1" s="1"/>
  <c r="AB297" i="1" s="1"/>
  <c r="G297" i="1" s="1"/>
  <c r="F297" i="1" s="1"/>
  <c r="K297" i="1"/>
  <c r="H247" i="8" l="1"/>
  <c r="G247" i="8"/>
  <c r="C247" i="8"/>
  <c r="I247" i="8"/>
  <c r="L297" i="1"/>
  <c r="M297" i="1" s="1"/>
  <c r="N297" i="1" s="1"/>
  <c r="J247" i="8"/>
  <c r="K247" i="8" s="1"/>
  <c r="O247" i="8" s="1"/>
  <c r="L247" i="8" l="1"/>
  <c r="C248" i="8" s="1"/>
  <c r="D298" i="1"/>
  <c r="E298" i="1" s="1"/>
  <c r="G298" i="1" s="1"/>
  <c r="F298" i="1" s="1"/>
  <c r="AD298" i="1"/>
  <c r="B298" i="1"/>
  <c r="J298" i="1"/>
  <c r="C298" i="1"/>
  <c r="I298" i="1"/>
  <c r="H298" i="1"/>
  <c r="G248" i="8" l="1"/>
  <c r="D248" i="8"/>
  <c r="F248" i="8" s="1"/>
  <c r="E248" i="8" s="1"/>
  <c r="I248" i="8"/>
  <c r="H248" i="8"/>
  <c r="K298" i="1"/>
  <c r="L298" i="1" s="1"/>
  <c r="M298" i="1" s="1"/>
  <c r="N298" i="1" s="1"/>
  <c r="H299" i="1" s="1"/>
  <c r="J248" i="8" l="1"/>
  <c r="AD299" i="1"/>
  <c r="C299" i="1"/>
  <c r="J299" i="1"/>
  <c r="B299" i="1"/>
  <c r="D299" i="1"/>
  <c r="E299" i="1" s="1"/>
  <c r="G299" i="1" s="1"/>
  <c r="F299" i="1" s="1"/>
  <c r="I299" i="1"/>
  <c r="K248" i="8" l="1"/>
  <c r="L248" i="8" s="1"/>
  <c r="I249" i="8" s="1"/>
  <c r="K299" i="1"/>
  <c r="L299" i="1" s="1"/>
  <c r="M299" i="1" s="1"/>
  <c r="N299" i="1" s="1"/>
  <c r="H300" i="1" s="1"/>
  <c r="D249" i="8" l="1"/>
  <c r="F249" i="8" s="1"/>
  <c r="E249" i="8" s="1"/>
  <c r="G249" i="8"/>
  <c r="H249" i="8"/>
  <c r="C249" i="8"/>
  <c r="O248" i="8"/>
  <c r="AD300" i="1"/>
  <c r="I300" i="1"/>
  <c r="J300" i="1"/>
  <c r="B300" i="1"/>
  <c r="D300" i="1"/>
  <c r="E300" i="1" s="1"/>
  <c r="G300" i="1" s="1"/>
  <c r="F300" i="1" s="1"/>
  <c r="C300" i="1"/>
  <c r="J249" i="8" l="1"/>
  <c r="K249" i="8"/>
  <c r="L249" i="8" s="1"/>
  <c r="K300" i="1"/>
  <c r="L300" i="1" s="1"/>
  <c r="M300" i="1" s="1"/>
  <c r="N300" i="1" s="1"/>
  <c r="J301" i="1" s="1"/>
  <c r="D250" i="8" l="1"/>
  <c r="F250" i="8" s="1"/>
  <c r="E250" i="8" s="1"/>
  <c r="C250" i="8"/>
  <c r="G250" i="8"/>
  <c r="H250" i="8"/>
  <c r="I250" i="8"/>
  <c r="O249" i="8"/>
  <c r="AD301" i="1"/>
  <c r="I301" i="1"/>
  <c r="B301" i="1"/>
  <c r="C301" i="1"/>
  <c r="H301" i="1"/>
  <c r="D301" i="1"/>
  <c r="E301" i="1" s="1"/>
  <c r="G301" i="1" s="1"/>
  <c r="F301" i="1" s="1"/>
  <c r="J250" i="8" l="1"/>
  <c r="K250" i="8" s="1"/>
  <c r="O250" i="8" s="1"/>
  <c r="K301" i="1"/>
  <c r="L301" i="1" s="1"/>
  <c r="M301" i="1" s="1"/>
  <c r="N301" i="1" s="1"/>
  <c r="AD302" i="1" s="1"/>
  <c r="L250" i="8" l="1"/>
  <c r="I251" i="8" s="1"/>
  <c r="I302" i="1"/>
  <c r="J302" i="1"/>
  <c r="D302" i="1"/>
  <c r="E302" i="1" s="1"/>
  <c r="G302" i="1" s="1"/>
  <c r="C302" i="1"/>
  <c r="H302" i="1"/>
  <c r="B302" i="1"/>
  <c r="C251" i="8" l="1"/>
  <c r="G251" i="8"/>
  <c r="H251" i="8"/>
  <c r="D251" i="8"/>
  <c r="F251" i="8" s="1"/>
  <c r="E251" i="8" s="1"/>
  <c r="K302" i="1"/>
  <c r="L302" i="1" s="1"/>
  <c r="M302" i="1" s="1"/>
  <c r="F302" i="1"/>
  <c r="J251" i="8" l="1"/>
  <c r="K251" i="8" s="1"/>
  <c r="O251" i="8" s="1"/>
  <c r="N302" i="1"/>
  <c r="C303" i="1" l="1"/>
  <c r="L251" i="8"/>
  <c r="G252" i="8" s="1"/>
  <c r="H303" i="1"/>
  <c r="B303" i="1"/>
  <c r="J303" i="1"/>
  <c r="I303" i="1"/>
  <c r="D303" i="1"/>
  <c r="E303" i="1" s="1"/>
  <c r="AD303" i="1"/>
  <c r="AF303" i="1" l="1"/>
  <c r="AE303" i="1" s="1"/>
  <c r="AB303" i="1" s="1"/>
  <c r="G303" i="1" s="1"/>
  <c r="F303" i="1" s="1"/>
  <c r="H252" i="8"/>
  <c r="C252" i="8"/>
  <c r="D252" i="8"/>
  <c r="F252" i="8" s="1"/>
  <c r="E252" i="8" s="1"/>
  <c r="I252" i="8"/>
  <c r="K303" i="1"/>
  <c r="L303" i="1" l="1"/>
  <c r="M303" i="1" s="1"/>
  <c r="N303" i="1" s="1"/>
  <c r="J304" i="1" s="1"/>
  <c r="J252" i="8"/>
  <c r="K252" i="8" s="1"/>
  <c r="O252" i="8" s="1"/>
  <c r="AD304" i="1" l="1"/>
  <c r="I304" i="1"/>
  <c r="H304" i="1"/>
  <c r="B304" i="1"/>
  <c r="D304" i="1"/>
  <c r="E304" i="1" s="1"/>
  <c r="G304" i="1" s="1"/>
  <c r="F304" i="1" s="1"/>
  <c r="C304" i="1"/>
  <c r="L252" i="8"/>
  <c r="C253" i="8" s="1"/>
  <c r="K304" i="1"/>
  <c r="L304" i="1" l="1"/>
  <c r="M304" i="1" s="1"/>
  <c r="N304" i="1" s="1"/>
  <c r="H305" i="1" s="1"/>
  <c r="H253" i="8"/>
  <c r="G253" i="8"/>
  <c r="D253" i="8"/>
  <c r="F253" i="8" s="1"/>
  <c r="E253" i="8" s="1"/>
  <c r="I253" i="8"/>
  <c r="C305" i="1" l="1"/>
  <c r="B305" i="1"/>
  <c r="AD305" i="1"/>
  <c r="J305" i="1"/>
  <c r="D305" i="1"/>
  <c r="E305" i="1" s="1"/>
  <c r="G305" i="1" s="1"/>
  <c r="F305" i="1" s="1"/>
  <c r="I305" i="1"/>
  <c r="J253" i="8"/>
  <c r="K253" i="8" s="1"/>
  <c r="O253" i="8" s="1"/>
  <c r="K305" i="1"/>
  <c r="L305" i="1" l="1"/>
  <c r="M305" i="1" s="1"/>
  <c r="N305" i="1" s="1"/>
  <c r="I306" i="1" s="1"/>
  <c r="L253" i="8"/>
  <c r="I254" i="8" s="1"/>
  <c r="AD306" i="1" l="1"/>
  <c r="C306" i="1"/>
  <c r="J306" i="1"/>
  <c r="D306" i="1"/>
  <c r="E306" i="1" s="1"/>
  <c r="G306" i="1" s="1"/>
  <c r="F306" i="1" s="1"/>
  <c r="H306" i="1"/>
  <c r="B306" i="1"/>
  <c r="G254" i="8"/>
  <c r="C254" i="8"/>
  <c r="D254" i="8"/>
  <c r="F254" i="8" s="1"/>
  <c r="E254" i="8" s="1"/>
  <c r="H254" i="8"/>
  <c r="K306" i="1"/>
  <c r="L306" i="1" l="1"/>
  <c r="M306" i="1" s="1"/>
  <c r="N306" i="1" s="1"/>
  <c r="I307" i="1" s="1"/>
  <c r="J254" i="8"/>
  <c r="K254" i="8" s="1"/>
  <c r="O254" i="8" s="1"/>
  <c r="AD307" i="1" l="1"/>
  <c r="J307" i="1"/>
  <c r="D307" i="1"/>
  <c r="E307" i="1" s="1"/>
  <c r="G307" i="1" s="1"/>
  <c r="F307" i="1" s="1"/>
  <c r="H307" i="1"/>
  <c r="C307" i="1"/>
  <c r="B307" i="1"/>
  <c r="L254" i="8"/>
  <c r="H255" i="8" s="1"/>
  <c r="K307" i="1"/>
  <c r="L307" i="1" l="1"/>
  <c r="M307" i="1" s="1"/>
  <c r="N307" i="1" s="1"/>
  <c r="H308" i="1" s="1"/>
  <c r="G255" i="8"/>
  <c r="C255" i="8"/>
  <c r="D255" i="8"/>
  <c r="F255" i="8" s="1"/>
  <c r="E255" i="8" s="1"/>
  <c r="I255" i="8"/>
  <c r="C308" i="1" l="1"/>
  <c r="D308" i="1"/>
  <c r="E308" i="1" s="1"/>
  <c r="G308" i="1" s="1"/>
  <c r="F308" i="1" s="1"/>
  <c r="AD308" i="1"/>
  <c r="B308" i="1"/>
  <c r="K308" i="1"/>
  <c r="I308" i="1"/>
  <c r="J308" i="1"/>
  <c r="J255" i="8"/>
  <c r="K255" i="8" s="1"/>
  <c r="O255" i="8" s="1"/>
  <c r="L308" i="1" l="1"/>
  <c r="M308" i="1" s="1"/>
  <c r="N308" i="1" s="1"/>
  <c r="AD309" i="1" s="1"/>
  <c r="L255" i="8"/>
  <c r="D256" i="8" s="1"/>
  <c r="C309" i="1" l="1"/>
  <c r="K309" i="1"/>
  <c r="B309" i="1"/>
  <c r="D309" i="1"/>
  <c r="E309" i="1" s="1"/>
  <c r="G309" i="1" s="1"/>
  <c r="F309" i="1" s="1"/>
  <c r="I309" i="1"/>
  <c r="J309" i="1"/>
  <c r="H309" i="1"/>
  <c r="H256" i="8"/>
  <c r="G256" i="8"/>
  <c r="I256" i="8"/>
  <c r="C256" i="8"/>
  <c r="F256" i="8"/>
  <c r="L309" i="1" l="1"/>
  <c r="M309" i="1" s="1"/>
  <c r="N309" i="1" s="1"/>
  <c r="AD310" i="1" s="1"/>
  <c r="E256" i="8"/>
  <c r="J256" i="8"/>
  <c r="D310" i="1"/>
  <c r="E310" i="1" s="1"/>
  <c r="G310" i="1" s="1"/>
  <c r="F310" i="1" s="1"/>
  <c r="H310" i="1"/>
  <c r="K310" i="1"/>
  <c r="I310" i="1"/>
  <c r="J310" i="1" l="1"/>
  <c r="L310" i="1" s="1"/>
  <c r="M310" i="1" s="1"/>
  <c r="N310" i="1" s="1"/>
  <c r="AD311" i="1" s="1"/>
  <c r="B310" i="1"/>
  <c r="C310" i="1"/>
  <c r="K256" i="8"/>
  <c r="L256" i="8" s="1"/>
  <c r="H257" i="8" l="1"/>
  <c r="C257" i="8"/>
  <c r="G257" i="8"/>
  <c r="I257" i="8"/>
  <c r="D257" i="8"/>
  <c r="F257" i="8" s="1"/>
  <c r="E257" i="8" s="1"/>
  <c r="O256" i="8"/>
  <c r="D311" i="1"/>
  <c r="E311" i="1" s="1"/>
  <c r="G311" i="1" s="1"/>
  <c r="F311" i="1" s="1"/>
  <c r="C311" i="1"/>
  <c r="B311" i="1"/>
  <c r="K311" i="1"/>
  <c r="I311" i="1"/>
  <c r="H311" i="1"/>
  <c r="J311" i="1"/>
  <c r="J257" i="8" l="1"/>
  <c r="L311" i="1"/>
  <c r="M311" i="1" s="1"/>
  <c r="N311" i="1" s="1"/>
  <c r="AD312" i="1" s="1"/>
  <c r="K257" i="8" l="1"/>
  <c r="L257" i="8" s="1"/>
  <c r="I312" i="1"/>
  <c r="J312" i="1"/>
  <c r="D312" i="1"/>
  <c r="E312" i="1" s="1"/>
  <c r="G312" i="1" s="1"/>
  <c r="F312" i="1" s="1"/>
  <c r="H312" i="1"/>
  <c r="C312" i="1"/>
  <c r="B312" i="1"/>
  <c r="K312" i="1"/>
  <c r="H258" i="8" l="1"/>
  <c r="D258" i="8"/>
  <c r="F258" i="8" s="1"/>
  <c r="E258" i="8" s="1"/>
  <c r="G258" i="8"/>
  <c r="I258" i="8"/>
  <c r="C258" i="8"/>
  <c r="O257" i="8"/>
  <c r="L312" i="1"/>
  <c r="M312" i="1" s="1"/>
  <c r="N312" i="1" s="1"/>
  <c r="J258" i="8" l="1"/>
  <c r="K258" i="8" s="1"/>
  <c r="L258" i="8" s="1"/>
  <c r="D313" i="1"/>
  <c r="E313" i="1" s="1"/>
  <c r="G313" i="1" s="1"/>
  <c r="F313" i="1" s="1"/>
  <c r="AD313" i="1"/>
  <c r="K313" i="1"/>
  <c r="I313" i="1"/>
  <c r="B313" i="1"/>
  <c r="J313" i="1"/>
  <c r="C313" i="1"/>
  <c r="H313" i="1"/>
  <c r="O258" i="8" l="1"/>
  <c r="H259" i="8"/>
  <c r="D259" i="8"/>
  <c r="F259" i="8" s="1"/>
  <c r="E259" i="8" s="1"/>
  <c r="I259" i="8"/>
  <c r="G259" i="8"/>
  <c r="C259" i="8"/>
  <c r="L313" i="1"/>
  <c r="M313" i="1" s="1"/>
  <c r="N313" i="1" s="1"/>
  <c r="J259" i="8" l="1"/>
  <c r="AD314" i="1"/>
  <c r="C314" i="1"/>
  <c r="H314" i="1"/>
  <c r="J314" i="1"/>
  <c r="B314" i="1"/>
  <c r="I314" i="1"/>
  <c r="D314" i="1"/>
  <c r="E314" i="1" s="1"/>
  <c r="G314" i="1" s="1"/>
  <c r="K259" i="8" l="1"/>
  <c r="K314" i="1"/>
  <c r="L314" i="1" s="1"/>
  <c r="M314" i="1" s="1"/>
  <c r="F314" i="1"/>
  <c r="O259" i="8" l="1"/>
  <c r="L259" i="8"/>
  <c r="N314" i="1"/>
  <c r="D315" i="1" s="1"/>
  <c r="E315" i="1" s="1"/>
  <c r="G315" i="1" s="1"/>
  <c r="F315" i="1" s="1"/>
  <c r="G260" i="8" l="1"/>
  <c r="C260" i="8"/>
  <c r="H260" i="8"/>
  <c r="I260" i="8"/>
  <c r="D260" i="8"/>
  <c r="AD315" i="1"/>
  <c r="H315" i="1"/>
  <c r="J315" i="1"/>
  <c r="B315" i="1"/>
  <c r="C315" i="1"/>
  <c r="K315" i="1"/>
  <c r="I315" i="1"/>
  <c r="F260" i="8" l="1"/>
  <c r="E260" i="8" s="1"/>
  <c r="L315" i="1"/>
  <c r="M315" i="1" s="1"/>
  <c r="N315" i="1" s="1"/>
  <c r="B316" i="1" s="1"/>
  <c r="J260" i="8" l="1"/>
  <c r="K260" i="8"/>
  <c r="AD316" i="1"/>
  <c r="H316" i="1"/>
  <c r="I316" i="1"/>
  <c r="C316" i="1"/>
  <c r="J316" i="1"/>
  <c r="D316" i="1"/>
  <c r="E316" i="1" s="1"/>
  <c r="G316" i="1" s="1"/>
  <c r="F316" i="1" s="1"/>
  <c r="O260" i="8" l="1"/>
  <c r="L260" i="8"/>
  <c r="K261" i="8"/>
  <c r="K316" i="1"/>
  <c r="L316" i="1" s="1"/>
  <c r="M316" i="1" s="1"/>
  <c r="N316" i="1" s="1"/>
  <c r="H317" i="1" s="1"/>
  <c r="I261" i="8" l="1"/>
  <c r="H261" i="8"/>
  <c r="C261" i="8"/>
  <c r="G261" i="8"/>
  <c r="D261" i="8"/>
  <c r="F261" i="8" s="1"/>
  <c r="E261" i="8" s="1"/>
  <c r="L261" i="8" s="1"/>
  <c r="AD317" i="1"/>
  <c r="D317" i="1"/>
  <c r="E317" i="1" s="1"/>
  <c r="G317" i="1" s="1"/>
  <c r="F317" i="1" s="1"/>
  <c r="B317" i="1"/>
  <c r="C317" i="1"/>
  <c r="I317" i="1"/>
  <c r="J317" i="1"/>
  <c r="H262" i="8" l="1"/>
  <c r="D262" i="8"/>
  <c r="F262" i="8" s="1"/>
  <c r="E262" i="8" s="1"/>
  <c r="G262" i="8"/>
  <c r="I262" i="8"/>
  <c r="C262" i="8"/>
  <c r="J261" i="8"/>
  <c r="O261" i="8" s="1"/>
  <c r="K317" i="1"/>
  <c r="L317" i="1" s="1"/>
  <c r="M317" i="1" s="1"/>
  <c r="N317" i="1" s="1"/>
  <c r="AD318" i="1" s="1"/>
  <c r="J262" i="8" l="1"/>
  <c r="K262" i="8" s="1"/>
  <c r="J318" i="1"/>
  <c r="H318" i="1"/>
  <c r="I318" i="1"/>
  <c r="D318" i="1"/>
  <c r="E318" i="1" s="1"/>
  <c r="G318" i="1" s="1"/>
  <c r="F318" i="1" s="1"/>
  <c r="C318" i="1"/>
  <c r="B318" i="1"/>
  <c r="O262" i="8" l="1"/>
  <c r="L262" i="8"/>
  <c r="K318" i="1"/>
  <c r="L318" i="1" s="1"/>
  <c r="M318" i="1" s="1"/>
  <c r="N318" i="1" s="1"/>
  <c r="AD319" i="1" s="1"/>
  <c r="H263" i="8" l="1"/>
  <c r="D263" i="8"/>
  <c r="F263" i="8" s="1"/>
  <c r="E263" i="8" s="1"/>
  <c r="G263" i="8"/>
  <c r="I263" i="8"/>
  <c r="C263" i="8"/>
  <c r="B319" i="1"/>
  <c r="I319" i="1"/>
  <c r="H319" i="1"/>
  <c r="C319" i="1"/>
  <c r="D319" i="1"/>
  <c r="E319" i="1" s="1"/>
  <c r="G319" i="1" s="1"/>
  <c r="F319" i="1" s="1"/>
  <c r="J319" i="1"/>
  <c r="J263" i="8" l="1"/>
  <c r="K263" i="8" s="1"/>
  <c r="L263" i="8" s="1"/>
  <c r="C264" i="8" s="1"/>
  <c r="K319" i="1"/>
  <c r="L319" i="1" s="1"/>
  <c r="M319" i="1" s="1"/>
  <c r="N319" i="1" s="1"/>
  <c r="AD320" i="1" s="1"/>
  <c r="D264" i="8" l="1"/>
  <c r="F264" i="8" s="1"/>
  <c r="I264" i="8"/>
  <c r="H264" i="8"/>
  <c r="G264" i="8"/>
  <c r="O263" i="8"/>
  <c r="E264" i="8"/>
  <c r="K264" i="8"/>
  <c r="J320" i="1"/>
  <c r="I320" i="1"/>
  <c r="C320" i="1"/>
  <c r="B320" i="1"/>
  <c r="H320" i="1"/>
  <c r="D320" i="1"/>
  <c r="E320" i="1" s="1"/>
  <c r="G320" i="1" s="1"/>
  <c r="F320" i="1" s="1"/>
  <c r="J264" i="8" l="1"/>
  <c r="O264" i="8" s="1"/>
  <c r="L264" i="8"/>
  <c r="K320" i="1"/>
  <c r="L320" i="1" s="1"/>
  <c r="M320" i="1" s="1"/>
  <c r="N320" i="1" s="1"/>
  <c r="AD321" i="1" s="1"/>
  <c r="I265" i="8" l="1"/>
  <c r="D265" i="8"/>
  <c r="C265" i="8"/>
  <c r="G265" i="8"/>
  <c r="H265" i="8"/>
  <c r="F265" i="8"/>
  <c r="I321" i="1"/>
  <c r="J321" i="1"/>
  <c r="H321" i="1"/>
  <c r="B321" i="1"/>
  <c r="C321" i="1"/>
  <c r="D321" i="1"/>
  <c r="E321" i="1" s="1"/>
  <c r="G321" i="1" s="1"/>
  <c r="F321" i="1" s="1"/>
  <c r="J265" i="8" l="1"/>
  <c r="K265" i="8" s="1"/>
  <c r="E265" i="8"/>
  <c r="L265" i="8" s="1"/>
  <c r="K321" i="1"/>
  <c r="L321" i="1" s="1"/>
  <c r="M321" i="1" s="1"/>
  <c r="N321" i="1" s="1"/>
  <c r="AD322" i="1" s="1"/>
  <c r="O265" i="8" l="1"/>
  <c r="I266" i="8"/>
  <c r="G266" i="8"/>
  <c r="H266" i="8"/>
  <c r="C266" i="8"/>
  <c r="D266" i="8"/>
  <c r="F266" i="8" s="1"/>
  <c r="E266" i="8" s="1"/>
  <c r="C322" i="1"/>
  <c r="J322" i="1"/>
  <c r="D322" i="1"/>
  <c r="E322" i="1" s="1"/>
  <c r="G322" i="1" s="1"/>
  <c r="F322" i="1" s="1"/>
  <c r="K322" i="1"/>
  <c r="H322" i="1"/>
  <c r="I322" i="1"/>
  <c r="B322" i="1"/>
  <c r="J266" i="8" l="1"/>
  <c r="L322" i="1"/>
  <c r="M322" i="1" s="1"/>
  <c r="N322" i="1" s="1"/>
  <c r="K266" i="8" l="1"/>
  <c r="AD323" i="1"/>
  <c r="D323" i="1"/>
  <c r="E323" i="1" s="1"/>
  <c r="J323" i="1"/>
  <c r="H323" i="1"/>
  <c r="I323" i="1"/>
  <c r="B323" i="1"/>
  <c r="C323" i="1"/>
  <c r="O266" i="8" l="1"/>
  <c r="L266" i="8"/>
  <c r="AF323" i="1"/>
  <c r="AE323" i="1" s="1"/>
  <c r="AB323" i="1" s="1"/>
  <c r="G323" i="1" s="1"/>
  <c r="F323" i="1" s="1"/>
  <c r="K323" i="1"/>
  <c r="G267" i="8" l="1"/>
  <c r="H267" i="8"/>
  <c r="D267" i="8"/>
  <c r="F267" i="8" s="1"/>
  <c r="E267" i="8" s="1"/>
  <c r="I267" i="8"/>
  <c r="C267" i="8"/>
  <c r="L323" i="1"/>
  <c r="M323" i="1" s="1"/>
  <c r="N323" i="1" s="1"/>
  <c r="B324" i="1" s="1"/>
  <c r="AD324" i="1" l="1"/>
  <c r="J267" i="8"/>
  <c r="J324" i="1"/>
  <c r="D324" i="1"/>
  <c r="E324" i="1" s="1"/>
  <c r="H324" i="1"/>
  <c r="I324" i="1"/>
  <c r="C324" i="1"/>
  <c r="AF324" i="1"/>
  <c r="AE324" i="1" s="1"/>
  <c r="AB324" i="1" s="1"/>
  <c r="K324" i="1"/>
  <c r="K267" i="8" l="1"/>
  <c r="L267" i="8" s="1"/>
  <c r="G324" i="1"/>
  <c r="F324" i="1" s="1"/>
  <c r="H268" i="8" l="1"/>
  <c r="D268" i="8"/>
  <c r="F268" i="8" s="1"/>
  <c r="E268" i="8" s="1"/>
  <c r="L268" i="8" s="1"/>
  <c r="I268" i="8"/>
  <c r="G268" i="8"/>
  <c r="C268" i="8"/>
  <c r="O267" i="8"/>
  <c r="L324" i="1"/>
  <c r="M324" i="1" s="1"/>
  <c r="N324" i="1" s="1"/>
  <c r="AF325" i="1"/>
  <c r="AE325" i="1" s="1"/>
  <c r="AB325" i="1" s="1"/>
  <c r="J268" i="8" l="1"/>
  <c r="K325" i="1"/>
  <c r="AD325" i="1"/>
  <c r="H269" i="8"/>
  <c r="G269" i="8"/>
  <c r="D269" i="8"/>
  <c r="F269" i="8" s="1"/>
  <c r="E269" i="8" s="1"/>
  <c r="C269" i="8"/>
  <c r="I269" i="8"/>
  <c r="C325" i="1"/>
  <c r="I325" i="1"/>
  <c r="D325" i="1"/>
  <c r="E325" i="1" s="1"/>
  <c r="G325" i="1" s="1"/>
  <c r="F325" i="1" s="1"/>
  <c r="B325" i="1"/>
  <c r="H325" i="1"/>
  <c r="J325" i="1"/>
  <c r="K268" i="8" l="1"/>
  <c r="O268" i="8" s="1"/>
  <c r="J269" i="8"/>
  <c r="K269" i="8" s="1"/>
  <c r="O269" i="8" s="1"/>
  <c r="L325" i="1"/>
  <c r="M325" i="1" s="1"/>
  <c r="N325" i="1" s="1"/>
  <c r="AD326" i="1" s="1"/>
  <c r="AF326" i="1"/>
  <c r="AE326" i="1" s="1"/>
  <c r="AB326" i="1" s="1"/>
  <c r="L269" i="8" l="1"/>
  <c r="G270" i="8" s="1"/>
  <c r="D326" i="1"/>
  <c r="E326" i="1" s="1"/>
  <c r="G326" i="1" s="1"/>
  <c r="C326" i="1"/>
  <c r="B326" i="1"/>
  <c r="H326" i="1"/>
  <c r="K326" i="1"/>
  <c r="I326" i="1"/>
  <c r="J326" i="1"/>
  <c r="I270" i="8" l="1"/>
  <c r="C270" i="8"/>
  <c r="H270" i="8"/>
  <c r="D270" i="8"/>
  <c r="F270" i="8" s="1"/>
  <c r="E270" i="8"/>
  <c r="L270" i="8" s="1"/>
  <c r="J270" i="8"/>
  <c r="F326" i="1"/>
  <c r="L326" i="1"/>
  <c r="M326" i="1" s="1"/>
  <c r="AF327" i="1"/>
  <c r="AE327" i="1" s="1"/>
  <c r="AB327" i="1" s="1"/>
  <c r="K270" i="8" l="1"/>
  <c r="O270" i="8" s="1"/>
  <c r="C271" i="8"/>
  <c r="I271" i="8"/>
  <c r="H271" i="8"/>
  <c r="D271" i="8"/>
  <c r="F271" i="8" s="1"/>
  <c r="E271" i="8" s="1"/>
  <c r="L271" i="8" s="1"/>
  <c r="G271" i="8"/>
  <c r="N326" i="1"/>
  <c r="J271" i="8" l="1"/>
  <c r="K327" i="1"/>
  <c r="K389" i="1" s="1"/>
  <c r="AD327" i="1"/>
  <c r="I272" i="8"/>
  <c r="H272" i="8"/>
  <c r="C272" i="8"/>
  <c r="G272" i="8"/>
  <c r="D272" i="8"/>
  <c r="F272" i="8" s="1"/>
  <c r="E272" i="8" s="1"/>
  <c r="L272" i="8" s="1"/>
  <c r="D327" i="1"/>
  <c r="E327" i="1" s="1"/>
  <c r="G327" i="1" s="1"/>
  <c r="B327" i="1"/>
  <c r="I327" i="1"/>
  <c r="I389" i="1" s="1"/>
  <c r="I86" i="1" s="1"/>
  <c r="C327" i="1"/>
  <c r="J327" i="1"/>
  <c r="J389" i="1" s="1"/>
  <c r="H327" i="1"/>
  <c r="H389" i="1" s="1"/>
  <c r="H86" i="1" s="1"/>
  <c r="H16" i="7" s="1"/>
  <c r="K271" i="8" l="1"/>
  <c r="O271" i="8" s="1"/>
  <c r="J272" i="8"/>
  <c r="K272" i="8" s="1"/>
  <c r="E389" i="1"/>
  <c r="I273" i="8"/>
  <c r="G273" i="8"/>
  <c r="C273" i="8"/>
  <c r="D273" i="8"/>
  <c r="F273" i="8" s="1"/>
  <c r="E273" i="8" s="1"/>
  <c r="L273" i="8" s="1"/>
  <c r="H273" i="8"/>
  <c r="F327" i="1"/>
  <c r="F389" i="1" s="1"/>
  <c r="G389" i="1"/>
  <c r="L327" i="1"/>
  <c r="O272" i="8" l="1"/>
  <c r="J273" i="8"/>
  <c r="K273" i="8" s="1"/>
  <c r="H274" i="8"/>
  <c r="G274" i="8"/>
  <c r="I274" i="8"/>
  <c r="C274" i="8"/>
  <c r="D274" i="8"/>
  <c r="F274" i="8" s="1"/>
  <c r="L389" i="1"/>
  <c r="M327" i="1"/>
  <c r="M389" i="1" s="1"/>
  <c r="BB25" i="8"/>
  <c r="BE25" i="8" s="1"/>
  <c r="AW25" i="8"/>
  <c r="BC25" i="8" s="1"/>
  <c r="O273" i="8" l="1"/>
  <c r="J274" i="8"/>
  <c r="N327" i="1"/>
  <c r="H328" i="1" s="1"/>
  <c r="E274" i="8"/>
  <c r="L274" i="8" s="1"/>
  <c r="BA26" i="8"/>
  <c r="AU26" i="8"/>
  <c r="AY26" i="8"/>
  <c r="AV26" i="8"/>
  <c r="AX26" i="8" s="1"/>
  <c r="AD328" i="1" l="1"/>
  <c r="K274" i="8"/>
  <c r="O274" i="8" s="1"/>
  <c r="J328" i="1"/>
  <c r="C328" i="1"/>
  <c r="D328" i="1"/>
  <c r="E328" i="1" s="1"/>
  <c r="G328" i="1" s="1"/>
  <c r="F328" i="1" s="1"/>
  <c r="K328" i="1"/>
  <c r="B328" i="1"/>
  <c r="I328" i="1"/>
  <c r="G275" i="8"/>
  <c r="H275" i="8"/>
  <c r="D275" i="8"/>
  <c r="F275" i="8" s="1"/>
  <c r="E275" i="8" s="1"/>
  <c r="L275" i="8" s="1"/>
  <c r="I275" i="8"/>
  <c r="C275" i="8"/>
  <c r="BB26" i="8"/>
  <c r="BE26" i="8" s="1"/>
  <c r="AW26" i="8"/>
  <c r="BC26" i="8" s="1"/>
  <c r="L328" i="1" l="1"/>
  <c r="M328" i="1" s="1"/>
  <c r="N328" i="1" s="1"/>
  <c r="J275" i="8"/>
  <c r="K275" i="8" s="1"/>
  <c r="D276" i="8"/>
  <c r="F276" i="8" s="1"/>
  <c r="E276" i="8" s="1"/>
  <c r="L276" i="8" s="1"/>
  <c r="G276" i="8"/>
  <c r="I276" i="8"/>
  <c r="H276" i="8"/>
  <c r="C276" i="8"/>
  <c r="AY27" i="8"/>
  <c r="AU27" i="8"/>
  <c r="AV27" i="8"/>
  <c r="AX27" i="8" s="1"/>
  <c r="BA27" i="8"/>
  <c r="AD329" i="1" l="1"/>
  <c r="I329" i="1"/>
  <c r="C329" i="1"/>
  <c r="J329" i="1"/>
  <c r="B329" i="1"/>
  <c r="K329" i="1"/>
  <c r="D329" i="1"/>
  <c r="E329" i="1" s="1"/>
  <c r="G329" i="1" s="1"/>
  <c r="F329" i="1" s="1"/>
  <c r="H329" i="1"/>
  <c r="O275" i="8"/>
  <c r="J276" i="8"/>
  <c r="N329" i="1"/>
  <c r="D330" i="1" s="1"/>
  <c r="E330" i="1" s="1"/>
  <c r="G330" i="1" s="1"/>
  <c r="I277" i="8"/>
  <c r="D277" i="8"/>
  <c r="F277" i="8" s="1"/>
  <c r="E277" i="8" s="1"/>
  <c r="L277" i="8" s="1"/>
  <c r="C277" i="8"/>
  <c r="H277" i="8"/>
  <c r="G277" i="8"/>
  <c r="BB27" i="8"/>
  <c r="BE27" i="8" s="1"/>
  <c r="AW27" i="8"/>
  <c r="BC27" i="8" s="1"/>
  <c r="AD330" i="1" l="1"/>
  <c r="L329" i="1"/>
  <c r="M329" i="1" s="1"/>
  <c r="K276" i="8"/>
  <c r="O276" i="8" s="1"/>
  <c r="J277" i="8"/>
  <c r="C330" i="1"/>
  <c r="J330" i="1"/>
  <c r="H330" i="1"/>
  <c r="I330" i="1"/>
  <c r="B330" i="1"/>
  <c r="K330" i="1"/>
  <c r="G278" i="8"/>
  <c r="D278" i="8"/>
  <c r="C278" i="8"/>
  <c r="H278" i="8"/>
  <c r="F278" i="8"/>
  <c r="E278" i="8" s="1"/>
  <c r="L278" i="8" s="1"/>
  <c r="I278" i="8"/>
  <c r="F330" i="1"/>
  <c r="AY28" i="8"/>
  <c r="BA28" i="8"/>
  <c r="AU28" i="8"/>
  <c r="AV28" i="8"/>
  <c r="AX28" i="8" s="1"/>
  <c r="K277" i="8" l="1"/>
  <c r="O277" i="8" s="1"/>
  <c r="J278" i="8"/>
  <c r="L330" i="1"/>
  <c r="M330" i="1" s="1"/>
  <c r="H279" i="8"/>
  <c r="D279" i="8"/>
  <c r="F279" i="8" s="1"/>
  <c r="E279" i="8" s="1"/>
  <c r="L279" i="8" s="1"/>
  <c r="G279" i="8"/>
  <c r="C279" i="8"/>
  <c r="I279" i="8"/>
  <c r="N330" i="1"/>
  <c r="C331" i="1" s="1"/>
  <c r="BB28" i="8"/>
  <c r="BE28" i="8" s="1"/>
  <c r="AW28" i="8"/>
  <c r="BC28" i="8" s="1"/>
  <c r="AD331" i="1" l="1"/>
  <c r="K278" i="8"/>
  <c r="O278" i="8" s="1"/>
  <c r="J279" i="8"/>
  <c r="K279" i="8" s="1"/>
  <c r="I331" i="1"/>
  <c r="B331" i="1"/>
  <c r="H331" i="1"/>
  <c r="J331" i="1"/>
  <c r="K331" i="1"/>
  <c r="D331" i="1"/>
  <c r="E331" i="1" s="1"/>
  <c r="G331" i="1" s="1"/>
  <c r="G280" i="8"/>
  <c r="D280" i="8"/>
  <c r="H280" i="8"/>
  <c r="C280" i="8"/>
  <c r="I280" i="8"/>
  <c r="F331" i="1"/>
  <c r="AV29" i="8"/>
  <c r="AX29" i="8" s="1"/>
  <c r="AU29" i="8"/>
  <c r="BA29" i="8"/>
  <c r="AY29" i="8"/>
  <c r="F280" i="8" l="1"/>
  <c r="O279" i="8"/>
  <c r="L331" i="1"/>
  <c r="M331" i="1" s="1"/>
  <c r="N331" i="1" s="1"/>
  <c r="AD332" i="1" s="1"/>
  <c r="E280" i="8"/>
  <c r="L280" i="8" s="1"/>
  <c r="J280" i="8"/>
  <c r="BB29" i="8"/>
  <c r="BE29" i="8" s="1"/>
  <c r="AW29" i="8"/>
  <c r="BC29" i="8" s="1"/>
  <c r="K280" i="8" l="1"/>
  <c r="O280" i="8" s="1"/>
  <c r="K332" i="1"/>
  <c r="B332" i="1"/>
  <c r="C332" i="1"/>
  <c r="I332" i="1"/>
  <c r="H332" i="1"/>
  <c r="J332" i="1"/>
  <c r="D332" i="1"/>
  <c r="E332" i="1" s="1"/>
  <c r="G332" i="1" s="1"/>
  <c r="F332" i="1" s="1"/>
  <c r="D281" i="8"/>
  <c r="F281" i="8" s="1"/>
  <c r="E281" i="8" s="1"/>
  <c r="L281" i="8" s="1"/>
  <c r="C281" i="8"/>
  <c r="I281" i="8"/>
  <c r="G281" i="8"/>
  <c r="H281" i="8"/>
  <c r="AY30" i="8"/>
  <c r="BA30" i="8"/>
  <c r="AV30" i="8"/>
  <c r="AU30" i="8"/>
  <c r="AX30" i="8"/>
  <c r="BB30" i="8" s="1"/>
  <c r="BE30" i="8" s="1"/>
  <c r="L332" i="1" l="1"/>
  <c r="M332" i="1" s="1"/>
  <c r="J281" i="8"/>
  <c r="N332" i="1"/>
  <c r="K333" i="1" s="1"/>
  <c r="C282" i="8"/>
  <c r="D282" i="8"/>
  <c r="F282" i="8" s="1"/>
  <c r="H282" i="8"/>
  <c r="G282" i="8"/>
  <c r="I282" i="8"/>
  <c r="AW30" i="8"/>
  <c r="BC30" i="8" s="1"/>
  <c r="AD333" i="1" l="1"/>
  <c r="K281" i="8"/>
  <c r="O281" i="8" s="1"/>
  <c r="J333" i="1"/>
  <c r="C333" i="1"/>
  <c r="I333" i="1"/>
  <c r="D333" i="1"/>
  <c r="E333" i="1" s="1"/>
  <c r="G333" i="1" s="1"/>
  <c r="H333" i="1"/>
  <c r="B333" i="1"/>
  <c r="J282" i="8"/>
  <c r="E282" i="8"/>
  <c r="L282" i="8" s="1"/>
  <c r="F333" i="1"/>
  <c r="AY31" i="8"/>
  <c r="AU31" i="8"/>
  <c r="BA31" i="8"/>
  <c r="AV31" i="8"/>
  <c r="AX31" i="8" s="1"/>
  <c r="K282" i="8" l="1"/>
  <c r="O282" i="8" s="1"/>
  <c r="L333" i="1"/>
  <c r="M333" i="1" s="1"/>
  <c r="N333" i="1"/>
  <c r="H334" i="1" s="1"/>
  <c r="C283" i="8"/>
  <c r="D283" i="8"/>
  <c r="I283" i="8"/>
  <c r="F283" i="8"/>
  <c r="E283" i="8" s="1"/>
  <c r="L283" i="8" s="1"/>
  <c r="H283" i="8"/>
  <c r="G283" i="8"/>
  <c r="BB31" i="8"/>
  <c r="BE31" i="8" s="1"/>
  <c r="AW31" i="8"/>
  <c r="BC31" i="8" s="1"/>
  <c r="AD334" i="1" l="1"/>
  <c r="J283" i="8"/>
  <c r="B334" i="1"/>
  <c r="D334" i="1"/>
  <c r="E334" i="1" s="1"/>
  <c r="G334" i="1" s="1"/>
  <c r="J334" i="1"/>
  <c r="I334" i="1"/>
  <c r="K334" i="1"/>
  <c r="C334" i="1"/>
  <c r="C284" i="8"/>
  <c r="G284" i="8"/>
  <c r="H284" i="8"/>
  <c r="D284" i="8"/>
  <c r="F284" i="8" s="1"/>
  <c r="E284" i="8" s="1"/>
  <c r="L284" i="8" s="1"/>
  <c r="I284" i="8"/>
  <c r="F334" i="1"/>
  <c r="AY32" i="8"/>
  <c r="BA32" i="8"/>
  <c r="AU32" i="8"/>
  <c r="AV32" i="8"/>
  <c r="AX32" i="8" s="1"/>
  <c r="BB32" i="8" s="1"/>
  <c r="BE32" i="8" s="1"/>
  <c r="K283" i="8" l="1"/>
  <c r="O283" i="8" s="1"/>
  <c r="L334" i="1"/>
  <c r="M334" i="1" s="1"/>
  <c r="N334" i="1" s="1"/>
  <c r="AD335" i="1" s="1"/>
  <c r="J284" i="8"/>
  <c r="I285" i="8"/>
  <c r="D285" i="8"/>
  <c r="F285" i="8" s="1"/>
  <c r="E285" i="8" s="1"/>
  <c r="H285" i="8"/>
  <c r="G285" i="8"/>
  <c r="C285" i="8"/>
  <c r="AW32" i="8"/>
  <c r="BC32" i="8" s="1"/>
  <c r="K284" i="8" l="1"/>
  <c r="O284" i="8" s="1"/>
  <c r="B335" i="1"/>
  <c r="H335" i="1"/>
  <c r="I335" i="1"/>
  <c r="J335" i="1"/>
  <c r="C335" i="1"/>
  <c r="D335" i="1"/>
  <c r="E335" i="1" s="1"/>
  <c r="G335" i="1" s="1"/>
  <c r="F335" i="1" s="1"/>
  <c r="K335" i="1"/>
  <c r="J285" i="8"/>
  <c r="K285" i="8" s="1"/>
  <c r="L285" i="8" s="1"/>
  <c r="AY33" i="8"/>
  <c r="AV33" i="8"/>
  <c r="AX33" i="8" s="1"/>
  <c r="BA33" i="8"/>
  <c r="AU33" i="8"/>
  <c r="L335" i="1" l="1"/>
  <c r="M335" i="1" s="1"/>
  <c r="N335" i="1" s="1"/>
  <c r="AD336" i="1" s="1"/>
  <c r="O285" i="8"/>
  <c r="G286" i="8"/>
  <c r="C286" i="8"/>
  <c r="I286" i="8"/>
  <c r="H286" i="8"/>
  <c r="D286" i="8"/>
  <c r="F286" i="8" s="1"/>
  <c r="E286" i="8" s="1"/>
  <c r="L286" i="8" s="1"/>
  <c r="BB33" i="8"/>
  <c r="BE33" i="8" s="1"/>
  <c r="AW33" i="8"/>
  <c r="BC33" i="8" s="1"/>
  <c r="J336" i="1" l="1"/>
  <c r="K336" i="1"/>
  <c r="D336" i="1"/>
  <c r="E336" i="1" s="1"/>
  <c r="G336" i="1" s="1"/>
  <c r="F336" i="1" s="1"/>
  <c r="C336" i="1"/>
  <c r="I336" i="1"/>
  <c r="B336" i="1"/>
  <c r="H336" i="1"/>
  <c r="J286" i="8"/>
  <c r="G287" i="8"/>
  <c r="I287" i="8"/>
  <c r="C287" i="8"/>
  <c r="H287" i="8"/>
  <c r="D287" i="8"/>
  <c r="F287" i="8" s="1"/>
  <c r="E287" i="8" s="1"/>
  <c r="AV34" i="8"/>
  <c r="AX34" i="8" s="1"/>
  <c r="AY34" i="8"/>
  <c r="AU34" i="8"/>
  <c r="BA34" i="8"/>
  <c r="K286" i="8" l="1"/>
  <c r="O286" i="8" s="1"/>
  <c r="L336" i="1"/>
  <c r="M336" i="1" s="1"/>
  <c r="N336" i="1" s="1"/>
  <c r="J287" i="8"/>
  <c r="BB34" i="8"/>
  <c r="BE34" i="8" s="1"/>
  <c r="AW34" i="8"/>
  <c r="BC34" i="8" s="1"/>
  <c r="BA35" i="8" s="1"/>
  <c r="D337" i="1" l="1"/>
  <c r="E337" i="1" s="1"/>
  <c r="G337" i="1" s="1"/>
  <c r="F337" i="1" s="1"/>
  <c r="AD337" i="1"/>
  <c r="I337" i="1"/>
  <c r="K337" i="1"/>
  <c r="H337" i="1"/>
  <c r="B337" i="1"/>
  <c r="J337" i="1"/>
  <c r="C337" i="1"/>
  <c r="K287" i="8"/>
  <c r="L287" i="8" s="1"/>
  <c r="AV35" i="8"/>
  <c r="AX35" i="8" s="1"/>
  <c r="AY35" i="8"/>
  <c r="AU35" i="8"/>
  <c r="BB35" i="8"/>
  <c r="BE35" i="8" s="1"/>
  <c r="AW35" i="8"/>
  <c r="BC35" i="8" s="1"/>
  <c r="L337" i="1" l="1"/>
  <c r="M337" i="1" s="1"/>
  <c r="N337" i="1" s="1"/>
  <c r="H338" i="1" s="1"/>
  <c r="O287" i="8"/>
  <c r="G288" i="8"/>
  <c r="H288" i="8"/>
  <c r="D288" i="8"/>
  <c r="F288" i="8" s="1"/>
  <c r="E288" i="8" s="1"/>
  <c r="L288" i="8" s="1"/>
  <c r="I288" i="8"/>
  <c r="C288" i="8"/>
  <c r="AU36" i="8"/>
  <c r="AY36" i="8"/>
  <c r="BA36" i="8"/>
  <c r="AV36" i="8"/>
  <c r="AX36" i="8" s="1"/>
  <c r="K338" i="1" l="1"/>
  <c r="AD338" i="1"/>
  <c r="C338" i="1"/>
  <c r="B338" i="1"/>
  <c r="I338" i="1"/>
  <c r="D338" i="1"/>
  <c r="E338" i="1" s="1"/>
  <c r="G338" i="1" s="1"/>
  <c r="F338" i="1" s="1"/>
  <c r="J338" i="1"/>
  <c r="J288" i="8"/>
  <c r="K288" i="8" s="1"/>
  <c r="C289" i="8"/>
  <c r="D289" i="8"/>
  <c r="F289" i="8" s="1"/>
  <c r="E289" i="8" s="1"/>
  <c r="G289" i="8"/>
  <c r="I289" i="8"/>
  <c r="H289" i="8"/>
  <c r="N338" i="1"/>
  <c r="B339" i="1" s="1"/>
  <c r="BB36" i="8"/>
  <c r="BE36" i="8" s="1"/>
  <c r="AW36" i="8"/>
  <c r="BC36" i="8" s="1"/>
  <c r="AD339" i="1" l="1"/>
  <c r="L338" i="1"/>
  <c r="M338" i="1" s="1"/>
  <c r="O288" i="8"/>
  <c r="J289" i="8"/>
  <c r="I339" i="1"/>
  <c r="K339" i="1"/>
  <c r="J339" i="1"/>
  <c r="C339" i="1"/>
  <c r="K289" i="8"/>
  <c r="H339" i="1"/>
  <c r="D339" i="1"/>
  <c r="E339" i="1" s="1"/>
  <c r="G339" i="1" s="1"/>
  <c r="F339" i="1" s="1"/>
  <c r="AV37" i="8"/>
  <c r="AX37" i="8" s="1"/>
  <c r="BA37" i="8"/>
  <c r="AY37" i="8"/>
  <c r="AU37" i="8"/>
  <c r="O289" i="8" l="1"/>
  <c r="L289" i="8"/>
  <c r="N339" i="1"/>
  <c r="B340" i="1" s="1"/>
  <c r="L339" i="1"/>
  <c r="M339" i="1" s="1"/>
  <c r="H290" i="8"/>
  <c r="D290" i="8"/>
  <c r="F290" i="8" s="1"/>
  <c r="E290" i="8" s="1"/>
  <c r="L290" i="8" s="1"/>
  <c r="G290" i="8"/>
  <c r="AD340" i="1"/>
  <c r="BB37" i="8"/>
  <c r="BE37" i="8" s="1"/>
  <c r="AW37" i="8"/>
  <c r="BC37" i="8" s="1"/>
  <c r="I290" i="8" l="1"/>
  <c r="C290" i="8"/>
  <c r="K340" i="1"/>
  <c r="I340" i="1"/>
  <c r="J340" i="1"/>
  <c r="C340" i="1"/>
  <c r="H340" i="1"/>
  <c r="D340" i="1"/>
  <c r="E340" i="1" s="1"/>
  <c r="G340" i="1" s="1"/>
  <c r="J290" i="8"/>
  <c r="C291" i="8"/>
  <c r="D291" i="8"/>
  <c r="F291" i="8" s="1"/>
  <c r="E291" i="8" s="1"/>
  <c r="G291" i="8"/>
  <c r="I291" i="8"/>
  <c r="H291" i="8"/>
  <c r="F340" i="1"/>
  <c r="BA38" i="8"/>
  <c r="AU38" i="8"/>
  <c r="AY38" i="8"/>
  <c r="AV38" i="8"/>
  <c r="AX38" i="8" s="1"/>
  <c r="L340" i="1" l="1"/>
  <c r="M340" i="1" s="1"/>
  <c r="K290" i="8"/>
  <c r="O290" i="8" s="1"/>
  <c r="N340" i="1"/>
  <c r="D341" i="1" s="1"/>
  <c r="E341" i="1" s="1"/>
  <c r="G341" i="1" s="1"/>
  <c r="J291" i="8"/>
  <c r="K291" i="8" s="1"/>
  <c r="BB38" i="8"/>
  <c r="BE38" i="8" s="1"/>
  <c r="AW38" i="8"/>
  <c r="BC38" i="8" s="1"/>
  <c r="AD341" i="1" l="1"/>
  <c r="O291" i="8"/>
  <c r="L291" i="8"/>
  <c r="D292" i="8" s="1"/>
  <c r="F292" i="8" s="1"/>
  <c r="E292" i="8" s="1"/>
  <c r="L292" i="8" s="1"/>
  <c r="B341" i="1"/>
  <c r="K341" i="1"/>
  <c r="J341" i="1"/>
  <c r="C341" i="1"/>
  <c r="H341" i="1"/>
  <c r="I341" i="1"/>
  <c r="F341" i="1"/>
  <c r="BA39" i="8"/>
  <c r="AV39" i="8"/>
  <c r="AU39" i="8"/>
  <c r="AY39" i="8"/>
  <c r="AX39" i="8"/>
  <c r="G292" i="8" l="1"/>
  <c r="H292" i="8"/>
  <c r="C292" i="8"/>
  <c r="I292" i="8"/>
  <c r="L341" i="1"/>
  <c r="M341" i="1" s="1"/>
  <c r="J292" i="8"/>
  <c r="N341" i="1"/>
  <c r="I342" i="1" s="1"/>
  <c r="I293" i="8"/>
  <c r="D293" i="8"/>
  <c r="F293" i="8" s="1"/>
  <c r="E293" i="8" s="1"/>
  <c r="C293" i="8"/>
  <c r="H293" i="8"/>
  <c r="G293" i="8"/>
  <c r="BB39" i="8"/>
  <c r="BE39" i="8" s="1"/>
  <c r="AW39" i="8"/>
  <c r="BC39" i="8" s="1"/>
  <c r="AD342" i="1" l="1"/>
  <c r="K292" i="8"/>
  <c r="O292" i="8" s="1"/>
  <c r="J293" i="8"/>
  <c r="D342" i="1"/>
  <c r="E342" i="1" s="1"/>
  <c r="G342" i="1" s="1"/>
  <c r="B342" i="1"/>
  <c r="K342" i="1"/>
  <c r="C342" i="1"/>
  <c r="H342" i="1"/>
  <c r="J342" i="1"/>
  <c r="K293" i="8"/>
  <c r="F342" i="1"/>
  <c r="AV40" i="8"/>
  <c r="BA40" i="8"/>
  <c r="AY40" i="8"/>
  <c r="AU40" i="8"/>
  <c r="AX40" i="8"/>
  <c r="O293" i="8" l="1"/>
  <c r="L293" i="8"/>
  <c r="L342" i="1"/>
  <c r="M342" i="1" s="1"/>
  <c r="N342" i="1" s="1"/>
  <c r="I343" i="1" s="1"/>
  <c r="BB40" i="8"/>
  <c r="BE40" i="8" s="1"/>
  <c r="AW40" i="8"/>
  <c r="BC40" i="8" s="1"/>
  <c r="AD343" i="1" l="1"/>
  <c r="H294" i="8"/>
  <c r="C294" i="8"/>
  <c r="G294" i="8"/>
  <c r="I294" i="8"/>
  <c r="D294" i="8"/>
  <c r="F294" i="8" s="1"/>
  <c r="E294" i="8" s="1"/>
  <c r="L294" i="8" s="1"/>
  <c r="C295" i="8" s="1"/>
  <c r="H343" i="1"/>
  <c r="J343" i="1"/>
  <c r="B343" i="1"/>
  <c r="K343" i="1"/>
  <c r="C343" i="1"/>
  <c r="D343" i="1"/>
  <c r="E343" i="1" s="1"/>
  <c r="G343" i="1" s="1"/>
  <c r="F343" i="1" s="1"/>
  <c r="AU41" i="8"/>
  <c r="BA41" i="8"/>
  <c r="AY41" i="8"/>
  <c r="AV41" i="8"/>
  <c r="AX41" i="8" s="1"/>
  <c r="H295" i="8" l="1"/>
  <c r="D295" i="8"/>
  <c r="F295" i="8" s="1"/>
  <c r="E295" i="8" s="1"/>
  <c r="L295" i="8" s="1"/>
  <c r="C296" i="8" s="1"/>
  <c r="I295" i="8"/>
  <c r="G295" i="8"/>
  <c r="J294" i="8"/>
  <c r="K294" i="8" s="1"/>
  <c r="L343" i="1"/>
  <c r="M343" i="1" s="1"/>
  <c r="N343" i="1"/>
  <c r="J344" i="1" s="1"/>
  <c r="J295" i="8"/>
  <c r="BB41" i="8"/>
  <c r="BE41" i="8" s="1"/>
  <c r="AW41" i="8"/>
  <c r="BC41" i="8" s="1"/>
  <c r="I296" i="8" l="1"/>
  <c r="D296" i="8"/>
  <c r="F296" i="8" s="1"/>
  <c r="E296" i="8" s="1"/>
  <c r="L296" i="8" s="1"/>
  <c r="G297" i="8" s="1"/>
  <c r="G296" i="8"/>
  <c r="H296" i="8"/>
  <c r="AD344" i="1"/>
  <c r="O294" i="8"/>
  <c r="K295" i="8"/>
  <c r="O295" i="8" s="1"/>
  <c r="J296" i="8"/>
  <c r="B344" i="1"/>
  <c r="H344" i="1"/>
  <c r="I344" i="1"/>
  <c r="D344" i="1"/>
  <c r="E344" i="1" s="1"/>
  <c r="G344" i="1" s="1"/>
  <c r="K344" i="1"/>
  <c r="C344" i="1"/>
  <c r="AY42" i="8"/>
  <c r="AU42" i="8"/>
  <c r="AV42" i="8"/>
  <c r="AX42" i="8" s="1"/>
  <c r="BA42" i="8"/>
  <c r="I297" i="8" l="1"/>
  <c r="H297" i="8"/>
  <c r="C297" i="8"/>
  <c r="D297" i="8"/>
  <c r="F297" i="8" s="1"/>
  <c r="E297" i="8" s="1"/>
  <c r="K296" i="8"/>
  <c r="O296" i="8" s="1"/>
  <c r="L344" i="1"/>
  <c r="M344" i="1" s="1"/>
  <c r="F344" i="1"/>
  <c r="N344" i="1" s="1"/>
  <c r="J345" i="1" s="1"/>
  <c r="J297" i="8"/>
  <c r="BB42" i="8"/>
  <c r="BE42" i="8" s="1"/>
  <c r="AW42" i="8"/>
  <c r="BC42" i="8" s="1"/>
  <c r="AD345" i="1" l="1"/>
  <c r="D345" i="1"/>
  <c r="E345" i="1" s="1"/>
  <c r="G345" i="1" s="1"/>
  <c r="F345" i="1" s="1"/>
  <c r="C345" i="1"/>
  <c r="H345" i="1"/>
  <c r="K345" i="1"/>
  <c r="B345" i="1"/>
  <c r="I345" i="1"/>
  <c r="K297" i="8"/>
  <c r="L297" i="8" s="1"/>
  <c r="BA43" i="8"/>
  <c r="AY43" i="8"/>
  <c r="AU43" i="8"/>
  <c r="AV43" i="8"/>
  <c r="AX43" i="8" s="1"/>
  <c r="L345" i="1" l="1"/>
  <c r="M345" i="1" s="1"/>
  <c r="N345" i="1" s="1"/>
  <c r="K346" i="1" s="1"/>
  <c r="O297" i="8"/>
  <c r="D298" i="8"/>
  <c r="F298" i="8" s="1"/>
  <c r="E298" i="8" s="1"/>
  <c r="I298" i="8"/>
  <c r="G298" i="8"/>
  <c r="H298" i="8"/>
  <c r="C298" i="8"/>
  <c r="BB43" i="8"/>
  <c r="BE43" i="8" s="1"/>
  <c r="AW43" i="8"/>
  <c r="BC43" i="8" s="1"/>
  <c r="J298" i="8" l="1"/>
  <c r="AD346" i="1"/>
  <c r="I346" i="1"/>
  <c r="B346" i="1"/>
  <c r="D346" i="1"/>
  <c r="E346" i="1" s="1"/>
  <c r="G346" i="1" s="1"/>
  <c r="F346" i="1" s="1"/>
  <c r="J346" i="1"/>
  <c r="H346" i="1"/>
  <c r="C346" i="1"/>
  <c r="K298" i="8"/>
  <c r="AV44" i="8"/>
  <c r="AX44" i="8" s="1"/>
  <c r="AY44" i="8"/>
  <c r="AU44" i="8"/>
  <c r="BA44" i="8"/>
  <c r="O298" i="8" l="1"/>
  <c r="L298" i="8"/>
  <c r="C299" i="8" s="1"/>
  <c r="L346" i="1"/>
  <c r="M346" i="1" s="1"/>
  <c r="N346" i="1" s="1"/>
  <c r="AD347" i="1" s="1"/>
  <c r="BB44" i="8"/>
  <c r="BE44" i="8" s="1"/>
  <c r="AW44" i="8"/>
  <c r="BC44" i="8" s="1"/>
  <c r="G299" i="8" l="1"/>
  <c r="I299" i="8"/>
  <c r="D299" i="8"/>
  <c r="F299" i="8" s="1"/>
  <c r="H299" i="8"/>
  <c r="J347" i="1"/>
  <c r="C347" i="1"/>
  <c r="B347" i="1"/>
  <c r="I347" i="1"/>
  <c r="D347" i="1"/>
  <c r="E347" i="1" s="1"/>
  <c r="G347" i="1" s="1"/>
  <c r="F347" i="1" s="1"/>
  <c r="K347" i="1"/>
  <c r="H347" i="1"/>
  <c r="E299" i="8"/>
  <c r="L299" i="8" s="1"/>
  <c r="J299" i="8"/>
  <c r="AU45" i="8"/>
  <c r="AY45" i="8"/>
  <c r="BA45" i="8"/>
  <c r="AV45" i="8"/>
  <c r="AX45" i="8" s="1"/>
  <c r="BB45" i="8" s="1"/>
  <c r="BE45" i="8" s="1"/>
  <c r="K299" i="8" l="1"/>
  <c r="O299" i="8" s="1"/>
  <c r="L347" i="1"/>
  <c r="M347" i="1" s="1"/>
  <c r="N347" i="1" s="1"/>
  <c r="AD348" i="1" s="1"/>
  <c r="D300" i="8"/>
  <c r="F300" i="8" s="1"/>
  <c r="I300" i="8"/>
  <c r="H300" i="8"/>
  <c r="C300" i="8"/>
  <c r="G300" i="8"/>
  <c r="E300" i="8"/>
  <c r="L300" i="8" s="1"/>
  <c r="AW45" i="8"/>
  <c r="BC45" i="8" s="1"/>
  <c r="J300" i="8" l="1"/>
  <c r="B348" i="1"/>
  <c r="H348" i="1"/>
  <c r="J348" i="1"/>
  <c r="I348" i="1"/>
  <c r="K348" i="1"/>
  <c r="D348" i="1"/>
  <c r="E348" i="1" s="1"/>
  <c r="G348" i="1" s="1"/>
  <c r="C348" i="1"/>
  <c r="D301" i="8"/>
  <c r="F301" i="8" s="1"/>
  <c r="E301" i="8" s="1"/>
  <c r="I301" i="8"/>
  <c r="H301" i="8"/>
  <c r="G301" i="8"/>
  <c r="C301" i="8"/>
  <c r="BA46" i="8"/>
  <c r="AU46" i="8"/>
  <c r="AY46" i="8"/>
  <c r="AV46" i="8"/>
  <c r="AX46" i="8" s="1"/>
  <c r="K300" i="8" l="1"/>
  <c r="O300" i="8" s="1"/>
  <c r="F348" i="1"/>
  <c r="L348" i="1"/>
  <c r="M348" i="1" s="1"/>
  <c r="N348" i="1" s="1"/>
  <c r="J301" i="8"/>
  <c r="BB46" i="8"/>
  <c r="BE46" i="8" s="1"/>
  <c r="AW46" i="8"/>
  <c r="BC46" i="8" s="1"/>
  <c r="AD349" i="1" l="1"/>
  <c r="I349" i="1"/>
  <c r="B349" i="1"/>
  <c r="D349" i="1"/>
  <c r="E349" i="1" s="1"/>
  <c r="G349" i="1" s="1"/>
  <c r="H349" i="1"/>
  <c r="K349" i="1"/>
  <c r="J349" i="1"/>
  <c r="C349" i="1"/>
  <c r="K301" i="8"/>
  <c r="L301" i="8" s="1"/>
  <c r="AY47" i="8"/>
  <c r="AV47" i="8"/>
  <c r="BA47" i="8"/>
  <c r="AX47" i="8"/>
  <c r="AU47" i="8"/>
  <c r="F349" i="1" l="1"/>
  <c r="L349" i="1"/>
  <c r="M349" i="1" s="1"/>
  <c r="O301" i="8"/>
  <c r="H302" i="8"/>
  <c r="C302" i="8"/>
  <c r="I302" i="8"/>
  <c r="G302" i="8"/>
  <c r="D302" i="8"/>
  <c r="F302" i="8" s="1"/>
  <c r="E302" i="8" s="1"/>
  <c r="BB47" i="8"/>
  <c r="BE47" i="8" s="1"/>
  <c r="AW47" i="8"/>
  <c r="BC47" i="8" s="1"/>
  <c r="N349" i="1" l="1"/>
  <c r="J302" i="8"/>
  <c r="BA48" i="8"/>
  <c r="AY48" i="8"/>
  <c r="AU48" i="8"/>
  <c r="AV48" i="8"/>
  <c r="AX48" i="8" s="1"/>
  <c r="AD350" i="1" l="1"/>
  <c r="K350" i="1"/>
  <c r="C350" i="1"/>
  <c r="H350" i="1"/>
  <c r="J350" i="1"/>
  <c r="B350" i="1"/>
  <c r="I350" i="1"/>
  <c r="D350" i="1"/>
  <c r="E350" i="1" s="1"/>
  <c r="G350" i="1" s="1"/>
  <c r="F350" i="1" s="1"/>
  <c r="K302" i="8"/>
  <c r="L302" i="8" s="1"/>
  <c r="BB48" i="8"/>
  <c r="BE48" i="8" s="1"/>
  <c r="AW48" i="8"/>
  <c r="BC48" i="8" s="1"/>
  <c r="L350" i="1" l="1"/>
  <c r="M350" i="1" s="1"/>
  <c r="N350" i="1" s="1"/>
  <c r="O302" i="8"/>
  <c r="H303" i="8"/>
  <c r="I303" i="8"/>
  <c r="G303" i="8"/>
  <c r="D303" i="8"/>
  <c r="F303" i="8" s="1"/>
  <c r="E303" i="8" s="1"/>
  <c r="L303" i="8" s="1"/>
  <c r="C303" i="8"/>
  <c r="BA49" i="8"/>
  <c r="AV49" i="8"/>
  <c r="AX49" i="8" s="1"/>
  <c r="AY49" i="8"/>
  <c r="AU49" i="8"/>
  <c r="AD351" i="1" l="1"/>
  <c r="I351" i="1"/>
  <c r="H351" i="1"/>
  <c r="C351" i="1"/>
  <c r="D351" i="1"/>
  <c r="E351" i="1" s="1"/>
  <c r="G351" i="1" s="1"/>
  <c r="F351" i="1" s="1"/>
  <c r="J351" i="1"/>
  <c r="B351" i="1"/>
  <c r="K351" i="1"/>
  <c r="J303" i="8"/>
  <c r="D304" i="8"/>
  <c r="F304" i="8" s="1"/>
  <c r="E304" i="8" s="1"/>
  <c r="L304" i="8" s="1"/>
  <c r="C304" i="8"/>
  <c r="I304" i="8"/>
  <c r="H304" i="8"/>
  <c r="G304" i="8"/>
  <c r="BB49" i="8"/>
  <c r="BE49" i="8" s="1"/>
  <c r="AW49" i="8"/>
  <c r="BC49" i="8" s="1"/>
  <c r="K303" i="8" l="1"/>
  <c r="O303" i="8" s="1"/>
  <c r="L351" i="1"/>
  <c r="M351" i="1" s="1"/>
  <c r="N351" i="1" s="1"/>
  <c r="J304" i="8"/>
  <c r="C305" i="8"/>
  <c r="D305" i="8"/>
  <c r="F305" i="8" s="1"/>
  <c r="E305" i="8" s="1"/>
  <c r="L305" i="8" s="1"/>
  <c r="I305" i="8"/>
  <c r="H305" i="8"/>
  <c r="G305" i="8"/>
  <c r="AV50" i="8"/>
  <c r="AU50" i="8"/>
  <c r="AX50" i="8"/>
  <c r="BA50" i="8"/>
  <c r="AY50" i="8"/>
  <c r="AW50" i="8"/>
  <c r="BC50" i="8" s="1"/>
  <c r="K304" i="8" l="1"/>
  <c r="O304" i="8" s="1"/>
  <c r="AD352" i="1"/>
  <c r="C352" i="1"/>
  <c r="K352" i="1"/>
  <c r="B352" i="1"/>
  <c r="J352" i="1"/>
  <c r="I352" i="1"/>
  <c r="D352" i="1"/>
  <c r="E352" i="1" s="1"/>
  <c r="G352" i="1" s="1"/>
  <c r="H352" i="1"/>
  <c r="J305" i="8"/>
  <c r="C306" i="8"/>
  <c r="H306" i="8"/>
  <c r="D306" i="8"/>
  <c r="F306" i="8" s="1"/>
  <c r="I306" i="8"/>
  <c r="G306" i="8"/>
  <c r="BB50" i="8"/>
  <c r="BE50" i="8" s="1"/>
  <c r="AV51" i="8"/>
  <c r="BA51" i="8"/>
  <c r="AX51" i="8"/>
  <c r="AU51" i="8"/>
  <c r="AY51" i="8"/>
  <c r="K305" i="8" l="1"/>
  <c r="O305" i="8" s="1"/>
  <c r="J306" i="8"/>
  <c r="K306" i="8" s="1"/>
  <c r="E306" i="8"/>
  <c r="L306" i="8" s="1"/>
  <c r="F307" i="8" s="1"/>
  <c r="E307" i="8" s="1"/>
  <c r="L307" i="8" s="1"/>
  <c r="L352" i="1"/>
  <c r="M352" i="1" s="1"/>
  <c r="F352" i="1"/>
  <c r="BB51" i="8"/>
  <c r="BE51" i="8" s="1"/>
  <c r="AW51" i="8"/>
  <c r="BC51" i="8" s="1"/>
  <c r="G307" i="8" l="1"/>
  <c r="H307" i="8"/>
  <c r="D307" i="8"/>
  <c r="O306" i="8"/>
  <c r="N352" i="1"/>
  <c r="K353" i="1" s="1"/>
  <c r="I307" i="8"/>
  <c r="J307" i="8" s="1"/>
  <c r="C307" i="8"/>
  <c r="C308" i="8" s="1"/>
  <c r="I308" i="8"/>
  <c r="D308" i="8"/>
  <c r="F308" i="8" s="1"/>
  <c r="E308" i="8" s="1"/>
  <c r="L308" i="8" s="1"/>
  <c r="G308" i="8"/>
  <c r="H308" i="8"/>
  <c r="AY52" i="8"/>
  <c r="AV52" i="8"/>
  <c r="AX52" i="8" s="1"/>
  <c r="AU52" i="8"/>
  <c r="BA52" i="8"/>
  <c r="H353" i="1" l="1"/>
  <c r="I353" i="1"/>
  <c r="B353" i="1"/>
  <c r="J353" i="1"/>
  <c r="AD353" i="1"/>
  <c r="D353" i="1"/>
  <c r="E353" i="1" s="1"/>
  <c r="G353" i="1" s="1"/>
  <c r="F353" i="1" s="1"/>
  <c r="C353" i="1"/>
  <c r="K307" i="8"/>
  <c r="O307" i="8" s="1"/>
  <c r="J308" i="8"/>
  <c r="C309" i="8"/>
  <c r="D309" i="8"/>
  <c r="F309" i="8" s="1"/>
  <c r="E309" i="8" s="1"/>
  <c r="L309" i="8" s="1"/>
  <c r="G309" i="8"/>
  <c r="H309" i="8"/>
  <c r="I309" i="8"/>
  <c r="BB52" i="8"/>
  <c r="BE52" i="8" s="1"/>
  <c r="AW52" i="8"/>
  <c r="BC52" i="8" s="1"/>
  <c r="L353" i="1" l="1"/>
  <c r="M353" i="1" s="1"/>
  <c r="N353" i="1" s="1"/>
  <c r="J354" i="1" s="1"/>
  <c r="K308" i="8"/>
  <c r="O308" i="8" s="1"/>
  <c r="J309" i="8"/>
  <c r="K309" i="8" s="1"/>
  <c r="G310" i="8"/>
  <c r="C310" i="8"/>
  <c r="I310" i="8"/>
  <c r="H310" i="8"/>
  <c r="D310" i="8"/>
  <c r="F310" i="8" s="1"/>
  <c r="E310" i="8" s="1"/>
  <c r="L310" i="8" s="1"/>
  <c r="AY53" i="8"/>
  <c r="BA53" i="8"/>
  <c r="AV53" i="8"/>
  <c r="AX53" i="8" s="1"/>
  <c r="AU53" i="8"/>
  <c r="C354" i="1" l="1"/>
  <c r="B354" i="1"/>
  <c r="D354" i="1"/>
  <c r="E354" i="1" s="1"/>
  <c r="G354" i="1" s="1"/>
  <c r="I354" i="1"/>
  <c r="K354" i="1"/>
  <c r="AD354" i="1"/>
  <c r="H354" i="1"/>
  <c r="O309" i="8"/>
  <c r="F354" i="1"/>
  <c r="N354" i="1" s="1"/>
  <c r="J310" i="8"/>
  <c r="D311" i="8"/>
  <c r="F311" i="8" s="1"/>
  <c r="E311" i="8" s="1"/>
  <c r="G311" i="8"/>
  <c r="H311" i="8"/>
  <c r="C311" i="8"/>
  <c r="I311" i="8"/>
  <c r="BB53" i="8"/>
  <c r="BE53" i="8" s="1"/>
  <c r="AW53" i="8"/>
  <c r="BC53" i="8" s="1"/>
  <c r="L354" i="1" l="1"/>
  <c r="M354" i="1" s="1"/>
  <c r="K310" i="8"/>
  <c r="O310" i="8" s="1"/>
  <c r="AD355" i="1"/>
  <c r="K355" i="1"/>
  <c r="D355" i="1"/>
  <c r="E355" i="1" s="1"/>
  <c r="G355" i="1" s="1"/>
  <c r="H355" i="1"/>
  <c r="C355" i="1"/>
  <c r="B355" i="1"/>
  <c r="J355" i="1"/>
  <c r="I355" i="1"/>
  <c r="F355" i="1"/>
  <c r="J311" i="8"/>
  <c r="AV54" i="8"/>
  <c r="AX54" i="8" s="1"/>
  <c r="AY54" i="8"/>
  <c r="AU54" i="8"/>
  <c r="BA54" i="8"/>
  <c r="L355" i="1" l="1"/>
  <c r="M355" i="1" s="1"/>
  <c r="N355" i="1" s="1"/>
  <c r="K311" i="8"/>
  <c r="L311" i="8" s="1"/>
  <c r="BB54" i="8"/>
  <c r="BE54" i="8" s="1"/>
  <c r="AW54" i="8"/>
  <c r="BC54" i="8" s="1"/>
  <c r="AD356" i="1" l="1"/>
  <c r="H356" i="1"/>
  <c r="C356" i="1"/>
  <c r="J356" i="1"/>
  <c r="D356" i="1"/>
  <c r="E356" i="1" s="1"/>
  <c r="G356" i="1" s="1"/>
  <c r="F356" i="1" s="1"/>
  <c r="B356" i="1"/>
  <c r="I356" i="1"/>
  <c r="K356" i="1"/>
  <c r="O311" i="8"/>
  <c r="G312" i="8"/>
  <c r="H312" i="8"/>
  <c r="C312" i="8"/>
  <c r="I312" i="8"/>
  <c r="D312" i="8"/>
  <c r="F312" i="8" s="1"/>
  <c r="E312" i="8" s="1"/>
  <c r="AY55" i="8"/>
  <c r="AV55" i="8"/>
  <c r="AX55" i="8" s="1"/>
  <c r="AU55" i="8"/>
  <c r="BA55" i="8"/>
  <c r="L356" i="1" l="1"/>
  <c r="M356" i="1" s="1"/>
  <c r="N356" i="1" s="1"/>
  <c r="AD357" i="1" s="1"/>
  <c r="J312" i="8"/>
  <c r="BB55" i="8"/>
  <c r="BE55" i="8" s="1"/>
  <c r="AW55" i="8"/>
  <c r="BC55" i="8" s="1"/>
  <c r="J357" i="1" l="1"/>
  <c r="H357" i="1"/>
  <c r="D357" i="1"/>
  <c r="E357" i="1" s="1"/>
  <c r="G357" i="1" s="1"/>
  <c r="F357" i="1" s="1"/>
  <c r="C357" i="1"/>
  <c r="K357" i="1"/>
  <c r="I357" i="1"/>
  <c r="B357" i="1"/>
  <c r="K312" i="8"/>
  <c r="L312" i="8" s="1"/>
  <c r="AV56" i="8"/>
  <c r="AY56" i="8"/>
  <c r="AX56" i="8"/>
  <c r="AW56" i="8" s="1"/>
  <c r="BC56" i="8" s="1"/>
  <c r="AU56" i="8"/>
  <c r="BA56" i="8"/>
  <c r="O312" i="8" l="1"/>
  <c r="L357" i="1"/>
  <c r="M357" i="1" s="1"/>
  <c r="N357" i="1" s="1"/>
  <c r="AD358" i="1" s="1"/>
  <c r="G313" i="8"/>
  <c r="I313" i="8"/>
  <c r="H313" i="8"/>
  <c r="C313" i="8"/>
  <c r="D313" i="8"/>
  <c r="F313" i="8" s="1"/>
  <c r="E313" i="8" s="1"/>
  <c r="BB56" i="8"/>
  <c r="BE56" i="8" s="1"/>
  <c r="BA57" i="8"/>
  <c r="AY57" i="8"/>
  <c r="AU57" i="8"/>
  <c r="AV57" i="8"/>
  <c r="AX57" i="8" s="1"/>
  <c r="J313" i="8" l="1"/>
  <c r="K313" i="8"/>
  <c r="J358" i="1"/>
  <c r="B358" i="1"/>
  <c r="C358" i="1"/>
  <c r="K358" i="1"/>
  <c r="I358" i="1"/>
  <c r="D358" i="1"/>
  <c r="E358" i="1" s="1"/>
  <c r="G358" i="1" s="1"/>
  <c r="H358" i="1"/>
  <c r="L313" i="8"/>
  <c r="BB57" i="8"/>
  <c r="BE57" i="8" s="1"/>
  <c r="AW57" i="8"/>
  <c r="BC57" i="8" s="1"/>
  <c r="O313" i="8" l="1"/>
  <c r="C314" i="8"/>
  <c r="H314" i="8"/>
  <c r="I314" i="8"/>
  <c r="G314" i="8"/>
  <c r="D314" i="8"/>
  <c r="F314" i="8" s="1"/>
  <c r="E314" i="8" s="1"/>
  <c r="L314" i="8" s="1"/>
  <c r="F358" i="1"/>
  <c r="L358" i="1"/>
  <c r="M358" i="1" s="1"/>
  <c r="AV58" i="8"/>
  <c r="AY58" i="8"/>
  <c r="AX58" i="8"/>
  <c r="AU58" i="8"/>
  <c r="BA58" i="8"/>
  <c r="J314" i="8" l="1"/>
  <c r="G315" i="8"/>
  <c r="H315" i="8"/>
  <c r="D315" i="8"/>
  <c r="F315" i="8" s="1"/>
  <c r="E315" i="8" s="1"/>
  <c r="L315" i="8" s="1"/>
  <c r="I315" i="8"/>
  <c r="C315" i="8"/>
  <c r="N358" i="1"/>
  <c r="AD359" i="1" s="1"/>
  <c r="BB58" i="8"/>
  <c r="BE58" i="8" s="1"/>
  <c r="AW58" i="8"/>
  <c r="BC58" i="8" s="1"/>
  <c r="K314" i="8" l="1"/>
  <c r="O314" i="8" s="1"/>
  <c r="J315" i="8"/>
  <c r="J359" i="1"/>
  <c r="H359" i="1"/>
  <c r="D359" i="1"/>
  <c r="E359" i="1" s="1"/>
  <c r="G359" i="1" s="1"/>
  <c r="C359" i="1"/>
  <c r="B359" i="1"/>
  <c r="K359" i="1"/>
  <c r="I359" i="1"/>
  <c r="D316" i="8"/>
  <c r="F316" i="8" s="1"/>
  <c r="E316" i="8" s="1"/>
  <c r="L316" i="8" s="1"/>
  <c r="G316" i="8"/>
  <c r="C316" i="8"/>
  <c r="H316" i="8"/>
  <c r="I316" i="8"/>
  <c r="AV59" i="8"/>
  <c r="AX59" i="8"/>
  <c r="AY59" i="8"/>
  <c r="BA59" i="8"/>
  <c r="AU59" i="8"/>
  <c r="K315" i="8" l="1"/>
  <c r="O315" i="8" s="1"/>
  <c r="J316" i="8"/>
  <c r="F359" i="1"/>
  <c r="L359" i="1"/>
  <c r="M359" i="1" s="1"/>
  <c r="H317" i="8"/>
  <c r="C317" i="8"/>
  <c r="G317" i="8"/>
  <c r="D317" i="8"/>
  <c r="F317" i="8" s="1"/>
  <c r="E317" i="8" s="1"/>
  <c r="L317" i="8" s="1"/>
  <c r="I317" i="8"/>
  <c r="BB59" i="8"/>
  <c r="BE59" i="8" s="1"/>
  <c r="AW59" i="8"/>
  <c r="BC59" i="8" s="1"/>
  <c r="K316" i="8" l="1"/>
  <c r="O316" i="8" s="1"/>
  <c r="N359" i="1"/>
  <c r="AD360" i="1" s="1"/>
  <c r="G318" i="8"/>
  <c r="I318" i="8"/>
  <c r="C318" i="8"/>
  <c r="H318" i="8"/>
  <c r="D318" i="8"/>
  <c r="F318" i="8" s="1"/>
  <c r="E318" i="8" s="1"/>
  <c r="L318" i="8" s="1"/>
  <c r="J317" i="8"/>
  <c r="AV60" i="8"/>
  <c r="AX60" i="8" s="1"/>
  <c r="AW60" i="8" s="1"/>
  <c r="BC60" i="8" s="1"/>
  <c r="BA60" i="8"/>
  <c r="AY60" i="8"/>
  <c r="AU60" i="8"/>
  <c r="K317" i="8" l="1"/>
  <c r="O317" i="8" s="1"/>
  <c r="D360" i="1"/>
  <c r="E360" i="1" s="1"/>
  <c r="G360" i="1" s="1"/>
  <c r="J360" i="1"/>
  <c r="B360" i="1"/>
  <c r="I360" i="1"/>
  <c r="C360" i="1"/>
  <c r="H360" i="1"/>
  <c r="K360" i="1"/>
  <c r="J318" i="8"/>
  <c r="C319" i="8"/>
  <c r="G319" i="8"/>
  <c r="H319" i="8"/>
  <c r="I319" i="8"/>
  <c r="D319" i="8"/>
  <c r="F319" i="8" s="1"/>
  <c r="E319" i="8" s="1"/>
  <c r="F360" i="1"/>
  <c r="BB60" i="8"/>
  <c r="BE60" i="8" s="1"/>
  <c r="AV61" i="8"/>
  <c r="AX61" i="8" s="1"/>
  <c r="BA61" i="8"/>
  <c r="AY61" i="8"/>
  <c r="AU61" i="8"/>
  <c r="K318" i="8" l="1"/>
  <c r="O318" i="8" s="1"/>
  <c r="L360" i="1"/>
  <c r="M360" i="1" s="1"/>
  <c r="J319" i="8"/>
  <c r="K319" i="8" s="1"/>
  <c r="N360" i="1"/>
  <c r="AD361" i="1" s="1"/>
  <c r="BB61" i="8"/>
  <c r="BE61" i="8" s="1"/>
  <c r="AW61" i="8"/>
  <c r="BC61" i="8" s="1"/>
  <c r="C361" i="1" l="1"/>
  <c r="K361" i="1"/>
  <c r="I361" i="1"/>
  <c r="H361" i="1"/>
  <c r="J361" i="1"/>
  <c r="D361" i="1"/>
  <c r="E361" i="1" s="1"/>
  <c r="G361" i="1" s="1"/>
  <c r="F361" i="1" s="1"/>
  <c r="B361" i="1"/>
  <c r="O319" i="8"/>
  <c r="L319" i="8"/>
  <c r="AV62" i="8"/>
  <c r="AX62" i="8" s="1"/>
  <c r="AY62" i="8"/>
  <c r="AU62" i="8"/>
  <c r="BA62" i="8"/>
  <c r="D320" i="8" l="1"/>
  <c r="F320" i="8" s="1"/>
  <c r="E320" i="8" s="1"/>
  <c r="L320" i="8" s="1"/>
  <c r="I321" i="8" s="1"/>
  <c r="L361" i="1"/>
  <c r="M361" i="1" s="1"/>
  <c r="N361" i="1" s="1"/>
  <c r="G320" i="8"/>
  <c r="C320" i="8"/>
  <c r="H320" i="8"/>
  <c r="I320" i="8"/>
  <c r="BB62" i="8"/>
  <c r="BE62" i="8" s="1"/>
  <c r="AW62" i="8"/>
  <c r="BC62" i="8" s="1"/>
  <c r="D321" i="8" l="1"/>
  <c r="F321" i="8" s="1"/>
  <c r="E321" i="8" s="1"/>
  <c r="H321" i="8"/>
  <c r="C321" i="8"/>
  <c r="G321" i="8"/>
  <c r="J320" i="8"/>
  <c r="K320" i="8" s="1"/>
  <c r="AD362" i="1"/>
  <c r="B362" i="1"/>
  <c r="I362" i="1"/>
  <c r="J362" i="1"/>
  <c r="H362" i="1"/>
  <c r="D362" i="1"/>
  <c r="E362" i="1" s="1"/>
  <c r="G362" i="1" s="1"/>
  <c r="F362" i="1" s="1"/>
  <c r="C362" i="1"/>
  <c r="K362" i="1"/>
  <c r="J321" i="8"/>
  <c r="AY63" i="8"/>
  <c r="AV63" i="8"/>
  <c r="AX63" i="8" s="1"/>
  <c r="AU63" i="8"/>
  <c r="BA63" i="8"/>
  <c r="K321" i="8" l="1"/>
  <c r="O321" i="8" s="1"/>
  <c r="O320" i="8"/>
  <c r="L362" i="1"/>
  <c r="M362" i="1" s="1"/>
  <c r="N362" i="1" s="1"/>
  <c r="AD363" i="1" s="1"/>
  <c r="L321" i="8"/>
  <c r="BB63" i="8"/>
  <c r="BE63" i="8" s="1"/>
  <c r="AW63" i="8"/>
  <c r="BC63" i="8" s="1"/>
  <c r="H363" i="1" l="1"/>
  <c r="D363" i="1"/>
  <c r="E363" i="1" s="1"/>
  <c r="G363" i="1" s="1"/>
  <c r="J363" i="1"/>
  <c r="B363" i="1"/>
  <c r="K363" i="1"/>
  <c r="C363" i="1"/>
  <c r="I363" i="1"/>
  <c r="G322" i="8"/>
  <c r="D322" i="8"/>
  <c r="F322" i="8" s="1"/>
  <c r="E322" i="8" s="1"/>
  <c r="L322" i="8" s="1"/>
  <c r="H322" i="8"/>
  <c r="I322" i="8"/>
  <c r="C322" i="8"/>
  <c r="F363" i="1"/>
  <c r="AU64" i="8"/>
  <c r="AV64" i="8"/>
  <c r="AX64" i="8"/>
  <c r="AW64" i="8" s="1"/>
  <c r="BC64" i="8" s="1"/>
  <c r="AY64" i="8"/>
  <c r="BA64" i="8"/>
  <c r="L363" i="1" l="1"/>
  <c r="M363" i="1" s="1"/>
  <c r="J322" i="8"/>
  <c r="K322" i="8" s="1"/>
  <c r="N363" i="1"/>
  <c r="AD364" i="1" s="1"/>
  <c r="I323" i="8"/>
  <c r="G323" i="8"/>
  <c r="H323" i="8"/>
  <c r="C323" i="8"/>
  <c r="D323" i="8"/>
  <c r="F323" i="8" s="1"/>
  <c r="E323" i="8" s="1"/>
  <c r="L323" i="8" s="1"/>
  <c r="BB64" i="8"/>
  <c r="BE64" i="8" s="1"/>
  <c r="AV65" i="8"/>
  <c r="AX65" i="8" s="1"/>
  <c r="AW65" i="8" s="1"/>
  <c r="BC65" i="8" s="1"/>
  <c r="AU65" i="8"/>
  <c r="AY65" i="8"/>
  <c r="BA65" i="8"/>
  <c r="O322" i="8" l="1"/>
  <c r="D324" i="8"/>
  <c r="F324" i="8" s="1"/>
  <c r="C324" i="8"/>
  <c r="H324" i="8"/>
  <c r="G324" i="8"/>
  <c r="I324" i="8"/>
  <c r="J323" i="8"/>
  <c r="K323" i="8" s="1"/>
  <c r="C364" i="1"/>
  <c r="B364" i="1"/>
  <c r="D364" i="1"/>
  <c r="E364" i="1" s="1"/>
  <c r="G364" i="1" s="1"/>
  <c r="H364" i="1"/>
  <c r="I364" i="1"/>
  <c r="K364" i="1"/>
  <c r="J364" i="1"/>
  <c r="BB65" i="8"/>
  <c r="BE65" i="8" s="1"/>
  <c r="BA66" i="8"/>
  <c r="AV66" i="8"/>
  <c r="AU66" i="8"/>
  <c r="AY66" i="8"/>
  <c r="AX66" i="8"/>
  <c r="O323" i="8" l="1"/>
  <c r="E324" i="8"/>
  <c r="L324" i="8" s="1"/>
  <c r="J324" i="8"/>
  <c r="K324" i="8" s="1"/>
  <c r="F364" i="1"/>
  <c r="L364" i="1"/>
  <c r="M364" i="1" s="1"/>
  <c r="BB66" i="8"/>
  <c r="BE66" i="8" s="1"/>
  <c r="AW66" i="8"/>
  <c r="BC66" i="8" s="1"/>
  <c r="O324" i="8" l="1"/>
  <c r="N364" i="1"/>
  <c r="AD365" i="1" s="1"/>
  <c r="O21" i="8"/>
  <c r="E20" i="8"/>
  <c r="E83" i="1" s="1"/>
  <c r="AY67" i="8"/>
  <c r="AV67" i="8"/>
  <c r="AX67" i="8" s="1"/>
  <c r="AU67" i="8"/>
  <c r="BA67" i="8"/>
  <c r="I365" i="1" l="1"/>
  <c r="D365" i="1"/>
  <c r="E365" i="1" s="1"/>
  <c r="G365" i="1" s="1"/>
  <c r="F365" i="1" s="1"/>
  <c r="C365" i="1"/>
  <c r="J365" i="1"/>
  <c r="K365" i="1"/>
  <c r="B365" i="1"/>
  <c r="H365" i="1"/>
  <c r="BB67" i="8"/>
  <c r="BE67" i="8" s="1"/>
  <c r="AW67" i="8"/>
  <c r="BC67" i="8" s="1"/>
  <c r="L365" i="1" l="1"/>
  <c r="M365" i="1" s="1"/>
  <c r="N365" i="1"/>
  <c r="AD366" i="1" s="1"/>
  <c r="BA68" i="8"/>
  <c r="AV68" i="8"/>
  <c r="AX68" i="8" s="1"/>
  <c r="AY68" i="8"/>
  <c r="AU68" i="8"/>
  <c r="J366" i="1" l="1"/>
  <c r="C366" i="1"/>
  <c r="K366" i="1"/>
  <c r="B366" i="1"/>
  <c r="D366" i="1"/>
  <c r="E366" i="1" s="1"/>
  <c r="G366" i="1" s="1"/>
  <c r="H366" i="1"/>
  <c r="I366" i="1"/>
  <c r="BB68" i="8"/>
  <c r="BE68" i="8" s="1"/>
  <c r="AW68" i="8"/>
  <c r="BC68" i="8" s="1"/>
  <c r="F366" i="1" l="1"/>
  <c r="L366" i="1"/>
  <c r="M366" i="1" s="1"/>
  <c r="BA69" i="8"/>
  <c r="AY69" i="8"/>
  <c r="AV69" i="8"/>
  <c r="AX69" i="8" s="1"/>
  <c r="AU69" i="8"/>
  <c r="N366" i="1" l="1"/>
  <c r="AD367" i="1" s="1"/>
  <c r="BB69" i="8"/>
  <c r="BE69" i="8" s="1"/>
  <c r="AW69" i="8"/>
  <c r="BC69" i="8" s="1"/>
  <c r="B367" i="1" l="1"/>
  <c r="K367" i="1"/>
  <c r="H367" i="1"/>
  <c r="I367" i="1"/>
  <c r="C367" i="1"/>
  <c r="D367" i="1"/>
  <c r="E367" i="1" s="1"/>
  <c r="G367" i="1" s="1"/>
  <c r="J367" i="1"/>
  <c r="AV70" i="8"/>
  <c r="BA70" i="8"/>
  <c r="AU70" i="8"/>
  <c r="AY70" i="8"/>
  <c r="AX70" i="8"/>
  <c r="L367" i="1" l="1"/>
  <c r="M367" i="1" s="1"/>
  <c r="F367" i="1"/>
  <c r="N367" i="1" s="1"/>
  <c r="AD368" i="1" s="1"/>
  <c r="BB70" i="8"/>
  <c r="BE70" i="8" s="1"/>
  <c r="AW70" i="8"/>
  <c r="BC70" i="8" s="1"/>
  <c r="J368" i="1" l="1"/>
  <c r="K368" i="1"/>
  <c r="B368" i="1"/>
  <c r="C368" i="1"/>
  <c r="D368" i="1"/>
  <c r="E368" i="1" s="1"/>
  <c r="G368" i="1" s="1"/>
  <c r="F368" i="1" s="1"/>
  <c r="H368" i="1"/>
  <c r="I368" i="1"/>
  <c r="AU71" i="8"/>
  <c r="AV71" i="8"/>
  <c r="AX71" i="8"/>
  <c r="AW71" i="8" s="1"/>
  <c r="BC71" i="8" s="1"/>
  <c r="BA71" i="8"/>
  <c r="AY71" i="8"/>
  <c r="BB71" i="8" s="1"/>
  <c r="BE71" i="8" s="1"/>
  <c r="L368" i="1" l="1"/>
  <c r="M368" i="1" s="1"/>
  <c r="N368" i="1" s="1"/>
  <c r="AD369" i="1" s="1"/>
  <c r="AY72" i="8"/>
  <c r="AU72" i="8"/>
  <c r="BA72" i="8"/>
  <c r="AV72" i="8"/>
  <c r="AX72" i="8" s="1"/>
  <c r="I369" i="1" l="1"/>
  <c r="J369" i="1"/>
  <c r="K369" i="1"/>
  <c r="H369" i="1"/>
  <c r="C369" i="1"/>
  <c r="D369" i="1"/>
  <c r="E369" i="1" s="1"/>
  <c r="G369" i="1" s="1"/>
  <c r="B369" i="1"/>
  <c r="AW72" i="8"/>
  <c r="BC72" i="8" s="1"/>
  <c r="BB72" i="8"/>
  <c r="BE72" i="8" s="1"/>
  <c r="F369" i="1" l="1"/>
  <c r="L369" i="1"/>
  <c r="M369" i="1" s="1"/>
  <c r="AY73" i="8"/>
  <c r="BA73" i="8"/>
  <c r="AU73" i="8"/>
  <c r="AV73" i="8"/>
  <c r="AX73" i="8" s="1"/>
  <c r="N369" i="1" l="1"/>
  <c r="AD370" i="1" s="1"/>
  <c r="BB73" i="8"/>
  <c r="BE73" i="8" s="1"/>
  <c r="AW73" i="8"/>
  <c r="BC73" i="8" s="1"/>
  <c r="J370" i="1" l="1"/>
  <c r="H370" i="1"/>
  <c r="C370" i="1"/>
  <c r="K370" i="1"/>
  <c r="B370" i="1"/>
  <c r="I370" i="1"/>
  <c r="D370" i="1"/>
  <c r="E370" i="1" s="1"/>
  <c r="G370" i="1" s="1"/>
  <c r="AU74" i="8"/>
  <c r="AV74" i="8"/>
  <c r="AX74" i="8"/>
  <c r="AY74" i="8"/>
  <c r="BA74" i="8"/>
  <c r="AW74" i="8"/>
  <c r="BC74" i="8" s="1"/>
  <c r="L370" i="1" l="1"/>
  <c r="M370" i="1" s="1"/>
  <c r="F370" i="1"/>
  <c r="BB74" i="8"/>
  <c r="BE74" i="8" s="1"/>
  <c r="AY75" i="8"/>
  <c r="AV75" i="8"/>
  <c r="BA75" i="8"/>
  <c r="AU75" i="8"/>
  <c r="AX75" i="8"/>
  <c r="N370" i="1" l="1"/>
  <c r="AD371" i="1" s="1"/>
  <c r="BB75" i="8"/>
  <c r="BE75" i="8" s="1"/>
  <c r="AW75" i="8"/>
  <c r="BC75" i="8" s="1"/>
  <c r="J371" i="1" l="1"/>
  <c r="K371" i="1"/>
  <c r="H371" i="1"/>
  <c r="B371" i="1"/>
  <c r="D371" i="1"/>
  <c r="E371" i="1" s="1"/>
  <c r="G371" i="1" s="1"/>
  <c r="I371" i="1"/>
  <c r="C371" i="1"/>
  <c r="F371" i="1"/>
  <c r="BA76" i="8"/>
  <c r="AU76" i="8"/>
  <c r="AV76" i="8"/>
  <c r="AX76" i="8" s="1"/>
  <c r="AY76" i="8"/>
  <c r="L371" i="1" l="1"/>
  <c r="M371" i="1" s="1"/>
  <c r="N371" i="1"/>
  <c r="AD372" i="1" s="1"/>
  <c r="BB76" i="8"/>
  <c r="BE76" i="8" s="1"/>
  <c r="AW76" i="8"/>
  <c r="BC76" i="8" s="1"/>
  <c r="J372" i="1" l="1"/>
  <c r="H372" i="1"/>
  <c r="D372" i="1"/>
  <c r="E372" i="1" s="1"/>
  <c r="G372" i="1" s="1"/>
  <c r="F372" i="1" s="1"/>
  <c r="C372" i="1"/>
  <c r="K372" i="1"/>
  <c r="B372" i="1"/>
  <c r="I372" i="1"/>
  <c r="BA77" i="8"/>
  <c r="AU77" i="8"/>
  <c r="AV77" i="8"/>
  <c r="AY77" i="8"/>
  <c r="AX77" i="8"/>
  <c r="L372" i="1" l="1"/>
  <c r="M372" i="1" s="1"/>
  <c r="N372" i="1" s="1"/>
  <c r="AD373" i="1" s="1"/>
  <c r="BB77" i="8"/>
  <c r="BE77" i="8" s="1"/>
  <c r="AW77" i="8"/>
  <c r="BC77" i="8" s="1"/>
  <c r="C373" i="1" l="1"/>
  <c r="K373" i="1"/>
  <c r="B373" i="1"/>
  <c r="I373" i="1"/>
  <c r="D373" i="1"/>
  <c r="E373" i="1" s="1"/>
  <c r="G373" i="1" s="1"/>
  <c r="H373" i="1"/>
  <c r="J373" i="1"/>
  <c r="BA78" i="8"/>
  <c r="AY78" i="8"/>
  <c r="AU78" i="8"/>
  <c r="AV78" i="8"/>
  <c r="AX78" i="8" s="1"/>
  <c r="L373" i="1" l="1"/>
  <c r="M373" i="1" s="1"/>
  <c r="F373" i="1"/>
  <c r="BB78" i="8"/>
  <c r="BE78" i="8" s="1"/>
  <c r="AW78" i="8"/>
  <c r="BC78" i="8" s="1"/>
  <c r="N373" i="1" l="1"/>
  <c r="AD374" i="1" s="1"/>
  <c r="AV79" i="8"/>
  <c r="AX79" i="8" s="1"/>
  <c r="AY79" i="8"/>
  <c r="BA79" i="8"/>
  <c r="AU79" i="8"/>
  <c r="H374" i="1" l="1"/>
  <c r="K374" i="1"/>
  <c r="B374" i="1"/>
  <c r="I374" i="1"/>
  <c r="C374" i="1"/>
  <c r="D374" i="1"/>
  <c r="E374" i="1" s="1"/>
  <c r="G374" i="1" s="1"/>
  <c r="F374" i="1" s="1"/>
  <c r="J374" i="1"/>
  <c r="BB79" i="8"/>
  <c r="BE79" i="8" s="1"/>
  <c r="AW79" i="8"/>
  <c r="BC79" i="8" s="1"/>
  <c r="L374" i="1" l="1"/>
  <c r="M374" i="1" s="1"/>
  <c r="N374" i="1" s="1"/>
  <c r="AD375" i="1" s="1"/>
  <c r="AY80" i="8"/>
  <c r="AV80" i="8"/>
  <c r="AX80" i="8" s="1"/>
  <c r="AU80" i="8"/>
  <c r="BA80" i="8"/>
  <c r="B375" i="1" l="1"/>
  <c r="I375" i="1"/>
  <c r="H375" i="1"/>
  <c r="C375" i="1"/>
  <c r="J375" i="1"/>
  <c r="K375" i="1"/>
  <c r="D375" i="1"/>
  <c r="E375" i="1" s="1"/>
  <c r="G375" i="1" s="1"/>
  <c r="F375" i="1"/>
  <c r="AW80" i="8"/>
  <c r="BC80" i="8" s="1"/>
  <c r="BB80" i="8"/>
  <c r="BE80" i="8" s="1"/>
  <c r="L375" i="1" l="1"/>
  <c r="M375" i="1" s="1"/>
  <c r="N375" i="1"/>
  <c r="AD376" i="1" s="1"/>
  <c r="AY81" i="8"/>
  <c r="AU81" i="8"/>
  <c r="AV81" i="8"/>
  <c r="BA81" i="8"/>
  <c r="AX81" i="8"/>
  <c r="AW81" i="8" s="1"/>
  <c r="BC81" i="8" s="1"/>
  <c r="H376" i="1" l="1"/>
  <c r="B376" i="1"/>
  <c r="D376" i="1"/>
  <c r="E376" i="1" s="1"/>
  <c r="G376" i="1" s="1"/>
  <c r="K376" i="1"/>
  <c r="C376" i="1"/>
  <c r="I376" i="1"/>
  <c r="J376" i="1"/>
  <c r="AV82" i="8"/>
  <c r="AX82" i="8" s="1"/>
  <c r="AW82" i="8" s="1"/>
  <c r="BC82" i="8" s="1"/>
  <c r="AY82" i="8"/>
  <c r="AU82" i="8"/>
  <c r="BA82" i="8"/>
  <c r="BB81" i="8"/>
  <c r="BE81" i="8" s="1"/>
  <c r="F376" i="1" l="1"/>
  <c r="L376" i="1"/>
  <c r="M376" i="1" s="1"/>
  <c r="BB82" i="8"/>
  <c r="BE82" i="8" s="1"/>
  <c r="AU83" i="8"/>
  <c r="BA83" i="8"/>
  <c r="AY83" i="8"/>
  <c r="AV83" i="8"/>
  <c r="AX83" i="8" s="1"/>
  <c r="N376" i="1" l="1"/>
  <c r="AD377" i="1" s="1"/>
  <c r="BB83" i="8"/>
  <c r="BE83" i="8" s="1"/>
  <c r="AW83" i="8"/>
  <c r="BC83" i="8" s="1"/>
  <c r="J377" i="1" l="1"/>
  <c r="I377" i="1"/>
  <c r="C377" i="1"/>
  <c r="D377" i="1"/>
  <c r="E377" i="1" s="1"/>
  <c r="G377" i="1" s="1"/>
  <c r="K377" i="1"/>
  <c r="H377" i="1"/>
  <c r="B377" i="1"/>
  <c r="AU84" i="8"/>
  <c r="AV84" i="8"/>
  <c r="BA84" i="8"/>
  <c r="AY84" i="8"/>
  <c r="AX84" i="8"/>
  <c r="F377" i="1" l="1"/>
  <c r="L377" i="1"/>
  <c r="M377" i="1" s="1"/>
  <c r="BB84" i="8"/>
  <c r="BE84" i="8" s="1"/>
  <c r="AW84" i="8"/>
  <c r="BC84" i="8" s="1"/>
  <c r="N377" i="1" l="1"/>
  <c r="AD378" i="1" s="1"/>
  <c r="AV85" i="8"/>
  <c r="AX85" i="8" s="1"/>
  <c r="AY85" i="8"/>
  <c r="AU85" i="8"/>
  <c r="BA85" i="8"/>
  <c r="D378" i="1" l="1"/>
  <c r="E378" i="1" s="1"/>
  <c r="G378" i="1" s="1"/>
  <c r="H378" i="1"/>
  <c r="K378" i="1"/>
  <c r="J378" i="1"/>
  <c r="I378" i="1"/>
  <c r="C378" i="1"/>
  <c r="B378" i="1"/>
  <c r="BB85" i="8"/>
  <c r="BE85" i="8" s="1"/>
  <c r="AW85" i="8"/>
  <c r="BC85" i="8" s="1"/>
  <c r="F378" i="1" l="1"/>
  <c r="L378" i="1"/>
  <c r="M378" i="1" s="1"/>
  <c r="AV86" i="8"/>
  <c r="AX86" i="8"/>
  <c r="AW86" i="8" s="1"/>
  <c r="BC86" i="8" s="1"/>
  <c r="AU86" i="8"/>
  <c r="AY86" i="8"/>
  <c r="BA86" i="8"/>
  <c r="N378" i="1" l="1"/>
  <c r="AD379" i="1" s="1"/>
  <c r="BB86" i="8"/>
  <c r="BE86" i="8" s="1"/>
  <c r="AV87" i="8"/>
  <c r="AX87" i="8"/>
  <c r="AY87" i="8"/>
  <c r="BA87" i="8"/>
  <c r="AW87" i="8"/>
  <c r="BC87" i="8" s="1"/>
  <c r="AU87" i="8"/>
  <c r="J379" i="1" l="1"/>
  <c r="C379" i="1"/>
  <c r="K379" i="1"/>
  <c r="B379" i="1"/>
  <c r="H379" i="1"/>
  <c r="I379" i="1"/>
  <c r="D379" i="1"/>
  <c r="E379" i="1" s="1"/>
  <c r="G379" i="1" s="1"/>
  <c r="BB87" i="8"/>
  <c r="BE87" i="8" s="1"/>
  <c r="BA88" i="8"/>
  <c r="AV88" i="8"/>
  <c r="AX88" i="8" s="1"/>
  <c r="AW88" i="8" s="1"/>
  <c r="BC88" i="8" s="1"/>
  <c r="AU88" i="8"/>
  <c r="AY88" i="8"/>
  <c r="F379" i="1" l="1"/>
  <c r="L379" i="1"/>
  <c r="M379" i="1" s="1"/>
  <c r="BA89" i="8"/>
  <c r="AV89" i="8"/>
  <c r="AX89" i="8" s="1"/>
  <c r="AY89" i="8"/>
  <c r="AU89" i="8"/>
  <c r="BB88" i="8"/>
  <c r="BE88" i="8" s="1"/>
  <c r="N379" i="1" l="1"/>
  <c r="AD380" i="1" s="1"/>
  <c r="BB89" i="8"/>
  <c r="BE89" i="8" s="1"/>
  <c r="AW89" i="8"/>
  <c r="BC89" i="8" s="1"/>
  <c r="K380" i="1" l="1"/>
  <c r="I380" i="1"/>
  <c r="H380" i="1"/>
  <c r="B380" i="1"/>
  <c r="D380" i="1"/>
  <c r="E380" i="1" s="1"/>
  <c r="G380" i="1" s="1"/>
  <c r="J380" i="1"/>
  <c r="C380" i="1"/>
  <c r="BA90" i="8"/>
  <c r="AV90" i="8"/>
  <c r="AX90" i="8" s="1"/>
  <c r="AU90" i="8"/>
  <c r="AY90" i="8"/>
  <c r="L380" i="1" l="1"/>
  <c r="M380" i="1" s="1"/>
  <c r="F380" i="1"/>
  <c r="N380" i="1" s="1"/>
  <c r="AD381" i="1" s="1"/>
  <c r="BB90" i="8"/>
  <c r="BE90" i="8" s="1"/>
  <c r="AW90" i="8"/>
  <c r="BC90" i="8" s="1"/>
  <c r="D381" i="1" l="1"/>
  <c r="E381" i="1" s="1"/>
  <c r="G381" i="1" s="1"/>
  <c r="C381" i="1"/>
  <c r="B381" i="1"/>
  <c r="J381" i="1"/>
  <c r="K381" i="1"/>
  <c r="I381" i="1"/>
  <c r="H381" i="1"/>
  <c r="AY91" i="8"/>
  <c r="BA91" i="8"/>
  <c r="AV91" i="8"/>
  <c r="AX91" i="8" s="1"/>
  <c r="AU91" i="8"/>
  <c r="F381" i="1" l="1"/>
  <c r="L381" i="1"/>
  <c r="M381" i="1" s="1"/>
  <c r="BB91" i="8"/>
  <c r="BE91" i="8" s="1"/>
  <c r="AW91" i="8"/>
  <c r="BC91" i="8" s="1"/>
  <c r="N381" i="1" l="1"/>
  <c r="AD382" i="1" s="1"/>
  <c r="AY92" i="8"/>
  <c r="AU92" i="8"/>
  <c r="AV92" i="8"/>
  <c r="AX92" i="8" s="1"/>
  <c r="BA92" i="8"/>
  <c r="J382" i="1" l="1"/>
  <c r="I382" i="1"/>
  <c r="B382" i="1"/>
  <c r="H382" i="1"/>
  <c r="K382" i="1"/>
  <c r="D382" i="1"/>
  <c r="E382" i="1" s="1"/>
  <c r="G382" i="1" s="1"/>
  <c r="C382" i="1"/>
  <c r="BB92" i="8"/>
  <c r="BE92" i="8" s="1"/>
  <c r="AW92" i="8"/>
  <c r="BC92" i="8" s="1"/>
  <c r="F382" i="1" l="1"/>
  <c r="L382" i="1"/>
  <c r="M382" i="1" s="1"/>
  <c r="AU93" i="8"/>
  <c r="BA93" i="8"/>
  <c r="AY93" i="8"/>
  <c r="AV93" i="8"/>
  <c r="AX93" i="8" s="1"/>
  <c r="N382" i="1" l="1"/>
  <c r="AD383" i="1" s="1"/>
  <c r="BB93" i="8"/>
  <c r="BE93" i="8" s="1"/>
  <c r="AW93" i="8"/>
  <c r="BC93" i="8" s="1"/>
  <c r="H383" i="1" l="1"/>
  <c r="D383" i="1"/>
  <c r="E383" i="1" s="1"/>
  <c r="G383" i="1" s="1"/>
  <c r="B383" i="1"/>
  <c r="J383" i="1"/>
  <c r="K383" i="1"/>
  <c r="I383" i="1"/>
  <c r="C383" i="1"/>
  <c r="AY94" i="8"/>
  <c r="BA94" i="8"/>
  <c r="AU94" i="8"/>
  <c r="AV94" i="8"/>
  <c r="AX94" i="8" s="1"/>
  <c r="F383" i="1" l="1"/>
  <c r="L383" i="1"/>
  <c r="M383" i="1" s="1"/>
  <c r="BB94" i="8"/>
  <c r="BE94" i="8" s="1"/>
  <c r="AW94" i="8"/>
  <c r="BC94" i="8" s="1"/>
  <c r="N383" i="1" l="1"/>
  <c r="AD384" i="1" s="1"/>
  <c r="BA95" i="8"/>
  <c r="AU95" i="8"/>
  <c r="AY95" i="8"/>
  <c r="AV95" i="8"/>
  <c r="AX95" i="8" s="1"/>
  <c r="I384" i="1" l="1"/>
  <c r="H384" i="1"/>
  <c r="C384" i="1"/>
  <c r="D384" i="1"/>
  <c r="E384" i="1" s="1"/>
  <c r="G384" i="1" s="1"/>
  <c r="K384" i="1"/>
  <c r="J384" i="1"/>
  <c r="B384" i="1"/>
  <c r="BB95" i="8"/>
  <c r="BE95" i="8" s="1"/>
  <c r="AW95" i="8"/>
  <c r="BC95" i="8" s="1"/>
  <c r="F384" i="1" l="1"/>
  <c r="L384" i="1"/>
  <c r="M384" i="1" s="1"/>
  <c r="AY96" i="8"/>
  <c r="AV96" i="8"/>
  <c r="AX96" i="8" s="1"/>
  <c r="AU96" i="8"/>
  <c r="BA96" i="8"/>
  <c r="N384" i="1" l="1"/>
  <c r="AD385" i="1" s="1"/>
  <c r="BB96" i="8"/>
  <c r="BE96" i="8" s="1"/>
  <c r="AW96" i="8"/>
  <c r="BC96" i="8" s="1"/>
  <c r="I385" i="1" l="1"/>
  <c r="J385" i="1"/>
  <c r="K385" i="1"/>
  <c r="C385" i="1"/>
  <c r="D385" i="1"/>
  <c r="E385" i="1" s="1"/>
  <c r="G385" i="1" s="1"/>
  <c r="F385" i="1" s="1"/>
  <c r="B385" i="1"/>
  <c r="H385" i="1"/>
  <c r="AV97" i="8"/>
  <c r="AY97" i="8"/>
  <c r="BA97" i="8"/>
  <c r="AU97" i="8"/>
  <c r="AX97" i="8"/>
  <c r="AW97" i="8" s="1"/>
  <c r="BC97" i="8" s="1"/>
  <c r="L385" i="1" l="1"/>
  <c r="M385" i="1" s="1"/>
  <c r="N385" i="1" s="1"/>
  <c r="AD386" i="1" s="1"/>
  <c r="AY98" i="8"/>
  <c r="AV98" i="8"/>
  <c r="AU98" i="8"/>
  <c r="BA98" i="8"/>
  <c r="AX98" i="8"/>
  <c r="BB97" i="8"/>
  <c r="BE97" i="8" s="1"/>
  <c r="I386" i="1" l="1"/>
  <c r="K386" i="1"/>
  <c r="C386" i="1"/>
  <c r="J386" i="1"/>
  <c r="D386" i="1"/>
  <c r="E386" i="1" s="1"/>
  <c r="G386" i="1" s="1"/>
  <c r="F386" i="1" s="1"/>
  <c r="H386" i="1"/>
  <c r="B386" i="1"/>
  <c r="BB98" i="8"/>
  <c r="BE98" i="8" s="1"/>
  <c r="AW98" i="8"/>
  <c r="BC98" i="8" s="1"/>
  <c r="L386" i="1" l="1"/>
  <c r="M386" i="1" s="1"/>
  <c r="N386" i="1" s="1"/>
  <c r="AD387" i="1" s="1"/>
  <c r="BA99" i="8"/>
  <c r="AY99" i="8"/>
  <c r="AU99" i="8"/>
  <c r="AV99" i="8"/>
  <c r="AX99" i="8" s="1"/>
  <c r="C387" i="1" l="1"/>
  <c r="Y81" i="1" s="1"/>
  <c r="O84" i="1" s="1"/>
  <c r="K387" i="1"/>
  <c r="B387" i="1"/>
  <c r="D387" i="1"/>
  <c r="E387" i="1" s="1"/>
  <c r="G387" i="1" s="1"/>
  <c r="F387" i="1" s="1"/>
  <c r="H387" i="1"/>
  <c r="J387" i="1"/>
  <c r="I387" i="1"/>
  <c r="BB99" i="8"/>
  <c r="BE99" i="8" s="1"/>
  <c r="AW99" i="8"/>
  <c r="BC99" i="8" s="1"/>
  <c r="L387" i="1" l="1"/>
  <c r="M387" i="1" s="1"/>
  <c r="N387" i="1" s="1"/>
  <c r="AY100" i="8"/>
  <c r="BA100" i="8"/>
  <c r="AV100" i="8"/>
  <c r="AX100" i="8" s="1"/>
  <c r="AU100" i="8"/>
  <c r="BB100" i="8" l="1"/>
  <c r="BE100" i="8" s="1"/>
  <c r="AW100" i="8"/>
  <c r="BC100" i="8" s="1"/>
  <c r="AU101" i="8" l="1"/>
  <c r="BA101" i="8"/>
  <c r="AY101" i="8"/>
  <c r="AV101" i="8"/>
  <c r="AX101" i="8" s="1"/>
  <c r="BB101" i="8" l="1"/>
  <c r="BE101" i="8" s="1"/>
  <c r="AW101" i="8"/>
  <c r="BC101" i="8" s="1"/>
  <c r="AY102" i="8" l="1"/>
  <c r="AU102" i="8"/>
  <c r="AV102" i="8"/>
  <c r="AX102" i="8" s="1"/>
  <c r="BA102" i="8"/>
  <c r="AW102" i="8" l="1"/>
  <c r="BC102" i="8" s="1"/>
  <c r="BB102" i="8"/>
  <c r="BE102" i="8" s="1"/>
  <c r="AV103" i="8" l="1"/>
  <c r="AX103" i="8" s="1"/>
  <c r="AU103" i="8"/>
  <c r="AY103" i="8"/>
  <c r="BA103" i="8"/>
  <c r="BB103" i="8" l="1"/>
  <c r="BE103" i="8" s="1"/>
  <c r="AW103" i="8"/>
  <c r="BC103" i="8" s="1"/>
  <c r="AV104" i="8" l="1"/>
  <c r="AX104" i="8" s="1"/>
  <c r="AU104" i="8"/>
  <c r="AY104" i="8"/>
  <c r="BA104" i="8"/>
  <c r="BB104" i="8" l="1"/>
  <c r="BE104" i="8" s="1"/>
  <c r="AW104" i="8"/>
  <c r="BC104" i="8" s="1"/>
  <c r="BA105" i="8" l="1"/>
  <c r="AU105" i="8"/>
  <c r="AV105" i="8"/>
  <c r="AY105" i="8"/>
  <c r="AX105" i="8"/>
  <c r="BB105" i="8" l="1"/>
  <c r="BE105" i="8" s="1"/>
  <c r="AW105" i="8"/>
  <c r="BC105" i="8" s="1"/>
  <c r="BA106" i="8" l="1"/>
  <c r="AY106" i="8"/>
  <c r="AV106" i="8"/>
  <c r="AX106" i="8" s="1"/>
  <c r="AU106" i="8"/>
  <c r="BB106" i="8" l="1"/>
  <c r="BE106" i="8" s="1"/>
  <c r="AW106" i="8"/>
  <c r="BC106" i="8" s="1"/>
  <c r="AV107" i="8" l="1"/>
  <c r="AY107" i="8"/>
  <c r="AU107" i="8"/>
  <c r="BA107" i="8"/>
  <c r="AX107" i="8"/>
  <c r="BB107" i="8" s="1"/>
  <c r="BE107" i="8" s="1"/>
  <c r="AW107" i="8" l="1"/>
  <c r="BC107" i="8" s="1"/>
  <c r="AY108" i="8" l="1"/>
  <c r="AV108" i="8"/>
  <c r="BA108" i="8"/>
  <c r="AU108" i="8"/>
  <c r="AX108" i="8"/>
  <c r="BB108" i="8" l="1"/>
  <c r="BE108" i="8" s="1"/>
  <c r="AW108" i="8"/>
  <c r="BC108" i="8" s="1"/>
  <c r="AY109" i="8" l="1"/>
  <c r="AV109" i="8"/>
  <c r="AX109" i="8" s="1"/>
  <c r="AW109" i="8" s="1"/>
  <c r="BC109" i="8" s="1"/>
  <c r="BA109" i="8"/>
  <c r="AU109" i="8"/>
  <c r="BB109" i="8" l="1"/>
  <c r="BE109" i="8" s="1"/>
  <c r="AY110" i="8"/>
  <c r="AU110" i="8"/>
  <c r="BA110" i="8"/>
  <c r="AV110" i="8"/>
  <c r="AX110" i="8" s="1"/>
  <c r="BB110" i="8" s="1"/>
  <c r="BE110" i="8" s="1"/>
  <c r="AW110" i="8" l="1"/>
  <c r="BC110" i="8" s="1"/>
  <c r="AU111" i="8" l="1"/>
  <c r="AY111" i="8"/>
  <c r="AV111" i="8"/>
  <c r="BA111" i="8"/>
  <c r="AX111" i="8"/>
  <c r="BB111" i="8" s="1"/>
  <c r="BE111" i="8" s="1"/>
  <c r="AW111" i="8" l="1"/>
  <c r="BC111" i="8" s="1"/>
  <c r="AY112" i="8" l="1"/>
  <c r="BA112" i="8"/>
  <c r="AV112" i="8"/>
  <c r="AX112" i="8" s="1"/>
  <c r="AU112" i="8"/>
  <c r="BB112" i="8" l="1"/>
  <c r="BE112" i="8" s="1"/>
  <c r="AW112" i="8"/>
  <c r="BC112" i="8" s="1"/>
  <c r="AU113" i="8" l="1"/>
  <c r="BA113" i="8"/>
  <c r="AV113" i="8"/>
  <c r="AX113" i="8" s="1"/>
  <c r="AY113" i="8"/>
  <c r="AW113" i="8" l="1"/>
  <c r="BC113" i="8" s="1"/>
  <c r="BB113" i="8"/>
  <c r="BE113" i="8" s="1"/>
  <c r="AV114" i="8" l="1"/>
  <c r="AX114" i="8" s="1"/>
  <c r="BA114" i="8"/>
  <c r="AY114" i="8"/>
  <c r="AU114" i="8"/>
  <c r="BB114" i="8" l="1"/>
  <c r="BE114" i="8" s="1"/>
  <c r="AW114" i="8"/>
  <c r="BC114" i="8" s="1"/>
  <c r="AU115" i="8" l="1"/>
  <c r="BA115" i="8"/>
  <c r="AY115" i="8"/>
  <c r="AV115" i="8"/>
  <c r="AX115" i="8" s="1"/>
  <c r="BB115" i="8" l="1"/>
  <c r="BE115" i="8" s="1"/>
  <c r="AW115" i="8"/>
  <c r="BC115" i="8" s="1"/>
  <c r="AV116" i="8" l="1"/>
  <c r="AX116" i="8" s="1"/>
  <c r="BA116" i="8"/>
  <c r="AU116" i="8"/>
  <c r="AY116" i="8"/>
  <c r="BB116" i="8" l="1"/>
  <c r="BE116" i="8" s="1"/>
  <c r="AW116" i="8"/>
  <c r="BC116" i="8" s="1"/>
  <c r="BA117" i="8" l="1"/>
  <c r="AV117" i="8"/>
  <c r="AY117" i="8"/>
  <c r="AU117" i="8"/>
  <c r="AX117" i="8"/>
  <c r="AW117" i="8" s="1"/>
  <c r="BC117" i="8" s="1"/>
  <c r="AV118" i="8" l="1"/>
  <c r="AY118" i="8"/>
  <c r="BA118" i="8"/>
  <c r="AU118" i="8"/>
  <c r="AX118" i="8"/>
  <c r="BB118" i="8" s="1"/>
  <c r="BE118" i="8" s="1"/>
  <c r="BB117" i="8"/>
  <c r="BE117" i="8" s="1"/>
  <c r="AW118" i="8" l="1"/>
  <c r="BC118" i="8" s="1"/>
  <c r="AV119" i="8" l="1"/>
  <c r="AX119" i="8" s="1"/>
  <c r="AW119" i="8" s="1"/>
  <c r="BC119" i="8" s="1"/>
  <c r="AU119" i="8"/>
  <c r="BA119" i="8"/>
  <c r="AY119" i="8"/>
  <c r="BB119" i="8" l="1"/>
  <c r="BE119" i="8" s="1"/>
  <c r="AU120" i="8"/>
  <c r="BA120" i="8"/>
  <c r="AY120" i="8"/>
  <c r="AV120" i="8"/>
  <c r="AX120" i="8" s="1"/>
  <c r="BB120" i="8" l="1"/>
  <c r="BE120" i="8" s="1"/>
  <c r="AW120" i="8"/>
  <c r="BC120" i="8" s="1"/>
  <c r="AV121" i="8" l="1"/>
  <c r="AX121" i="8"/>
  <c r="AU121" i="8"/>
  <c r="AY121" i="8"/>
  <c r="BA121" i="8"/>
  <c r="BB121" i="8" l="1"/>
  <c r="BE121" i="8" s="1"/>
  <c r="AW121" i="8"/>
  <c r="BC121" i="8" s="1"/>
  <c r="BA122" i="8" l="1"/>
  <c r="AU122" i="8"/>
  <c r="AV122" i="8"/>
  <c r="AY122" i="8"/>
  <c r="AX122" i="8"/>
  <c r="BB122" i="8" l="1"/>
  <c r="BE122" i="8" s="1"/>
  <c r="AW122" i="8"/>
  <c r="BC122" i="8" s="1"/>
  <c r="AV123" i="8" l="1"/>
  <c r="AX123" i="8" s="1"/>
  <c r="AY123" i="8"/>
  <c r="BA123" i="8"/>
  <c r="AU123" i="8"/>
  <c r="BB123" i="8" l="1"/>
  <c r="BE123" i="8" s="1"/>
  <c r="AW123" i="8"/>
  <c r="BC123" i="8" s="1"/>
  <c r="AU124" i="8" l="1"/>
  <c r="BA124" i="8"/>
  <c r="AV124" i="8"/>
  <c r="AX124" i="8" s="1"/>
  <c r="AY124" i="8"/>
  <c r="BB124" i="8" l="1"/>
  <c r="BE124" i="8" s="1"/>
  <c r="AW124" i="8"/>
  <c r="BC124" i="8" s="1"/>
  <c r="BA125" i="8" l="1"/>
  <c r="AU125" i="8"/>
  <c r="AV125" i="8"/>
  <c r="AY125" i="8"/>
  <c r="AX125" i="8"/>
  <c r="BB125" i="8" l="1"/>
  <c r="BE125" i="8" s="1"/>
  <c r="AW125" i="8"/>
  <c r="BC125" i="8" s="1"/>
  <c r="AV126" i="8" l="1"/>
  <c r="AX126" i="8" s="1"/>
  <c r="AY126" i="8"/>
  <c r="BA126" i="8"/>
  <c r="AU126" i="8"/>
  <c r="BB126" i="8" l="1"/>
  <c r="BE126" i="8" s="1"/>
  <c r="AW126" i="8"/>
  <c r="BC126" i="8" s="1"/>
  <c r="AU127" i="8" l="1"/>
  <c r="BA127" i="8"/>
  <c r="AY127" i="8"/>
  <c r="AV127" i="8"/>
  <c r="AX127" i="8" s="1"/>
  <c r="BB127" i="8" l="1"/>
  <c r="BE127" i="8" s="1"/>
  <c r="AW127" i="8"/>
  <c r="BC127" i="8" s="1"/>
  <c r="AU128" i="8" l="1"/>
  <c r="AV128" i="8"/>
  <c r="AX128" i="8" s="1"/>
  <c r="AY128" i="8"/>
  <c r="BA128" i="8"/>
  <c r="BB128" i="8" l="1"/>
  <c r="BE128" i="8" s="1"/>
  <c r="AW128" i="8"/>
  <c r="BC128" i="8" s="1"/>
  <c r="AY129" i="8" l="1"/>
  <c r="AU129" i="8"/>
  <c r="BA129" i="8"/>
  <c r="AV129" i="8"/>
  <c r="AX129" i="8" s="1"/>
  <c r="BB129" i="8" l="1"/>
  <c r="BE129" i="8" s="1"/>
  <c r="AW129" i="8"/>
  <c r="BC129" i="8" s="1"/>
  <c r="AU130" i="8" l="1"/>
  <c r="BA130" i="8"/>
  <c r="AY130" i="8"/>
  <c r="AV130" i="8"/>
  <c r="AX130" i="8" s="1"/>
  <c r="BB130" i="8" l="1"/>
  <c r="BE130" i="8" s="1"/>
  <c r="AW130" i="8"/>
  <c r="BC130" i="8" s="1"/>
  <c r="AV131" i="8" l="1"/>
  <c r="AX131" i="8" s="1"/>
  <c r="AW131" i="8" s="1"/>
  <c r="BC131" i="8" s="1"/>
  <c r="AY131" i="8"/>
  <c r="AU131" i="8"/>
  <c r="BA131" i="8"/>
  <c r="BB131" i="8" l="1"/>
  <c r="BE131" i="8" s="1"/>
  <c r="AU132" i="8"/>
  <c r="AV132" i="8"/>
  <c r="BA132" i="8"/>
  <c r="AX132" i="8"/>
  <c r="AW132" i="8" s="1"/>
  <c r="BC132" i="8" s="1"/>
  <c r="AY132" i="8"/>
  <c r="BB132" i="8" l="1"/>
  <c r="BE132" i="8" s="1"/>
  <c r="AV133" i="8"/>
  <c r="AU133" i="8"/>
  <c r="AX133" i="8"/>
  <c r="AY133" i="8"/>
  <c r="BA133" i="8"/>
  <c r="BB133" i="8" l="1"/>
  <c r="BE133" i="8" s="1"/>
  <c r="AW133" i="8"/>
  <c r="BC133" i="8" s="1"/>
  <c r="AY134" i="8" s="1"/>
  <c r="AV134" i="8" l="1"/>
  <c r="AX134" i="8" s="1"/>
  <c r="BA134" i="8"/>
  <c r="AU134" i="8"/>
  <c r="BB134" i="8"/>
  <c r="BE134" i="8" s="1"/>
  <c r="AW134" i="8"/>
  <c r="BC134" i="8" s="1"/>
  <c r="AU135" i="8" l="1"/>
  <c r="BA135" i="8"/>
  <c r="AV135" i="8"/>
  <c r="AX135" i="8" s="1"/>
  <c r="AY135" i="8"/>
  <c r="BB135" i="8" l="1"/>
  <c r="BE135" i="8" s="1"/>
  <c r="AW135" i="8"/>
  <c r="BC135" i="8" s="1"/>
  <c r="BA136" i="8" l="1"/>
  <c r="AU136" i="8"/>
  <c r="AV136" i="8"/>
  <c r="AY136" i="8"/>
  <c r="AX136" i="8"/>
  <c r="AW136" i="8" s="1"/>
  <c r="BC136" i="8" s="1"/>
  <c r="AV137" i="8" l="1"/>
  <c r="AY137" i="8"/>
  <c r="BA137" i="8"/>
  <c r="AU137" i="8"/>
  <c r="AX137" i="8"/>
  <c r="BB137" i="8" s="1"/>
  <c r="BE137" i="8" s="1"/>
  <c r="BB136" i="8"/>
  <c r="BE136" i="8" s="1"/>
  <c r="AW137" i="8" l="1"/>
  <c r="BC137" i="8" s="1"/>
  <c r="AV138" i="8" l="1"/>
  <c r="AX138" i="8" s="1"/>
  <c r="AU138" i="8"/>
  <c r="BA138" i="8"/>
  <c r="AY138" i="8"/>
  <c r="BB138" i="8" l="1"/>
  <c r="BE138" i="8" s="1"/>
  <c r="AW138" i="8"/>
  <c r="BC138" i="8" s="1"/>
  <c r="BA139" i="8" l="1"/>
  <c r="AY139" i="8"/>
  <c r="AV139" i="8"/>
  <c r="AX139" i="8" s="1"/>
  <c r="AU139" i="8"/>
  <c r="BB139" i="8" l="1"/>
  <c r="BE139" i="8" s="1"/>
  <c r="AW139" i="8"/>
  <c r="BC139" i="8" s="1"/>
  <c r="AV140" i="8" l="1"/>
  <c r="AX140" i="8"/>
  <c r="AY140" i="8"/>
  <c r="BA140" i="8"/>
  <c r="AU140" i="8"/>
  <c r="BB140" i="8" l="1"/>
  <c r="BE140" i="8" s="1"/>
  <c r="AW140" i="8"/>
  <c r="BC140" i="8" s="1"/>
  <c r="AY141" i="8" l="1"/>
  <c r="AU141" i="8"/>
  <c r="AV141" i="8"/>
  <c r="BA141" i="8"/>
  <c r="AX141" i="8"/>
  <c r="BB141" i="8" l="1"/>
  <c r="BE141" i="8" s="1"/>
  <c r="AW141" i="8"/>
  <c r="BC141" i="8" s="1"/>
  <c r="BA142" i="8" s="1"/>
  <c r="AU142" i="8" l="1"/>
  <c r="AY142" i="8"/>
  <c r="AV142" i="8"/>
  <c r="AX142" i="8" s="1"/>
  <c r="AW142" i="8" s="1"/>
  <c r="BC142" i="8" s="1"/>
  <c r="AY143" i="8" s="1"/>
  <c r="BB142" i="8" l="1"/>
  <c r="BE142" i="8" s="1"/>
  <c r="AU143" i="8"/>
  <c r="AV143" i="8"/>
  <c r="AX143" i="8" s="1"/>
  <c r="BA143" i="8"/>
  <c r="BB143" i="8" s="1"/>
  <c r="BE143" i="8" s="1"/>
  <c r="AW143" i="8"/>
  <c r="BC143" i="8" s="1"/>
  <c r="AU144" i="8" l="1"/>
  <c r="AY144" i="8"/>
  <c r="BA144" i="8"/>
  <c r="AV144" i="8"/>
  <c r="AX144" i="8" s="1"/>
  <c r="AW144" i="8" l="1"/>
  <c r="BC144" i="8" s="1"/>
  <c r="BB144" i="8"/>
  <c r="BE144" i="8" s="1"/>
  <c r="AY145" i="8" l="1"/>
  <c r="BA145" i="8"/>
  <c r="AV145" i="8"/>
  <c r="AX145" i="8" s="1"/>
  <c r="AU145" i="8"/>
  <c r="BB145" i="8" l="1"/>
  <c r="BE145" i="8" s="1"/>
  <c r="AW145" i="8"/>
  <c r="BC145" i="8" s="1"/>
  <c r="AY146" i="8" l="1"/>
  <c r="BA146" i="8"/>
  <c r="AV146" i="8"/>
  <c r="AX146" i="8" s="1"/>
  <c r="AU146" i="8"/>
  <c r="BB146" i="8" l="1"/>
  <c r="BE146" i="8" s="1"/>
  <c r="AW146" i="8"/>
  <c r="BC146" i="8" s="1"/>
  <c r="AV147" i="8" l="1"/>
  <c r="AU147" i="8"/>
  <c r="AY147" i="8"/>
  <c r="AX147" i="8"/>
  <c r="BA147" i="8"/>
  <c r="BB147" i="8" l="1"/>
  <c r="BE147" i="8" s="1"/>
  <c r="AW147" i="8"/>
  <c r="BC147" i="8" s="1"/>
  <c r="AU148" i="8" l="1"/>
  <c r="AY148" i="8"/>
  <c r="AV148" i="8"/>
  <c r="AX148" i="8" s="1"/>
  <c r="BA148" i="8"/>
  <c r="BB148" i="8" l="1"/>
  <c r="BE148" i="8" s="1"/>
  <c r="AW148" i="8"/>
  <c r="BC148" i="8" s="1"/>
  <c r="AU149" i="8" l="1"/>
  <c r="AY149" i="8"/>
  <c r="AV149" i="8"/>
  <c r="AX149" i="8" s="1"/>
  <c r="BA149" i="8"/>
  <c r="BB149" i="8" l="1"/>
  <c r="BE149" i="8" s="1"/>
  <c r="AW149" i="8"/>
  <c r="BC149" i="8" s="1"/>
  <c r="BA150" i="8" l="1"/>
  <c r="AY150" i="8"/>
  <c r="AU150" i="8"/>
  <c r="AV150" i="8"/>
  <c r="AX150" i="8" s="1"/>
  <c r="BB150" i="8" l="1"/>
  <c r="BE150" i="8" s="1"/>
  <c r="AW150" i="8"/>
  <c r="BC150" i="8" s="1"/>
  <c r="BA151" i="8" l="1"/>
  <c r="AU151" i="8"/>
  <c r="AV151" i="8"/>
  <c r="AY151" i="8"/>
  <c r="AX151" i="8"/>
  <c r="BB151" i="8" l="1"/>
  <c r="BE151" i="8" s="1"/>
  <c r="AW151" i="8"/>
  <c r="BC151" i="8" s="1"/>
  <c r="BA152" i="8" l="1"/>
  <c r="AV152" i="8"/>
  <c r="AX152" i="8" s="1"/>
  <c r="AU152" i="8"/>
  <c r="AY152" i="8"/>
  <c r="BB152" i="8" l="1"/>
  <c r="BE152" i="8" s="1"/>
  <c r="AW152" i="8"/>
  <c r="BC152" i="8" s="1"/>
  <c r="AY153" i="8" l="1"/>
  <c r="BA153" i="8"/>
  <c r="AV153" i="8"/>
  <c r="AX153" i="8" s="1"/>
  <c r="AU153" i="8"/>
  <c r="BB153" i="8" l="1"/>
  <c r="BE153" i="8" s="1"/>
  <c r="AW153" i="8"/>
  <c r="BC153" i="8" s="1"/>
  <c r="BA154" i="8" l="1"/>
  <c r="AY154" i="8"/>
  <c r="AU154" i="8"/>
  <c r="AV154" i="8"/>
  <c r="AX154" i="8" s="1"/>
  <c r="BB154" i="8" l="1"/>
  <c r="BE154" i="8" s="1"/>
  <c r="AW154" i="8"/>
  <c r="BC154" i="8" s="1"/>
  <c r="BA155" i="8" l="1"/>
  <c r="AY155" i="8"/>
  <c r="AU155" i="8"/>
  <c r="AV155" i="8"/>
  <c r="AX155" i="8" s="1"/>
  <c r="BB155" i="8" l="1"/>
  <c r="BE155" i="8" s="1"/>
  <c r="AW155" i="8"/>
  <c r="BC155" i="8" s="1"/>
  <c r="AU156" i="8" l="1"/>
  <c r="AY156" i="8"/>
  <c r="AV156" i="8"/>
  <c r="AX156" i="8" s="1"/>
  <c r="AW156" i="8" s="1"/>
  <c r="BC156" i="8" s="1"/>
  <c r="BA156" i="8"/>
  <c r="AV157" i="8" l="1"/>
  <c r="AY157" i="8"/>
  <c r="AU157" i="8"/>
  <c r="AX157" i="8"/>
  <c r="BA157" i="8"/>
  <c r="BB156" i="8"/>
  <c r="BE156" i="8" s="1"/>
  <c r="BB157" i="8" l="1"/>
  <c r="BE157" i="8" s="1"/>
  <c r="AW157" i="8"/>
  <c r="BC157" i="8" s="1"/>
  <c r="AY158" i="8" s="1"/>
  <c r="BA158" i="8" l="1"/>
  <c r="AU158" i="8"/>
  <c r="AV158" i="8"/>
  <c r="AX158" i="8" s="1"/>
  <c r="BB158" i="8" s="1"/>
  <c r="BE158" i="8" s="1"/>
  <c r="AW158" i="8"/>
  <c r="BC158" i="8" s="1"/>
  <c r="BA159" i="8" l="1"/>
  <c r="AV159" i="8"/>
  <c r="AX159" i="8" s="1"/>
  <c r="AW159" i="8" s="1"/>
  <c r="BC159" i="8" s="1"/>
  <c r="AU159" i="8"/>
  <c r="AY159" i="8"/>
  <c r="AU160" i="8" l="1"/>
  <c r="BA160" i="8"/>
  <c r="AY160" i="8"/>
  <c r="AV160" i="8"/>
  <c r="AX160" i="8" s="1"/>
  <c r="BB159" i="8"/>
  <c r="BE159" i="8" s="1"/>
  <c r="AW160" i="8" l="1"/>
  <c r="BC160" i="8" s="1"/>
  <c r="BB160" i="8"/>
  <c r="BE160" i="8" s="1"/>
  <c r="AU161" i="8" l="1"/>
  <c r="BA161" i="8"/>
  <c r="AY161" i="8"/>
  <c r="AV161" i="8"/>
  <c r="AX161" i="8" s="1"/>
  <c r="AW161" i="8" l="1"/>
  <c r="BC161" i="8" s="1"/>
  <c r="BB161" i="8"/>
  <c r="BE161" i="8" s="1"/>
  <c r="BA162" i="8" l="1"/>
  <c r="AV162" i="8"/>
  <c r="AX162" i="8" s="1"/>
  <c r="AU162" i="8"/>
  <c r="AY162" i="8"/>
  <c r="BB162" i="8" l="1"/>
  <c r="BE162" i="8" s="1"/>
  <c r="AW162" i="8"/>
  <c r="BC162" i="8" s="1"/>
  <c r="AU163" i="8" s="1"/>
  <c r="BA163" i="8" l="1"/>
  <c r="AY163" i="8"/>
  <c r="AV163" i="8"/>
  <c r="AX163" i="8" s="1"/>
  <c r="BB163" i="8"/>
  <c r="BE163" i="8" s="1"/>
  <c r="AW163" i="8"/>
  <c r="BC163" i="8" s="1"/>
  <c r="AV164" i="8" l="1"/>
  <c r="AY164" i="8"/>
  <c r="AU164" i="8"/>
  <c r="AX164" i="8"/>
  <c r="AW164" i="8" s="1"/>
  <c r="BC164" i="8" s="1"/>
  <c r="BA164" i="8"/>
  <c r="AV165" i="8" l="1"/>
  <c r="AX165" i="8" s="1"/>
  <c r="AY165" i="8"/>
  <c r="AU165" i="8"/>
  <c r="BA165" i="8"/>
  <c r="BB164" i="8"/>
  <c r="BE164" i="8" s="1"/>
  <c r="AW165" i="8" l="1"/>
  <c r="BC165" i="8" s="1"/>
  <c r="BB165" i="8"/>
  <c r="BE165" i="8" s="1"/>
  <c r="AY166" i="8" l="1"/>
  <c r="AU166" i="8"/>
  <c r="BA166" i="8"/>
  <c r="AV166" i="8"/>
  <c r="AX166" i="8" s="1"/>
  <c r="AW166" i="8" l="1"/>
  <c r="BC166" i="8" s="1"/>
  <c r="BB166" i="8"/>
  <c r="BE166" i="8" s="1"/>
  <c r="AY167" i="8" l="1"/>
  <c r="AV167" i="8"/>
  <c r="AX167" i="8" s="1"/>
  <c r="BA167" i="8"/>
  <c r="AU167" i="8"/>
  <c r="BB167" i="8" l="1"/>
  <c r="BE167" i="8" s="1"/>
  <c r="AW167" i="8"/>
  <c r="BC167" i="8" s="1"/>
  <c r="AV168" i="8" l="1"/>
  <c r="AX168" i="8" s="1"/>
  <c r="AW168" i="8" s="1"/>
  <c r="BC168" i="8" s="1"/>
  <c r="AU168" i="8"/>
  <c r="BA168" i="8"/>
  <c r="AY168" i="8"/>
  <c r="BB168" i="8" l="1"/>
  <c r="BE168" i="8" s="1"/>
  <c r="AU169" i="8"/>
  <c r="BA169" i="8"/>
  <c r="AV169" i="8"/>
  <c r="AX169" i="8" s="1"/>
  <c r="AY169" i="8"/>
  <c r="BB169" i="8" l="1"/>
  <c r="BE169" i="8" s="1"/>
  <c r="AW169" i="8"/>
  <c r="BC169" i="8" s="1"/>
  <c r="AY170" i="8" l="1"/>
  <c r="AU170" i="8"/>
  <c r="BA170" i="8"/>
  <c r="AV170" i="8"/>
  <c r="AX170" i="8" s="1"/>
  <c r="AW170" i="8" s="1"/>
  <c r="BC170" i="8" s="1"/>
  <c r="AV171" i="8" l="1"/>
  <c r="BA171" i="8"/>
  <c r="AU171" i="8"/>
  <c r="AY171" i="8"/>
  <c r="AX171" i="8"/>
  <c r="BB170" i="8"/>
  <c r="BE170" i="8" s="1"/>
  <c r="BB171" i="8" l="1"/>
  <c r="BE171" i="8" s="1"/>
  <c r="AW171" i="8"/>
  <c r="BC171" i="8" s="1"/>
  <c r="AV172" i="8" l="1"/>
  <c r="AX172" i="8" s="1"/>
  <c r="AY172" i="8"/>
  <c r="BA172" i="8"/>
  <c r="AU172" i="8"/>
  <c r="BB172" i="8" l="1"/>
  <c r="BE172" i="8" s="1"/>
  <c r="AW172" i="8"/>
  <c r="BC172" i="8" s="1"/>
  <c r="AY173" i="8" s="1"/>
  <c r="AV173" i="8" l="1"/>
  <c r="AX173" i="8" s="1"/>
  <c r="BB173" i="8" s="1"/>
  <c r="BE173" i="8" s="1"/>
  <c r="AU173" i="8"/>
  <c r="BA173" i="8"/>
  <c r="AW173" i="8"/>
  <c r="BC173" i="8" s="1"/>
  <c r="BA174" i="8" l="1"/>
  <c r="AU174" i="8"/>
  <c r="AV174" i="8"/>
  <c r="AX174" i="8" s="1"/>
  <c r="AY174" i="8"/>
  <c r="BB174" i="8" l="1"/>
  <c r="BE174" i="8" s="1"/>
  <c r="AW174" i="8"/>
  <c r="BC174" i="8" s="1"/>
  <c r="AY175" i="8" l="1"/>
  <c r="BA175" i="8"/>
  <c r="AV175" i="8"/>
  <c r="AX175" i="8" s="1"/>
  <c r="AU175" i="8"/>
  <c r="BB175" i="8" l="1"/>
  <c r="BE175" i="8" s="1"/>
  <c r="AW175" i="8"/>
  <c r="BC175" i="8" s="1"/>
  <c r="BA176" i="8" l="1"/>
  <c r="AV176" i="8"/>
  <c r="AX176" i="8" s="1"/>
  <c r="AY176" i="8"/>
  <c r="AU176" i="8"/>
  <c r="AW176" i="8" l="1"/>
  <c r="BC176" i="8" s="1"/>
  <c r="BB176" i="8"/>
  <c r="BE176" i="8" s="1"/>
  <c r="AV177" i="8" l="1"/>
  <c r="AX177" i="8" s="1"/>
  <c r="AU177" i="8"/>
  <c r="BA177" i="8"/>
  <c r="AY177" i="8"/>
  <c r="BB177" i="8" l="1"/>
  <c r="BE177" i="8" s="1"/>
  <c r="AW177" i="8"/>
  <c r="BC177" i="8" s="1"/>
  <c r="AU178" i="8" l="1"/>
  <c r="AY178" i="8"/>
  <c r="AV178" i="8"/>
  <c r="BA178" i="8"/>
  <c r="AX178" i="8"/>
  <c r="BB178" i="8" s="1"/>
  <c r="BE178" i="8" s="1"/>
  <c r="AW178" i="8" l="1"/>
  <c r="BC178" i="8" s="1"/>
  <c r="AV179" i="8" l="1"/>
  <c r="AX179" i="8" s="1"/>
  <c r="AY179" i="8"/>
  <c r="BA179" i="8"/>
  <c r="AU179" i="8"/>
  <c r="BB179" i="8" l="1"/>
  <c r="BE179" i="8" s="1"/>
  <c r="AW179" i="8"/>
  <c r="BC179" i="8" s="1"/>
  <c r="AY180" i="8" l="1"/>
  <c r="BA180" i="8"/>
  <c r="AU180" i="8"/>
  <c r="AV180" i="8"/>
  <c r="AX180" i="8" s="1"/>
  <c r="BB180" i="8" l="1"/>
  <c r="BE180" i="8" s="1"/>
  <c r="AW180" i="8"/>
  <c r="BC180" i="8" s="1"/>
  <c r="BA181" i="8" l="1"/>
  <c r="AU181" i="8"/>
  <c r="AV181" i="8"/>
  <c r="AX181" i="8" s="1"/>
  <c r="AY181" i="8"/>
  <c r="BB181" i="8" l="1"/>
  <c r="BE181" i="8" s="1"/>
  <c r="AW181" i="8"/>
  <c r="BC181" i="8" s="1"/>
  <c r="AU182" i="8" l="1"/>
  <c r="AV182" i="8"/>
  <c r="AY182" i="8"/>
  <c r="AX182" i="8"/>
  <c r="BA182" i="8"/>
  <c r="BB182" i="8" l="1"/>
  <c r="BE182" i="8" s="1"/>
  <c r="AW182" i="8"/>
  <c r="BC182" i="8" s="1"/>
  <c r="AV183" i="8" l="1"/>
  <c r="AY183" i="8"/>
  <c r="AU183" i="8"/>
  <c r="AX183" i="8"/>
  <c r="BA183" i="8"/>
  <c r="BB183" i="8" l="1"/>
  <c r="BE183" i="8" s="1"/>
  <c r="AW183" i="8"/>
  <c r="BC183" i="8" s="1"/>
  <c r="AV184" i="8" s="1"/>
  <c r="AX184" i="8" l="1"/>
  <c r="AW184" i="8" s="1"/>
  <c r="BC184" i="8" s="1"/>
  <c r="BA185" i="8" s="1"/>
  <c r="BA184" i="8"/>
  <c r="AY184" i="8"/>
  <c r="AU184" i="8"/>
  <c r="BB184" i="8"/>
  <c r="BE184" i="8" s="1"/>
  <c r="AV185" i="8" l="1"/>
  <c r="AX185" i="8" s="1"/>
  <c r="AW185" i="8" s="1"/>
  <c r="BC185" i="8" s="1"/>
  <c r="AV186" i="8" s="1"/>
  <c r="AX186" i="8" s="1"/>
  <c r="AU185" i="8"/>
  <c r="AY185" i="8"/>
  <c r="BB185" i="8"/>
  <c r="BE185" i="8" s="1"/>
  <c r="AU186" i="8" l="1"/>
  <c r="BA186" i="8"/>
  <c r="AY186" i="8"/>
  <c r="AW186" i="8"/>
  <c r="BC186" i="8" s="1"/>
  <c r="BA187" i="8" s="1"/>
  <c r="BB186" i="8"/>
  <c r="BE186" i="8" s="1"/>
  <c r="AY187" i="8" l="1"/>
  <c r="AV187" i="8"/>
  <c r="AX187" i="8" s="1"/>
  <c r="AU187" i="8"/>
  <c r="BB187" i="8"/>
  <c r="BE187" i="8" s="1"/>
  <c r="AW187" i="8"/>
  <c r="BC187" i="8" s="1"/>
  <c r="AY188" i="8" l="1"/>
  <c r="BA188" i="8"/>
  <c r="AV188" i="8"/>
  <c r="AX188" i="8" s="1"/>
  <c r="AU188" i="8"/>
  <c r="BB188" i="8" l="1"/>
  <c r="BE188" i="8" s="1"/>
  <c r="AW188" i="8"/>
  <c r="BC188" i="8" s="1"/>
  <c r="AU189" i="8" l="1"/>
  <c r="AY189" i="8"/>
  <c r="BA189" i="8"/>
  <c r="AV189" i="8"/>
  <c r="AX189" i="8" s="1"/>
  <c r="BB189" i="8" s="1"/>
  <c r="BE189" i="8" s="1"/>
  <c r="AW189" i="8" l="1"/>
  <c r="BC189" i="8" s="1"/>
  <c r="AY190" i="8" l="1"/>
  <c r="AU190" i="8"/>
  <c r="BA190" i="8"/>
  <c r="AV190" i="8"/>
  <c r="AX190" i="8" s="1"/>
  <c r="BB190" i="8" l="1"/>
  <c r="BE190" i="8" s="1"/>
  <c r="AW190" i="8"/>
  <c r="BC190" i="8" s="1"/>
  <c r="AY191" i="8" l="1"/>
  <c r="AV191" i="8"/>
  <c r="AX191" i="8" s="1"/>
  <c r="AU191" i="8"/>
  <c r="BA191" i="8"/>
  <c r="BB191" i="8" l="1"/>
  <c r="BE191" i="8" s="1"/>
  <c r="AW191" i="8"/>
  <c r="BC191" i="8" s="1"/>
  <c r="AY192" i="8" l="1"/>
  <c r="AV192" i="8"/>
  <c r="AX192" i="8" s="1"/>
  <c r="AU192" i="8"/>
  <c r="BA192" i="8"/>
  <c r="BB192" i="8" l="1"/>
  <c r="BE192" i="8" s="1"/>
  <c r="AW192" i="8"/>
  <c r="BC192" i="8" s="1"/>
  <c r="BA193" i="8" l="1"/>
  <c r="AU193" i="8"/>
  <c r="AV193" i="8"/>
  <c r="AY193" i="8"/>
  <c r="AX193" i="8"/>
  <c r="AW193" i="8" s="1"/>
  <c r="BC193" i="8" s="1"/>
  <c r="BB193" i="8" l="1"/>
  <c r="BE193" i="8" s="1"/>
  <c r="AV194" i="8"/>
  <c r="AX194" i="8" s="1"/>
  <c r="AY194" i="8"/>
  <c r="AU194" i="8"/>
  <c r="BA194" i="8"/>
  <c r="BB194" i="8" l="1"/>
  <c r="BE194" i="8" s="1"/>
  <c r="AW194" i="8"/>
  <c r="BC194" i="8" s="1"/>
  <c r="AU195" i="8" l="1"/>
  <c r="BA195" i="8"/>
  <c r="AY195" i="8"/>
  <c r="AV195" i="8"/>
  <c r="AX195" i="8" s="1"/>
  <c r="AW195" i="8" l="1"/>
  <c r="BC195" i="8" s="1"/>
  <c r="BB195" i="8"/>
  <c r="BE195" i="8" s="1"/>
  <c r="AU196" i="8" l="1"/>
  <c r="BA196" i="8"/>
  <c r="AV196" i="8"/>
  <c r="AX196" i="8" s="1"/>
  <c r="AY196" i="8"/>
  <c r="BB196" i="8" l="1"/>
  <c r="BE196" i="8" s="1"/>
  <c r="AW196" i="8"/>
  <c r="BC196" i="8" s="1"/>
  <c r="BA197" i="8" l="1"/>
  <c r="AY197" i="8"/>
  <c r="AU197" i="8"/>
  <c r="AV197" i="8"/>
  <c r="AX197" i="8" s="1"/>
  <c r="BB197" i="8" l="1"/>
  <c r="BE197" i="8" s="1"/>
  <c r="AW197" i="8"/>
  <c r="BC197" i="8" s="1"/>
  <c r="AY198" i="8" l="1"/>
  <c r="AV198" i="8"/>
  <c r="AX198" i="8" s="1"/>
  <c r="BA198" i="8"/>
  <c r="AU198" i="8"/>
  <c r="BB198" i="8" l="1"/>
  <c r="BE198" i="8" s="1"/>
  <c r="AW198" i="8"/>
  <c r="BC198" i="8" s="1"/>
  <c r="AY199" i="8" l="1"/>
  <c r="BA199" i="8"/>
  <c r="AV199" i="8"/>
  <c r="AX199" i="8" s="1"/>
  <c r="AU199" i="8"/>
  <c r="BB199" i="8" l="1"/>
  <c r="BE199" i="8" s="1"/>
  <c r="AW199" i="8"/>
  <c r="BC199" i="8" s="1"/>
  <c r="BA200" i="8" l="1"/>
  <c r="AY200" i="8"/>
  <c r="AV200" i="8"/>
  <c r="AX200" i="8" s="1"/>
  <c r="AU200" i="8"/>
  <c r="AW200" i="8" l="1"/>
  <c r="BC200" i="8" s="1"/>
  <c r="BB200" i="8"/>
  <c r="BE200" i="8" s="1"/>
  <c r="BA201" i="8" l="1"/>
  <c r="AU201" i="8"/>
  <c r="AY201" i="8"/>
  <c r="AV201" i="8"/>
  <c r="AX201" i="8" s="1"/>
  <c r="AW201" i="8" l="1"/>
  <c r="BC201" i="8" s="1"/>
  <c r="BB201" i="8"/>
  <c r="BE201" i="8" s="1"/>
  <c r="AY202" i="8" l="1"/>
  <c r="BA202" i="8"/>
  <c r="AU202" i="8"/>
  <c r="AV202" i="8"/>
  <c r="AX202" i="8" s="1"/>
  <c r="BB202" i="8" l="1"/>
  <c r="BE202" i="8" s="1"/>
  <c r="AW202" i="8"/>
  <c r="BC202" i="8" s="1"/>
  <c r="AY203" i="8" l="1"/>
  <c r="AV203" i="8"/>
  <c r="AX203" i="8" s="1"/>
  <c r="AU203" i="8"/>
  <c r="BA203" i="8"/>
  <c r="BB203" i="8" l="1"/>
  <c r="BE203" i="8" s="1"/>
  <c r="AW203" i="8"/>
  <c r="BC203" i="8" s="1"/>
  <c r="BA204" i="8" l="1"/>
  <c r="AV204" i="8"/>
  <c r="AX204" i="8" s="1"/>
  <c r="AU204" i="8"/>
  <c r="AY204" i="8"/>
  <c r="BB204" i="8" l="1"/>
  <c r="BE204" i="8" s="1"/>
  <c r="AW204" i="8"/>
  <c r="BC204" i="8" s="1"/>
  <c r="AU205" i="8" l="1"/>
  <c r="BA205" i="8"/>
  <c r="AY205" i="8"/>
  <c r="AV205" i="8"/>
  <c r="AX205" i="8"/>
  <c r="BB205" i="8" l="1"/>
  <c r="BE205" i="8" s="1"/>
  <c r="AW205" i="8"/>
  <c r="BC205" i="8" s="1"/>
  <c r="AY206" i="8" l="1"/>
  <c r="AV206" i="8"/>
  <c r="AX206" i="8" s="1"/>
  <c r="AU206" i="8"/>
  <c r="BA206" i="8"/>
  <c r="BB206" i="8" l="1"/>
  <c r="BE206" i="8" s="1"/>
  <c r="AW206" i="8"/>
  <c r="BC206" i="8" s="1"/>
  <c r="BA207" i="8" l="1"/>
  <c r="AV207" i="8"/>
  <c r="AX207" i="8" s="1"/>
  <c r="AU207" i="8"/>
  <c r="AY207" i="8"/>
  <c r="BB207" i="8" l="1"/>
  <c r="BE207" i="8" s="1"/>
  <c r="AW207" i="8"/>
  <c r="BC207" i="8" s="1"/>
  <c r="AV208" i="8" l="1"/>
  <c r="AX208" i="8" s="1"/>
  <c r="BA208" i="8"/>
  <c r="AU208" i="8"/>
  <c r="AY208" i="8"/>
  <c r="BB208" i="8" l="1"/>
  <c r="BE208" i="8" s="1"/>
  <c r="AW208" i="8"/>
  <c r="BC208" i="8" s="1"/>
  <c r="AV209" i="8" l="1"/>
  <c r="BA209" i="8"/>
  <c r="AY209" i="8"/>
  <c r="AU209" i="8"/>
  <c r="AX209" i="8"/>
  <c r="BB209" i="8" s="1"/>
  <c r="BE209" i="8" s="1"/>
  <c r="AW209" i="8" l="1"/>
  <c r="BC209" i="8" s="1"/>
  <c r="AV210" i="8" l="1"/>
  <c r="BA210" i="8"/>
  <c r="AU210" i="8"/>
  <c r="AX210" i="8"/>
  <c r="AY210" i="8"/>
  <c r="BB210" i="8" l="1"/>
  <c r="BE210" i="8" s="1"/>
  <c r="AW210" i="8"/>
  <c r="BC210" i="8" s="1"/>
  <c r="AY211" i="8" l="1"/>
  <c r="BA211" i="8"/>
  <c r="AV211" i="8"/>
  <c r="AX211" i="8" s="1"/>
  <c r="AU211" i="8"/>
  <c r="BB211" i="8" l="1"/>
  <c r="BE211" i="8" s="1"/>
  <c r="AW211" i="8"/>
  <c r="BC211" i="8" s="1"/>
  <c r="AV212" i="8" l="1"/>
  <c r="AY212" i="8"/>
  <c r="BA212" i="8"/>
  <c r="AX212" i="8"/>
  <c r="BB212" i="8" s="1"/>
  <c r="BE212" i="8" s="1"/>
  <c r="AU212" i="8"/>
  <c r="AW212" i="8" l="1"/>
  <c r="BC212" i="8" s="1"/>
  <c r="AU213" i="8" l="1"/>
  <c r="AV213" i="8"/>
  <c r="BA213" i="8"/>
  <c r="AY213" i="8"/>
  <c r="AX213" i="8"/>
  <c r="BB213" i="8" l="1"/>
  <c r="BE213" i="8" s="1"/>
  <c r="AW213" i="8"/>
  <c r="BC213" i="8" s="1"/>
  <c r="BA214" i="8" l="1"/>
  <c r="AU214" i="8"/>
  <c r="AY214" i="8"/>
  <c r="AV214" i="8"/>
  <c r="AX214" i="8" s="1"/>
  <c r="BB214" i="8" l="1"/>
  <c r="BE214" i="8" s="1"/>
  <c r="AW214" i="8"/>
  <c r="BC214" i="8" s="1"/>
  <c r="AV215" i="8" l="1"/>
  <c r="AX215" i="8" s="1"/>
  <c r="AY215" i="8"/>
  <c r="BA215" i="8"/>
  <c r="AU215" i="8"/>
  <c r="BB215" i="8" l="1"/>
  <c r="BE215" i="8" s="1"/>
  <c r="AW215" i="8"/>
  <c r="BC215" i="8" s="1"/>
  <c r="AV216" i="8" l="1"/>
  <c r="AX216" i="8" s="1"/>
  <c r="AW216" i="8" s="1"/>
  <c r="BC216" i="8" s="1"/>
  <c r="BA216" i="8"/>
  <c r="AY216" i="8"/>
  <c r="AU216" i="8"/>
  <c r="BB216" i="8" l="1"/>
  <c r="BE216" i="8" s="1"/>
  <c r="AY217" i="8"/>
  <c r="AV217" i="8"/>
  <c r="AX217" i="8" s="1"/>
  <c r="BA217" i="8"/>
  <c r="AU217" i="8"/>
  <c r="AW217" i="8" l="1"/>
  <c r="BC217" i="8" s="1"/>
  <c r="BB217" i="8"/>
  <c r="BE217" i="8" s="1"/>
  <c r="AV218" i="8" l="1"/>
  <c r="AX218" i="8" s="1"/>
  <c r="AU218" i="8"/>
  <c r="AY218" i="8"/>
  <c r="BA218" i="8"/>
  <c r="BB218" i="8" l="1"/>
  <c r="BE218" i="8" s="1"/>
  <c r="AW218" i="8"/>
  <c r="BC218" i="8" s="1"/>
  <c r="AY219" i="8" l="1"/>
  <c r="BA219" i="8"/>
  <c r="AU219" i="8"/>
  <c r="AV219" i="8"/>
  <c r="AX219" i="8" s="1"/>
  <c r="BB219" i="8" l="1"/>
  <c r="BE219" i="8" s="1"/>
  <c r="AW219" i="8"/>
  <c r="BC219" i="8" s="1"/>
  <c r="AY220" i="8" l="1"/>
  <c r="AU220" i="8"/>
  <c r="BA220" i="8"/>
  <c r="AV220" i="8"/>
  <c r="AX220" i="8" s="1"/>
  <c r="BB220" i="8" l="1"/>
  <c r="BE220" i="8" s="1"/>
  <c r="AW220" i="8"/>
  <c r="BC220" i="8" s="1"/>
  <c r="AY221" i="8" l="1"/>
  <c r="BA221" i="8"/>
  <c r="AV221" i="8"/>
  <c r="AX221" i="8" s="1"/>
  <c r="AU221" i="8"/>
  <c r="BB221" i="8" l="1"/>
  <c r="BE221" i="8" s="1"/>
  <c r="AW221" i="8"/>
  <c r="BC221" i="8" s="1"/>
  <c r="AU222" i="8" l="1"/>
  <c r="AY222" i="8"/>
  <c r="BA222" i="8"/>
  <c r="AV222" i="8"/>
  <c r="AX222" i="8" s="1"/>
  <c r="BB222" i="8" s="1"/>
  <c r="BE222" i="8" s="1"/>
  <c r="AW222" i="8" l="1"/>
  <c r="BC222" i="8" s="1"/>
  <c r="AY223" i="8" l="1"/>
  <c r="BA223" i="8"/>
  <c r="AV223" i="8"/>
  <c r="AX223" i="8" s="1"/>
  <c r="BB223" i="8" s="1"/>
  <c r="BE223" i="8" s="1"/>
  <c r="AU223" i="8"/>
  <c r="AW223" i="8" l="1"/>
  <c r="BC223" i="8" s="1"/>
  <c r="AU224" i="8" l="1"/>
  <c r="BA224" i="8"/>
  <c r="AV224" i="8"/>
  <c r="AX224" i="8" s="1"/>
  <c r="AY224" i="8"/>
  <c r="BB224" i="8" l="1"/>
  <c r="BE224" i="8" s="1"/>
  <c r="AW224" i="8"/>
  <c r="BC224" i="8" s="1"/>
  <c r="AV225" i="8" l="1"/>
  <c r="AX225" i="8"/>
  <c r="AW225" i="8" s="1"/>
  <c r="BC225" i="8" s="1"/>
  <c r="AY225" i="8"/>
  <c r="BA225" i="8"/>
  <c r="AU225" i="8"/>
  <c r="BA226" i="8" l="1"/>
  <c r="AV226" i="8"/>
  <c r="AU226" i="8"/>
  <c r="AY226" i="8"/>
  <c r="AX226" i="8"/>
  <c r="BB225" i="8"/>
  <c r="BE225" i="8" s="1"/>
  <c r="BB226" i="8" l="1"/>
  <c r="BE226" i="8" s="1"/>
  <c r="AW226" i="8"/>
  <c r="BC226" i="8" s="1"/>
  <c r="BA227" i="8" l="1"/>
  <c r="AU227" i="8"/>
  <c r="AY227" i="8"/>
  <c r="AV227" i="8"/>
  <c r="AX227" i="8" s="1"/>
  <c r="BB227" i="8" l="1"/>
  <c r="BE227" i="8" s="1"/>
  <c r="AW227" i="8"/>
  <c r="BC227" i="8" s="1"/>
  <c r="AV228" i="8" l="1"/>
  <c r="AU228" i="8"/>
  <c r="AY228" i="8"/>
  <c r="AX228" i="8"/>
  <c r="BA228" i="8"/>
  <c r="BB228" i="8" l="1"/>
  <c r="BE228" i="8" s="1"/>
  <c r="AW228" i="8"/>
  <c r="BC228" i="8" s="1"/>
  <c r="AY229" i="8" s="1"/>
  <c r="AU229" i="8" l="1"/>
  <c r="AV229" i="8"/>
  <c r="AX229" i="8" s="1"/>
  <c r="BA229" i="8"/>
  <c r="AW229" i="8"/>
  <c r="BC229" i="8" s="1"/>
  <c r="BB229" i="8" l="1"/>
  <c r="BE229" i="8" s="1"/>
  <c r="AY230" i="8"/>
  <c r="AV230" i="8"/>
  <c r="AX230" i="8" s="1"/>
  <c r="AU230" i="8"/>
  <c r="BA230" i="8"/>
  <c r="BB230" i="8" l="1"/>
  <c r="BE230" i="8" s="1"/>
  <c r="AW230" i="8"/>
  <c r="BC230" i="8" s="1"/>
  <c r="AV231" i="8" l="1"/>
  <c r="AX231" i="8" s="1"/>
  <c r="AW231" i="8" s="1"/>
  <c r="BC231" i="8" s="1"/>
  <c r="AY231" i="8"/>
  <c r="AU231" i="8"/>
  <c r="BA231" i="8"/>
  <c r="BB231" i="8" l="1"/>
  <c r="BE231" i="8" s="1"/>
  <c r="AU232" i="8"/>
  <c r="AV232" i="8"/>
  <c r="AX232" i="8" s="1"/>
  <c r="AW232" i="8" s="1"/>
  <c r="BC232" i="8" s="1"/>
  <c r="AY232" i="8"/>
  <c r="BA232" i="8"/>
  <c r="BB232" i="8" l="1"/>
  <c r="BE232" i="8" s="1"/>
  <c r="AU233" i="8"/>
  <c r="AY233" i="8"/>
  <c r="AV233" i="8"/>
  <c r="AX233" i="8" s="1"/>
  <c r="BA233" i="8"/>
  <c r="BB233" i="8" l="1"/>
  <c r="BE233" i="8" s="1"/>
  <c r="AW233" i="8"/>
  <c r="BC233" i="8" s="1"/>
  <c r="BA234" i="8" l="1"/>
  <c r="AV234" i="8"/>
  <c r="AX234" i="8" s="1"/>
  <c r="AY234" i="8"/>
  <c r="AU234" i="8"/>
  <c r="BB234" i="8" l="1"/>
  <c r="BE234" i="8" s="1"/>
  <c r="AW234" i="8"/>
  <c r="BC234" i="8" s="1"/>
  <c r="AV235" i="8" l="1"/>
  <c r="AY235" i="8"/>
  <c r="BA235" i="8"/>
  <c r="AU235" i="8"/>
  <c r="AX235" i="8"/>
  <c r="BB235" i="8" l="1"/>
  <c r="BE235" i="8" s="1"/>
  <c r="AW235" i="8"/>
  <c r="BC235" i="8" s="1"/>
  <c r="AY236" i="8" s="1"/>
  <c r="BA236" i="8" l="1"/>
  <c r="AV236" i="8"/>
  <c r="AX236" i="8" s="1"/>
  <c r="AU236" i="8"/>
  <c r="BB236" i="8"/>
  <c r="BE236" i="8" s="1"/>
  <c r="AW236" i="8"/>
  <c r="BC236" i="8" s="1"/>
  <c r="BA237" i="8" l="1"/>
  <c r="AU237" i="8"/>
  <c r="AV237" i="8"/>
  <c r="AX237" i="8" s="1"/>
  <c r="AY237" i="8"/>
  <c r="BB237" i="8" l="1"/>
  <c r="BE237" i="8" s="1"/>
  <c r="AW237" i="8"/>
  <c r="BC237" i="8" s="1"/>
  <c r="AU238" i="8" l="1"/>
  <c r="BA238" i="8"/>
  <c r="AY238" i="8"/>
  <c r="AV238" i="8"/>
  <c r="AX238" i="8" s="1"/>
  <c r="BB238" i="8" l="1"/>
  <c r="BE238" i="8" s="1"/>
  <c r="AW238" i="8"/>
  <c r="BC238" i="8" s="1"/>
  <c r="AU239" i="8" l="1"/>
  <c r="AY239" i="8"/>
  <c r="AV239" i="8"/>
  <c r="AX239" i="8" s="1"/>
  <c r="BA239" i="8"/>
  <c r="BB239" i="8" l="1"/>
  <c r="BE239" i="8" s="1"/>
  <c r="AW239" i="8"/>
  <c r="BC239" i="8" s="1"/>
  <c r="BA240" i="8" l="1"/>
  <c r="AV240" i="8"/>
  <c r="AU240" i="8"/>
  <c r="AY240" i="8"/>
  <c r="AX240" i="8"/>
  <c r="BB240" i="8" l="1"/>
  <c r="BE240" i="8" s="1"/>
  <c r="AW240" i="8"/>
  <c r="BC240" i="8" s="1"/>
  <c r="AU241" i="8" l="1"/>
  <c r="AV241" i="8"/>
  <c r="AX241" i="8" s="1"/>
  <c r="AY241" i="8"/>
  <c r="BA241" i="8"/>
  <c r="AW241" i="8" l="1"/>
  <c r="BC241" i="8" s="1"/>
  <c r="BB241" i="8"/>
  <c r="BE241" i="8" s="1"/>
  <c r="AY242" i="8" l="1"/>
  <c r="AV242" i="8"/>
  <c r="AX242" i="8" s="1"/>
  <c r="AU242" i="8"/>
  <c r="BA242" i="8"/>
  <c r="AW242" i="8" l="1"/>
  <c r="BC242" i="8" s="1"/>
  <c r="BB242" i="8"/>
  <c r="BE242" i="8" s="1"/>
  <c r="AY243" i="8" l="1"/>
  <c r="AU243" i="8"/>
  <c r="BA243" i="8"/>
  <c r="AV243" i="8"/>
  <c r="AX243" i="8" s="1"/>
  <c r="AW243" i="8" l="1"/>
  <c r="BC243" i="8" s="1"/>
  <c r="BB243" i="8"/>
  <c r="BE243" i="8" s="1"/>
  <c r="AU244" i="8" l="1"/>
  <c r="BA244" i="8"/>
  <c r="AY244" i="8"/>
  <c r="AV244" i="8"/>
  <c r="AX244" i="8" s="1"/>
  <c r="AW244" i="8" l="1"/>
  <c r="BC244" i="8" s="1"/>
  <c r="BB244" i="8"/>
  <c r="BE244" i="8" s="1"/>
  <c r="AY245" i="8" l="1"/>
  <c r="AU245" i="8"/>
  <c r="BA245" i="8"/>
  <c r="AV245" i="8"/>
  <c r="AX245" i="8" s="1"/>
  <c r="BB245" i="8" l="1"/>
  <c r="BE245" i="8" s="1"/>
  <c r="AW245" i="8"/>
  <c r="BC245" i="8" s="1"/>
  <c r="AU246" i="8" l="1"/>
  <c r="BA246" i="8"/>
  <c r="AY246" i="8"/>
  <c r="AV246" i="8"/>
  <c r="AX246" i="8" s="1"/>
  <c r="BB246" i="8" l="1"/>
  <c r="BE246" i="8" s="1"/>
  <c r="AW246" i="8"/>
  <c r="BC246" i="8" s="1"/>
  <c r="BA247" i="8" l="1"/>
  <c r="AV247" i="8"/>
  <c r="AX247" i="8" s="1"/>
  <c r="AY247" i="8"/>
  <c r="AU247" i="8"/>
  <c r="BB247" i="8" l="1"/>
  <c r="BE247" i="8" s="1"/>
  <c r="AW247" i="8"/>
  <c r="BC247" i="8" s="1"/>
  <c r="AV248" i="8" l="1"/>
  <c r="AX248" i="8" s="1"/>
  <c r="AW248" i="8" s="1"/>
  <c r="BC248" i="8" s="1"/>
  <c r="AY248" i="8"/>
  <c r="BA248" i="8"/>
  <c r="AU248" i="8"/>
  <c r="BA249" i="8" l="1"/>
  <c r="AU249" i="8"/>
  <c r="AY249" i="8"/>
  <c r="AV249" i="8"/>
  <c r="AX249" i="8" s="1"/>
  <c r="AW249" i="8" s="1"/>
  <c r="BC249" i="8" s="1"/>
  <c r="BB248" i="8"/>
  <c r="BE248" i="8" s="1"/>
  <c r="AY250" i="8" l="1"/>
  <c r="AU250" i="8"/>
  <c r="BA250" i="8"/>
  <c r="AV250" i="8"/>
  <c r="AX250" i="8" s="1"/>
  <c r="BB249" i="8"/>
  <c r="BE249" i="8" s="1"/>
  <c r="BB250" i="8" l="1"/>
  <c r="BE250" i="8" s="1"/>
  <c r="AW250" i="8"/>
  <c r="BC250" i="8" s="1"/>
  <c r="BA251" i="8" l="1"/>
  <c r="AU251" i="8"/>
  <c r="AY251" i="8"/>
  <c r="AV251" i="8"/>
  <c r="AX251" i="8" s="1"/>
  <c r="BB251" i="8" l="1"/>
  <c r="BE251" i="8" s="1"/>
  <c r="AW251" i="8"/>
  <c r="BC251" i="8" s="1"/>
  <c r="BA252" i="8" l="1"/>
  <c r="AV252" i="8"/>
  <c r="AU252" i="8"/>
  <c r="AY252" i="8"/>
  <c r="AX252" i="8"/>
  <c r="BB252" i="8" l="1"/>
  <c r="BE252" i="8" s="1"/>
  <c r="AW252" i="8"/>
  <c r="BC252" i="8" s="1"/>
  <c r="AU253" i="8" l="1"/>
  <c r="BA253" i="8"/>
  <c r="AY253" i="8"/>
  <c r="AV253" i="8"/>
  <c r="AX253" i="8" s="1"/>
  <c r="BB253" i="8" l="1"/>
  <c r="BE253" i="8" s="1"/>
  <c r="AW253" i="8"/>
  <c r="BC253" i="8" s="1"/>
  <c r="AU254" i="8" l="1"/>
  <c r="AY254" i="8"/>
  <c r="BA254" i="8"/>
  <c r="AV254" i="8"/>
  <c r="AX254" i="8" s="1"/>
  <c r="AW254" i="8" l="1"/>
  <c r="BC254" i="8" s="1"/>
  <c r="BB254" i="8"/>
  <c r="BE254" i="8" s="1"/>
  <c r="AV255" i="8" l="1"/>
  <c r="AX255" i="8" s="1"/>
  <c r="BA255" i="8"/>
  <c r="AY255" i="8"/>
  <c r="AU255" i="8"/>
  <c r="BB255" i="8" l="1"/>
  <c r="BE255" i="8" s="1"/>
  <c r="AW255" i="8"/>
  <c r="BC255" i="8" s="1"/>
  <c r="AY256" i="8" l="1"/>
  <c r="AV256" i="8"/>
  <c r="AX256" i="8" s="1"/>
  <c r="AU256" i="8"/>
  <c r="BA256" i="8"/>
  <c r="BB256" i="8" l="1"/>
  <c r="BE256" i="8" s="1"/>
  <c r="AW256" i="8"/>
  <c r="BC256" i="8" s="1"/>
  <c r="BA257" i="8" l="1"/>
  <c r="AV257" i="8"/>
  <c r="AX257" i="8" s="1"/>
  <c r="AU257" i="8"/>
  <c r="AY257" i="8"/>
  <c r="BB257" i="8" l="1"/>
  <c r="BE257" i="8" s="1"/>
  <c r="AW257" i="8"/>
  <c r="BC257" i="8" s="1"/>
  <c r="AY258" i="8" l="1"/>
  <c r="BA258" i="8"/>
  <c r="AV258" i="8"/>
  <c r="AX258" i="8" s="1"/>
  <c r="BB258" i="8" s="1"/>
  <c r="BE258" i="8" s="1"/>
  <c r="AU258" i="8"/>
  <c r="AW258" i="8" l="1"/>
  <c r="BC258" i="8" s="1"/>
  <c r="BA259" i="8" l="1"/>
  <c r="AV259" i="8"/>
  <c r="AX259" i="8" s="1"/>
  <c r="AU259" i="8"/>
  <c r="AY259" i="8"/>
  <c r="BB259" i="8" l="1"/>
  <c r="BE259" i="8" s="1"/>
  <c r="AW259" i="8"/>
  <c r="BC259" i="8" s="1"/>
  <c r="BA260" i="8" l="1"/>
  <c r="AU260" i="8"/>
  <c r="AV260" i="8"/>
  <c r="AX260" i="8" s="1"/>
  <c r="AW260" i="8" s="1"/>
  <c r="BC260" i="8" s="1"/>
  <c r="AY260" i="8"/>
  <c r="BB260" i="8" l="1"/>
  <c r="BE260" i="8" s="1"/>
  <c r="AV261" i="8"/>
  <c r="AY261" i="8"/>
  <c r="AU261" i="8"/>
  <c r="BA261" i="8"/>
  <c r="AX261" i="8"/>
  <c r="BB261" i="8" l="1"/>
  <c r="BE261" i="8" s="1"/>
  <c r="AW261" i="8"/>
  <c r="BC261" i="8" s="1"/>
  <c r="AU262" i="8" l="1"/>
  <c r="AY262" i="8"/>
  <c r="AV262" i="8"/>
  <c r="AX262" i="8" s="1"/>
  <c r="BA262" i="8"/>
  <c r="BB262" i="8" l="1"/>
  <c r="BE262" i="8" s="1"/>
  <c r="AW262" i="8"/>
  <c r="BC262" i="8" s="1"/>
  <c r="BA263" i="8" l="1"/>
  <c r="AV263" i="8"/>
  <c r="AX263" i="8" s="1"/>
  <c r="AU263" i="8"/>
  <c r="AY263" i="8"/>
  <c r="BB263" i="8" l="1"/>
  <c r="BE263" i="8" s="1"/>
  <c r="AW263" i="8"/>
  <c r="BC263" i="8" s="1"/>
  <c r="AY264" i="8" l="1"/>
  <c r="AV264" i="8"/>
  <c r="AX264" i="8" s="1"/>
  <c r="AW264" i="8" s="1"/>
  <c r="BC264" i="8" s="1"/>
  <c r="AU264" i="8"/>
  <c r="BA264" i="8"/>
  <c r="BB264" i="8" l="1"/>
  <c r="BE264" i="8" s="1"/>
  <c r="BE21" i="8"/>
  <c r="AW20" i="8"/>
  <c r="D13" i="18" s="1"/>
  <c r="AE21" i="20" l="1"/>
  <c r="AD21" i="20" s="1"/>
  <c r="AC21" i="20" s="1"/>
  <c r="AD17" i="20"/>
  <c r="AC17" i="20" s="1"/>
  <c r="Y3" i="17" l="1"/>
  <c r="X2" i="17"/>
  <c r="C29" i="17" s="1"/>
  <c r="H32" i="17" l="1"/>
  <c r="K32" i="17"/>
  <c r="K15" i="20"/>
  <c r="H16" i="20" s="1"/>
  <c r="K33" i="17"/>
  <c r="L33" i="17"/>
  <c r="L35" i="17" s="1"/>
  <c r="H33" i="17"/>
  <c r="I33" i="17"/>
  <c r="I36" i="17" s="1"/>
  <c r="G51" i="17" l="1"/>
  <c r="G50" i="17"/>
  <c r="G43" i="17"/>
  <c r="K35" i="17"/>
  <c r="K37" i="17"/>
  <c r="H37" i="17"/>
  <c r="G46" i="17"/>
  <c r="C16" i="20"/>
  <c r="K44" i="17"/>
  <c r="K40" i="17"/>
  <c r="K50" i="17"/>
  <c r="K43" i="17"/>
  <c r="K54" i="17"/>
  <c r="K41" i="17"/>
  <c r="K42" i="17"/>
  <c r="K53" i="17"/>
  <c r="K34" i="17"/>
  <c r="K52" i="17"/>
  <c r="K46" i="17"/>
  <c r="G16" i="20"/>
  <c r="K36" i="17"/>
  <c r="B16" i="20"/>
  <c r="K51" i="17"/>
  <c r="L44" i="17"/>
  <c r="L41" i="17"/>
  <c r="L50" i="17"/>
  <c r="L43" i="17"/>
  <c r="L40" i="17"/>
  <c r="L42" i="17"/>
  <c r="L46" i="17"/>
  <c r="L36" i="17"/>
  <c r="D16" i="20"/>
  <c r="AD12" i="20" s="1"/>
  <c r="G44" i="17"/>
  <c r="H50" i="17"/>
  <c r="H34" i="17"/>
  <c r="H43" i="17"/>
  <c r="G48" i="17"/>
  <c r="H54" i="17"/>
  <c r="G37" i="17"/>
  <c r="H52" i="17"/>
  <c r="H51" i="17"/>
  <c r="H41" i="17"/>
  <c r="I40" i="17"/>
  <c r="G42" i="17"/>
  <c r="G45" i="17"/>
  <c r="H35" i="17"/>
  <c r="H44" i="17"/>
  <c r="G39" i="17"/>
  <c r="I46" i="17"/>
  <c r="H40" i="17"/>
  <c r="G53" i="17"/>
  <c r="I44" i="17"/>
  <c r="I50" i="17"/>
  <c r="I41" i="17"/>
  <c r="I43" i="17"/>
  <c r="G41" i="17"/>
  <c r="H46" i="17"/>
  <c r="H36" i="17"/>
  <c r="G35" i="17"/>
  <c r="I42" i="17"/>
  <c r="G52" i="17"/>
  <c r="G40" i="17"/>
  <c r="G36" i="17"/>
  <c r="G34" i="17"/>
  <c r="G55" i="17"/>
  <c r="I35" i="17"/>
  <c r="H42" i="17"/>
  <c r="G54" i="17"/>
  <c r="H53" i="17"/>
  <c r="L45" i="17" l="1"/>
  <c r="I45" i="17"/>
  <c r="E16" i="20"/>
  <c r="I16" i="20" s="1"/>
  <c r="J16" i="20" s="1"/>
  <c r="K55" i="17"/>
  <c r="K45" i="17"/>
  <c r="H55" i="17"/>
  <c r="H45" i="17"/>
  <c r="F16" i="20" l="1"/>
  <c r="K16" i="20" s="1"/>
  <c r="B17" i="20" l="1"/>
  <c r="H17" i="20"/>
  <c r="D17" i="20"/>
  <c r="E17" i="20" s="1"/>
  <c r="I17" i="20" s="1"/>
  <c r="C17" i="20"/>
  <c r="G17" i="20" l="1"/>
  <c r="J17" i="20" s="1"/>
  <c r="F17" i="20" l="1"/>
  <c r="K17" i="20" s="1"/>
  <c r="H18" i="20" s="1"/>
  <c r="B18" i="20" l="1"/>
  <c r="D18" i="20"/>
  <c r="E18" i="20" s="1"/>
  <c r="C18" i="20"/>
  <c r="G18" i="20"/>
  <c r="I18" i="20"/>
  <c r="J18" i="20" l="1"/>
  <c r="F18" i="20"/>
  <c r="K18" i="20" s="1"/>
  <c r="H19" i="20" s="1"/>
  <c r="B19" i="20" l="1"/>
  <c r="D19" i="20"/>
  <c r="E19" i="20" s="1"/>
  <c r="C19" i="20"/>
  <c r="G19" i="20" l="1"/>
  <c r="I19" i="20"/>
  <c r="J19" i="20" l="1"/>
  <c r="F19" i="20"/>
  <c r="K19" i="20" s="1"/>
  <c r="H20" i="20" s="1"/>
  <c r="B20" i="20" l="1"/>
  <c r="D20" i="20"/>
  <c r="E20" i="20" s="1"/>
  <c r="C20" i="20"/>
  <c r="I20" i="20" l="1"/>
  <c r="G20" i="20"/>
  <c r="J20" i="20" l="1"/>
  <c r="F20" i="20"/>
  <c r="K20" i="20" s="1"/>
  <c r="H21" i="20" s="1"/>
  <c r="B21" i="20" l="1"/>
  <c r="C21" i="20"/>
  <c r="D21" i="20"/>
  <c r="E21" i="20" s="1"/>
  <c r="G21" i="20" l="1"/>
  <c r="I21" i="20"/>
  <c r="J21" i="20" l="1"/>
  <c r="F21" i="20"/>
  <c r="K21" i="20" s="1"/>
  <c r="H22" i="20" s="1"/>
  <c r="D22" i="20" l="1"/>
  <c r="E22" i="20" s="1"/>
  <c r="B22" i="20"/>
  <c r="C22" i="20"/>
  <c r="I22" i="20" l="1"/>
  <c r="G22" i="20"/>
  <c r="J22" i="20" l="1"/>
  <c r="F22" i="20"/>
  <c r="K22" i="20" s="1"/>
  <c r="H23" i="20" s="1"/>
  <c r="B23" i="20" l="1"/>
  <c r="C23" i="20"/>
  <c r="D23" i="20"/>
  <c r="E23" i="20" s="1"/>
  <c r="I23" i="20" l="1"/>
  <c r="G23" i="20"/>
  <c r="J23" i="20" l="1"/>
  <c r="F23" i="20"/>
  <c r="K23" i="20" s="1"/>
  <c r="H24" i="20" s="1"/>
  <c r="D24" i="20" l="1"/>
  <c r="E24" i="20" s="1"/>
  <c r="B24" i="20"/>
  <c r="C24" i="20"/>
  <c r="G24" i="20" l="1"/>
  <c r="I24" i="20"/>
  <c r="J24" i="20" l="1"/>
  <c r="F24" i="20"/>
  <c r="K24" i="20" s="1"/>
  <c r="H25" i="20" s="1"/>
  <c r="B25" i="20" l="1"/>
  <c r="C25" i="20"/>
  <c r="D25" i="20"/>
  <c r="E25" i="20" s="1"/>
  <c r="G25" i="20" s="1"/>
  <c r="F25" i="20" l="1"/>
  <c r="K25" i="20" s="1"/>
  <c r="H26" i="20" s="1"/>
  <c r="I25" i="20"/>
  <c r="J25" i="20" s="1"/>
  <c r="B26" i="20" l="1"/>
  <c r="C26" i="20"/>
  <c r="D26" i="20"/>
  <c r="E26" i="20" s="1"/>
  <c r="G26" i="20" s="1"/>
  <c r="F26" i="20" l="1"/>
  <c r="K26" i="20" s="1"/>
  <c r="H27" i="20" s="1"/>
  <c r="I26" i="20"/>
  <c r="J26" i="20" s="1"/>
  <c r="D27" i="20" l="1"/>
  <c r="C27" i="20"/>
  <c r="B27" i="20"/>
  <c r="E27" i="20"/>
  <c r="G27" i="20" s="1"/>
  <c r="F27" i="20" l="1"/>
  <c r="K27" i="20" s="1"/>
  <c r="H28" i="20" s="1"/>
  <c r="I27" i="20"/>
  <c r="J27" i="20" s="1"/>
  <c r="C28" i="20" l="1"/>
  <c r="B28" i="20"/>
  <c r="D28" i="20"/>
  <c r="E28" i="20" s="1"/>
  <c r="I28" i="20" l="1"/>
  <c r="G28" i="20"/>
  <c r="J28" i="20" l="1"/>
  <c r="F28" i="20"/>
  <c r="K28" i="20" s="1"/>
  <c r="C29" i="20" l="1"/>
  <c r="H29" i="20"/>
  <c r="D29" i="20"/>
  <c r="E29" i="20" s="1"/>
  <c r="I29" i="20" s="1"/>
  <c r="B29" i="20"/>
  <c r="G29" i="20" l="1"/>
  <c r="J29" i="20" s="1"/>
  <c r="F29" i="20" l="1"/>
  <c r="K29" i="20" s="1"/>
  <c r="B30" i="20" l="1"/>
  <c r="H30" i="20"/>
  <c r="D30" i="20"/>
  <c r="E30" i="20" s="1"/>
  <c r="G30" i="20" s="1"/>
  <c r="C30" i="20"/>
  <c r="I30" i="20" l="1"/>
  <c r="J30" i="20" s="1"/>
  <c r="F30" i="20"/>
  <c r="K30" i="20" s="1"/>
  <c r="H31" i="20" s="1"/>
  <c r="B31" i="20" l="1"/>
  <c r="D31" i="20"/>
  <c r="C31" i="20"/>
  <c r="E31" i="20"/>
  <c r="G31" i="20" s="1"/>
  <c r="F31" i="20" l="1"/>
  <c r="K31" i="20" s="1"/>
  <c r="H32" i="20" s="1"/>
  <c r="I31" i="20"/>
  <c r="J31" i="20" s="1"/>
  <c r="C32" i="20" l="1"/>
  <c r="B32" i="20"/>
  <c r="D32" i="20"/>
  <c r="E32" i="20" s="1"/>
  <c r="G32" i="20" s="1"/>
  <c r="F32" i="20" l="1"/>
  <c r="K32" i="20" s="1"/>
  <c r="H33" i="20" s="1"/>
  <c r="I32" i="20"/>
  <c r="J32" i="20" s="1"/>
  <c r="C33" i="20" l="1"/>
  <c r="B33" i="20"/>
  <c r="D33" i="20"/>
  <c r="E33" i="20" s="1"/>
  <c r="G33" i="20" l="1"/>
  <c r="I33" i="20"/>
  <c r="J33" i="20" l="1"/>
  <c r="F33" i="20"/>
  <c r="K33" i="20" s="1"/>
  <c r="H34" i="20" s="1"/>
  <c r="D34" i="20" l="1"/>
  <c r="E34" i="20" s="1"/>
  <c r="G34" i="20" s="1"/>
  <c r="B34" i="20"/>
  <c r="C34" i="20"/>
  <c r="I34" i="20" l="1"/>
  <c r="J34" i="20" s="1"/>
  <c r="F34" i="20"/>
  <c r="K34" i="20" s="1"/>
  <c r="H35" i="20" s="1"/>
  <c r="C35" i="20" l="1"/>
  <c r="D35" i="20"/>
  <c r="E35" i="20" s="1"/>
  <c r="I35" i="20" s="1"/>
  <c r="B35" i="20"/>
  <c r="G35" i="20" l="1"/>
  <c r="J35" i="20" l="1"/>
  <c r="F35" i="20"/>
  <c r="K35" i="20" s="1"/>
  <c r="H36" i="20" s="1"/>
  <c r="C36" i="20" l="1"/>
  <c r="D36" i="20"/>
  <c r="E36" i="20" s="1"/>
  <c r="B36" i="20"/>
  <c r="G36" i="20" l="1"/>
  <c r="I36" i="20"/>
  <c r="J36" i="20" l="1"/>
  <c r="F36" i="20"/>
  <c r="K36" i="20" s="1"/>
  <c r="H37" i="20" s="1"/>
  <c r="D37" i="20" l="1"/>
  <c r="E37" i="20" s="1"/>
  <c r="G37" i="20" s="1"/>
  <c r="C37" i="20"/>
  <c r="B37" i="20"/>
  <c r="F37" i="20" l="1"/>
  <c r="K37" i="20" s="1"/>
  <c r="H38" i="20" s="1"/>
  <c r="I37" i="20"/>
  <c r="J37" i="20" s="1"/>
  <c r="B38" i="20" l="1"/>
  <c r="D38" i="20"/>
  <c r="E38" i="20"/>
  <c r="I38" i="20" s="1"/>
  <c r="C38" i="20"/>
  <c r="G38" i="20" l="1"/>
  <c r="J38" i="20" l="1"/>
  <c r="F38" i="20"/>
  <c r="K38" i="20" s="1"/>
  <c r="H39" i="20" s="1"/>
  <c r="B39" i="20" l="1"/>
  <c r="C39" i="20"/>
  <c r="D39" i="20"/>
  <c r="E39" i="20" s="1"/>
  <c r="G39" i="20" s="1"/>
  <c r="F39" i="20" l="1"/>
  <c r="K39" i="20" s="1"/>
  <c r="H40" i="20" s="1"/>
  <c r="I39" i="20"/>
  <c r="J39" i="20" s="1"/>
  <c r="C40" i="20" l="1"/>
  <c r="B40" i="20"/>
  <c r="D40" i="20"/>
  <c r="E40" i="20" s="1"/>
  <c r="G40" i="20" l="1"/>
  <c r="F40" i="20" s="1"/>
  <c r="K40" i="20" s="1"/>
  <c r="H41" i="20" s="1"/>
  <c r="I40" i="20"/>
  <c r="J40" i="20" l="1"/>
  <c r="D41" i="20"/>
  <c r="E41" i="20" s="1"/>
  <c r="I41" i="20" s="1"/>
  <c r="B41" i="20"/>
  <c r="C41" i="20"/>
  <c r="G41" i="20" l="1"/>
  <c r="F41" i="20" s="1"/>
  <c r="K41" i="20" s="1"/>
  <c r="C42" i="20" l="1"/>
  <c r="H42" i="20"/>
  <c r="J41" i="20"/>
  <c r="D42" i="20"/>
  <c r="E42" i="20" s="1"/>
  <c r="I42" i="20" s="1"/>
  <c r="B42" i="20"/>
  <c r="G42" i="20" l="1"/>
  <c r="J42" i="20" s="1"/>
  <c r="F42" i="20" l="1"/>
  <c r="K42" i="20" s="1"/>
  <c r="B43" i="20" l="1"/>
  <c r="H43" i="20"/>
  <c r="D43" i="20"/>
  <c r="E43" i="20" s="1"/>
  <c r="I43" i="20" s="1"/>
  <c r="C43" i="20"/>
  <c r="G43" i="20"/>
  <c r="J43" i="20" l="1"/>
  <c r="F43" i="20"/>
  <c r="K43" i="20" s="1"/>
  <c r="H44" i="20" s="1"/>
  <c r="B44" i="20" l="1"/>
  <c r="D44" i="20"/>
  <c r="E44" i="20" s="1"/>
  <c r="C44" i="20"/>
  <c r="I44" i="20" l="1"/>
  <c r="G44" i="20"/>
  <c r="J44" i="20" l="1"/>
  <c r="F44" i="20"/>
  <c r="K44" i="20" s="1"/>
  <c r="H45" i="20" s="1"/>
  <c r="C45" i="20" l="1"/>
  <c r="B45" i="20"/>
  <c r="D45" i="20"/>
  <c r="E45" i="20" s="1"/>
  <c r="G45" i="20" l="1"/>
  <c r="I45" i="20"/>
  <c r="J45" i="20" l="1"/>
  <c r="F45" i="20"/>
  <c r="K45" i="20" s="1"/>
  <c r="H46" i="20" s="1"/>
  <c r="B46" i="20" l="1"/>
  <c r="D46" i="20"/>
  <c r="E46" i="20" s="1"/>
  <c r="C46" i="20"/>
  <c r="G46" i="20" l="1"/>
  <c r="I46" i="20"/>
  <c r="J46" i="20" l="1"/>
  <c r="F46" i="20"/>
  <c r="K46" i="20" s="1"/>
  <c r="H47" i="20" s="1"/>
  <c r="D47" i="20" l="1"/>
  <c r="E47" i="20" s="1"/>
  <c r="I47" i="20" s="1"/>
  <c r="C47" i="20"/>
  <c r="B47" i="20"/>
  <c r="G47" i="20" l="1"/>
  <c r="J47" i="20" l="1"/>
  <c r="F47" i="20"/>
  <c r="K47" i="20" s="1"/>
  <c r="H48" i="20" s="1"/>
  <c r="C48" i="20" l="1"/>
  <c r="B48" i="20"/>
  <c r="D48" i="20"/>
  <c r="E48" i="20" s="1"/>
  <c r="I48" i="20" l="1"/>
  <c r="G48" i="20"/>
  <c r="J48" i="20" l="1"/>
  <c r="F48" i="20"/>
  <c r="K48" i="20" s="1"/>
  <c r="H49" i="20" s="1"/>
  <c r="C49" i="20" l="1"/>
  <c r="D49" i="20"/>
  <c r="E49" i="20"/>
  <c r="G49" i="20" s="1"/>
  <c r="B49" i="20"/>
  <c r="F49" i="20" l="1"/>
  <c r="K49" i="20" s="1"/>
  <c r="H50" i="20" s="1"/>
  <c r="I49" i="20"/>
  <c r="J49" i="20" s="1"/>
  <c r="D50" i="20" l="1"/>
  <c r="E50" i="20" s="1"/>
  <c r="C50" i="20"/>
  <c r="B50" i="20"/>
  <c r="I50" i="20" l="1"/>
  <c r="G50" i="20"/>
  <c r="J50" i="20" l="1"/>
  <c r="F50" i="20"/>
  <c r="K50" i="20" s="1"/>
  <c r="H51" i="20" s="1"/>
  <c r="C51" i="20" l="1"/>
  <c r="B51" i="20"/>
  <c r="D51" i="20"/>
  <c r="E51" i="20" s="1"/>
  <c r="I51" i="20" l="1"/>
  <c r="G51" i="20"/>
  <c r="J51" i="20" l="1"/>
  <c r="F51" i="20"/>
  <c r="K51" i="20" s="1"/>
  <c r="C52" i="20" l="1"/>
  <c r="H52" i="20"/>
  <c r="B52" i="20"/>
  <c r="D52" i="20"/>
  <c r="E52" i="20" s="1"/>
  <c r="I52" i="20" s="1"/>
  <c r="G52" i="20" l="1"/>
  <c r="J52" i="20" s="1"/>
  <c r="F52" i="20" l="1"/>
  <c r="K52" i="20" s="1"/>
  <c r="C53" i="20" l="1"/>
  <c r="H53" i="20"/>
  <c r="D53" i="20"/>
  <c r="E53" i="20" s="1"/>
  <c r="I53" i="20" s="1"/>
  <c r="B53" i="20"/>
  <c r="G53" i="20" l="1"/>
  <c r="F53" i="20" s="1"/>
  <c r="K53" i="20" s="1"/>
  <c r="H54" i="20" s="1"/>
  <c r="B54" i="20" l="1"/>
  <c r="D54" i="20"/>
  <c r="E54" i="20" s="1"/>
  <c r="C54" i="20"/>
  <c r="J53" i="20"/>
  <c r="I54" i="20"/>
  <c r="G54" i="20"/>
  <c r="J54" i="20" l="1"/>
  <c r="F54" i="20"/>
  <c r="K54" i="20" s="1"/>
  <c r="H55" i="20" s="1"/>
  <c r="C55" i="20" l="1"/>
  <c r="B55" i="20"/>
  <c r="D55" i="20"/>
  <c r="E55" i="20" s="1"/>
  <c r="G55" i="20" l="1"/>
  <c r="I55" i="20"/>
  <c r="J55" i="20" l="1"/>
  <c r="F55" i="20"/>
  <c r="K55" i="20" s="1"/>
  <c r="H56" i="20" s="1"/>
  <c r="B56" i="20" l="1"/>
  <c r="C56" i="20"/>
  <c r="D56" i="20"/>
  <c r="E56" i="20" s="1"/>
  <c r="I56" i="20" l="1"/>
  <c r="G56" i="20"/>
  <c r="J56" i="20" l="1"/>
  <c r="F56" i="20"/>
  <c r="K56" i="20" s="1"/>
  <c r="H57" i="20" s="1"/>
  <c r="B57" i="20" l="1"/>
  <c r="C57" i="20"/>
  <c r="D57" i="20"/>
  <c r="E57" i="20" s="1"/>
  <c r="I57" i="20" s="1"/>
  <c r="G57" i="20" l="1"/>
  <c r="J57" i="20" l="1"/>
  <c r="F57" i="20"/>
  <c r="K57" i="20" s="1"/>
  <c r="H58" i="20" s="1"/>
  <c r="D58" i="20" l="1"/>
  <c r="C58" i="20"/>
  <c r="E58" i="20"/>
  <c r="I58" i="20" s="1"/>
  <c r="B58" i="20"/>
  <c r="G58" i="20" l="1"/>
  <c r="J58" i="20" s="1"/>
  <c r="F58" i="20" l="1"/>
  <c r="K58" i="20" s="1"/>
  <c r="D59" i="20" l="1"/>
  <c r="H59" i="20"/>
  <c r="C59" i="20"/>
  <c r="E59" i="20"/>
  <c r="I59" i="20" s="1"/>
  <c r="B59" i="20"/>
  <c r="G59" i="20"/>
  <c r="J59" i="20" l="1"/>
  <c r="F59" i="20"/>
  <c r="K59" i="20" s="1"/>
  <c r="H60" i="20" s="1"/>
  <c r="D60" i="20" l="1"/>
  <c r="E60" i="20" s="1"/>
  <c r="C60" i="20"/>
  <c r="B60" i="20"/>
  <c r="I60" i="20" l="1"/>
  <c r="G60" i="20"/>
  <c r="J60" i="20" l="1"/>
  <c r="F60" i="20"/>
  <c r="K60" i="20" s="1"/>
  <c r="H61" i="20" s="1"/>
  <c r="D61" i="20" l="1"/>
  <c r="E61" i="20" s="1"/>
  <c r="B61" i="20"/>
  <c r="C61" i="20"/>
  <c r="G61" i="20" l="1"/>
  <c r="I61" i="20"/>
  <c r="J61" i="20" l="1"/>
  <c r="F61" i="20"/>
  <c r="K61" i="20" s="1"/>
  <c r="H62" i="20" s="1"/>
  <c r="B62" i="20" l="1"/>
  <c r="C62" i="20"/>
  <c r="D62" i="20"/>
  <c r="E62" i="20" s="1"/>
  <c r="G62" i="20" l="1"/>
  <c r="I62" i="20"/>
  <c r="J62" i="20" l="1"/>
  <c r="F62" i="20"/>
  <c r="K62" i="20" s="1"/>
  <c r="H63" i="20" s="1"/>
  <c r="B63" i="20" l="1"/>
  <c r="D63" i="20"/>
  <c r="E63" i="20" s="1"/>
  <c r="C63" i="20"/>
  <c r="G63" i="20" l="1"/>
  <c r="I63" i="20"/>
  <c r="J63" i="20" l="1"/>
  <c r="F63" i="20"/>
  <c r="K63" i="20" s="1"/>
  <c r="H64" i="20" s="1"/>
  <c r="C64" i="20" l="1"/>
  <c r="B64" i="20"/>
  <c r="D64" i="20"/>
  <c r="E64" i="20" s="1"/>
  <c r="G64" i="20" l="1"/>
  <c r="I64" i="20"/>
  <c r="J64" i="20" l="1"/>
  <c r="F64" i="20"/>
  <c r="K64" i="20" s="1"/>
  <c r="H65" i="20" s="1"/>
  <c r="C65" i="20" l="1"/>
  <c r="D65" i="20"/>
  <c r="B65" i="20"/>
  <c r="E65" i="20"/>
  <c r="I65" i="20" s="1"/>
  <c r="G65" i="20" l="1"/>
  <c r="J65" i="20" l="1"/>
  <c r="F65" i="20"/>
  <c r="K65" i="20" s="1"/>
  <c r="H66" i="20" s="1"/>
  <c r="B66" i="20" l="1"/>
  <c r="D66" i="20"/>
  <c r="E66" i="20"/>
  <c r="G66" i="20" s="1"/>
  <c r="C66" i="20"/>
  <c r="I66" i="20" l="1"/>
  <c r="J66" i="20" s="1"/>
  <c r="F66" i="20"/>
  <c r="K66" i="20" s="1"/>
  <c r="H67" i="20" s="1"/>
  <c r="B67" i="20" l="1"/>
  <c r="D67" i="20"/>
  <c r="E67" i="20" s="1"/>
  <c r="C67" i="20"/>
  <c r="I67" i="20" l="1"/>
  <c r="G67" i="20"/>
  <c r="J67" i="20" l="1"/>
  <c r="F67" i="20"/>
  <c r="K67" i="20" s="1"/>
  <c r="H68" i="20" s="1"/>
  <c r="B68" i="20" l="1"/>
  <c r="D68" i="20"/>
  <c r="E68" i="20" s="1"/>
  <c r="I68" i="20" s="1"/>
  <c r="C68" i="20"/>
  <c r="G68" i="20" l="1"/>
  <c r="J68" i="20" l="1"/>
  <c r="F68" i="20"/>
  <c r="K68" i="20" s="1"/>
  <c r="H69" i="20" s="1"/>
  <c r="D69" i="20" l="1"/>
  <c r="E69" i="20" s="1"/>
  <c r="B69" i="20"/>
  <c r="C69" i="20"/>
  <c r="I69" i="20" l="1"/>
  <c r="G69" i="20"/>
  <c r="J69" i="20" l="1"/>
  <c r="F69" i="20"/>
  <c r="K69" i="20" s="1"/>
  <c r="H70" i="20" s="1"/>
  <c r="C70" i="20" l="1"/>
  <c r="D70" i="20"/>
  <c r="E70" i="20" s="1"/>
  <c r="B70" i="20"/>
  <c r="G70" i="20" l="1"/>
  <c r="I70" i="20"/>
  <c r="J70" i="20" l="1"/>
  <c r="F70" i="20"/>
  <c r="K70" i="20" s="1"/>
  <c r="H71" i="20" s="1"/>
  <c r="D71" i="20" l="1"/>
  <c r="E71" i="20" s="1"/>
  <c r="B71" i="20"/>
  <c r="C71" i="20"/>
  <c r="G71" i="20" l="1"/>
  <c r="I71" i="20"/>
  <c r="J71" i="20" l="1"/>
  <c r="F71" i="20"/>
  <c r="K71" i="20" s="1"/>
  <c r="H72" i="20" s="1"/>
  <c r="B72" i="20" l="1"/>
  <c r="D72" i="20"/>
  <c r="E72" i="20" s="1"/>
  <c r="C72" i="20"/>
  <c r="I72" i="20" l="1"/>
  <c r="G72" i="20"/>
  <c r="J72" i="20" l="1"/>
  <c r="F72" i="20"/>
  <c r="K72" i="20" s="1"/>
  <c r="H73" i="20" s="1"/>
  <c r="C73" i="20" l="1"/>
  <c r="D73" i="20"/>
  <c r="B73" i="20"/>
  <c r="E73" i="20"/>
  <c r="I73" i="20" s="1"/>
  <c r="G73" i="20" l="1"/>
  <c r="J73" i="20" s="1"/>
  <c r="F73" i="20" l="1"/>
  <c r="K73" i="20" s="1"/>
  <c r="H74" i="20" s="1"/>
  <c r="D74" i="20" l="1"/>
  <c r="E74" i="20" s="1"/>
  <c r="C74" i="20"/>
  <c r="B74" i="20"/>
  <c r="I74" i="20"/>
  <c r="G74" i="20"/>
  <c r="J74" i="20" l="1"/>
  <c r="F74" i="20"/>
  <c r="K74" i="20" s="1"/>
  <c r="H75" i="20" s="1"/>
  <c r="C75" i="20" l="1"/>
  <c r="B75" i="20"/>
  <c r="D75" i="20"/>
  <c r="E75" i="20" s="1"/>
  <c r="I75" i="20" l="1"/>
  <c r="G75" i="20"/>
  <c r="F75" i="20" s="1"/>
  <c r="K75" i="20" s="1"/>
  <c r="C76" i="20" l="1"/>
  <c r="H76" i="20"/>
  <c r="J75" i="20"/>
  <c r="D76" i="20"/>
  <c r="E76" i="20" s="1"/>
  <c r="I76" i="20" s="1"/>
  <c r="B76" i="20"/>
  <c r="G76" i="20" l="1"/>
  <c r="J76" i="20" s="1"/>
  <c r="F76" i="20"/>
  <c r="K76" i="20" s="1"/>
  <c r="H77" i="20" s="1"/>
  <c r="D77" i="20" l="1"/>
  <c r="E77" i="20" s="1"/>
  <c r="I77" i="20" s="1"/>
  <c r="C77" i="20"/>
  <c r="B77" i="20"/>
  <c r="G77" i="20" l="1"/>
  <c r="J77" i="20" l="1"/>
  <c r="F77" i="20"/>
  <c r="K77" i="20" s="1"/>
  <c r="H78" i="20" s="1"/>
  <c r="B78" i="20" l="1"/>
  <c r="C78" i="20"/>
  <c r="D78" i="20"/>
  <c r="E78" i="20" s="1"/>
  <c r="G78" i="20" l="1"/>
  <c r="I78" i="20"/>
  <c r="J78" i="20" l="1"/>
  <c r="F78" i="20"/>
  <c r="K78" i="20" s="1"/>
  <c r="H79" i="20" s="1"/>
  <c r="B79" i="20" l="1"/>
  <c r="D79" i="20"/>
  <c r="E79" i="20" s="1"/>
  <c r="I79" i="20" s="1"/>
  <c r="C79" i="20"/>
  <c r="G79" i="20" l="1"/>
  <c r="J79" i="20" l="1"/>
  <c r="F79" i="20"/>
  <c r="K79" i="20" s="1"/>
  <c r="H80" i="20" s="1"/>
  <c r="B80" i="20" l="1"/>
  <c r="C80" i="20"/>
  <c r="D80" i="20"/>
  <c r="E80" i="20" s="1"/>
  <c r="G80" i="20" l="1"/>
  <c r="F80" i="20" s="1"/>
  <c r="K80" i="20" s="1"/>
  <c r="H81" i="20" s="1"/>
  <c r="I80" i="20"/>
  <c r="J80" i="20" l="1"/>
  <c r="B81" i="20"/>
  <c r="D81" i="20"/>
  <c r="E81" i="20" s="1"/>
  <c r="C81" i="20"/>
  <c r="I81" i="20" l="1"/>
  <c r="G81" i="20"/>
  <c r="J81" i="20" l="1"/>
  <c r="F81" i="20"/>
  <c r="K81" i="20" s="1"/>
  <c r="H82" i="20" s="1"/>
  <c r="D82" i="20" l="1"/>
  <c r="E82" i="20"/>
  <c r="G82" i="20" s="1"/>
  <c r="C82" i="20"/>
  <c r="I82" i="20"/>
  <c r="B82" i="20"/>
  <c r="J82" i="20" l="1"/>
  <c r="F82" i="20"/>
  <c r="K82" i="20" s="1"/>
  <c r="H83" i="20" s="1"/>
  <c r="D83" i="20" l="1"/>
  <c r="E83" i="20" s="1"/>
  <c r="B83" i="20"/>
  <c r="C83" i="20"/>
  <c r="I83" i="20" l="1"/>
  <c r="G83" i="20"/>
  <c r="J83" i="20" l="1"/>
  <c r="F83" i="20"/>
  <c r="K83" i="20" s="1"/>
  <c r="H84" i="20" s="1"/>
  <c r="C84" i="20" l="1"/>
  <c r="D84" i="20"/>
  <c r="E84" i="20" s="1"/>
  <c r="B84" i="20"/>
  <c r="I84" i="20" l="1"/>
  <c r="G84" i="20"/>
  <c r="J84" i="20" l="1"/>
  <c r="F84" i="20"/>
  <c r="K84" i="20" s="1"/>
  <c r="H85" i="20" s="1"/>
  <c r="C85" i="20" l="1"/>
  <c r="D85" i="20"/>
  <c r="E85" i="20" s="1"/>
  <c r="B85" i="20"/>
  <c r="G85" i="20" l="1"/>
  <c r="I85" i="20"/>
  <c r="J85" i="20" l="1"/>
  <c r="F85" i="20"/>
  <c r="K85" i="20" s="1"/>
  <c r="H86" i="20" s="1"/>
  <c r="C86" i="20" l="1"/>
  <c r="D86" i="20"/>
  <c r="E86" i="20" s="1"/>
  <c r="B86" i="20"/>
  <c r="I86" i="20" l="1"/>
  <c r="G86" i="20"/>
  <c r="J86" i="20" l="1"/>
  <c r="F86" i="20"/>
  <c r="K86" i="20" s="1"/>
  <c r="H87" i="20" s="1"/>
  <c r="B87" i="20" l="1"/>
  <c r="C87" i="20"/>
  <c r="D87" i="20"/>
  <c r="E87" i="20" s="1"/>
  <c r="G87" i="20" l="1"/>
  <c r="I87" i="20"/>
  <c r="J87" i="20" l="1"/>
  <c r="F87" i="20"/>
  <c r="K87" i="20" s="1"/>
  <c r="H88" i="20" s="1"/>
  <c r="D88" i="20" l="1"/>
  <c r="E88" i="20" s="1"/>
  <c r="I88" i="20" s="1"/>
  <c r="C88" i="20"/>
  <c r="B88" i="20"/>
  <c r="G88" i="20" l="1"/>
  <c r="J88" i="20" s="1"/>
  <c r="F88" i="20" l="1"/>
  <c r="K88" i="20" s="1"/>
  <c r="C89" i="20" l="1"/>
  <c r="H89" i="20"/>
  <c r="D89" i="20"/>
  <c r="E89" i="20" s="1"/>
  <c r="I89" i="20" s="1"/>
  <c r="B89" i="20"/>
  <c r="G89" i="20" l="1"/>
  <c r="J89" i="20" s="1"/>
  <c r="F89" i="20"/>
  <c r="K89" i="20" s="1"/>
  <c r="H90" i="20" s="1"/>
  <c r="C90" i="20" l="1"/>
  <c r="D90" i="20"/>
  <c r="E90" i="20" s="1"/>
  <c r="B90" i="20"/>
  <c r="G90" i="20" l="1"/>
  <c r="I90" i="20"/>
  <c r="F90" i="20"/>
  <c r="K90" i="20" s="1"/>
  <c r="H91" i="20" s="1"/>
  <c r="J90" i="20" l="1"/>
  <c r="C91" i="20"/>
  <c r="D91" i="20"/>
  <c r="E91" i="20"/>
  <c r="I91" i="20" s="1"/>
  <c r="B91" i="20"/>
  <c r="G91" i="20" l="1"/>
  <c r="J91" i="20" l="1"/>
  <c r="F91" i="20"/>
  <c r="K91" i="20" s="1"/>
  <c r="H92" i="20" s="1"/>
  <c r="C92" i="20" l="1"/>
  <c r="D92" i="20"/>
  <c r="E92" i="20" s="1"/>
  <c r="B92" i="20"/>
  <c r="I92" i="20" l="1"/>
  <c r="G92" i="20"/>
  <c r="J92" i="20" l="1"/>
  <c r="F92" i="20"/>
  <c r="K92" i="20" s="1"/>
  <c r="H93" i="20" s="1"/>
  <c r="D93" i="20" l="1"/>
  <c r="E93" i="20" s="1"/>
  <c r="C93" i="20"/>
  <c r="B93" i="20"/>
  <c r="G93" i="20" l="1"/>
  <c r="I93" i="20"/>
  <c r="J93" i="20" l="1"/>
  <c r="F93" i="20"/>
  <c r="K93" i="20" s="1"/>
  <c r="H94" i="20" s="1"/>
  <c r="D94" i="20" l="1"/>
  <c r="E94" i="20" s="1"/>
  <c r="C94" i="20"/>
  <c r="B94" i="20"/>
  <c r="I94" i="20" l="1"/>
  <c r="G94" i="20"/>
  <c r="J94" i="20" l="1"/>
  <c r="F94" i="20"/>
  <c r="K94" i="20" s="1"/>
  <c r="H95" i="20" s="1"/>
  <c r="C95" i="20" l="1"/>
  <c r="D95" i="20"/>
  <c r="E95" i="20" s="1"/>
  <c r="I95" i="20" s="1"/>
  <c r="B95" i="20"/>
  <c r="G95" i="20" l="1"/>
  <c r="J95" i="20" l="1"/>
  <c r="F95" i="20"/>
  <c r="K95" i="20" s="1"/>
  <c r="H96" i="20" s="1"/>
  <c r="B96" i="20" l="1"/>
  <c r="C96" i="20"/>
  <c r="D96" i="20"/>
  <c r="E96" i="20" s="1"/>
  <c r="I96" i="20" l="1"/>
  <c r="G96" i="20"/>
  <c r="F96" i="20" s="1"/>
  <c r="K96" i="20" s="1"/>
  <c r="D97" i="20" l="1"/>
  <c r="H97" i="20"/>
  <c r="B97" i="20"/>
  <c r="C97" i="20"/>
  <c r="E97" i="20"/>
  <c r="I97" i="20" s="1"/>
  <c r="J96" i="20"/>
  <c r="G97" i="20" l="1"/>
  <c r="F97" i="20" l="1"/>
  <c r="K97" i="20" s="1"/>
  <c r="H98" i="20" s="1"/>
  <c r="J97" i="20"/>
  <c r="B98" i="20" l="1"/>
  <c r="C98" i="20"/>
  <c r="D98" i="20"/>
  <c r="E98" i="20" s="1"/>
  <c r="I98" i="20" l="1"/>
  <c r="G98" i="20"/>
  <c r="J98" i="20" l="1"/>
  <c r="F98" i="20"/>
  <c r="K98" i="20" s="1"/>
  <c r="H99" i="20" s="1"/>
  <c r="B99" i="20" l="1"/>
  <c r="C99" i="20"/>
  <c r="D99" i="20"/>
  <c r="E99" i="20" s="1"/>
  <c r="G99" i="20" s="1"/>
  <c r="I99" i="20" l="1"/>
  <c r="J99" i="20" s="1"/>
  <c r="F99" i="20"/>
  <c r="K99" i="20" s="1"/>
  <c r="H100" i="20" s="1"/>
  <c r="D100" i="20" l="1"/>
  <c r="E100" i="20" s="1"/>
  <c r="B100" i="20"/>
  <c r="C100" i="20"/>
  <c r="I100" i="20" l="1"/>
  <c r="G100" i="20"/>
  <c r="F100" i="20" l="1"/>
  <c r="K100" i="20" s="1"/>
  <c r="H101" i="20" s="1"/>
  <c r="J100" i="20"/>
  <c r="D101" i="20" l="1"/>
  <c r="E101" i="20" s="1"/>
  <c r="C101" i="20"/>
  <c r="B101" i="20"/>
  <c r="G101" i="20" l="1"/>
  <c r="I101" i="20"/>
  <c r="F101" i="20" l="1"/>
  <c r="K101" i="20" s="1"/>
  <c r="H102" i="20" s="1"/>
  <c r="J101" i="20"/>
  <c r="C102" i="20" l="1"/>
  <c r="B102" i="20"/>
  <c r="D102" i="20"/>
  <c r="E102" i="20" s="1"/>
  <c r="G102" i="20" l="1"/>
  <c r="I102" i="20"/>
  <c r="F102" i="20" l="1"/>
  <c r="K102" i="20" s="1"/>
  <c r="H103" i="20" s="1"/>
  <c r="J102" i="20"/>
  <c r="B103" i="20" l="1"/>
  <c r="D103" i="20"/>
  <c r="E103" i="20" s="1"/>
  <c r="C103" i="20"/>
  <c r="I103" i="20" l="1"/>
  <c r="G103" i="20"/>
  <c r="J103" i="20" l="1"/>
  <c r="F103" i="20"/>
  <c r="K103" i="20" s="1"/>
  <c r="H104" i="20" s="1"/>
  <c r="C104" i="20" l="1"/>
  <c r="B104" i="20"/>
  <c r="D104" i="20"/>
  <c r="E104" i="20" s="1"/>
  <c r="I104" i="20" l="1"/>
  <c r="G104" i="20"/>
  <c r="J104" i="20" l="1"/>
  <c r="F104" i="20"/>
  <c r="K104" i="20" s="1"/>
  <c r="H105" i="20" s="1"/>
  <c r="D105" i="20" l="1"/>
  <c r="E105" i="20" s="1"/>
  <c r="C105" i="20"/>
  <c r="B105" i="20"/>
  <c r="I105" i="20" l="1"/>
  <c r="G105" i="20"/>
  <c r="J105" i="20" l="1"/>
  <c r="F105" i="20"/>
  <c r="K105" i="20" s="1"/>
  <c r="H106" i="20" s="1"/>
  <c r="D106" i="20" l="1"/>
  <c r="E106" i="20" s="1"/>
  <c r="I106" i="20" s="1"/>
  <c r="B106" i="20"/>
  <c r="C106" i="20"/>
  <c r="G106" i="20" l="1"/>
  <c r="F106" i="20" s="1"/>
  <c r="K106" i="20" s="1"/>
  <c r="C107" i="20" l="1"/>
  <c r="H107" i="20"/>
  <c r="J106" i="20"/>
  <c r="D107" i="20"/>
  <c r="E107" i="20" s="1"/>
  <c r="B107" i="20"/>
  <c r="I107" i="20"/>
  <c r="G107" i="20"/>
  <c r="F107" i="20" l="1"/>
  <c r="K107" i="20" s="1"/>
  <c r="H108" i="20" s="1"/>
  <c r="J107" i="20"/>
  <c r="C108" i="20" l="1"/>
  <c r="D108" i="20"/>
  <c r="E108" i="20" s="1"/>
  <c r="B108" i="20"/>
  <c r="I108" i="20" l="1"/>
  <c r="G108" i="20"/>
  <c r="J108" i="20" l="1"/>
  <c r="F108" i="20"/>
  <c r="K108" i="20" s="1"/>
  <c r="H109" i="20" s="1"/>
  <c r="B109" i="20" l="1"/>
  <c r="C109" i="20"/>
  <c r="D109" i="20"/>
  <c r="E109" i="20" s="1"/>
  <c r="G109" i="20" l="1"/>
  <c r="I109" i="20"/>
  <c r="J109" i="20" l="1"/>
  <c r="F109" i="20"/>
  <c r="K109" i="20" s="1"/>
  <c r="H110" i="20" s="1"/>
  <c r="C110" i="20" l="1"/>
  <c r="D110" i="20"/>
  <c r="E110" i="20" s="1"/>
  <c r="B110" i="20"/>
  <c r="I110" i="20" l="1"/>
  <c r="G110" i="20"/>
  <c r="F110" i="20" l="1"/>
  <c r="K110" i="20" s="1"/>
  <c r="H111" i="20" s="1"/>
  <c r="J110" i="20"/>
  <c r="B111" i="20" l="1"/>
  <c r="D111" i="20"/>
  <c r="E111" i="20" s="1"/>
  <c r="C111" i="20"/>
  <c r="G111" i="20" l="1"/>
  <c r="I111" i="20"/>
  <c r="F111" i="20" l="1"/>
  <c r="K111" i="20" s="1"/>
  <c r="H112" i="20" s="1"/>
  <c r="J111" i="20"/>
  <c r="B112" i="20" l="1"/>
  <c r="C112" i="20"/>
  <c r="D112" i="20"/>
  <c r="E112" i="20" s="1"/>
  <c r="G112" i="20" s="1"/>
  <c r="F112" i="20" l="1"/>
  <c r="K112" i="20" s="1"/>
  <c r="H113" i="20" s="1"/>
  <c r="I112" i="20"/>
  <c r="J112" i="20" s="1"/>
  <c r="C113" i="20" l="1"/>
  <c r="B113" i="20"/>
  <c r="D113" i="20"/>
  <c r="E113" i="20" s="1"/>
  <c r="I113" i="20" s="1"/>
  <c r="G113" i="20" l="1"/>
  <c r="J113" i="20" s="1"/>
  <c r="F113" i="20" l="1"/>
  <c r="K113" i="20" s="1"/>
  <c r="H114" i="20" s="1"/>
  <c r="D114" i="20" l="1"/>
  <c r="E114" i="20" s="1"/>
  <c r="B114" i="20"/>
  <c r="C114" i="20"/>
  <c r="G114" i="20"/>
  <c r="I114" i="20"/>
  <c r="J114" i="20" l="1"/>
  <c r="F114" i="20"/>
  <c r="K114" i="20" s="1"/>
  <c r="H115" i="20" s="1"/>
  <c r="B115" i="20" l="1"/>
  <c r="D115" i="20"/>
  <c r="E115" i="20" s="1"/>
  <c r="C115" i="20"/>
  <c r="I115" i="20" l="1"/>
  <c r="G115" i="20"/>
  <c r="J115" i="20" l="1"/>
  <c r="F115" i="20"/>
  <c r="K115" i="20" s="1"/>
  <c r="H116" i="20" s="1"/>
  <c r="D116" i="20" l="1"/>
  <c r="E116" i="20" s="1"/>
  <c r="G116" i="20" s="1"/>
  <c r="B116" i="20"/>
  <c r="C116" i="20"/>
  <c r="F116" i="20" l="1"/>
  <c r="K116" i="20" s="1"/>
  <c r="H117" i="20" s="1"/>
  <c r="I116" i="20"/>
  <c r="J116" i="20" s="1"/>
  <c r="C117" i="20" l="1"/>
  <c r="D117" i="20"/>
  <c r="E117" i="20" s="1"/>
  <c r="B117" i="20"/>
  <c r="G117" i="20" l="1"/>
  <c r="I117" i="20"/>
  <c r="J117" i="20" l="1"/>
  <c r="F117" i="20"/>
  <c r="K117" i="20" s="1"/>
  <c r="H118" i="20" s="1"/>
  <c r="B118" i="20" l="1"/>
  <c r="C118" i="20"/>
  <c r="D118" i="20"/>
  <c r="E118" i="20" s="1"/>
  <c r="I118" i="20" s="1"/>
  <c r="G118" i="20" l="1"/>
  <c r="J118" i="20" l="1"/>
  <c r="F118" i="20"/>
  <c r="K118" i="20" s="1"/>
  <c r="H119" i="20" s="1"/>
  <c r="C119" i="20" l="1"/>
  <c r="B119" i="20"/>
  <c r="D119" i="20"/>
  <c r="E119" i="20" s="1"/>
  <c r="I119" i="20" s="1"/>
  <c r="G119" i="20" l="1"/>
  <c r="J119" i="20" l="1"/>
  <c r="F119" i="20"/>
  <c r="K119" i="20" s="1"/>
  <c r="H120" i="20" s="1"/>
  <c r="D120" i="20" l="1"/>
  <c r="E120" i="20" s="1"/>
  <c r="C120" i="20"/>
  <c r="B120" i="20"/>
  <c r="G120" i="20" l="1"/>
  <c r="I120" i="20"/>
  <c r="J120" i="20" l="1"/>
  <c r="F120" i="20"/>
  <c r="K120" i="20" s="1"/>
  <c r="B121" i="20" l="1"/>
  <c r="H121" i="20"/>
  <c r="D121" i="20"/>
  <c r="E121" i="20" s="1"/>
  <c r="I121" i="20" s="1"/>
  <c r="C121" i="20"/>
  <c r="G121" i="20" l="1"/>
  <c r="J121" i="20" s="1"/>
  <c r="F121" i="20" l="1"/>
  <c r="K121" i="20" s="1"/>
  <c r="H122" i="20" s="1"/>
  <c r="C122" i="20" l="1"/>
  <c r="D122" i="20"/>
  <c r="E122" i="20" s="1"/>
  <c r="B122" i="20"/>
  <c r="I122" i="20"/>
  <c r="G122" i="20"/>
  <c r="J122" i="20" l="1"/>
  <c r="F122" i="20"/>
  <c r="K122" i="20" s="1"/>
  <c r="H123" i="20" s="1"/>
  <c r="B123" i="20" l="1"/>
  <c r="C123" i="20"/>
  <c r="D123" i="20"/>
  <c r="E123" i="20" s="1"/>
  <c r="I123" i="20" s="1"/>
  <c r="G123" i="20" l="1"/>
  <c r="J123" i="20" l="1"/>
  <c r="F123" i="20"/>
  <c r="K123" i="20" s="1"/>
  <c r="H124" i="20" s="1"/>
  <c r="D124" i="20" l="1"/>
  <c r="E124" i="20" s="1"/>
  <c r="C124" i="20"/>
  <c r="B124" i="20"/>
  <c r="I124" i="20" l="1"/>
  <c r="G124" i="20"/>
  <c r="J124" i="20" l="1"/>
  <c r="F124" i="20"/>
  <c r="K124" i="20" s="1"/>
  <c r="H125" i="20" s="1"/>
  <c r="D125" i="20" l="1"/>
  <c r="E125" i="20" s="1"/>
  <c r="I125" i="20" s="1"/>
  <c r="C125" i="20"/>
  <c r="B125" i="20"/>
  <c r="G125" i="20" l="1"/>
  <c r="J125" i="20" s="1"/>
  <c r="F125" i="20" l="1"/>
  <c r="K125" i="20" s="1"/>
  <c r="H126" i="20" s="1"/>
  <c r="C126" i="20" l="1"/>
  <c r="D126" i="20"/>
  <c r="E126" i="20" s="1"/>
  <c r="G126" i="20" s="1"/>
  <c r="B126" i="20"/>
  <c r="I126" i="20" l="1"/>
  <c r="J126" i="20" s="1"/>
  <c r="F126" i="20"/>
  <c r="K126" i="20" s="1"/>
  <c r="H127" i="20" s="1"/>
  <c r="B127" i="20" l="1"/>
  <c r="D127" i="20"/>
  <c r="E127" i="20" s="1"/>
  <c r="C127" i="20"/>
  <c r="G127" i="20" l="1"/>
  <c r="I127" i="20"/>
  <c r="J127" i="20" l="1"/>
  <c r="F127" i="20"/>
  <c r="K127" i="20" s="1"/>
  <c r="H128" i="20" s="1"/>
  <c r="C128" i="20" l="1"/>
  <c r="B128" i="20"/>
  <c r="D128" i="20"/>
  <c r="E128" i="20" s="1"/>
  <c r="I128" i="20" s="1"/>
  <c r="G128" i="20" l="1"/>
  <c r="J128" i="20" l="1"/>
  <c r="F128" i="20"/>
  <c r="K128" i="20" s="1"/>
  <c r="H129" i="20" s="1"/>
  <c r="B129" i="20" l="1"/>
  <c r="D129" i="20"/>
  <c r="E129" i="20" s="1"/>
  <c r="C129" i="20"/>
  <c r="G129" i="20" l="1"/>
  <c r="I129" i="20"/>
  <c r="J129" i="20" l="1"/>
  <c r="F129" i="20"/>
  <c r="K129" i="20" s="1"/>
  <c r="H130" i="20" s="1"/>
  <c r="B130" i="20" l="1"/>
  <c r="C130" i="20"/>
  <c r="D130" i="20"/>
  <c r="E130" i="20" s="1"/>
  <c r="I130" i="20" l="1"/>
  <c r="G130" i="20"/>
  <c r="J130" i="20" l="1"/>
  <c r="F130" i="20"/>
  <c r="K130" i="20" s="1"/>
  <c r="H131" i="20" s="1"/>
  <c r="C131" i="20" l="1"/>
  <c r="B131" i="20"/>
  <c r="D131" i="20"/>
  <c r="E131" i="20" s="1"/>
  <c r="I131" i="20" l="1"/>
  <c r="G131" i="20"/>
  <c r="J131" i="20" l="1"/>
  <c r="F131" i="20"/>
  <c r="K131" i="20" s="1"/>
  <c r="H132" i="20" s="1"/>
  <c r="B132" i="20" l="1"/>
  <c r="D132" i="20"/>
  <c r="E132" i="20" s="1"/>
  <c r="C132" i="20"/>
  <c r="I132" i="20" l="1"/>
  <c r="G132" i="20"/>
  <c r="J132" i="20" l="1"/>
  <c r="F132" i="20"/>
  <c r="K132" i="20" s="1"/>
  <c r="H133" i="20" s="1"/>
  <c r="D133" i="20" l="1"/>
  <c r="E133" i="20" s="1"/>
  <c r="C133" i="20"/>
  <c r="B133" i="20"/>
  <c r="G133" i="20" l="1"/>
  <c r="F133" i="20" s="1"/>
  <c r="K133" i="20" s="1"/>
  <c r="H134" i="20" s="1"/>
  <c r="I133" i="20"/>
  <c r="J133" i="20" l="1"/>
  <c r="B134" i="20"/>
  <c r="C134" i="20"/>
  <c r="D134" i="20"/>
  <c r="E134" i="20"/>
  <c r="G134" i="20" s="1"/>
  <c r="I134" i="20" l="1"/>
  <c r="J134" i="20" s="1"/>
  <c r="F134" i="20"/>
  <c r="K134" i="20" s="1"/>
  <c r="H135" i="20" s="1"/>
  <c r="D135" i="20" l="1"/>
  <c r="E135" i="20" s="1"/>
  <c r="B135" i="20"/>
  <c r="C135" i="20"/>
  <c r="G135" i="20" l="1"/>
  <c r="I135" i="20"/>
  <c r="J135" i="20" l="1"/>
  <c r="F135" i="20"/>
  <c r="K135" i="20" s="1"/>
  <c r="H136" i="20" s="1"/>
  <c r="D136" i="20" l="1"/>
  <c r="E136" i="20" s="1"/>
  <c r="C136" i="20"/>
  <c r="B136" i="20"/>
  <c r="I136" i="20" l="1"/>
  <c r="G136" i="20"/>
  <c r="J136" i="20" l="1"/>
  <c r="F136" i="20"/>
  <c r="K136" i="20" s="1"/>
  <c r="H137" i="20" s="1"/>
  <c r="D137" i="20" l="1"/>
  <c r="E137" i="20" s="1"/>
  <c r="B137" i="20"/>
  <c r="C137" i="20"/>
  <c r="I137" i="20" l="1"/>
  <c r="G137" i="20"/>
  <c r="J137" i="20" l="1"/>
  <c r="F137" i="20"/>
  <c r="K137" i="20" s="1"/>
  <c r="H138" i="20" s="1"/>
  <c r="D138" i="20" l="1"/>
  <c r="E138" i="20" s="1"/>
  <c r="B138" i="20"/>
  <c r="C138" i="20"/>
  <c r="G138" i="20" l="1"/>
  <c r="I138" i="20"/>
  <c r="J138" i="20" l="1"/>
  <c r="F138" i="20"/>
  <c r="K138" i="20" s="1"/>
  <c r="H139" i="20" s="1"/>
  <c r="D139" i="20" l="1"/>
  <c r="E139" i="20" s="1"/>
  <c r="C139" i="20"/>
  <c r="B139" i="20"/>
  <c r="G139" i="20" l="1"/>
  <c r="I139" i="20"/>
  <c r="J139" i="20" l="1"/>
  <c r="F139" i="20"/>
  <c r="K139" i="20" s="1"/>
  <c r="H140" i="20" s="1"/>
  <c r="B140" i="20" l="1"/>
  <c r="C140" i="20"/>
  <c r="D140" i="20"/>
  <c r="E140" i="20" s="1"/>
  <c r="I140" i="20" l="1"/>
  <c r="G140" i="20"/>
  <c r="J140" i="20" l="1"/>
  <c r="F140" i="20"/>
  <c r="K140" i="20" s="1"/>
  <c r="H141" i="20" s="1"/>
  <c r="C141" i="20" l="1"/>
  <c r="B141" i="20"/>
  <c r="D141" i="20"/>
  <c r="E141" i="20" s="1"/>
  <c r="I141" i="20" l="1"/>
  <c r="G141" i="20"/>
  <c r="J141" i="20" l="1"/>
  <c r="F141" i="20"/>
  <c r="K141" i="20" s="1"/>
  <c r="H142" i="20" s="1"/>
  <c r="B142" i="20" l="1"/>
  <c r="D142" i="20"/>
  <c r="E142" i="20" s="1"/>
  <c r="C142" i="20"/>
  <c r="G142" i="20" l="1"/>
  <c r="I142" i="20"/>
  <c r="J142" i="20" l="1"/>
  <c r="F142" i="20"/>
  <c r="K142" i="20" s="1"/>
  <c r="H143" i="20" s="1"/>
  <c r="C143" i="20" l="1"/>
  <c r="D143" i="20"/>
  <c r="E143" i="20" s="1"/>
  <c r="B143" i="20"/>
  <c r="G143" i="20" l="1"/>
  <c r="F143" i="20" s="1"/>
  <c r="K143" i="20" s="1"/>
  <c r="H144" i="20" s="1"/>
  <c r="I143" i="20"/>
  <c r="J143" i="20" l="1"/>
  <c r="C144" i="20"/>
  <c r="B144" i="20"/>
  <c r="D144" i="20"/>
  <c r="E144" i="20" s="1"/>
  <c r="I144" i="20" l="1"/>
  <c r="G144" i="20"/>
  <c r="J144" i="20" l="1"/>
  <c r="F144" i="20"/>
  <c r="K144" i="20" s="1"/>
  <c r="H145" i="20" s="1"/>
  <c r="D145" i="20" l="1"/>
  <c r="E145" i="20" s="1"/>
  <c r="B145" i="20"/>
  <c r="C145" i="20"/>
  <c r="I145" i="20" l="1"/>
  <c r="G145" i="20"/>
  <c r="J145" i="20" l="1"/>
  <c r="F145" i="20"/>
  <c r="K145" i="20" s="1"/>
  <c r="H146" i="20" s="1"/>
  <c r="B146" i="20" l="1"/>
  <c r="D146" i="20"/>
  <c r="E146" i="20" s="1"/>
  <c r="C146" i="20"/>
  <c r="G146" i="20" l="1"/>
  <c r="I146" i="20"/>
  <c r="J146" i="20" l="1"/>
  <c r="F146" i="20"/>
  <c r="K146" i="20" s="1"/>
  <c r="H147" i="20" s="1"/>
  <c r="B147" i="20" l="1"/>
  <c r="C147" i="20"/>
  <c r="D147" i="20"/>
  <c r="E147" i="20" s="1"/>
  <c r="I147" i="20" l="1"/>
  <c r="G147" i="20"/>
  <c r="J147" i="20" l="1"/>
  <c r="F147" i="20"/>
  <c r="K147" i="20" s="1"/>
  <c r="H148" i="20" s="1"/>
  <c r="B148" i="20" l="1"/>
  <c r="C148" i="20"/>
  <c r="D148" i="20"/>
  <c r="E148" i="20" s="1"/>
  <c r="G148" i="20" l="1"/>
  <c r="F148" i="20" s="1"/>
  <c r="K148" i="20" s="1"/>
  <c r="H149" i="20" s="1"/>
  <c r="I148" i="20"/>
  <c r="J148" i="20" l="1"/>
  <c r="B149" i="20"/>
  <c r="D149" i="20"/>
  <c r="E149" i="20" s="1"/>
  <c r="I149" i="20" s="1"/>
  <c r="C149" i="20"/>
  <c r="G149" i="20" l="1"/>
  <c r="J149" i="20" l="1"/>
  <c r="F149" i="20"/>
  <c r="K149" i="20" s="1"/>
  <c r="H150" i="20" s="1"/>
  <c r="D150" i="20" l="1"/>
  <c r="E150" i="20"/>
  <c r="G150" i="20" s="1"/>
  <c r="B150" i="20"/>
  <c r="C150" i="20"/>
  <c r="I150" i="20" l="1"/>
  <c r="J150" i="20" s="1"/>
  <c r="F150" i="20"/>
  <c r="K150" i="20" s="1"/>
  <c r="H151" i="20" s="1"/>
  <c r="D151" i="20" l="1"/>
  <c r="E151" i="20" s="1"/>
  <c r="I151" i="20" s="1"/>
  <c r="C151" i="20"/>
  <c r="B151" i="20"/>
  <c r="G151" i="20" l="1"/>
  <c r="J151" i="20" l="1"/>
  <c r="F151" i="20"/>
  <c r="K151" i="20" s="1"/>
  <c r="H152" i="20" s="1"/>
  <c r="D152" i="20" l="1"/>
  <c r="E152" i="20" s="1"/>
  <c r="C152" i="20"/>
  <c r="B152" i="20"/>
  <c r="G152" i="20" l="1"/>
  <c r="I152" i="20"/>
  <c r="J152" i="20" l="1"/>
  <c r="F152" i="20"/>
  <c r="K152" i="20" s="1"/>
  <c r="H153" i="20" s="1"/>
  <c r="D153" i="20" l="1"/>
  <c r="E153" i="20" s="1"/>
  <c r="G153" i="20" s="1"/>
  <c r="B153" i="20"/>
  <c r="C153" i="20"/>
  <c r="F153" i="20" l="1"/>
  <c r="K153" i="20" s="1"/>
  <c r="H154" i="20" s="1"/>
  <c r="I153" i="20"/>
  <c r="J153" i="20" s="1"/>
  <c r="B154" i="20" l="1"/>
  <c r="C154" i="20"/>
  <c r="D154" i="20"/>
  <c r="E154" i="20" s="1"/>
  <c r="I154" i="20" l="1"/>
  <c r="G154" i="20"/>
  <c r="J154" i="20" l="1"/>
  <c r="F154" i="20"/>
  <c r="K154" i="20" s="1"/>
  <c r="H155" i="20" s="1"/>
  <c r="B155" i="20" l="1"/>
  <c r="C155" i="20"/>
  <c r="D155" i="20"/>
  <c r="E155" i="20" s="1"/>
  <c r="I155" i="20" l="1"/>
  <c r="G155" i="20"/>
  <c r="J155" i="20" l="1"/>
  <c r="F155" i="20"/>
  <c r="K155" i="20" s="1"/>
  <c r="H156" i="20" s="1"/>
  <c r="B156" i="20" l="1"/>
  <c r="C156" i="20"/>
  <c r="D156" i="20"/>
  <c r="E156" i="20" s="1"/>
  <c r="I156" i="20" l="1"/>
  <c r="G156" i="20"/>
  <c r="J156" i="20" l="1"/>
  <c r="F156" i="20"/>
  <c r="K156" i="20" s="1"/>
  <c r="H157" i="20" s="1"/>
  <c r="C157" i="20" l="1"/>
  <c r="D157" i="20"/>
  <c r="E157" i="20" s="1"/>
  <c r="B157" i="20"/>
  <c r="I157" i="20" l="1"/>
  <c r="G157" i="20"/>
  <c r="J157" i="20" l="1"/>
  <c r="F157" i="20"/>
  <c r="K157" i="20" s="1"/>
  <c r="H158" i="20" s="1"/>
  <c r="B158" i="20" l="1"/>
  <c r="D158" i="20"/>
  <c r="E158" i="20" s="1"/>
  <c r="C158" i="20"/>
  <c r="I158" i="20" l="1"/>
  <c r="G158" i="20"/>
  <c r="J158" i="20" l="1"/>
  <c r="F158" i="20"/>
  <c r="K158" i="20" s="1"/>
  <c r="H159" i="20" s="1"/>
  <c r="C159" i="20" l="1"/>
  <c r="D159" i="20"/>
  <c r="E159" i="20" s="1"/>
  <c r="B159" i="20"/>
  <c r="G159" i="20" l="1"/>
  <c r="I159" i="20"/>
  <c r="J159" i="20" l="1"/>
  <c r="F159" i="20"/>
  <c r="K159" i="20" s="1"/>
  <c r="H160" i="20" s="1"/>
  <c r="C160" i="20" l="1"/>
  <c r="D160" i="20"/>
  <c r="E160" i="20" s="1"/>
  <c r="I160" i="20" s="1"/>
  <c r="B160" i="20"/>
  <c r="G160" i="20" l="1"/>
  <c r="J160" i="20" l="1"/>
  <c r="F160" i="20"/>
  <c r="K160" i="20" s="1"/>
  <c r="H161" i="20" s="1"/>
  <c r="D161" i="20" l="1"/>
  <c r="E161" i="20" s="1"/>
  <c r="I161" i="20" s="1"/>
  <c r="B161" i="20"/>
  <c r="C161" i="20"/>
  <c r="G161" i="20" l="1"/>
  <c r="J161" i="20" l="1"/>
  <c r="F161" i="20"/>
  <c r="K161" i="20" s="1"/>
  <c r="H162" i="20" s="1"/>
  <c r="C162" i="20" l="1"/>
  <c r="B162" i="20"/>
  <c r="D162" i="20"/>
  <c r="E162" i="20" s="1"/>
  <c r="G162" i="20" l="1"/>
  <c r="I162" i="20"/>
  <c r="J162" i="20" l="1"/>
  <c r="F162" i="20"/>
  <c r="K162" i="20" s="1"/>
  <c r="H163" i="20" s="1"/>
  <c r="C163" i="20" l="1"/>
  <c r="D163" i="20"/>
  <c r="E163" i="20" s="1"/>
  <c r="B163" i="20"/>
  <c r="G163" i="20" l="1"/>
  <c r="I163" i="20"/>
  <c r="J163" i="20" l="1"/>
  <c r="F163" i="20"/>
  <c r="K163" i="20" s="1"/>
  <c r="H164" i="20" s="1"/>
  <c r="B164" i="20" l="1"/>
  <c r="D164" i="20"/>
  <c r="E164" i="20" s="1"/>
  <c r="C164" i="20"/>
  <c r="I164" i="20" l="1"/>
  <c r="G164" i="20"/>
  <c r="J164" i="20" l="1"/>
  <c r="F164" i="20"/>
  <c r="K164" i="20" s="1"/>
  <c r="H165" i="20" s="1"/>
  <c r="C165" i="20" l="1"/>
  <c r="B165" i="20"/>
  <c r="D165" i="20"/>
  <c r="E165" i="20" s="1"/>
  <c r="G165" i="20" l="1"/>
  <c r="F165" i="20" s="1"/>
  <c r="K165" i="20" s="1"/>
  <c r="I165" i="20"/>
  <c r="C166" i="20" l="1"/>
  <c r="H166" i="20"/>
  <c r="J165" i="20"/>
  <c r="D166" i="20"/>
  <c r="E166" i="20" s="1"/>
  <c r="I166" i="20" s="1"/>
  <c r="B166" i="20"/>
  <c r="G166" i="20" l="1"/>
  <c r="J166" i="20" s="1"/>
  <c r="F166" i="20" l="1"/>
  <c r="K166" i="20" s="1"/>
  <c r="H167" i="20" s="1"/>
  <c r="C167" i="20" l="1"/>
  <c r="D167" i="20"/>
  <c r="E167" i="20" s="1"/>
  <c r="B167" i="20"/>
  <c r="I167" i="20"/>
  <c r="G167" i="20"/>
  <c r="J167" i="20" l="1"/>
  <c r="F167" i="20"/>
  <c r="K167" i="20" s="1"/>
  <c r="H168" i="20" s="1"/>
  <c r="D168" i="20" l="1"/>
  <c r="E168" i="20" s="1"/>
  <c r="G168" i="20" s="1"/>
  <c r="B168" i="20"/>
  <c r="C168" i="20"/>
  <c r="F168" i="20" l="1"/>
  <c r="K168" i="20" s="1"/>
  <c r="H169" i="20" s="1"/>
  <c r="I168" i="20"/>
  <c r="J168" i="20" s="1"/>
  <c r="D169" i="20" l="1"/>
  <c r="E169" i="20" s="1"/>
  <c r="B169" i="20"/>
  <c r="C169" i="20"/>
  <c r="I169" i="20" l="1"/>
  <c r="G169" i="20"/>
  <c r="J169" i="20" l="1"/>
  <c r="F169" i="20"/>
  <c r="K169" i="20" s="1"/>
  <c r="H170" i="20" s="1"/>
  <c r="B170" i="20" l="1"/>
  <c r="D170" i="20"/>
  <c r="E170" i="20" s="1"/>
  <c r="C170" i="20"/>
  <c r="I170" i="20" l="1"/>
  <c r="G170" i="20"/>
  <c r="J170" i="20" l="1"/>
  <c r="F170" i="20"/>
  <c r="K170" i="20" s="1"/>
  <c r="H171" i="20" s="1"/>
  <c r="C171" i="20" l="1"/>
  <c r="D171" i="20"/>
  <c r="E171" i="20"/>
  <c r="G171" i="20" s="1"/>
  <c r="B171" i="20"/>
  <c r="F171" i="20" l="1"/>
  <c r="K171" i="20" s="1"/>
  <c r="H172" i="20" s="1"/>
  <c r="I171" i="20"/>
  <c r="J171" i="20" s="1"/>
  <c r="D172" i="20" l="1"/>
  <c r="E172" i="20" s="1"/>
  <c r="G172" i="20" s="1"/>
  <c r="C172" i="20"/>
  <c r="B172" i="20"/>
  <c r="F172" i="20" l="1"/>
  <c r="K172" i="20" s="1"/>
  <c r="H173" i="20" s="1"/>
  <c r="I172" i="20"/>
  <c r="J172" i="20" s="1"/>
  <c r="B173" i="20" l="1"/>
  <c r="D173" i="20"/>
  <c r="E173" i="20"/>
  <c r="G173" i="20" s="1"/>
  <c r="C173" i="20"/>
  <c r="F173" i="20" l="1"/>
  <c r="K173" i="20" s="1"/>
  <c r="H174" i="20" s="1"/>
  <c r="I173" i="20"/>
  <c r="J173" i="20" s="1"/>
  <c r="D174" i="20" l="1"/>
  <c r="E174" i="20" s="1"/>
  <c r="C174" i="20"/>
  <c r="B174" i="20"/>
  <c r="G174" i="20" l="1"/>
  <c r="I174" i="20"/>
  <c r="J174" i="20" l="1"/>
  <c r="F174" i="20"/>
  <c r="K174" i="20" s="1"/>
  <c r="H175" i="20" s="1"/>
  <c r="C175" i="20" l="1"/>
  <c r="B175" i="20"/>
  <c r="D175" i="20"/>
  <c r="E175" i="20" s="1"/>
  <c r="I175" i="20" l="1"/>
  <c r="G175" i="20"/>
  <c r="J175" i="20" l="1"/>
  <c r="F175" i="20"/>
  <c r="K175" i="20" s="1"/>
  <c r="H176" i="20" s="1"/>
  <c r="C176" i="20" l="1"/>
  <c r="B176" i="20"/>
  <c r="D176" i="20"/>
  <c r="E176" i="20" s="1"/>
  <c r="G176" i="20" l="1"/>
  <c r="F176" i="20" s="1"/>
  <c r="K176" i="20" s="1"/>
  <c r="H177" i="20" s="1"/>
  <c r="I176" i="20"/>
  <c r="J176" i="20" l="1"/>
  <c r="C177" i="20"/>
  <c r="D177" i="20"/>
  <c r="E177" i="20" s="1"/>
  <c r="B177" i="20"/>
  <c r="G177" i="20" l="1"/>
  <c r="I177" i="20"/>
  <c r="J177" i="20" l="1"/>
  <c r="F177" i="20"/>
  <c r="K177" i="20" s="1"/>
  <c r="H178" i="20" s="1"/>
  <c r="C178" i="20" l="1"/>
  <c r="D178" i="20"/>
  <c r="E178" i="20" s="1"/>
  <c r="I178" i="20" s="1"/>
  <c r="B178" i="20"/>
  <c r="G178" i="20" l="1"/>
  <c r="J178" i="20" l="1"/>
  <c r="F178" i="20"/>
  <c r="K178" i="20" s="1"/>
  <c r="H179" i="20" s="1"/>
  <c r="C179" i="20" l="1"/>
  <c r="B179" i="20"/>
  <c r="D179" i="20"/>
  <c r="E179" i="20" s="1"/>
  <c r="G179" i="20" l="1"/>
  <c r="I179" i="20"/>
  <c r="J179" i="20" l="1"/>
  <c r="F179" i="20"/>
  <c r="K179" i="20" s="1"/>
  <c r="H180" i="20" s="1"/>
  <c r="B180" i="20" l="1"/>
  <c r="D180" i="20"/>
  <c r="E180" i="20" s="1"/>
  <c r="C180" i="20"/>
  <c r="G180" i="20" l="1"/>
  <c r="I180" i="20"/>
  <c r="J180" i="20" l="1"/>
  <c r="F180" i="20"/>
  <c r="K180" i="20" s="1"/>
  <c r="H181" i="20" s="1"/>
  <c r="C181" i="20" l="1"/>
  <c r="D181" i="20"/>
  <c r="E181" i="20" s="1"/>
  <c r="B181" i="20"/>
  <c r="I181" i="20" l="1"/>
  <c r="G181" i="20"/>
  <c r="J181" i="20" l="1"/>
  <c r="F181" i="20"/>
  <c r="K181" i="20" s="1"/>
  <c r="H182" i="20" s="1"/>
  <c r="B182" i="20" l="1"/>
  <c r="D182" i="20"/>
  <c r="E182" i="20" s="1"/>
  <c r="C182" i="20"/>
  <c r="G182" i="20" l="1"/>
  <c r="I182" i="20"/>
  <c r="J182" i="20" l="1"/>
  <c r="F182" i="20"/>
  <c r="K182" i="20" s="1"/>
  <c r="H183" i="20" s="1"/>
  <c r="B183" i="20" l="1"/>
  <c r="C183" i="20"/>
  <c r="D183" i="20"/>
  <c r="E183" i="20" s="1"/>
  <c r="I183" i="20" l="1"/>
  <c r="G183" i="20"/>
  <c r="J183" i="20" l="1"/>
  <c r="F183" i="20"/>
  <c r="K183" i="20" s="1"/>
  <c r="H184" i="20" s="1"/>
  <c r="C184" i="20" l="1"/>
  <c r="D184" i="20"/>
  <c r="E184" i="20" s="1"/>
  <c r="B184" i="20"/>
  <c r="G184" i="20" l="1"/>
  <c r="I184" i="20"/>
  <c r="J184" i="20" l="1"/>
  <c r="F184" i="20"/>
  <c r="K184" i="20" s="1"/>
  <c r="H185" i="20" s="1"/>
  <c r="C185" i="20" l="1"/>
  <c r="D185" i="20"/>
  <c r="E185" i="20" s="1"/>
  <c r="B185" i="20"/>
  <c r="I185" i="20" l="1"/>
  <c r="G185" i="20"/>
  <c r="J185" i="20" l="1"/>
  <c r="F185" i="20"/>
  <c r="K185" i="20" s="1"/>
  <c r="H186" i="20" s="1"/>
  <c r="B186" i="20" l="1"/>
  <c r="D186" i="20"/>
  <c r="E186" i="20" s="1"/>
  <c r="C186" i="20"/>
  <c r="I186" i="20" l="1"/>
  <c r="G186" i="20"/>
  <c r="J186" i="20" l="1"/>
  <c r="F186" i="20"/>
  <c r="K186" i="20" s="1"/>
  <c r="H187" i="20" s="1"/>
  <c r="C187" i="20" l="1"/>
  <c r="B187" i="20"/>
  <c r="D187" i="20"/>
  <c r="E187" i="20" s="1"/>
  <c r="G187" i="20" l="1"/>
  <c r="F187" i="20" s="1"/>
  <c r="K187" i="20" s="1"/>
  <c r="H188" i="20" s="1"/>
  <c r="I187" i="20"/>
  <c r="J187" i="20" l="1"/>
  <c r="D188" i="20"/>
  <c r="B188" i="20"/>
  <c r="C188" i="20"/>
  <c r="E188" i="20"/>
  <c r="I188" i="20" s="1"/>
  <c r="G188" i="20" l="1"/>
  <c r="J188" i="20" l="1"/>
  <c r="F188" i="20"/>
  <c r="K188" i="20" s="1"/>
  <c r="H189" i="20" s="1"/>
  <c r="D189" i="20" l="1"/>
  <c r="E189" i="20" s="1"/>
  <c r="C189" i="20"/>
  <c r="B189" i="20"/>
  <c r="I189" i="20" l="1"/>
  <c r="G189" i="20"/>
  <c r="F189" i="20" s="1"/>
  <c r="K189" i="20" s="1"/>
  <c r="H190" i="20" s="1"/>
  <c r="J189" i="20" l="1"/>
  <c r="D190" i="20"/>
  <c r="E190" i="20" s="1"/>
  <c r="B190" i="20"/>
  <c r="C190" i="20"/>
  <c r="I190" i="20"/>
  <c r="G190" i="20"/>
  <c r="F190" i="20" s="1"/>
  <c r="K190" i="20" s="1"/>
  <c r="H191" i="20" s="1"/>
  <c r="J190" i="20" l="1"/>
  <c r="B191" i="20"/>
  <c r="D191" i="20"/>
  <c r="E191" i="20" s="1"/>
  <c r="I191" i="20" s="1"/>
  <c r="C191" i="20"/>
  <c r="G191" i="20" l="1"/>
  <c r="J191" i="20" l="1"/>
  <c r="F191" i="20"/>
  <c r="K191" i="20" s="1"/>
  <c r="H192" i="20" s="1"/>
  <c r="D192" i="20" l="1"/>
  <c r="E192" i="20" s="1"/>
  <c r="G192" i="20" s="1"/>
  <c r="C192" i="20"/>
  <c r="B192" i="20"/>
  <c r="F192" i="20" l="1"/>
  <c r="K192" i="20" s="1"/>
  <c r="H193" i="20" s="1"/>
  <c r="I192" i="20"/>
  <c r="J192" i="20" s="1"/>
  <c r="B193" i="20" l="1"/>
  <c r="D193" i="20"/>
  <c r="E193" i="20" s="1"/>
  <c r="C193" i="20"/>
  <c r="I193" i="20" l="1"/>
  <c r="G193" i="20"/>
  <c r="J193" i="20" l="1"/>
  <c r="F193" i="20"/>
  <c r="K193" i="20" s="1"/>
  <c r="H194" i="20" s="1"/>
  <c r="B194" i="20" l="1"/>
  <c r="C194" i="20"/>
  <c r="D194" i="20"/>
  <c r="E194" i="20" s="1"/>
  <c r="I194" i="20" l="1"/>
  <c r="G194" i="20"/>
  <c r="F194" i="20" s="1"/>
  <c r="K194" i="20" s="1"/>
  <c r="H195" i="20" s="1"/>
  <c r="J194" i="20" l="1"/>
  <c r="B195" i="20"/>
  <c r="D195" i="20"/>
  <c r="E195" i="20" s="1"/>
  <c r="G195" i="20" s="1"/>
  <c r="C195" i="20"/>
  <c r="F195" i="20" l="1"/>
  <c r="K195" i="20" s="1"/>
  <c r="H196" i="20" s="1"/>
  <c r="I195" i="20"/>
  <c r="J195" i="20" s="1"/>
  <c r="D196" i="20" l="1"/>
  <c r="E196" i="20" s="1"/>
  <c r="B196" i="20"/>
  <c r="C196" i="20"/>
  <c r="I196" i="20" l="1"/>
  <c r="G196" i="20"/>
  <c r="J196" i="20" l="1"/>
  <c r="F196" i="20"/>
  <c r="K196" i="20" s="1"/>
  <c r="H197" i="20" s="1"/>
  <c r="B197" i="20" l="1"/>
  <c r="D197" i="20"/>
  <c r="E197" i="20" s="1"/>
  <c r="C197" i="20"/>
  <c r="G197" i="20" l="1"/>
  <c r="I197" i="20"/>
  <c r="J197" i="20" l="1"/>
  <c r="F197" i="20"/>
  <c r="K197" i="20" s="1"/>
  <c r="H198" i="20" s="1"/>
  <c r="D198" i="20" l="1"/>
  <c r="E198" i="20" s="1"/>
  <c r="I198" i="20" s="1"/>
  <c r="C198" i="20"/>
  <c r="B198" i="20"/>
  <c r="G198" i="20" l="1"/>
  <c r="J198" i="20" l="1"/>
  <c r="F198" i="20"/>
  <c r="K198" i="20" s="1"/>
  <c r="H199" i="20" s="1"/>
  <c r="D199" i="20" l="1"/>
  <c r="B199" i="20"/>
  <c r="E199" i="20"/>
  <c r="G199" i="20" s="1"/>
  <c r="C199" i="20"/>
  <c r="F199" i="20" l="1"/>
  <c r="K199" i="20" s="1"/>
  <c r="H200" i="20" s="1"/>
  <c r="I199" i="20"/>
  <c r="J199" i="20" s="1"/>
  <c r="B200" i="20" l="1"/>
  <c r="C200" i="20"/>
  <c r="D200" i="20"/>
  <c r="E200" i="20" s="1"/>
  <c r="G200" i="20" l="1"/>
  <c r="I200" i="20"/>
  <c r="J200" i="20" l="1"/>
  <c r="F200" i="20"/>
  <c r="K200" i="20" s="1"/>
  <c r="H201" i="20" s="1"/>
  <c r="B201" i="20" l="1"/>
  <c r="C201" i="20"/>
  <c r="D201" i="20"/>
  <c r="E201" i="20" s="1"/>
  <c r="I201" i="20" l="1"/>
  <c r="G201" i="20"/>
  <c r="J201" i="20" l="1"/>
  <c r="F201" i="20"/>
  <c r="K201" i="20" s="1"/>
  <c r="H202" i="20" s="1"/>
  <c r="B202" i="20" l="1"/>
  <c r="C202" i="20"/>
  <c r="D202" i="20"/>
  <c r="E202" i="20" s="1"/>
  <c r="I202" i="20" l="1"/>
  <c r="G202" i="20"/>
  <c r="J202" i="20" l="1"/>
  <c r="F202" i="20"/>
  <c r="K202" i="20" s="1"/>
  <c r="H203" i="20" s="1"/>
  <c r="B203" i="20" l="1"/>
  <c r="C203" i="20"/>
  <c r="D203" i="20"/>
  <c r="E203" i="20" s="1"/>
  <c r="I203" i="20" l="1"/>
  <c r="G203" i="20"/>
  <c r="J203" i="20" l="1"/>
  <c r="F203" i="20"/>
  <c r="K203" i="20" s="1"/>
  <c r="H204" i="20" s="1"/>
  <c r="C204" i="20" l="1"/>
  <c r="D204" i="20"/>
  <c r="E204" i="20" s="1"/>
  <c r="B204" i="20"/>
  <c r="I204" i="20" l="1"/>
  <c r="G204" i="20"/>
  <c r="J204" i="20" l="1"/>
  <c r="F204" i="20"/>
  <c r="K204" i="20" s="1"/>
  <c r="H205" i="20" s="1"/>
  <c r="C205" i="20" l="1"/>
  <c r="B205" i="20"/>
  <c r="D205" i="20"/>
  <c r="E205" i="20" s="1"/>
  <c r="I205" i="20" l="1"/>
  <c r="G205" i="20"/>
  <c r="J205" i="20" l="1"/>
  <c r="F205" i="20"/>
  <c r="K205" i="20" s="1"/>
  <c r="H206" i="20" s="1"/>
  <c r="B206" i="20" l="1"/>
  <c r="D206" i="20"/>
  <c r="E206" i="20" s="1"/>
  <c r="C206" i="20"/>
  <c r="G206" i="20" l="1"/>
  <c r="I206" i="20"/>
  <c r="J206" i="20" l="1"/>
  <c r="F206" i="20"/>
  <c r="K206" i="20" s="1"/>
  <c r="H207" i="20" s="1"/>
  <c r="B207" i="20" l="1"/>
  <c r="C207" i="20"/>
  <c r="D207" i="20"/>
  <c r="E207" i="20" s="1"/>
  <c r="G207" i="20" l="1"/>
  <c r="I207" i="20"/>
  <c r="J207" i="20" l="1"/>
  <c r="F207" i="20"/>
  <c r="K207" i="20" s="1"/>
  <c r="H208" i="20" s="1"/>
  <c r="C208" i="20" l="1"/>
  <c r="B208" i="20"/>
  <c r="D208" i="20"/>
  <c r="E208" i="20" s="1"/>
  <c r="I208" i="20" s="1"/>
  <c r="G208" i="20" l="1"/>
  <c r="J208" i="20" l="1"/>
  <c r="F208" i="20"/>
  <c r="K208" i="20" s="1"/>
  <c r="H209" i="20" s="1"/>
  <c r="D209" i="20" l="1"/>
  <c r="E209" i="20" s="1"/>
  <c r="G209" i="20" s="1"/>
  <c r="B209" i="20"/>
  <c r="C209" i="20"/>
  <c r="I209" i="20" l="1"/>
  <c r="J209" i="20" s="1"/>
  <c r="F209" i="20"/>
  <c r="K209" i="20" s="1"/>
  <c r="H210" i="20" s="1"/>
  <c r="D210" i="20" l="1"/>
  <c r="E210" i="20" s="1"/>
  <c r="G210" i="20" s="1"/>
  <c r="C210" i="20"/>
  <c r="B210" i="20"/>
  <c r="F210" i="20" l="1"/>
  <c r="K210" i="20" s="1"/>
  <c r="H211" i="20" s="1"/>
  <c r="I210" i="20"/>
  <c r="J210" i="20" s="1"/>
  <c r="D211" i="20" l="1"/>
  <c r="E211" i="20" s="1"/>
  <c r="B211" i="20"/>
  <c r="C211" i="20"/>
  <c r="G211" i="20" l="1"/>
  <c r="I211" i="20"/>
  <c r="J211" i="20" l="1"/>
  <c r="F211" i="20"/>
  <c r="K211" i="20" s="1"/>
  <c r="H212" i="20" s="1"/>
  <c r="C212" i="20" l="1"/>
  <c r="D212" i="20"/>
  <c r="E212" i="20" s="1"/>
  <c r="I212" i="20" s="1"/>
  <c r="B212" i="20"/>
  <c r="G212" i="20" l="1"/>
  <c r="J212" i="20" l="1"/>
  <c r="F212" i="20"/>
  <c r="K212" i="20" s="1"/>
  <c r="H213" i="20" s="1"/>
  <c r="C213" i="20" l="1"/>
  <c r="D213" i="20"/>
  <c r="E213" i="20" s="1"/>
  <c r="I213" i="20" s="1"/>
  <c r="B213" i="20"/>
  <c r="G213" i="20" l="1"/>
  <c r="J213" i="20" l="1"/>
  <c r="F213" i="20"/>
  <c r="K213" i="20" s="1"/>
  <c r="H214" i="20" s="1"/>
  <c r="B214" i="20" l="1"/>
  <c r="D214" i="20"/>
  <c r="E214" i="20"/>
  <c r="I214" i="20" s="1"/>
  <c r="C214" i="20"/>
  <c r="G214" i="20" l="1"/>
  <c r="J214" i="20" l="1"/>
  <c r="F214" i="20"/>
  <c r="K214" i="20" s="1"/>
  <c r="H215" i="20" s="1"/>
  <c r="C215" i="20" l="1"/>
  <c r="B215" i="20"/>
  <c r="D215" i="20"/>
  <c r="E215" i="20" s="1"/>
  <c r="G215" i="20" l="1"/>
  <c r="I215" i="20"/>
  <c r="J215" i="20" l="1"/>
  <c r="F215" i="20"/>
  <c r="K215" i="20" s="1"/>
  <c r="H216" i="20" s="1"/>
  <c r="C216" i="20" l="1"/>
  <c r="B216" i="20"/>
  <c r="D216" i="20"/>
  <c r="E216" i="20" s="1"/>
  <c r="I216" i="20" l="1"/>
  <c r="G216" i="20"/>
  <c r="F216" i="20"/>
  <c r="K216" i="20" s="1"/>
  <c r="H217" i="20" s="1"/>
  <c r="J216" i="20" l="1"/>
  <c r="B217" i="20"/>
  <c r="C217" i="20"/>
  <c r="D217" i="20"/>
  <c r="E217" i="20" s="1"/>
  <c r="G217" i="20" l="1"/>
  <c r="I217" i="20"/>
  <c r="J217" i="20" l="1"/>
  <c r="F217" i="20"/>
  <c r="K217" i="20" s="1"/>
  <c r="H218" i="20" s="1"/>
  <c r="E218" i="20" l="1"/>
  <c r="G218" i="20"/>
  <c r="C218" i="20"/>
  <c r="I218" i="20"/>
  <c r="B218" i="20"/>
  <c r="D218" i="20"/>
  <c r="J218" i="20" l="1"/>
  <c r="F218" i="20"/>
  <c r="K218" i="20" s="1"/>
  <c r="H219" i="20" s="1"/>
  <c r="C219" i="20" l="1"/>
  <c r="B219" i="20"/>
  <c r="D219" i="20"/>
  <c r="E219" i="20" s="1"/>
  <c r="I219" i="20" l="1"/>
  <c r="G219" i="20"/>
  <c r="J219" i="20" l="1"/>
  <c r="F219" i="20"/>
  <c r="K219" i="20" s="1"/>
  <c r="H220" i="20" s="1"/>
  <c r="C220" i="20" l="1"/>
  <c r="D220" i="20"/>
  <c r="E220" i="20" s="1"/>
  <c r="B220" i="20"/>
  <c r="G220" i="20" l="1"/>
  <c r="I220" i="20"/>
  <c r="J220" i="20" l="1"/>
  <c r="F220" i="20"/>
  <c r="K220" i="20" s="1"/>
  <c r="H221" i="20" s="1"/>
  <c r="D221" i="20" l="1"/>
  <c r="B221" i="20"/>
  <c r="C221" i="20"/>
  <c r="E221" i="20"/>
  <c r="I221" i="20" s="1"/>
  <c r="G221" i="20"/>
  <c r="J221" i="20" l="1"/>
  <c r="F221" i="20"/>
  <c r="K221" i="20" s="1"/>
  <c r="H222" i="20" s="1"/>
  <c r="C222" i="20" l="1"/>
  <c r="B222" i="20"/>
  <c r="D222" i="20"/>
  <c r="E222" i="20" s="1"/>
  <c r="G222" i="20" l="1"/>
  <c r="I222" i="20"/>
  <c r="J222" i="20" l="1"/>
  <c r="F222" i="20"/>
  <c r="K222" i="20" s="1"/>
  <c r="H223" i="20" s="1"/>
  <c r="E223" i="20" l="1"/>
  <c r="B223" i="20"/>
  <c r="G223" i="20"/>
  <c r="C223" i="20"/>
  <c r="I223" i="20"/>
  <c r="D223" i="20"/>
  <c r="J223" i="20" l="1"/>
  <c r="F223" i="20"/>
  <c r="K223" i="20" s="1"/>
  <c r="H224" i="20" s="1"/>
  <c r="B224" i="20" l="1"/>
  <c r="D224" i="20"/>
  <c r="E224" i="20" s="1"/>
  <c r="C224" i="20"/>
  <c r="G224" i="20" l="1"/>
  <c r="I224" i="20"/>
  <c r="J224" i="20" l="1"/>
  <c r="F224" i="20"/>
  <c r="K224" i="20" s="1"/>
  <c r="H225" i="20" s="1"/>
  <c r="B225" i="20" l="1"/>
  <c r="D225" i="20"/>
  <c r="C225" i="20"/>
  <c r="E225" i="20"/>
  <c r="I225" i="20" s="1"/>
  <c r="G225" i="20" l="1"/>
  <c r="J225" i="20" l="1"/>
  <c r="F225" i="20"/>
  <c r="K225" i="20" s="1"/>
  <c r="H226" i="20" s="1"/>
  <c r="D226" i="20" l="1"/>
  <c r="B226" i="20"/>
  <c r="E226" i="20"/>
  <c r="G226" i="20" s="1"/>
  <c r="C226" i="20"/>
  <c r="I226" i="20"/>
  <c r="J226" i="20" l="1"/>
  <c r="F226" i="20"/>
  <c r="K226" i="20" s="1"/>
  <c r="H227" i="20" s="1"/>
  <c r="C227" i="20" l="1"/>
  <c r="B227" i="20"/>
  <c r="D227" i="20"/>
  <c r="E227" i="20" s="1"/>
  <c r="G227" i="20" l="1"/>
  <c r="I227" i="20"/>
  <c r="J227" i="20" l="1"/>
  <c r="F227" i="20"/>
  <c r="K227" i="20" s="1"/>
  <c r="H228" i="20" s="1"/>
  <c r="D228" i="20" l="1"/>
  <c r="E228" i="20"/>
  <c r="G228" i="20" s="1"/>
  <c r="C228" i="20"/>
  <c r="B228" i="20"/>
  <c r="F228" i="20" l="1"/>
  <c r="K228" i="20" s="1"/>
  <c r="H229" i="20" s="1"/>
  <c r="I228" i="20"/>
  <c r="J228" i="20" s="1"/>
  <c r="D229" i="20" l="1"/>
  <c r="B229" i="20"/>
  <c r="C229" i="20"/>
  <c r="E229" i="20"/>
  <c r="I229" i="20" s="1"/>
  <c r="G229" i="20" l="1"/>
  <c r="J229" i="20" l="1"/>
  <c r="F229" i="20"/>
  <c r="K229" i="20" s="1"/>
  <c r="H230" i="20" s="1"/>
  <c r="D230" i="20" l="1"/>
  <c r="B230" i="20"/>
  <c r="E230" i="20"/>
  <c r="I230" i="20" s="1"/>
  <c r="C230" i="20"/>
  <c r="G230" i="20" l="1"/>
  <c r="J230" i="20" l="1"/>
  <c r="F230" i="20"/>
  <c r="K230" i="20" s="1"/>
  <c r="H231" i="20" s="1"/>
  <c r="D231" i="20" l="1"/>
  <c r="C231" i="20"/>
  <c r="B231" i="20"/>
  <c r="E231" i="20"/>
  <c r="I231" i="20" s="1"/>
  <c r="G231" i="20" l="1"/>
  <c r="J231" i="20" l="1"/>
  <c r="F231" i="20"/>
  <c r="K231" i="20" s="1"/>
  <c r="H232" i="20" s="1"/>
  <c r="D232" i="20" l="1"/>
  <c r="E232" i="20" s="1"/>
  <c r="B232" i="20"/>
  <c r="C232" i="20"/>
  <c r="G232" i="20" l="1"/>
  <c r="I232" i="20"/>
  <c r="J232" i="20" l="1"/>
  <c r="F232" i="20"/>
  <c r="K232" i="20" s="1"/>
  <c r="H233" i="20" s="1"/>
  <c r="C233" i="20" l="1"/>
  <c r="B233" i="20"/>
  <c r="D233" i="20"/>
  <c r="E233" i="20" s="1"/>
  <c r="I233" i="20" l="1"/>
  <c r="G233" i="20"/>
  <c r="J233" i="20" l="1"/>
  <c r="F233" i="20"/>
  <c r="K233" i="20" s="1"/>
  <c r="H234" i="20" s="1"/>
  <c r="D234" i="20" l="1"/>
  <c r="E234" i="20" s="1"/>
  <c r="B234" i="20"/>
  <c r="C234" i="20"/>
  <c r="I234" i="20" l="1"/>
  <c r="G234" i="20"/>
  <c r="J234" i="20" l="1"/>
  <c r="F234" i="20"/>
  <c r="K234" i="20" s="1"/>
  <c r="H235" i="20" s="1"/>
  <c r="B235" i="20" l="1"/>
  <c r="D235" i="20"/>
  <c r="C235" i="20"/>
  <c r="E235" i="20"/>
  <c r="I235" i="20" s="1"/>
  <c r="G235" i="20" l="1"/>
  <c r="J235" i="20" l="1"/>
  <c r="F235" i="20"/>
  <c r="K235" i="20" s="1"/>
  <c r="H236" i="20" s="1"/>
  <c r="C236" i="20" l="1"/>
  <c r="B236" i="20"/>
  <c r="D236" i="20"/>
  <c r="E236" i="20" s="1"/>
  <c r="G236" i="20" l="1"/>
  <c r="I236" i="20"/>
  <c r="J236" i="20" l="1"/>
  <c r="F236" i="20"/>
  <c r="K236" i="20" s="1"/>
  <c r="H237" i="20" s="1"/>
  <c r="C237" i="20" l="1"/>
  <c r="B237" i="20"/>
  <c r="D237" i="20"/>
  <c r="E237" i="20" s="1"/>
  <c r="I237" i="20" l="1"/>
  <c r="G237" i="20"/>
  <c r="J237" i="20" l="1"/>
  <c r="F237" i="20"/>
  <c r="K237" i="20" s="1"/>
  <c r="H238" i="20" s="1"/>
  <c r="C238" i="20" l="1"/>
  <c r="B238" i="20"/>
  <c r="D238" i="20"/>
  <c r="E238" i="20" s="1"/>
  <c r="I238" i="20" l="1"/>
  <c r="G238" i="20"/>
  <c r="J238" i="20" l="1"/>
  <c r="F238" i="20"/>
  <c r="K238" i="20" s="1"/>
  <c r="H239" i="20" s="1"/>
  <c r="D239" i="20" l="1"/>
  <c r="E239" i="20"/>
  <c r="I239" i="20" s="1"/>
  <c r="C239" i="20"/>
  <c r="B239" i="20"/>
  <c r="G239" i="20" l="1"/>
  <c r="J239" i="20" l="1"/>
  <c r="F239" i="20"/>
  <c r="K239" i="20" s="1"/>
  <c r="H240" i="20" s="1"/>
  <c r="C240" i="20" l="1"/>
  <c r="B240" i="20"/>
  <c r="D240" i="20"/>
  <c r="E240" i="20" s="1"/>
  <c r="I240" i="20" l="1"/>
  <c r="G240" i="20"/>
  <c r="J240" i="20" l="1"/>
  <c r="F240" i="20"/>
  <c r="K240" i="20" s="1"/>
  <c r="H241" i="20" s="1"/>
  <c r="C241" i="20" l="1"/>
  <c r="D241" i="20"/>
  <c r="E241" i="20" s="1"/>
  <c r="B241" i="20"/>
  <c r="I241" i="20" l="1"/>
  <c r="G241" i="20"/>
  <c r="J241" i="20" l="1"/>
  <c r="F241" i="20"/>
  <c r="K241" i="20" s="1"/>
  <c r="H242" i="20" s="1"/>
  <c r="C242" i="20" l="1"/>
  <c r="D242" i="20"/>
  <c r="E242" i="20" s="1"/>
  <c r="B242" i="20"/>
  <c r="I242" i="20" l="1"/>
  <c r="G242" i="20"/>
  <c r="J242" i="20" l="1"/>
  <c r="F242" i="20"/>
  <c r="K242" i="20" s="1"/>
  <c r="H243" i="20" s="1"/>
  <c r="B243" i="20" l="1"/>
  <c r="C243" i="20"/>
  <c r="E243" i="20"/>
  <c r="G243" i="20" s="1"/>
  <c r="D243" i="20"/>
  <c r="F243" i="20" l="1"/>
  <c r="K243" i="20" s="1"/>
  <c r="H244" i="20" s="1"/>
  <c r="I243" i="20"/>
  <c r="J243" i="20" s="1"/>
  <c r="C244" i="20" l="1"/>
  <c r="B244" i="20"/>
  <c r="D244" i="20"/>
  <c r="E244" i="20"/>
  <c r="I244" i="20" s="1"/>
  <c r="G244" i="20" l="1"/>
  <c r="J244" i="20" l="1"/>
  <c r="F244" i="20"/>
  <c r="K244" i="20" s="1"/>
  <c r="H245" i="20" s="1"/>
  <c r="D245" i="20" l="1"/>
  <c r="C245" i="20"/>
  <c r="E245" i="20"/>
  <c r="I245" i="20" s="1"/>
  <c r="B245" i="20"/>
  <c r="G245" i="20" l="1"/>
  <c r="J245" i="20" l="1"/>
  <c r="F245" i="20"/>
  <c r="K245" i="20" s="1"/>
  <c r="H246" i="20" s="1"/>
  <c r="D246" i="20" l="1"/>
  <c r="C246" i="20"/>
  <c r="E246" i="20"/>
  <c r="G246" i="20" s="1"/>
  <c r="B246" i="20"/>
  <c r="F246" i="20" l="1"/>
  <c r="K246" i="20" s="1"/>
  <c r="H247" i="20" s="1"/>
  <c r="I246" i="20"/>
  <c r="J246" i="20" s="1"/>
  <c r="D247" i="20" l="1"/>
  <c r="E247" i="20" s="1"/>
  <c r="C247" i="20"/>
  <c r="B247" i="20"/>
  <c r="I247" i="20" l="1"/>
  <c r="G247" i="20"/>
  <c r="J247" i="20" l="1"/>
  <c r="F247" i="20"/>
  <c r="K247" i="20" s="1"/>
  <c r="H248" i="20" s="1"/>
  <c r="D248" i="20" l="1"/>
  <c r="E248" i="20" s="1"/>
  <c r="B248" i="20"/>
  <c r="C248" i="20"/>
  <c r="I248" i="20" l="1"/>
  <c r="G248" i="20"/>
  <c r="J248" i="20" l="1"/>
  <c r="F248" i="20"/>
  <c r="K248" i="20" s="1"/>
  <c r="H249" i="20" s="1"/>
  <c r="C249" i="20" l="1"/>
  <c r="D249" i="20"/>
  <c r="E249" i="20" s="1"/>
  <c r="B249" i="20"/>
  <c r="G249" i="20" l="1"/>
  <c r="I249" i="20"/>
  <c r="J249" i="20" l="1"/>
  <c r="F249" i="20"/>
  <c r="K249" i="20" s="1"/>
  <c r="H250" i="20" s="1"/>
  <c r="B250" i="20" l="1"/>
  <c r="C250" i="20"/>
  <c r="E250" i="20"/>
  <c r="I250" i="20" s="1"/>
  <c r="G250" i="20"/>
  <c r="D250" i="20"/>
  <c r="J250" i="20" l="1"/>
  <c r="F250" i="20"/>
  <c r="K250" i="20" s="1"/>
  <c r="H251" i="20" s="1"/>
  <c r="B251" i="20" l="1"/>
  <c r="D251" i="20"/>
  <c r="E251" i="20" s="1"/>
  <c r="C251" i="20"/>
  <c r="G251" i="20" l="1"/>
  <c r="I251" i="20"/>
  <c r="J251" i="20" l="1"/>
  <c r="F251" i="20"/>
  <c r="K251" i="20" s="1"/>
  <c r="H252" i="20" s="1"/>
  <c r="B252" i="20" l="1"/>
  <c r="D252" i="20"/>
  <c r="E252" i="20" s="1"/>
  <c r="C252" i="20"/>
  <c r="G252" i="20" l="1"/>
  <c r="I252" i="20"/>
  <c r="J252" i="20" l="1"/>
  <c r="F252" i="20"/>
  <c r="K252" i="20" s="1"/>
  <c r="H253" i="20" s="1"/>
  <c r="D253" i="20" l="1"/>
  <c r="E253" i="20" s="1"/>
  <c r="B253" i="20"/>
  <c r="C253" i="20"/>
  <c r="I253" i="20" l="1"/>
  <c r="G253" i="20"/>
  <c r="J253" i="20" l="1"/>
  <c r="F253" i="20"/>
  <c r="K253" i="20" s="1"/>
  <c r="H254" i="20" s="1"/>
  <c r="C254" i="20" l="1"/>
  <c r="D254" i="20"/>
  <c r="E254" i="20" s="1"/>
  <c r="B254" i="20"/>
  <c r="I254" i="20" l="1"/>
  <c r="G254" i="20"/>
  <c r="J254" i="20" l="1"/>
  <c r="F254" i="20"/>
  <c r="K254" i="20" s="1"/>
  <c r="H255" i="20" s="1"/>
  <c r="C255" i="20" l="1"/>
  <c r="V9" i="20" s="1"/>
  <c r="B255" i="20"/>
  <c r="D255" i="20"/>
  <c r="E255" i="20" s="1"/>
  <c r="H257" i="20"/>
  <c r="E257" i="20" l="1"/>
  <c r="I255" i="20"/>
  <c r="I257" i="20" s="1"/>
  <c r="G255" i="20"/>
  <c r="V10" i="20"/>
  <c r="L12" i="20"/>
  <c r="J255" i="20" l="1"/>
  <c r="J257" i="20" s="1"/>
  <c r="G257" i="20"/>
  <c r="F255" i="20"/>
  <c r="F257" i="20" l="1"/>
  <c r="K255" i="2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<sst xmlns="http://schemas.openxmlformats.org/spreadsheetml/2006/main" count="2459" uniqueCount="742">
  <si>
    <t>CONDICIONES HIPOTECA SANTANDER</t>
  </si>
  <si>
    <t>CONDICIONES HIPOTECA FREE</t>
  </si>
  <si>
    <t>Destino</t>
  </si>
  <si>
    <t>Esquema de Pagos</t>
  </si>
  <si>
    <t>Programa Construcción</t>
  </si>
  <si>
    <t>Inspección de Obra</t>
  </si>
  <si>
    <t>Apoyo INFONAVIT</t>
  </si>
  <si>
    <t>Plazo</t>
  </si>
  <si>
    <t>TIPO DE INGRESOS</t>
  </si>
  <si>
    <t>PTI MAXIMO
(máximo endeudamiento posible)</t>
  </si>
  <si>
    <t>Avalúo</t>
  </si>
  <si>
    <t>IVA</t>
  </si>
  <si>
    <t>Comisión apertura</t>
  </si>
  <si>
    <t>Comisión por administración</t>
  </si>
  <si>
    <t>Escrituración</t>
  </si>
  <si>
    <t>SEGUROS CON EL  BANCO</t>
  </si>
  <si>
    <t>Numero de Intervinientes</t>
  </si>
  <si>
    <t>FACTORES SEGUROS</t>
  </si>
  <si>
    <t>Monto mínimo de Crédito</t>
  </si>
  <si>
    <t>Valor mínimo vivienda</t>
  </si>
  <si>
    <t>Financiamiento de Gastos</t>
  </si>
  <si>
    <t>Origen del crédito</t>
  </si>
  <si>
    <t>¿Coahuila?
Para Liquidez PR</t>
  </si>
  <si>
    <t>TASA origen</t>
  </si>
  <si>
    <t>PAGO POR MIL tabla</t>
  </si>
  <si>
    <t>Crecientes PAGO POR MIL -SANTANDER</t>
  </si>
  <si>
    <t>AJUSTE ANUAL</t>
  </si>
  <si>
    <t>OFERTAS ESPECIALES</t>
  </si>
  <si>
    <t>EMBAJADORES</t>
  </si>
  <si>
    <t>EXTRANJEROS</t>
  </si>
  <si>
    <t>VERDE</t>
  </si>
  <si>
    <t>Alto Valor</t>
  </si>
  <si>
    <t>Sinergia BEI</t>
  </si>
  <si>
    <t>Gubernamentales</t>
  </si>
  <si>
    <t>Públicos</t>
  </si>
  <si>
    <t>Mazda</t>
  </si>
  <si>
    <t>"escogeofertasan"</t>
  </si>
  <si>
    <t>DESTINOS</t>
  </si>
  <si>
    <t>Selección Plan Hipoteca PLUS</t>
  </si>
  <si>
    <t>Tasa base</t>
  </si>
  <si>
    <t>Plan Platino</t>
  </si>
  <si>
    <t>Plan Asalariado</t>
  </si>
  <si>
    <t>Plan SEV</t>
  </si>
  <si>
    <t>Rangos OFERTA</t>
  </si>
  <si>
    <t>AFORO POR DESTINO</t>
  </si>
  <si>
    <t>FREE</t>
  </si>
  <si>
    <t>Segundo nivel OFERTA COLECTIVOS</t>
  </si>
  <si>
    <t>"Escogeofertafree"</t>
  </si>
  <si>
    <t>"Construcción"</t>
  </si>
  <si>
    <t>"Plazo"</t>
  </si>
  <si>
    <t>"Intervinientes"</t>
  </si>
  <si>
    <t>Modalidad</t>
  </si>
  <si>
    <t>Factor VIDA</t>
  </si>
  <si>
    <t>Obra</t>
  </si>
  <si>
    <t>Daños</t>
  </si>
  <si>
    <t>Factor Asegurable</t>
  </si>
  <si>
    <t>"gastos"</t>
  </si>
  <si>
    <t>"origen"</t>
  </si>
  <si>
    <t>Crecientes</t>
  </si>
  <si>
    <t>COLECTIVO</t>
  </si>
  <si>
    <t>PRODUCTO</t>
  </si>
  <si>
    <t>Adquisición</t>
  </si>
  <si>
    <t>Adquisición con Apoyo INFONAVIT</t>
  </si>
  <si>
    <t xml:space="preserve">Cofinavit </t>
  </si>
  <si>
    <t>Sustitución</t>
  </si>
  <si>
    <t>Mejora de Condiciones</t>
  </si>
  <si>
    <t>Terminación de Obra y Remodelación</t>
  </si>
  <si>
    <t>Construcción</t>
  </si>
  <si>
    <t>Terreno</t>
  </si>
  <si>
    <t>Liquidez</t>
  </si>
  <si>
    <t>OFERTA VALIDA para mostrar</t>
  </si>
  <si>
    <t>OFERTA SELECCIONADA</t>
  </si>
  <si>
    <t>OFERTA DE TASAS - "BASETASASASANTANDER"</t>
  </si>
  <si>
    <t>AFOROS ASALARIADO - "Aforodestino"</t>
  </si>
  <si>
    <t>TASA</t>
  </si>
  <si>
    <t>Tasa mínima</t>
  </si>
  <si>
    <t>Tasa tope</t>
  </si>
  <si>
    <t>Reducción anual</t>
  </si>
  <si>
    <t>OFERTA DE TASAS - "BASETASAS"</t>
  </si>
  <si>
    <t>AFOROS ASALARIADO - "Aforodestinofree"</t>
  </si>
  <si>
    <t>Riesgo  5</t>
  </si>
  <si>
    <t>Monto mínimo de Crédito construcción</t>
  </si>
  <si>
    <t>Valor mínimo terreno construcción</t>
  </si>
  <si>
    <t>Lista selección Santander</t>
  </si>
  <si>
    <t>Valida oferta</t>
  </si>
  <si>
    <t>Referencias en México</t>
  </si>
  <si>
    <t>Embajadores</t>
  </si>
  <si>
    <t>AMBOS</t>
  </si>
  <si>
    <t>SI</t>
  </si>
  <si>
    <t>NO</t>
  </si>
  <si>
    <t>¿APLICA PLUS?</t>
  </si>
  <si>
    <t>OFERTA</t>
  </si>
  <si>
    <t>Perfiles</t>
  </si>
  <si>
    <t>Tasas MA</t>
  </si>
  <si>
    <t>AdquisiciónNinguno</t>
  </si>
  <si>
    <t>Adquisición con Apoyo INFONAVITNinguno</t>
  </si>
  <si>
    <t>CofinavitNinguno</t>
  </si>
  <si>
    <t>Terminación de Obra y RemodelaciónNinguno</t>
  </si>
  <si>
    <t>Mejora de CondicionesNinguno</t>
  </si>
  <si>
    <t>ConstrucciónNinguno</t>
  </si>
  <si>
    <t>Adquisición SimplificadaNinguno</t>
  </si>
  <si>
    <t>SustituciónNinguno</t>
  </si>
  <si>
    <t>LiquidezNinguno</t>
  </si>
  <si>
    <t>TerrenoNinguno</t>
  </si>
  <si>
    <t>AdquisiciónEmbajadores</t>
  </si>
  <si>
    <t>Adquisición con Apoyo INFONAVITEmbajadores</t>
  </si>
  <si>
    <t>CofinavitEmbajadores</t>
  </si>
  <si>
    <t>Terminación de Obra y RemodelaciónEmbajadores</t>
  </si>
  <si>
    <t>Mejora de CondicionesEmbajadores</t>
  </si>
  <si>
    <t>Adquisición SimplificadaEmbajadores</t>
  </si>
  <si>
    <t>SustituciónEmbajadores</t>
  </si>
  <si>
    <t>AdquisiciónVerde</t>
  </si>
  <si>
    <t>Adquisición con Apoyo INFONAVITVerde</t>
  </si>
  <si>
    <t>CofinavitVerde</t>
  </si>
  <si>
    <t>AdquisiciónExtranjeros</t>
  </si>
  <si>
    <t>AdquisiciónBlack</t>
  </si>
  <si>
    <t>Adquisición con Apoyo INFONAVITBlack</t>
  </si>
  <si>
    <t>CofinavitBlack</t>
  </si>
  <si>
    <t>AdquisiciónBlack embajadores</t>
  </si>
  <si>
    <t>Adquisición con Apoyo INFONAVITBlack embajadores</t>
  </si>
  <si>
    <t>CofinavitBlack embajadores</t>
  </si>
  <si>
    <t>AdquisiciónDiamante</t>
  </si>
  <si>
    <t>Adquisición con Apoyo INFONAVITDiamante</t>
  </si>
  <si>
    <t>CofinavitDiamante</t>
  </si>
  <si>
    <t>SustituciónDiamante</t>
  </si>
  <si>
    <t>AdquisiciónAlto Valor</t>
  </si>
  <si>
    <t>Adquisición con Apoyo INFONAVITAlto Valor</t>
  </si>
  <si>
    <t>CofinavitAlto Valor</t>
  </si>
  <si>
    <t>AdquisiciónSinergia BEI</t>
  </si>
  <si>
    <t>Adquisición con Apoyo INFONAVITSinergia BEI</t>
  </si>
  <si>
    <t>CofinavitSinergia BEI</t>
  </si>
  <si>
    <t>AdquisiciónGubernamentales</t>
  </si>
  <si>
    <t>Adquisición con Apoyo INFONAVITGubernamentales</t>
  </si>
  <si>
    <t>CofinavitGubernamentales</t>
  </si>
  <si>
    <t>AdquisiciónPúblicos</t>
  </si>
  <si>
    <t>Adquisición con Apoyo INFONAVITPúblicos</t>
  </si>
  <si>
    <t>CofinavitPúblicos</t>
  </si>
  <si>
    <t>AdquisiciónMazda</t>
  </si>
  <si>
    <t>Adquisición con Apoyo INFONAVITMazda</t>
  </si>
  <si>
    <t>CofinavitMazda</t>
  </si>
  <si>
    <t>AdquisiciónAsalariados</t>
  </si>
  <si>
    <t>Adquisición con Apoyo INFONAVITAsalariados</t>
  </si>
  <si>
    <t>CofinavitAsalariados</t>
  </si>
  <si>
    <t>AFORO</t>
  </si>
  <si>
    <t>ConstrucciónEmbajadores</t>
  </si>
  <si>
    <t>Monto crédito máximo FREE</t>
  </si>
  <si>
    <t>LIQUIDEZ TWIN</t>
  </si>
  <si>
    <t>FIJOS  Pago por mil, "Freeconge"</t>
  </si>
  <si>
    <t>CRECIENTES Pago por mil, "Freeprogra"</t>
  </si>
  <si>
    <t>CRECIENTES  Ajuste anual "Freeajuste"</t>
  </si>
  <si>
    <t>Valida colectivo</t>
  </si>
  <si>
    <t>¿Arma de fuego?</t>
  </si>
  <si>
    <t>Lista SELECCIÓN
 "DestinosSantander"</t>
  </si>
  <si>
    <t>Apoyo infonavit</t>
  </si>
  <si>
    <t>Lista SELECCION esquema</t>
  </si>
  <si>
    <t>Lista Selección Pograma Construcción</t>
  </si>
  <si>
    <t>UMA 2025</t>
  </si>
  <si>
    <t>lista de PLAZO</t>
  </si>
  <si>
    <t>Valor vivienda</t>
  </si>
  <si>
    <t>Precio</t>
  </si>
  <si>
    <t>Susti / Mejoras</t>
  </si>
  <si>
    <t>Comisión Susti Cofis</t>
  </si>
  <si>
    <t>TASAS CON BENEFICIOS</t>
  </si>
  <si>
    <t>fijos</t>
  </si>
  <si>
    <t>Extranjeros</t>
  </si>
  <si>
    <t>NA</t>
  </si>
  <si>
    <t>LISTA DESTINOS FREE "DestinosFree"</t>
  </si>
  <si>
    <t>Fijos</t>
  </si>
  <si>
    <t>UMA 2024</t>
  </si>
  <si>
    <t>Valida Plazo</t>
  </si>
  <si>
    <t>Factores Free</t>
  </si>
  <si>
    <t>Lista selección Santander/ Free</t>
  </si>
  <si>
    <t>Lista selección Free</t>
  </si>
  <si>
    <t>tasa liquidez Twin</t>
  </si>
  <si>
    <t>Lista selección</t>
  </si>
  <si>
    <t>Riesgo  4</t>
  </si>
  <si>
    <t>Desde</t>
  </si>
  <si>
    <t>Hasta</t>
  </si>
  <si>
    <t>Santander</t>
  </si>
  <si>
    <t>Monto mínimo crédito liquidez TWIN</t>
  </si>
  <si>
    <t>Valor Máximo terreno</t>
  </si>
  <si>
    <t>tasas</t>
  </si>
  <si>
    <t xml:space="preserve">Lista selección </t>
  </si>
  <si>
    <t>Verde</t>
  </si>
  <si>
    <t>SANTANDER</t>
  </si>
  <si>
    <t>Lista selección "PLAN"</t>
  </si>
  <si>
    <t>Valor vivienda capturada /Valor Terreno Construcción</t>
  </si>
  <si>
    <t>Asalariado</t>
  </si>
  <si>
    <t>Liquidez Susti</t>
  </si>
  <si>
    <t xml:space="preserve">LISTA OFERTAS 
</t>
  </si>
  <si>
    <t>Terminación de Obra</t>
  </si>
  <si>
    <t>Esquema de Pagos Liquidez Twin</t>
  </si>
  <si>
    <t>LISTA OFERTAS "Selección lista celdaF142"</t>
  </si>
  <si>
    <t>Selección LISTA COLECTIVOS "colectivosfree"</t>
  </si>
  <si>
    <t>Cofinavit</t>
  </si>
  <si>
    <t>25 UMAS</t>
  </si>
  <si>
    <t>VALIDA PLAZO</t>
  </si>
  <si>
    <t>NO asalariado</t>
  </si>
  <si>
    <t>Riesgo  3</t>
  </si>
  <si>
    <t>Mejoras</t>
  </si>
  <si>
    <t>Monto mínimo crédito para mejora condiciones</t>
  </si>
  <si>
    <t>Valor vivienda para Seguro Daños = SUMA ASEGURABLE</t>
  </si>
  <si>
    <t>Adquisición Simplificada</t>
  </si>
  <si>
    <t>Metros de la construcción</t>
  </si>
  <si>
    <t>Lista referencia</t>
  </si>
  <si>
    <t>COFIS</t>
  </si>
  <si>
    <t>PLAZOS FREE "plafree"</t>
  </si>
  <si>
    <t>Riesgo  2</t>
  </si>
  <si>
    <t>Monto máximo crédito solicitado para Dif. Aforo</t>
  </si>
  <si>
    <t>Selección</t>
  </si>
  <si>
    <t>11 umas</t>
  </si>
  <si>
    <t>Lista Selección OFERTAS</t>
  </si>
  <si>
    <t>AFOROS NO ASALARIADO - "AforodestinoNO"</t>
  </si>
  <si>
    <t>Modalidad de Seguros FREE</t>
  </si>
  <si>
    <t>Polícías FREE</t>
  </si>
  <si>
    <t>AFOROS NO ASALARIADO - "AforodestinofreeNO"</t>
  </si>
  <si>
    <t xml:space="preserve">Periodo de gracia </t>
  </si>
  <si>
    <t>Riesgo  1</t>
  </si>
  <si>
    <t>Asalariados</t>
  </si>
  <si>
    <t>ofertas Alto Valor</t>
  </si>
  <si>
    <t>ofertas Sinergia BEI</t>
  </si>
  <si>
    <t>ofertas Gubernamentales</t>
  </si>
  <si>
    <t>ofertas Públicos</t>
  </si>
  <si>
    <t>Selecciona</t>
  </si>
  <si>
    <t>Lista referencia gastos</t>
  </si>
  <si>
    <t>Lista referencia origen</t>
  </si>
  <si>
    <t>Ministros de Culto</t>
  </si>
  <si>
    <t>Bimbo</t>
  </si>
  <si>
    <t>Chihuahua</t>
  </si>
  <si>
    <t>Seguridad pública Monterrey</t>
  </si>
  <si>
    <t>PERFIL 1</t>
  </si>
  <si>
    <t>Pagados por el Banco</t>
  </si>
  <si>
    <t>Lista selección Apoyo INFONAVIT Construcción /Sustitución</t>
  </si>
  <si>
    <t>Ninguno</t>
  </si>
  <si>
    <t>Origen Adquisición</t>
  </si>
  <si>
    <t>Médicos</t>
  </si>
  <si>
    <t>Danone</t>
  </si>
  <si>
    <t>Magisterio del Estado de México</t>
  </si>
  <si>
    <t>Seguridad pública Yucatán</t>
  </si>
  <si>
    <t>PERFIL 2</t>
  </si>
  <si>
    <t>Pagados por el cliente</t>
  </si>
  <si>
    <t>Ofertas- Lista de referencia</t>
  </si>
  <si>
    <t>Financiamiento de gastos</t>
  </si>
  <si>
    <t>Origen Liquidez</t>
  </si>
  <si>
    <t>Notarios</t>
  </si>
  <si>
    <t>Becton</t>
  </si>
  <si>
    <t>Oaxaca</t>
  </si>
  <si>
    <t>Seguridad pública Colima</t>
  </si>
  <si>
    <t>PERFIL 3</t>
  </si>
  <si>
    <t xml:space="preserve">Programa </t>
  </si>
  <si>
    <t>Dinero adicional</t>
  </si>
  <si>
    <t>Origen Cofinanciamiento</t>
  </si>
  <si>
    <t>Pilotos</t>
  </si>
  <si>
    <t>x</t>
  </si>
  <si>
    <t>Puebla</t>
  </si>
  <si>
    <t>Bomberos</t>
  </si>
  <si>
    <t>PERFIL 4</t>
  </si>
  <si>
    <t>Paso1</t>
  </si>
  <si>
    <t>paso2</t>
  </si>
  <si>
    <t>paso3</t>
  </si>
  <si>
    <t>paso4</t>
  </si>
  <si>
    <t>Remodelación</t>
  </si>
  <si>
    <t>Querétaro</t>
  </si>
  <si>
    <t>Seguridad pública Monterrey (uso arma de fuego)</t>
  </si>
  <si>
    <t>No orden</t>
  </si>
  <si>
    <t>copia cod</t>
  </si>
  <si>
    <t>reordenar</t>
  </si>
  <si>
    <t>listado
"ofertasfree"</t>
  </si>
  <si>
    <t>Remodelación Plus</t>
  </si>
  <si>
    <t>Tabasco</t>
  </si>
  <si>
    <t>Seguridad pública Yucatán  (uso arma de fuego)</t>
  </si>
  <si>
    <t>Veracuz</t>
  </si>
  <si>
    <t>Seguridad pública Colima  (uso arma de fuego)</t>
  </si>
  <si>
    <t>Policías</t>
  </si>
  <si>
    <t>Mejoras Cofis</t>
  </si>
  <si>
    <t>"colectivo"</t>
  </si>
  <si>
    <t>listado
"ofertassantander"</t>
  </si>
  <si>
    <t>LISTA destinos REFERENCIA
"LISTA"</t>
  </si>
  <si>
    <t>COMISION APERTURA</t>
  </si>
  <si>
    <t>COMISION POR ADMINISTRACION</t>
  </si>
  <si>
    <t>VALIDA PLAZOS</t>
  </si>
  <si>
    <t>HIPOTECA PLUS</t>
  </si>
  <si>
    <t>Pagos crecientes</t>
  </si>
  <si>
    <t>Aforos Máximo Crédito Banco</t>
  </si>
  <si>
    <t>Aforo cofinanciados CREDITOS</t>
  </si>
  <si>
    <t>LISTA destinos REFERENCIA</t>
  </si>
  <si>
    <t>"LISTA"</t>
  </si>
  <si>
    <t>"LISTAFREE"</t>
  </si>
  <si>
    <t>Cálculo</t>
  </si>
  <si>
    <t>Perfil 5</t>
  </si>
  <si>
    <t>Perfil 4</t>
  </si>
  <si>
    <t>Perfil 3</t>
  </si>
  <si>
    <t>Perfil 2</t>
  </si>
  <si>
    <t>Perfil 1</t>
  </si>
  <si>
    <t>Valor vivienda capturada</t>
  </si>
  <si>
    <t>Aforo máximo por destino</t>
  </si>
  <si>
    <t>Aforo máximo por PERFIL</t>
  </si>
  <si>
    <t>Crédito Máximo a otorgar por aforo perfil</t>
  </si>
  <si>
    <t>Monto crédito solicitado (INCLUYE yy MEJORAS COFI)</t>
  </si>
  <si>
    <t xml:space="preserve">CREDITO FINAL </t>
  </si>
  <si>
    <t>Monto INFONAVIT</t>
  </si>
  <si>
    <t>Aforo final</t>
  </si>
  <si>
    <t>Aforo con Susti adicional</t>
  </si>
  <si>
    <t>COFINAVIT</t>
  </si>
  <si>
    <t>Valor de vivienda capturada</t>
  </si>
  <si>
    <t>Suma Crédito INFONAVIT</t>
  </si>
  <si>
    <t>SUMA SSV</t>
  </si>
  <si>
    <t>Aforo máximo Créditos + SSV por destino</t>
  </si>
  <si>
    <t>Monto crédito solicitado</t>
  </si>
  <si>
    <t>Crédito Máximo entre solicitado y restando SSV e YY</t>
  </si>
  <si>
    <t>Aforo REAL solicitado</t>
  </si>
  <si>
    <t>SUSTITUCION</t>
  </si>
  <si>
    <t>CREDITO FINAL SUSTITUCION</t>
  </si>
  <si>
    <t>DETERMINACION OPCION GASTOS FINANCIADOS</t>
  </si>
  <si>
    <t>DETERMINACION DEL MONTO DEL CASH OUT</t>
  </si>
  <si>
    <t>CREDITO FINAL LIQUIDEZ</t>
  </si>
  <si>
    <t xml:space="preserve">Aforo gastos </t>
  </si>
  <si>
    <t>LIQUIDEZ FINAL o Menor dinero adicional solicitado por cliente</t>
  </si>
  <si>
    <t>Aforo Solicitado Sustitución</t>
  </si>
  <si>
    <t>CONSTRUCCION</t>
  </si>
  <si>
    <t>Tipo de Construcción</t>
  </si>
  <si>
    <t>Número de ministraciones</t>
  </si>
  <si>
    <t>Valor Terreno</t>
  </si>
  <si>
    <t>Valor Proyecto</t>
  </si>
  <si>
    <t>Total Inmueble (suma)</t>
  </si>
  <si>
    <t>Aforo terreno Vs. inmueble</t>
  </si>
  <si>
    <t xml:space="preserve">Determinación monto Crédito Construcción </t>
  </si>
  <si>
    <t xml:space="preserve">Determinación monto Crédito Terreno + Construcción </t>
  </si>
  <si>
    <t>CREDITO FINAL CONSTRUCCION</t>
  </si>
  <si>
    <t>Nuevo monto de Crédito Solicitado por el cliente</t>
  </si>
  <si>
    <t>Terreno más Construcción. valida primer ministración</t>
  </si>
  <si>
    <t>25% Valor del proyecto= Construcción</t>
  </si>
  <si>
    <r>
      <t xml:space="preserve">70% Avalúo </t>
    </r>
    <r>
      <rPr>
        <b/>
        <sz val="8"/>
        <color rgb="FFFF0000"/>
        <rFont val="Arial"/>
        <family val="2"/>
      </rPr>
      <t>TERRENO</t>
    </r>
  </si>
  <si>
    <t>Ministraciones</t>
  </si>
  <si>
    <t>Terreno más Construcción</t>
  </si>
  <si>
    <t>Construcción en terreno Propio</t>
  </si>
  <si>
    <t>Primer Ministración</t>
  </si>
  <si>
    <t>Subsecuentes</t>
  </si>
  <si>
    <t>Segunda ministración</t>
  </si>
  <si>
    <t>Tercera ministración</t>
  </si>
  <si>
    <t>Cuarta ministración</t>
  </si>
  <si>
    <t>Quinta ministración</t>
  </si>
  <si>
    <t>Suma</t>
  </si>
  <si>
    <t>Ministraciones FINALES</t>
  </si>
  <si>
    <t>RESUMEN FINAL</t>
  </si>
  <si>
    <t>Lista Selección PARA TABLA</t>
  </si>
  <si>
    <t>OFERTA FINAL PARA TABLA</t>
  </si>
  <si>
    <t>SELECCIÓN OTRO PERFIL ADICIONAL</t>
  </si>
  <si>
    <t>Liquidez5</t>
  </si>
  <si>
    <t>Sustitución5</t>
  </si>
  <si>
    <t>LiqudezPERFIL 4</t>
  </si>
  <si>
    <t>SustituciónPERFIL4</t>
  </si>
  <si>
    <t>LiqudezPERFIL 3</t>
  </si>
  <si>
    <t>SustituciónPERFIL3</t>
  </si>
  <si>
    <t>LiqudezPERFIL2</t>
  </si>
  <si>
    <t>SustituciónPERFIL2</t>
  </si>
  <si>
    <t>LiqudezPERFIL1</t>
  </si>
  <si>
    <t>SustituciónPERFIL1</t>
  </si>
  <si>
    <t>Valor de la Vivienda</t>
  </si>
  <si>
    <t>Suma Asegurable</t>
  </si>
  <si>
    <t>PERFIL 5</t>
  </si>
  <si>
    <t>Comisión de Apertura</t>
  </si>
  <si>
    <t>Gastos Notariales</t>
  </si>
  <si>
    <t>Inspección y seguimiento de obra</t>
  </si>
  <si>
    <t>Gastos INFONAVIT</t>
  </si>
  <si>
    <t>Enganche</t>
  </si>
  <si>
    <t>Tasa de Interés</t>
  </si>
  <si>
    <t>Pago por mil</t>
  </si>
  <si>
    <t>Aforo</t>
  </si>
  <si>
    <t>CREDITO TOTAL</t>
  </si>
  <si>
    <t>Primer Disposición</t>
  </si>
  <si>
    <t>3 Disposiciones subsecuentes</t>
  </si>
  <si>
    <t>Ultima Disposición</t>
  </si>
  <si>
    <t>Pago Mensual</t>
  </si>
  <si>
    <t>Seguro de Vida</t>
  </si>
  <si>
    <t>Seguro de Daños /obra</t>
  </si>
  <si>
    <t>Comisión Mensual</t>
  </si>
  <si>
    <t>Incremento anual al pago</t>
  </si>
  <si>
    <t>Ingresos Requeridos</t>
  </si>
  <si>
    <t>Iva de intereses</t>
  </si>
  <si>
    <t>Crédito INSTITUTO</t>
  </si>
  <si>
    <t>ssv INSTITUTO</t>
  </si>
  <si>
    <t>Primera opcion compara</t>
  </si>
  <si>
    <t>segunda opcion compara</t>
  </si>
  <si>
    <t>FINAL TABLA</t>
  </si>
  <si>
    <t>Versión. 2026-1 Ro (09 marzo 2026)</t>
  </si>
  <si>
    <t>BHF-034 (032026)</t>
  </si>
  <si>
    <r>
      <rPr>
        <b/>
        <sz val="18"/>
        <color rgb="FFFF0000"/>
        <rFont val="Santander Micro Text"/>
        <family val="2"/>
      </rPr>
      <t>S</t>
    </r>
    <r>
      <rPr>
        <b/>
        <sz val="18"/>
        <color theme="0" tint="-0.499984740745262"/>
        <rFont val="Santander Micro Text"/>
        <family val="2"/>
      </rPr>
      <t xml:space="preserve">IMULADOR </t>
    </r>
    <r>
      <rPr>
        <b/>
        <sz val="18"/>
        <color rgb="FFFF0000"/>
        <rFont val="Santander Micro Text"/>
        <family val="2"/>
      </rPr>
      <t>C</t>
    </r>
    <r>
      <rPr>
        <b/>
        <sz val="18"/>
        <color theme="0" tint="-0.499984740745262"/>
        <rFont val="Santander Micro Text"/>
        <family val="2"/>
      </rPr>
      <t xml:space="preserve">REDITO </t>
    </r>
    <r>
      <rPr>
        <b/>
        <sz val="18"/>
        <color rgb="FFFF0000"/>
        <rFont val="Santander Micro Text"/>
        <family val="2"/>
      </rPr>
      <t>H</t>
    </r>
    <r>
      <rPr>
        <b/>
        <sz val="18"/>
        <color theme="0" tint="-0.499984740745262"/>
        <rFont val="Santander Micro Text"/>
        <family val="2"/>
      </rPr>
      <t xml:space="preserve">IPOTECARIO </t>
    </r>
    <r>
      <rPr>
        <b/>
        <sz val="18"/>
        <color rgb="FFFF0000"/>
        <rFont val="Santander Micro Text"/>
        <family val="2"/>
      </rPr>
      <t>HIPOTECA SANTANDER</t>
    </r>
  </si>
  <si>
    <t>dd mmm aaaa</t>
  </si>
  <si>
    <t>1. Datos del Solicitante</t>
  </si>
  <si>
    <t>Nombre del cliente</t>
  </si>
  <si>
    <t xml:space="preserve">Atendido por </t>
  </si>
  <si>
    <t>Teléfono</t>
  </si>
  <si>
    <t>A113</t>
  </si>
  <si>
    <t>A114</t>
  </si>
  <si>
    <t>A115</t>
  </si>
  <si>
    <t>2. Condiciones financieras</t>
  </si>
  <si>
    <t>A116</t>
  </si>
  <si>
    <t>SI(Y(O(Adm!$B$3=Adm!$B$4,Adm!$B$3=Adm!$B$5,Adm!$B$3=Adm!$B$6),Adm!$BC$2=0,Adm!$BD$2=0),"",SI(Adm!BC2="si","",SI(Adm!BD2="si","",SI(Adm!C25="si","¿Oferta Black?",""))))</t>
  </si>
  <si>
    <t>A117</t>
  </si>
  <si>
    <t>Tipo de Ingresos</t>
  </si>
  <si>
    <t>A118</t>
  </si>
  <si>
    <t>A119</t>
  </si>
  <si>
    <t>A120</t>
  </si>
  <si>
    <t>Indica Oferta</t>
  </si>
  <si>
    <t>¿Contratará seguro de Vida con el Banco?</t>
  </si>
  <si>
    <t>Prima Mensual</t>
  </si>
  <si>
    <t>Porcentaje estimado de gastos notariales</t>
  </si>
  <si>
    <t>Intervinientes</t>
  </si>
  <si>
    <t>Selecciona el esquema de Pagos</t>
  </si>
  <si>
    <t>3. Conoce las ofertas y compara</t>
  </si>
  <si>
    <t>Condiciones financieras</t>
  </si>
  <si>
    <t>Valor del inmueble</t>
  </si>
  <si>
    <t>Suma asegurable</t>
  </si>
  <si>
    <t>Plazo (meses)</t>
  </si>
  <si>
    <t>Selecciona para consultar otro perfil</t>
  </si>
  <si>
    <t>4. Selección de oferta y Tabla de Amortización</t>
  </si>
  <si>
    <t>CONDICIONES FINANCIERAS</t>
  </si>
  <si>
    <t>GASTOS INICIALES</t>
  </si>
  <si>
    <t>Contratación crédito</t>
  </si>
  <si>
    <t xml:space="preserve">Selecciona la oferta final para hacer tu tabla </t>
  </si>
  <si>
    <t>Gastos de preoriginación avalúo hipotecario</t>
  </si>
  <si>
    <t>Gastos notariales</t>
  </si>
  <si>
    <t>Financiamiento máximo</t>
  </si>
  <si>
    <t>Plazo real</t>
  </si>
  <si>
    <t>Reducción Plazo</t>
  </si>
  <si>
    <t>1=pagos fijos, 2= pagos crecientes</t>
  </si>
  <si>
    <t>Monto crédito</t>
  </si>
  <si>
    <t>Monto Crédito</t>
  </si>
  <si>
    <t>Total gastos</t>
  </si>
  <si>
    <t>Reducción cuota</t>
  </si>
  <si>
    <t>Ajuste anual</t>
  </si>
  <si>
    <t>Esquema</t>
  </si>
  <si>
    <t>Busqueda</t>
  </si>
  <si>
    <t>pago por mil</t>
  </si>
  <si>
    <t xml:space="preserve">CAT  Promedio </t>
  </si>
  <si>
    <t>Sin IVA Informativo</t>
  </si>
  <si>
    <t>Selecciona el efecto de los Pagos anticipados</t>
  </si>
  <si>
    <t>INCREMENTO</t>
  </si>
  <si>
    <t xml:space="preserve">Su crédito se amortizará en </t>
  </si>
  <si>
    <t>Base Aportación INFONAVIT</t>
  </si>
  <si>
    <t>Aportación Patronal Bimestral</t>
  </si>
  <si>
    <t>Pagos Anticipados</t>
  </si>
  <si>
    <t>Tasa</t>
  </si>
  <si>
    <t>Mes</t>
  </si>
  <si>
    <t>Plazo remanente</t>
  </si>
  <si>
    <t>Periodo</t>
  </si>
  <si>
    <t>Tasa de Interés Anual Ordinaria</t>
  </si>
  <si>
    <t>Intereses</t>
  </si>
  <si>
    <t>Amortización</t>
  </si>
  <si>
    <t>Pago de Crédito</t>
  </si>
  <si>
    <t>Administración autorización de crédito diferido</t>
  </si>
  <si>
    <t>Pago Total</t>
  </si>
  <si>
    <t>Saldo al Final del Periodo</t>
  </si>
  <si>
    <t>Creci.pago</t>
  </si>
  <si>
    <t>Nueva Cuota</t>
  </si>
  <si>
    <t>Congelados</t>
  </si>
  <si>
    <t xml:space="preserve">Cuota Congelados </t>
  </si>
  <si>
    <t>Cuota Programados</t>
  </si>
  <si>
    <t>Capital Programados</t>
  </si>
  <si>
    <t xml:space="preserve">Factor Programados </t>
  </si>
  <si>
    <t>Pago Crédito</t>
  </si>
  <si>
    <t>Saldo al final del periodo</t>
  </si>
  <si>
    <t>P. Programados</t>
  </si>
  <si>
    <t>FINAL</t>
  </si>
  <si>
    <t>Construccion</t>
  </si>
  <si>
    <t>TOTALES</t>
  </si>
  <si>
    <t>ESTE DOCUMENTO NO ES UNA OFERTA VINCULANTE</t>
  </si>
  <si>
    <t xml:space="preserve">Este documento es únicamente de carácter informativo y para fines ilustrativos por lo que no implica asunción de obligación ni compromiso por parte de Banco Santander México S.A.,  ni de Entidad alguna referida en el presente documento, integrante o no del Grupo Financiero Santander México. </t>
  </si>
  <si>
    <t>Las condiciones del producto, criterios de elegibilidad, planes, importes de beneficios y políticas de crédito que se refieren en el simulador están sujetas a cambio sin previo aviso.</t>
  </si>
  <si>
    <t>La autorización del crédito es una facultad discrecional de Banco Santander México S.A. por lo que se reserva el derecho de otorgarla o negarla.</t>
  </si>
  <si>
    <t>Banco Santander México S.A. se reserva el derecho de solicitar información adicional y/o restringir parámetros de enganche, monto, plazo o tasa en función de las características específicas del solicitante y del inmueble.</t>
  </si>
  <si>
    <t>Los productos hipotecarios son emitidos por Banco Santander México, S.A., Institución de Banca Múltiple, Grupo Financiero Santander México</t>
  </si>
  <si>
    <t>Para conocer las características, términos, comisiones, requisitos de contratación, tasa de Interés aplicable, vigencia, restricciones y beneficios del producto, consulta www.santander.com.mx  Disponible en toda la República Mexicana</t>
  </si>
  <si>
    <t>El cálculo en el Seguro de referencia es única y exclusivamente con fines informativos e ilustrativos. La calidad en la prestación de los servicios y responsabilidad en el otorgamiento de los mismos es responsabilidad directa de Zúrich Santander Seguros México S.A. y/o de la aseguradora con la que contrate estos seguros.</t>
  </si>
  <si>
    <t>NOTAS</t>
  </si>
  <si>
    <r>
      <rPr>
        <b/>
        <sz val="16"/>
        <color rgb="FFFF0000"/>
        <rFont val="Santander Micro Text"/>
        <family val="2"/>
      </rPr>
      <t>S</t>
    </r>
    <r>
      <rPr>
        <b/>
        <sz val="16"/>
        <color theme="0" tint="-0.499984740745262"/>
        <rFont val="Santander Micro Text"/>
        <family val="2"/>
      </rPr>
      <t xml:space="preserve">IMULADOR </t>
    </r>
    <r>
      <rPr>
        <b/>
        <sz val="16"/>
        <color rgb="FFFF0000"/>
        <rFont val="Santander Micro Text"/>
        <family val="2"/>
      </rPr>
      <t>C</t>
    </r>
    <r>
      <rPr>
        <b/>
        <sz val="16"/>
        <color theme="0" tint="-0.499984740745262"/>
        <rFont val="Santander Micro Text"/>
        <family val="2"/>
      </rPr>
      <t xml:space="preserve">REDITO </t>
    </r>
    <r>
      <rPr>
        <b/>
        <sz val="16"/>
        <color rgb="FFFF0000"/>
        <rFont val="Santander Micro Text"/>
        <family val="2"/>
      </rPr>
      <t>H</t>
    </r>
    <r>
      <rPr>
        <b/>
        <sz val="16"/>
        <color theme="0" tint="-0.499984740745262"/>
        <rFont val="Santander Micro Text"/>
        <family val="2"/>
      </rPr>
      <t xml:space="preserve">IPOTECARIO </t>
    </r>
    <r>
      <rPr>
        <b/>
        <sz val="16"/>
        <color rgb="FFFF0000"/>
        <rFont val="Santander Micro Text"/>
        <family val="2"/>
      </rPr>
      <t>HIPOTECA SANTANDER</t>
    </r>
  </si>
  <si>
    <t>Hoja 2/2</t>
  </si>
  <si>
    <t>Efecto en Pagos anticipados</t>
  </si>
  <si>
    <t>Tabla liquidez</t>
  </si>
  <si>
    <t>Pagos Anticipados
Selecciona efecto  y captura Monto</t>
  </si>
  <si>
    <t>Tabla Sustitución - Mejoras Cofinanciados</t>
  </si>
  <si>
    <t>Seguro Vida</t>
  </si>
  <si>
    <r>
      <t>S</t>
    </r>
    <r>
      <rPr>
        <b/>
        <sz val="22"/>
        <color theme="0" tint="-0.34998626667073579"/>
        <rFont val="Santander Micro Text"/>
        <family val="2"/>
      </rPr>
      <t>imulador</t>
    </r>
    <r>
      <rPr>
        <b/>
        <sz val="22"/>
        <color indexed="10"/>
        <rFont val="Santander Micro Text"/>
        <family val="2"/>
      </rPr>
      <t xml:space="preserve"> H</t>
    </r>
    <r>
      <rPr>
        <b/>
        <sz val="22"/>
        <color theme="0" tint="-0.34998626667073579"/>
        <rFont val="Santander Micro Text"/>
        <family val="2"/>
      </rPr>
      <t>ipoteca</t>
    </r>
    <r>
      <rPr>
        <b/>
        <sz val="22"/>
        <color indexed="10"/>
        <rFont val="Santander Micro Text"/>
        <family val="2"/>
      </rPr>
      <t xml:space="preserve"> Free</t>
    </r>
  </si>
  <si>
    <t>Plazo (en años)</t>
  </si>
  <si>
    <t>¿Contratará el Seguro de Vida con el Banco?</t>
  </si>
  <si>
    <t>¿Contratará el seguro de Daños con el Banco?</t>
  </si>
  <si>
    <t>Valor de la vivienda</t>
  </si>
  <si>
    <t>Monto del crédito solicitado</t>
  </si>
  <si>
    <t>Aforo solicitado</t>
  </si>
  <si>
    <t>Condiciones Financieras y oferta de tasas</t>
  </si>
  <si>
    <t>Tabla de Amortización</t>
  </si>
  <si>
    <t>Selecciona la oferta para tu tabla de amortización</t>
  </si>
  <si>
    <t>Total Crédito</t>
  </si>
  <si>
    <t>Ajuste tasa</t>
  </si>
  <si>
    <t>Pagos Anticipados
Captura Monto</t>
  </si>
  <si>
    <t>tasa piso</t>
  </si>
  <si>
    <t>tasa%</t>
  </si>
  <si>
    <t>Tasa techo</t>
  </si>
  <si>
    <t xml:space="preserve">Este documento es únicamente de carácter informativo y para fines ilustrativos por lo que no implica asunción de obligación ni compromiso por parte de Banco Santander México S.A., ni de Entidad alguna referida en el presente documento, integrante o no del Grupo Financiero Santander México. </t>
  </si>
  <si>
    <t>Los productos hipotecarios son emitidos por Banco Santander México, S.A., Institución de Banca Múltiple, Grupo Financiero Santander México.</t>
  </si>
  <si>
    <t xml:space="preserve"> La simulación contenida en la tabla de amortización es considerando que el crédito será pagado en forma puntual durante todo el plazo contratado. Para la obtención del beneficio de la reducción de tasa mostrada en esta simulación el cliente deberá cumplir con los requisitos de la oferta</t>
  </si>
  <si>
    <r>
      <rPr>
        <b/>
        <sz val="16"/>
        <color rgb="FFFF0000"/>
        <rFont val="Santander Micro Text"/>
        <family val="2"/>
      </rPr>
      <t>S</t>
    </r>
    <r>
      <rPr>
        <b/>
        <sz val="16"/>
        <color theme="0" tint="-0.499984740745262"/>
        <rFont val="Santander Micro Text"/>
        <family val="2"/>
      </rPr>
      <t xml:space="preserve">IMULADOR </t>
    </r>
    <r>
      <rPr>
        <b/>
        <sz val="16"/>
        <color rgb="FFFF0000"/>
        <rFont val="Santander Micro Text"/>
        <family val="2"/>
      </rPr>
      <t>HIPOTECA FREE</t>
    </r>
  </si>
  <si>
    <t>Tabla liquidez Hipoteca Free</t>
  </si>
  <si>
    <t>IVA de intereses</t>
  </si>
  <si>
    <t>COMISIÓN APERTURA</t>
  </si>
  <si>
    <t>DESTINO</t>
  </si>
  <si>
    <t>Selección destino</t>
  </si>
  <si>
    <t>SEGURO VIDA</t>
  </si>
  <si>
    <t>SEGURO DAÑOS</t>
  </si>
  <si>
    <t>INTERVINIENTES</t>
  </si>
  <si>
    <t>Factores Santander VIDA</t>
  </si>
  <si>
    <t>Factores Santander DAÑOS</t>
  </si>
  <si>
    <t>Esquema de Pago</t>
  </si>
  <si>
    <t>Hipoteca PLUS</t>
  </si>
  <si>
    <t>AVALUO</t>
  </si>
  <si>
    <t>EDAD</t>
  </si>
  <si>
    <t>Vida recompensa</t>
  </si>
  <si>
    <t>Plazo gracia</t>
  </si>
  <si>
    <t>Valida monto construcción</t>
  </si>
  <si>
    <t>Edad</t>
  </si>
  <si>
    <t>Precio prima $2,000,000</t>
  </si>
  <si>
    <t>SA supervivencia</t>
  </si>
  <si>
    <t>Precio prima $3,000,000</t>
  </si>
  <si>
    <t xml:space="preserve">Tasas válidas </t>
  </si>
  <si>
    <t>TASAS PARA SELECCIÓN</t>
  </si>
  <si>
    <t>Sustitución/ origen Adquisición</t>
  </si>
  <si>
    <t>Sustitución/ origen Liquidez</t>
  </si>
  <si>
    <t>Mejora de Condiciones/Origen Adquisición</t>
  </si>
  <si>
    <t>Mejora de Condiciones/Origen Liquidez</t>
  </si>
  <si>
    <t>Liquidez para gastos / Liquidez Dinero adicional</t>
  </si>
  <si>
    <t>Construcción en Terreno Propio</t>
  </si>
  <si>
    <t>Adquisición de Terreno y Construcción</t>
  </si>
  <si>
    <t>PLAZOS</t>
  </si>
  <si>
    <r>
      <rPr>
        <b/>
        <sz val="16"/>
        <color theme="1" tint="0.34998626667073579"/>
        <rFont val="Santander Micro Text"/>
        <family val="2"/>
      </rPr>
      <t>SIMULADOR EXCLUSIVO BENEFICIO</t>
    </r>
    <r>
      <rPr>
        <b/>
        <sz val="16"/>
        <color indexed="10"/>
        <rFont val="Santander Micro Text"/>
        <family val="2"/>
      </rPr>
      <t xml:space="preserve"> HIPOTECA PLUS (operaciones aprobadas con BHF DEFINITIVO)</t>
    </r>
  </si>
  <si>
    <t>Santander seguro Mensual</t>
  </si>
  <si>
    <t>si</t>
  </si>
  <si>
    <t>Extraprima</t>
  </si>
  <si>
    <t>Seguro exteno</t>
  </si>
  <si>
    <t>Factores Santander OBRA</t>
  </si>
  <si>
    <t>Santander Sustitución</t>
  </si>
  <si>
    <t>Primera ministración1</t>
  </si>
  <si>
    <t>Santander Liquidez</t>
  </si>
  <si>
    <t xml:space="preserve"> 2 y 3</t>
  </si>
  <si>
    <t>Base</t>
  </si>
  <si>
    <t>4ta ministración</t>
  </si>
  <si>
    <t xml:space="preserve">Fijos </t>
  </si>
  <si>
    <t>Ultima ministración</t>
  </si>
  <si>
    <t>CONDICIONES EVALUADAS</t>
  </si>
  <si>
    <t>Santander Seguro Mensual</t>
  </si>
  <si>
    <t>Lista Selección</t>
  </si>
  <si>
    <t>Existe tasa seleccionada?</t>
  </si>
  <si>
    <t>Captura Importe Avalúo</t>
  </si>
  <si>
    <t>Captura Comisión Contratación crédito</t>
  </si>
  <si>
    <t>Escrituración (% aprox)</t>
  </si>
  <si>
    <t>Captura plazo en meses</t>
  </si>
  <si>
    <t>Subtotal</t>
  </si>
  <si>
    <t>Captura Tasa de Interés</t>
  </si>
  <si>
    <t>Monto de Crédito solicitado</t>
  </si>
  <si>
    <t>SEGUROS</t>
  </si>
  <si>
    <t>Número de intervinientes</t>
  </si>
  <si>
    <t>Modalidad Seguro de Vida</t>
  </si>
  <si>
    <t>Modalidad Seguro de Daños</t>
  </si>
  <si>
    <r>
      <t>REQUISITOS HIPOTECA PLUS</t>
    </r>
    <r>
      <rPr>
        <b/>
        <vertAlign val="superscript"/>
        <sz val="10"/>
        <color theme="0"/>
        <rFont val="Santander Micro Text"/>
        <family val="2"/>
      </rPr>
      <t>1</t>
    </r>
  </si>
  <si>
    <t>Cumplir con los requisitos del plan seleccionado:</t>
  </si>
  <si>
    <t>Selecciona tu plan para Hipoteca Plus</t>
  </si>
  <si>
    <t>PLAN PLATINO</t>
  </si>
  <si>
    <t>Nómina / portabilidad de nómina (para asalariados)  o cuenta de cheques (para no asalariados)</t>
  </si>
  <si>
    <t>Tarjeta de crédito</t>
  </si>
  <si>
    <t>Seguros  (adicionales a los del crédito hipotecario)</t>
  </si>
  <si>
    <r>
      <rPr>
        <vertAlign val="superscript"/>
        <sz val="10"/>
        <color theme="1" tint="0.249977111117893"/>
        <rFont val="Santander Micro Text"/>
        <family val="2"/>
      </rPr>
      <t>1</t>
    </r>
    <r>
      <rPr>
        <sz val="10"/>
        <color theme="1" tint="0.249977111117893"/>
        <rFont val="Santander Micro Text"/>
        <family val="2"/>
      </rPr>
      <t xml:space="preserve"> Consulta los términos y condiciones en www.santander.com.mx</t>
    </r>
  </si>
  <si>
    <t>Para seguir ahorrando contrata tu plan de ahorro y cobertura vida recompensa*….</t>
  </si>
  <si>
    <t>… y aplica tu devolución de la cobertura como pago anticipado al crédito hipotecario</t>
  </si>
  <si>
    <t>Plan ahorro vida y cobertura vida recompensa</t>
  </si>
  <si>
    <t>Comparativo</t>
  </si>
  <si>
    <t>Captura la edad</t>
  </si>
  <si>
    <t>años</t>
  </si>
  <si>
    <t>Suma asegurada</t>
  </si>
  <si>
    <t>Tasa Original</t>
  </si>
  <si>
    <t>Con Hipoteca Plus</t>
  </si>
  <si>
    <t>Hipoteca Plus + cobertura vida recompensa</t>
  </si>
  <si>
    <t>Selecciona tu Plan</t>
  </si>
  <si>
    <t>Tasa de interés</t>
  </si>
  <si>
    <t>Prima anual</t>
  </si>
  <si>
    <t>Costo vida recompensa</t>
  </si>
  <si>
    <t>-</t>
  </si>
  <si>
    <t>Prima Total Periodo (5 años)</t>
  </si>
  <si>
    <t>Devolución (aplicada al capital)</t>
  </si>
  <si>
    <r>
      <t>Devolución cobertura</t>
    </r>
    <r>
      <rPr>
        <b/>
        <vertAlign val="superscript"/>
        <sz val="10"/>
        <color theme="4" tint="-0.499984740745262"/>
        <rFont val="Santander Micro Text"/>
        <family val="2"/>
      </rPr>
      <t>1</t>
    </r>
  </si>
  <si>
    <t>Total a pagar</t>
  </si>
  <si>
    <r>
      <t xml:space="preserve">Costo Real de la Cobertura 
</t>
    </r>
    <r>
      <rPr>
        <sz val="10"/>
        <color theme="4" tint="-0.249977111117893"/>
        <rFont val="Santander Micro Text"/>
        <family val="2"/>
      </rPr>
      <t>(Prima Total - devolución Vida Recompensa)</t>
    </r>
  </si>
  <si>
    <t>Ahorro</t>
  </si>
  <si>
    <t>Costo real x año</t>
  </si>
  <si>
    <t>Costo real x mes</t>
  </si>
  <si>
    <r>
      <rPr>
        <vertAlign val="superscript"/>
        <sz val="10"/>
        <color rgb="FFFF0000"/>
        <rFont val="Santander Micro Text"/>
        <family val="2"/>
      </rPr>
      <t>1</t>
    </r>
    <r>
      <rPr>
        <sz val="10"/>
        <color rgb="FFFF0000"/>
        <rFont val="Santander Micro Text"/>
        <family val="2"/>
      </rPr>
      <t xml:space="preserve"> Que puedes abonar al crédito hipotecario en el año 5 como pago anticipado</t>
    </r>
  </si>
  <si>
    <t>*Para conocer las características del producto consulta intranet/negocio/particulares/seguros/productos ofertables red</t>
  </si>
  <si>
    <t>Pago x mil INICIO</t>
  </si>
  <si>
    <t>CAT  Promedio</t>
  </si>
  <si>
    <t xml:space="preserve">Tu crédito se amortizará en </t>
  </si>
  <si>
    <t>Efecto</t>
  </si>
  <si>
    <t>Ingresos</t>
  </si>
  <si>
    <t>Cuota</t>
  </si>
  <si>
    <t>Pagos Anticipados
Selecciona efecto y captura monto</t>
  </si>
  <si>
    <t/>
  </si>
  <si>
    <t>Para conocer las características, Términos, Comisiones, Requisitos de Contratación, Tasa de Interés aplicable, Vigencia, Restricciones y Beneficios del producto, consulta www.santander.com.mx , Disponible en toda la República Mexicana</t>
  </si>
  <si>
    <t>El cálculo en el Seguro de referencia es única y exclusivamente con fines informativos e ilustrativos. La calidad en la prestación de los servicios y responsabilidad en el otorgamiento de los mismos es responsabilidad directa de Zúrich Santander Seguros México S.A. y/o de la Aseguradora con la que contrate estos seguros.</t>
  </si>
  <si>
    <t>Los beneficios mostrados son sólo ejemplificativos y para su obtención el cliente debe cumplir con los requisitos para su contratación y cumplimiento. Consulta términos y condiciones en www.santander.com.mx</t>
  </si>
  <si>
    <t>Las ofertas especiales para los Colectivos, están condicionadas al cumplimiento del perfil y requisitos específicos para esa oferta. Para más información, consulta con tu ejecutivo hipotecario.</t>
  </si>
  <si>
    <t>CAT OFERTA H.SANTANDER MERCADO ABIERTO</t>
  </si>
  <si>
    <t xml:space="preserve">Fecha </t>
  </si>
  <si>
    <t>CAT OFERTA LIQUIDEZ TWIN H.SANTANDER MERCADO ABIERTO</t>
  </si>
  <si>
    <t>CAT SUSTITUCION MEJORAS COFIS  H.SANTANDER</t>
  </si>
  <si>
    <t xml:space="preserve">HOJA PLUS: CAT </t>
  </si>
  <si>
    <t>Cuadro (Hoja Plus):  Tabla TASA normal Comparativo MONTOS</t>
  </si>
  <si>
    <t>Cuadro (Hoja Plus):  Tabla TASA con H. Plus Comparativo MONTOS</t>
  </si>
  <si>
    <t>Cuadro (Hoja Plus):  Tabla TASA con H. Plus y Seguro Vida Recompensa</t>
  </si>
  <si>
    <t>CAT OFERTA FREE</t>
  </si>
  <si>
    <t>CAT LIQUIDEZ FREE</t>
  </si>
  <si>
    <t>DATOS DEL FINANCIAMIENTO</t>
  </si>
  <si>
    <t>Inmueble</t>
  </si>
  <si>
    <t>Gastos estimados de escrituración</t>
  </si>
  <si>
    <t>LIQUIDEZ twin</t>
  </si>
  <si>
    <t>Sustitución mejoras TWIN</t>
  </si>
  <si>
    <t>Comisión de apertura</t>
  </si>
  <si>
    <t>Parámetros</t>
  </si>
  <si>
    <t>Plazo en años</t>
  </si>
  <si>
    <t>Plazo en meses</t>
  </si>
  <si>
    <t>Tasa de Interés Fija</t>
  </si>
  <si>
    <t>Piso</t>
  </si>
  <si>
    <t>Techo</t>
  </si>
  <si>
    <t>Prima Unica</t>
  </si>
  <si>
    <t>Pago por mil Inicial</t>
  </si>
  <si>
    <t>Crédito Total</t>
  </si>
  <si>
    <t>FACTOR SEGURO VIDA EXTERNO</t>
  </si>
  <si>
    <t>FACTOR SEGURO DAÑOS EXTERNO</t>
  </si>
  <si>
    <t>TOTAL</t>
  </si>
  <si>
    <t xml:space="preserve">CAT  </t>
  </si>
  <si>
    <t>TABLA</t>
  </si>
  <si>
    <t>Seguro de vida</t>
  </si>
  <si>
    <t>Seguro de Daños</t>
  </si>
  <si>
    <t>Comisión por Autorización de Crédito Diferida (incluye IVA)</t>
  </si>
  <si>
    <t>aportaciones patronales</t>
  </si>
  <si>
    <t>Disposiciones de Crédito para Construcción</t>
  </si>
  <si>
    <t>FLUJOS</t>
  </si>
  <si>
    <t>Seguro daños</t>
  </si>
  <si>
    <t>comisión mensual</t>
  </si>
  <si>
    <t>Comisión por Autorización de Crédito Diferida</t>
  </si>
  <si>
    <t>Seguro Daños</t>
  </si>
  <si>
    <t>IVA Intereses</t>
  </si>
  <si>
    <t>IVA intereses</t>
  </si>
  <si>
    <t>Pago anticipado</t>
  </si>
  <si>
    <t>Tasa de inteés</t>
  </si>
  <si>
    <t>Pasos para un Proceso Exitoso:</t>
  </si>
  <si>
    <t>1) Asegúrate de entregar la impresión del simulador correcto al cliente de acuerdo al producto seleccionado.</t>
  </si>
  <si>
    <t>2) Aclara todas sus dudas. Entrégale el folleto informativo del producto para que conozca las características, tasas y comisiones.</t>
  </si>
  <si>
    <t>3) Captura la solicitud de crédito hipotecario en el sistema de Hipoteca On line (HOL)</t>
  </si>
  <si>
    <t>o en su caso, llena la solicitud de crédito hipotecario formato BHF-003 Solicitud Crédito Hipotecario</t>
  </si>
  <si>
    <t>i) Ayuda al cliente y llena la solicitud de crédito hipotecario que se encuentra en la red. Imprímela y pídele al cliente que la firme.</t>
  </si>
  <si>
    <t>ii) Si el cliente no dispone de tiempo para llenar la solicitud en ese momento, pídele que lo haga teniendo mucho cuidado en llenar en forma legible los campos requeridos.</t>
  </si>
  <si>
    <t>iii) Indica al cliente que deberá requisitar la solicitud llenando TODOS los campos. Haz hincapié que deberá requisitar el Consentimiento del Seguro de Vida que se incluye en la solicitud de crédito.</t>
  </si>
  <si>
    <t>iv) Indica al cliente que deberá entregarte el original debidamente firmado.</t>
  </si>
  <si>
    <r>
      <t xml:space="preserve">v) Deberá anexar los documentos que se indican en la solicitud en el apartado </t>
    </r>
    <r>
      <rPr>
        <b/>
        <sz val="10"/>
        <color indexed="8"/>
        <rFont val="Santander Text SemiBold"/>
        <family val="2"/>
      </rPr>
      <t>"DOCUMENTACION Y REQUISITOS PARA AUTORIZACION".</t>
    </r>
  </si>
  <si>
    <t>IMPORTANTE: ESTOS SON LOS FORMATOS QUE SIEMPRE DEBERÁS ENTREGAR AL  CLIENTE:</t>
  </si>
  <si>
    <t>Simulador de crédito</t>
  </si>
  <si>
    <t xml:space="preserve">Solicitud de crédito hipotecario </t>
  </si>
  <si>
    <t>Folleto informativo del producto</t>
  </si>
  <si>
    <t>Tu tarjeta de presentación</t>
  </si>
  <si>
    <t>¿Qué sigue?</t>
  </si>
  <si>
    <t>4. Una vez que recibas la documentación del cliente deberás :</t>
  </si>
  <si>
    <t>i) Revisar que la solicitud se encuentre requisitada correctamente y que hayan respondido en todos los apartados. Pon principal atención en:</t>
  </si>
  <si>
    <t>* RFC completo y con homoclave</t>
  </si>
  <si>
    <t>* CURP</t>
  </si>
  <si>
    <t>* DOMICILIO</t>
  </si>
  <si>
    <t>ii) Revisar que la documentación entregada esté completa y sea congruente contra lo declarado en la solicitud.</t>
  </si>
  <si>
    <r>
      <t xml:space="preserve">iii) Cotejar el original de la identificación del cliente (y del cónyuge, en su caso) contra las copias, verificando que la información sea </t>
    </r>
    <r>
      <rPr>
        <b/>
        <sz val="10"/>
        <color indexed="10"/>
        <rFont val="Santander Text SemiBold"/>
        <family val="2"/>
      </rPr>
      <t>LEGIBLE</t>
    </r>
    <r>
      <rPr>
        <sz val="10"/>
        <color indexed="8"/>
        <rFont val="Santander Text SemiBold"/>
        <family val="2"/>
      </rPr>
      <t xml:space="preserve"> y la fotografía sea </t>
    </r>
    <r>
      <rPr>
        <b/>
        <sz val="10"/>
        <color indexed="10"/>
        <rFont val="Santander Text SemiBold"/>
        <family val="2"/>
      </rPr>
      <t>NITIDA.</t>
    </r>
  </si>
  <si>
    <r>
      <t xml:space="preserve">iv) Cotejar los originales de los documentos entregados contra las copias, verificando que la información sea </t>
    </r>
    <r>
      <rPr>
        <b/>
        <sz val="10"/>
        <color indexed="10"/>
        <rFont val="Santander Text SemiBold"/>
        <family val="2"/>
      </rPr>
      <t>LEGIBLE</t>
    </r>
    <r>
      <rPr>
        <sz val="10"/>
        <color indexed="8"/>
        <rFont val="Santander Text SemiBold"/>
        <family val="2"/>
      </rPr>
      <t xml:space="preserve"> y no presente alteraciones.</t>
    </r>
  </si>
  <si>
    <t>vi) Sube a la plataforma de Hipoteca On Line (HOL) la documentación de tu solicitud.</t>
  </si>
  <si>
    <t>IMPORTANTE: Si detectas que falta algún comprobante o que existen irregularidades en la documentación, deberás indicar al cliente que será necesario que te entregue la información faltante. INFORMALE QUE SU SOLICITUD SE TRAMITARA HASTA QUE LA INFORMACION ESTE COMPLETA Y CORRECTA.</t>
  </si>
  <si>
    <t>5. Si el crédito es con Apoyo INFONAVIT o Cofinavit  pide al cliente que ingrese al portal correspondiente y te entregue su elegibilidad al programa que desea.</t>
  </si>
  <si>
    <t>Página del INFONAVIT     www.infonavit.org.mx</t>
  </si>
  <si>
    <t>EVALUACIÓN</t>
  </si>
  <si>
    <t xml:space="preserve">a) Si la respuesta es APROBADA </t>
  </si>
  <si>
    <t>* Contacta al cliente e informa el resultado de su solicitud.</t>
  </si>
  <si>
    <r>
      <t xml:space="preserve">* Indica al cliente que deberá entregarte la documentación del inmueble y del vendedor para continuar con el proceso. 
La lista de la documentación requerida está detallada en la solicitud de crédito en la parte </t>
    </r>
    <r>
      <rPr>
        <b/>
        <sz val="10"/>
        <color indexed="8"/>
        <rFont val="Santander Text SemiBold"/>
        <family val="2"/>
      </rPr>
      <t>"DOCUMENTOS PARA LA FORMALIZACION".</t>
    </r>
  </si>
  <si>
    <t>APROBADA CON CONDICION</t>
  </si>
  <si>
    <t>* Contacta al cliente y solicita la documentación adicional que te fue requerida para liberar la condición.</t>
  </si>
  <si>
    <t>* Una vez que el cliente te entregue la documentación complementaria, deberás capturarla en HOL</t>
  </si>
  <si>
    <t>No olvides revisar que la nueva documentación sea LEGIBLE y sin enmendaduras</t>
  </si>
  <si>
    <t>b) Si la respuesta es DENEGADA</t>
  </si>
  <si>
    <t>Informa al cliente la causa del rechazo.</t>
  </si>
  <si>
    <t>GUIA RAPIDA</t>
  </si>
  <si>
    <t>Simulaciones previas a la evaluación del crédito y sólo como informativas</t>
  </si>
  <si>
    <t>DEBERAS SELECCIONAR EL PRODUCTO CON EL CUAL QUIERES HACER TU SIMULACION</t>
  </si>
  <si>
    <r>
      <rPr>
        <b/>
        <sz val="10"/>
        <color rgb="FFFF0000"/>
        <rFont val="Santander Text SemiBold"/>
        <family val="2"/>
      </rPr>
      <t>1) HIPOTECA SANTANDER</t>
    </r>
    <r>
      <rPr>
        <sz val="10"/>
        <color theme="1"/>
        <rFont val="Santander Text SemiBold"/>
        <family val="2"/>
      </rPr>
      <t xml:space="preserve">.- En esta opción puedes simular cualquiera de las opciones de nuestra oferta vigente para el producto </t>
    </r>
    <r>
      <rPr>
        <b/>
        <sz val="10"/>
        <color theme="1"/>
        <rFont val="Santander Text SemiBold"/>
        <family val="2"/>
      </rPr>
      <t>Hipoteca Santander</t>
    </r>
    <r>
      <rPr>
        <sz val="10"/>
        <color theme="1"/>
        <rFont val="Santander Text SemiBold"/>
        <family val="2"/>
      </rPr>
      <t>. El simulador te mostrará las posibles ofertas a las que puede acceder el cliente de acuerdo a la información capturada y a su perfil de riesgo.
También puedes simular pagos anticipados y el beneficio de Hipoteca Plus en los casos que aplique.</t>
    </r>
    <r>
      <rPr>
        <b/>
        <sz val="11"/>
        <color theme="1"/>
        <rFont val="Calibri"/>
        <family val="2"/>
        <scheme val="minor"/>
      </rPr>
      <t/>
    </r>
  </si>
  <si>
    <r>
      <rPr>
        <b/>
        <sz val="10"/>
        <color rgb="FFFF0000"/>
        <rFont val="Santander Text SemiBold"/>
        <family val="2"/>
      </rPr>
      <t>2) HIPOTECA FREE</t>
    </r>
    <r>
      <rPr>
        <sz val="10"/>
        <color theme="1"/>
        <rFont val="Santander Text SemiBold"/>
        <family val="2"/>
      </rPr>
      <t xml:space="preserve">- En esta opción puedes simular cualquiera de las opciones de nuestra oferta vigente para el producto </t>
    </r>
    <r>
      <rPr>
        <b/>
        <sz val="10"/>
        <color theme="1"/>
        <rFont val="Santander Text SemiBold"/>
        <family val="2"/>
      </rPr>
      <t>Hipoteca FREE.</t>
    </r>
    <r>
      <rPr>
        <sz val="10"/>
        <color theme="1"/>
        <rFont val="Santander Text SemiBold"/>
        <family val="2"/>
      </rPr>
      <t xml:space="preserve"> El simulador te mostrará las posibles ofertas a las que puede acceder el cliente de acuerdo a la información capturada.
También puedes simular pagos anticipados </t>
    </r>
    <r>
      <rPr>
        <b/>
        <sz val="10"/>
        <color theme="1"/>
        <rFont val="Santander Text SemiBold"/>
        <family val="2"/>
      </rPr>
      <t>con reducción de plazo</t>
    </r>
    <r>
      <rPr>
        <sz val="10"/>
        <color theme="1"/>
        <rFont val="Santander Text SemiBold"/>
        <family val="2"/>
      </rPr>
      <t xml:space="preserve">. 
</t>
    </r>
    <r>
      <rPr>
        <b/>
        <sz val="10"/>
        <color theme="1"/>
        <rFont val="Santander Text SemiBold"/>
        <family val="2"/>
      </rPr>
      <t>NOTA: Recuerda que para este producto los pagos anticipados SOLO PUEDEN REDUCIR EL PLAZO</t>
    </r>
  </si>
  <si>
    <t>Pasos para el Simulador de HIPOTECA SANTANDER</t>
  </si>
  <si>
    <t xml:space="preserve">1) Selecciona el destino. </t>
  </si>
  <si>
    <t>- Deberás indicar si deseas simular con alguna de las ofertas especiales, seleccionando de la lista la opción deseada.</t>
  </si>
  <si>
    <t>-  Para créditos cofinanciados (INFONAVIT) deberás capturar la información requerida: a) Crédito Instituto, b) Saldo Subcuenta Vivienda. 
Para créditos conyugales deberás capturar la suma de los conceptos.</t>
  </si>
  <si>
    <t>-  En Sustituciones y mejora de condiciones deberás indicar si te ubicas en el estado de Coahuila. Recuerda que en estos casos NO se puede ofrecer crédito adicional de liquidez.</t>
  </si>
  <si>
    <t>*  Selecciona el origen del crédito y el tipo de financiamiento de gastos que deseas</t>
  </si>
  <si>
    <t>-  Para construcción debes seleccionar el programa y si quieres apoyo INFONAVIT</t>
  </si>
  <si>
    <t>2) Captura el plazo en meses. El simulador te indica los plazos autorizados por destino</t>
  </si>
  <si>
    <r>
      <t xml:space="preserve">3) Indica si contratará los seguros con el Banco. </t>
    </r>
    <r>
      <rPr>
        <sz val="10"/>
        <color theme="1"/>
        <rFont val="Santander Text SemiBold"/>
        <family val="2"/>
      </rPr>
      <t>El simulador en automático te indica que sí y puedes modificarlo.</t>
    </r>
  </si>
  <si>
    <t>4) Captura el porcentaje estimado para los gastos notariales</t>
  </si>
  <si>
    <r>
      <t xml:space="preserve">5) Captura el número de intervinientes (hasta 4). </t>
    </r>
    <r>
      <rPr>
        <sz val="10"/>
        <color theme="1"/>
        <rFont val="Santander Text SemiBold"/>
        <family val="2"/>
      </rPr>
      <t>El simulador en automático te indica 1 y puedes modificarlo.</t>
    </r>
  </si>
  <si>
    <r>
      <rPr>
        <b/>
        <sz val="10"/>
        <color theme="1"/>
        <rFont val="Santander Text SemiBold"/>
        <family val="2"/>
      </rPr>
      <t>6) Selecciona el esquema de Pagos:</t>
    </r>
    <r>
      <rPr>
        <sz val="10"/>
        <color theme="1"/>
        <rFont val="Santander Text SemiBold"/>
        <family val="2"/>
      </rPr>
      <t xml:space="preserve"> Fijos o Crecientes</t>
    </r>
  </si>
  <si>
    <t>7) Captura el valor de la vivienda</t>
  </si>
  <si>
    <t>8 ) Captura el monto de crédito solicitado</t>
  </si>
  <si>
    <t>RESULTADO / OFERTA</t>
  </si>
  <si>
    <t>9) El simulador te mostrará la oferta de tasas a las que puede acceder tu cliente dependiendo su perfil.</t>
  </si>
  <si>
    <t>10) Selecciona la tasa deseada con la cual quieres que se elabore la tabla de amortización. Debes seleccionar una de las que se muestran en la lista.</t>
  </si>
  <si>
    <r>
      <t xml:space="preserve">11) Si deseas conocer el plan de pagos aplicando el beneficio de </t>
    </r>
    <r>
      <rPr>
        <b/>
        <sz val="10"/>
        <color theme="1"/>
        <rFont val="Santander Text SemiBold"/>
        <family val="2"/>
      </rPr>
      <t>Hipoteca Plus</t>
    </r>
    <r>
      <rPr>
        <sz val="10"/>
        <color theme="1"/>
        <rFont val="Santander Text SemiBold"/>
        <family val="2"/>
      </rPr>
      <t xml:space="preserve">, selecciona del combo </t>
    </r>
    <r>
      <rPr>
        <b/>
        <sz val="10"/>
        <color theme="1"/>
        <rFont val="Santander Text SemiBold"/>
        <family val="2"/>
      </rPr>
      <t>el plan deseado</t>
    </r>
    <r>
      <rPr>
        <sz val="10"/>
        <color theme="1"/>
        <rFont val="Santander Text SemiBold"/>
        <family val="2"/>
      </rPr>
      <t>. La tabla se genera con la nueva tasa.</t>
    </r>
  </si>
  <si>
    <r>
      <t xml:space="preserve">12) Para simular pagos anticipados, captura el importe deseado en el pago donde quieres aplicarlo e indica el efecto que deseas observar: </t>
    </r>
    <r>
      <rPr>
        <b/>
        <sz val="10"/>
        <color theme="1"/>
        <rFont val="Santander Text SemiBold"/>
        <family val="2"/>
      </rPr>
      <t>reducción de plazo o reducción de cuota</t>
    </r>
  </si>
  <si>
    <r>
      <t xml:space="preserve">13) En el destino de Sustitución si seleccionaste Financiamiento de gastos o dinero adicional, también podrás conocer la tabla de amortización para la liquidez sólo debes dar click sobre la opción </t>
    </r>
    <r>
      <rPr>
        <b/>
        <sz val="10"/>
        <color theme="1"/>
        <rFont val="Santander Text SemiBold"/>
        <family val="2"/>
      </rPr>
      <t>"ver tabla liquidez"</t>
    </r>
  </si>
  <si>
    <r>
      <t xml:space="preserve">14) En caso de tener dudas o si crees que algo está afectando tu resultado, selecciona el botón </t>
    </r>
    <r>
      <rPr>
        <b/>
        <sz val="10"/>
        <color theme="1"/>
        <rFont val="Santander Text SemiBold"/>
        <family val="2"/>
      </rPr>
      <t>"Nueva cotización"</t>
    </r>
    <r>
      <rPr>
        <sz val="10"/>
        <color theme="1"/>
        <rFont val="Santander Text SemiBold"/>
        <family val="2"/>
      </rPr>
      <t xml:space="preserve"> y empieza de nuevo.</t>
    </r>
  </si>
  <si>
    <t>Pasos para el Simulador de HIPOTECA FREE</t>
  </si>
  <si>
    <t>1) Selecciona el destino.</t>
  </si>
  <si>
    <t>2) Captura el plazo en años.</t>
  </si>
  <si>
    <r>
      <rPr>
        <b/>
        <sz val="10"/>
        <color theme="1"/>
        <rFont val="Santander Text SemiBold"/>
        <family val="2"/>
      </rPr>
      <t>3) Indica si contratará los seguros con el Banco.</t>
    </r>
    <r>
      <rPr>
        <sz val="10"/>
        <color theme="1"/>
        <rFont val="Santander Text SemiBold"/>
        <family val="2"/>
      </rPr>
      <t xml:space="preserve"> El simulador en automático te indica que sí y puedes modificarlo.</t>
    </r>
  </si>
  <si>
    <t>-  Deberás indicar la modalidad seleccionada por el cliente, Pagados por el Banco o pagados por el Cliente. El simulador en automático te indica PAGADOS POR EL BANCO pero puedes modificarlo</t>
  </si>
  <si>
    <r>
      <rPr>
        <b/>
        <sz val="10"/>
        <color theme="1"/>
        <rFont val="Santander Text SemiBold"/>
        <family val="2"/>
      </rPr>
      <t>5) Captura el número de intervinientes (hasta 4).</t>
    </r>
    <r>
      <rPr>
        <sz val="10"/>
        <color theme="1"/>
        <rFont val="Santander Text SemiBold"/>
        <family val="2"/>
      </rPr>
      <t xml:space="preserve"> El simulador en automático te indica 1 y puedes modificarlo.</t>
    </r>
  </si>
  <si>
    <t>6) Selecciona el esquema de Pagos: Fijos o Crecientes</t>
  </si>
  <si>
    <t>9) El simulador te mostrará la oferta de la simulación</t>
  </si>
  <si>
    <r>
      <t xml:space="preserve">10) Para simular pagos anticipados, captura el importe deseado en el pago donde quieres aplicarlo. </t>
    </r>
    <r>
      <rPr>
        <b/>
        <sz val="10"/>
        <color theme="1"/>
        <rFont val="Santander Text SemiBold"/>
        <family val="2"/>
      </rPr>
      <t>RECUERDA QUE PARA ESTE PRODUCTO EL UNICO EFECTO ES REDUCCION DE PLAZO</t>
    </r>
  </si>
  <si>
    <r>
      <t xml:space="preserve">11) En el destino de Sustitución si seleccionaste Financiamiento de gastos o dinero adicional, también podrás conocer la tabla de amortización para la liquidez sólo debes dar click sobre la opción </t>
    </r>
    <r>
      <rPr>
        <b/>
        <sz val="10"/>
        <color theme="1"/>
        <rFont val="Santander Text SemiBold"/>
        <family val="2"/>
      </rPr>
      <t>"ver tabla liquidez"</t>
    </r>
  </si>
  <si>
    <r>
      <t xml:space="preserve">12) En caso de tener dudas o si crees que algo está afectando tu resultado, selecciona el botón </t>
    </r>
    <r>
      <rPr>
        <b/>
        <sz val="10"/>
        <color theme="1"/>
        <rFont val="Santander Text SemiBold"/>
        <family val="2"/>
      </rPr>
      <t>"Nueva cotización"</t>
    </r>
    <r>
      <rPr>
        <sz val="10"/>
        <color theme="1"/>
        <rFont val="Santander Text SemiBold"/>
        <family val="2"/>
      </rPr>
      <t xml:space="preserve"> y empieza de nuevo.</t>
    </r>
  </si>
  <si>
    <t>Simulaciones con condiciones aprobadas (Posteriores a la evaluación del crédito)</t>
  </si>
  <si>
    <t>HIPOTECA SANTANDER . Elabora tu tabla con las condiciones aprobadas y simula Hipoteca Plus</t>
  </si>
  <si>
    <t xml:space="preserve">Esta opción te sirve para los destinos de Hipoteca Santander susceptibles de contratar Hipoteca Plus </t>
  </si>
  <si>
    <r>
      <rPr>
        <b/>
        <sz val="10"/>
        <color theme="4" tint="-0.249977111117893"/>
        <rFont val="Santander Text SemiBold"/>
        <family val="2"/>
      </rPr>
      <t>Elabora tu tabla con las condiciones aprobadas y simula Hipoteca Plus</t>
    </r>
    <r>
      <rPr>
        <b/>
        <sz val="10"/>
        <color rgb="FFFF0000"/>
        <rFont val="Santander Text SemiBold"/>
        <family val="2"/>
      </rPr>
      <t>.</t>
    </r>
    <r>
      <rPr>
        <sz val="10"/>
        <color theme="1"/>
        <rFont val="Santander Text SemiBold"/>
        <family val="2"/>
      </rPr>
      <t xml:space="preserve">- Esta opción aplica para operaciones </t>
    </r>
    <r>
      <rPr>
        <b/>
        <sz val="10"/>
        <color theme="1"/>
        <rFont val="Santander Text SemiBold"/>
        <family val="2"/>
      </rPr>
      <t>de HIpoteca Santander</t>
    </r>
    <r>
      <rPr>
        <sz val="10"/>
        <color theme="1"/>
        <rFont val="Santander Text SemiBold"/>
        <family val="2"/>
      </rPr>
      <t xml:space="preserve"> y te servirá cuando ya tengas la autorización de tu operación y necesites conocer cómo serían sus pagos bajo las condiciones autorizadas por Riesgos.
También puedes simular el beneficio de Hipoteca Plus  y simular pagos anticipados.</t>
    </r>
  </si>
  <si>
    <r>
      <t xml:space="preserve">Adicionalmente en esta opción se incluyó la simulación si el cliente contrata el </t>
    </r>
    <r>
      <rPr>
        <b/>
        <i/>
        <sz val="10"/>
        <color theme="1"/>
        <rFont val="Santander Text SemiBold"/>
        <family val="2"/>
      </rPr>
      <t xml:space="preserve">Plan de ahorro y cobertura vida recompensa. </t>
    </r>
    <r>
      <rPr>
        <sz val="10"/>
        <color theme="1"/>
        <rFont val="Santander Text SemiBold"/>
        <family val="2"/>
      </rPr>
      <t xml:space="preserve">
</t>
    </r>
    <r>
      <rPr>
        <b/>
        <i/>
        <sz val="10"/>
        <color theme="1" tint="0.34998626667073579"/>
        <rFont val="Santander Text SemiBold"/>
        <family val="2"/>
      </rPr>
      <t>Puedes conocer más información de este seguro en la intranet/ Negocio/ Particulares/Seguros/Conoce todos nuestros productos/Productos ofertables red/ Vida recompensa</t>
    </r>
    <r>
      <rPr>
        <sz val="10"/>
        <color theme="1"/>
        <rFont val="Santander Text SemiBold"/>
        <family val="2"/>
      </rPr>
      <t xml:space="preserve">
</t>
    </r>
    <r>
      <rPr>
        <b/>
        <sz val="10"/>
        <color rgb="FFFF0000"/>
        <rFont val="Santander Text SemiBold"/>
        <family val="2"/>
      </rPr>
      <t>RECUERDA: Este seguro es independiente al crédito hipotecario.</t>
    </r>
  </si>
  <si>
    <t>1) Captura la información solicitada en cada uno de los campos</t>
  </si>
  <si>
    <r>
      <t xml:space="preserve">2) Selecciona el plan deseado para </t>
    </r>
    <r>
      <rPr>
        <b/>
        <sz val="10"/>
        <color theme="1"/>
        <rFont val="Santander Text SemiBold"/>
        <family val="2"/>
      </rPr>
      <t>Hipoteca Plus</t>
    </r>
    <r>
      <rPr>
        <sz val="10"/>
        <color theme="1"/>
        <rFont val="Santander Text SemiBold"/>
        <family val="2"/>
      </rPr>
      <t xml:space="preserve"> del combo </t>
    </r>
  </si>
  <si>
    <t>- En el recuadro de la derecha podrás observar los requisitos para cada uno de los planes</t>
  </si>
  <si>
    <t>3) Se te desplegará el detalle del ahorro y la nueva tasa a la cual podrá acceder el cliente</t>
  </si>
  <si>
    <r>
      <t xml:space="preserve">4) Selecciona la opción de le interesaría para la cobertura </t>
    </r>
    <r>
      <rPr>
        <i/>
        <sz val="10"/>
        <color theme="1"/>
        <rFont val="Santander Text SemiBold"/>
        <family val="2"/>
      </rPr>
      <t>Plan de ahorro y vida recompensa</t>
    </r>
    <r>
      <rPr>
        <sz val="10"/>
        <color theme="1"/>
        <rFont val="Santander Text SemiBold"/>
        <family val="2"/>
      </rPr>
      <t>, dando click en la opción deseada</t>
    </r>
  </si>
  <si>
    <t>- Si no quieres incluir este producto, deja en blanco la selección</t>
  </si>
  <si>
    <r>
      <t xml:space="preserve">- Puedes borrar la selección dando click en la opción </t>
    </r>
    <r>
      <rPr>
        <b/>
        <sz val="10"/>
        <color theme="1"/>
        <rFont val="Santander Text SemiBold"/>
        <family val="2"/>
      </rPr>
      <t>"borrar"</t>
    </r>
  </si>
  <si>
    <r>
      <t xml:space="preserve">5) Se desplegará un comparativo del ahorro que el cliente tendría con Hipoteca Plus y/o seguro </t>
    </r>
    <r>
      <rPr>
        <i/>
        <sz val="10"/>
        <color theme="1"/>
        <rFont val="Santander Text SemiBold"/>
        <family val="2"/>
      </rPr>
      <t>Plan de ahorro y vida recompensa</t>
    </r>
  </si>
  <si>
    <t>6) Tu tabla de amortización se elaborará con las condiciones seleccionadas.</t>
  </si>
  <si>
    <t>7) Para borrar campos da click en el botón "Nueva cotización" y empieza tu siguiente simulación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</si>
</sst>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5" formatCode="&quot;$&quot;#,##0;\-&quot;$&quot;#,##0"/>
    <numFmt numFmtId="6" formatCode="&quot;$&quot;#,##0;[Red]\-&quot;$&quot;#,##0"/>
    <numFmt numFmtId="7" formatCode="&quot;$&quot;#,##0.00;\-&quot;$&quot;#,##0.00"/>
    <numFmt numFmtId="8" formatCode="&quot;$&quot;#,##0.00;[Red]\-&quot;$&quot;#,##0.00"/>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_-* #,##0_-;\-* #,##0_-;_-* &quot;-&quot;??_-;_-@_-"/>
    <numFmt numFmtId="165" formatCode="_-* #,##0.00\ [$€]_-;\-* #,##0.00\ [$€]_-;_-* &quot;-&quot;??\ [$€]_-;_-@_-"/>
    <numFmt numFmtId="166" formatCode="[$-80A]d&quot; de &quot;mmmm&quot; de &quot;yyyy;@"/>
    <numFmt numFmtId="167" formatCode="&quot;$&quot;#,##0"/>
    <numFmt numFmtId="168" formatCode="0.0%"/>
    <numFmt numFmtId="169" formatCode="_-&quot;$&quot;* #,##0_-;\-&quot;$&quot;* #,##0_-;_-&quot;$&quot;* &quot;-&quot;??_-;_-@_-"/>
    <numFmt numFmtId="170" formatCode="0.0000%"/>
    <numFmt numFmtId="171" formatCode="_(* #,##0_);_(* \(#,##0\);_(* &quot;-&quot;??_);_(@_)"/>
    <numFmt numFmtId="172" formatCode="0.00000%"/>
    <numFmt numFmtId="173" formatCode="_-* #,##0.00\ _p_t_a_-;\-* #,##0.00\ _p_t_a_-;_-* &quot;-&quot;??\ _p_t_a_-;_-@_-"/>
    <numFmt numFmtId="174" formatCode="&quot;$&quot;#,##0.00"/>
    <numFmt numFmtId="175" formatCode="_-&quot;$&quot;* #,##0.00_-;\-&quot;$&quot;* #,##0.00_-;_-&quot;$&quot;* &quot;-&quot;_-;_-@_-"/>
    <numFmt numFmtId="176" formatCode="0.0000000"/>
    <numFmt numFmtId="177" formatCode="#,##0.000000000"/>
    <numFmt numFmtId="178" formatCode="0.000000"/>
    <numFmt numFmtId="179" formatCode="#,##0.0000000"/>
    <numFmt numFmtId="180" formatCode="#,##0.00_ ;[Red]\-#,##0.00\ "/>
    <numFmt numFmtId="181" formatCode="0.0000"/>
    <numFmt numFmtId="182" formatCode="#,##0.0000"/>
    <numFmt numFmtId="183" formatCode="&quot;$&quot;#,##0.0;\-&quot;$&quot;#,##0.0"/>
    <numFmt numFmtId="184" formatCode="_-* #,##0.00000_-;\-* #,##0.00000_-;_-* &quot;-&quot;??_-;_-@_-"/>
  </numFmts>
  <fonts count="171">
    <font>
      <sz val="11"/>
      <color theme="1"/>
      <name val="Calibri"/>
      <family val="2"/>
      <scheme val="minor"/>
    </font>
    <font>
      <sz val="10"/>
      <color theme="1"/>
      <name val="Arial"/>
      <family val="2"/>
    </font>
    <font>
      <sz val="10"/>
      <color theme="1"/>
      <name val="Arial"/>
      <family val="2"/>
    </font>
    <font>
      <sz val="10"/>
      <name val="Arial"/>
      <family val="2"/>
    </font>
    <font>
      <b/>
      <sz val="10"/>
      <color indexed="9"/>
      <name val="Arial"/>
      <family val="2"/>
    </font>
    <font>
      <b/>
      <sz val="10"/>
      <name val="Arial"/>
      <family val="2"/>
    </font>
    <font>
      <b/>
      <sz val="10"/>
      <color indexed="10"/>
      <name val="Arial"/>
      <family val="2"/>
    </font>
    <font>
      <sz val="10"/>
      <name val="Arial"/>
      <family val="2"/>
    </font>
    <font>
      <b/>
      <sz val="10"/>
      <color rgb="FFFF0000"/>
      <name val="Arial"/>
      <family val="2"/>
    </font>
    <font>
      <sz val="8"/>
      <name val="Arial"/>
      <family val="2"/>
    </font>
    <font>
      <b/>
      <sz val="8"/>
      <name val="Arial"/>
      <family val="2"/>
    </font>
    <font>
      <sz val="10"/>
      <color indexed="10"/>
      <name val="Arial"/>
      <family val="2"/>
    </font>
    <font>
      <sz val="9"/>
      <name val="Arial"/>
      <family val="2"/>
    </font>
    <font>
      <b/>
      <sz val="8"/>
      <color indexed="10"/>
      <name val="Arial"/>
      <family val="2"/>
    </font>
    <font>
      <b/>
      <sz val="11"/>
      <name val="Arial"/>
      <family val="2"/>
    </font>
    <font>
      <sz val="10"/>
      <color theme="0"/>
      <name val="Arial"/>
      <family val="2"/>
    </font>
    <font>
      <b/>
      <sz val="11"/>
      <color indexed="9"/>
      <name val="Arial"/>
      <family val="2"/>
    </font>
    <font>
      <b/>
      <sz val="10"/>
      <color theme="0"/>
      <name val="Arial"/>
      <family val="2"/>
    </font>
    <font>
      <b/>
      <sz val="9"/>
      <color indexed="9"/>
      <name val="Arial"/>
      <family val="2"/>
    </font>
    <font>
      <b/>
      <sz val="12"/>
      <color indexed="9"/>
      <name val="Arial"/>
      <family val="2"/>
    </font>
    <font>
      <sz val="11"/>
      <color theme="1"/>
      <name val="Calibri"/>
      <family val="2"/>
      <scheme val="minor"/>
    </font>
    <font>
      <sz val="10"/>
      <color theme="1"/>
      <name val="Calibri"/>
      <family val="2"/>
      <scheme val="minor"/>
    </font>
    <font>
      <b/>
      <sz val="10"/>
      <color rgb="FFFFFFFF"/>
      <name val="Arial"/>
      <family val="2"/>
    </font>
    <font>
      <sz val="10"/>
      <color rgb="FFFF0000"/>
      <name val="Arial"/>
      <family val="2"/>
    </font>
    <font>
      <sz val="10"/>
      <color rgb="FFFF0000"/>
      <name val="Calibri"/>
      <family val="2"/>
      <scheme val="minor"/>
    </font>
    <font>
      <b/>
      <sz val="10"/>
      <color theme="0"/>
      <name val="Calibri"/>
      <family val="2"/>
      <scheme val="minor"/>
    </font>
    <font>
      <b/>
      <sz val="10"/>
      <color theme="1"/>
      <name val="Arial"/>
      <family val="2"/>
    </font>
    <font>
      <b/>
      <i/>
      <u/>
      <sz val="20"/>
      <color indexed="9"/>
      <name val="Arial"/>
      <family val="2"/>
    </font>
    <font>
      <b/>
      <i/>
      <u/>
      <sz val="16"/>
      <color indexed="9"/>
      <name val="Arial"/>
      <family val="2"/>
    </font>
    <font>
      <b/>
      <i/>
      <sz val="9"/>
      <color theme="3" tint="0.39997558519241921"/>
      <name val="Arial"/>
      <family val="2"/>
    </font>
    <font>
      <sz val="8"/>
      <color rgb="FFFF0000"/>
      <name val="Arial"/>
      <family val="2"/>
    </font>
    <font>
      <sz val="9"/>
      <color indexed="10"/>
      <name val="Arial"/>
      <family val="2"/>
    </font>
    <font>
      <b/>
      <sz val="10"/>
      <color theme="1"/>
      <name val="Calibri"/>
      <family val="2"/>
      <scheme val="minor"/>
    </font>
    <font>
      <u/>
      <sz val="11"/>
      <color theme="10"/>
      <name val="Calibri"/>
      <family val="2"/>
      <scheme val="minor"/>
    </font>
    <font>
      <b/>
      <sz val="11"/>
      <color theme="0"/>
      <name val="Calibri"/>
      <family val="2"/>
      <scheme val="minor"/>
    </font>
    <font>
      <b/>
      <sz val="11"/>
      <color theme="1"/>
      <name val="Calibri"/>
      <family val="2"/>
      <scheme val="minor"/>
    </font>
    <font>
      <b/>
      <sz val="14"/>
      <color theme="1"/>
      <name val="Calibri"/>
      <family val="2"/>
      <scheme val="minor"/>
    </font>
    <font>
      <b/>
      <sz val="16"/>
      <color theme="1"/>
      <name val="Calibri"/>
      <family val="2"/>
      <scheme val="minor"/>
    </font>
    <font>
      <b/>
      <sz val="16"/>
      <color rgb="FFFF0000"/>
      <name val="Calibri"/>
      <family val="2"/>
      <scheme val="minor"/>
    </font>
    <font>
      <b/>
      <sz val="12"/>
      <color rgb="FFFF0000"/>
      <name val="Arial"/>
      <family val="2"/>
    </font>
    <font>
      <sz val="11"/>
      <name val="Arial"/>
      <family val="2"/>
    </font>
    <font>
      <b/>
      <sz val="10"/>
      <color rgb="FFFF0000"/>
      <name val="Calibri"/>
      <family val="2"/>
      <scheme val="minor"/>
    </font>
    <font>
      <b/>
      <sz val="10"/>
      <color indexed="17"/>
      <name val="Arial"/>
      <family val="2"/>
    </font>
    <font>
      <b/>
      <sz val="11"/>
      <color rgb="FFFF0000"/>
      <name val="Arial"/>
      <family val="2"/>
    </font>
    <font>
      <b/>
      <sz val="11"/>
      <color rgb="FFFF0000"/>
      <name val="Calibri"/>
      <family val="2"/>
      <scheme val="minor"/>
    </font>
    <font>
      <sz val="10"/>
      <color theme="3" tint="0.39997558519241921"/>
      <name val="Calibri"/>
      <family val="2"/>
      <scheme val="minor"/>
    </font>
    <font>
      <b/>
      <sz val="11"/>
      <color theme="0"/>
      <name val="Arial"/>
      <family val="2"/>
    </font>
    <font>
      <b/>
      <sz val="8"/>
      <color rgb="FFFF0000"/>
      <name val="Arial"/>
      <family val="2"/>
    </font>
    <font>
      <sz val="11"/>
      <color rgb="FFFF0000"/>
      <name val="Calibri"/>
      <family val="2"/>
      <scheme val="minor"/>
    </font>
    <font>
      <sz val="10"/>
      <color indexed="12"/>
      <name val="Arial"/>
      <family val="2"/>
    </font>
    <font>
      <sz val="10"/>
      <color indexed="8"/>
      <name val="Arial"/>
      <family val="2"/>
    </font>
    <font>
      <u/>
      <sz val="10"/>
      <color indexed="12"/>
      <name val="Arial"/>
      <family val="2"/>
    </font>
    <font>
      <i/>
      <sz val="10"/>
      <name val="Arial"/>
      <family val="2"/>
    </font>
    <font>
      <sz val="10"/>
      <color theme="1" tint="0.34998626667073579"/>
      <name val="Arial"/>
      <family val="2"/>
    </font>
    <font>
      <sz val="11"/>
      <name val="Calibri"/>
      <family val="2"/>
      <scheme val="minor"/>
    </font>
    <font>
      <sz val="11"/>
      <color theme="0"/>
      <name val="Calibri"/>
      <family val="2"/>
      <scheme val="minor"/>
    </font>
    <font>
      <b/>
      <sz val="11"/>
      <name val="Calibri"/>
      <family val="2"/>
      <scheme val="minor"/>
    </font>
    <font>
      <b/>
      <i/>
      <sz val="10"/>
      <name val="Arial"/>
      <family val="2"/>
    </font>
    <font>
      <b/>
      <sz val="12"/>
      <color rgb="FFFF0000"/>
      <name val="Calibri"/>
      <family val="2"/>
      <scheme val="minor"/>
    </font>
    <font>
      <b/>
      <sz val="14"/>
      <color theme="0"/>
      <name val="Calibri"/>
      <family val="2"/>
      <scheme val="minor"/>
    </font>
    <font>
      <sz val="9"/>
      <name val="Calibri"/>
      <family val="2"/>
      <scheme val="minor"/>
    </font>
    <font>
      <b/>
      <sz val="9"/>
      <color theme="0" tint="-0.34998626667073579"/>
      <name val="Arial"/>
      <family val="2"/>
    </font>
    <font>
      <sz val="10"/>
      <name val="Calibri"/>
      <family val="2"/>
      <scheme val="minor"/>
    </font>
    <font>
      <b/>
      <sz val="10"/>
      <name val="Calibri"/>
      <family val="2"/>
      <scheme val="minor"/>
    </font>
    <font>
      <b/>
      <sz val="18"/>
      <color theme="1"/>
      <name val="Calibri"/>
      <family val="2"/>
      <scheme val="minor"/>
    </font>
    <font>
      <b/>
      <sz val="14"/>
      <color rgb="FFFF0000"/>
      <name val="Calibri"/>
      <family val="2"/>
      <scheme val="minor"/>
    </font>
    <font>
      <b/>
      <sz val="16"/>
      <color theme="0"/>
      <name val="Calibri"/>
      <family val="2"/>
      <scheme val="minor"/>
    </font>
    <font>
      <b/>
      <sz val="10"/>
      <color rgb="FF000000"/>
      <name val="Arial"/>
      <family val="2"/>
    </font>
    <font>
      <sz val="11"/>
      <color theme="1"/>
      <name val="Arial"/>
      <family val="2"/>
    </font>
    <font>
      <b/>
      <u/>
      <sz val="10"/>
      <name val="Arial"/>
      <family val="2"/>
    </font>
    <font>
      <sz val="10"/>
      <color theme="4" tint="-0.249977111117893"/>
      <name val="Arial"/>
      <family val="2"/>
    </font>
    <font>
      <sz val="10"/>
      <color rgb="FF595959"/>
      <name val="Arial"/>
      <family val="2"/>
    </font>
    <font>
      <sz val="10"/>
      <color rgb="FF000000"/>
      <name val="Arial"/>
      <family val="2"/>
    </font>
    <font>
      <b/>
      <sz val="8"/>
      <color theme="0"/>
      <name val="Calibri"/>
      <family val="2"/>
      <scheme val="minor"/>
    </font>
    <font>
      <b/>
      <sz val="8"/>
      <color rgb="FFFF0000"/>
      <name val="Calibri"/>
      <family val="2"/>
      <scheme val="minor"/>
    </font>
    <font>
      <sz val="8"/>
      <name val="Calibri"/>
      <family val="2"/>
      <scheme val="minor"/>
    </font>
    <font>
      <b/>
      <sz val="10"/>
      <color theme="8" tint="-0.249977111117893"/>
      <name val="Arial"/>
      <family val="2"/>
    </font>
    <font>
      <sz val="10"/>
      <color theme="8" tint="-0.249977111117893"/>
      <name val="Calibri"/>
      <family val="2"/>
      <scheme val="minor"/>
    </font>
    <font>
      <b/>
      <sz val="10"/>
      <color theme="8" tint="-0.249977111117893"/>
      <name val="Calibri"/>
      <family val="2"/>
      <scheme val="minor"/>
    </font>
    <font>
      <b/>
      <sz val="16"/>
      <color indexed="9"/>
      <name val="Arial"/>
      <family val="2"/>
    </font>
    <font>
      <sz val="10"/>
      <color theme="4" tint="-0.249977111117893"/>
      <name val="Calibri"/>
      <family val="2"/>
      <scheme val="minor"/>
    </font>
    <font>
      <b/>
      <sz val="8"/>
      <color theme="4" tint="-0.249977111117893"/>
      <name val="Arial"/>
      <family val="2"/>
    </font>
    <font>
      <b/>
      <sz val="22"/>
      <color indexed="9"/>
      <name val="Arial"/>
      <family val="2"/>
    </font>
    <font>
      <b/>
      <sz val="12"/>
      <color theme="1"/>
      <name val="Calibri"/>
      <family val="2"/>
      <scheme val="minor"/>
    </font>
    <font>
      <b/>
      <sz val="8"/>
      <color indexed="9"/>
      <name val="Arial"/>
      <family val="2"/>
    </font>
    <font>
      <sz val="12"/>
      <color theme="0"/>
      <name val="Arial"/>
      <family val="2"/>
    </font>
    <font>
      <b/>
      <sz val="12"/>
      <color rgb="FFFFFFFF"/>
      <name val="Arial"/>
      <family val="2"/>
    </font>
    <font>
      <b/>
      <sz val="18"/>
      <color theme="0"/>
      <name val="Arial"/>
      <family val="2"/>
    </font>
    <font>
      <b/>
      <sz val="20"/>
      <color theme="0"/>
      <name val="Arial"/>
      <family val="2"/>
    </font>
    <font>
      <sz val="10"/>
      <color theme="1"/>
      <name val="Santander Text SemiBold"/>
      <family val="2"/>
    </font>
    <font>
      <b/>
      <sz val="10"/>
      <color theme="1"/>
      <name val="Santander Text SemiBold"/>
      <family val="2"/>
    </font>
    <font>
      <sz val="10"/>
      <name val="Santander Text SemiBold"/>
      <family val="2"/>
    </font>
    <font>
      <b/>
      <sz val="10"/>
      <color rgb="FFFF0000"/>
      <name val="Santander Text SemiBold"/>
      <family val="2"/>
    </font>
    <font>
      <b/>
      <sz val="10"/>
      <color indexed="10"/>
      <name val="Santander Text SemiBold"/>
      <family val="2"/>
    </font>
    <font>
      <b/>
      <sz val="10"/>
      <color indexed="9"/>
      <name val="Santander Text SemiBold"/>
      <family val="2"/>
    </font>
    <font>
      <b/>
      <sz val="10"/>
      <color theme="0"/>
      <name val="Santander Text SemiBold"/>
      <family val="2"/>
    </font>
    <font>
      <b/>
      <u/>
      <sz val="10"/>
      <color rgb="FFFF0000"/>
      <name val="Santander Text SemiBold"/>
      <family val="2"/>
    </font>
    <font>
      <b/>
      <u/>
      <sz val="10"/>
      <color indexed="10"/>
      <name val="Santander Text SemiBold"/>
      <family val="2"/>
    </font>
    <font>
      <sz val="10"/>
      <color indexed="8"/>
      <name val="Santander Text SemiBold"/>
      <family val="2"/>
    </font>
    <font>
      <b/>
      <i/>
      <sz val="10"/>
      <color theme="1"/>
      <name val="Santander Text SemiBold"/>
      <family val="2"/>
    </font>
    <font>
      <b/>
      <sz val="10"/>
      <color indexed="8"/>
      <name val="Santander Text SemiBold"/>
      <family val="2"/>
    </font>
    <font>
      <u/>
      <sz val="10"/>
      <color indexed="12"/>
      <name val="Santander Text SemiBold"/>
      <family val="2"/>
    </font>
    <font>
      <sz val="10"/>
      <color theme="4" tint="-0.249977111117893"/>
      <name val="Santander Text SemiBold"/>
      <family val="2"/>
    </font>
    <font>
      <b/>
      <sz val="10"/>
      <color theme="4" tint="-0.249977111117893"/>
      <name val="Santander Text SemiBold"/>
      <family val="2"/>
    </font>
    <font>
      <b/>
      <i/>
      <sz val="10"/>
      <color theme="1" tint="0.34998626667073579"/>
      <name val="Santander Text SemiBold"/>
      <family val="2"/>
    </font>
    <font>
      <i/>
      <sz val="10"/>
      <color theme="1"/>
      <name val="Santander Text SemiBold"/>
      <family val="2"/>
    </font>
    <font>
      <b/>
      <sz val="10"/>
      <color theme="4" tint="-0.249977111117893"/>
      <name val="Calibri"/>
      <family val="2"/>
      <scheme val="minor"/>
    </font>
    <font>
      <b/>
      <sz val="8"/>
      <color theme="9" tint="-0.249977111117893"/>
      <name val="Arial"/>
      <family val="2"/>
    </font>
    <font>
      <sz val="11"/>
      <color theme="1"/>
      <name val="Santander Micro Text SemiBold"/>
      <family val="2"/>
    </font>
    <font>
      <sz val="8"/>
      <color theme="1"/>
      <name val="Santander Micro Text SemiBold"/>
      <family val="2"/>
    </font>
    <font>
      <sz val="10"/>
      <color theme="1"/>
      <name val="Santander Micro Text"/>
      <family val="2"/>
    </font>
    <font>
      <b/>
      <sz val="18"/>
      <color theme="0" tint="-0.499984740745262"/>
      <name val="Santander Micro Text"/>
      <family val="2"/>
    </font>
    <font>
      <b/>
      <sz val="18"/>
      <color rgb="FFFF0000"/>
      <name val="Santander Micro Text"/>
      <family val="2"/>
    </font>
    <font>
      <b/>
      <sz val="10"/>
      <color theme="1"/>
      <name val="Santander Micro Text"/>
      <family val="2"/>
    </font>
    <font>
      <sz val="10"/>
      <name val="Santander Micro Text"/>
      <family val="2"/>
    </font>
    <font>
      <sz val="10"/>
      <color theme="0"/>
      <name val="Santander Micro Text"/>
      <family val="2"/>
    </font>
    <font>
      <b/>
      <sz val="10"/>
      <color rgb="FFFF0000"/>
      <name val="Santander Micro Text"/>
      <family val="2"/>
    </font>
    <font>
      <b/>
      <sz val="10"/>
      <color indexed="10"/>
      <name val="Santander Micro Text"/>
      <family val="2"/>
    </font>
    <font>
      <b/>
      <u/>
      <sz val="10"/>
      <color theme="0"/>
      <name val="Santander Micro Text"/>
      <family val="2"/>
    </font>
    <font>
      <b/>
      <sz val="10"/>
      <color indexed="9"/>
      <name val="Santander Micro Text"/>
      <family val="2"/>
    </font>
    <font>
      <u/>
      <sz val="10"/>
      <color indexed="9"/>
      <name val="Santander Micro Text"/>
      <family val="2"/>
    </font>
    <font>
      <sz val="10"/>
      <color rgb="FFFF0000"/>
      <name val="Santander Micro Text"/>
      <family val="2"/>
    </font>
    <font>
      <b/>
      <sz val="10"/>
      <name val="Santander Micro Text"/>
      <family val="2"/>
    </font>
    <font>
      <b/>
      <sz val="10"/>
      <color theme="0"/>
      <name val="Santander Micro Text"/>
      <family val="2"/>
    </font>
    <font>
      <b/>
      <u/>
      <sz val="10"/>
      <color rgb="FFFF0000"/>
      <name val="Santander Micro Text"/>
      <family val="2"/>
    </font>
    <font>
      <i/>
      <sz val="10"/>
      <color rgb="FFFF0000"/>
      <name val="Santander Micro Text"/>
      <family val="2"/>
    </font>
    <font>
      <b/>
      <sz val="10"/>
      <color theme="4" tint="-0.249977111117893"/>
      <name val="Santander Micro Text"/>
      <family val="2"/>
    </font>
    <font>
      <sz val="10"/>
      <color theme="4" tint="-0.249977111117893"/>
      <name val="Santander Micro Text"/>
      <family val="2"/>
    </font>
    <font>
      <b/>
      <u/>
      <sz val="10"/>
      <color theme="0" tint="-4.9989318521683403E-2"/>
      <name val="Santander Micro Text"/>
      <family val="2"/>
    </font>
    <font>
      <b/>
      <sz val="10"/>
      <color theme="1" tint="0.499984740745262"/>
      <name val="Santander Micro Text"/>
      <family val="2"/>
    </font>
    <font>
      <sz val="10"/>
      <color theme="1" tint="0.499984740745262"/>
      <name val="Santander Micro Text"/>
      <family val="2"/>
    </font>
    <font>
      <b/>
      <u/>
      <sz val="10"/>
      <color indexed="10"/>
      <name val="Santander Micro Text"/>
      <family val="2"/>
    </font>
    <font>
      <b/>
      <sz val="12"/>
      <color rgb="FFFF0000"/>
      <name val="Santander Micro Text"/>
      <family val="2"/>
    </font>
    <font>
      <u/>
      <sz val="10"/>
      <color theme="10"/>
      <name val="Santander Micro Text"/>
      <family val="2"/>
    </font>
    <font>
      <b/>
      <i/>
      <sz val="10"/>
      <color rgb="FFFF0000"/>
      <name val="Santander Micro Text"/>
      <family val="2"/>
    </font>
    <font>
      <b/>
      <sz val="12"/>
      <color indexed="10"/>
      <name val="Santander Micro Text"/>
      <family val="2"/>
    </font>
    <font>
      <b/>
      <sz val="9"/>
      <name val="Santander Micro Text"/>
      <family val="2"/>
    </font>
    <font>
      <sz val="10"/>
      <color indexed="10"/>
      <name val="Santander Micro Text"/>
      <family val="2"/>
    </font>
    <font>
      <sz val="10"/>
      <color indexed="12"/>
      <name val="Santander Micro Text"/>
      <family val="2"/>
    </font>
    <font>
      <b/>
      <u/>
      <sz val="12"/>
      <color theme="0"/>
      <name val="Santander Micro Text"/>
      <family val="2"/>
    </font>
    <font>
      <b/>
      <sz val="12"/>
      <color theme="0"/>
      <name val="Santander Micro Text"/>
      <family val="2"/>
    </font>
    <font>
      <b/>
      <sz val="11"/>
      <color rgb="FFFF0000"/>
      <name val="Santander Micro Text"/>
      <family val="2"/>
    </font>
    <font>
      <b/>
      <sz val="16"/>
      <color theme="0" tint="-0.499984740745262"/>
      <name val="Santander Micro Text"/>
      <family val="2"/>
    </font>
    <font>
      <b/>
      <sz val="16"/>
      <color rgb="FFFF0000"/>
      <name val="Santander Micro Text"/>
      <family val="2"/>
    </font>
    <font>
      <b/>
      <u/>
      <sz val="10"/>
      <color theme="1"/>
      <name val="Santander Micro Text"/>
      <family val="2"/>
    </font>
    <font>
      <b/>
      <sz val="9"/>
      <color indexed="10"/>
      <name val="Santander Micro Text"/>
      <family val="2"/>
    </font>
    <font>
      <b/>
      <sz val="11"/>
      <name val="Santander Micro Text"/>
      <family val="2"/>
    </font>
    <font>
      <b/>
      <sz val="10"/>
      <color theme="0" tint="-0.499984740745262"/>
      <name val="Santander Micro Text"/>
      <family val="2"/>
    </font>
    <font>
      <sz val="10"/>
      <color theme="1" tint="0.34998626667073579"/>
      <name val="Santander Micro Text"/>
      <family val="2"/>
    </font>
    <font>
      <b/>
      <sz val="16"/>
      <color indexed="10"/>
      <name val="Santander Micro Text"/>
      <family val="2"/>
    </font>
    <font>
      <b/>
      <sz val="16"/>
      <color theme="1" tint="0.34998626667073579"/>
      <name val="Santander Micro Text"/>
      <family val="2"/>
    </font>
    <font>
      <sz val="10"/>
      <color indexed="8"/>
      <name val="Santander Micro Text"/>
      <family val="2"/>
    </font>
    <font>
      <b/>
      <i/>
      <sz val="10"/>
      <name val="Santander Micro Text"/>
      <family val="2"/>
    </font>
    <font>
      <sz val="10"/>
      <color theme="3" tint="0.79998168889431442"/>
      <name val="Santander Micro Text"/>
      <family val="2"/>
    </font>
    <font>
      <b/>
      <vertAlign val="superscript"/>
      <sz val="10"/>
      <color theme="0"/>
      <name val="Santander Micro Text"/>
      <family val="2"/>
    </font>
    <font>
      <b/>
      <sz val="10"/>
      <color theme="1" tint="0.34998626667073579"/>
      <name val="Santander Micro Text"/>
      <family val="2"/>
    </font>
    <font>
      <sz val="10"/>
      <color theme="1" tint="0.249977111117893"/>
      <name val="Santander Micro Text"/>
      <family val="2"/>
    </font>
    <font>
      <vertAlign val="superscript"/>
      <sz val="10"/>
      <color theme="1" tint="0.249977111117893"/>
      <name val="Santander Micro Text"/>
      <family val="2"/>
    </font>
    <font>
      <b/>
      <sz val="10"/>
      <color theme="4" tint="-0.499984740745262"/>
      <name val="Santander Micro Text"/>
      <family val="2"/>
    </font>
    <font>
      <sz val="10"/>
      <color theme="4" tint="-0.499984740745262"/>
      <name val="Santander Micro Text"/>
      <family val="2"/>
    </font>
    <font>
      <b/>
      <vertAlign val="superscript"/>
      <sz val="10"/>
      <color theme="4" tint="-0.499984740745262"/>
      <name val="Santander Micro Text"/>
      <family val="2"/>
    </font>
    <font>
      <vertAlign val="superscript"/>
      <sz val="10"/>
      <color rgb="FFFF0000"/>
      <name val="Santander Micro Text"/>
      <family val="2"/>
    </font>
    <font>
      <sz val="10"/>
      <color indexed="9"/>
      <name val="Santander Micro Text"/>
      <family val="2"/>
    </font>
    <font>
      <sz val="10"/>
      <color indexed="62"/>
      <name val="Santander Micro Text"/>
      <family val="2"/>
    </font>
    <font>
      <b/>
      <sz val="9"/>
      <color indexed="9"/>
      <name val="Santander Micro Text"/>
      <family val="2"/>
    </font>
    <font>
      <b/>
      <sz val="22"/>
      <color indexed="10"/>
      <name val="Santander Micro Text"/>
      <family val="2"/>
    </font>
    <font>
      <b/>
      <sz val="22"/>
      <color theme="0" tint="-0.34998626667073579"/>
      <name val="Santander Micro Text"/>
      <family val="2"/>
    </font>
    <font>
      <sz val="9"/>
      <name val="Santander Micro Text"/>
      <family val="2"/>
    </font>
    <font>
      <b/>
      <sz val="14"/>
      <name val="Santander Micro Text"/>
      <family val="2"/>
    </font>
    <font>
      <sz val="8"/>
      <name val="Santander Micro Text"/>
      <family val="2"/>
    </font>
    <font>
      <b/>
      <sz val="9"/>
      <color rgb="FFFF0000"/>
      <name val="Santander Micro Text"/>
      <family val="2"/>
    </font>
  </fonts>
  <fills count="99">
    <fill>
      <patternFill patternType="none"/>
    </fill>
    <fill>
      <patternFill patternType="gray125"/>
    </fill>
    <fill>
      <patternFill patternType="solid">
        <fgColor indexed="10"/>
        <bgColor indexed="64"/>
      </patternFill>
    </fill>
    <fill>
      <patternFill patternType="solid">
        <fgColor indexed="51"/>
        <bgColor indexed="64"/>
      </patternFill>
    </fill>
    <fill>
      <patternFill patternType="solid">
        <fgColor indexed="45"/>
        <bgColor indexed="64"/>
      </patternFill>
    </fill>
    <fill>
      <patternFill patternType="solid">
        <fgColor indexed="42"/>
        <bgColor indexed="64"/>
      </patternFill>
    </fill>
    <fill>
      <patternFill patternType="solid">
        <fgColor indexed="46"/>
        <bgColor indexed="64"/>
      </patternFill>
    </fill>
    <fill>
      <patternFill patternType="solid">
        <fgColor indexed="50"/>
        <bgColor indexed="64"/>
      </patternFill>
    </fill>
    <fill>
      <patternFill patternType="solid">
        <fgColor indexed="61"/>
        <bgColor indexed="64"/>
      </patternFill>
    </fill>
    <fill>
      <patternFill patternType="solid">
        <fgColor indexed="53"/>
        <bgColor indexed="64"/>
      </patternFill>
    </fill>
    <fill>
      <patternFill patternType="solid">
        <fgColor theme="5" tint="0.39997558519241921"/>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22"/>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0000"/>
        <bgColor rgb="FF000000"/>
      </patternFill>
    </fill>
    <fill>
      <patternFill patternType="solid">
        <fgColor indexed="12"/>
        <bgColor indexed="64"/>
      </patternFill>
    </fill>
    <fill>
      <patternFill patternType="solid">
        <fgColor rgb="FF92D050"/>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70C0"/>
        <bgColor indexed="64"/>
      </patternFill>
    </fill>
    <fill>
      <patternFill patternType="solid">
        <fgColor indexed="52"/>
        <bgColor indexed="64"/>
      </patternFill>
    </fill>
    <fill>
      <patternFill patternType="solid">
        <fgColor theme="0" tint="-0.499984740745262"/>
        <bgColor indexed="64"/>
      </patternFill>
    </fill>
    <fill>
      <patternFill patternType="solid">
        <fgColor theme="3" tint="0.39997558519241921"/>
        <bgColor indexed="64"/>
      </patternFill>
    </fill>
    <fill>
      <patternFill patternType="solid">
        <fgColor rgb="FFFF9999"/>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9" tint="-0.249977111117893"/>
        <bgColor indexed="64"/>
      </patternFill>
    </fill>
    <fill>
      <patternFill patternType="solid">
        <fgColor indexed="17"/>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indexed="62"/>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indexed="9"/>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rgb="FFFF99FF"/>
        <bgColor indexed="64"/>
      </patternFill>
    </fill>
    <fill>
      <patternFill patternType="solid">
        <fgColor theme="5" tint="0.59999389629810485"/>
        <bgColor indexed="64"/>
      </patternFill>
    </fill>
    <fill>
      <patternFill patternType="solid">
        <fgColor theme="1" tint="0.34998626667073579"/>
        <bgColor indexed="64"/>
      </patternFill>
    </fill>
    <fill>
      <patternFill patternType="solid">
        <fgColor theme="0"/>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4" tint="-0.249977111117893"/>
        <bgColor indexed="64"/>
      </patternFill>
    </fill>
    <fill>
      <patternFill patternType="solid">
        <fgColor theme="5" tint="-0.249977111117893"/>
        <bgColor indexed="64"/>
      </patternFill>
    </fill>
    <fill>
      <gradientFill degree="90">
        <stop position="0">
          <color rgb="FFFF0000"/>
        </stop>
        <stop position="1">
          <color theme="1"/>
        </stop>
      </gradientFill>
    </fill>
    <fill>
      <patternFill patternType="solid">
        <fgColor rgb="FFFFC000"/>
        <bgColor indexed="64"/>
      </patternFill>
    </fill>
    <fill>
      <patternFill patternType="solid">
        <fgColor theme="5" tint="-0.499984740745262"/>
        <bgColor indexed="64"/>
      </patternFill>
    </fill>
    <fill>
      <gradientFill degree="45">
        <stop position="0">
          <color theme="0"/>
        </stop>
        <stop position="1">
          <color theme="0" tint="-0.1490218817712943"/>
        </stop>
      </gradientFill>
    </fill>
    <fill>
      <patternFill patternType="solid">
        <fgColor rgb="FF00B050"/>
        <bgColor indexed="64"/>
      </patternFill>
    </fill>
    <fill>
      <patternFill patternType="solid">
        <fgColor theme="8" tint="0.79998168889431442"/>
        <bgColor indexed="64"/>
      </patternFill>
    </fill>
    <fill>
      <patternFill patternType="solid">
        <fgColor theme="5" tint="0.59999389629810485"/>
        <bgColor rgb="FF000000"/>
      </patternFill>
    </fill>
    <fill>
      <patternFill patternType="solid">
        <fgColor rgb="FFFF66FF"/>
        <bgColor indexed="64"/>
      </patternFill>
    </fill>
    <fill>
      <patternFill patternType="solid">
        <fgColor rgb="FF99FF66"/>
        <bgColor indexed="64"/>
      </patternFill>
    </fill>
    <fill>
      <patternFill patternType="solid">
        <fgColor rgb="FFFF9966"/>
        <bgColor indexed="64"/>
      </patternFill>
    </fill>
    <fill>
      <patternFill patternType="solid">
        <fgColor rgb="FFCC00FF"/>
        <bgColor indexed="64"/>
      </patternFill>
    </fill>
    <fill>
      <patternFill patternType="solid">
        <fgColor rgb="FF99CC00"/>
        <bgColor indexed="64"/>
      </patternFill>
    </fill>
    <fill>
      <patternFill patternType="solid">
        <fgColor theme="8" tint="-0.249977111117893"/>
        <bgColor indexed="64"/>
      </patternFill>
    </fill>
    <fill>
      <patternFill patternType="solid">
        <fgColor theme="4" tint="-0.249977111117893"/>
        <bgColor rgb="FF000000"/>
      </patternFill>
    </fill>
    <fill>
      <patternFill patternType="solid">
        <fgColor rgb="FFFFFF99"/>
        <bgColor indexed="64"/>
      </patternFill>
    </fill>
    <fill>
      <patternFill patternType="solid">
        <fgColor theme="5" tint="0.79998168889431442"/>
        <bgColor indexed="64"/>
      </patternFill>
    </fill>
    <fill>
      <patternFill patternType="solid">
        <fgColor indexed="8"/>
        <bgColor indexed="64"/>
      </patternFill>
    </fill>
    <fill>
      <patternFill patternType="solid">
        <fgColor theme="0" tint="-0.34998626667073579"/>
        <bgColor indexed="64"/>
      </patternFill>
    </fill>
    <fill>
      <patternFill patternType="solid">
        <fgColor rgb="FFFF6600"/>
        <bgColor indexed="64"/>
      </patternFill>
    </fill>
    <fill>
      <patternFill patternType="solid">
        <fgColor rgb="FF6699FF"/>
        <bgColor indexed="64"/>
      </patternFill>
    </fill>
    <fill>
      <patternFill patternType="solid">
        <fgColor theme="9" tint="0.59999389629810485"/>
        <bgColor indexed="64"/>
      </patternFill>
    </fill>
    <fill>
      <patternFill patternType="solid">
        <fgColor rgb="FFFFCC00"/>
        <bgColor indexed="64"/>
      </patternFill>
    </fill>
    <fill>
      <patternFill patternType="solid">
        <fgColor rgb="FFFF9933"/>
        <bgColor indexed="64"/>
      </patternFill>
    </fill>
    <fill>
      <patternFill patternType="solid">
        <fgColor rgb="FFFF5050"/>
        <bgColor indexed="64"/>
      </patternFill>
    </fill>
    <fill>
      <patternFill patternType="solid">
        <fgColor rgb="FF33CCCC"/>
        <bgColor indexed="64"/>
      </patternFill>
    </fill>
    <fill>
      <patternFill patternType="solid">
        <fgColor rgb="FFFFCCCC"/>
        <bgColor indexed="64"/>
      </patternFill>
    </fill>
    <fill>
      <patternFill patternType="solid">
        <fgColor rgb="FF00FFFF"/>
        <bgColor indexed="64"/>
      </patternFill>
    </fill>
    <fill>
      <patternFill patternType="solid">
        <fgColor rgb="FFCC66FF"/>
        <bgColor indexed="64"/>
      </patternFill>
    </fill>
    <fill>
      <patternFill patternType="solid">
        <fgColor rgb="FFE5E4E2"/>
        <bgColor indexed="64"/>
      </patternFill>
    </fill>
    <fill>
      <patternFill patternType="solid">
        <fgColor rgb="FF990099"/>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CCCCFF"/>
        <bgColor indexed="64"/>
      </patternFill>
    </fill>
    <fill>
      <patternFill patternType="solid">
        <fgColor rgb="FFCCFFCC"/>
        <bgColor indexed="64"/>
      </patternFill>
    </fill>
    <fill>
      <patternFill patternType="solid">
        <fgColor rgb="FFCCECFF"/>
        <bgColor indexed="64"/>
      </patternFill>
    </fill>
    <fill>
      <patternFill patternType="solid">
        <fgColor rgb="FF99FF33"/>
        <bgColor indexed="64"/>
      </patternFill>
    </fill>
    <fill>
      <patternFill patternType="solid">
        <fgColor theme="3" tint="0.79998168889431442"/>
        <bgColor indexed="64"/>
      </patternFill>
    </fill>
    <fill>
      <patternFill patternType="solid">
        <fgColor rgb="FFCCFFFF"/>
        <bgColor indexed="64"/>
      </patternFill>
    </fill>
    <fill>
      <patternFill patternType="solid">
        <fgColor rgb="FFFF0066"/>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CCFF66"/>
        <bgColor indexed="64"/>
      </patternFill>
    </fill>
    <fill>
      <patternFill patternType="solid">
        <fgColor rgb="FF00FF00"/>
        <bgColor indexed="64"/>
      </patternFill>
    </fill>
    <fill>
      <patternFill patternType="solid">
        <fgColor rgb="FFCCCC00"/>
        <bgColor indexed="64"/>
      </patternFill>
    </fill>
    <fill>
      <patternFill patternType="solid">
        <fgColor theme="3" tint="-0.249977111117893"/>
        <bgColor indexed="64"/>
      </patternFill>
    </fill>
    <fill>
      <patternFill patternType="solid">
        <fgColor rgb="FFEC0000"/>
        <bgColor indexed="64"/>
      </patternFill>
    </fill>
  </fills>
  <borders count="144">
    <border>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bottom/>
      <diagonal/>
    </border>
    <border>
      <left style="thin">
        <color indexed="64"/>
      </left>
      <right/>
      <top style="thin">
        <color indexed="64"/>
      </top>
      <bottom style="thin">
        <color indexed="64"/>
      </bottom>
      <diagonal/>
    </border>
    <border>
      <left/>
      <right/>
      <top style="thin">
        <color indexed="64"/>
      </top>
      <bottom/>
      <diagonal/>
    </border>
    <border>
      <left style="medium">
        <color rgb="FFFF0000"/>
      </left>
      <right style="medium">
        <color rgb="FFFF0000"/>
      </right>
      <top style="medium">
        <color rgb="FFFF0000"/>
      </top>
      <bottom style="medium">
        <color rgb="FFFF0000"/>
      </bottom>
      <diagonal/>
    </border>
    <border>
      <left/>
      <right/>
      <top style="medium">
        <color rgb="FFFF0000"/>
      </top>
      <bottom style="medium">
        <color rgb="FFFF0000"/>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auto="1"/>
      </top>
      <bottom style="hair">
        <color auto="1"/>
      </bottom>
      <diagonal/>
    </border>
    <border>
      <left/>
      <right style="medium">
        <color indexed="64"/>
      </right>
      <top style="medium">
        <color indexed="64"/>
      </top>
      <bottom style="medium">
        <color indexed="64"/>
      </bottom>
      <diagonal/>
    </border>
    <border>
      <left/>
      <right/>
      <top style="medium">
        <color rgb="FFFF0000"/>
      </top>
      <bottom/>
      <diagonal/>
    </border>
    <border>
      <left style="thin">
        <color rgb="FFFF0000"/>
      </left>
      <right style="thin">
        <color rgb="FFFF0000"/>
      </right>
      <top style="thin">
        <color rgb="FFFF0000"/>
      </top>
      <bottom style="thin">
        <color rgb="FFFF0000"/>
      </bottom>
      <diagonal/>
    </border>
    <border>
      <left/>
      <right/>
      <top/>
      <bottom style="medium">
        <color rgb="FFFF0000"/>
      </bottom>
      <diagonal/>
    </border>
    <border>
      <left/>
      <right/>
      <top style="medium">
        <color indexed="64"/>
      </top>
      <bottom/>
      <diagonal/>
    </border>
    <border>
      <left style="hair">
        <color auto="1"/>
      </left>
      <right style="hair">
        <color auto="1"/>
      </right>
      <top style="hair">
        <color auto="1"/>
      </top>
      <bottom/>
      <diagonal/>
    </border>
    <border>
      <left/>
      <right style="medium">
        <color auto="1"/>
      </right>
      <top style="medium">
        <color auto="1"/>
      </top>
      <bottom/>
      <diagonal/>
    </border>
    <border>
      <left/>
      <right style="thin">
        <color indexed="64"/>
      </right>
      <top style="thin">
        <color indexed="64"/>
      </top>
      <bottom style="thin">
        <color indexed="64"/>
      </bottom>
      <diagonal/>
    </border>
    <border>
      <left style="medium">
        <color indexed="64"/>
      </left>
      <right/>
      <top/>
      <bottom style="medium">
        <color indexed="64"/>
      </bottom>
      <diagonal/>
    </border>
    <border>
      <left style="thin">
        <color indexed="64"/>
      </left>
      <right/>
      <top style="thin">
        <color indexed="64"/>
      </top>
      <bottom/>
      <diagonal/>
    </border>
    <border>
      <left/>
      <right/>
      <top style="thin">
        <color indexed="64"/>
      </top>
      <bottom style="thin">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diagonal/>
    </border>
    <border>
      <left style="medium">
        <color rgb="FFFF0000"/>
      </left>
      <right style="medium">
        <color rgb="FFFF0000"/>
      </right>
      <top style="medium">
        <color rgb="FFFF0000"/>
      </top>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style="thin">
        <color rgb="FFFF0000"/>
      </right>
      <top style="thin">
        <color rgb="FFFF0000"/>
      </top>
      <bottom style="thin">
        <color rgb="FFFF0000"/>
      </bottom>
      <diagonal/>
    </border>
    <border>
      <left/>
      <right/>
      <top style="thick">
        <color rgb="FFFF0000"/>
      </top>
      <bottom/>
      <diagonal/>
    </border>
    <border>
      <left/>
      <right style="medium">
        <color rgb="FFFF0000"/>
      </right>
      <top/>
      <bottom/>
      <diagonal/>
    </border>
    <border>
      <left/>
      <right style="thin">
        <color rgb="FFFF0000"/>
      </right>
      <top style="thin">
        <color rgb="FFFF0000"/>
      </top>
      <bottom/>
      <diagonal/>
    </border>
    <border>
      <left/>
      <right style="thin">
        <color rgb="FFFF0000"/>
      </right>
      <top/>
      <bottom/>
      <diagonal/>
    </border>
    <border>
      <left style="thin">
        <color rgb="FFFF0000"/>
      </left>
      <right/>
      <top style="thin">
        <color rgb="FFFF0000"/>
      </top>
      <bottom/>
      <diagonal/>
    </border>
    <border>
      <left style="thin">
        <color rgb="FFFF0000"/>
      </left>
      <right/>
      <top/>
      <bottom/>
      <diagonal/>
    </border>
    <border>
      <left/>
      <right/>
      <top/>
      <bottom style="medium">
        <color indexed="10"/>
      </bottom>
      <diagonal/>
    </border>
    <border>
      <left style="thin">
        <color indexed="10"/>
      </left>
      <right style="thin">
        <color indexed="10"/>
      </right>
      <top style="thin">
        <color indexed="10"/>
      </top>
      <bottom/>
      <diagonal/>
    </border>
    <border>
      <left/>
      <right style="hair">
        <color indexed="23"/>
      </right>
      <top/>
      <bottom style="hair">
        <color indexed="23"/>
      </bottom>
      <diagonal/>
    </border>
    <border>
      <left/>
      <right/>
      <top/>
      <bottom style="hair">
        <color indexed="23"/>
      </bottom>
      <diagonal/>
    </border>
    <border>
      <left/>
      <right style="medium">
        <color indexed="64"/>
      </right>
      <top/>
      <bottom style="medium">
        <color indexed="64"/>
      </bottom>
      <diagonal/>
    </border>
    <border>
      <left style="hair">
        <color indexed="64"/>
      </left>
      <right/>
      <top style="hair">
        <color indexed="64"/>
      </top>
      <bottom style="hair">
        <color indexed="64"/>
      </bottom>
      <diagonal/>
    </border>
    <border>
      <left/>
      <right style="thin">
        <color theme="0" tint="-4.9989318521683403E-2"/>
      </right>
      <top style="thin">
        <color theme="0" tint="-4.9989318521683403E-2"/>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top/>
      <bottom style="hair">
        <color auto="1"/>
      </bottom>
      <diagonal/>
    </border>
    <border>
      <left style="double">
        <color indexed="9"/>
      </left>
      <right/>
      <top style="double">
        <color indexed="9"/>
      </top>
      <bottom/>
      <diagonal/>
    </border>
    <border>
      <left/>
      <right/>
      <top style="double">
        <color indexed="9"/>
      </top>
      <bottom/>
      <diagonal/>
    </border>
    <border>
      <left/>
      <right style="double">
        <color indexed="9"/>
      </right>
      <top style="double">
        <color indexed="9"/>
      </top>
      <bottom/>
      <diagonal/>
    </border>
    <border>
      <left style="thin">
        <color theme="4" tint="-0.24994659260841701"/>
      </left>
      <right/>
      <top/>
      <bottom/>
      <diagonal/>
    </border>
    <border>
      <left/>
      <right style="thin">
        <color theme="4" tint="-0.24994659260841701"/>
      </right>
      <top/>
      <bottom/>
      <diagonal/>
    </border>
    <border>
      <left style="thin">
        <color indexed="64"/>
      </left>
      <right style="thin">
        <color indexed="64"/>
      </right>
      <top style="thin">
        <color indexed="64"/>
      </top>
      <bottom style="thin">
        <color theme="0" tint="-0.14996795556505021"/>
      </bottom>
      <diagonal/>
    </border>
    <border>
      <left style="thin">
        <color indexed="64"/>
      </left>
      <right style="thin">
        <color indexed="64"/>
      </right>
      <top style="thin">
        <color theme="0" tint="-0.14996795556505021"/>
      </top>
      <bottom style="thin">
        <color theme="0" tint="-0.14996795556505021"/>
      </bottom>
      <diagonal/>
    </border>
    <border>
      <left style="thin">
        <color indexed="64"/>
      </left>
      <right style="thin">
        <color indexed="64"/>
      </right>
      <top style="thin">
        <color theme="0" tint="-0.14996795556505021"/>
      </top>
      <bottom style="thin">
        <color indexed="64"/>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thin">
        <color theme="4" tint="-0.24994659260841701"/>
      </left>
      <right/>
      <top style="double">
        <color theme="0"/>
      </top>
      <bottom/>
      <diagonal/>
    </border>
    <border>
      <left/>
      <right/>
      <top style="double">
        <color theme="0"/>
      </top>
      <bottom/>
      <diagonal/>
    </border>
    <border>
      <left/>
      <right/>
      <top/>
      <bottom style="double">
        <color theme="0"/>
      </bottom>
      <diagonal/>
    </border>
    <border>
      <left/>
      <right/>
      <top/>
      <bottom style="thin">
        <color theme="0" tint="-4.9989318521683403E-2"/>
      </bottom>
      <diagonal/>
    </border>
    <border>
      <left style="thin">
        <color indexed="64"/>
      </left>
      <right/>
      <top/>
      <bottom style="thin">
        <color theme="0" tint="-4.9989318521683403E-2"/>
      </bottom>
      <diagonal/>
    </border>
    <border>
      <left/>
      <right/>
      <top style="thin">
        <color theme="0" tint="-4.9989318521683403E-2"/>
      </top>
      <bottom style="thin">
        <color theme="0" tint="-4.9989318521683403E-2"/>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auto="1"/>
      </left>
      <right/>
      <top/>
      <bottom/>
      <diagonal/>
    </border>
    <border>
      <left/>
      <right style="thin">
        <color theme="4" tint="-0.24994659260841701"/>
      </right>
      <top style="double">
        <color theme="0"/>
      </top>
      <bottom/>
      <diagonal/>
    </border>
    <border>
      <left style="thin">
        <color theme="0"/>
      </left>
      <right style="thin">
        <color theme="0"/>
      </right>
      <top style="thin">
        <color theme="0"/>
      </top>
      <bottom style="thin">
        <color theme="0"/>
      </bottom>
      <diagonal/>
    </border>
    <border>
      <left style="thin">
        <color theme="0"/>
      </left>
      <right style="thin">
        <color theme="4" tint="-0.24994659260841701"/>
      </right>
      <top style="thin">
        <color theme="0"/>
      </top>
      <bottom style="thin">
        <color theme="0"/>
      </bottom>
      <diagonal/>
    </border>
    <border>
      <left style="thin">
        <color indexed="64"/>
      </left>
      <right style="thin">
        <color indexed="64"/>
      </right>
      <top style="thin">
        <color indexed="64"/>
      </top>
      <bottom style="medium">
        <color indexed="64"/>
      </bottom>
      <diagonal/>
    </border>
    <border>
      <left/>
      <right/>
      <top style="double">
        <color rgb="FFFF0000"/>
      </top>
      <bottom style="double">
        <color rgb="FFFF0000"/>
      </bottom>
      <diagonal/>
    </border>
    <border>
      <left/>
      <right style="medium">
        <color rgb="FFFF0000"/>
      </right>
      <top style="double">
        <color rgb="FFFF0000"/>
      </top>
      <bottom style="double">
        <color rgb="FFFF0000"/>
      </bottom>
      <diagonal/>
    </border>
    <border>
      <left style="hair">
        <color indexed="64"/>
      </left>
      <right style="hair">
        <color indexed="64"/>
      </right>
      <top/>
      <bottom/>
      <diagonal/>
    </border>
    <border>
      <left/>
      <right/>
      <top style="thin">
        <color indexed="64"/>
      </top>
      <bottom style="medium">
        <color indexed="64"/>
      </bottom>
      <diagonal/>
    </border>
    <border>
      <left style="thin">
        <color indexed="64"/>
      </left>
      <right style="hair">
        <color indexed="64"/>
      </right>
      <top style="hair">
        <color indexed="64"/>
      </top>
      <bottom style="hair">
        <color indexed="64"/>
      </bottom>
      <diagonal/>
    </border>
    <border>
      <left/>
      <right/>
      <top/>
      <bottom style="medium">
        <color indexed="64"/>
      </bottom>
      <diagonal/>
    </border>
    <border>
      <left/>
      <right/>
      <top/>
      <bottom style="thick">
        <color rgb="FFFF0000"/>
      </bottom>
      <diagonal/>
    </border>
    <border>
      <left style="double">
        <color indexed="9"/>
      </left>
      <right/>
      <top/>
      <bottom/>
      <diagonal/>
    </border>
    <border>
      <left style="hair">
        <color auto="1"/>
      </left>
      <right/>
      <top style="hair">
        <color auto="1"/>
      </top>
      <bottom/>
      <diagonal/>
    </border>
    <border>
      <left/>
      <right/>
      <top style="thin">
        <color rgb="FFFF0000"/>
      </top>
      <bottom/>
      <diagonal/>
    </border>
    <border>
      <left/>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medium">
        <color indexed="64"/>
      </top>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medium">
        <color indexed="64"/>
      </right>
      <top style="medium">
        <color indexed="64"/>
      </top>
      <bottom style="thin">
        <color theme="0" tint="-0.249977111117893"/>
      </bottom>
      <diagonal/>
    </border>
    <border>
      <left style="medium">
        <color indexed="64"/>
      </left>
      <right style="thin">
        <color theme="0" tint="-0.249977111117893"/>
      </right>
      <top/>
      <bottom/>
      <diagonal/>
    </border>
    <border>
      <left/>
      <right style="medium">
        <color indexed="64"/>
      </right>
      <top style="thin">
        <color theme="0" tint="-0.249977111117893"/>
      </top>
      <bottom style="thin">
        <color theme="0" tint="-0.249977111117893"/>
      </bottom>
      <diagonal/>
    </border>
    <border>
      <left style="medium">
        <color indexed="64"/>
      </left>
      <right style="thin">
        <color theme="0" tint="-0.249977111117893"/>
      </right>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right style="medium">
        <color indexed="64"/>
      </right>
      <top style="thin">
        <color theme="0" tint="-0.249977111117893"/>
      </top>
      <bottom style="medium">
        <color indexed="64"/>
      </bottom>
      <diagonal/>
    </border>
    <border>
      <left style="thin">
        <color indexed="64"/>
      </left>
      <right style="thin">
        <color theme="0" tint="-0.249977111117893"/>
      </right>
      <top style="thin">
        <color indexed="64"/>
      </top>
      <bottom/>
      <diagonal/>
    </border>
    <border>
      <left style="thin">
        <color theme="0" tint="-0.249977111117893"/>
      </left>
      <right style="thin">
        <color theme="0" tint="-0.249977111117893"/>
      </right>
      <top style="thin">
        <color indexed="64"/>
      </top>
      <bottom style="thin">
        <color theme="0" tint="-0.249977111117893"/>
      </bottom>
      <diagonal/>
    </border>
    <border>
      <left style="thin">
        <color indexed="64"/>
      </left>
      <right style="thin">
        <color theme="0" tint="-0.249977111117893"/>
      </right>
      <top/>
      <bottom/>
      <diagonal/>
    </border>
    <border>
      <left style="thin">
        <color theme="0" tint="-0.249977111117893"/>
      </left>
      <right style="thin">
        <color indexed="64"/>
      </right>
      <top style="thin">
        <color theme="0" tint="-0.249977111117893"/>
      </top>
      <bottom/>
      <diagonal/>
    </border>
    <border>
      <left style="thin">
        <color indexed="64"/>
      </left>
      <right style="thin">
        <color theme="0" tint="-0.249977111117893"/>
      </right>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style="thin">
        <color indexed="64"/>
      </left>
      <right style="thin">
        <color indexed="64"/>
      </right>
      <top style="thin">
        <color theme="0" tint="-0.249977111117893"/>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top style="thin">
        <color theme="0" tint="-0.249977111117893"/>
      </top>
      <bottom style="thin">
        <color indexed="64"/>
      </bottom>
      <diagonal/>
    </border>
    <border>
      <left/>
      <right/>
      <top style="double">
        <color rgb="FFFF0000"/>
      </top>
      <bottom/>
      <diagonal/>
    </border>
    <border>
      <left/>
      <right/>
      <top/>
      <bottom style="thin">
        <color rgb="FFEC0000"/>
      </bottom>
      <diagonal/>
    </border>
    <border>
      <left style="hair">
        <color rgb="FFEC0000"/>
      </left>
      <right/>
      <top style="hair">
        <color rgb="FFEC0000"/>
      </top>
      <bottom/>
      <diagonal/>
    </border>
    <border>
      <left/>
      <right/>
      <top style="hair">
        <color rgb="FFEC0000"/>
      </top>
      <bottom/>
      <diagonal/>
    </border>
    <border>
      <left/>
      <right style="hair">
        <color rgb="FFEC0000"/>
      </right>
      <top style="hair">
        <color rgb="FFEC0000"/>
      </top>
      <bottom/>
      <diagonal/>
    </border>
    <border>
      <left style="hair">
        <color rgb="FFEC0000"/>
      </left>
      <right/>
      <top/>
      <bottom/>
      <diagonal/>
    </border>
    <border>
      <left/>
      <right style="hair">
        <color rgb="FFEC0000"/>
      </right>
      <top/>
      <bottom/>
      <diagonal/>
    </border>
    <border>
      <left style="hair">
        <color rgb="FFEC0000"/>
      </left>
      <right/>
      <top/>
      <bottom style="hair">
        <color rgb="FFEC0000"/>
      </bottom>
      <diagonal/>
    </border>
    <border>
      <left/>
      <right/>
      <top/>
      <bottom style="hair">
        <color rgb="FFEC0000"/>
      </bottom>
      <diagonal/>
    </border>
    <border>
      <left/>
      <right style="hair">
        <color rgb="FFEC0000"/>
      </right>
      <top/>
      <bottom style="hair">
        <color rgb="FFEC0000"/>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thin">
        <color theme="0" tint="-4.9989318521683403E-2"/>
      </left>
      <right/>
      <top/>
      <bottom/>
      <diagonal/>
    </border>
    <border>
      <left style="hair">
        <color auto="1"/>
      </left>
      <right style="hair">
        <color auto="1"/>
      </right>
      <top style="hair">
        <color auto="1"/>
      </top>
      <bottom style="hair">
        <color auto="1"/>
      </bottom>
      <diagonal/>
    </border>
    <border>
      <left style="thin">
        <color indexed="64"/>
      </left>
      <right style="thin">
        <color indexed="64"/>
      </right>
      <top/>
      <bottom style="thin">
        <color theme="0" tint="-0.249977111117893"/>
      </bottom>
      <diagonal/>
    </border>
    <border>
      <left/>
      <right style="thin">
        <color indexed="64"/>
      </right>
      <top style="thin">
        <color theme="0" tint="-0.249977111117893"/>
      </top>
      <bottom/>
      <diagonal/>
    </border>
    <border>
      <left/>
      <right style="thin">
        <color indexed="64"/>
      </right>
      <top/>
      <bottom style="thin">
        <color theme="0" tint="-0.249977111117893"/>
      </bottom>
      <diagonal/>
    </border>
    <border>
      <left/>
      <right/>
      <top/>
      <bottom style="hair">
        <color theme="0" tint="-0.24994659260841701"/>
      </bottom>
      <diagonal/>
    </border>
    <border>
      <left/>
      <right/>
      <top style="hair">
        <color theme="0" tint="-0.24994659260841701"/>
      </top>
      <bottom style="hair">
        <color theme="0" tint="-0.24994659260841701"/>
      </bottom>
      <diagonal/>
    </border>
    <border>
      <left style="hair">
        <color indexed="64"/>
      </left>
      <right style="thin">
        <color indexed="64"/>
      </right>
      <top style="hair">
        <color indexed="64"/>
      </top>
      <bottom style="hair">
        <color indexed="64"/>
      </bottom>
      <diagonal/>
    </border>
    <border>
      <left style="hair">
        <color indexed="23"/>
      </left>
      <right style="hair">
        <color indexed="23"/>
      </right>
      <top style="hair">
        <color indexed="23"/>
      </top>
      <bottom style="hair">
        <color indexed="23"/>
      </bottom>
      <diagonal/>
    </border>
  </borders>
  <cellStyleXfs count="16">
    <xf numFmtId="0" fontId="0" fillId="0" borderId="0"/>
    <xf numFmtId="0" fontId="3" fillId="0" borderId="0"/>
    <xf numFmtId="9" fontId="7" fillId="0" borderId="0" applyFont="0" applyFill="0" applyBorder="0" applyAlignment="0" applyProtection="0"/>
    <xf numFmtId="43" fontId="7" fillId="0" borderId="0" applyFont="0" applyFill="0" applyBorder="0" applyAlignment="0" applyProtection="0"/>
    <xf numFmtId="165" fontId="7" fillId="0" borderId="0" applyFont="0" applyFill="0" applyBorder="0" applyAlignment="0" applyProtection="0"/>
    <xf numFmtId="43" fontId="20" fillId="0" borderId="0" applyFont="0" applyFill="0" applyBorder="0" applyAlignment="0" applyProtection="0"/>
    <xf numFmtId="9" fontId="20" fillId="0" borderId="0" applyFont="0" applyFill="0" applyBorder="0" applyAlignment="0" applyProtection="0"/>
    <xf numFmtId="0" fontId="33" fillId="0" borderId="0" applyNumberFormat="0" applyFill="0" applyBorder="0" applyAlignment="0" applyProtection="0"/>
    <xf numFmtId="43" fontId="3" fillId="0" borderId="0" applyFont="0" applyFill="0" applyBorder="0" applyAlignment="0" applyProtection="0"/>
    <xf numFmtId="0" fontId="20" fillId="0" borderId="0"/>
    <xf numFmtId="0" fontId="51" fillId="0" borderId="0" applyNumberFormat="0" applyFill="0" applyBorder="0" applyAlignment="0" applyProtection="0">
      <alignment vertical="top"/>
      <protection locked="0"/>
    </xf>
    <xf numFmtId="9" fontId="3" fillId="0" borderId="0" applyFont="0" applyFill="0" applyBorder="0" applyAlignment="0" applyProtection="0"/>
    <xf numFmtId="43" fontId="3" fillId="0" borderId="0" applyFont="0" applyFill="0" applyBorder="0" applyAlignment="0" applyProtection="0"/>
    <xf numFmtId="173" fontId="3" fillId="0" borderId="0" applyFont="0" applyFill="0" applyBorder="0" applyAlignment="0" applyProtection="0"/>
    <xf numFmtId="41" fontId="20" fillId="0" borderId="0" applyFont="0" applyFill="0" applyBorder="0" applyAlignment="0" applyProtection="0"/>
    <xf numFmtId="44" fontId="20" fillId="0" borderId="0" applyFont="0" applyFill="0" applyBorder="0" applyAlignment="0" applyProtection="0"/>
  </cellStyleXfs>
  <cellXfs count="2429">
    <xf numFmtId="0" fontId="0" fillId="0" borderId="0" xfId="0"/>
    <xf numFmtId="0" fontId="5" fillId="0" borderId="0" xfId="1" applyFont="1"/>
    <xf numFmtId="0" fontId="21" fillId="0" borderId="0" xfId="0" applyFont="1"/>
    <xf numFmtId="0" fontId="8" fillId="0" borderId="0" xfId="0" applyFont="1"/>
    <xf numFmtId="0" fontId="22" fillId="17" borderId="3" xfId="0" applyFont="1" applyFill="1" applyBorder="1" applyAlignment="1">
      <alignment horizontal="center" wrapText="1"/>
    </xf>
    <xf numFmtId="8" fontId="21" fillId="0" borderId="0" xfId="0" applyNumberFormat="1" applyFont="1"/>
    <xf numFmtId="42" fontId="21" fillId="0" borderId="3" xfId="0" applyNumberFormat="1" applyFont="1" applyBorder="1"/>
    <xf numFmtId="42" fontId="21" fillId="15" borderId="3" xfId="0" applyNumberFormat="1" applyFont="1" applyFill="1" applyBorder="1"/>
    <xf numFmtId="0" fontId="21" fillId="0" borderId="3" xfId="0" applyFont="1" applyBorder="1"/>
    <xf numFmtId="42" fontId="25" fillId="16" borderId="3" xfId="0" applyNumberFormat="1" applyFont="1" applyFill="1" applyBorder="1"/>
    <xf numFmtId="9" fontId="21" fillId="0" borderId="3" xfId="6" applyFont="1" applyBorder="1"/>
    <xf numFmtId="0" fontId="27" fillId="2" borderId="0" xfId="0" applyFont="1" applyFill="1"/>
    <xf numFmtId="0" fontId="28" fillId="2" borderId="0" xfId="0" applyFont="1" applyFill="1"/>
    <xf numFmtId="1" fontId="0" fillId="0" borderId="3" xfId="0" applyNumberFormat="1" applyBorder="1" applyAlignment="1">
      <alignment horizontal="left"/>
    </xf>
    <xf numFmtId="10" fontId="21" fillId="0" borderId="3" xfId="0" applyNumberFormat="1" applyFont="1" applyBorder="1"/>
    <xf numFmtId="8" fontId="21" fillId="0" borderId="3" xfId="0" applyNumberFormat="1" applyFont="1" applyBorder="1"/>
    <xf numFmtId="0" fontId="3" fillId="0" borderId="0" xfId="0" applyFont="1" applyAlignment="1" applyProtection="1">
      <alignment horizontal="left"/>
      <protection hidden="1"/>
    </xf>
    <xf numFmtId="0" fontId="16" fillId="18" borderId="0" xfId="0" applyFont="1" applyFill="1" applyAlignment="1" applyProtection="1">
      <alignment horizontal="center" vertical="center" wrapText="1"/>
      <protection hidden="1"/>
    </xf>
    <xf numFmtId="0" fontId="4" fillId="2" borderId="3" xfId="1" applyFont="1" applyFill="1" applyBorder="1" applyAlignment="1" applyProtection="1">
      <alignment horizontal="center" vertical="center" wrapText="1"/>
      <protection hidden="1"/>
    </xf>
    <xf numFmtId="0" fontId="5" fillId="0" borderId="0" xfId="0" applyFont="1" applyAlignment="1" applyProtection="1">
      <alignment horizontal="left"/>
      <protection hidden="1"/>
    </xf>
    <xf numFmtId="0" fontId="3" fillId="0" borderId="0" xfId="0" applyFont="1" applyProtection="1">
      <protection hidden="1"/>
    </xf>
    <xf numFmtId="0" fontId="18" fillId="2" borderId="3" xfId="1" applyFont="1" applyFill="1" applyBorder="1" applyAlignment="1" applyProtection="1">
      <alignment horizontal="center" vertical="center" wrapText="1"/>
      <protection hidden="1"/>
    </xf>
    <xf numFmtId="42" fontId="25" fillId="16" borderId="1" xfId="0" applyNumberFormat="1" applyFont="1" applyFill="1" applyBorder="1"/>
    <xf numFmtId="0" fontId="6" fillId="0" borderId="0" xfId="0" applyFont="1" applyProtection="1">
      <protection locked="0"/>
    </xf>
    <xf numFmtId="164" fontId="29" fillId="0" borderId="0" xfId="0" applyNumberFormat="1" applyFont="1" applyAlignment="1">
      <alignment horizontal="right"/>
    </xf>
    <xf numFmtId="0" fontId="32" fillId="0" borderId="0" xfId="0" applyFont="1"/>
    <xf numFmtId="0" fontId="3" fillId="0" borderId="0" xfId="0" applyFont="1" applyAlignment="1" applyProtection="1">
      <alignment horizontal="center"/>
      <protection hidden="1"/>
    </xf>
    <xf numFmtId="0" fontId="0" fillId="16" borderId="0" xfId="0" applyFill="1"/>
    <xf numFmtId="0" fontId="34" fillId="16" borderId="0" xfId="0" applyFont="1" applyFill="1"/>
    <xf numFmtId="42" fontId="0" fillId="0" borderId="0" xfId="0" applyNumberFormat="1"/>
    <xf numFmtId="10" fontId="0" fillId="0" borderId="0" xfId="0" applyNumberFormat="1"/>
    <xf numFmtId="3" fontId="0" fillId="0" borderId="0" xfId="0" applyNumberFormat="1"/>
    <xf numFmtId="42" fontId="35" fillId="0" borderId="0" xfId="0" applyNumberFormat="1" applyFont="1"/>
    <xf numFmtId="3" fontId="0" fillId="0" borderId="0" xfId="0" applyNumberFormat="1" applyAlignment="1">
      <alignment horizontal="center"/>
    </xf>
    <xf numFmtId="0" fontId="37" fillId="0" borderId="0" xfId="0" applyFont="1"/>
    <xf numFmtId="44" fontId="0" fillId="0" borderId="0" xfId="0" applyNumberFormat="1"/>
    <xf numFmtId="10" fontId="38" fillId="0" borderId="0" xfId="6" applyNumberFormat="1" applyFont="1" applyAlignment="1">
      <alignment horizontal="center"/>
    </xf>
    <xf numFmtId="0" fontId="36" fillId="0" borderId="0" xfId="0" applyFont="1" applyAlignment="1">
      <alignment horizontal="center"/>
    </xf>
    <xf numFmtId="0" fontId="0" fillId="0" borderId="25" xfId="0" applyBorder="1"/>
    <xf numFmtId="0" fontId="34" fillId="23" borderId="0" xfId="0" applyFont="1" applyFill="1"/>
    <xf numFmtId="1" fontId="0" fillId="0" borderId="0" xfId="0" applyNumberFormat="1"/>
    <xf numFmtId="0" fontId="16" fillId="18" borderId="13" xfId="0" applyFont="1" applyFill="1" applyBorder="1" applyAlignment="1" applyProtection="1">
      <alignment horizontal="center" vertical="center" wrapText="1"/>
      <protection hidden="1"/>
    </xf>
    <xf numFmtId="169" fontId="0" fillId="0" borderId="0" xfId="0" applyNumberFormat="1"/>
    <xf numFmtId="0" fontId="5" fillId="6" borderId="0" xfId="0" applyFont="1" applyFill="1" applyAlignment="1">
      <alignment horizontal="center" wrapText="1"/>
    </xf>
    <xf numFmtId="0" fontId="5" fillId="24" borderId="0" xfId="0" applyFont="1" applyFill="1" applyAlignment="1">
      <alignment horizontal="center" wrapText="1"/>
    </xf>
    <xf numFmtId="0" fontId="19" fillId="25" borderId="31" xfId="0" applyFont="1" applyFill="1" applyBorder="1"/>
    <xf numFmtId="0" fontId="5" fillId="0" borderId="3" xfId="0" applyFont="1" applyBorder="1"/>
    <xf numFmtId="0" fontId="42" fillId="0" borderId="32" xfId="0" applyFont="1" applyBorder="1"/>
    <xf numFmtId="5" fontId="21" fillId="0" borderId="3" xfId="0" applyNumberFormat="1" applyFont="1" applyBorder="1"/>
    <xf numFmtId="164" fontId="25" fillId="16" borderId="3" xfId="5" applyNumberFormat="1" applyFont="1" applyFill="1" applyBorder="1"/>
    <xf numFmtId="8" fontId="41" fillId="0" borderId="3" xfId="0" applyNumberFormat="1" applyFont="1" applyBorder="1"/>
    <xf numFmtId="0" fontId="4" fillId="2" borderId="0" xfId="0" applyFont="1" applyFill="1"/>
    <xf numFmtId="0" fontId="3" fillId="0" borderId="30" xfId="0" applyFont="1" applyBorder="1" applyProtection="1">
      <protection locked="0"/>
    </xf>
    <xf numFmtId="0" fontId="3" fillId="0" borderId="8" xfId="0" applyFont="1" applyBorder="1" applyProtection="1">
      <protection locked="0"/>
    </xf>
    <xf numFmtId="0" fontId="6" fillId="0" borderId="8" xfId="0" applyFont="1" applyBorder="1"/>
    <xf numFmtId="0" fontId="5" fillId="0" borderId="4" xfId="0" applyFont="1" applyBorder="1" applyProtection="1">
      <protection locked="0"/>
    </xf>
    <xf numFmtId="0" fontId="3" fillId="0" borderId="3" xfId="0" applyFont="1" applyBorder="1" applyProtection="1">
      <protection locked="0"/>
    </xf>
    <xf numFmtId="3" fontId="21" fillId="0" borderId="3" xfId="0" applyNumberFormat="1" applyFont="1" applyBorder="1"/>
    <xf numFmtId="164" fontId="3" fillId="0" borderId="0" xfId="5" applyNumberFormat="1" applyFont="1" applyBorder="1" applyProtection="1">
      <protection hidden="1"/>
    </xf>
    <xf numFmtId="164" fontId="3" fillId="0" borderId="5" xfId="5" applyNumberFormat="1" applyFont="1" applyBorder="1" applyProtection="1">
      <protection hidden="1"/>
    </xf>
    <xf numFmtId="0" fontId="5" fillId="0" borderId="0" xfId="0" applyFont="1" applyAlignment="1" applyProtection="1">
      <alignment horizontal="center" vertical="center" wrapText="1"/>
      <protection hidden="1"/>
    </xf>
    <xf numFmtId="0" fontId="5" fillId="11" borderId="3" xfId="0" applyFont="1" applyFill="1" applyBorder="1" applyAlignment="1" applyProtection="1">
      <alignment horizontal="center" vertical="center" wrapText="1"/>
      <protection hidden="1"/>
    </xf>
    <xf numFmtId="0" fontId="5" fillId="11" borderId="0" xfId="0" applyFont="1" applyFill="1" applyAlignment="1" applyProtection="1">
      <alignment horizontal="center" vertical="center" wrapText="1"/>
      <protection hidden="1"/>
    </xf>
    <xf numFmtId="0" fontId="22" fillId="17" borderId="1" xfId="0" applyFont="1" applyFill="1" applyBorder="1" applyAlignment="1">
      <alignment horizontal="center" wrapText="1"/>
    </xf>
    <xf numFmtId="44" fontId="21" fillId="0" borderId="0" xfId="0" applyNumberFormat="1" applyFont="1"/>
    <xf numFmtId="0" fontId="0" fillId="4" borderId="30" xfId="0" applyFill="1" applyBorder="1" applyProtection="1">
      <protection locked="0"/>
    </xf>
    <xf numFmtId="0" fontId="0" fillId="5" borderId="15" xfId="0" applyFill="1" applyBorder="1" applyProtection="1">
      <protection locked="0"/>
    </xf>
    <xf numFmtId="0" fontId="21" fillId="15" borderId="3" xfId="0" applyFont="1" applyFill="1" applyBorder="1"/>
    <xf numFmtId="44" fontId="21" fillId="15" borderId="3" xfId="0" applyNumberFormat="1" applyFont="1" applyFill="1" applyBorder="1"/>
    <xf numFmtId="0" fontId="0" fillId="15" borderId="4" xfId="0" applyFill="1" applyBorder="1"/>
    <xf numFmtId="43" fontId="0" fillId="0" borderId="4" xfId="5" applyFont="1" applyBorder="1"/>
    <xf numFmtId="43" fontId="0" fillId="0" borderId="8" xfId="5" applyFont="1" applyBorder="1"/>
    <xf numFmtId="0" fontId="0" fillId="15" borderId="5" xfId="0" applyFill="1" applyBorder="1"/>
    <xf numFmtId="0" fontId="0" fillId="0" borderId="5" xfId="0" applyBorder="1"/>
    <xf numFmtId="4" fontId="0" fillId="0" borderId="0" xfId="0" applyNumberFormat="1"/>
    <xf numFmtId="43" fontId="0" fillId="0" borderId="0" xfId="0" applyNumberFormat="1"/>
    <xf numFmtId="43" fontId="0" fillId="0" borderId="0" xfId="5" applyFont="1" applyBorder="1"/>
    <xf numFmtId="0" fontId="35" fillId="0" borderId="0" xfId="0" applyFont="1"/>
    <xf numFmtId="0" fontId="3" fillId="0" borderId="10" xfId="0" applyFont="1" applyBorder="1" applyAlignment="1">
      <alignment horizontal="center"/>
    </xf>
    <xf numFmtId="0" fontId="3" fillId="0" borderId="3" xfId="0" applyFont="1" applyBorder="1" applyAlignment="1">
      <alignment horizontal="center"/>
    </xf>
    <xf numFmtId="0" fontId="5" fillId="27" borderId="3" xfId="0" applyFont="1" applyFill="1" applyBorder="1" applyAlignment="1">
      <alignment horizontal="center" wrapText="1"/>
    </xf>
    <xf numFmtId="0" fontId="5" fillId="29" borderId="0" xfId="0" applyFont="1" applyFill="1" applyAlignment="1">
      <alignment horizontal="center" wrapText="1"/>
    </xf>
    <xf numFmtId="0" fontId="5" fillId="9" borderId="3" xfId="0" applyFont="1" applyFill="1" applyBorder="1" applyAlignment="1">
      <alignment horizontal="center" wrapText="1"/>
    </xf>
    <xf numFmtId="0" fontId="15" fillId="16" borderId="0" xfId="1" applyFont="1" applyFill="1" applyAlignment="1">
      <alignment horizontal="center"/>
    </xf>
    <xf numFmtId="0" fontId="4" fillId="2" borderId="1" xfId="0" applyFont="1" applyFill="1" applyBorder="1"/>
    <xf numFmtId="0" fontId="9" fillId="0" borderId="0" xfId="0" applyFont="1" applyAlignment="1" applyProtection="1">
      <alignment horizontal="left" indent="1"/>
      <protection locked="0"/>
    </xf>
    <xf numFmtId="43" fontId="21" fillId="0" borderId="0" xfId="5" applyFont="1"/>
    <xf numFmtId="0" fontId="3" fillId="0" borderId="11" xfId="0" applyFont="1" applyBorder="1" applyProtection="1">
      <protection hidden="1"/>
    </xf>
    <xf numFmtId="0" fontId="3" fillId="0" borderId="5" xfId="0" applyFont="1" applyBorder="1" applyProtection="1">
      <protection hidden="1"/>
    </xf>
    <xf numFmtId="0" fontId="3" fillId="0" borderId="30" xfId="0" applyFont="1" applyBorder="1" applyAlignment="1" applyProtection="1">
      <alignment horizontal="right"/>
      <protection hidden="1"/>
    </xf>
    <xf numFmtId="164" fontId="3" fillId="0" borderId="4" xfId="5" applyNumberFormat="1" applyFont="1" applyBorder="1" applyProtection="1">
      <protection hidden="1"/>
    </xf>
    <xf numFmtId="164" fontId="3" fillId="0" borderId="8" xfId="5" applyNumberFormat="1" applyFont="1" applyBorder="1" applyProtection="1">
      <protection hidden="1"/>
    </xf>
    <xf numFmtId="0" fontId="44" fillId="0" borderId="4" xfId="0" applyFont="1" applyBorder="1"/>
    <xf numFmtId="5" fontId="21" fillId="0" borderId="0" xfId="0" applyNumberFormat="1" applyFont="1"/>
    <xf numFmtId="9" fontId="21" fillId="0" borderId="0" xfId="6" applyFont="1"/>
    <xf numFmtId="0" fontId="45" fillId="0" borderId="14" xfId="0" applyFont="1" applyBorder="1"/>
    <xf numFmtId="0" fontId="11" fillId="0" borderId="0" xfId="0" applyFont="1" applyProtection="1">
      <protection hidden="1"/>
    </xf>
    <xf numFmtId="0" fontId="11" fillId="0" borderId="0" xfId="0" applyFont="1" applyAlignment="1" applyProtection="1">
      <alignment horizontal="center"/>
      <protection hidden="1"/>
    </xf>
    <xf numFmtId="0" fontId="49" fillId="0" borderId="0" xfId="0" applyFont="1" applyAlignment="1" applyProtection="1">
      <alignment horizontal="center"/>
      <protection hidden="1"/>
    </xf>
    <xf numFmtId="0" fontId="49" fillId="0" borderId="0" xfId="0" applyFont="1" applyProtection="1">
      <protection hidden="1"/>
    </xf>
    <xf numFmtId="0" fontId="3" fillId="0" borderId="0" xfId="0" applyFont="1" applyAlignment="1" applyProtection="1">
      <alignment horizontal="right"/>
      <protection hidden="1"/>
    </xf>
    <xf numFmtId="0" fontId="6" fillId="35" borderId="3" xfId="0" applyFont="1" applyFill="1" applyBorder="1" applyAlignment="1" applyProtection="1">
      <alignment horizontal="center"/>
      <protection hidden="1"/>
    </xf>
    <xf numFmtId="170" fontId="49" fillId="0" borderId="3" xfId="6" applyNumberFormat="1" applyFont="1" applyBorder="1" applyProtection="1">
      <protection locked="0"/>
    </xf>
    <xf numFmtId="0" fontId="11" fillId="0" borderId="4" xfId="0" applyFont="1" applyBorder="1" applyProtection="1">
      <protection hidden="1"/>
    </xf>
    <xf numFmtId="0" fontId="6" fillId="0" borderId="5" xfId="0" applyFont="1" applyBorder="1" applyAlignment="1" applyProtection="1">
      <alignment horizontal="center"/>
      <protection hidden="1"/>
    </xf>
    <xf numFmtId="0" fontId="4" fillId="2" borderId="5" xfId="0" applyFont="1" applyFill="1" applyBorder="1" applyAlignment="1" applyProtection="1">
      <alignment horizontal="center"/>
      <protection hidden="1"/>
    </xf>
    <xf numFmtId="0" fontId="5" fillId="4" borderId="0" xfId="0" applyFont="1" applyFill="1" applyAlignment="1" applyProtection="1">
      <alignment horizontal="center" vertical="center" wrapText="1"/>
      <protection hidden="1"/>
    </xf>
    <xf numFmtId="0" fontId="5" fillId="0" borderId="0" xfId="0" applyFont="1" applyAlignment="1" applyProtection="1">
      <alignment horizontal="center"/>
      <protection hidden="1"/>
    </xf>
    <xf numFmtId="0" fontId="5" fillId="11" borderId="0" xfId="0" applyFont="1" applyFill="1" applyAlignment="1" applyProtection="1">
      <alignment horizontal="center"/>
      <protection hidden="1"/>
    </xf>
    <xf numFmtId="4" fontId="5" fillId="11" borderId="0" xfId="0" applyNumberFormat="1" applyFont="1" applyFill="1" applyProtection="1">
      <protection hidden="1"/>
    </xf>
    <xf numFmtId="173" fontId="5" fillId="0" borderId="0" xfId="13" applyFont="1" applyFill="1" applyBorder="1" applyProtection="1">
      <protection hidden="1"/>
    </xf>
    <xf numFmtId="0" fontId="3" fillId="22" borderId="0" xfId="0" applyFont="1" applyFill="1" applyProtection="1">
      <protection hidden="1"/>
    </xf>
    <xf numFmtId="0" fontId="5" fillId="22" borderId="0" xfId="0" applyFont="1" applyFill="1" applyProtection="1">
      <protection hidden="1"/>
    </xf>
    <xf numFmtId="172" fontId="23" fillId="0" borderId="5" xfId="6" applyNumberFormat="1" applyFont="1" applyBorder="1" applyAlignment="1" applyProtection="1">
      <alignment horizontal="center"/>
      <protection hidden="1"/>
    </xf>
    <xf numFmtId="172" fontId="23" fillId="0" borderId="33" xfId="6" applyNumberFormat="1" applyFont="1" applyBorder="1" applyAlignment="1" applyProtection="1">
      <alignment horizontal="center"/>
      <protection hidden="1"/>
    </xf>
    <xf numFmtId="0" fontId="3" fillId="0" borderId="15" xfId="0" applyFont="1" applyBorder="1" applyProtection="1">
      <protection hidden="1"/>
    </xf>
    <xf numFmtId="0" fontId="6" fillId="12" borderId="4" xfId="0" applyFont="1" applyFill="1" applyBorder="1" applyAlignment="1" applyProtection="1">
      <alignment horizontal="center" vertical="center"/>
      <protection locked="0" hidden="1"/>
    </xf>
    <xf numFmtId="0" fontId="5" fillId="0" borderId="4" xfId="0" applyFont="1" applyBorder="1" applyAlignment="1" applyProtection="1">
      <alignment horizontal="center"/>
      <protection hidden="1"/>
    </xf>
    <xf numFmtId="0" fontId="3" fillId="22" borderId="4" xfId="0" applyFont="1" applyFill="1" applyBorder="1" applyProtection="1">
      <protection hidden="1"/>
    </xf>
    <xf numFmtId="0" fontId="5" fillId="22" borderId="4" xfId="0" applyFont="1" applyFill="1" applyBorder="1" applyProtection="1">
      <protection hidden="1"/>
    </xf>
    <xf numFmtId="173" fontId="5" fillId="0" borderId="4" xfId="13" applyFont="1" applyFill="1" applyBorder="1" applyProtection="1">
      <protection hidden="1"/>
    </xf>
    <xf numFmtId="10" fontId="3" fillId="0" borderId="5" xfId="6" applyNumberFormat="1" applyFont="1" applyBorder="1" applyProtection="1">
      <protection hidden="1"/>
    </xf>
    <xf numFmtId="0" fontId="21" fillId="0" borderId="0" xfId="0" applyFont="1" applyProtection="1">
      <protection hidden="1"/>
    </xf>
    <xf numFmtId="4" fontId="0" fillId="0" borderId="0" xfId="0" applyNumberFormat="1" applyAlignment="1">
      <alignment horizontal="center"/>
    </xf>
    <xf numFmtId="10" fontId="3" fillId="0" borderId="0" xfId="6" applyNumberFormat="1" applyFont="1" applyBorder="1" applyProtection="1">
      <protection hidden="1"/>
    </xf>
    <xf numFmtId="10" fontId="3" fillId="0" borderId="0" xfId="6" applyNumberFormat="1" applyFont="1" applyFill="1" applyBorder="1"/>
    <xf numFmtId="10" fontId="0" fillId="0" borderId="0" xfId="6" applyNumberFormat="1" applyFont="1"/>
    <xf numFmtId="42" fontId="21" fillId="0" borderId="0" xfId="0" applyNumberFormat="1" applyFont="1"/>
    <xf numFmtId="43" fontId="21" fillId="0" borderId="0" xfId="0" applyNumberFormat="1" applyFont="1"/>
    <xf numFmtId="0" fontId="5" fillId="0" borderId="0" xfId="0" applyFont="1" applyAlignment="1">
      <alignment horizontal="center"/>
    </xf>
    <xf numFmtId="3" fontId="21" fillId="0" borderId="0" xfId="0" applyNumberFormat="1" applyFont="1"/>
    <xf numFmtId="0" fontId="53" fillId="0" borderId="0" xfId="0" applyFont="1"/>
    <xf numFmtId="0" fontId="41" fillId="0" borderId="0" xfId="0" applyFont="1"/>
    <xf numFmtId="10" fontId="48" fillId="13" borderId="0" xfId="0" applyNumberFormat="1" applyFont="1" applyFill="1"/>
    <xf numFmtId="0" fontId="5" fillId="0" borderId="0" xfId="1" applyFont="1" applyAlignment="1">
      <alignment horizontal="center"/>
    </xf>
    <xf numFmtId="10" fontId="23" fillId="0" borderId="0" xfId="6" applyNumberFormat="1" applyFont="1" applyFill="1" applyBorder="1"/>
    <xf numFmtId="0" fontId="8" fillId="0" borderId="0" xfId="1" applyFont="1" applyAlignment="1">
      <alignment horizontal="center"/>
    </xf>
    <xf numFmtId="0" fontId="5" fillId="20" borderId="0" xfId="1" applyFont="1" applyFill="1" applyAlignment="1">
      <alignment horizontal="center"/>
    </xf>
    <xf numFmtId="0" fontId="3" fillId="0" borderId="15" xfId="0" applyFont="1" applyBorder="1" applyAlignment="1" applyProtection="1">
      <alignment horizontal="center"/>
      <protection hidden="1"/>
    </xf>
    <xf numFmtId="0" fontId="3" fillId="0" borderId="11" xfId="0" applyFont="1" applyBorder="1" applyAlignment="1" applyProtection="1">
      <alignment horizontal="center"/>
      <protection hidden="1"/>
    </xf>
    <xf numFmtId="0" fontId="48" fillId="0" borderId="0" xfId="0" applyFont="1"/>
    <xf numFmtId="3" fontId="34" fillId="16" borderId="0" xfId="0" applyNumberFormat="1" applyFont="1" applyFill="1"/>
    <xf numFmtId="0" fontId="34" fillId="51" borderId="0" xfId="0" applyFont="1" applyFill="1"/>
    <xf numFmtId="0" fontId="5" fillId="51" borderId="0" xfId="0" applyFont="1" applyFill="1" applyAlignment="1" applyProtection="1">
      <alignment horizontal="center" vertical="center" wrapText="1"/>
      <protection hidden="1"/>
    </xf>
    <xf numFmtId="0" fontId="16" fillId="51" borderId="0" xfId="0" applyFont="1" applyFill="1" applyAlignment="1" applyProtection="1">
      <alignment horizontal="center" vertical="center" wrapText="1"/>
      <protection hidden="1"/>
    </xf>
    <xf numFmtId="4" fontId="54" fillId="0" borderId="0" xfId="0" applyNumberFormat="1" applyFont="1" applyAlignment="1">
      <alignment horizontal="center"/>
    </xf>
    <xf numFmtId="4" fontId="35" fillId="0" borderId="0" xfId="0" applyNumberFormat="1" applyFont="1"/>
    <xf numFmtId="42" fontId="35" fillId="0" borderId="3" xfId="0" applyNumberFormat="1" applyFont="1" applyBorder="1"/>
    <xf numFmtId="4" fontId="3" fillId="0" borderId="0" xfId="0" applyNumberFormat="1" applyFont="1" applyAlignment="1" applyProtection="1">
      <alignment horizontal="left"/>
      <protection hidden="1"/>
    </xf>
    <xf numFmtId="164" fontId="0" fillId="0" borderId="4" xfId="5" applyNumberFormat="1" applyFont="1" applyBorder="1"/>
    <xf numFmtId="164" fontId="0" fillId="0" borderId="8" xfId="5" applyNumberFormat="1" applyFont="1" applyBorder="1"/>
    <xf numFmtId="10" fontId="0" fillId="0" borderId="0" xfId="6" applyNumberFormat="1" applyFont="1" applyFill="1" applyBorder="1" applyAlignment="1">
      <alignment horizontal="center"/>
    </xf>
    <xf numFmtId="0" fontId="23" fillId="0" borderId="0" xfId="1" applyFont="1" applyAlignment="1">
      <alignment vertical="center"/>
    </xf>
    <xf numFmtId="0" fontId="3" fillId="0" borderId="33" xfId="0" applyFont="1" applyBorder="1" applyAlignment="1" applyProtection="1">
      <alignment horizontal="center"/>
      <protection hidden="1"/>
    </xf>
    <xf numFmtId="164" fontId="0" fillId="51" borderId="4" xfId="5" applyNumberFormat="1" applyFont="1" applyFill="1" applyBorder="1"/>
    <xf numFmtId="166" fontId="0" fillId="0" borderId="0" xfId="0" applyNumberFormat="1" applyAlignment="1">
      <alignment horizontal="center"/>
    </xf>
    <xf numFmtId="2" fontId="0" fillId="0" borderId="0" xfId="0" applyNumberFormat="1"/>
    <xf numFmtId="0" fontId="3" fillId="51" borderId="1" xfId="0" applyFont="1" applyFill="1" applyBorder="1" applyAlignment="1" applyProtection="1">
      <alignment horizontal="center" vertical="center"/>
      <protection hidden="1"/>
    </xf>
    <xf numFmtId="0" fontId="3" fillId="51" borderId="10" xfId="0" applyFont="1" applyFill="1" applyBorder="1" applyAlignment="1" applyProtection="1">
      <alignment horizontal="center" vertical="center"/>
      <protection hidden="1"/>
    </xf>
    <xf numFmtId="0" fontId="5" fillId="51" borderId="5" xfId="0" applyFont="1" applyFill="1" applyBorder="1" applyAlignment="1" applyProtection="1">
      <alignment horizontal="left"/>
      <protection hidden="1"/>
    </xf>
    <xf numFmtId="0" fontId="11" fillId="51" borderId="5" xfId="0" applyFont="1" applyFill="1" applyBorder="1" applyAlignment="1" applyProtection="1">
      <alignment horizontal="center"/>
      <protection hidden="1"/>
    </xf>
    <xf numFmtId="0" fontId="0" fillId="54" borderId="0" xfId="0" applyFill="1"/>
    <xf numFmtId="0" fontId="5" fillId="42" borderId="0" xfId="0" applyFont="1" applyFill="1" applyAlignment="1" applyProtection="1">
      <alignment horizontal="center" vertical="center" wrapText="1"/>
      <protection hidden="1"/>
    </xf>
    <xf numFmtId="10" fontId="3" fillId="0" borderId="0" xfId="6" applyNumberFormat="1" applyFont="1"/>
    <xf numFmtId="10" fontId="3" fillId="0" borderId="33" xfId="6" applyNumberFormat="1" applyFont="1" applyBorder="1" applyProtection="1">
      <protection hidden="1"/>
    </xf>
    <xf numFmtId="10" fontId="0" fillId="13" borderId="0" xfId="0" applyNumberFormat="1" applyFill="1"/>
    <xf numFmtId="0" fontId="17" fillId="26" borderId="0" xfId="1" applyFont="1" applyFill="1"/>
    <xf numFmtId="0" fontId="5" fillId="44" borderId="0" xfId="1" applyFont="1" applyFill="1" applyAlignment="1">
      <alignment horizontal="center" wrapText="1"/>
    </xf>
    <xf numFmtId="0" fontId="5" fillId="58" borderId="3" xfId="0" applyFont="1" applyFill="1" applyBorder="1"/>
    <xf numFmtId="164" fontId="52" fillId="44" borderId="1" xfId="3" applyNumberFormat="1" applyFont="1" applyFill="1" applyBorder="1" applyAlignment="1">
      <alignment horizontal="center"/>
    </xf>
    <xf numFmtId="0" fontId="52" fillId="44" borderId="10" xfId="1" applyFont="1" applyFill="1" applyBorder="1" applyAlignment="1">
      <alignment horizontal="center"/>
    </xf>
    <xf numFmtId="0" fontId="52" fillId="29" borderId="1" xfId="1" applyFont="1" applyFill="1" applyBorder="1"/>
    <xf numFmtId="0" fontId="52" fillId="29" borderId="9" xfId="1" applyFont="1" applyFill="1" applyBorder="1"/>
    <xf numFmtId="0" fontId="5" fillId="0" borderId="3" xfId="1" applyFont="1" applyBorder="1" applyAlignment="1">
      <alignment horizontal="center"/>
    </xf>
    <xf numFmtId="42" fontId="21" fillId="0" borderId="10" xfId="0" applyNumberFormat="1" applyFont="1" applyBorder="1"/>
    <xf numFmtId="42" fontId="32" fillId="0" borderId="3" xfId="0" applyNumberFormat="1" applyFont="1" applyBorder="1"/>
    <xf numFmtId="0" fontId="5" fillId="28" borderId="26" xfId="9" applyFont="1" applyFill="1" applyBorder="1" applyAlignment="1">
      <alignment horizontal="center"/>
    </xf>
    <xf numFmtId="43" fontId="21" fillId="15" borderId="3" xfId="0" applyNumberFormat="1" applyFont="1" applyFill="1" applyBorder="1"/>
    <xf numFmtId="10" fontId="0" fillId="0" borderId="5" xfId="6" applyNumberFormat="1" applyFont="1" applyBorder="1"/>
    <xf numFmtId="0" fontId="23" fillId="0" borderId="0" xfId="1" applyFont="1" applyAlignment="1">
      <alignment horizontal="right" vertical="center"/>
    </xf>
    <xf numFmtId="0" fontId="5" fillId="28" borderId="0" xfId="1" applyFont="1" applyFill="1" applyAlignment="1">
      <alignment horizontal="center" wrapText="1"/>
    </xf>
    <xf numFmtId="0" fontId="4" fillId="61" borderId="0" xfId="1" applyFont="1" applyFill="1" applyAlignment="1">
      <alignment horizontal="center" wrapText="1"/>
    </xf>
    <xf numFmtId="0" fontId="0" fillId="64" borderId="0" xfId="0" applyFill="1"/>
    <xf numFmtId="0" fontId="34" fillId="0" borderId="0" xfId="0" applyFont="1"/>
    <xf numFmtId="10" fontId="38" fillId="0" borderId="0" xfId="6" applyNumberFormat="1" applyFont="1" applyFill="1" applyBorder="1" applyAlignment="1">
      <alignment horizontal="center"/>
    </xf>
    <xf numFmtId="43" fontId="0" fillId="0" borderId="0" xfId="5" applyFont="1" applyFill="1" applyBorder="1"/>
    <xf numFmtId="0" fontId="4" fillId="0" borderId="0" xfId="1" applyFont="1" applyAlignment="1" applyProtection="1">
      <alignment horizontal="center" vertical="center" wrapText="1"/>
      <protection hidden="1"/>
    </xf>
    <xf numFmtId="0" fontId="18" fillId="0" borderId="0" xfId="1" applyFont="1" applyAlignment="1" applyProtection="1">
      <alignment horizontal="center" vertical="center" wrapText="1"/>
      <protection hidden="1"/>
    </xf>
    <xf numFmtId="0" fontId="16" fillId="0" borderId="0" xfId="0" applyFont="1" applyAlignment="1" applyProtection="1">
      <alignment horizontal="center" vertical="center" wrapText="1"/>
      <protection hidden="1"/>
    </xf>
    <xf numFmtId="0" fontId="44" fillId="0" borderId="0" xfId="0" applyFont="1"/>
    <xf numFmtId="164" fontId="3" fillId="0" borderId="0" xfId="5" applyNumberFormat="1" applyFont="1" applyFill="1" applyBorder="1" applyProtection="1">
      <protection hidden="1"/>
    </xf>
    <xf numFmtId="0" fontId="61" fillId="25" borderId="3" xfId="1" applyFont="1" applyFill="1" applyBorder="1" applyAlignment="1" applyProtection="1">
      <alignment horizontal="center" vertical="center" wrapText="1"/>
      <protection hidden="1"/>
    </xf>
    <xf numFmtId="0" fontId="0" fillId="47" borderId="0" xfId="0" applyFill="1" applyAlignment="1">
      <alignment horizontal="center"/>
    </xf>
    <xf numFmtId="10" fontId="0" fillId="0" borderId="3" xfId="6" applyNumberFormat="1" applyFont="1" applyBorder="1" applyAlignment="1">
      <alignment horizontal="center"/>
    </xf>
    <xf numFmtId="10" fontId="0" fillId="0" borderId="3" xfId="0" applyNumberFormat="1" applyBorder="1" applyAlignment="1">
      <alignment horizontal="center"/>
    </xf>
    <xf numFmtId="10" fontId="0" fillId="0" borderId="0" xfId="6" applyNumberFormat="1" applyFont="1" applyFill="1" applyAlignment="1">
      <alignment horizontal="center"/>
    </xf>
    <xf numFmtId="4" fontId="0" fillId="13" borderId="0" xfId="0" applyNumberFormat="1" applyFill="1" applyAlignment="1">
      <alignment horizontal="center"/>
    </xf>
    <xf numFmtId="4" fontId="35" fillId="0" borderId="85" xfId="0" applyNumberFormat="1" applyFont="1" applyBorder="1"/>
    <xf numFmtId="0" fontId="17" fillId="65" borderId="0" xfId="0" applyFont="1" applyFill="1" applyAlignment="1">
      <alignment horizontal="center" wrapText="1"/>
    </xf>
    <xf numFmtId="0" fontId="64" fillId="0" borderId="0" xfId="0" applyFont="1"/>
    <xf numFmtId="0" fontId="0" fillId="10" borderId="0" xfId="0" applyFill="1"/>
    <xf numFmtId="0" fontId="36" fillId="10" borderId="25" xfId="0" applyFont="1" applyFill="1" applyBorder="1"/>
    <xf numFmtId="0" fontId="4" fillId="10" borderId="3" xfId="1" applyFont="1" applyFill="1" applyBorder="1" applyAlignment="1" applyProtection="1">
      <alignment horizontal="center" vertical="center" wrapText="1"/>
      <protection hidden="1"/>
    </xf>
    <xf numFmtId="0" fontId="0" fillId="10" borderId="25" xfId="0" applyFill="1" applyBorder="1"/>
    <xf numFmtId="0" fontId="34" fillId="10" borderId="0" xfId="0" applyFont="1" applyFill="1"/>
    <xf numFmtId="3" fontId="4" fillId="68" borderId="0" xfId="0" applyNumberFormat="1" applyFont="1" applyFill="1" applyProtection="1">
      <protection hidden="1"/>
    </xf>
    <xf numFmtId="10" fontId="5" fillId="0" borderId="3" xfId="0" applyNumberFormat="1" applyFont="1" applyBorder="1" applyAlignment="1" applyProtection="1">
      <alignment horizontal="center"/>
      <protection locked="0" hidden="1"/>
    </xf>
    <xf numFmtId="174" fontId="5" fillId="0" borderId="3" xfId="0" applyNumberFormat="1" applyFont="1" applyBorder="1" applyProtection="1">
      <protection locked="0" hidden="1"/>
    </xf>
    <xf numFmtId="10" fontId="0" fillId="0" borderId="3" xfId="0" applyNumberFormat="1" applyBorder="1" applyAlignment="1" applyProtection="1">
      <alignment horizontal="center"/>
      <protection locked="0" hidden="1"/>
    </xf>
    <xf numFmtId="0" fontId="6" fillId="0" borderId="30" xfId="0" applyFont="1" applyBorder="1" applyAlignment="1" applyProtection="1">
      <alignment horizontal="center"/>
      <protection hidden="1"/>
    </xf>
    <xf numFmtId="0" fontId="6" fillId="0" borderId="15" xfId="0" applyFont="1" applyBorder="1" applyAlignment="1" applyProtection="1">
      <alignment horizontal="center"/>
      <protection hidden="1"/>
    </xf>
    <xf numFmtId="0" fontId="0" fillId="0" borderId="4" xfId="0" applyBorder="1" applyAlignment="1" applyProtection="1">
      <alignment horizontal="center"/>
      <protection hidden="1"/>
    </xf>
    <xf numFmtId="180" fontId="20" fillId="0" borderId="0" xfId="14" applyNumberFormat="1" applyBorder="1" applyProtection="1">
      <protection hidden="1"/>
    </xf>
    <xf numFmtId="180" fontId="20" fillId="0" borderId="5" xfId="14" applyNumberFormat="1" applyBorder="1" applyProtection="1">
      <protection hidden="1"/>
    </xf>
    <xf numFmtId="0" fontId="0" fillId="0" borderId="8" xfId="0" applyBorder="1" applyAlignment="1" applyProtection="1">
      <alignment horizontal="center"/>
      <protection hidden="1"/>
    </xf>
    <xf numFmtId="180" fontId="20" fillId="0" borderId="2" xfId="14" applyNumberFormat="1" applyBorder="1" applyProtection="1">
      <protection hidden="1"/>
    </xf>
    <xf numFmtId="180" fontId="20" fillId="0" borderId="33" xfId="14" applyNumberFormat="1" applyBorder="1" applyProtection="1">
      <protection hidden="1"/>
    </xf>
    <xf numFmtId="0" fontId="0" fillId="20" borderId="0" xfId="0" applyFill="1"/>
    <xf numFmtId="0" fontId="4" fillId="70" borderId="3" xfId="1" applyFont="1" applyFill="1" applyBorder="1" applyAlignment="1" applyProtection="1">
      <alignment horizontal="center" vertical="center" wrapText="1"/>
      <protection hidden="1"/>
    </xf>
    <xf numFmtId="0" fontId="18" fillId="70" borderId="3" xfId="1" applyFont="1" applyFill="1" applyBorder="1" applyAlignment="1" applyProtection="1">
      <alignment horizontal="center" vertical="center" wrapText="1"/>
      <protection hidden="1"/>
    </xf>
    <xf numFmtId="0" fontId="16" fillId="70" borderId="0" xfId="0" applyFont="1" applyFill="1" applyAlignment="1" applyProtection="1">
      <alignment horizontal="center" vertical="center" wrapText="1"/>
      <protection hidden="1"/>
    </xf>
    <xf numFmtId="0" fontId="0" fillId="70" borderId="0" xfId="0" applyFill="1"/>
    <xf numFmtId="0" fontId="18" fillId="25" borderId="3" xfId="1" applyFont="1" applyFill="1" applyBorder="1" applyAlignment="1" applyProtection="1">
      <alignment horizontal="center" vertical="center" wrapText="1"/>
      <protection hidden="1"/>
    </xf>
    <xf numFmtId="10" fontId="0" fillId="0" borderId="0" xfId="0" applyNumberFormat="1" applyAlignment="1">
      <alignment horizontal="center"/>
    </xf>
    <xf numFmtId="0" fontId="34" fillId="20" borderId="0" xfId="0" applyFont="1" applyFill="1"/>
    <xf numFmtId="0" fontId="4" fillId="20" borderId="3" xfId="1" applyFont="1" applyFill="1" applyBorder="1" applyAlignment="1" applyProtection="1">
      <alignment horizontal="center" vertical="center" wrapText="1"/>
      <protection hidden="1"/>
    </xf>
    <xf numFmtId="0" fontId="18" fillId="20" borderId="3" xfId="1" applyFont="1" applyFill="1" applyBorder="1" applyAlignment="1" applyProtection="1">
      <alignment horizontal="center" vertical="center" wrapText="1"/>
      <protection hidden="1"/>
    </xf>
    <xf numFmtId="0" fontId="4" fillId="69" borderId="3" xfId="1" applyFont="1" applyFill="1" applyBorder="1" applyAlignment="1" applyProtection="1">
      <alignment horizontal="center" vertical="center" wrapText="1"/>
      <protection hidden="1"/>
    </xf>
    <xf numFmtId="0" fontId="18" fillId="69" borderId="3" xfId="1" applyFont="1" applyFill="1" applyBorder="1" applyAlignment="1" applyProtection="1">
      <alignment horizontal="center" vertical="center" wrapText="1"/>
      <protection hidden="1"/>
    </xf>
    <xf numFmtId="183" fontId="21" fillId="0" borderId="0" xfId="0" applyNumberFormat="1" applyFont="1"/>
    <xf numFmtId="0" fontId="5" fillId="5" borderId="0" xfId="1" applyFont="1" applyFill="1" applyAlignment="1">
      <alignment horizontal="center" vertical="center"/>
    </xf>
    <xf numFmtId="0" fontId="39" fillId="0" borderId="0" xfId="1" applyFont="1"/>
    <xf numFmtId="8" fontId="21" fillId="0" borderId="0" xfId="5" applyNumberFormat="1" applyFont="1"/>
    <xf numFmtId="43" fontId="21" fillId="0" borderId="0" xfId="5" applyFont="1" applyAlignment="1">
      <alignment horizontal="right"/>
    </xf>
    <xf numFmtId="0" fontId="5" fillId="0" borderId="0" xfId="9" applyFont="1"/>
    <xf numFmtId="1" fontId="5" fillId="0" borderId="0" xfId="0" applyNumberFormat="1" applyFont="1"/>
    <xf numFmtId="0" fontId="46" fillId="0" borderId="0" xfId="0" applyFont="1" applyAlignment="1">
      <alignment horizontal="center"/>
    </xf>
    <xf numFmtId="0" fontId="14" fillId="42" borderId="4" xfId="0" applyFont="1" applyFill="1" applyBorder="1" applyProtection="1">
      <protection locked="0"/>
    </xf>
    <xf numFmtId="0" fontId="5" fillId="53" borderId="0" xfId="0" applyFont="1" applyFill="1" applyAlignment="1">
      <alignment horizontal="center" wrapText="1"/>
    </xf>
    <xf numFmtId="181" fontId="5" fillId="0" borderId="0" xfId="1" applyNumberFormat="1" applyFont="1"/>
    <xf numFmtId="0" fontId="5" fillId="28" borderId="90" xfId="9" applyFont="1" applyFill="1" applyBorder="1" applyAlignment="1">
      <alignment horizontal="center"/>
    </xf>
    <xf numFmtId="0" fontId="5" fillId="28" borderId="84" xfId="9" applyFont="1" applyFill="1" applyBorder="1" applyAlignment="1">
      <alignment horizontal="centerContinuous"/>
    </xf>
    <xf numFmtId="0" fontId="5" fillId="28" borderId="3" xfId="9" applyFont="1" applyFill="1" applyBorder="1" applyAlignment="1">
      <alignment horizontal="centerContinuous"/>
    </xf>
    <xf numFmtId="44" fontId="21" fillId="0" borderId="3" xfId="0" applyNumberFormat="1" applyFont="1" applyBorder="1"/>
    <xf numFmtId="43" fontId="21" fillId="0" borderId="3" xfId="0" applyNumberFormat="1" applyFont="1" applyBorder="1"/>
    <xf numFmtId="10" fontId="5" fillId="0" borderId="0" xfId="1" applyNumberFormat="1" applyFont="1"/>
    <xf numFmtId="0" fontId="52" fillId="29" borderId="10" xfId="1" applyFont="1" applyFill="1" applyBorder="1"/>
    <xf numFmtId="0" fontId="57" fillId="33" borderId="0" xfId="1" applyFont="1" applyFill="1" applyAlignment="1">
      <alignment horizontal="center" wrapText="1"/>
    </xf>
    <xf numFmtId="0" fontId="5" fillId="60" borderId="0" xfId="1" applyFont="1" applyFill="1" applyAlignment="1">
      <alignment horizontal="center" wrapText="1"/>
    </xf>
    <xf numFmtId="0" fontId="0" fillId="13" borderId="0" xfId="0" applyFill="1"/>
    <xf numFmtId="10" fontId="48" fillId="0" borderId="0" xfId="0" applyNumberFormat="1" applyFont="1"/>
    <xf numFmtId="0" fontId="25" fillId="16" borderId="0" xfId="0" applyFont="1" applyFill="1"/>
    <xf numFmtId="164" fontId="5" fillId="24" borderId="87" xfId="5" applyNumberFormat="1" applyFont="1" applyFill="1" applyBorder="1"/>
    <xf numFmtId="0" fontId="4" fillId="2" borderId="3" xfId="1" applyFont="1" applyFill="1" applyBorder="1" applyAlignment="1" applyProtection="1">
      <alignment horizontal="center" vertical="center"/>
      <protection hidden="1"/>
    </xf>
    <xf numFmtId="3" fontId="0" fillId="39" borderId="0" xfId="0" applyNumberFormat="1" applyFill="1" applyAlignment="1">
      <alignment horizontal="center"/>
    </xf>
    <xf numFmtId="4" fontId="0" fillId="39" borderId="0" xfId="0" applyNumberFormat="1" applyFill="1"/>
    <xf numFmtId="10" fontId="3" fillId="0" borderId="0" xfId="6" applyNumberFormat="1" applyFont="1" applyFill="1" applyBorder="1" applyAlignment="1"/>
    <xf numFmtId="0" fontId="5" fillId="32" borderId="26" xfId="9" applyFont="1" applyFill="1" applyBorder="1" applyAlignment="1">
      <alignment horizontal="center"/>
    </xf>
    <xf numFmtId="0" fontId="5" fillId="32" borderId="90" xfId="9" applyFont="1" applyFill="1" applyBorder="1" applyAlignment="1">
      <alignment horizontal="center"/>
    </xf>
    <xf numFmtId="1" fontId="3" fillId="0" borderId="3" xfId="0" applyNumberFormat="1" applyFont="1" applyBorder="1" applyAlignment="1" applyProtection="1">
      <alignment horizontal="center"/>
      <protection hidden="1"/>
    </xf>
    <xf numFmtId="1" fontId="4" fillId="31" borderId="5" xfId="5" applyNumberFormat="1" applyFont="1" applyFill="1" applyBorder="1" applyAlignment="1" applyProtection="1">
      <alignment horizontal="center"/>
      <protection locked="0"/>
    </xf>
    <xf numFmtId="0" fontId="5" fillId="0" borderId="30" xfId="0" applyFont="1" applyBorder="1" applyAlignment="1">
      <alignment horizontal="center"/>
    </xf>
    <xf numFmtId="0" fontId="5" fillId="0" borderId="15" xfId="0" applyFont="1" applyBorder="1" applyAlignment="1">
      <alignment horizontal="center"/>
    </xf>
    <xf numFmtId="0" fontId="5" fillId="0" borderId="11" xfId="0" applyFont="1" applyBorder="1" applyAlignment="1">
      <alignment horizontal="center"/>
    </xf>
    <xf numFmtId="0" fontId="4" fillId="64" borderId="0" xfId="0" applyFont="1" applyFill="1" applyProtection="1">
      <protection hidden="1"/>
    </xf>
    <xf numFmtId="0" fontId="4" fillId="64" borderId="3" xfId="0" applyFont="1" applyFill="1" applyBorder="1" applyAlignment="1" applyProtection="1">
      <alignment horizontal="center"/>
      <protection hidden="1"/>
    </xf>
    <xf numFmtId="3" fontId="0" fillId="0" borderId="30" xfId="0" applyNumberFormat="1" applyBorder="1" applyAlignment="1">
      <alignment horizontal="center"/>
    </xf>
    <xf numFmtId="3" fontId="0" fillId="0" borderId="15" xfId="0" applyNumberFormat="1" applyBorder="1" applyAlignment="1">
      <alignment horizontal="center"/>
    </xf>
    <xf numFmtId="3" fontId="0" fillId="0" borderId="4" xfId="0" applyNumberFormat="1" applyBorder="1" applyAlignment="1">
      <alignment horizontal="center"/>
    </xf>
    <xf numFmtId="3" fontId="0" fillId="16" borderId="4" xfId="0" applyNumberFormat="1" applyFill="1" applyBorder="1" applyAlignment="1">
      <alignment horizontal="center"/>
    </xf>
    <xf numFmtId="3" fontId="0" fillId="0" borderId="8" xfId="0" applyNumberFormat="1" applyBorder="1" applyAlignment="1">
      <alignment horizontal="center"/>
    </xf>
    <xf numFmtId="3" fontId="0" fillId="0" borderId="2" xfId="0" applyNumberFormat="1" applyBorder="1" applyAlignment="1">
      <alignment horizontal="center"/>
    </xf>
    <xf numFmtId="164" fontId="0" fillId="0" borderId="0" xfId="5" applyNumberFormat="1" applyFont="1" applyBorder="1"/>
    <xf numFmtId="172" fontId="23" fillId="0" borderId="0" xfId="6" applyNumberFormat="1" applyFont="1" applyBorder="1" applyAlignment="1" applyProtection="1">
      <alignment horizontal="center"/>
      <protection hidden="1"/>
    </xf>
    <xf numFmtId="10" fontId="0" fillId="0" borderId="0" xfId="6" applyNumberFormat="1" applyFont="1" applyBorder="1"/>
    <xf numFmtId="0" fontId="3" fillId="74" borderId="0" xfId="0" applyFont="1" applyFill="1" applyProtection="1">
      <protection hidden="1"/>
    </xf>
    <xf numFmtId="4" fontId="0" fillId="74" borderId="0" xfId="0" applyNumberFormat="1" applyFill="1"/>
    <xf numFmtId="0" fontId="3" fillId="74" borderId="30" xfId="0" applyFont="1" applyFill="1" applyBorder="1" applyAlignment="1" applyProtection="1">
      <alignment horizontal="right"/>
      <protection hidden="1"/>
    </xf>
    <xf numFmtId="0" fontId="3" fillId="74" borderId="11" xfId="0" applyFont="1" applyFill="1" applyBorder="1" applyProtection="1">
      <protection hidden="1"/>
    </xf>
    <xf numFmtId="0" fontId="5" fillId="74" borderId="3" xfId="0" applyFont="1" applyFill="1" applyBorder="1" applyAlignment="1" applyProtection="1">
      <alignment horizontal="center" vertical="center" wrapText="1"/>
      <protection hidden="1"/>
    </xf>
    <xf numFmtId="0" fontId="5" fillId="30" borderId="3" xfId="0" applyFont="1" applyFill="1" applyBorder="1" applyAlignment="1" applyProtection="1">
      <alignment horizontal="center" vertical="center" wrapText="1"/>
      <protection hidden="1"/>
    </xf>
    <xf numFmtId="0" fontId="59" fillId="70" borderId="30" xfId="0" applyFont="1" applyFill="1" applyBorder="1"/>
    <xf numFmtId="0" fontId="55" fillId="70" borderId="15" xfId="0" applyFont="1" applyFill="1" applyBorder="1"/>
    <xf numFmtId="0" fontId="0" fillId="0" borderId="15" xfId="0" applyBorder="1"/>
    <xf numFmtId="0" fontId="0" fillId="0" borderId="4" xfId="0" applyBorder="1"/>
    <xf numFmtId="0" fontId="34" fillId="70" borderId="0" xfId="0" applyFont="1" applyFill="1"/>
    <xf numFmtId="42" fontId="0" fillId="0" borderId="5" xfId="0" applyNumberFormat="1" applyBorder="1"/>
    <xf numFmtId="44" fontId="0" fillId="0" borderId="5" xfId="0" applyNumberFormat="1" applyBorder="1"/>
    <xf numFmtId="43" fontId="0" fillId="0" borderId="5" xfId="0" applyNumberFormat="1" applyBorder="1"/>
    <xf numFmtId="42" fontId="35" fillId="0" borderId="5" xfId="0" applyNumberFormat="1" applyFont="1" applyBorder="1"/>
    <xf numFmtId="0" fontId="0" fillId="13" borderId="5" xfId="0" applyFill="1" applyBorder="1"/>
    <xf numFmtId="0" fontId="0" fillId="0" borderId="8" xfId="0" applyBorder="1"/>
    <xf numFmtId="0" fontId="0" fillId="0" borderId="2" xfId="0" applyBorder="1"/>
    <xf numFmtId="0" fontId="0" fillId="0" borderId="33" xfId="0" applyBorder="1"/>
    <xf numFmtId="0" fontId="5" fillId="74" borderId="0" xfId="0" applyFont="1" applyFill="1" applyAlignment="1" applyProtection="1">
      <alignment horizontal="center" vertical="center" wrapText="1"/>
      <protection hidden="1"/>
    </xf>
    <xf numFmtId="0" fontId="3" fillId="0" borderId="9" xfId="0" applyFont="1" applyBorder="1" applyAlignment="1" applyProtection="1">
      <alignment horizontal="center"/>
      <protection hidden="1"/>
    </xf>
    <xf numFmtId="0" fontId="3" fillId="0" borderId="10" xfId="0" applyFont="1" applyBorder="1" applyAlignment="1" applyProtection="1">
      <alignment horizontal="center"/>
      <protection hidden="1"/>
    </xf>
    <xf numFmtId="4" fontId="0" fillId="0" borderId="5" xfId="0" applyNumberFormat="1" applyBorder="1" applyAlignment="1">
      <alignment horizontal="center"/>
    </xf>
    <xf numFmtId="4" fontId="35" fillId="0" borderId="5" xfId="0" applyNumberFormat="1" applyFont="1" applyBorder="1" applyAlignment="1">
      <alignment horizontal="center"/>
    </xf>
    <xf numFmtId="4" fontId="0" fillId="0" borderId="2" xfId="0" applyNumberFormat="1" applyBorder="1" applyAlignment="1">
      <alignment horizontal="center"/>
    </xf>
    <xf numFmtId="4" fontId="0" fillId="0" borderId="33" xfId="0" applyNumberFormat="1" applyBorder="1" applyAlignment="1">
      <alignment horizontal="center"/>
    </xf>
    <xf numFmtId="4" fontId="0" fillId="0" borderId="11" xfId="0" applyNumberFormat="1" applyBorder="1" applyAlignment="1">
      <alignment horizontal="center"/>
    </xf>
    <xf numFmtId="3" fontId="35" fillId="0" borderId="0" xfId="0" applyNumberFormat="1" applyFont="1" applyAlignment="1">
      <alignment horizontal="center"/>
    </xf>
    <xf numFmtId="4" fontId="35" fillId="0" borderId="0" xfId="0" applyNumberFormat="1" applyFont="1" applyAlignment="1">
      <alignment horizontal="center"/>
    </xf>
    <xf numFmtId="0" fontId="4" fillId="51" borderId="1" xfId="1" applyFont="1" applyFill="1" applyBorder="1" applyAlignment="1" applyProtection="1">
      <alignment horizontal="center" vertical="center" wrapText="1"/>
      <protection hidden="1"/>
    </xf>
    <xf numFmtId="0" fontId="18" fillId="51" borderId="1" xfId="1" applyFont="1" applyFill="1" applyBorder="1" applyAlignment="1" applyProtection="1">
      <alignment horizontal="center" vertical="center" wrapText="1"/>
      <protection hidden="1"/>
    </xf>
    <xf numFmtId="4" fontId="0" fillId="0" borderId="5" xfId="0" applyNumberFormat="1" applyBorder="1"/>
    <xf numFmtId="1" fontId="0" fillId="0" borderId="11" xfId="0" applyNumberFormat="1" applyBorder="1" applyAlignment="1">
      <alignment horizontal="center"/>
    </xf>
    <xf numFmtId="0" fontId="3" fillId="0" borderId="4" xfId="0" applyFont="1" applyBorder="1" applyAlignment="1" applyProtection="1">
      <alignment horizontal="center"/>
      <protection hidden="1"/>
    </xf>
    <xf numFmtId="0" fontId="3" fillId="0" borderId="5" xfId="0" applyFont="1" applyBorder="1" applyAlignment="1" applyProtection="1">
      <alignment horizontal="center"/>
      <protection hidden="1"/>
    </xf>
    <xf numFmtId="0" fontId="3" fillId="0" borderId="8" xfId="0" applyFont="1" applyBorder="1" applyAlignment="1" applyProtection="1">
      <alignment horizontal="center"/>
      <protection hidden="1"/>
    </xf>
    <xf numFmtId="4" fontId="54" fillId="0" borderId="5" xfId="0" applyNumberFormat="1" applyFont="1" applyBorder="1" applyAlignment="1">
      <alignment horizontal="center"/>
    </xf>
    <xf numFmtId="4" fontId="56" fillId="0" borderId="5" xfId="0" applyNumberFormat="1" applyFont="1" applyBorder="1" applyAlignment="1">
      <alignment horizontal="center"/>
    </xf>
    <xf numFmtId="4" fontId="54" fillId="0" borderId="33" xfId="0" applyNumberFormat="1" applyFont="1" applyBorder="1" applyAlignment="1">
      <alignment horizontal="center"/>
    </xf>
    <xf numFmtId="4" fontId="0" fillId="10" borderId="0" xfId="0" applyNumberFormat="1" applyFill="1"/>
    <xf numFmtId="4" fontId="0" fillId="10" borderId="5" xfId="0" applyNumberFormat="1" applyFill="1" applyBorder="1"/>
    <xf numFmtId="0" fontId="18" fillId="69" borderId="1" xfId="1" applyFont="1" applyFill="1" applyBorder="1" applyAlignment="1" applyProtection="1">
      <alignment horizontal="center" vertical="center" wrapText="1"/>
      <protection hidden="1"/>
    </xf>
    <xf numFmtId="0" fontId="15" fillId="51" borderId="30" xfId="0" applyFont="1" applyFill="1" applyBorder="1" applyAlignment="1" applyProtection="1">
      <alignment horizontal="right"/>
      <protection hidden="1"/>
    </xf>
    <xf numFmtId="0" fontId="15" fillId="51" borderId="11" xfId="0" applyFont="1" applyFill="1" applyBorder="1" applyProtection="1">
      <protection hidden="1"/>
    </xf>
    <xf numFmtId="0" fontId="3" fillId="22" borderId="30" xfId="0" applyFont="1" applyFill="1" applyBorder="1" applyProtection="1">
      <protection hidden="1"/>
    </xf>
    <xf numFmtId="0" fontId="3" fillId="22" borderId="15" xfId="0" applyFont="1" applyFill="1" applyBorder="1" applyProtection="1">
      <protection hidden="1"/>
    </xf>
    <xf numFmtId="0" fontId="4" fillId="2" borderId="11" xfId="0" applyFont="1" applyFill="1" applyBorder="1" applyAlignment="1" applyProtection="1">
      <alignment horizontal="center"/>
      <protection hidden="1"/>
    </xf>
    <xf numFmtId="173" fontId="5" fillId="0" borderId="8" xfId="13" applyFont="1" applyFill="1" applyBorder="1" applyProtection="1">
      <protection hidden="1"/>
    </xf>
    <xf numFmtId="173" fontId="5" fillId="0" borderId="2" xfId="13" applyFont="1" applyFill="1" applyBorder="1" applyProtection="1">
      <protection hidden="1"/>
    </xf>
    <xf numFmtId="4" fontId="5" fillId="11" borderId="2" xfId="0" applyNumberFormat="1" applyFont="1" applyFill="1" applyBorder="1" applyProtection="1">
      <protection hidden="1"/>
    </xf>
    <xf numFmtId="4" fontId="6" fillId="0" borderId="11" xfId="0" applyNumberFormat="1" applyFont="1" applyBorder="1" applyAlignment="1" applyProtection="1">
      <alignment horizontal="right"/>
      <protection hidden="1"/>
    </xf>
    <xf numFmtId="0" fontId="0" fillId="42" borderId="4" xfId="0" applyFill="1" applyBorder="1" applyAlignment="1" applyProtection="1">
      <alignment horizontal="center"/>
      <protection hidden="1"/>
    </xf>
    <xf numFmtId="180" fontId="20" fillId="42" borderId="0" xfId="14" applyNumberFormat="1" applyFill="1" applyBorder="1" applyProtection="1">
      <protection hidden="1"/>
    </xf>
    <xf numFmtId="0" fontId="4" fillId="10" borderId="0" xfId="0" applyFont="1" applyFill="1" applyProtection="1">
      <protection hidden="1"/>
    </xf>
    <xf numFmtId="0" fontId="4" fillId="10" borderId="0" xfId="0" applyFont="1" applyFill="1" applyAlignment="1" applyProtection="1">
      <alignment horizontal="center" vertical="center"/>
      <protection hidden="1"/>
    </xf>
    <xf numFmtId="0" fontId="4" fillId="51" borderId="0" xfId="0" applyFont="1" applyFill="1" applyProtection="1">
      <protection hidden="1"/>
    </xf>
    <xf numFmtId="0" fontId="4" fillId="51" borderId="3" xfId="0" applyFont="1" applyFill="1" applyBorder="1" applyAlignment="1" applyProtection="1">
      <alignment horizontal="center"/>
      <protection hidden="1"/>
    </xf>
    <xf numFmtId="0" fontId="5" fillId="44" borderId="0" xfId="0" applyFont="1" applyFill="1" applyProtection="1">
      <protection hidden="1"/>
    </xf>
    <xf numFmtId="0" fontId="0" fillId="44" borderId="4" xfId="0" applyFill="1" applyBorder="1" applyAlignment="1" applyProtection="1">
      <alignment horizontal="center"/>
      <protection hidden="1"/>
    </xf>
    <xf numFmtId="180" fontId="20" fillId="44" borderId="0" xfId="14" applyNumberFormat="1" applyFill="1" applyBorder="1" applyProtection="1">
      <protection hidden="1"/>
    </xf>
    <xf numFmtId="0" fontId="4" fillId="64" borderId="3" xfId="1" applyFont="1" applyFill="1" applyBorder="1" applyAlignment="1" applyProtection="1">
      <alignment horizontal="center" vertical="center" wrapText="1"/>
      <protection hidden="1"/>
    </xf>
    <xf numFmtId="0" fontId="18" fillId="64" borderId="3" xfId="1" applyFont="1" applyFill="1" applyBorder="1" applyAlignment="1" applyProtection="1">
      <alignment horizontal="center" vertical="center" wrapText="1"/>
      <protection hidden="1"/>
    </xf>
    <xf numFmtId="3" fontId="0" fillId="53" borderId="4" xfId="0" applyNumberFormat="1" applyFill="1" applyBorder="1" applyAlignment="1">
      <alignment horizontal="center"/>
    </xf>
    <xf numFmtId="1" fontId="0" fillId="0" borderId="11" xfId="0" applyNumberFormat="1" applyBorder="1"/>
    <xf numFmtId="4" fontId="0" fillId="0" borderId="1" xfId="0" applyNumberFormat="1" applyBorder="1" applyAlignment="1">
      <alignment horizontal="center"/>
    </xf>
    <xf numFmtId="4" fontId="0" fillId="0" borderId="9" xfId="0" applyNumberFormat="1" applyBorder="1" applyAlignment="1">
      <alignment horizontal="center"/>
    </xf>
    <xf numFmtId="0" fontId="16" fillId="64" borderId="0" xfId="0" applyFont="1" applyFill="1" applyAlignment="1" applyProtection="1">
      <alignment horizontal="center" vertical="center" wrapText="1"/>
      <protection hidden="1"/>
    </xf>
    <xf numFmtId="164" fontId="0" fillId="64" borderId="4" xfId="5" applyNumberFormat="1" applyFont="1" applyFill="1" applyBorder="1"/>
    <xf numFmtId="0" fontId="3" fillId="64" borderId="1" xfId="0" applyFont="1" applyFill="1" applyBorder="1" applyAlignment="1" applyProtection="1">
      <alignment horizontal="center" vertical="center"/>
      <protection hidden="1"/>
    </xf>
    <xf numFmtId="0" fontId="3" fillId="64" borderId="10" xfId="0" applyFont="1" applyFill="1" applyBorder="1" applyAlignment="1" applyProtection="1">
      <alignment horizontal="center" vertical="center"/>
      <protection hidden="1"/>
    </xf>
    <xf numFmtId="0" fontId="5" fillId="64" borderId="5" xfId="0" applyFont="1" applyFill="1" applyBorder="1" applyAlignment="1" applyProtection="1">
      <alignment horizontal="left"/>
      <protection hidden="1"/>
    </xf>
    <xf numFmtId="0" fontId="11" fillId="64" borderId="5" xfId="0" applyFont="1" applyFill="1" applyBorder="1" applyAlignment="1" applyProtection="1">
      <alignment horizontal="center"/>
      <protection hidden="1"/>
    </xf>
    <xf numFmtId="0" fontId="5" fillId="42" borderId="0" xfId="0" applyFont="1" applyFill="1" applyProtection="1">
      <protection hidden="1"/>
    </xf>
    <xf numFmtId="0" fontId="4" fillId="42" borderId="0" xfId="0" applyFont="1" applyFill="1" applyProtection="1">
      <protection hidden="1"/>
    </xf>
    <xf numFmtId="0" fontId="4" fillId="42" borderId="0" xfId="0" applyFont="1" applyFill="1" applyAlignment="1" applyProtection="1">
      <alignment horizontal="center" vertical="center"/>
      <protection hidden="1"/>
    </xf>
    <xf numFmtId="0" fontId="34" fillId="64" borderId="0" xfId="0" applyFont="1" applyFill="1"/>
    <xf numFmtId="164" fontId="0" fillId="79" borderId="4" xfId="5" applyNumberFormat="1" applyFont="1" applyFill="1" applyBorder="1"/>
    <xf numFmtId="0" fontId="3" fillId="79" borderId="1" xfId="0" applyFont="1" applyFill="1" applyBorder="1" applyAlignment="1" applyProtection="1">
      <alignment horizontal="center" vertical="center"/>
      <protection hidden="1"/>
    </xf>
    <xf numFmtId="0" fontId="3" fillId="79" borderId="10" xfId="0" applyFont="1" applyFill="1" applyBorder="1" applyAlignment="1" applyProtection="1">
      <alignment horizontal="center" vertical="center"/>
      <protection hidden="1"/>
    </xf>
    <xf numFmtId="0" fontId="5" fillId="79" borderId="5" xfId="0" applyFont="1" applyFill="1" applyBorder="1" applyAlignment="1" applyProtection="1">
      <alignment horizontal="left"/>
      <protection hidden="1"/>
    </xf>
    <xf numFmtId="0" fontId="11" fillId="79" borderId="5" xfId="0" applyFont="1" applyFill="1" applyBorder="1" applyAlignment="1" applyProtection="1">
      <alignment horizontal="center"/>
      <protection hidden="1"/>
    </xf>
    <xf numFmtId="4" fontId="0" fillId="42" borderId="0" xfId="0" applyNumberFormat="1" applyFill="1"/>
    <xf numFmtId="4" fontId="0" fillId="80" borderId="9" xfId="0" applyNumberFormat="1" applyFill="1" applyBorder="1" applyAlignment="1">
      <alignment horizontal="center"/>
    </xf>
    <xf numFmtId="4" fontId="0" fillId="42" borderId="9" xfId="0" applyNumberFormat="1" applyFill="1" applyBorder="1" applyAlignment="1">
      <alignment horizontal="center"/>
    </xf>
    <xf numFmtId="0" fontId="0" fillId="81" borderId="0" xfId="0" applyFill="1"/>
    <xf numFmtId="0" fontId="34" fillId="81" borderId="0" xfId="0" applyFont="1" applyFill="1"/>
    <xf numFmtId="0" fontId="4" fillId="81" borderId="3" xfId="1" applyFont="1" applyFill="1" applyBorder="1" applyAlignment="1" applyProtection="1">
      <alignment horizontal="center" vertical="center" wrapText="1"/>
      <protection hidden="1"/>
    </xf>
    <xf numFmtId="0" fontId="18" fillId="81" borderId="3" xfId="1" applyFont="1" applyFill="1" applyBorder="1" applyAlignment="1" applyProtection="1">
      <alignment horizontal="center" vertical="center" wrapText="1"/>
      <protection hidden="1"/>
    </xf>
    <xf numFmtId="0" fontId="16" fillId="81" borderId="0" xfId="0" applyFont="1" applyFill="1" applyAlignment="1" applyProtection="1">
      <alignment horizontal="center" vertical="center" wrapText="1"/>
      <protection hidden="1"/>
    </xf>
    <xf numFmtId="4" fontId="0" fillId="79" borderId="0" xfId="0" applyNumberFormat="1" applyFill="1"/>
    <xf numFmtId="0" fontId="4" fillId="81" borderId="0" xfId="0" applyFont="1" applyFill="1" applyProtection="1">
      <protection hidden="1"/>
    </xf>
    <xf numFmtId="0" fontId="4" fillId="81" borderId="3" xfId="0" applyFont="1" applyFill="1" applyBorder="1" applyAlignment="1" applyProtection="1">
      <alignment horizontal="center"/>
      <protection hidden="1"/>
    </xf>
    <xf numFmtId="0" fontId="4" fillId="81" borderId="0" xfId="0" applyFont="1" applyFill="1" applyAlignment="1" applyProtection="1">
      <alignment horizontal="center" vertical="center"/>
      <protection hidden="1"/>
    </xf>
    <xf numFmtId="0" fontId="5" fillId="79" borderId="0" xfId="0" applyFont="1" applyFill="1" applyProtection="1">
      <protection hidden="1"/>
    </xf>
    <xf numFmtId="8" fontId="0" fillId="0" borderId="0" xfId="0" applyNumberFormat="1"/>
    <xf numFmtId="10" fontId="38" fillId="39" borderId="0" xfId="6" applyNumberFormat="1" applyFont="1" applyFill="1" applyBorder="1" applyAlignment="1">
      <alignment horizontal="center"/>
    </xf>
    <xf numFmtId="43" fontId="3" fillId="0" borderId="0" xfId="5" applyFont="1" applyFill="1" applyBorder="1"/>
    <xf numFmtId="0" fontId="3" fillId="0" borderId="0" xfId="1"/>
    <xf numFmtId="9" fontId="67" fillId="0" borderId="0" xfId="0" applyNumberFormat="1" applyFont="1" applyAlignment="1">
      <alignment horizontal="center" vertical="center" wrapText="1"/>
    </xf>
    <xf numFmtId="43" fontId="3" fillId="0" borderId="0" xfId="1" applyNumberFormat="1"/>
    <xf numFmtId="0" fontId="22" fillId="82" borderId="3" xfId="0" applyFont="1" applyFill="1" applyBorder="1" applyAlignment="1">
      <alignment horizontal="center" wrapText="1"/>
    </xf>
    <xf numFmtId="0" fontId="4" fillId="23" borderId="10" xfId="1" applyFont="1" applyFill="1" applyBorder="1" applyAlignment="1" applyProtection="1">
      <alignment horizontal="center" vertical="center" wrapText="1"/>
      <protection hidden="1"/>
    </xf>
    <xf numFmtId="0" fontId="4" fillId="22" borderId="10" xfId="1" applyFont="1" applyFill="1" applyBorder="1" applyAlignment="1" applyProtection="1">
      <alignment horizontal="center" vertical="center" wrapText="1"/>
      <protection hidden="1"/>
    </xf>
    <xf numFmtId="10" fontId="38" fillId="0" borderId="0" xfId="6" applyNumberFormat="1" applyFont="1" applyBorder="1" applyAlignment="1">
      <alignment horizontal="center"/>
    </xf>
    <xf numFmtId="0" fontId="66" fillId="16" borderId="30" xfId="0" applyFont="1" applyFill="1" applyBorder="1"/>
    <xf numFmtId="0" fontId="55" fillId="16" borderId="15" xfId="0" applyFont="1" applyFill="1" applyBorder="1"/>
    <xf numFmtId="10" fontId="0" fillId="0" borderId="4" xfId="6" applyNumberFormat="1" applyFont="1" applyBorder="1"/>
    <xf numFmtId="10" fontId="38" fillId="67" borderId="0" xfId="6" applyNumberFormat="1" applyFont="1" applyFill="1" applyBorder="1" applyAlignment="1">
      <alignment horizontal="center"/>
    </xf>
    <xf numFmtId="0" fontId="34" fillId="16" borderId="5" xfId="0" applyFont="1" applyFill="1" applyBorder="1"/>
    <xf numFmtId="0" fontId="15" fillId="16" borderId="1" xfId="0" applyFont="1" applyFill="1" applyBorder="1" applyProtection="1">
      <protection hidden="1"/>
    </xf>
    <xf numFmtId="0" fontId="16" fillId="16" borderId="0" xfId="0" applyFont="1" applyFill="1" applyAlignment="1" applyProtection="1">
      <alignment horizontal="center" vertical="center" wrapText="1"/>
      <protection hidden="1"/>
    </xf>
    <xf numFmtId="0" fontId="15" fillId="16" borderId="30" xfId="0" applyFont="1" applyFill="1" applyBorder="1" applyAlignment="1" applyProtection="1">
      <alignment horizontal="right"/>
      <protection hidden="1"/>
    </xf>
    <xf numFmtId="0" fontId="15" fillId="16" borderId="11" xfId="0" applyFont="1" applyFill="1" applyBorder="1" applyProtection="1">
      <protection hidden="1"/>
    </xf>
    <xf numFmtId="0" fontId="0" fillId="0" borderId="0" xfId="0" applyAlignment="1">
      <alignment wrapText="1"/>
    </xf>
    <xf numFmtId="0" fontId="18" fillId="22" borderId="3" xfId="1" applyFont="1" applyFill="1" applyBorder="1" applyAlignment="1" applyProtection="1">
      <alignment horizontal="center" vertical="center" wrapText="1"/>
      <protection hidden="1"/>
    </xf>
    <xf numFmtId="0" fontId="0" fillId="0" borderId="0" xfId="0" applyAlignment="1">
      <alignment horizontal="right"/>
    </xf>
    <xf numFmtId="0" fontId="55" fillId="23" borderId="15" xfId="0" applyFont="1" applyFill="1" applyBorder="1"/>
    <xf numFmtId="0" fontId="34" fillId="23" borderId="5" xfId="0" applyFont="1" applyFill="1" applyBorder="1"/>
    <xf numFmtId="0" fontId="0" fillId="0" borderId="5" xfId="0" applyBorder="1" applyAlignment="1">
      <alignment horizontal="right"/>
    </xf>
    <xf numFmtId="42" fontId="0" fillId="0" borderId="5" xfId="0" applyNumberFormat="1" applyBorder="1" applyAlignment="1">
      <alignment horizontal="right"/>
    </xf>
    <xf numFmtId="1" fontId="0" fillId="0" borderId="5" xfId="0" applyNumberFormat="1" applyBorder="1" applyAlignment="1">
      <alignment horizontal="right"/>
    </xf>
    <xf numFmtId="42" fontId="35" fillId="0" borderId="5" xfId="0" applyNumberFormat="1" applyFont="1" applyBorder="1" applyAlignment="1">
      <alignment horizontal="right"/>
    </xf>
    <xf numFmtId="0" fontId="0" fillId="0" borderId="4" xfId="0" applyBorder="1" applyAlignment="1">
      <alignment wrapText="1"/>
    </xf>
    <xf numFmtId="0" fontId="0" fillId="23" borderId="0" xfId="0" applyFill="1"/>
    <xf numFmtId="0" fontId="66" fillId="23" borderId="30" xfId="0" applyFont="1" applyFill="1" applyBorder="1"/>
    <xf numFmtId="3" fontId="0" fillId="0" borderId="11" xfId="0" applyNumberFormat="1" applyBorder="1" applyAlignment="1">
      <alignment horizontal="center"/>
    </xf>
    <xf numFmtId="3" fontId="0" fillId="0" borderId="5" xfId="0" applyNumberFormat="1" applyBorder="1" applyAlignment="1">
      <alignment horizontal="center"/>
    </xf>
    <xf numFmtId="3" fontId="0" fillId="0" borderId="33" xfId="0" applyNumberFormat="1" applyBorder="1" applyAlignment="1">
      <alignment horizontal="center"/>
    </xf>
    <xf numFmtId="4" fontId="0" fillId="44" borderId="0" xfId="0" applyNumberFormat="1" applyFill="1" applyAlignment="1">
      <alignment horizontal="center"/>
    </xf>
    <xf numFmtId="3" fontId="0" fillId="44" borderId="0" xfId="0" applyNumberFormat="1" applyFill="1" applyAlignment="1">
      <alignment horizontal="center"/>
    </xf>
    <xf numFmtId="3" fontId="0" fillId="53" borderId="0" xfId="0" applyNumberFormat="1" applyFill="1" applyAlignment="1">
      <alignment horizontal="center"/>
    </xf>
    <xf numFmtId="169" fontId="0" fillId="67" borderId="1" xfId="0" applyNumberFormat="1" applyFill="1" applyBorder="1"/>
    <xf numFmtId="4" fontId="0" fillId="67" borderId="9" xfId="0" applyNumberFormat="1" applyFill="1" applyBorder="1"/>
    <xf numFmtId="4" fontId="0" fillId="67" borderId="10" xfId="0" applyNumberFormat="1" applyFill="1" applyBorder="1"/>
    <xf numFmtId="44" fontId="0" fillId="83" borderId="1" xfId="0" applyNumberFormat="1" applyFill="1" applyBorder="1"/>
    <xf numFmtId="3" fontId="0" fillId="83" borderId="9" xfId="0" applyNumberFormat="1" applyFill="1" applyBorder="1"/>
    <xf numFmtId="3" fontId="0" fillId="83" borderId="10" xfId="0" applyNumberFormat="1" applyFill="1" applyBorder="1"/>
    <xf numFmtId="169" fontId="0" fillId="84" borderId="1" xfId="0" applyNumberFormat="1" applyFill="1" applyBorder="1"/>
    <xf numFmtId="3" fontId="0" fillId="84" borderId="9" xfId="0" applyNumberFormat="1" applyFill="1" applyBorder="1"/>
    <xf numFmtId="3" fontId="0" fillId="84" borderId="10" xfId="0" applyNumberFormat="1" applyFill="1" applyBorder="1"/>
    <xf numFmtId="169" fontId="0" fillId="57" borderId="1" xfId="0" applyNumberFormat="1" applyFill="1" applyBorder="1"/>
    <xf numFmtId="4" fontId="0" fillId="57" borderId="9" xfId="0" applyNumberFormat="1" applyFill="1" applyBorder="1"/>
    <xf numFmtId="4" fontId="0" fillId="57" borderId="10" xfId="0" applyNumberFormat="1" applyFill="1" applyBorder="1"/>
    <xf numFmtId="169" fontId="0" fillId="85" borderId="1" xfId="0" applyNumberFormat="1" applyFill="1" applyBorder="1"/>
    <xf numFmtId="4" fontId="0" fillId="85" borderId="9" xfId="0" applyNumberFormat="1" applyFill="1" applyBorder="1"/>
    <xf numFmtId="4" fontId="0" fillId="85" borderId="10" xfId="0" applyNumberFormat="1" applyFill="1" applyBorder="1"/>
    <xf numFmtId="10" fontId="0" fillId="0" borderId="0" xfId="6" applyNumberFormat="1" applyFont="1" applyBorder="1" applyAlignment="1">
      <alignment horizontal="center"/>
    </xf>
    <xf numFmtId="10" fontId="0" fillId="0" borderId="2" xfId="6" applyNumberFormat="1" applyFont="1" applyFill="1" applyBorder="1" applyAlignment="1">
      <alignment horizontal="center"/>
    </xf>
    <xf numFmtId="10" fontId="0" fillId="47" borderId="0" xfId="6" applyNumberFormat="1" applyFont="1" applyFill="1" applyBorder="1" applyAlignment="1">
      <alignment horizontal="center"/>
    </xf>
    <xf numFmtId="44" fontId="0" fillId="67" borderId="1" xfId="0" applyNumberFormat="1" applyFill="1" applyBorder="1"/>
    <xf numFmtId="3" fontId="0" fillId="67" borderId="9" xfId="0" applyNumberFormat="1" applyFill="1" applyBorder="1"/>
    <xf numFmtId="3" fontId="0" fillId="67" borderId="10" xfId="0" applyNumberFormat="1" applyFill="1" applyBorder="1"/>
    <xf numFmtId="0" fontId="8" fillId="66" borderId="3" xfId="1" applyFont="1" applyFill="1" applyBorder="1" applyAlignment="1">
      <alignment horizontal="center"/>
    </xf>
    <xf numFmtId="0" fontId="8" fillId="66" borderId="3" xfId="1" applyFont="1" applyFill="1" applyBorder="1"/>
    <xf numFmtId="10" fontId="5" fillId="66" borderId="7" xfId="2" applyNumberFormat="1" applyFont="1" applyFill="1" applyBorder="1"/>
    <xf numFmtId="0" fontId="6" fillId="66" borderId="6" xfId="1" applyFont="1" applyFill="1" applyBorder="1"/>
    <xf numFmtId="43" fontId="8" fillId="66" borderId="34" xfId="5" applyFont="1" applyFill="1" applyBorder="1"/>
    <xf numFmtId="9" fontId="3" fillId="66" borderId="3" xfId="6" applyFont="1" applyFill="1" applyBorder="1"/>
    <xf numFmtId="43" fontId="8" fillId="66" borderId="10" xfId="3" applyFont="1" applyFill="1" applyBorder="1" applyAlignment="1">
      <alignment horizontal="center"/>
    </xf>
    <xf numFmtId="0" fontId="3" fillId="66" borderId="10" xfId="1" applyFill="1" applyBorder="1" applyAlignment="1">
      <alignment horizontal="center"/>
    </xf>
    <xf numFmtId="0" fontId="23" fillId="66" borderId="3" xfId="1" applyFont="1" applyFill="1" applyBorder="1" applyAlignment="1">
      <alignment horizontal="center"/>
    </xf>
    <xf numFmtId="0" fontId="8" fillId="66" borderId="28" xfId="1" applyFont="1" applyFill="1" applyBorder="1"/>
    <xf numFmtId="0" fontId="53" fillId="35" borderId="1" xfId="1" applyFont="1" applyFill="1" applyBorder="1"/>
    <xf numFmtId="0" fontId="53" fillId="35" borderId="9" xfId="1" applyFont="1" applyFill="1" applyBorder="1"/>
    <xf numFmtId="0" fontId="53" fillId="35" borderId="10" xfId="1" applyFont="1" applyFill="1" applyBorder="1"/>
    <xf numFmtId="0" fontId="53" fillId="86" borderId="9" xfId="0" applyFont="1" applyFill="1" applyBorder="1"/>
    <xf numFmtId="0" fontId="53" fillId="86" borderId="10" xfId="0" applyFont="1" applyFill="1" applyBorder="1"/>
    <xf numFmtId="10" fontId="8" fillId="66" borderId="3" xfId="6" applyNumberFormat="1" applyFont="1" applyFill="1" applyBorder="1" applyAlignment="1">
      <alignment horizontal="center"/>
    </xf>
    <xf numFmtId="0" fontId="43" fillId="66" borderId="3" xfId="1" applyFont="1" applyFill="1" applyBorder="1" applyAlignment="1">
      <alignment horizontal="center"/>
    </xf>
    <xf numFmtId="0" fontId="5" fillId="87" borderId="1" xfId="1" applyFont="1" applyFill="1" applyBorder="1" applyAlignment="1">
      <alignment horizontal="center"/>
    </xf>
    <xf numFmtId="0" fontId="46" fillId="16" borderId="34" xfId="1" applyFont="1" applyFill="1" applyBorder="1" applyAlignment="1">
      <alignment horizontal="center"/>
    </xf>
    <xf numFmtId="0" fontId="46" fillId="16" borderId="25" xfId="0" applyFont="1" applyFill="1" applyBorder="1" applyAlignment="1">
      <alignment horizontal="center"/>
    </xf>
    <xf numFmtId="0" fontId="46" fillId="16" borderId="25" xfId="1" applyFont="1" applyFill="1" applyBorder="1" applyAlignment="1">
      <alignment horizontal="center"/>
    </xf>
    <xf numFmtId="5" fontId="21" fillId="66" borderId="29" xfId="0" applyNumberFormat="1" applyFont="1" applyFill="1" applyBorder="1"/>
    <xf numFmtId="0" fontId="6" fillId="66" borderId="92" xfId="1" applyFont="1" applyFill="1" applyBorder="1"/>
    <xf numFmtId="0" fontId="6" fillId="66" borderId="92" xfId="1" applyFont="1" applyFill="1" applyBorder="1" applyAlignment="1">
      <alignment horizontal="center"/>
    </xf>
    <xf numFmtId="175" fontId="21" fillId="0" borderId="3" xfId="0" applyNumberFormat="1" applyFont="1" applyBorder="1"/>
    <xf numFmtId="3" fontId="0" fillId="48" borderId="0" xfId="0" applyNumberFormat="1" applyFill="1" applyAlignment="1">
      <alignment horizontal="center"/>
    </xf>
    <xf numFmtId="4" fontId="0" fillId="48" borderId="0" xfId="0" applyNumberFormat="1" applyFill="1"/>
    <xf numFmtId="3" fontId="0" fillId="30" borderId="0" xfId="0" applyNumberFormat="1" applyFill="1" applyAlignment="1">
      <alignment horizontal="center"/>
    </xf>
    <xf numFmtId="4" fontId="0" fillId="30" borderId="0" xfId="0" applyNumberFormat="1" applyFill="1" applyAlignment="1">
      <alignment horizontal="center"/>
    </xf>
    <xf numFmtId="0" fontId="5" fillId="86" borderId="9" xfId="1" applyFont="1" applyFill="1" applyBorder="1" applyAlignment="1">
      <alignment horizontal="center"/>
    </xf>
    <xf numFmtId="0" fontId="5" fillId="5" borderId="9" xfId="1" applyFont="1" applyFill="1" applyBorder="1" applyAlignment="1">
      <alignment horizontal="center"/>
    </xf>
    <xf numFmtId="0" fontId="5" fillId="0" borderId="1" xfId="1" applyFont="1" applyBorder="1" applyAlignment="1">
      <alignment horizontal="center"/>
    </xf>
    <xf numFmtId="0" fontId="23" fillId="0" borderId="1" xfId="1" applyFont="1" applyBorder="1"/>
    <xf numFmtId="184" fontId="8" fillId="66" borderId="3" xfId="5" applyNumberFormat="1" applyFont="1" applyFill="1" applyBorder="1"/>
    <xf numFmtId="3" fontId="5" fillId="13" borderId="3" xfId="1" applyNumberFormat="1" applyFont="1" applyFill="1" applyBorder="1" applyAlignment="1">
      <alignment horizontal="right"/>
    </xf>
    <xf numFmtId="0" fontId="5" fillId="86" borderId="5" xfId="1" applyFont="1" applyFill="1" applyBorder="1" applyAlignment="1">
      <alignment horizontal="center"/>
    </xf>
    <xf numFmtId="0" fontId="23" fillId="15" borderId="0" xfId="1" applyFont="1" applyFill="1" applyAlignment="1">
      <alignment vertical="center"/>
    </xf>
    <xf numFmtId="0" fontId="17" fillId="16" borderId="0" xfId="1" applyFont="1" applyFill="1" applyAlignment="1">
      <alignment horizontal="center"/>
    </xf>
    <xf numFmtId="0" fontId="15" fillId="0" borderId="0" xfId="1" applyFont="1" applyAlignment="1">
      <alignment horizontal="center"/>
    </xf>
    <xf numFmtId="0" fontId="14" fillId="44" borderId="0" xfId="1" applyFont="1" applyFill="1" applyAlignment="1">
      <alignment horizontal="center" wrapText="1"/>
    </xf>
    <xf numFmtId="0" fontId="5" fillId="5" borderId="0" xfId="1" applyFont="1" applyFill="1" applyAlignment="1">
      <alignment horizontal="center" wrapText="1"/>
    </xf>
    <xf numFmtId="0" fontId="17" fillId="0" borderId="0" xfId="0" applyFont="1" applyAlignment="1">
      <alignment horizontal="center" vertical="center" wrapText="1"/>
    </xf>
    <xf numFmtId="0" fontId="17" fillId="91" borderId="0" xfId="0" applyFont="1" applyFill="1" applyAlignment="1" applyProtection="1">
      <alignment horizontal="center"/>
      <protection locked="0"/>
    </xf>
    <xf numFmtId="0" fontId="3" fillId="0" borderId="1" xfId="0" applyFont="1" applyBorder="1" applyAlignment="1">
      <alignment horizontal="center"/>
    </xf>
    <xf numFmtId="9" fontId="8" fillId="66" borderId="3" xfId="1" applyNumberFormat="1" applyFont="1" applyFill="1" applyBorder="1" applyAlignment="1">
      <alignment horizontal="center"/>
    </xf>
    <xf numFmtId="164" fontId="3" fillId="44" borderId="1" xfId="3" applyNumberFormat="1" applyFont="1" applyFill="1" applyBorder="1" applyAlignment="1">
      <alignment horizontal="center"/>
    </xf>
    <xf numFmtId="0" fontId="3" fillId="44" borderId="10" xfId="1" applyFill="1" applyBorder="1" applyAlignment="1">
      <alignment horizontal="center"/>
    </xf>
    <xf numFmtId="178" fontId="8" fillId="66" borderId="3" xfId="1" applyNumberFormat="1" applyFont="1" applyFill="1" applyBorder="1" applyAlignment="1">
      <alignment horizontal="center"/>
    </xf>
    <xf numFmtId="0" fontId="8" fillId="66" borderId="3" xfId="0" applyFont="1" applyFill="1" applyBorder="1" applyAlignment="1">
      <alignment horizontal="center"/>
    </xf>
    <xf numFmtId="0" fontId="6" fillId="66" borderId="14" xfId="1" applyFont="1" applyFill="1" applyBorder="1" applyAlignment="1">
      <alignment horizontal="center"/>
    </xf>
    <xf numFmtId="176" fontId="6" fillId="66" borderId="31" xfId="1" applyNumberFormat="1" applyFont="1" applyFill="1" applyBorder="1" applyAlignment="1">
      <alignment horizontal="center"/>
    </xf>
    <xf numFmtId="3" fontId="5" fillId="90" borderId="3" xfId="1" applyNumberFormat="1" applyFont="1" applyFill="1" applyBorder="1" applyAlignment="1">
      <alignment horizontal="right"/>
    </xf>
    <xf numFmtId="0" fontId="5" fillId="27" borderId="3" xfId="0" applyFont="1" applyFill="1" applyBorder="1" applyAlignment="1">
      <alignment horizontal="center" vertical="center" wrapText="1"/>
    </xf>
    <xf numFmtId="0" fontId="6" fillId="13" borderId="1" xfId="1" applyFont="1" applyFill="1" applyBorder="1" applyAlignment="1">
      <alignment horizontal="center"/>
    </xf>
    <xf numFmtId="0" fontId="6" fillId="13" borderId="34" xfId="0" applyFont="1" applyFill="1" applyBorder="1" applyAlignment="1">
      <alignment horizontal="center"/>
    </xf>
    <xf numFmtId="0" fontId="3" fillId="66" borderId="10" xfId="0" applyFont="1" applyFill="1" applyBorder="1" applyAlignment="1">
      <alignment horizontal="center"/>
    </xf>
    <xf numFmtId="0" fontId="6" fillId="13" borderId="1" xfId="0" applyFont="1" applyFill="1" applyBorder="1" applyAlignment="1">
      <alignment horizontal="center"/>
    </xf>
    <xf numFmtId="0" fontId="8" fillId="66" borderId="3" xfId="0" applyFont="1" applyFill="1" applyBorder="1" applyAlignment="1" applyProtection="1">
      <alignment horizontal="center"/>
      <protection hidden="1"/>
    </xf>
    <xf numFmtId="0" fontId="6" fillId="13" borderId="25" xfId="1" applyFont="1" applyFill="1" applyBorder="1" applyAlignment="1">
      <alignment horizontal="center"/>
    </xf>
    <xf numFmtId="0" fontId="3" fillId="16" borderId="0" xfId="1" applyFill="1"/>
    <xf numFmtId="0" fontId="3" fillId="16" borderId="0" xfId="1" applyFill="1" applyAlignment="1">
      <alignment horizontal="center"/>
    </xf>
    <xf numFmtId="0" fontId="3" fillId="50" borderId="0" xfId="1" applyFill="1"/>
    <xf numFmtId="0" fontId="3" fillId="88" borderId="0" xfId="1" applyFill="1" applyAlignment="1">
      <alignment horizontal="center" wrapText="1"/>
    </xf>
    <xf numFmtId="0" fontId="17" fillId="0" borderId="0" xfId="0" applyFont="1" applyAlignment="1">
      <alignment horizontal="center"/>
    </xf>
    <xf numFmtId="0" fontId="3" fillId="22" borderId="0" xfId="1" applyFill="1"/>
    <xf numFmtId="0" fontId="4" fillId="31" borderId="4" xfId="0" applyFont="1" applyFill="1" applyBorder="1" applyAlignment="1" applyProtection="1">
      <alignment horizontal="center"/>
      <protection locked="0"/>
    </xf>
    <xf numFmtId="0" fontId="3" fillId="28" borderId="0" xfId="1" applyFill="1" applyAlignment="1">
      <alignment horizontal="centerContinuous"/>
    </xf>
    <xf numFmtId="0" fontId="3" fillId="66" borderId="1" xfId="1" applyFill="1" applyBorder="1" applyAlignment="1">
      <alignment horizontal="center"/>
    </xf>
    <xf numFmtId="0" fontId="3" fillId="15" borderId="3" xfId="1" applyFill="1" applyBorder="1" applyAlignment="1">
      <alignment horizontal="center"/>
    </xf>
    <xf numFmtId="0" fontId="3" fillId="0" borderId="0" xfId="1" applyAlignment="1">
      <alignment horizontal="center"/>
    </xf>
    <xf numFmtId="10" fontId="3" fillId="0" borderId="0" xfId="1" applyNumberFormat="1"/>
    <xf numFmtId="10" fontId="3" fillId="0" borderId="40" xfId="1" applyNumberFormat="1" applyBorder="1"/>
    <xf numFmtId="9" fontId="3" fillId="0" borderId="0" xfId="1" applyNumberFormat="1"/>
    <xf numFmtId="3" fontId="3" fillId="0" borderId="3" xfId="1" applyNumberFormat="1" applyBorder="1" applyAlignment="1">
      <alignment horizontal="right"/>
    </xf>
    <xf numFmtId="1" fontId="17" fillId="32" borderId="10" xfId="0" applyNumberFormat="1" applyFont="1" applyFill="1" applyBorder="1" applyAlignment="1">
      <alignment horizontal="center"/>
    </xf>
    <xf numFmtId="1" fontId="17" fillId="32" borderId="0" xfId="0" applyNumberFormat="1" applyFont="1" applyFill="1" applyAlignment="1">
      <alignment horizontal="center"/>
    </xf>
    <xf numFmtId="1" fontId="17" fillId="32" borderId="9" xfId="0" applyNumberFormat="1" applyFont="1" applyFill="1" applyBorder="1" applyAlignment="1">
      <alignment horizontal="center"/>
    </xf>
    <xf numFmtId="10" fontId="3" fillId="0" borderId="0" xfId="1" applyNumberFormat="1" applyAlignment="1">
      <alignment horizontal="center"/>
    </xf>
    <xf numFmtId="0" fontId="3" fillId="0" borderId="40" xfId="1" applyBorder="1"/>
    <xf numFmtId="0" fontId="50" fillId="0" borderId="1" xfId="0" applyFont="1" applyBorder="1" applyProtection="1">
      <protection hidden="1"/>
    </xf>
    <xf numFmtId="9" fontId="3" fillId="0" borderId="3" xfId="1" applyNumberFormat="1" applyBorder="1"/>
    <xf numFmtId="0" fontId="3" fillId="5" borderId="9" xfId="1" applyFill="1" applyBorder="1"/>
    <xf numFmtId="0" fontId="4" fillId="31" borderId="30" xfId="0" applyFont="1" applyFill="1" applyBorder="1" applyAlignment="1" applyProtection="1">
      <alignment horizontal="left"/>
      <protection locked="0"/>
    </xf>
    <xf numFmtId="0" fontId="3" fillId="0" borderId="1" xfId="1" applyBorder="1" applyAlignment="1">
      <alignment horizontal="center"/>
    </xf>
    <xf numFmtId="176" fontId="3" fillId="0" borderId="9" xfId="1" applyNumberFormat="1" applyBorder="1"/>
    <xf numFmtId="0" fontId="3" fillId="0" borderId="5" xfId="1" applyBorder="1"/>
    <xf numFmtId="0" fontId="3" fillId="66" borderId="3" xfId="1" applyFill="1" applyBorder="1"/>
    <xf numFmtId="0" fontId="3" fillId="0" borderId="9" xfId="0" applyFont="1" applyBorder="1" applyAlignment="1" applyProtection="1">
      <alignment horizontal="left"/>
      <protection hidden="1"/>
    </xf>
    <xf numFmtId="176" fontId="3" fillId="0" borderId="3" xfId="1" applyNumberFormat="1" applyBorder="1"/>
    <xf numFmtId="4" fontId="3" fillId="0" borderId="3" xfId="1" applyNumberFormat="1" applyBorder="1"/>
    <xf numFmtId="2" fontId="3" fillId="66" borderId="14" xfId="1" applyNumberFormat="1" applyFill="1" applyBorder="1" applyAlignment="1">
      <alignment horizontal="center"/>
    </xf>
    <xf numFmtId="0" fontId="3" fillId="86" borderId="30" xfId="1" applyFill="1" applyBorder="1"/>
    <xf numFmtId="0" fontId="3" fillId="87" borderId="10" xfId="1" applyFill="1" applyBorder="1" applyAlignment="1">
      <alignment horizontal="center"/>
    </xf>
    <xf numFmtId="0" fontId="3" fillId="0" borderId="9" xfId="1" applyBorder="1" applyAlignment="1">
      <alignment horizontal="center"/>
    </xf>
    <xf numFmtId="0" fontId="3" fillId="0" borderId="9" xfId="1" applyBorder="1"/>
    <xf numFmtId="0" fontId="3" fillId="86" borderId="4" xfId="1" applyFill="1" applyBorder="1"/>
    <xf numFmtId="0" fontId="3" fillId="0" borderId="10" xfId="1" applyBorder="1" applyAlignment="1">
      <alignment horizontal="center"/>
    </xf>
    <xf numFmtId="0" fontId="3" fillId="0" borderId="10" xfId="1" applyBorder="1"/>
    <xf numFmtId="8" fontId="3" fillId="0" borderId="3" xfId="1" applyNumberFormat="1" applyBorder="1"/>
    <xf numFmtId="0" fontId="3" fillId="86" borderId="0" xfId="1" applyFill="1"/>
    <xf numFmtId="0" fontId="3" fillId="0" borderId="5" xfId="1" applyBorder="1" applyAlignment="1">
      <alignment horizontal="center"/>
    </xf>
    <xf numFmtId="0" fontId="3" fillId="0" borderId="0" xfId="1" applyAlignment="1">
      <alignment horizontal="right" vertical="center"/>
    </xf>
    <xf numFmtId="0" fontId="3" fillId="86" borderId="1" xfId="1" applyFill="1" applyBorder="1"/>
    <xf numFmtId="0" fontId="3" fillId="0" borderId="3" xfId="1" applyBorder="1"/>
    <xf numFmtId="0" fontId="3" fillId="86" borderId="10" xfId="1" applyFill="1" applyBorder="1"/>
    <xf numFmtId="0" fontId="3" fillId="0" borderId="0" xfId="1" applyAlignment="1">
      <alignment vertical="center"/>
    </xf>
    <xf numFmtId="0" fontId="3" fillId="60" borderId="1" xfId="1" applyFill="1" applyBorder="1" applyAlignment="1">
      <alignment horizontal="center" wrapText="1"/>
    </xf>
    <xf numFmtId="0" fontId="3" fillId="0" borderId="0" xfId="1" applyAlignment="1">
      <alignment horizontal="right"/>
    </xf>
    <xf numFmtId="0" fontId="3" fillId="60" borderId="9" xfId="1" applyFill="1" applyBorder="1" applyAlignment="1">
      <alignment horizontal="center" wrapText="1"/>
    </xf>
    <xf numFmtId="0" fontId="3" fillId="0" borderId="1" xfId="1" applyBorder="1"/>
    <xf numFmtId="0" fontId="3" fillId="60" borderId="10" xfId="1" applyFill="1" applyBorder="1" applyAlignment="1">
      <alignment horizontal="center" vertical="center" wrapText="1"/>
    </xf>
    <xf numFmtId="0" fontId="3" fillId="15" borderId="0" xfId="1" applyFill="1"/>
    <xf numFmtId="0" fontId="69" fillId="9" borderId="3" xfId="0" applyFont="1" applyFill="1" applyBorder="1" applyAlignment="1" applyProtection="1">
      <alignment horizontal="center" wrapText="1"/>
      <protection locked="0"/>
    </xf>
    <xf numFmtId="0" fontId="69" fillId="4" borderId="3" xfId="0" applyFont="1" applyFill="1" applyBorder="1" applyAlignment="1" applyProtection="1">
      <alignment horizontal="center" wrapText="1"/>
      <protection locked="0"/>
    </xf>
    <xf numFmtId="0" fontId="3" fillId="6" borderId="3" xfId="0" applyFont="1" applyFill="1" applyBorder="1" applyAlignment="1" applyProtection="1">
      <alignment horizontal="center" wrapText="1"/>
      <protection locked="0"/>
    </xf>
    <xf numFmtId="0" fontId="5" fillId="7" borderId="4" xfId="0" applyFont="1" applyFill="1" applyBorder="1" applyAlignment="1" applyProtection="1">
      <alignment wrapText="1"/>
      <protection locked="0"/>
    </xf>
    <xf numFmtId="0" fontId="5" fillId="20" borderId="0" xfId="0" applyFont="1" applyFill="1" applyAlignment="1" applyProtection="1">
      <alignment wrapText="1"/>
      <protection locked="0"/>
    </xf>
    <xf numFmtId="0" fontId="5" fillId="7" borderId="3" xfId="0" applyFont="1" applyFill="1" applyBorder="1" applyAlignment="1" applyProtection="1">
      <alignment horizontal="center" wrapText="1"/>
      <protection locked="0"/>
    </xf>
    <xf numFmtId="0" fontId="5" fillId="0" borderId="0" xfId="0" applyFont="1" applyAlignment="1" applyProtection="1">
      <alignment wrapText="1"/>
      <protection locked="0"/>
    </xf>
    <xf numFmtId="0" fontId="3" fillId="66" borderId="3" xfId="1" applyFill="1" applyBorder="1" applyAlignment="1">
      <alignment horizontal="center"/>
    </xf>
    <xf numFmtId="0" fontId="3" fillId="0" borderId="3" xfId="1" applyBorder="1" applyAlignment="1">
      <alignment horizontal="center"/>
    </xf>
    <xf numFmtId="0" fontId="3" fillId="15" borderId="3" xfId="1" applyFill="1" applyBorder="1"/>
    <xf numFmtId="9" fontId="3" fillId="0" borderId="3" xfId="1" applyNumberFormat="1" applyBorder="1" applyAlignment="1">
      <alignment horizontal="center"/>
    </xf>
    <xf numFmtId="9" fontId="3" fillId="15" borderId="3" xfId="1" applyNumberFormat="1" applyFill="1" applyBorder="1" applyAlignment="1">
      <alignment horizontal="center"/>
    </xf>
    <xf numFmtId="0" fontId="8" fillId="0" borderId="0" xfId="1" applyFont="1"/>
    <xf numFmtId="0" fontId="8" fillId="13" borderId="0" xfId="1" applyFont="1" applyFill="1"/>
    <xf numFmtId="0" fontId="3" fillId="53" borderId="0" xfId="1" applyFill="1"/>
    <xf numFmtId="0" fontId="3" fillId="86" borderId="3" xfId="1" applyFill="1" applyBorder="1"/>
    <xf numFmtId="0" fontId="3" fillId="13" borderId="0" xfId="1" applyFill="1"/>
    <xf numFmtId="0" fontId="3" fillId="0" borderId="11" xfId="1" applyBorder="1" applyAlignment="1">
      <alignment horizontal="center"/>
    </xf>
    <xf numFmtId="0" fontId="3" fillId="86" borderId="9" xfId="1" applyFill="1" applyBorder="1"/>
    <xf numFmtId="44" fontId="3" fillId="0" borderId="0" xfId="1" applyNumberFormat="1" applyAlignment="1">
      <alignment horizontal="center"/>
    </xf>
    <xf numFmtId="10" fontId="3" fillId="64" borderId="0" xfId="0" applyNumberFormat="1" applyFont="1" applyFill="1" applyAlignment="1">
      <alignment horizontal="center"/>
    </xf>
    <xf numFmtId="10" fontId="3" fillId="28" borderId="0" xfId="0" applyNumberFormat="1" applyFont="1" applyFill="1" applyAlignment="1">
      <alignment horizontal="center"/>
    </xf>
    <xf numFmtId="4" fontId="70" fillId="0" borderId="0" xfId="0" applyNumberFormat="1" applyFont="1" applyAlignment="1">
      <alignment horizontal="center"/>
    </xf>
    <xf numFmtId="10" fontId="3" fillId="19" borderId="0" xfId="0" applyNumberFormat="1" applyFont="1" applyFill="1" applyAlignment="1">
      <alignment horizontal="center"/>
    </xf>
    <xf numFmtId="0" fontId="26" fillId="0" borderId="3" xfId="0" applyFont="1" applyBorder="1" applyAlignment="1">
      <alignment horizontal="center"/>
    </xf>
    <xf numFmtId="0" fontId="26" fillId="0" borderId="28" xfId="0" applyFont="1" applyBorder="1" applyAlignment="1">
      <alignment horizontal="center"/>
    </xf>
    <xf numFmtId="0" fontId="2" fillId="0" borderId="0" xfId="0" applyFont="1" applyAlignment="1">
      <alignment horizontal="center"/>
    </xf>
    <xf numFmtId="10" fontId="26" fillId="0" borderId="3" xfId="0" applyNumberFormat="1" applyFont="1" applyBorder="1" applyAlignment="1">
      <alignment horizontal="center"/>
    </xf>
    <xf numFmtId="10" fontId="3" fillId="42" borderId="0" xfId="0" applyNumberFormat="1" applyFont="1" applyFill="1" applyAlignment="1">
      <alignment horizontal="center"/>
    </xf>
    <xf numFmtId="169" fontId="53" fillId="86" borderId="0" xfId="15" applyNumberFormat="1" applyFont="1" applyFill="1" applyBorder="1" applyAlignment="1">
      <alignment horizontal="center" vertical="center"/>
    </xf>
    <xf numFmtId="10" fontId="3" fillId="64" borderId="0" xfId="6" applyNumberFormat="1" applyFont="1" applyFill="1" applyBorder="1" applyAlignment="1">
      <alignment horizontal="center"/>
    </xf>
    <xf numFmtId="4" fontId="3" fillId="64" borderId="0" xfId="0" applyNumberFormat="1" applyFont="1" applyFill="1" applyAlignment="1">
      <alignment horizontal="center"/>
    </xf>
    <xf numFmtId="0" fontId="2" fillId="0" borderId="0" xfId="0" applyFont="1"/>
    <xf numFmtId="10" fontId="3" fillId="28" borderId="0" xfId="6" applyNumberFormat="1" applyFont="1" applyFill="1" applyBorder="1" applyAlignment="1">
      <alignment horizontal="center"/>
    </xf>
    <xf numFmtId="4" fontId="3" fillId="28" borderId="0" xfId="0" applyNumberFormat="1" applyFont="1" applyFill="1" applyAlignment="1">
      <alignment horizontal="center"/>
    </xf>
    <xf numFmtId="10" fontId="3" fillId="76" borderId="0" xfId="0" applyNumberFormat="1" applyFont="1" applyFill="1" applyAlignment="1">
      <alignment horizontal="center"/>
    </xf>
    <xf numFmtId="10" fontId="3" fillId="19" borderId="0" xfId="6" applyNumberFormat="1" applyFont="1" applyFill="1" applyBorder="1" applyAlignment="1">
      <alignment horizontal="center"/>
    </xf>
    <xf numFmtId="4" fontId="3" fillId="19" borderId="0" xfId="0" applyNumberFormat="1" applyFont="1" applyFill="1" applyAlignment="1">
      <alignment horizontal="center"/>
    </xf>
    <xf numFmtId="3" fontId="23" fillId="13" borderId="3" xfId="0" applyNumberFormat="1" applyFont="1" applyFill="1" applyBorder="1" applyAlignment="1">
      <alignment horizontal="center"/>
    </xf>
    <xf numFmtId="10" fontId="3" fillId="42" borderId="0" xfId="6" applyNumberFormat="1" applyFont="1" applyFill="1" applyBorder="1" applyAlignment="1">
      <alignment horizontal="center"/>
    </xf>
    <xf numFmtId="4" fontId="3" fillId="42" borderId="0" xfId="0" applyNumberFormat="1" applyFont="1" applyFill="1" applyAlignment="1">
      <alignment horizontal="center"/>
    </xf>
    <xf numFmtId="10" fontId="3" fillId="30" borderId="0" xfId="0" applyNumberFormat="1" applyFont="1" applyFill="1" applyAlignment="1">
      <alignment horizontal="center"/>
    </xf>
    <xf numFmtId="0" fontId="5" fillId="66" borderId="10" xfId="0" applyFont="1" applyFill="1" applyBorder="1" applyAlignment="1">
      <alignment horizontal="center"/>
    </xf>
    <xf numFmtId="10" fontId="3" fillId="76" borderId="0" xfId="6" applyNumberFormat="1" applyFont="1" applyFill="1" applyBorder="1" applyAlignment="1">
      <alignment horizontal="center"/>
    </xf>
    <xf numFmtId="4" fontId="3" fillId="76" borderId="0" xfId="0" applyNumberFormat="1" applyFont="1" applyFill="1" applyAlignment="1">
      <alignment horizontal="center"/>
    </xf>
    <xf numFmtId="10" fontId="3" fillId="29" borderId="0" xfId="0" applyNumberFormat="1" applyFont="1" applyFill="1" applyAlignment="1">
      <alignment horizontal="center"/>
    </xf>
    <xf numFmtId="0" fontId="23" fillId="66" borderId="3" xfId="0" applyFont="1" applyFill="1" applyBorder="1" applyAlignment="1">
      <alignment horizontal="center"/>
    </xf>
    <xf numFmtId="10" fontId="3" fillId="41" borderId="0" xfId="6" applyNumberFormat="1" applyFont="1" applyFill="1" applyBorder="1" applyAlignment="1">
      <alignment horizontal="center"/>
    </xf>
    <xf numFmtId="4" fontId="3" fillId="41" borderId="0" xfId="0" applyNumberFormat="1" applyFont="1" applyFill="1" applyAlignment="1">
      <alignment horizontal="center"/>
    </xf>
    <xf numFmtId="10" fontId="3" fillId="41" borderId="0" xfId="0" applyNumberFormat="1" applyFont="1" applyFill="1" applyAlignment="1">
      <alignment horizontal="center"/>
    </xf>
    <xf numFmtId="10" fontId="3" fillId="75" borderId="0" xfId="0" applyNumberFormat="1" applyFont="1" applyFill="1" applyAlignment="1">
      <alignment horizontal="center"/>
    </xf>
    <xf numFmtId="10" fontId="3" fillId="30" borderId="0" xfId="6" applyNumberFormat="1" applyFont="1" applyFill="1" applyBorder="1" applyAlignment="1">
      <alignment horizontal="center"/>
    </xf>
    <xf numFmtId="4" fontId="3" fillId="30" borderId="0" xfId="0" applyNumberFormat="1" applyFont="1" applyFill="1" applyAlignment="1">
      <alignment horizontal="center"/>
    </xf>
    <xf numFmtId="10" fontId="3" fillId="29" borderId="0" xfId="6" applyNumberFormat="1" applyFont="1" applyFill="1" applyBorder="1" applyAlignment="1">
      <alignment horizontal="center"/>
    </xf>
    <xf numFmtId="4" fontId="3" fillId="29" borderId="0" xfId="0" applyNumberFormat="1" applyFont="1" applyFill="1" applyAlignment="1">
      <alignment horizontal="center"/>
    </xf>
    <xf numFmtId="10" fontId="3" fillId="39" borderId="0" xfId="0" applyNumberFormat="1" applyFont="1" applyFill="1" applyAlignment="1">
      <alignment horizontal="center"/>
    </xf>
    <xf numFmtId="10" fontId="3" fillId="75" borderId="0" xfId="6" applyNumberFormat="1" applyFont="1" applyFill="1" applyBorder="1" applyAlignment="1">
      <alignment horizontal="center"/>
    </xf>
    <xf numFmtId="4" fontId="3" fillId="75" borderId="0" xfId="0" applyNumberFormat="1" applyFont="1" applyFill="1" applyAlignment="1">
      <alignment horizontal="center"/>
    </xf>
    <xf numFmtId="10" fontId="23" fillId="67" borderId="0" xfId="0" applyNumberFormat="1" applyFont="1" applyFill="1" applyAlignment="1">
      <alignment horizontal="center" vertical="center"/>
    </xf>
    <xf numFmtId="169" fontId="53" fillId="86" borderId="2" xfId="15" applyNumberFormat="1" applyFont="1" applyFill="1" applyBorder="1" applyAlignment="1">
      <alignment horizontal="center" vertical="center"/>
    </xf>
    <xf numFmtId="10" fontId="3" fillId="39" borderId="0" xfId="6" applyNumberFormat="1" applyFont="1" applyFill="1" applyBorder="1" applyAlignment="1">
      <alignment horizontal="center"/>
    </xf>
    <xf numFmtId="4" fontId="3" fillId="39" borderId="0" xfId="0" applyNumberFormat="1" applyFont="1" applyFill="1" applyAlignment="1">
      <alignment horizontal="center"/>
    </xf>
    <xf numFmtId="4" fontId="8" fillId="0" borderId="0" xfId="0" applyNumberFormat="1" applyFont="1" applyAlignment="1">
      <alignment horizontal="center"/>
    </xf>
    <xf numFmtId="10" fontId="3" fillId="0" borderId="0" xfId="0" applyNumberFormat="1" applyFont="1" applyAlignment="1">
      <alignment horizontal="right" vertical="center"/>
    </xf>
    <xf numFmtId="10" fontId="3" fillId="0" borderId="0" xfId="0" applyNumberFormat="1" applyFont="1" applyAlignment="1">
      <alignment horizontal="center" vertical="center"/>
    </xf>
    <xf numFmtId="10" fontId="3" fillId="76" borderId="26" xfId="0" applyNumberFormat="1" applyFont="1" applyFill="1" applyBorder="1" applyAlignment="1">
      <alignment horizontal="center"/>
    </xf>
    <xf numFmtId="10" fontId="3" fillId="15" borderId="0" xfId="0" applyNumberFormat="1" applyFont="1" applyFill="1" applyAlignment="1">
      <alignment horizontal="center"/>
    </xf>
    <xf numFmtId="10" fontId="5" fillId="15" borderId="0" xfId="6" applyNumberFormat="1" applyFont="1" applyFill="1" applyBorder="1" applyAlignment="1">
      <alignment horizontal="center"/>
    </xf>
    <xf numFmtId="10" fontId="26" fillId="15" borderId="0" xfId="6" applyNumberFormat="1" applyFont="1" applyFill="1" applyBorder="1" applyAlignment="1">
      <alignment horizontal="center"/>
    </xf>
    <xf numFmtId="0" fontId="5" fillId="15" borderId="0" xfId="0" applyFont="1" applyFill="1" applyAlignment="1">
      <alignment horizontal="center"/>
    </xf>
    <xf numFmtId="2" fontId="26" fillId="15" borderId="0" xfId="6" applyNumberFormat="1" applyFont="1" applyFill="1" applyBorder="1" applyAlignment="1">
      <alignment horizontal="center"/>
    </xf>
    <xf numFmtId="0" fontId="23" fillId="15" borderId="0" xfId="0" applyFont="1" applyFill="1" applyAlignment="1">
      <alignment horizontal="center"/>
    </xf>
    <xf numFmtId="10" fontId="23" fillId="15" borderId="0" xfId="6" applyNumberFormat="1" applyFont="1" applyFill="1" applyBorder="1"/>
    <xf numFmtId="2" fontId="26" fillId="15" borderId="0" xfId="0" applyNumberFormat="1" applyFont="1" applyFill="1" applyAlignment="1">
      <alignment horizontal="center"/>
    </xf>
    <xf numFmtId="2" fontId="23" fillId="15" borderId="0" xfId="0" applyNumberFormat="1" applyFont="1" applyFill="1" applyAlignment="1">
      <alignment horizontal="center"/>
    </xf>
    <xf numFmtId="10" fontId="5" fillId="15" borderId="0" xfId="0" applyNumberFormat="1" applyFont="1" applyFill="1" applyAlignment="1">
      <alignment horizontal="center" vertical="center"/>
    </xf>
    <xf numFmtId="10" fontId="23" fillId="15" borderId="0" xfId="6" applyNumberFormat="1" applyFont="1" applyFill="1" applyBorder="1" applyAlignment="1">
      <alignment horizontal="center"/>
    </xf>
    <xf numFmtId="0" fontId="22" fillId="0" borderId="0" xfId="0" applyFont="1" applyAlignment="1">
      <alignment horizontal="center" vertical="center" wrapText="1"/>
    </xf>
    <xf numFmtId="0" fontId="67" fillId="0" borderId="0" xfId="0" applyFont="1" applyAlignment="1">
      <alignment vertical="center" wrapText="1"/>
    </xf>
    <xf numFmtId="0" fontId="67" fillId="0" borderId="0" xfId="0" applyFont="1" applyAlignment="1">
      <alignment horizontal="center" vertical="center" wrapText="1"/>
    </xf>
    <xf numFmtId="0" fontId="71" fillId="0" borderId="0" xfId="0" applyFont="1" applyAlignment="1">
      <alignment horizontal="center" vertical="center" wrapText="1"/>
    </xf>
    <xf numFmtId="9" fontId="72" fillId="0" borderId="0" xfId="0" applyNumberFormat="1" applyFont="1" applyAlignment="1">
      <alignment horizontal="center" vertical="center" wrapText="1"/>
    </xf>
    <xf numFmtId="0" fontId="14" fillId="6" borderId="0" xfId="0" applyFont="1" applyFill="1" applyAlignment="1">
      <alignment horizontal="center" wrapText="1"/>
    </xf>
    <xf numFmtId="0" fontId="14" fillId="24" borderId="0" xfId="0" applyFont="1" applyFill="1" applyAlignment="1">
      <alignment horizontal="center" wrapText="1"/>
    </xf>
    <xf numFmtId="0" fontId="14" fillId="28" borderId="0" xfId="1" applyFont="1" applyFill="1" applyAlignment="1">
      <alignment horizontal="center" wrapText="1"/>
    </xf>
    <xf numFmtId="0" fontId="14" fillId="9" borderId="0" xfId="1" applyFont="1" applyFill="1" applyAlignment="1">
      <alignment horizontal="center" wrapText="1"/>
    </xf>
    <xf numFmtId="0" fontId="16" fillId="8" borderId="0" xfId="1" applyFont="1" applyFill="1" applyAlignment="1">
      <alignment horizontal="center" wrapText="1"/>
    </xf>
    <xf numFmtId="0" fontId="16" fillId="61" borderId="0" xfId="1" applyFont="1" applyFill="1" applyAlignment="1">
      <alignment horizontal="center" wrapText="1"/>
    </xf>
    <xf numFmtId="0" fontId="14" fillId="7" borderId="0" xfId="1" applyFont="1" applyFill="1" applyAlignment="1">
      <alignment horizontal="center" wrapText="1"/>
    </xf>
    <xf numFmtId="0" fontId="16" fillId="62" borderId="0" xfId="1" applyFont="1" applyFill="1" applyAlignment="1">
      <alignment horizontal="center" wrapText="1"/>
    </xf>
    <xf numFmtId="0" fontId="14" fillId="27" borderId="3" xfId="0" applyFont="1" applyFill="1" applyBorder="1" applyAlignment="1">
      <alignment horizontal="center" wrapText="1"/>
    </xf>
    <xf numFmtId="0" fontId="40" fillId="33" borderId="0" xfId="1" applyFont="1" applyFill="1" applyAlignment="1">
      <alignment horizontal="center" wrapText="1"/>
    </xf>
    <xf numFmtId="0" fontId="40" fillId="60" borderId="0" xfId="1" applyFont="1" applyFill="1" applyAlignment="1">
      <alignment horizontal="center" wrapText="1"/>
    </xf>
    <xf numFmtId="0" fontId="14" fillId="53" borderId="0" xfId="0" applyFont="1" applyFill="1" applyAlignment="1">
      <alignment horizontal="center" wrapText="1"/>
    </xf>
    <xf numFmtId="0" fontId="16" fillId="31" borderId="1" xfId="0" applyFont="1" applyFill="1" applyBorder="1" applyAlignment="1" applyProtection="1">
      <alignment horizontal="left"/>
      <protection locked="0"/>
    </xf>
    <xf numFmtId="0" fontId="14" fillId="63" borderId="2" xfId="0" applyFont="1" applyFill="1" applyBorder="1" applyAlignment="1" applyProtection="1">
      <alignment horizontal="center" wrapText="1"/>
      <protection locked="0"/>
    </xf>
    <xf numFmtId="0" fontId="16" fillId="42" borderId="0" xfId="0" applyFont="1" applyFill="1" applyProtection="1">
      <protection locked="0"/>
    </xf>
    <xf numFmtId="0" fontId="46" fillId="23" borderId="0" xfId="1" applyFont="1" applyFill="1" applyAlignment="1">
      <alignment horizontal="center" wrapText="1"/>
    </xf>
    <xf numFmtId="0" fontId="14" fillId="19" borderId="0" xfId="1" applyFont="1" applyFill="1" applyAlignment="1">
      <alignment horizontal="center"/>
    </xf>
    <xf numFmtId="0" fontId="14" fillId="20" borderId="0" xfId="1" applyFont="1" applyFill="1" applyAlignment="1">
      <alignment horizontal="center"/>
    </xf>
    <xf numFmtId="0" fontId="14" fillId="42" borderId="0" xfId="1" applyFont="1" applyFill="1" applyAlignment="1">
      <alignment horizontal="center"/>
    </xf>
    <xf numFmtId="0" fontId="14" fillId="20" borderId="3" xfId="1" applyFont="1" applyFill="1" applyBorder="1" applyAlignment="1">
      <alignment horizontal="center" wrapText="1"/>
    </xf>
    <xf numFmtId="0" fontId="14" fillId="20" borderId="0" xfId="1" applyFont="1" applyFill="1" applyAlignment="1">
      <alignment horizontal="center" wrapText="1"/>
    </xf>
    <xf numFmtId="10" fontId="40" fillId="0" borderId="40" xfId="1" applyNumberFormat="1" applyFont="1" applyBorder="1"/>
    <xf numFmtId="0" fontId="14" fillId="16" borderId="0" xfId="1" applyFont="1" applyFill="1" applyAlignment="1">
      <alignment horizontal="left"/>
    </xf>
    <xf numFmtId="0" fontId="14" fillId="50" borderId="0" xfId="1" applyFont="1" applyFill="1" applyAlignment="1">
      <alignment horizontal="left"/>
    </xf>
    <xf numFmtId="0" fontId="14" fillId="6" borderId="0" xfId="1" applyFont="1" applyFill="1" applyAlignment="1">
      <alignment horizontal="center" wrapText="1"/>
    </xf>
    <xf numFmtId="0" fontId="14" fillId="3" borderId="0" xfId="1" applyFont="1" applyFill="1" applyAlignment="1">
      <alignment horizontal="center" wrapText="1"/>
    </xf>
    <xf numFmtId="0" fontId="14" fillId="6" borderId="0" xfId="0" applyFont="1" applyFill="1" applyAlignment="1">
      <alignment horizontal="center"/>
    </xf>
    <xf numFmtId="0" fontId="14" fillId="6" borderId="0" xfId="0" applyFont="1" applyFill="1"/>
    <xf numFmtId="0" fontId="14" fillId="24" borderId="0" xfId="0" applyFont="1" applyFill="1"/>
    <xf numFmtId="0" fontId="14" fillId="28" borderId="0" xfId="1" applyFont="1" applyFill="1" applyAlignment="1">
      <alignment horizontal="center"/>
    </xf>
    <xf numFmtId="0" fontId="14" fillId="5" borderId="0" xfId="1" applyFont="1" applyFill="1"/>
    <xf numFmtId="5" fontId="14" fillId="5" borderId="0" xfId="1" applyNumberFormat="1" applyFont="1" applyFill="1"/>
    <xf numFmtId="0" fontId="14" fillId="9" borderId="0" xfId="1" applyFont="1" applyFill="1"/>
    <xf numFmtId="0" fontId="16" fillId="8" borderId="0" xfId="1" applyFont="1" applyFill="1"/>
    <xf numFmtId="0" fontId="16" fillId="61" borderId="0" xfId="1" applyFont="1" applyFill="1"/>
    <xf numFmtId="0" fontId="14" fillId="7" borderId="0" xfId="1" applyFont="1" applyFill="1"/>
    <xf numFmtId="0" fontId="14" fillId="62" borderId="0" xfId="1" applyFont="1" applyFill="1"/>
    <xf numFmtId="0" fontId="14" fillId="73" borderId="0" xfId="0" applyFont="1" applyFill="1" applyAlignment="1">
      <alignment horizontal="center" wrapText="1"/>
    </xf>
    <xf numFmtId="0" fontId="68" fillId="3" borderId="0" xfId="0" applyFont="1" applyFill="1" applyAlignment="1">
      <alignment horizontal="center"/>
    </xf>
    <xf numFmtId="0" fontId="40" fillId="3" borderId="0" xfId="1" applyFont="1" applyFill="1" applyAlignment="1">
      <alignment horizontal="center"/>
    </xf>
    <xf numFmtId="0" fontId="68" fillId="3" borderId="0" xfId="0" applyFont="1" applyFill="1" applyAlignment="1">
      <alignment horizontal="center" wrapText="1"/>
    </xf>
    <xf numFmtId="8" fontId="40" fillId="0" borderId="28" xfId="1" applyNumberFormat="1" applyFont="1" applyBorder="1"/>
    <xf numFmtId="3" fontId="14" fillId="0" borderId="3" xfId="1" applyNumberFormat="1" applyFont="1" applyBorder="1" applyAlignment="1">
      <alignment horizontal="right"/>
    </xf>
    <xf numFmtId="2" fontId="43" fillId="66" borderId="0" xfId="1" applyNumberFormat="1" applyFont="1" applyFill="1" applyAlignment="1">
      <alignment horizontal="center"/>
    </xf>
    <xf numFmtId="0" fontId="40" fillId="0" borderId="0" xfId="1" applyFont="1"/>
    <xf numFmtId="2" fontId="43" fillId="66" borderId="3" xfId="1" applyNumberFormat="1" applyFont="1" applyFill="1" applyBorder="1"/>
    <xf numFmtId="0" fontId="43" fillId="66" borderId="3" xfId="1" applyFont="1" applyFill="1" applyBorder="1"/>
    <xf numFmtId="10" fontId="43" fillId="66" borderId="3" xfId="6" applyNumberFormat="1" applyFont="1" applyFill="1" applyBorder="1" applyAlignment="1"/>
    <xf numFmtId="0" fontId="43" fillId="66" borderId="28" xfId="1" applyFont="1" applyFill="1" applyBorder="1" applyAlignment="1">
      <alignment horizontal="center"/>
    </xf>
    <xf numFmtId="10" fontId="68" fillId="64" borderId="0" xfId="6" applyNumberFormat="1" applyFont="1" applyFill="1" applyBorder="1" applyAlignment="1">
      <alignment horizontal="center"/>
    </xf>
    <xf numFmtId="10" fontId="40" fillId="64" borderId="0" xfId="0" applyNumberFormat="1" applyFont="1" applyFill="1" applyAlignment="1">
      <alignment horizontal="center"/>
    </xf>
    <xf numFmtId="10" fontId="40" fillId="0" borderId="0" xfId="6" applyNumberFormat="1" applyFont="1" applyFill="1" applyBorder="1" applyAlignment="1"/>
    <xf numFmtId="10" fontId="68" fillId="0" borderId="0" xfId="0" applyNumberFormat="1" applyFont="1" applyAlignment="1">
      <alignment horizontal="center"/>
    </xf>
    <xf numFmtId="0" fontId="14" fillId="0" borderId="0" xfId="9" applyFont="1"/>
    <xf numFmtId="0" fontId="40" fillId="16" borderId="0" xfId="1" applyFont="1" applyFill="1"/>
    <xf numFmtId="0" fontId="40" fillId="50" borderId="0" xfId="1" applyFont="1" applyFill="1"/>
    <xf numFmtId="0" fontId="14" fillId="6" borderId="0" xfId="1" applyFont="1" applyFill="1" applyAlignment="1">
      <alignment horizontal="center"/>
    </xf>
    <xf numFmtId="0" fontId="5" fillId="9" borderId="28" xfId="0" applyFont="1" applyFill="1" applyBorder="1" applyAlignment="1">
      <alignment horizontal="center" wrapText="1"/>
    </xf>
    <xf numFmtId="9" fontId="3" fillId="66" borderId="28" xfId="6" applyFont="1" applyFill="1" applyBorder="1"/>
    <xf numFmtId="9" fontId="3" fillId="0" borderId="28" xfId="1" applyNumberFormat="1" applyBorder="1"/>
    <xf numFmtId="169" fontId="53" fillId="86" borderId="4" xfId="15" applyNumberFormat="1" applyFont="1" applyFill="1" applyBorder="1" applyAlignment="1">
      <alignment horizontal="center" vertical="center"/>
    </xf>
    <xf numFmtId="169" fontId="53" fillId="86" borderId="8" xfId="15" applyNumberFormat="1" applyFont="1" applyFill="1" applyBorder="1" applyAlignment="1">
      <alignment horizontal="center" vertical="center"/>
    </xf>
    <xf numFmtId="0" fontId="8" fillId="0" borderId="3" xfId="1" applyFont="1" applyBorder="1"/>
    <xf numFmtId="9" fontId="8" fillId="13" borderId="6" xfId="1" applyNumberFormat="1" applyFont="1" applyFill="1" applyBorder="1" applyAlignment="1">
      <alignment horizontal="center"/>
    </xf>
    <xf numFmtId="43" fontId="8" fillId="13" borderId="1" xfId="3" applyFont="1" applyFill="1" applyBorder="1" applyAlignment="1">
      <alignment horizontal="center"/>
    </xf>
    <xf numFmtId="43" fontId="8" fillId="13" borderId="10" xfId="3" applyFont="1" applyFill="1" applyBorder="1" applyAlignment="1">
      <alignment horizontal="center"/>
    </xf>
    <xf numFmtId="0" fontId="8" fillId="13" borderId="3" xfId="1" applyFont="1" applyFill="1" applyBorder="1" applyAlignment="1">
      <alignment horizontal="center"/>
    </xf>
    <xf numFmtId="0" fontId="26" fillId="73" borderId="3" xfId="0" applyFont="1" applyFill="1" applyBorder="1" applyAlignment="1">
      <alignment horizontal="center"/>
    </xf>
    <xf numFmtId="0" fontId="26" fillId="73" borderId="28" xfId="0" applyFont="1" applyFill="1" applyBorder="1" applyAlignment="1">
      <alignment horizontal="center"/>
    </xf>
    <xf numFmtId="0" fontId="14" fillId="75" borderId="0" xfId="0" applyFont="1" applyFill="1" applyAlignment="1">
      <alignment horizontal="center" wrapText="1"/>
    </xf>
    <xf numFmtId="0" fontId="40" fillId="75" borderId="0" xfId="0" applyFont="1" applyFill="1" applyAlignment="1">
      <alignment horizontal="center" wrapText="1"/>
    </xf>
    <xf numFmtId="8" fontId="3" fillId="75" borderId="1" xfId="1" applyNumberFormat="1" applyFill="1" applyBorder="1"/>
    <xf numFmtId="10" fontId="8" fillId="13" borderId="0" xfId="6" applyNumberFormat="1" applyFont="1" applyFill="1" applyBorder="1" applyAlignment="1">
      <alignment horizontal="center"/>
    </xf>
    <xf numFmtId="3" fontId="8" fillId="66" borderId="28" xfId="1" applyNumberFormat="1" applyFont="1" applyFill="1" applyBorder="1"/>
    <xf numFmtId="3" fontId="8" fillId="66" borderId="3" xfId="1" applyNumberFormat="1" applyFont="1" applyFill="1" applyBorder="1"/>
    <xf numFmtId="0" fontId="14" fillId="33" borderId="0" xfId="1" applyFont="1" applyFill="1" applyAlignment="1">
      <alignment horizontal="center" wrapText="1"/>
    </xf>
    <xf numFmtId="0" fontId="14" fillId="60" borderId="0" xfId="1" applyFont="1" applyFill="1" applyAlignment="1">
      <alignment horizontal="center" wrapText="1"/>
    </xf>
    <xf numFmtId="0" fontId="14" fillId="88" borderId="0" xfId="1" applyFont="1" applyFill="1" applyAlignment="1">
      <alignment horizontal="center" wrapText="1"/>
    </xf>
    <xf numFmtId="0" fontId="14" fillId="0" borderId="0" xfId="1" applyFont="1" applyAlignment="1">
      <alignment horizontal="center" wrapText="1"/>
    </xf>
    <xf numFmtId="0" fontId="43" fillId="0" borderId="0" xfId="1" applyFont="1" applyAlignment="1">
      <alignment horizontal="center"/>
    </xf>
    <xf numFmtId="10" fontId="14" fillId="0" borderId="40" xfId="1" applyNumberFormat="1" applyFont="1" applyBorder="1"/>
    <xf numFmtId="0" fontId="40" fillId="28" borderId="0" xfId="1" applyFont="1" applyFill="1"/>
    <xf numFmtId="0" fontId="3" fillId="28" borderId="0" xfId="1" applyFill="1"/>
    <xf numFmtId="0" fontId="3" fillId="28" borderId="0" xfId="1" applyFill="1" applyAlignment="1">
      <alignment horizontal="center"/>
    </xf>
    <xf numFmtId="0" fontId="43" fillId="13" borderId="3" xfId="1" applyFont="1" applyFill="1" applyBorder="1" applyAlignment="1">
      <alignment horizontal="center"/>
    </xf>
    <xf numFmtId="0" fontId="14" fillId="88" borderId="3" xfId="1" applyFont="1" applyFill="1" applyBorder="1" applyAlignment="1">
      <alignment horizontal="center" wrapText="1"/>
    </xf>
    <xf numFmtId="0" fontId="5" fillId="66" borderId="1" xfId="1" applyFont="1" applyFill="1" applyBorder="1" applyAlignment="1">
      <alignment horizontal="center"/>
    </xf>
    <xf numFmtId="10" fontId="43" fillId="13" borderId="31" xfId="6" applyNumberFormat="1" applyFont="1" applyFill="1" applyBorder="1" applyAlignment="1">
      <alignment horizontal="center"/>
    </xf>
    <xf numFmtId="0" fontId="8" fillId="66" borderId="14" xfId="1" applyFont="1" applyFill="1" applyBorder="1" applyAlignment="1">
      <alignment horizontal="center"/>
    </xf>
    <xf numFmtId="0" fontId="23" fillId="13" borderId="3" xfId="1" applyFont="1" applyFill="1" applyBorder="1" applyAlignment="1">
      <alignment horizontal="center"/>
    </xf>
    <xf numFmtId="0" fontId="14" fillId="42" borderId="3" xfId="1" applyFont="1" applyFill="1" applyBorder="1" applyAlignment="1">
      <alignment horizontal="center"/>
    </xf>
    <xf numFmtId="0" fontId="17" fillId="16" borderId="9" xfId="0" applyFont="1" applyFill="1" applyBorder="1" applyAlignment="1" applyProtection="1">
      <alignment horizontal="center" wrapText="1"/>
      <protection hidden="1"/>
    </xf>
    <xf numFmtId="0" fontId="17" fillId="16" borderId="0" xfId="1" applyFont="1" applyFill="1" applyAlignment="1">
      <alignment horizontal="center" wrapText="1"/>
    </xf>
    <xf numFmtId="0" fontId="17" fillId="16" borderId="9" xfId="1" applyFont="1" applyFill="1" applyBorder="1" applyAlignment="1">
      <alignment horizontal="center" wrapText="1"/>
    </xf>
    <xf numFmtId="0" fontId="17" fillId="16" borderId="4" xfId="1" applyFont="1" applyFill="1" applyBorder="1" applyAlignment="1">
      <alignment horizontal="center" wrapText="1"/>
    </xf>
    <xf numFmtId="0" fontId="17" fillId="16" borderId="4" xfId="0" applyFont="1" applyFill="1" applyBorder="1" applyAlignment="1" applyProtection="1">
      <alignment horizontal="left" wrapText="1"/>
      <protection hidden="1"/>
    </xf>
    <xf numFmtId="0" fontId="17" fillId="16" borderId="9" xfId="0" applyFont="1" applyFill="1" applyBorder="1" applyAlignment="1">
      <alignment horizontal="center" wrapText="1"/>
    </xf>
    <xf numFmtId="0" fontId="14" fillId="42" borderId="0" xfId="0" applyFont="1" applyFill="1" applyAlignment="1">
      <alignment horizontal="center" wrapText="1"/>
    </xf>
    <xf numFmtId="0" fontId="5" fillId="42" borderId="0" xfId="0" applyFont="1" applyFill="1" applyAlignment="1">
      <alignment horizontal="center" wrapText="1"/>
    </xf>
    <xf numFmtId="0" fontId="5" fillId="42" borderId="1" xfId="0" applyFont="1" applyFill="1" applyBorder="1" applyAlignment="1">
      <alignment horizontal="center" wrapText="1"/>
    </xf>
    <xf numFmtId="0" fontId="5" fillId="0" borderId="0" xfId="1" applyFont="1" applyAlignment="1">
      <alignment horizontal="center" wrapText="1"/>
    </xf>
    <xf numFmtId="0" fontId="3" fillId="0" borderId="4" xfId="1" applyBorder="1" applyAlignment="1">
      <alignment horizontal="center"/>
    </xf>
    <xf numFmtId="0" fontId="5" fillId="0" borderId="8" xfId="0" applyFont="1" applyBorder="1"/>
    <xf numFmtId="164" fontId="5" fillId="24" borderId="8" xfId="5" applyNumberFormat="1" applyFont="1" applyFill="1" applyBorder="1"/>
    <xf numFmtId="0" fontId="5" fillId="0" borderId="14" xfId="0" applyFont="1" applyBorder="1"/>
    <xf numFmtId="184" fontId="8" fillId="66" borderId="28" xfId="5" applyNumberFormat="1" applyFont="1" applyFill="1" applyBorder="1"/>
    <xf numFmtId="0" fontId="23" fillId="0" borderId="15" xfId="1" applyFont="1" applyBorder="1" applyAlignment="1">
      <alignment horizontal="center"/>
    </xf>
    <xf numFmtId="0" fontId="5" fillId="5" borderId="15" xfId="0" applyFont="1" applyFill="1" applyBorder="1" applyAlignment="1">
      <alignment horizontal="center" wrapText="1"/>
    </xf>
    <xf numFmtId="0" fontId="8" fillId="0" borderId="2" xfId="1" applyFont="1" applyBorder="1"/>
    <xf numFmtId="0" fontId="5" fillId="5" borderId="0" xfId="0" applyFont="1" applyFill="1" applyAlignment="1">
      <alignment horizontal="center" wrapText="1"/>
    </xf>
    <xf numFmtId="0" fontId="67" fillId="71" borderId="3" xfId="0" applyFont="1" applyFill="1" applyBorder="1" applyAlignment="1">
      <alignment horizontal="center" vertical="center" wrapText="1"/>
    </xf>
    <xf numFmtId="42" fontId="8" fillId="13" borderId="14" xfId="0" applyNumberFormat="1" applyFont="1" applyFill="1" applyBorder="1" applyAlignment="1">
      <alignment horizontal="center" vertical="center" wrapText="1"/>
    </xf>
    <xf numFmtId="0" fontId="23" fillId="0" borderId="3" xfId="0" applyFont="1" applyBorder="1"/>
    <xf numFmtId="0" fontId="50" fillId="66" borderId="1" xfId="0" applyFont="1" applyFill="1" applyBorder="1" applyProtection="1">
      <protection hidden="1"/>
    </xf>
    <xf numFmtId="0" fontId="3" fillId="66" borderId="9" xfId="0" applyFont="1" applyFill="1" applyBorder="1" applyAlignment="1" applyProtection="1">
      <alignment horizontal="left"/>
      <protection hidden="1"/>
    </xf>
    <xf numFmtId="0" fontId="3" fillId="66" borderId="0" xfId="1" applyFill="1"/>
    <xf numFmtId="0" fontId="3" fillId="66" borderId="9" xfId="1" applyFill="1" applyBorder="1"/>
    <xf numFmtId="0" fontId="3" fillId="66" borderId="4" xfId="1" applyFill="1" applyBorder="1"/>
    <xf numFmtId="0" fontId="5" fillId="63" borderId="3" xfId="0" applyFont="1" applyFill="1" applyBorder="1" applyAlignment="1" applyProtection="1">
      <alignment horizontal="center" wrapText="1"/>
      <protection locked="0"/>
    </xf>
    <xf numFmtId="3" fontId="40" fillId="0" borderId="3" xfId="1" applyNumberFormat="1" applyFont="1" applyBorder="1" applyAlignment="1">
      <alignment horizontal="right"/>
    </xf>
    <xf numFmtId="164" fontId="3" fillId="86" borderId="1" xfId="3" applyNumberFormat="1" applyFont="1" applyFill="1" applyBorder="1" applyAlignment="1">
      <alignment horizontal="center"/>
    </xf>
    <xf numFmtId="0" fontId="25" fillId="25" borderId="96" xfId="0" applyFont="1" applyFill="1" applyBorder="1" applyAlignment="1">
      <alignment horizontal="center" vertical="center"/>
    </xf>
    <xf numFmtId="0" fontId="73" fillId="92" borderId="98" xfId="0" applyFont="1" applyFill="1" applyBorder="1" applyAlignment="1">
      <alignment horizontal="center" vertical="center"/>
    </xf>
    <xf numFmtId="0" fontId="25" fillId="16" borderId="99" xfId="0" applyFont="1" applyFill="1" applyBorder="1" applyAlignment="1">
      <alignment horizontal="center" vertical="center" wrapText="1"/>
    </xf>
    <xf numFmtId="10" fontId="63" fillId="0" borderId="101" xfId="0" applyNumberFormat="1" applyFont="1" applyBorder="1" applyAlignment="1">
      <alignment horizontal="center" vertical="center"/>
    </xf>
    <xf numFmtId="0" fontId="25" fillId="25" borderId="103" xfId="0" applyFont="1" applyFill="1" applyBorder="1" applyAlignment="1">
      <alignment horizontal="center" vertical="center"/>
    </xf>
    <xf numFmtId="10" fontId="63" fillId="0" borderId="104" xfId="0" applyNumberFormat="1" applyFont="1" applyBorder="1" applyAlignment="1">
      <alignment horizontal="center" vertical="center"/>
    </xf>
    <xf numFmtId="0" fontId="73" fillId="92" borderId="106" xfId="0" applyFont="1" applyFill="1" applyBorder="1" applyAlignment="1">
      <alignment horizontal="center" vertical="center"/>
    </xf>
    <xf numFmtId="10" fontId="63" fillId="0" borderId="108" xfId="0" applyNumberFormat="1" applyFont="1" applyBorder="1" applyAlignment="1">
      <alignment horizontal="center" vertical="center"/>
    </xf>
    <xf numFmtId="0" fontId="25" fillId="25" borderId="110" xfId="0" applyFont="1" applyFill="1" applyBorder="1" applyAlignment="1">
      <alignment horizontal="center" vertical="center"/>
    </xf>
    <xf numFmtId="10" fontId="63" fillId="0" borderId="111" xfId="0" applyNumberFormat="1" applyFont="1" applyBorder="1" applyAlignment="1">
      <alignment horizontal="center" vertical="center"/>
    </xf>
    <xf numFmtId="10" fontId="63" fillId="0" borderId="112" xfId="0" applyNumberFormat="1" applyFont="1" applyBorder="1" applyAlignment="1">
      <alignment horizontal="center" vertical="center"/>
    </xf>
    <xf numFmtId="0" fontId="3" fillId="0" borderId="0" xfId="6" applyNumberFormat="1" applyFont="1" applyFill="1" applyBorder="1" applyAlignment="1"/>
    <xf numFmtId="0" fontId="50" fillId="66" borderId="1" xfId="0" applyFont="1" applyFill="1" applyBorder="1" applyAlignment="1" applyProtection="1">
      <alignment wrapText="1"/>
      <protection hidden="1"/>
    </xf>
    <xf numFmtId="0" fontId="3" fillId="66" borderId="9" xfId="0" applyFont="1" applyFill="1" applyBorder="1" applyAlignment="1" applyProtection="1">
      <alignment horizontal="left" wrapText="1"/>
      <protection hidden="1"/>
    </xf>
    <xf numFmtId="0" fontId="3" fillId="66" borderId="0" xfId="1" applyFill="1" applyAlignment="1">
      <alignment wrapText="1"/>
    </xf>
    <xf numFmtId="0" fontId="3" fillId="66" borderId="4" xfId="1" applyFill="1" applyBorder="1" applyAlignment="1">
      <alignment wrapText="1"/>
    </xf>
    <xf numFmtId="0" fontId="3" fillId="66" borderId="9" xfId="1" applyFill="1" applyBorder="1" applyAlignment="1">
      <alignment wrapText="1"/>
    </xf>
    <xf numFmtId="0" fontId="3" fillId="0" borderId="0" xfId="1" applyAlignment="1">
      <alignment wrapText="1"/>
    </xf>
    <xf numFmtId="10" fontId="3" fillId="0" borderId="0" xfId="6" applyNumberFormat="1" applyFont="1" applyFill="1" applyBorder="1" applyAlignment="1">
      <alignment wrapText="1"/>
    </xf>
    <xf numFmtId="0" fontId="43" fillId="13" borderId="0" xfId="1" applyFont="1" applyFill="1" applyAlignment="1">
      <alignment horizontal="center" wrapText="1"/>
    </xf>
    <xf numFmtId="0" fontId="50" fillId="47" borderId="1" xfId="0" applyFont="1" applyFill="1" applyBorder="1" applyAlignment="1" applyProtection="1">
      <alignment wrapText="1"/>
      <protection hidden="1"/>
    </xf>
    <xf numFmtId="0" fontId="3" fillId="47" borderId="9" xfId="0" applyFont="1" applyFill="1" applyBorder="1" applyAlignment="1" applyProtection="1">
      <alignment horizontal="left" wrapText="1"/>
      <protection hidden="1"/>
    </xf>
    <xf numFmtId="0" fontId="3" fillId="47" borderId="0" xfId="1" applyFill="1" applyAlignment="1">
      <alignment wrapText="1"/>
    </xf>
    <xf numFmtId="0" fontId="3" fillId="47" borderId="4" xfId="1" applyFill="1" applyBorder="1" applyAlignment="1">
      <alignment wrapText="1"/>
    </xf>
    <xf numFmtId="0" fontId="3" fillId="47" borderId="9" xfId="1" applyFill="1" applyBorder="1" applyAlignment="1">
      <alignment wrapText="1"/>
    </xf>
    <xf numFmtId="0" fontId="50" fillId="19" borderId="1" xfId="0" applyFont="1" applyFill="1" applyBorder="1" applyAlignment="1" applyProtection="1">
      <alignment wrapText="1"/>
      <protection hidden="1"/>
    </xf>
    <xf numFmtId="0" fontId="50" fillId="59" borderId="1" xfId="0" applyFont="1" applyFill="1" applyBorder="1" applyAlignment="1" applyProtection="1">
      <alignment wrapText="1"/>
      <protection hidden="1"/>
    </xf>
    <xf numFmtId="0" fontId="50" fillId="33" borderId="1" xfId="0" applyFont="1" applyFill="1" applyBorder="1" applyAlignment="1" applyProtection="1">
      <alignment wrapText="1"/>
      <protection hidden="1"/>
    </xf>
    <xf numFmtId="0" fontId="3" fillId="33" borderId="9" xfId="0" applyFont="1" applyFill="1" applyBorder="1" applyAlignment="1" applyProtection="1">
      <alignment horizontal="left" wrapText="1"/>
      <protection hidden="1"/>
    </xf>
    <xf numFmtId="0" fontId="3" fillId="33" borderId="0" xfId="1" applyFill="1" applyAlignment="1">
      <alignment wrapText="1"/>
    </xf>
    <xf numFmtId="0" fontId="50" fillId="22" borderId="1" xfId="0" applyFont="1" applyFill="1" applyBorder="1" applyAlignment="1" applyProtection="1">
      <alignment wrapText="1"/>
      <protection hidden="1"/>
    </xf>
    <xf numFmtId="0" fontId="3" fillId="22" borderId="9" xfId="0" applyFont="1" applyFill="1" applyBorder="1" applyAlignment="1" applyProtection="1">
      <alignment horizontal="left" wrapText="1"/>
      <protection hidden="1"/>
    </xf>
    <xf numFmtId="0" fontId="3" fillId="22" borderId="0" xfId="1" applyFill="1" applyAlignment="1">
      <alignment wrapText="1"/>
    </xf>
    <xf numFmtId="0" fontId="50" fillId="93" borderId="1" xfId="0" applyFont="1" applyFill="1" applyBorder="1" applyAlignment="1" applyProtection="1">
      <alignment wrapText="1"/>
      <protection hidden="1"/>
    </xf>
    <xf numFmtId="0" fontId="3" fillId="93" borderId="9" xfId="0" applyFont="1" applyFill="1" applyBorder="1" applyAlignment="1" applyProtection="1">
      <alignment horizontal="left" wrapText="1"/>
      <protection hidden="1"/>
    </xf>
    <xf numFmtId="0" fontId="3" fillId="93" borderId="0" xfId="1" applyFill="1" applyAlignment="1">
      <alignment wrapText="1"/>
    </xf>
    <xf numFmtId="0" fontId="50" fillId="73" borderId="1" xfId="0" applyFont="1" applyFill="1" applyBorder="1" applyAlignment="1" applyProtection="1">
      <alignment wrapText="1"/>
      <protection hidden="1"/>
    </xf>
    <xf numFmtId="0" fontId="3" fillId="73" borderId="9" xfId="0" applyFont="1" applyFill="1" applyBorder="1" applyAlignment="1" applyProtection="1">
      <alignment horizontal="left" wrapText="1"/>
      <protection hidden="1"/>
    </xf>
    <xf numFmtId="0" fontId="3" fillId="73" borderId="0" xfId="1" applyFill="1" applyAlignment="1">
      <alignment wrapText="1"/>
    </xf>
    <xf numFmtId="0" fontId="50" fillId="20" borderId="1" xfId="0" applyFont="1" applyFill="1" applyBorder="1" applyAlignment="1" applyProtection="1">
      <alignment wrapText="1"/>
      <protection hidden="1"/>
    </xf>
    <xf numFmtId="0" fontId="3" fillId="20" borderId="9" xfId="0" applyFont="1" applyFill="1" applyBorder="1" applyAlignment="1" applyProtection="1">
      <alignment horizontal="left" wrapText="1"/>
      <protection hidden="1"/>
    </xf>
    <xf numFmtId="0" fontId="3" fillId="20" borderId="0" xfId="1" applyFill="1" applyAlignment="1">
      <alignment wrapText="1"/>
    </xf>
    <xf numFmtId="0" fontId="50" fillId="86" borderId="1" xfId="0" applyFont="1" applyFill="1" applyBorder="1" applyAlignment="1" applyProtection="1">
      <alignment wrapText="1"/>
      <protection hidden="1"/>
    </xf>
    <xf numFmtId="0" fontId="3" fillId="86" borderId="9" xfId="0" applyFont="1" applyFill="1" applyBorder="1" applyAlignment="1" applyProtection="1">
      <alignment horizontal="left" wrapText="1"/>
      <protection hidden="1"/>
    </xf>
    <xf numFmtId="0" fontId="3" fillId="86" borderId="0" xfId="1" applyFill="1" applyAlignment="1">
      <alignment wrapText="1"/>
    </xf>
    <xf numFmtId="0" fontId="50" fillId="94" borderId="1" xfId="0" applyFont="1" applyFill="1" applyBorder="1" applyAlignment="1" applyProtection="1">
      <alignment wrapText="1"/>
      <protection hidden="1"/>
    </xf>
    <xf numFmtId="0" fontId="3" fillId="94" borderId="9" xfId="0" applyFont="1" applyFill="1" applyBorder="1" applyAlignment="1" applyProtection="1">
      <alignment horizontal="left" wrapText="1"/>
      <protection hidden="1"/>
    </xf>
    <xf numFmtId="0" fontId="3" fillId="94" borderId="0" xfId="1" applyFill="1" applyAlignment="1">
      <alignment wrapText="1"/>
    </xf>
    <xf numFmtId="0" fontId="50" fillId="74" borderId="1" xfId="0" applyFont="1" applyFill="1" applyBorder="1" applyAlignment="1" applyProtection="1">
      <alignment wrapText="1"/>
      <protection hidden="1"/>
    </xf>
    <xf numFmtId="10" fontId="40" fillId="34" borderId="0" xfId="6" applyNumberFormat="1" applyFont="1" applyFill="1" applyBorder="1" applyAlignment="1"/>
    <xf numFmtId="0" fontId="40" fillId="34" borderId="0" xfId="1" applyFont="1" applyFill="1"/>
    <xf numFmtId="10" fontId="46" fillId="34" borderId="0" xfId="6" applyNumberFormat="1" applyFont="1" applyFill="1" applyBorder="1" applyAlignment="1"/>
    <xf numFmtId="10" fontId="40" fillId="95" borderId="0" xfId="6" applyNumberFormat="1" applyFont="1" applyFill="1" applyBorder="1" applyAlignment="1"/>
    <xf numFmtId="0" fontId="40" fillId="95" borderId="0" xfId="1" applyFont="1" applyFill="1"/>
    <xf numFmtId="10" fontId="14" fillId="95" borderId="0" xfId="6" applyNumberFormat="1" applyFont="1" applyFill="1" applyBorder="1" applyAlignment="1"/>
    <xf numFmtId="9" fontId="63" fillId="0" borderId="112" xfId="0" applyNumberFormat="1" applyFont="1" applyBorder="1" applyAlignment="1">
      <alignment horizontal="center" vertical="center"/>
    </xf>
    <xf numFmtId="9" fontId="63" fillId="0" borderId="108" xfId="0" applyNumberFormat="1" applyFont="1" applyBorder="1" applyAlignment="1">
      <alignment horizontal="center" vertical="center"/>
    </xf>
    <xf numFmtId="9" fontId="63" fillId="0" borderId="111" xfId="0" applyNumberFormat="1" applyFont="1" applyBorder="1" applyAlignment="1">
      <alignment horizontal="center" vertical="center"/>
    </xf>
    <xf numFmtId="10" fontId="14" fillId="78" borderId="0" xfId="6" applyNumberFormat="1" applyFont="1" applyFill="1" applyBorder="1" applyAlignment="1"/>
    <xf numFmtId="10" fontId="40" fillId="78" borderId="0" xfId="6" applyNumberFormat="1" applyFont="1" applyFill="1" applyBorder="1" applyAlignment="1"/>
    <xf numFmtId="0" fontId="40" fillId="78" borderId="0" xfId="1" applyFont="1" applyFill="1"/>
    <xf numFmtId="9" fontId="63" fillId="22" borderId="112" xfId="0" applyNumberFormat="1" applyFont="1" applyFill="1" applyBorder="1" applyAlignment="1">
      <alignment horizontal="center" vertical="center"/>
    </xf>
    <xf numFmtId="0" fontId="50" fillId="96" borderId="1" xfId="0" applyFont="1" applyFill="1" applyBorder="1" applyAlignment="1" applyProtection="1">
      <alignment wrapText="1"/>
      <protection hidden="1"/>
    </xf>
    <xf numFmtId="9" fontId="63" fillId="15" borderId="112" xfId="0" applyNumberFormat="1" applyFont="1" applyFill="1" applyBorder="1" applyAlignment="1">
      <alignment horizontal="center" vertical="center"/>
    </xf>
    <xf numFmtId="9" fontId="63" fillId="0" borderId="113" xfId="0" applyNumberFormat="1" applyFont="1" applyBorder="1" applyAlignment="1">
      <alignment horizontal="center" vertical="center"/>
    </xf>
    <xf numFmtId="9" fontId="3" fillId="0" borderId="0" xfId="6" applyFont="1" applyFill="1" applyBorder="1"/>
    <xf numFmtId="0" fontId="25" fillId="25" borderId="3" xfId="0" applyFont="1" applyFill="1" applyBorder="1" applyAlignment="1">
      <alignment horizontal="center" vertical="center"/>
    </xf>
    <xf numFmtId="0" fontId="73" fillId="92" borderId="114" xfId="0" applyFont="1" applyFill="1" applyBorder="1" applyAlignment="1">
      <alignment horizontal="center" vertical="center"/>
    </xf>
    <xf numFmtId="9" fontId="14" fillId="0" borderId="116" xfId="6" applyFont="1" applyFill="1" applyBorder="1" applyAlignment="1">
      <alignment horizontal="center" vertical="center"/>
    </xf>
    <xf numFmtId="0" fontId="25" fillId="25" borderId="81" xfId="0" applyFont="1" applyFill="1" applyBorder="1" applyAlignment="1">
      <alignment horizontal="center" vertical="center"/>
    </xf>
    <xf numFmtId="9" fontId="43" fillId="0" borderId="115" xfId="6" applyFont="1" applyFill="1" applyBorder="1" applyAlignment="1">
      <alignment horizontal="center" vertical="center"/>
    </xf>
    <xf numFmtId="0" fontId="21" fillId="16" borderId="0" xfId="0" applyFont="1" applyFill="1" applyAlignment="1">
      <alignment vertical="center"/>
    </xf>
    <xf numFmtId="0" fontId="21" fillId="0" borderId="0" xfId="0" applyFont="1" applyAlignment="1">
      <alignment vertical="center"/>
    </xf>
    <xf numFmtId="42" fontId="32" fillId="0" borderId="10" xfId="0" applyNumberFormat="1" applyFont="1" applyBorder="1"/>
    <xf numFmtId="9" fontId="24" fillId="0" borderId="3" xfId="0" applyNumberFormat="1" applyFont="1" applyBorder="1"/>
    <xf numFmtId="0" fontId="12" fillId="0" borderId="0" xfId="0" applyFont="1" applyAlignment="1" applyProtection="1">
      <alignment horizontal="left" indent="1"/>
      <protection locked="0"/>
    </xf>
    <xf numFmtId="5" fontId="21" fillId="66" borderId="3" xfId="0" applyNumberFormat="1" applyFont="1" applyFill="1" applyBorder="1"/>
    <xf numFmtId="9" fontId="62" fillId="37" borderId="3" xfId="0" applyNumberFormat="1" applyFont="1" applyFill="1" applyBorder="1"/>
    <xf numFmtId="5" fontId="21" fillId="37" borderId="3" xfId="0" applyNumberFormat="1" applyFont="1" applyFill="1" applyBorder="1" applyAlignment="1">
      <alignment horizontal="center"/>
    </xf>
    <xf numFmtId="0" fontId="42" fillId="0" borderId="0" xfId="0" applyFont="1"/>
    <xf numFmtId="9" fontId="21" fillId="37" borderId="3" xfId="0" applyNumberFormat="1" applyFont="1" applyFill="1" applyBorder="1"/>
    <xf numFmtId="42" fontId="25" fillId="64" borderId="1" xfId="0" applyNumberFormat="1" applyFont="1" applyFill="1" applyBorder="1"/>
    <xf numFmtId="0" fontId="62" fillId="0" borderId="0" xfId="0" applyFont="1"/>
    <xf numFmtId="0" fontId="5" fillId="0" borderId="0" xfId="0" applyFont="1" applyAlignment="1">
      <alignment horizontal="center" wrapText="1"/>
    </xf>
    <xf numFmtId="164" fontId="21" fillId="37" borderId="3" xfId="5" applyNumberFormat="1" applyFont="1" applyFill="1" applyBorder="1"/>
    <xf numFmtId="0" fontId="76" fillId="0" borderId="0" xfId="0" applyFont="1" applyProtection="1">
      <protection locked="0"/>
    </xf>
    <xf numFmtId="6" fontId="78" fillId="37" borderId="3" xfId="0" applyNumberFormat="1" applyFont="1" applyFill="1" applyBorder="1"/>
    <xf numFmtId="0" fontId="31" fillId="0" borderId="0" xfId="0" applyFont="1" applyAlignment="1" applyProtection="1">
      <alignment horizontal="right" indent="1"/>
      <protection locked="0"/>
    </xf>
    <xf numFmtId="42" fontId="32" fillId="0" borderId="14" xfId="0" applyNumberFormat="1" applyFont="1" applyBorder="1" applyAlignment="1">
      <alignment horizontal="right"/>
    </xf>
    <xf numFmtId="0" fontId="12" fillId="0" borderId="0" xfId="0" applyFont="1" applyAlignment="1" applyProtection="1">
      <alignment horizontal="right" indent="1"/>
      <protection locked="0"/>
    </xf>
    <xf numFmtId="42" fontId="41" fillId="0" borderId="14" xfId="0" applyNumberFormat="1" applyFont="1" applyBorder="1" applyAlignment="1">
      <alignment horizontal="right"/>
    </xf>
    <xf numFmtId="0" fontId="5" fillId="14" borderId="30" xfId="0" applyFont="1" applyFill="1" applyBorder="1" applyAlignment="1" applyProtection="1">
      <alignment vertical="center"/>
      <protection locked="0"/>
    </xf>
    <xf numFmtId="164" fontId="21" fillId="0" borderId="3" xfId="5" applyNumberFormat="1" applyFont="1" applyBorder="1"/>
    <xf numFmtId="0" fontId="5" fillId="0" borderId="4" xfId="0" applyFont="1" applyBorder="1" applyAlignment="1" applyProtection="1">
      <alignment vertical="center"/>
      <protection locked="0"/>
    </xf>
    <xf numFmtId="4" fontId="21" fillId="13" borderId="3" xfId="0" applyNumberFormat="1" applyFont="1" applyFill="1" applyBorder="1" applyAlignment="1">
      <alignment horizontal="center"/>
    </xf>
    <xf numFmtId="0" fontId="3" fillId="0" borderId="0" xfId="0" applyFont="1" applyAlignment="1" applyProtection="1">
      <alignment horizontal="center"/>
      <protection locked="0"/>
    </xf>
    <xf numFmtId="8" fontId="21" fillId="0" borderId="0" xfId="0" applyNumberFormat="1" applyFont="1" applyAlignment="1">
      <alignment horizontal="center"/>
    </xf>
    <xf numFmtId="3" fontId="21" fillId="0" borderId="3" xfId="0" applyNumberFormat="1" applyFont="1" applyBorder="1" applyAlignment="1">
      <alignment horizontal="center"/>
    </xf>
    <xf numFmtId="43" fontId="24" fillId="0" borderId="3" xfId="0" applyNumberFormat="1" applyFont="1" applyBorder="1"/>
    <xf numFmtId="0" fontId="8" fillId="0" borderId="0" xfId="0" applyFont="1" applyAlignment="1" applyProtection="1">
      <alignment horizontal="right"/>
      <protection locked="0"/>
    </xf>
    <xf numFmtId="3" fontId="41" fillId="0" borderId="3" xfId="0" applyNumberFormat="1" applyFont="1" applyBorder="1" applyAlignment="1">
      <alignment horizontal="center"/>
    </xf>
    <xf numFmtId="0" fontId="79" fillId="2" borderId="3" xfId="0" applyFont="1" applyFill="1" applyBorder="1"/>
    <xf numFmtId="9" fontId="80" fillId="0" borderId="0" xfId="6" applyFont="1"/>
    <xf numFmtId="9" fontId="80" fillId="0" borderId="0" xfId="6" applyFont="1" applyAlignment="1">
      <alignment horizontal="center"/>
    </xf>
    <xf numFmtId="3" fontId="21" fillId="57" borderId="3" xfId="0" applyNumberFormat="1" applyFont="1" applyFill="1" applyBorder="1"/>
    <xf numFmtId="42" fontId="21" fillId="53" borderId="3" xfId="0" applyNumberFormat="1" applyFont="1" applyFill="1" applyBorder="1"/>
    <xf numFmtId="164" fontId="21" fillId="53" borderId="3" xfId="5" applyNumberFormat="1" applyFont="1" applyFill="1" applyBorder="1"/>
    <xf numFmtId="42" fontId="21" fillId="44" borderId="3" xfId="0" applyNumberFormat="1" applyFont="1" applyFill="1" applyBorder="1"/>
    <xf numFmtId="3" fontId="21" fillId="44" borderId="3" xfId="0" applyNumberFormat="1" applyFont="1" applyFill="1" applyBorder="1"/>
    <xf numFmtId="0" fontId="10" fillId="0" borderId="14" xfId="0" applyFont="1" applyBorder="1" applyProtection="1">
      <protection locked="0"/>
    </xf>
    <xf numFmtId="0" fontId="21" fillId="0" borderId="14" xfId="0" applyFont="1" applyBorder="1"/>
    <xf numFmtId="0" fontId="13" fillId="0" borderId="14" xfId="0" applyFont="1" applyBorder="1" applyProtection="1">
      <protection locked="0"/>
    </xf>
    <xf numFmtId="0" fontId="81" fillId="0" borderId="14" xfId="0" applyFont="1" applyBorder="1" applyProtection="1">
      <protection locked="0"/>
    </xf>
    <xf numFmtId="0" fontId="5" fillId="10" borderId="0" xfId="1" applyFont="1" applyFill="1" applyAlignment="1">
      <alignment horizontal="center" wrapText="1"/>
    </xf>
    <xf numFmtId="0" fontId="3" fillId="86" borderId="0" xfId="1" applyFill="1" applyAlignment="1">
      <alignment horizontal="left" wrapText="1"/>
    </xf>
    <xf numFmtId="10" fontId="63" fillId="15" borderId="112" xfId="0" applyNumberFormat="1" applyFont="1" applyFill="1" applyBorder="1" applyAlignment="1">
      <alignment horizontal="center" vertical="center"/>
    </xf>
    <xf numFmtId="0" fontId="3" fillId="26" borderId="0" xfId="1" applyFill="1"/>
    <xf numFmtId="0" fontId="65" fillId="13" borderId="3" xfId="0" applyFont="1" applyFill="1" applyBorder="1"/>
    <xf numFmtId="0" fontId="3" fillId="0" borderId="7" xfId="1" applyBorder="1"/>
    <xf numFmtId="0" fontId="3" fillId="0" borderId="117" xfId="1" applyBorder="1" applyAlignment="1">
      <alignment horizontal="left"/>
    </xf>
    <xf numFmtId="0" fontId="3" fillId="0" borderId="94" xfId="1" applyBorder="1" applyAlignment="1">
      <alignment horizontal="left"/>
    </xf>
    <xf numFmtId="0" fontId="44" fillId="0" borderId="0" xfId="0" applyFont="1" applyAlignment="1">
      <alignment horizontal="center"/>
    </xf>
    <xf numFmtId="0" fontId="21" fillId="13" borderId="0" xfId="0" applyFont="1" applyFill="1"/>
    <xf numFmtId="0" fontId="44" fillId="13" borderId="0" xfId="0" applyFont="1" applyFill="1" applyAlignment="1">
      <alignment horizontal="center"/>
    </xf>
    <xf numFmtId="0" fontId="3" fillId="0" borderId="10" xfId="0" applyFont="1" applyBorder="1" applyAlignment="1" applyProtection="1">
      <alignment horizontal="left"/>
      <protection hidden="1"/>
    </xf>
    <xf numFmtId="0" fontId="15" fillId="50" borderId="0" xfId="1" applyFont="1" applyFill="1" applyAlignment="1">
      <alignment horizontal="center"/>
    </xf>
    <xf numFmtId="0" fontId="5" fillId="89" borderId="0" xfId="1" applyFont="1" applyFill="1" applyAlignment="1">
      <alignment horizontal="center" wrapText="1"/>
    </xf>
    <xf numFmtId="0" fontId="5" fillId="0" borderId="33" xfId="0" applyFont="1" applyBorder="1"/>
    <xf numFmtId="0" fontId="8" fillId="37" borderId="3" xfId="1" applyFont="1" applyFill="1" applyBorder="1" applyAlignment="1">
      <alignment horizontal="center"/>
    </xf>
    <xf numFmtId="0" fontId="17" fillId="50" borderId="0" xfId="1" applyFont="1" applyFill="1" applyAlignment="1">
      <alignment horizontal="center"/>
    </xf>
    <xf numFmtId="0" fontId="17" fillId="50" borderId="9" xfId="0" applyFont="1" applyFill="1" applyBorder="1" applyAlignment="1" applyProtection="1">
      <alignment horizontal="center"/>
      <protection hidden="1"/>
    </xf>
    <xf numFmtId="0" fontId="17" fillId="50" borderId="9" xfId="1" applyFont="1" applyFill="1" applyBorder="1" applyAlignment="1">
      <alignment horizontal="center"/>
    </xf>
    <xf numFmtId="0" fontId="17" fillId="50" borderId="4" xfId="1" applyFont="1" applyFill="1" applyBorder="1" applyAlignment="1">
      <alignment horizontal="center"/>
    </xf>
    <xf numFmtId="0" fontId="17" fillId="50" borderId="4" xfId="0" applyFont="1" applyFill="1" applyBorder="1" applyAlignment="1" applyProtection="1">
      <alignment horizontal="left"/>
      <protection hidden="1"/>
    </xf>
    <xf numFmtId="0" fontId="17" fillId="50" borderId="9" xfId="0" applyFont="1" applyFill="1" applyBorder="1" applyAlignment="1">
      <alignment horizontal="center"/>
    </xf>
    <xf numFmtId="0" fontId="5" fillId="0" borderId="2" xfId="0" applyFont="1" applyBorder="1"/>
    <xf numFmtId="164" fontId="5" fillId="24" borderId="2" xfId="5" applyNumberFormat="1" applyFont="1" applyFill="1" applyBorder="1"/>
    <xf numFmtId="0" fontId="3" fillId="86" borderId="33" xfId="1" applyFill="1" applyBorder="1" applyAlignment="1">
      <alignment horizontal="center"/>
    </xf>
    <xf numFmtId="164" fontId="3" fillId="15" borderId="11" xfId="3" applyNumberFormat="1" applyFont="1" applyFill="1" applyBorder="1" applyAlignment="1">
      <alignment horizontal="center"/>
    </xf>
    <xf numFmtId="0" fontId="3" fillId="15" borderId="33" xfId="1" applyFill="1" applyBorder="1" applyAlignment="1">
      <alignment horizontal="center"/>
    </xf>
    <xf numFmtId="0" fontId="3" fillId="57" borderId="1" xfId="1" applyFill="1" applyBorder="1" applyAlignment="1">
      <alignment horizontal="center"/>
    </xf>
    <xf numFmtId="0" fontId="3" fillId="57" borderId="9" xfId="1" applyFill="1" applyBorder="1" applyAlignment="1">
      <alignment horizontal="center"/>
    </xf>
    <xf numFmtId="0" fontId="3" fillId="57" borderId="10" xfId="1" applyFill="1" applyBorder="1" applyAlignment="1">
      <alignment horizontal="center"/>
    </xf>
    <xf numFmtId="0" fontId="6" fillId="13" borderId="3" xfId="1" applyFont="1" applyFill="1" applyBorder="1" applyAlignment="1">
      <alignment horizontal="center"/>
    </xf>
    <xf numFmtId="0" fontId="3" fillId="5" borderId="4" xfId="1" applyFill="1" applyBorder="1"/>
    <xf numFmtId="0" fontId="3" fillId="5" borderId="8" xfId="1" applyFill="1" applyBorder="1"/>
    <xf numFmtId="0" fontId="5" fillId="5" borderId="30" xfId="0" applyFont="1" applyFill="1" applyBorder="1" applyAlignment="1">
      <alignment horizontal="center" wrapText="1"/>
    </xf>
    <xf numFmtId="0" fontId="6" fillId="66" borderId="14" xfId="1" applyFont="1" applyFill="1" applyBorder="1"/>
    <xf numFmtId="43" fontId="8" fillId="66" borderId="11" xfId="3" applyFont="1" applyFill="1" applyBorder="1" applyAlignment="1">
      <alignment horizontal="center"/>
    </xf>
    <xf numFmtId="0" fontId="14" fillId="73" borderId="0" xfId="0" applyFont="1" applyFill="1" applyAlignment="1">
      <alignment wrapText="1"/>
    </xf>
    <xf numFmtId="0" fontId="26" fillId="0" borderId="0" xfId="0" applyFont="1" applyAlignment="1">
      <alignment horizontal="center"/>
    </xf>
    <xf numFmtId="3" fontId="43" fillId="13" borderId="0" xfId="1" applyNumberFormat="1" applyFont="1" applyFill="1" applyAlignment="1">
      <alignment horizontal="center"/>
    </xf>
    <xf numFmtId="0" fontId="14" fillId="42" borderId="2" xfId="0" applyFont="1" applyFill="1" applyBorder="1" applyAlignment="1" applyProtection="1">
      <alignment horizontal="center" wrapText="1"/>
      <protection locked="0"/>
    </xf>
    <xf numFmtId="43" fontId="3" fillId="0" borderId="11" xfId="5" applyFont="1" applyFill="1" applyBorder="1" applyAlignment="1"/>
    <xf numFmtId="0" fontId="3" fillId="0" borderId="33" xfId="1" applyBorder="1"/>
    <xf numFmtId="0" fontId="5" fillId="5" borderId="0" xfId="1" applyFont="1" applyFill="1" applyAlignment="1">
      <alignment horizontal="center" vertical="center" wrapText="1"/>
    </xf>
    <xf numFmtId="0" fontId="3" fillId="0" borderId="33" xfId="1" applyBorder="1" applyAlignment="1">
      <alignment horizontal="center"/>
    </xf>
    <xf numFmtId="0" fontId="46" fillId="50" borderId="34" xfId="1" applyFont="1" applyFill="1" applyBorder="1" applyAlignment="1">
      <alignment horizontal="center"/>
    </xf>
    <xf numFmtId="0" fontId="46" fillId="50" borderId="25" xfId="0" applyFont="1" applyFill="1" applyBorder="1" applyAlignment="1">
      <alignment horizontal="center"/>
    </xf>
    <xf numFmtId="0" fontId="46" fillId="50" borderId="25" xfId="1" applyFont="1" applyFill="1" applyBorder="1" applyAlignment="1">
      <alignment horizontal="center"/>
    </xf>
    <xf numFmtId="0" fontId="25" fillId="50" borderId="99" xfId="0" applyFont="1" applyFill="1" applyBorder="1" applyAlignment="1">
      <alignment horizontal="center" vertical="center" wrapText="1"/>
    </xf>
    <xf numFmtId="0" fontId="25" fillId="25" borderId="118" xfId="0" applyFont="1" applyFill="1" applyBorder="1" applyAlignment="1">
      <alignment horizontal="center" vertical="center"/>
    </xf>
    <xf numFmtId="0" fontId="25" fillId="25" borderId="119" xfId="0" applyFont="1" applyFill="1" applyBorder="1" applyAlignment="1">
      <alignment horizontal="center" vertical="center"/>
    </xf>
    <xf numFmtId="9" fontId="63" fillId="0" borderId="3" xfId="0" applyNumberFormat="1" applyFont="1" applyBorder="1" applyAlignment="1">
      <alignment horizontal="center" vertical="center"/>
    </xf>
    <xf numFmtId="10" fontId="63" fillId="0" borderId="3" xfId="0" applyNumberFormat="1" applyFont="1" applyBorder="1" applyAlignment="1">
      <alignment horizontal="center" vertical="center"/>
    </xf>
    <xf numFmtId="9" fontId="63" fillId="22" borderId="3" xfId="0" applyNumberFormat="1" applyFont="1" applyFill="1" applyBorder="1" applyAlignment="1">
      <alignment horizontal="center" vertical="center"/>
    </xf>
    <xf numFmtId="10" fontId="3" fillId="0" borderId="3" xfId="6" applyNumberFormat="1" applyFont="1" applyFill="1" applyBorder="1" applyAlignment="1"/>
    <xf numFmtId="9" fontId="63" fillId="15" borderId="3" xfId="0" applyNumberFormat="1" applyFont="1" applyFill="1" applyBorder="1" applyAlignment="1">
      <alignment horizontal="center" vertical="center"/>
    </xf>
    <xf numFmtId="0" fontId="21" fillId="16" borderId="0" xfId="0" applyFont="1" applyFill="1"/>
    <xf numFmtId="43" fontId="21" fillId="16" borderId="0" xfId="5" applyFont="1" applyFill="1"/>
    <xf numFmtId="183" fontId="21" fillId="16" borderId="0" xfId="0" applyNumberFormat="1" applyFont="1" applyFill="1"/>
    <xf numFmtId="0" fontId="21" fillId="50" borderId="0" xfId="0" applyFont="1" applyFill="1" applyAlignment="1">
      <alignment vertical="center"/>
    </xf>
    <xf numFmtId="0" fontId="21" fillId="50" borderId="0" xfId="0" applyFont="1" applyFill="1"/>
    <xf numFmtId="43" fontId="21" fillId="50" borderId="0" xfId="5" applyFont="1" applyFill="1"/>
    <xf numFmtId="183" fontId="21" fillId="50" borderId="0" xfId="0" applyNumberFormat="1" applyFont="1" applyFill="1"/>
    <xf numFmtId="0" fontId="22" fillId="65" borderId="1" xfId="0" applyFont="1" applyFill="1" applyBorder="1" applyAlignment="1">
      <alignment horizontal="center" wrapText="1"/>
    </xf>
    <xf numFmtId="0" fontId="22" fillId="65" borderId="3" xfId="0" applyFont="1" applyFill="1" applyBorder="1" applyAlignment="1">
      <alignment horizontal="center" wrapText="1"/>
    </xf>
    <xf numFmtId="0" fontId="82" fillId="16" borderId="0" xfId="0" applyFont="1" applyFill="1" applyAlignment="1" applyProtection="1">
      <alignment vertical="center"/>
      <protection locked="0"/>
    </xf>
    <xf numFmtId="0" fontId="82" fillId="50" borderId="0" xfId="0" applyFont="1" applyFill="1" applyAlignment="1" applyProtection="1">
      <alignment vertical="center"/>
      <protection locked="0"/>
    </xf>
    <xf numFmtId="42" fontId="25" fillId="50" borderId="1" xfId="0" applyNumberFormat="1" applyFont="1" applyFill="1" applyBorder="1"/>
    <xf numFmtId="164" fontId="25" fillId="50" borderId="3" xfId="5" applyNumberFormat="1" applyFont="1" applyFill="1" applyBorder="1"/>
    <xf numFmtId="0" fontId="79" fillId="50" borderId="3" xfId="0" applyFont="1" applyFill="1" applyBorder="1"/>
    <xf numFmtId="5" fontId="21" fillId="53" borderId="3" xfId="0" applyNumberFormat="1" applyFont="1" applyFill="1" applyBorder="1"/>
    <xf numFmtId="10" fontId="40" fillId="53" borderId="0" xfId="0" applyNumberFormat="1" applyFont="1" applyFill="1" applyAlignment="1">
      <alignment horizontal="center" wrapText="1"/>
    </xf>
    <xf numFmtId="9" fontId="21" fillId="15" borderId="3" xfId="0" applyNumberFormat="1" applyFont="1" applyFill="1" applyBorder="1"/>
    <xf numFmtId="10" fontId="21" fillId="15" borderId="3" xfId="0" applyNumberFormat="1" applyFont="1" applyFill="1" applyBorder="1"/>
    <xf numFmtId="42" fontId="25" fillId="15" borderId="3" xfId="0" applyNumberFormat="1" applyFont="1" applyFill="1" applyBorder="1"/>
    <xf numFmtId="0" fontId="83" fillId="0" borderId="0" xfId="0" applyFont="1"/>
    <xf numFmtId="0" fontId="3" fillId="78" borderId="0" xfId="1" applyFill="1"/>
    <xf numFmtId="0" fontId="28" fillId="50" borderId="0" xfId="0" applyFont="1" applyFill="1"/>
    <xf numFmtId="0" fontId="27" fillId="50" borderId="0" xfId="0" applyFont="1" applyFill="1"/>
    <xf numFmtId="0" fontId="38" fillId="13" borderId="0" xfId="0" applyFont="1" applyFill="1" applyAlignment="1">
      <alignment horizontal="center"/>
    </xf>
    <xf numFmtId="0" fontId="3" fillId="0" borderId="1" xfId="1" applyBorder="1" applyAlignment="1">
      <alignment horizontal="left"/>
    </xf>
    <xf numFmtId="0" fontId="3" fillId="0" borderId="9" xfId="1" applyBorder="1" applyAlignment="1">
      <alignment horizontal="left"/>
    </xf>
    <xf numFmtId="0" fontId="3" fillId="0" borderId="10" xfId="1" applyBorder="1" applyAlignment="1">
      <alignment horizontal="left"/>
    </xf>
    <xf numFmtId="0" fontId="5" fillId="28" borderId="26" xfId="9" applyFont="1" applyFill="1" applyBorder="1"/>
    <xf numFmtId="10" fontId="3" fillId="0" borderId="28" xfId="1" applyNumberFormat="1" applyBorder="1"/>
    <xf numFmtId="10" fontId="35" fillId="0" borderId="3" xfId="0" applyNumberFormat="1" applyFont="1" applyBorder="1" applyAlignment="1">
      <alignment horizontal="center"/>
    </xf>
    <xf numFmtId="10" fontId="0" fillId="0" borderId="3" xfId="6" applyNumberFormat="1" applyFont="1" applyFill="1" applyBorder="1"/>
    <xf numFmtId="43" fontId="21" fillId="44" borderId="3" xfId="5" applyFont="1" applyFill="1" applyBorder="1"/>
    <xf numFmtId="43" fontId="21" fillId="0" borderId="3" xfId="5" applyFont="1" applyFill="1" applyBorder="1"/>
    <xf numFmtId="10" fontId="38" fillId="13" borderId="0" xfId="0" applyNumberFormat="1" applyFont="1" applyFill="1" applyAlignment="1">
      <alignment horizontal="center"/>
    </xf>
    <xf numFmtId="0" fontId="5" fillId="78" borderId="0" xfId="1" applyFont="1" applyFill="1"/>
    <xf numFmtId="9" fontId="63" fillId="67" borderId="112" xfId="0" applyNumberFormat="1" applyFont="1" applyFill="1" applyBorder="1" applyAlignment="1">
      <alignment horizontal="center" vertical="center"/>
    </xf>
    <xf numFmtId="9" fontId="63" fillId="67" borderId="108" xfId="0" applyNumberFormat="1" applyFont="1" applyFill="1" applyBorder="1" applyAlignment="1">
      <alignment horizontal="center" vertical="center"/>
    </xf>
    <xf numFmtId="9" fontId="63" fillId="67" borderId="111" xfId="0" applyNumberFormat="1" applyFont="1" applyFill="1" applyBorder="1" applyAlignment="1">
      <alignment horizontal="center" vertical="center"/>
    </xf>
    <xf numFmtId="0" fontId="14" fillId="0" borderId="0" xfId="1" applyFont="1" applyAlignment="1">
      <alignment horizontal="center"/>
    </xf>
    <xf numFmtId="0" fontId="65" fillId="13" borderId="0" xfId="0" applyFont="1" applyFill="1" applyAlignment="1">
      <alignment horizontal="center"/>
    </xf>
    <xf numFmtId="178" fontId="0" fillId="13" borderId="5" xfId="0" applyNumberFormat="1" applyFill="1" applyBorder="1"/>
    <xf numFmtId="0" fontId="84" fillId="2" borderId="3" xfId="1" applyFont="1" applyFill="1" applyBorder="1" applyAlignment="1" applyProtection="1">
      <alignment horizontal="center" vertical="center" wrapText="1"/>
      <protection hidden="1"/>
    </xf>
    <xf numFmtId="4" fontId="0" fillId="67" borderId="0" xfId="0" applyNumberFormat="1" applyFill="1" applyAlignment="1">
      <alignment horizontal="center"/>
    </xf>
    <xf numFmtId="3" fontId="55" fillId="16" borderId="0" xfId="0" applyNumberFormat="1" applyFont="1" applyFill="1"/>
    <xf numFmtId="42" fontId="85" fillId="16" borderId="30" xfId="0" applyNumberFormat="1" applyFont="1" applyFill="1" applyBorder="1" applyProtection="1">
      <protection hidden="1"/>
    </xf>
    <xf numFmtId="0" fontId="4" fillId="15" borderId="3" xfId="1" applyFont="1" applyFill="1" applyBorder="1" applyAlignment="1" applyProtection="1">
      <alignment horizontal="center" vertical="center" wrapText="1"/>
      <protection hidden="1"/>
    </xf>
    <xf numFmtId="0" fontId="5" fillId="58" borderId="14" xfId="0" applyFont="1" applyFill="1" applyBorder="1"/>
    <xf numFmtId="0" fontId="3" fillId="0" borderId="8" xfId="0" applyFont="1" applyBorder="1" applyAlignment="1">
      <alignment horizontal="center"/>
    </xf>
    <xf numFmtId="0" fontId="3" fillId="0" borderId="14" xfId="0" applyFont="1" applyBorder="1" applyAlignment="1">
      <alignment horizontal="center"/>
    </xf>
    <xf numFmtId="0" fontId="1" fillId="37" borderId="3" xfId="0" applyFont="1" applyFill="1" applyBorder="1" applyAlignment="1">
      <alignment horizontal="center"/>
    </xf>
    <xf numFmtId="0" fontId="5" fillId="29" borderId="3" xfId="0" applyFont="1" applyFill="1" applyBorder="1" applyAlignment="1">
      <alignment horizontal="center" wrapText="1"/>
    </xf>
    <xf numFmtId="0" fontId="8" fillId="0" borderId="10" xfId="1" applyFont="1" applyBorder="1"/>
    <xf numFmtId="0" fontId="14" fillId="86" borderId="0" xfId="1" applyFont="1" applyFill="1" applyAlignment="1">
      <alignment wrapText="1"/>
    </xf>
    <xf numFmtId="10" fontId="8" fillId="13" borderId="34" xfId="2" applyNumberFormat="1" applyFont="1" applyFill="1" applyBorder="1"/>
    <xf numFmtId="0" fontId="53" fillId="35" borderId="11" xfId="1" applyFont="1" applyFill="1" applyBorder="1"/>
    <xf numFmtId="0" fontId="53" fillId="35" borderId="5" xfId="1" applyFont="1" applyFill="1" applyBorder="1"/>
    <xf numFmtId="0" fontId="5" fillId="27" borderId="28" xfId="0" applyFont="1" applyFill="1" applyBorder="1" applyAlignment="1">
      <alignment horizontal="center" wrapText="1"/>
    </xf>
    <xf numFmtId="3" fontId="3" fillId="13" borderId="11" xfId="1" applyNumberFormat="1" applyFill="1" applyBorder="1" applyAlignment="1">
      <alignment horizontal="right"/>
    </xf>
    <xf numFmtId="0" fontId="5" fillId="27" borderId="33" xfId="0" applyFont="1" applyFill="1" applyBorder="1" applyAlignment="1">
      <alignment horizontal="center" wrapText="1"/>
    </xf>
    <xf numFmtId="0" fontId="86" fillId="17" borderId="3" xfId="0" applyFont="1" applyFill="1" applyBorder="1" applyAlignment="1">
      <alignment horizontal="center" wrapText="1"/>
    </xf>
    <xf numFmtId="0" fontId="4" fillId="97" borderId="3" xfId="1" applyFont="1" applyFill="1" applyBorder="1" applyAlignment="1" applyProtection="1">
      <alignment horizontal="center" vertical="center" wrapText="1"/>
      <protection hidden="1"/>
    </xf>
    <xf numFmtId="0" fontId="18" fillId="97" borderId="3" xfId="1" applyFont="1" applyFill="1" applyBorder="1" applyAlignment="1" applyProtection="1">
      <alignment horizontal="center" vertical="center" wrapText="1"/>
      <protection hidden="1"/>
    </xf>
    <xf numFmtId="0" fontId="34" fillId="97" borderId="0" xfId="0" applyFont="1" applyFill="1"/>
    <xf numFmtId="5" fontId="0" fillId="0" borderId="0" xfId="0" applyNumberFormat="1"/>
    <xf numFmtId="3" fontId="55" fillId="97" borderId="0" xfId="0" applyNumberFormat="1" applyFont="1" applyFill="1"/>
    <xf numFmtId="0" fontId="35" fillId="0" borderId="5" xfId="0" applyFont="1" applyBorder="1"/>
    <xf numFmtId="10" fontId="0" fillId="16" borderId="0" xfId="6" applyNumberFormat="1" applyFont="1" applyFill="1" applyBorder="1" applyAlignment="1">
      <alignment horizontal="center"/>
    </xf>
    <xf numFmtId="0" fontId="3" fillId="0" borderId="10" xfId="1" applyBorder="1" applyAlignment="1">
      <alignment vertical="center"/>
    </xf>
    <xf numFmtId="3" fontId="0" fillId="20" borderId="0" xfId="0" applyNumberFormat="1" applyFill="1"/>
    <xf numFmtId="0" fontId="46" fillId="25" borderId="0" xfId="1" applyFont="1" applyFill="1" applyAlignment="1">
      <alignment horizontal="center" wrapText="1"/>
    </xf>
    <xf numFmtId="3" fontId="43" fillId="25" borderId="0" xfId="1" applyNumberFormat="1" applyFont="1" applyFill="1" applyAlignment="1">
      <alignment horizontal="center"/>
    </xf>
    <xf numFmtId="0" fontId="14" fillId="25" borderId="0" xfId="1" applyFont="1" applyFill="1" applyAlignment="1">
      <alignment horizontal="center" wrapText="1"/>
    </xf>
    <xf numFmtId="0" fontId="3" fillId="25" borderId="1" xfId="1" applyFill="1" applyBorder="1" applyAlignment="1">
      <alignment horizontal="center"/>
    </xf>
    <xf numFmtId="0" fontId="3" fillId="25" borderId="10" xfId="1" applyFill="1" applyBorder="1" applyAlignment="1">
      <alignment horizontal="center"/>
    </xf>
    <xf numFmtId="0" fontId="87" fillId="16" borderId="0" xfId="1" applyFont="1" applyFill="1" applyAlignment="1">
      <alignment vertical="center"/>
    </xf>
    <xf numFmtId="0" fontId="88" fillId="50" borderId="0" xfId="1" applyFont="1" applyFill="1" applyAlignment="1">
      <alignment vertical="center"/>
    </xf>
    <xf numFmtId="0" fontId="89" fillId="0" borderId="0" xfId="0" applyFont="1"/>
    <xf numFmtId="0" fontId="98" fillId="15" borderId="0" xfId="9" applyFont="1" applyFill="1"/>
    <xf numFmtId="0" fontId="98" fillId="0" borderId="0" xfId="9" applyFont="1"/>
    <xf numFmtId="0" fontId="98" fillId="0" borderId="0" xfId="9" applyFont="1" applyAlignment="1">
      <alignment horizontal="center"/>
    </xf>
    <xf numFmtId="0" fontId="101" fillId="0" borderId="0" xfId="10" applyFont="1" applyBorder="1" applyAlignment="1" applyProtection="1">
      <protection hidden="1"/>
    </xf>
    <xf numFmtId="0" fontId="100" fillId="0" borderId="0" xfId="9" applyFont="1" applyAlignment="1">
      <alignment horizontal="left"/>
    </xf>
    <xf numFmtId="0" fontId="98" fillId="0" borderId="0" xfId="9" applyFont="1" applyAlignment="1">
      <alignment horizontal="justify" wrapText="1"/>
    </xf>
    <xf numFmtId="0" fontId="98" fillId="0" borderId="0" xfId="9" applyFont="1" applyAlignment="1">
      <alignment horizontal="justify"/>
    </xf>
    <xf numFmtId="0" fontId="98" fillId="0" borderId="0" xfId="9" applyFont="1" applyProtection="1">
      <protection locked="0"/>
    </xf>
    <xf numFmtId="0" fontId="100" fillId="0" borderId="0" xfId="9" applyFont="1"/>
    <xf numFmtId="0" fontId="98" fillId="0" borderId="0" xfId="9" applyFont="1" applyAlignment="1">
      <alignment horizontal="left" wrapText="1"/>
    </xf>
    <xf numFmtId="0" fontId="98" fillId="0" borderId="0" xfId="9" applyFont="1" applyAlignment="1">
      <alignment wrapText="1"/>
    </xf>
    <xf numFmtId="0" fontId="98" fillId="15" borderId="0" xfId="9" applyFont="1" applyFill="1" applyAlignment="1">
      <alignment vertical="center"/>
    </xf>
    <xf numFmtId="0" fontId="98" fillId="0" borderId="0" xfId="9" applyFont="1" applyAlignment="1">
      <alignment vertical="center"/>
    </xf>
    <xf numFmtId="0" fontId="101" fillId="0" borderId="0" xfId="10" applyFont="1" applyBorder="1" applyAlignment="1" applyProtection="1">
      <protection locked="0" hidden="1"/>
    </xf>
    <xf numFmtId="0" fontId="98" fillId="0" borderId="0" xfId="9" applyFont="1" applyAlignment="1">
      <alignment horizontal="center" wrapText="1"/>
    </xf>
    <xf numFmtId="0" fontId="96" fillId="0" borderId="0" xfId="9" applyFont="1" applyAlignment="1">
      <alignment horizontal="left"/>
    </xf>
    <xf numFmtId="0" fontId="97" fillId="0" borderId="0" xfId="9" applyFont="1" applyAlignment="1">
      <alignment horizontal="justify" wrapText="1"/>
    </xf>
    <xf numFmtId="0" fontId="98" fillId="0" borderId="45" xfId="9" applyFont="1" applyBorder="1"/>
    <xf numFmtId="0" fontId="100" fillId="15" borderId="0" xfId="9" applyFont="1" applyFill="1"/>
    <xf numFmtId="0" fontId="97" fillId="0" borderId="0" xfId="9" applyFont="1"/>
    <xf numFmtId="0" fontId="89" fillId="0" borderId="0" xfId="0" applyFont="1" applyAlignment="1">
      <alignment wrapText="1"/>
    </xf>
    <xf numFmtId="0" fontId="92" fillId="69" borderId="32" xfId="0" applyFont="1" applyFill="1" applyBorder="1" applyAlignment="1">
      <alignment horizontal="center" vertical="center" wrapText="1"/>
    </xf>
    <xf numFmtId="0" fontId="92" fillId="69" borderId="13" xfId="0" applyFont="1" applyFill="1" applyBorder="1" applyAlignment="1">
      <alignment horizontal="center" vertical="center" wrapText="1"/>
    </xf>
    <xf numFmtId="0" fontId="89" fillId="0" borderId="32" xfId="0" applyFont="1" applyBorder="1" applyAlignment="1">
      <alignment horizontal="left" vertical="center" wrapText="1"/>
    </xf>
    <xf numFmtId="0" fontId="89" fillId="0" borderId="13" xfId="0" quotePrefix="1" applyFont="1" applyBorder="1" applyAlignment="1">
      <alignment horizontal="left" vertical="center" wrapText="1"/>
    </xf>
    <xf numFmtId="0" fontId="89" fillId="0" borderId="32" xfId="0" applyFont="1" applyBorder="1"/>
    <xf numFmtId="0" fontId="89" fillId="0" borderId="13" xfId="0" quotePrefix="1" applyFont="1" applyBorder="1" applyAlignment="1">
      <alignment vertical="center" wrapText="1"/>
    </xf>
    <xf numFmtId="0" fontId="89" fillId="0" borderId="0" xfId="0" applyFont="1" applyAlignment="1">
      <alignment vertical="top" wrapText="1"/>
    </xf>
    <xf numFmtId="0" fontId="89" fillId="0" borderId="13" xfId="0" quotePrefix="1" applyFont="1" applyBorder="1" applyAlignment="1">
      <alignment horizontal="left" vertical="center" wrapText="1" indent="2"/>
    </xf>
    <xf numFmtId="0" fontId="89" fillId="0" borderId="0" xfId="0" applyFont="1" applyAlignment="1">
      <alignment vertical="center" wrapText="1"/>
    </xf>
    <xf numFmtId="0" fontId="89" fillId="0" borderId="0" xfId="0" applyFont="1" applyAlignment="1">
      <alignment vertical="center"/>
    </xf>
    <xf numFmtId="0" fontId="102" fillId="0" borderId="0" xfId="0" applyFont="1" applyAlignment="1">
      <alignment wrapText="1"/>
    </xf>
    <xf numFmtId="0" fontId="102" fillId="0" borderId="0" xfId="0" applyFont="1"/>
    <xf numFmtId="0" fontId="91" fillId="0" borderId="32" xfId="0" applyFont="1" applyBorder="1" applyAlignment="1">
      <alignment vertical="center" wrapText="1"/>
    </xf>
    <xf numFmtId="0" fontId="91" fillId="0" borderId="13" xfId="0" quotePrefix="1" applyFont="1" applyBorder="1"/>
    <xf numFmtId="0" fontId="91" fillId="0" borderId="32" xfId="0" quotePrefix="1" applyFont="1" applyBorder="1" applyAlignment="1">
      <alignment vertical="center" wrapText="1"/>
    </xf>
    <xf numFmtId="0" fontId="91" fillId="0" borderId="13" xfId="0" quotePrefix="1" applyFont="1" applyBorder="1" applyAlignment="1">
      <alignment vertical="center" wrapText="1"/>
    </xf>
    <xf numFmtId="0" fontId="41" fillId="13" borderId="0" xfId="0" applyFont="1" applyFill="1"/>
    <xf numFmtId="10" fontId="43" fillId="13" borderId="28" xfId="6" applyNumberFormat="1" applyFont="1" applyFill="1" applyBorder="1" applyAlignment="1">
      <alignment horizontal="center"/>
    </xf>
    <xf numFmtId="2" fontId="43" fillId="13" borderId="0" xfId="1" applyNumberFormat="1" applyFont="1" applyFill="1" applyAlignment="1">
      <alignment horizontal="center"/>
    </xf>
    <xf numFmtId="43" fontId="0" fillId="13" borderId="0" xfId="0" applyNumberFormat="1" applyFill="1"/>
    <xf numFmtId="0" fontId="41" fillId="0" borderId="0" xfId="0" applyFont="1" applyAlignment="1">
      <alignment horizontal="center"/>
    </xf>
    <xf numFmtId="0" fontId="58" fillId="13" borderId="0" xfId="0" applyFont="1" applyFill="1" applyAlignment="1">
      <alignment horizontal="center"/>
    </xf>
    <xf numFmtId="9" fontId="3" fillId="0" borderId="0" xfId="6" applyFont="1"/>
    <xf numFmtId="0" fontId="41" fillId="13" borderId="0" xfId="0" applyFont="1" applyFill="1" applyAlignment="1">
      <alignment horizontal="center"/>
    </xf>
    <xf numFmtId="9" fontId="24" fillId="0" borderId="0" xfId="6" applyFont="1"/>
    <xf numFmtId="0" fontId="23" fillId="0" borderId="0" xfId="0" applyFont="1" applyAlignment="1">
      <alignment horizontal="right"/>
    </xf>
    <xf numFmtId="7" fontId="21" fillId="0" borderId="0" xfId="0" applyNumberFormat="1" applyFont="1"/>
    <xf numFmtId="0" fontId="8" fillId="13" borderId="7" xfId="0" applyFont="1" applyFill="1" applyBorder="1" applyAlignment="1">
      <alignment horizontal="center"/>
    </xf>
    <xf numFmtId="42" fontId="32" fillId="0" borderId="0" xfId="0" applyNumberFormat="1" applyFont="1"/>
    <xf numFmtId="42" fontId="32" fillId="0" borderId="30" xfId="0" applyNumberFormat="1" applyFont="1" applyBorder="1" applyAlignment="1">
      <alignment horizontal="right"/>
    </xf>
    <xf numFmtId="42" fontId="32" fillId="0" borderId="0" xfId="0" applyNumberFormat="1" applyFont="1" applyAlignment="1">
      <alignment horizontal="right"/>
    </xf>
    <xf numFmtId="42" fontId="106" fillId="83" borderId="0" xfId="0" applyNumberFormat="1" applyFont="1" applyFill="1" applyAlignment="1">
      <alignment horizontal="right"/>
    </xf>
    <xf numFmtId="42" fontId="106" fillId="83" borderId="0" xfId="0" applyNumberFormat="1" applyFont="1" applyFill="1"/>
    <xf numFmtId="42" fontId="106" fillId="39" borderId="0" xfId="0" applyNumberFormat="1" applyFont="1" applyFill="1" applyAlignment="1">
      <alignment horizontal="right"/>
    </xf>
    <xf numFmtId="42" fontId="32" fillId="39" borderId="0" xfId="0" applyNumberFormat="1" applyFont="1" applyFill="1"/>
    <xf numFmtId="3" fontId="77" fillId="66" borderId="0" xfId="0" applyNumberFormat="1" applyFont="1" applyFill="1"/>
    <xf numFmtId="0" fontId="21" fillId="66" borderId="0" xfId="0" applyFont="1" applyFill="1"/>
    <xf numFmtId="9" fontId="24" fillId="66" borderId="0" xfId="6" applyFont="1" applyFill="1" applyAlignment="1">
      <alignment horizontal="center"/>
    </xf>
    <xf numFmtId="42" fontId="25" fillId="64" borderId="9" xfId="0" applyNumberFormat="1" applyFont="1" applyFill="1" applyBorder="1"/>
    <xf numFmtId="0" fontId="3" fillId="0" borderId="4" xfId="0" applyFont="1" applyBorder="1" applyProtection="1">
      <protection locked="0"/>
    </xf>
    <xf numFmtId="0" fontId="5" fillId="57" borderId="30" xfId="0" applyFont="1" applyFill="1" applyBorder="1" applyAlignment="1" applyProtection="1">
      <alignment vertical="center"/>
      <protection locked="0"/>
    </xf>
    <xf numFmtId="0" fontId="30" fillId="57" borderId="30" xfId="0" applyFont="1" applyFill="1" applyBorder="1" applyAlignment="1">
      <alignment vertical="center"/>
    </xf>
    <xf numFmtId="8" fontId="21" fillId="57" borderId="15" xfId="5" applyNumberFormat="1" applyFont="1" applyFill="1" applyBorder="1" applyAlignment="1">
      <alignment horizontal="center"/>
    </xf>
    <xf numFmtId="8" fontId="21" fillId="57" borderId="11" xfId="0" applyNumberFormat="1" applyFont="1" applyFill="1" applyBorder="1" applyAlignment="1">
      <alignment horizontal="left"/>
    </xf>
    <xf numFmtId="0" fontId="30" fillId="57" borderId="8" xfId="0" applyFont="1" applyFill="1" applyBorder="1" applyAlignment="1">
      <alignment vertical="center"/>
    </xf>
    <xf numFmtId="8" fontId="21" fillId="57" borderId="2" xfId="5" applyNumberFormat="1" applyFont="1" applyFill="1" applyBorder="1" applyAlignment="1">
      <alignment horizontal="center"/>
    </xf>
    <xf numFmtId="8" fontId="21" fillId="57" borderId="33" xfId="0" applyNumberFormat="1" applyFont="1" applyFill="1" applyBorder="1" applyAlignment="1">
      <alignment horizontal="left"/>
    </xf>
    <xf numFmtId="43" fontId="24" fillId="0" borderId="0" xfId="5" applyFont="1"/>
    <xf numFmtId="0" fontId="8" fillId="13" borderId="4" xfId="0" applyFont="1" applyFill="1" applyBorder="1" applyProtection="1">
      <protection locked="0"/>
    </xf>
    <xf numFmtId="0" fontId="22" fillId="17" borderId="130" xfId="0" applyFont="1" applyFill="1" applyBorder="1" applyAlignment="1">
      <alignment horizontal="center" wrapText="1"/>
    </xf>
    <xf numFmtId="0" fontId="22" fillId="82" borderId="114" xfId="0" applyFont="1" applyFill="1" applyBorder="1" applyAlignment="1">
      <alignment horizontal="center" wrapText="1"/>
    </xf>
    <xf numFmtId="0" fontId="17" fillId="65" borderId="27" xfId="0" applyFont="1" applyFill="1" applyBorder="1" applyAlignment="1">
      <alignment horizontal="center" wrapText="1"/>
    </xf>
    <xf numFmtId="42" fontId="21" fillId="53" borderId="131" xfId="0" applyNumberFormat="1" applyFont="1" applyFill="1" applyBorder="1"/>
    <xf numFmtId="0" fontId="21" fillId="15" borderId="116" xfId="0" applyFont="1" applyFill="1" applyBorder="1"/>
    <xf numFmtId="164" fontId="21" fillId="53" borderId="131" xfId="5" applyNumberFormat="1" applyFont="1" applyFill="1" applyBorder="1"/>
    <xf numFmtId="42" fontId="21" fillId="15" borderId="116" xfId="0" applyNumberFormat="1" applyFont="1" applyFill="1" applyBorder="1"/>
    <xf numFmtId="42" fontId="21" fillId="44" borderId="131" xfId="0" applyNumberFormat="1" applyFont="1" applyFill="1" applyBorder="1"/>
    <xf numFmtId="42" fontId="21" fillId="44" borderId="116" xfId="0" applyNumberFormat="1" applyFont="1" applyFill="1" applyBorder="1"/>
    <xf numFmtId="10" fontId="21" fillId="0" borderId="131" xfId="0" applyNumberFormat="1" applyFont="1" applyBorder="1"/>
    <xf numFmtId="10" fontId="21" fillId="0" borderId="116" xfId="0" applyNumberFormat="1" applyFont="1" applyBorder="1"/>
    <xf numFmtId="43" fontId="21" fillId="0" borderId="131" xfId="0" applyNumberFormat="1" applyFont="1" applyBorder="1"/>
    <xf numFmtId="43" fontId="21" fillId="0" borderId="116" xfId="0" applyNumberFormat="1" applyFont="1" applyBorder="1"/>
    <xf numFmtId="9" fontId="21" fillId="0" borderId="131" xfId="6" applyFont="1" applyBorder="1"/>
    <xf numFmtId="42" fontId="25" fillId="16" borderId="131" xfId="0" applyNumberFormat="1" applyFont="1" applyFill="1" applyBorder="1"/>
    <xf numFmtId="42" fontId="25" fillId="16" borderId="116" xfId="0" applyNumberFormat="1" applyFont="1" applyFill="1" applyBorder="1"/>
    <xf numFmtId="3" fontId="21" fillId="57" borderId="131" xfId="0" applyNumberFormat="1" applyFont="1" applyFill="1" applyBorder="1"/>
    <xf numFmtId="42" fontId="21" fillId="0" borderId="131" xfId="0" applyNumberFormat="1" applyFont="1" applyBorder="1"/>
    <xf numFmtId="42" fontId="21" fillId="0" borderId="116" xfId="0" applyNumberFormat="1" applyFont="1" applyBorder="1"/>
    <xf numFmtId="44" fontId="21" fillId="0" borderId="131" xfId="0" applyNumberFormat="1" applyFont="1" applyBorder="1"/>
    <xf numFmtId="0" fontId="21" fillId="0" borderId="131" xfId="0" applyFont="1" applyBorder="1"/>
    <xf numFmtId="0" fontId="21" fillId="0" borderId="132" xfId="0" applyFont="1" applyBorder="1"/>
    <xf numFmtId="42" fontId="21" fillId="15" borderId="81" xfId="0" applyNumberFormat="1" applyFont="1" applyFill="1" applyBorder="1"/>
    <xf numFmtId="42" fontId="21" fillId="15" borderId="133" xfId="0" applyNumberFormat="1" applyFont="1" applyFill="1" applyBorder="1"/>
    <xf numFmtId="10" fontId="8" fillId="13" borderId="3" xfId="0" applyNumberFormat="1" applyFont="1" applyFill="1" applyBorder="1" applyAlignment="1">
      <alignment horizontal="center"/>
    </xf>
    <xf numFmtId="10" fontId="8" fillId="66" borderId="0" xfId="6" applyNumberFormat="1" applyFont="1" applyFill="1" applyBorder="1" applyAlignment="1">
      <alignment horizontal="center"/>
    </xf>
    <xf numFmtId="4" fontId="0" fillId="10" borderId="5" xfId="0" applyNumberFormat="1" applyFill="1" applyBorder="1" applyAlignment="1">
      <alignment horizontal="center"/>
    </xf>
    <xf numFmtId="4" fontId="0" fillId="42" borderId="5" xfId="0" applyNumberFormat="1" applyFill="1" applyBorder="1" applyAlignment="1">
      <alignment horizontal="center"/>
    </xf>
    <xf numFmtId="0" fontId="107" fillId="0" borderId="14" xfId="0" applyFont="1" applyBorder="1" applyProtection="1">
      <protection locked="0"/>
    </xf>
    <xf numFmtId="0" fontId="3" fillId="13" borderId="3" xfId="1" applyFill="1" applyBorder="1" applyAlignment="1">
      <alignment horizontal="center"/>
    </xf>
    <xf numFmtId="0" fontId="43" fillId="25" borderId="3" xfId="1" applyFont="1" applyFill="1" applyBorder="1" applyAlignment="1">
      <alignment horizontal="left"/>
    </xf>
    <xf numFmtId="0" fontId="5" fillId="25" borderId="0" xfId="1" applyFont="1" applyFill="1" applyAlignment="1">
      <alignment horizontal="center"/>
    </xf>
    <xf numFmtId="0" fontId="23" fillId="25" borderId="21" xfId="1" applyFont="1" applyFill="1" applyBorder="1"/>
    <xf numFmtId="0" fontId="3" fillId="25" borderId="0" xfId="1" applyFill="1"/>
    <xf numFmtId="0" fontId="3" fillId="25" borderId="0" xfId="1" applyFill="1" applyAlignment="1">
      <alignment horizontal="center" wrapText="1"/>
    </xf>
    <xf numFmtId="0" fontId="3" fillId="25" borderId="9" xfId="1" applyFill="1" applyBorder="1" applyAlignment="1">
      <alignment horizontal="center"/>
    </xf>
    <xf numFmtId="0" fontId="8" fillId="13" borderId="3" xfId="0" applyFont="1" applyFill="1" applyBorder="1" applyAlignment="1">
      <alignment horizontal="center"/>
    </xf>
    <xf numFmtId="176" fontId="3" fillId="13" borderId="5" xfId="1" applyNumberFormat="1" applyFill="1" applyBorder="1"/>
    <xf numFmtId="0" fontId="3" fillId="13" borderId="5" xfId="1" applyFill="1" applyBorder="1"/>
    <xf numFmtId="0" fontId="3" fillId="13" borderId="33" xfId="1" applyFill="1" applyBorder="1"/>
    <xf numFmtId="0" fontId="3" fillId="13" borderId="10" xfId="1" applyFill="1" applyBorder="1"/>
    <xf numFmtId="0" fontId="108" fillId="0" borderId="0" xfId="0" applyFont="1"/>
    <xf numFmtId="0" fontId="109" fillId="0" borderId="0" xfId="0" applyFont="1"/>
    <xf numFmtId="0" fontId="109" fillId="0" borderId="0" xfId="0" applyFont="1" applyAlignment="1">
      <alignment horizontal="right"/>
    </xf>
    <xf numFmtId="0" fontId="110" fillId="0" borderId="0" xfId="0" applyFont="1" applyAlignment="1" applyProtection="1">
      <alignment horizontal="center"/>
      <protection hidden="1"/>
    </xf>
    <xf numFmtId="0" fontId="110" fillId="0" borderId="0" xfId="0" applyFont="1" applyProtection="1">
      <protection hidden="1"/>
    </xf>
    <xf numFmtId="0" fontId="111" fillId="0" borderId="0" xfId="0" applyFont="1" applyAlignment="1" applyProtection="1">
      <alignment horizontal="centerContinuous" vertical="center"/>
      <protection hidden="1"/>
    </xf>
    <xf numFmtId="0" fontId="110" fillId="0" borderId="0" xfId="0" applyFont="1" applyAlignment="1" applyProtection="1">
      <alignment horizontal="centerContinuous"/>
      <protection hidden="1"/>
    </xf>
    <xf numFmtId="0" fontId="110" fillId="37" borderId="1" xfId="0" applyFont="1" applyFill="1" applyBorder="1" applyProtection="1">
      <protection hidden="1"/>
    </xf>
    <xf numFmtId="0" fontId="113" fillId="37" borderId="3" xfId="0" applyFont="1" applyFill="1" applyBorder="1" applyAlignment="1" applyProtection="1">
      <alignment horizontal="left"/>
      <protection hidden="1"/>
    </xf>
    <xf numFmtId="0" fontId="114" fillId="0" borderId="0" xfId="0" applyFont="1" applyProtection="1">
      <protection hidden="1"/>
    </xf>
    <xf numFmtId="0" fontId="110" fillId="0" borderId="0" xfId="0" applyFont="1"/>
    <xf numFmtId="0" fontId="115" fillId="0" borderId="0" xfId="0" applyFont="1" applyAlignment="1" applyProtection="1">
      <alignment horizontal="center"/>
      <protection hidden="1"/>
    </xf>
    <xf numFmtId="0" fontId="115" fillId="0" borderId="0" xfId="0" applyFont="1" applyProtection="1">
      <protection hidden="1"/>
    </xf>
    <xf numFmtId="0" fontId="116" fillId="13" borderId="6" xfId="0" applyFont="1" applyFill="1" applyBorder="1" applyProtection="1">
      <protection hidden="1"/>
    </xf>
    <xf numFmtId="0" fontId="118" fillId="98" borderId="15" xfId="0" applyFont="1" applyFill="1" applyBorder="1" applyAlignment="1" applyProtection="1">
      <alignment horizontal="left"/>
      <protection hidden="1"/>
    </xf>
    <xf numFmtId="0" fontId="119" fillId="98" borderId="15" xfId="0" applyFont="1" applyFill="1" applyBorder="1" applyProtection="1">
      <protection hidden="1"/>
    </xf>
    <xf numFmtId="0" fontId="120" fillId="98" borderId="15" xfId="0" applyFont="1" applyFill="1" applyBorder="1" applyProtection="1">
      <protection hidden="1"/>
    </xf>
    <xf numFmtId="0" fontId="120" fillId="98" borderId="15" xfId="0" applyFont="1" applyFill="1" applyBorder="1" applyAlignment="1" applyProtection="1">
      <alignment horizontal="center"/>
      <protection hidden="1"/>
    </xf>
    <xf numFmtId="9" fontId="110" fillId="0" borderId="0" xfId="6" applyFont="1" applyProtection="1">
      <protection hidden="1"/>
    </xf>
    <xf numFmtId="0" fontId="121" fillId="0" borderId="0" xfId="0" applyFont="1" applyProtection="1">
      <protection hidden="1"/>
    </xf>
    <xf numFmtId="0" fontId="114" fillId="0" borderId="0" xfId="0" applyFont="1" applyAlignment="1" applyProtection="1">
      <alignment horizontal="center"/>
      <protection hidden="1"/>
    </xf>
    <xf numFmtId="0" fontId="122" fillId="0" borderId="0" xfId="0" applyFont="1" applyProtection="1">
      <protection hidden="1"/>
    </xf>
    <xf numFmtId="0" fontId="114" fillId="0" borderId="0" xfId="0" applyFont="1" applyAlignment="1" applyProtection="1">
      <alignment horizontal="left"/>
      <protection hidden="1"/>
    </xf>
    <xf numFmtId="0" fontId="122" fillId="0" borderId="0" xfId="0" applyFont="1" applyAlignment="1" applyProtection="1">
      <alignment horizontal="right"/>
      <protection hidden="1"/>
    </xf>
    <xf numFmtId="0" fontId="110" fillId="0" borderId="4" xfId="0" applyFont="1" applyBorder="1" applyProtection="1">
      <protection hidden="1"/>
    </xf>
    <xf numFmtId="0" fontId="114" fillId="66" borderId="9" xfId="0" applyFont="1" applyFill="1" applyBorder="1" applyAlignment="1" applyProtection="1">
      <alignment horizontal="left"/>
      <protection hidden="1"/>
    </xf>
    <xf numFmtId="0" fontId="117" fillId="0" borderId="0" xfId="0" applyFont="1" applyAlignment="1" applyProtection="1">
      <alignment vertical="center"/>
      <protection hidden="1"/>
    </xf>
    <xf numFmtId="0" fontId="114" fillId="66" borderId="5" xfId="1" applyFont="1" applyFill="1" applyBorder="1"/>
    <xf numFmtId="0" fontId="110" fillId="0" borderId="0" xfId="0" applyFont="1" applyAlignment="1" applyProtection="1">
      <alignment vertical="center"/>
      <protection hidden="1"/>
    </xf>
    <xf numFmtId="0" fontId="114" fillId="66" borderId="9" xfId="1" applyFont="1" applyFill="1" applyBorder="1"/>
    <xf numFmtId="0" fontId="123" fillId="98" borderId="17" xfId="0" applyFont="1" applyFill="1" applyBorder="1" applyAlignment="1" applyProtection="1">
      <alignment horizontal="left"/>
      <protection hidden="1"/>
    </xf>
    <xf numFmtId="0" fontId="123" fillId="98" borderId="17" xfId="0" applyFont="1" applyFill="1" applyBorder="1" applyProtection="1">
      <protection hidden="1"/>
    </xf>
    <xf numFmtId="0" fontId="115" fillId="98" borderId="17" xfId="0" applyFont="1" applyFill="1" applyBorder="1" applyProtection="1">
      <protection hidden="1"/>
    </xf>
    <xf numFmtId="0" fontId="123" fillId="98" borderId="17" xfId="0" applyFont="1" applyFill="1" applyBorder="1" applyAlignment="1" applyProtection="1">
      <alignment horizontal="right"/>
      <protection hidden="1"/>
    </xf>
    <xf numFmtId="0" fontId="113" fillId="0" borderId="22" xfId="0" applyFont="1" applyBorder="1" applyProtection="1">
      <protection hidden="1"/>
    </xf>
    <xf numFmtId="0" fontId="123" fillId="0" borderId="22" xfId="0" applyFont="1" applyBorder="1" applyProtection="1">
      <protection hidden="1"/>
    </xf>
    <xf numFmtId="0" fontId="116" fillId="0" borderId="0" xfId="0" applyFont="1" applyAlignment="1" applyProtection="1">
      <alignment horizontal="center" vertical="top"/>
      <protection hidden="1"/>
    </xf>
    <xf numFmtId="0" fontId="113" fillId="0" borderId="0" xfId="0" applyFont="1" applyProtection="1">
      <protection hidden="1"/>
    </xf>
    <xf numFmtId="0" fontId="110" fillId="66" borderId="9" xfId="0" applyFont="1" applyFill="1" applyBorder="1" applyProtection="1">
      <protection hidden="1"/>
    </xf>
    <xf numFmtId="0" fontId="124" fillId="0" borderId="0" xfId="0" applyFont="1" applyAlignment="1" applyProtection="1">
      <alignment vertical="center"/>
      <protection hidden="1"/>
    </xf>
    <xf numFmtId="0" fontId="110" fillId="66" borderId="9" xfId="0" applyFont="1" applyFill="1" applyBorder="1"/>
    <xf numFmtId="0" fontId="110" fillId="0" borderId="8" xfId="0" applyFont="1" applyBorder="1" applyProtection="1">
      <protection hidden="1"/>
    </xf>
    <xf numFmtId="0" fontId="110" fillId="66" borderId="10" xfId="0" applyFont="1" applyFill="1" applyBorder="1"/>
    <xf numFmtId="0" fontId="113" fillId="0" borderId="0" xfId="0" applyFont="1" applyAlignment="1" applyProtection="1">
      <alignment horizontal="center"/>
      <protection hidden="1"/>
    </xf>
    <xf numFmtId="0" fontId="116" fillId="0" borderId="0" xfId="0" applyFont="1" applyAlignment="1" applyProtection="1">
      <alignment horizontal="right"/>
      <protection hidden="1"/>
    </xf>
    <xf numFmtId="0" fontId="116" fillId="0" borderId="0" xfId="0" applyFont="1" applyProtection="1">
      <protection hidden="1"/>
    </xf>
    <xf numFmtId="0" fontId="116" fillId="0" borderId="0" xfId="0" applyFont="1" applyAlignment="1" applyProtection="1">
      <alignment horizontal="right" vertical="center"/>
      <protection hidden="1"/>
    </xf>
    <xf numFmtId="0" fontId="121" fillId="0" borderId="0" xfId="0" applyFont="1" applyAlignment="1" applyProtection="1">
      <alignment wrapText="1"/>
      <protection hidden="1"/>
    </xf>
    <xf numFmtId="0" fontId="116" fillId="0" borderId="0" xfId="0" applyFont="1" applyAlignment="1" applyProtection="1">
      <alignment horizontal="left"/>
      <protection hidden="1"/>
    </xf>
    <xf numFmtId="0" fontId="125" fillId="0" borderId="0" xfId="0" applyFont="1" applyProtection="1">
      <protection hidden="1"/>
    </xf>
    <xf numFmtId="0" fontId="126" fillId="0" borderId="0" xfId="0" applyFont="1" applyProtection="1">
      <protection hidden="1"/>
    </xf>
    <xf numFmtId="0" fontId="114" fillId="0" borderId="0" xfId="1" applyFont="1" applyProtection="1">
      <protection hidden="1"/>
    </xf>
    <xf numFmtId="0" fontId="110" fillId="0" borderId="0" xfId="0" applyFont="1" applyAlignment="1" applyProtection="1">
      <alignment horizontal="left"/>
      <protection hidden="1"/>
    </xf>
    <xf numFmtId="0" fontId="116" fillId="0" borderId="0" xfId="0" applyFont="1" applyAlignment="1" applyProtection="1">
      <alignment horizontal="center"/>
      <protection hidden="1"/>
    </xf>
    <xf numFmtId="0" fontId="122" fillId="0" borderId="0" xfId="0" applyFont="1" applyAlignment="1" applyProtection="1">
      <alignment horizontal="left"/>
      <protection hidden="1"/>
    </xf>
    <xf numFmtId="8" fontId="110" fillId="0" borderId="0" xfId="0" applyNumberFormat="1" applyFont="1" applyProtection="1">
      <protection hidden="1"/>
    </xf>
    <xf numFmtId="0" fontId="113" fillId="0" borderId="0" xfId="0" applyFont="1" applyAlignment="1" applyProtection="1">
      <alignment horizontal="left"/>
      <protection hidden="1"/>
    </xf>
    <xf numFmtId="0" fontId="124" fillId="0" borderId="0" xfId="0" applyFont="1" applyProtection="1">
      <protection hidden="1"/>
    </xf>
    <xf numFmtId="42" fontId="122" fillId="0" borderId="0" xfId="0" applyNumberFormat="1" applyFont="1" applyAlignment="1" applyProtection="1">
      <alignment horizontal="center" vertical="center"/>
      <protection hidden="1"/>
    </xf>
    <xf numFmtId="0" fontId="127" fillId="0" borderId="0" xfId="0" applyFont="1" applyProtection="1">
      <protection hidden="1"/>
    </xf>
    <xf numFmtId="9" fontId="110" fillId="0" borderId="0" xfId="6" applyFont="1" applyFill="1" applyProtection="1">
      <protection hidden="1"/>
    </xf>
    <xf numFmtId="0" fontId="110" fillId="0" borderId="0" xfId="0" applyFont="1" applyAlignment="1" applyProtection="1">
      <alignment horizontal="center" vertical="center"/>
      <protection hidden="1"/>
    </xf>
    <xf numFmtId="0" fontId="123" fillId="98" borderId="22" xfId="0" applyFont="1" applyFill="1" applyBorder="1" applyAlignment="1" applyProtection="1">
      <alignment horizontal="left"/>
      <protection hidden="1"/>
    </xf>
    <xf numFmtId="0" fontId="123" fillId="98" borderId="22" xfId="0" applyFont="1" applyFill="1" applyBorder="1" applyProtection="1">
      <protection hidden="1"/>
    </xf>
    <xf numFmtId="0" fontId="115" fillId="98" borderId="22" xfId="0" applyFont="1" applyFill="1" applyBorder="1" applyProtection="1">
      <protection hidden="1"/>
    </xf>
    <xf numFmtId="0" fontId="123" fillId="98" borderId="22" xfId="0" applyFont="1" applyFill="1" applyBorder="1" applyAlignment="1" applyProtection="1">
      <alignment horizontal="right"/>
      <protection hidden="1"/>
    </xf>
    <xf numFmtId="0" fontId="123" fillId="2" borderId="35" xfId="0" applyFont="1" applyFill="1" applyBorder="1" applyAlignment="1" applyProtection="1">
      <alignment horizontal="left"/>
      <protection hidden="1"/>
    </xf>
    <xf numFmtId="0" fontId="123" fillId="2" borderId="22" xfId="0" applyFont="1" applyFill="1" applyBorder="1" applyAlignment="1" applyProtection="1">
      <alignment horizontal="left"/>
      <protection hidden="1"/>
    </xf>
    <xf numFmtId="0" fontId="123" fillId="16" borderId="22" xfId="0" applyFont="1" applyFill="1" applyBorder="1" applyProtection="1">
      <protection hidden="1"/>
    </xf>
    <xf numFmtId="0" fontId="115" fillId="16" borderId="22" xfId="0" applyFont="1" applyFill="1" applyBorder="1" applyProtection="1">
      <protection hidden="1"/>
    </xf>
    <xf numFmtId="0" fontId="123" fillId="16" borderId="22" xfId="0" applyFont="1" applyFill="1" applyBorder="1" applyAlignment="1" applyProtection="1">
      <alignment horizontal="right"/>
      <protection hidden="1"/>
    </xf>
    <xf numFmtId="0" fontId="116" fillId="0" borderId="36" xfId="0" applyFont="1" applyBorder="1" applyAlignment="1" applyProtection="1">
      <alignment horizontal="centerContinuous" vertical="center"/>
      <protection hidden="1"/>
    </xf>
    <xf numFmtId="0" fontId="113" fillId="0" borderId="37" xfId="0" applyFont="1" applyBorder="1" applyAlignment="1" applyProtection="1">
      <alignment horizontal="centerContinuous" vertical="center"/>
      <protection hidden="1"/>
    </xf>
    <xf numFmtId="0" fontId="113" fillId="0" borderId="38" xfId="0" applyFont="1" applyBorder="1" applyAlignment="1" applyProtection="1">
      <alignment horizontal="centerContinuous" vertical="center"/>
      <protection hidden="1"/>
    </xf>
    <xf numFmtId="0" fontId="110" fillId="0" borderId="43" xfId="0" applyFont="1" applyBorder="1" applyProtection="1">
      <protection hidden="1"/>
    </xf>
    <xf numFmtId="0" fontId="110" fillId="0" borderId="91" xfId="0" applyFont="1" applyBorder="1" applyProtection="1">
      <protection hidden="1"/>
    </xf>
    <xf numFmtId="0" fontId="110" fillId="0" borderId="41" xfId="0" applyFont="1" applyBorder="1" applyProtection="1">
      <protection hidden="1"/>
    </xf>
    <xf numFmtId="0" fontId="116" fillId="0" borderId="44" xfId="0" applyFont="1" applyBorder="1" applyAlignment="1" applyProtection="1">
      <alignment horizontal="center" vertical="top"/>
      <protection hidden="1"/>
    </xf>
    <xf numFmtId="0" fontId="124" fillId="0" borderId="0" xfId="0" applyFont="1" applyAlignment="1" applyProtection="1">
      <alignment horizontal="center" vertical="top"/>
      <protection hidden="1"/>
    </xf>
    <xf numFmtId="0" fontId="122" fillId="0" borderId="0" xfId="0" applyFont="1" applyAlignment="1" applyProtection="1">
      <alignment vertical="top" wrapText="1"/>
      <protection hidden="1"/>
    </xf>
    <xf numFmtId="0" fontId="128" fillId="0" borderId="42" xfId="0" applyFont="1" applyBorder="1" applyAlignment="1" applyProtection="1">
      <alignment vertical="top"/>
      <protection hidden="1"/>
    </xf>
    <xf numFmtId="0" fontId="122" fillId="0" borderId="44" xfId="0" applyFont="1" applyBorder="1" applyProtection="1">
      <protection hidden="1"/>
    </xf>
    <xf numFmtId="42" fontId="113" fillId="0" borderId="0" xfId="0" applyNumberFormat="1" applyFont="1" applyAlignment="1" applyProtection="1">
      <alignment horizontal="center"/>
      <protection hidden="1"/>
    </xf>
    <xf numFmtId="0" fontId="110" fillId="0" borderId="44" xfId="0" applyFont="1" applyBorder="1" applyProtection="1">
      <protection hidden="1"/>
    </xf>
    <xf numFmtId="44" fontId="122" fillId="0" borderId="0" xfId="0" applyNumberFormat="1" applyFont="1" applyAlignment="1" applyProtection="1">
      <alignment horizontal="center"/>
      <protection hidden="1"/>
    </xf>
    <xf numFmtId="44" fontId="122" fillId="0" borderId="122" xfId="0" applyNumberFormat="1" applyFont="1" applyBorder="1" applyAlignment="1" applyProtection="1">
      <alignment vertical="center"/>
      <protection hidden="1"/>
    </xf>
    <xf numFmtId="44" fontId="122" fillId="0" borderId="123" xfId="0" applyNumberFormat="1" applyFont="1" applyBorder="1" applyAlignment="1" applyProtection="1">
      <alignment vertical="center"/>
      <protection hidden="1"/>
    </xf>
    <xf numFmtId="0" fontId="122" fillId="0" borderId="124" xfId="0" applyFont="1" applyBorder="1" applyAlignment="1" applyProtection="1">
      <alignment vertical="center"/>
      <protection hidden="1"/>
    </xf>
    <xf numFmtId="44" fontId="122" fillId="0" borderId="122" xfId="0" applyNumberFormat="1" applyFont="1" applyBorder="1" applyAlignment="1" applyProtection="1">
      <alignment horizontal="center"/>
      <protection hidden="1"/>
    </xf>
    <xf numFmtId="44" fontId="122" fillId="0" borderId="123" xfId="0" applyNumberFormat="1" applyFont="1" applyBorder="1" applyAlignment="1" applyProtection="1">
      <alignment horizontal="center"/>
      <protection hidden="1"/>
    </xf>
    <xf numFmtId="44" fontId="122" fillId="0" borderId="124" xfId="0" applyNumberFormat="1" applyFont="1" applyBorder="1" applyAlignment="1" applyProtection="1">
      <alignment horizontal="center"/>
      <protection hidden="1"/>
    </xf>
    <xf numFmtId="10" fontId="110" fillId="0" borderId="125" xfId="0" applyNumberFormat="1" applyFont="1" applyBorder="1" applyAlignment="1" applyProtection="1">
      <alignment horizontal="center"/>
      <protection hidden="1"/>
    </xf>
    <xf numFmtId="0" fontId="122" fillId="0" borderId="126" xfId="0" applyFont="1" applyBorder="1" applyAlignment="1" applyProtection="1">
      <alignment vertical="top" wrapText="1"/>
      <protection hidden="1"/>
    </xf>
    <xf numFmtId="10" fontId="110" fillId="0" borderId="0" xfId="0" applyNumberFormat="1" applyFont="1" applyAlignment="1" applyProtection="1">
      <alignment horizontal="center"/>
      <protection hidden="1"/>
    </xf>
    <xf numFmtId="10" fontId="110" fillId="0" borderId="126" xfId="0" applyNumberFormat="1" applyFont="1" applyBorder="1" applyAlignment="1" applyProtection="1">
      <alignment horizontal="center"/>
      <protection hidden="1"/>
    </xf>
    <xf numFmtId="0" fontId="122" fillId="0" borderId="0" xfId="0" applyFont="1" applyAlignment="1" applyProtection="1">
      <alignment horizontal="center"/>
      <protection hidden="1"/>
    </xf>
    <xf numFmtId="10" fontId="116" fillId="0" borderId="125" xfId="0" applyNumberFormat="1" applyFont="1" applyBorder="1" applyAlignment="1" applyProtection="1">
      <alignment horizontal="center"/>
      <protection hidden="1"/>
    </xf>
    <xf numFmtId="10" fontId="116" fillId="0" borderId="0" xfId="0" applyNumberFormat="1" applyFont="1" applyAlignment="1" applyProtection="1">
      <alignment horizontal="center"/>
      <protection hidden="1"/>
    </xf>
    <xf numFmtId="10" fontId="116" fillId="0" borderId="126" xfId="6" applyNumberFormat="1" applyFont="1" applyFill="1" applyBorder="1" applyAlignment="1" applyProtection="1">
      <alignment horizontal="center" vertical="top" wrapText="1"/>
      <protection hidden="1"/>
    </xf>
    <xf numFmtId="10" fontId="116" fillId="0" borderId="126" xfId="0" applyNumberFormat="1" applyFont="1" applyBorder="1" applyAlignment="1" applyProtection="1">
      <alignment horizontal="center"/>
      <protection hidden="1"/>
    </xf>
    <xf numFmtId="0" fontId="110" fillId="0" borderId="63" xfId="0" applyFont="1" applyBorder="1" applyProtection="1">
      <protection hidden="1"/>
    </xf>
    <xf numFmtId="0" fontId="116" fillId="0" borderId="63" xfId="0" applyFont="1" applyBorder="1" applyProtection="1">
      <protection hidden="1"/>
    </xf>
    <xf numFmtId="0" fontId="110" fillId="0" borderId="64" xfId="0" applyFont="1" applyBorder="1" applyProtection="1">
      <protection hidden="1"/>
    </xf>
    <xf numFmtId="6" fontId="113" fillId="0" borderId="125" xfId="0" applyNumberFormat="1" applyFont="1" applyBorder="1" applyAlignment="1" applyProtection="1">
      <alignment horizontal="center"/>
      <protection hidden="1"/>
    </xf>
    <xf numFmtId="6" fontId="123" fillId="0" borderId="0" xfId="0" applyNumberFormat="1" applyFont="1" applyAlignment="1" applyProtection="1">
      <alignment horizontal="center"/>
      <protection hidden="1"/>
    </xf>
    <xf numFmtId="174" fontId="123" fillId="0" borderId="126" xfId="6" applyNumberFormat="1" applyFont="1" applyFill="1" applyBorder="1" applyAlignment="1" applyProtection="1">
      <alignment horizontal="center" vertical="top"/>
      <protection hidden="1"/>
    </xf>
    <xf numFmtId="6" fontId="123" fillId="0" borderId="125" xfId="0" applyNumberFormat="1" applyFont="1" applyBorder="1" applyAlignment="1" applyProtection="1">
      <alignment horizontal="center"/>
      <protection hidden="1"/>
    </xf>
    <xf numFmtId="6" fontId="123" fillId="0" borderId="126" xfId="0" applyNumberFormat="1" applyFont="1" applyBorder="1" applyAlignment="1" applyProtection="1">
      <alignment horizontal="center"/>
      <protection hidden="1"/>
    </xf>
    <xf numFmtId="6" fontId="110" fillId="0" borderId="125" xfId="0" applyNumberFormat="1" applyFont="1" applyBorder="1" applyAlignment="1" applyProtection="1">
      <alignment horizontal="center"/>
      <protection hidden="1"/>
    </xf>
    <xf numFmtId="6" fontId="110" fillId="0" borderId="0" xfId="0" applyNumberFormat="1" applyFont="1" applyAlignment="1" applyProtection="1">
      <alignment horizontal="center"/>
      <protection hidden="1"/>
    </xf>
    <xf numFmtId="174" fontId="122" fillId="0" borderId="126" xfId="0" applyNumberFormat="1" applyFont="1" applyBorder="1" applyAlignment="1" applyProtection="1">
      <alignment horizontal="center" vertical="top"/>
      <protection hidden="1"/>
    </xf>
    <xf numFmtId="6" fontId="110" fillId="0" borderId="126" xfId="0" applyNumberFormat="1" applyFont="1" applyBorder="1" applyAlignment="1" applyProtection="1">
      <alignment horizontal="center"/>
      <protection hidden="1"/>
    </xf>
    <xf numFmtId="0" fontId="129" fillId="0" borderId="0" xfId="1" applyFont="1" applyAlignment="1" applyProtection="1">
      <alignment wrapText="1"/>
      <protection hidden="1"/>
    </xf>
    <xf numFmtId="6" fontId="129" fillId="0" borderId="125" xfId="0" applyNumberFormat="1" applyFont="1" applyBorder="1" applyAlignment="1" applyProtection="1">
      <alignment horizontal="center" vertical="center"/>
      <protection hidden="1"/>
    </xf>
    <xf numFmtId="6" fontId="130" fillId="0" borderId="0" xfId="0" applyNumberFormat="1" applyFont="1" applyAlignment="1" applyProtection="1">
      <alignment horizontal="center" vertical="center"/>
      <protection hidden="1"/>
    </xf>
    <xf numFmtId="174" fontId="114" fillId="0" borderId="126" xfId="0" applyNumberFormat="1" applyFont="1" applyBorder="1" applyAlignment="1" applyProtection="1">
      <alignment horizontal="center" vertical="top"/>
      <protection hidden="1"/>
    </xf>
    <xf numFmtId="6" fontId="130" fillId="0" borderId="126" xfId="0" applyNumberFormat="1" applyFont="1" applyBorder="1" applyAlignment="1" applyProtection="1">
      <alignment horizontal="center" vertical="center"/>
      <protection hidden="1"/>
    </xf>
    <xf numFmtId="0" fontId="110" fillId="0" borderId="125" xfId="0" applyFont="1" applyBorder="1" applyAlignment="1" applyProtection="1">
      <alignment horizontal="center"/>
      <protection hidden="1"/>
    </xf>
    <xf numFmtId="0" fontId="110" fillId="0" borderId="126" xfId="0" applyFont="1" applyBorder="1" applyAlignment="1" applyProtection="1">
      <alignment horizontal="center"/>
      <protection hidden="1"/>
    </xf>
    <xf numFmtId="0" fontId="117" fillId="0" borderId="0" xfId="1" applyFont="1" applyProtection="1">
      <protection hidden="1"/>
    </xf>
    <xf numFmtId="6" fontId="116" fillId="0" borderId="125" xfId="0" applyNumberFormat="1" applyFont="1" applyBorder="1" applyAlignment="1" applyProtection="1">
      <alignment horizontal="center"/>
      <protection hidden="1"/>
    </xf>
    <xf numFmtId="6" fontId="116" fillId="0" borderId="0" xfId="0" applyNumberFormat="1" applyFont="1" applyAlignment="1" applyProtection="1">
      <alignment horizontal="center"/>
      <protection hidden="1"/>
    </xf>
    <xf numFmtId="174" fontId="116" fillId="0" borderId="126" xfId="0" applyNumberFormat="1" applyFont="1" applyBorder="1" applyAlignment="1" applyProtection="1">
      <alignment horizontal="center" vertical="top"/>
      <protection hidden="1"/>
    </xf>
    <xf numFmtId="6" fontId="116" fillId="0" borderId="126" xfId="0" applyNumberFormat="1" applyFont="1" applyBorder="1" applyAlignment="1" applyProtection="1">
      <alignment horizontal="center"/>
      <protection hidden="1"/>
    </xf>
    <xf numFmtId="0" fontId="114" fillId="0" borderId="0" xfId="1" applyFont="1" applyAlignment="1" applyProtection="1">
      <alignment horizontal="left"/>
      <protection hidden="1"/>
    </xf>
    <xf numFmtId="10" fontId="110" fillId="0" borderId="125" xfId="6" applyNumberFormat="1" applyFont="1" applyFill="1" applyBorder="1" applyAlignment="1" applyProtection="1">
      <alignment horizontal="center"/>
      <protection hidden="1"/>
    </xf>
    <xf numFmtId="10" fontId="110" fillId="0" borderId="0" xfId="6" applyNumberFormat="1" applyFont="1" applyFill="1" applyBorder="1" applyAlignment="1" applyProtection="1">
      <alignment horizontal="center"/>
      <protection hidden="1"/>
    </xf>
    <xf numFmtId="10" fontId="114" fillId="0" borderId="126" xfId="6" applyNumberFormat="1" applyFont="1" applyFill="1" applyBorder="1" applyAlignment="1" applyProtection="1">
      <alignment horizontal="center" vertical="top"/>
      <protection hidden="1"/>
    </xf>
    <xf numFmtId="10" fontId="110" fillId="0" borderId="126" xfId="6" applyNumberFormat="1" applyFont="1" applyFill="1" applyBorder="1" applyAlignment="1" applyProtection="1">
      <alignment horizontal="center"/>
      <protection hidden="1"/>
    </xf>
    <xf numFmtId="0" fontId="131" fillId="0" borderId="0" xfId="1" applyFont="1" applyProtection="1">
      <protection hidden="1"/>
    </xf>
    <xf numFmtId="0" fontId="128" fillId="0" borderId="126" xfId="0" applyFont="1" applyBorder="1" applyAlignment="1" applyProtection="1">
      <alignment vertical="top"/>
      <protection hidden="1"/>
    </xf>
    <xf numFmtId="10" fontId="110" fillId="0" borderId="127" xfId="6" applyNumberFormat="1" applyFont="1" applyFill="1" applyBorder="1" applyAlignment="1" applyProtection="1">
      <alignment horizontal="center"/>
      <protection hidden="1"/>
    </xf>
    <xf numFmtId="6" fontId="116" fillId="0" borderId="128" xfId="0" applyNumberFormat="1" applyFont="1" applyBorder="1" applyAlignment="1" applyProtection="1">
      <alignment horizontal="center"/>
      <protection hidden="1"/>
    </xf>
    <xf numFmtId="0" fontId="128" fillId="0" borderId="129" xfId="0" applyFont="1" applyBorder="1" applyAlignment="1" applyProtection="1">
      <alignment vertical="top"/>
      <protection hidden="1"/>
    </xf>
    <xf numFmtId="10" fontId="110" fillId="0" borderId="128" xfId="6" applyNumberFormat="1" applyFont="1" applyFill="1" applyBorder="1" applyAlignment="1" applyProtection="1">
      <alignment horizontal="center"/>
      <protection hidden="1"/>
    </xf>
    <xf numFmtId="10" fontId="110" fillId="0" borderId="129" xfId="6" applyNumberFormat="1" applyFont="1" applyFill="1" applyBorder="1" applyAlignment="1" applyProtection="1">
      <alignment horizontal="center"/>
      <protection hidden="1"/>
    </xf>
    <xf numFmtId="0" fontId="122" fillId="0" borderId="0" xfId="0" applyFont="1" applyAlignment="1" applyProtection="1">
      <alignment vertical="center"/>
      <protection hidden="1"/>
    </xf>
    <xf numFmtId="0" fontId="122" fillId="0" borderId="0" xfId="0" applyFont="1" applyAlignment="1" applyProtection="1">
      <alignment vertical="center" wrapText="1"/>
      <protection hidden="1"/>
    </xf>
    <xf numFmtId="6" fontId="122" fillId="0" borderId="0" xfId="0" applyNumberFormat="1" applyFont="1" applyAlignment="1" applyProtection="1">
      <alignment horizontal="center" vertical="center" wrapText="1"/>
      <protection hidden="1"/>
    </xf>
    <xf numFmtId="0" fontId="128" fillId="0" borderId="0" xfId="0" applyFont="1" applyAlignment="1" applyProtection="1">
      <alignment vertical="top"/>
      <protection hidden="1"/>
    </xf>
    <xf numFmtId="167" fontId="110" fillId="0" borderId="42" xfId="0" applyNumberFormat="1" applyFont="1" applyBorder="1" applyAlignment="1" applyProtection="1">
      <alignment horizontal="center"/>
      <protection hidden="1"/>
    </xf>
    <xf numFmtId="0" fontId="123" fillId="98" borderId="22" xfId="0" applyFont="1" applyFill="1" applyBorder="1" applyAlignment="1" applyProtection="1">
      <alignment horizontal="left" vertical="center"/>
      <protection hidden="1"/>
    </xf>
    <xf numFmtId="0" fontId="123" fillId="98" borderId="22" xfId="0" applyFont="1" applyFill="1" applyBorder="1" applyAlignment="1" applyProtection="1">
      <alignment vertical="center"/>
      <protection hidden="1"/>
    </xf>
    <xf numFmtId="0" fontId="115" fillId="98" borderId="22" xfId="0" applyFont="1" applyFill="1" applyBorder="1" applyAlignment="1" applyProtection="1">
      <alignment vertical="center"/>
      <protection hidden="1"/>
    </xf>
    <xf numFmtId="0" fontId="114" fillId="0" borderId="0" xfId="0" applyFont="1" applyAlignment="1" applyProtection="1">
      <alignment vertical="center"/>
      <protection hidden="1"/>
    </xf>
    <xf numFmtId="0" fontId="110" fillId="0" borderId="0" xfId="0" applyFont="1" applyAlignment="1">
      <alignment vertical="center"/>
    </xf>
    <xf numFmtId="0" fontId="114" fillId="21" borderId="0" xfId="0" applyFont="1" applyFill="1" applyProtection="1">
      <protection hidden="1"/>
    </xf>
    <xf numFmtId="0" fontId="122" fillId="21" borderId="0" xfId="0" applyFont="1" applyFill="1" applyAlignment="1" applyProtection="1">
      <alignment horizontal="right"/>
      <protection hidden="1"/>
    </xf>
    <xf numFmtId="0" fontId="122" fillId="21" borderId="42" xfId="0" applyFont="1" applyFill="1" applyBorder="1" applyAlignment="1" applyProtection="1">
      <alignment horizontal="right"/>
      <protection hidden="1"/>
    </xf>
    <xf numFmtId="0" fontId="114" fillId="0" borderId="0" xfId="0" applyFont="1"/>
    <xf numFmtId="0" fontId="114" fillId="21" borderId="44" xfId="0" applyFont="1" applyFill="1" applyBorder="1" applyProtection="1">
      <protection hidden="1"/>
    </xf>
    <xf numFmtId="5" fontId="114" fillId="21" borderId="0" xfId="0" applyNumberFormat="1" applyFont="1" applyFill="1" applyProtection="1">
      <protection hidden="1"/>
    </xf>
    <xf numFmtId="174" fontId="114" fillId="21" borderId="0" xfId="0" applyNumberFormat="1" applyFont="1" applyFill="1" applyProtection="1">
      <protection hidden="1"/>
    </xf>
    <xf numFmtId="0" fontId="116" fillId="0" borderId="0" xfId="0" applyFont="1" applyAlignment="1" applyProtection="1">
      <alignment vertical="center"/>
      <protection hidden="1"/>
    </xf>
    <xf numFmtId="10" fontId="123" fillId="98" borderId="0" xfId="6" applyNumberFormat="1" applyFont="1" applyFill="1" applyAlignment="1" applyProtection="1">
      <alignment horizontal="center" vertical="center"/>
      <protection locked="0" hidden="1"/>
    </xf>
    <xf numFmtId="0" fontId="110" fillId="21" borderId="44" xfId="0" applyFont="1" applyFill="1" applyBorder="1" applyProtection="1">
      <protection hidden="1"/>
    </xf>
    <xf numFmtId="9" fontId="110" fillId="21" borderId="0" xfId="0" applyNumberFormat="1" applyFont="1" applyFill="1" applyProtection="1">
      <protection hidden="1"/>
    </xf>
    <xf numFmtId="174" fontId="114" fillId="21" borderId="0" xfId="0" applyNumberFormat="1" applyFont="1" applyFill="1" applyAlignment="1" applyProtection="1">
      <alignment horizontal="right"/>
      <protection hidden="1"/>
    </xf>
    <xf numFmtId="0" fontId="110" fillId="21" borderId="0" xfId="0" applyFont="1" applyFill="1" applyProtection="1">
      <protection hidden="1"/>
    </xf>
    <xf numFmtId="0" fontId="110" fillId="21" borderId="42" xfId="0" applyFont="1" applyFill="1" applyBorder="1" applyProtection="1">
      <protection hidden="1"/>
    </xf>
    <xf numFmtId="0" fontId="133" fillId="0" borderId="0" xfId="7" applyFont="1" applyFill="1" applyAlignment="1" applyProtection="1">
      <alignment horizontal="right" vertical="center"/>
      <protection hidden="1"/>
    </xf>
    <xf numFmtId="0" fontId="133" fillId="0" borderId="0" xfId="7" applyFont="1" applyFill="1" applyAlignment="1" applyProtection="1">
      <alignment vertical="center"/>
      <protection hidden="1"/>
    </xf>
    <xf numFmtId="0" fontId="134" fillId="0" borderId="0" xfId="0" applyFont="1" applyAlignment="1" applyProtection="1">
      <alignment vertical="center"/>
      <protection hidden="1"/>
    </xf>
    <xf numFmtId="0" fontId="110" fillId="21" borderId="44" xfId="0" applyFont="1" applyFill="1" applyBorder="1" applyAlignment="1" applyProtection="1">
      <alignment vertical="center"/>
      <protection hidden="1"/>
    </xf>
    <xf numFmtId="10" fontId="110" fillId="21" borderId="0" xfId="0" applyNumberFormat="1" applyFont="1" applyFill="1" applyAlignment="1" applyProtection="1">
      <alignment vertical="center"/>
      <protection hidden="1"/>
    </xf>
    <xf numFmtId="0" fontId="110" fillId="21" borderId="0" xfId="0" applyFont="1" applyFill="1" applyAlignment="1" applyProtection="1">
      <alignment vertical="center"/>
      <protection hidden="1"/>
    </xf>
    <xf numFmtId="0" fontId="110" fillId="21" borderId="42" xfId="0" applyFont="1" applyFill="1" applyBorder="1" applyAlignment="1" applyProtection="1">
      <alignment vertical="center"/>
      <protection hidden="1"/>
    </xf>
    <xf numFmtId="0" fontId="110" fillId="13" borderId="0" xfId="0" applyFont="1" applyFill="1" applyAlignment="1" applyProtection="1">
      <alignment vertical="center"/>
      <protection hidden="1"/>
    </xf>
    <xf numFmtId="0" fontId="122" fillId="0" borderId="3" xfId="0" applyFont="1" applyBorder="1" applyProtection="1">
      <protection hidden="1"/>
    </xf>
    <xf numFmtId="0" fontId="110" fillId="0" borderId="30" xfId="0" applyFont="1" applyBorder="1" applyAlignment="1" applyProtection="1">
      <alignment vertical="center"/>
      <protection hidden="1"/>
    </xf>
    <xf numFmtId="0" fontId="110" fillId="0" borderId="15" xfId="0" applyFont="1" applyBorder="1" applyAlignment="1" applyProtection="1">
      <alignment vertical="center"/>
      <protection hidden="1"/>
    </xf>
    <xf numFmtId="0" fontId="114" fillId="0" borderId="15" xfId="0" applyFont="1" applyBorder="1" applyProtection="1">
      <protection hidden="1"/>
    </xf>
    <xf numFmtId="0" fontId="110" fillId="0" borderId="11" xfId="0" applyFont="1" applyBorder="1" applyAlignment="1" applyProtection="1">
      <alignment vertical="center"/>
      <protection hidden="1"/>
    </xf>
    <xf numFmtId="0" fontId="119" fillId="68" borderId="0" xfId="0" applyFont="1" applyFill="1" applyProtection="1">
      <protection hidden="1"/>
    </xf>
    <xf numFmtId="3" fontId="119" fillId="68" borderId="0" xfId="0" applyNumberFormat="1" applyFont="1" applyFill="1" applyProtection="1">
      <protection hidden="1"/>
    </xf>
    <xf numFmtId="0" fontId="119" fillId="64" borderId="0" xfId="0" applyFont="1" applyFill="1" applyProtection="1">
      <protection hidden="1"/>
    </xf>
    <xf numFmtId="0" fontId="116" fillId="21" borderId="62" xfId="0" applyFont="1" applyFill="1" applyBorder="1" applyAlignment="1" applyProtection="1">
      <alignment horizontal="center"/>
      <protection hidden="1"/>
    </xf>
    <xf numFmtId="42" fontId="110" fillId="21" borderId="63" xfId="0" applyNumberFormat="1" applyFont="1" applyFill="1" applyBorder="1" applyProtection="1">
      <protection hidden="1"/>
    </xf>
    <xf numFmtId="0" fontId="122" fillId="21" borderId="63" xfId="0" applyFont="1" applyFill="1" applyBorder="1" applyAlignment="1" applyProtection="1">
      <alignment horizontal="right"/>
      <protection hidden="1"/>
    </xf>
    <xf numFmtId="0" fontId="116" fillId="21" borderId="63" xfId="0" applyFont="1" applyFill="1" applyBorder="1" applyAlignment="1" applyProtection="1">
      <alignment horizontal="center"/>
      <protection hidden="1"/>
    </xf>
    <xf numFmtId="174" fontId="110" fillId="21" borderId="63" xfId="0" applyNumberFormat="1" applyFont="1" applyFill="1" applyBorder="1" applyProtection="1">
      <protection hidden="1"/>
    </xf>
    <xf numFmtId="0" fontId="110" fillId="21" borderId="63" xfId="0" applyFont="1" applyFill="1" applyBorder="1" applyProtection="1">
      <protection hidden="1"/>
    </xf>
    <xf numFmtId="0" fontId="110" fillId="21" borderId="64" xfId="0" applyFont="1" applyFill="1" applyBorder="1" applyProtection="1">
      <protection hidden="1"/>
    </xf>
    <xf numFmtId="0" fontId="110" fillId="13" borderId="0" xfId="0" applyFont="1" applyFill="1" applyProtection="1">
      <protection hidden="1"/>
    </xf>
    <xf numFmtId="0" fontId="110" fillId="13" borderId="1" xfId="0" applyFont="1" applyFill="1" applyBorder="1" applyProtection="1">
      <protection hidden="1"/>
    </xf>
    <xf numFmtId="0" fontId="110" fillId="0" borderId="5" xfId="0" applyFont="1" applyBorder="1" applyProtection="1">
      <protection hidden="1"/>
    </xf>
    <xf numFmtId="0" fontId="119" fillId="31" borderId="3" xfId="0" applyFont="1" applyFill="1" applyBorder="1" applyAlignment="1" applyProtection="1">
      <alignment horizontal="center"/>
      <protection hidden="1"/>
    </xf>
    <xf numFmtId="10" fontId="122" fillId="0" borderId="3" xfId="0" applyNumberFormat="1" applyFont="1" applyBorder="1" applyAlignment="1" applyProtection="1">
      <alignment horizontal="center"/>
      <protection locked="0" hidden="1"/>
    </xf>
    <xf numFmtId="0" fontId="119" fillId="64" borderId="3" xfId="0" applyFont="1" applyFill="1" applyBorder="1" applyAlignment="1" applyProtection="1">
      <alignment horizontal="center"/>
      <protection hidden="1"/>
    </xf>
    <xf numFmtId="170" fontId="122" fillId="12" borderId="0" xfId="0" applyNumberFormat="1" applyFont="1" applyFill="1" applyProtection="1">
      <protection hidden="1"/>
    </xf>
    <xf numFmtId="0" fontId="110" fillId="13" borderId="10" xfId="0" applyFont="1" applyFill="1" applyBorder="1" applyProtection="1">
      <protection hidden="1"/>
    </xf>
    <xf numFmtId="0" fontId="110" fillId="13" borderId="3" xfId="0" applyFont="1" applyFill="1" applyBorder="1" applyAlignment="1" applyProtection="1">
      <alignment vertical="center"/>
      <protection hidden="1"/>
    </xf>
    <xf numFmtId="0" fontId="114" fillId="0" borderId="0" xfId="0" applyFont="1" applyAlignment="1" applyProtection="1">
      <alignment horizontal="right"/>
      <protection hidden="1"/>
    </xf>
    <xf numFmtId="0" fontId="110" fillId="13" borderId="3" xfId="0" applyFont="1" applyFill="1" applyBorder="1" applyProtection="1">
      <protection hidden="1"/>
    </xf>
    <xf numFmtId="0" fontId="122" fillId="12" borderId="5" xfId="0" applyFont="1" applyFill="1" applyBorder="1" applyAlignment="1" applyProtection="1">
      <alignment horizontal="left"/>
      <protection hidden="1"/>
    </xf>
    <xf numFmtId="0" fontId="119" fillId="36" borderId="0" xfId="0" applyFont="1" applyFill="1" applyProtection="1">
      <protection hidden="1"/>
    </xf>
    <xf numFmtId="174" fontId="122" fillId="0" borderId="3" xfId="0" applyNumberFormat="1" applyFont="1" applyBorder="1" applyProtection="1">
      <protection locked="0" hidden="1"/>
    </xf>
    <xf numFmtId="0" fontId="119" fillId="30" borderId="0" xfId="0" applyFont="1" applyFill="1" applyProtection="1">
      <protection hidden="1"/>
    </xf>
    <xf numFmtId="174" fontId="121" fillId="13" borderId="6" xfId="0" applyNumberFormat="1" applyFont="1" applyFill="1" applyBorder="1" applyProtection="1">
      <protection hidden="1"/>
    </xf>
    <xf numFmtId="0" fontId="122" fillId="0" borderId="0" xfId="0" applyFont="1" applyAlignment="1" applyProtection="1">
      <alignment horizontal="left" vertical="center"/>
      <protection hidden="1"/>
    </xf>
    <xf numFmtId="168" fontId="135" fillId="0" borderId="0" xfId="6" applyNumberFormat="1" applyFont="1" applyFill="1" applyAlignment="1" applyProtection="1">
      <alignment horizontal="center" vertical="center"/>
      <protection hidden="1"/>
    </xf>
    <xf numFmtId="4" fontId="122" fillId="0" borderId="0" xfId="0" applyNumberFormat="1" applyFont="1" applyAlignment="1" applyProtection="1">
      <alignment horizontal="left" vertical="center"/>
      <protection hidden="1"/>
    </xf>
    <xf numFmtId="6" fontId="116" fillId="0" borderId="0" xfId="0" applyNumberFormat="1" applyFont="1" applyAlignment="1" applyProtection="1">
      <alignment horizontal="center" vertical="center"/>
      <protection hidden="1"/>
    </xf>
    <xf numFmtId="0" fontId="136" fillId="0" borderId="0" xfId="0" applyFont="1" applyAlignment="1" applyProtection="1">
      <alignment vertical="center" wrapText="1"/>
      <protection hidden="1"/>
    </xf>
    <xf numFmtId="0" fontId="122" fillId="0" borderId="0" xfId="0" applyFont="1" applyAlignment="1" applyProtection="1">
      <alignment horizontal="right" vertical="center"/>
      <protection hidden="1"/>
    </xf>
    <xf numFmtId="0" fontId="116" fillId="0" borderId="23" xfId="0" applyFont="1" applyBorder="1" applyAlignment="1" applyProtection="1">
      <alignment horizontal="center" vertical="center"/>
      <protection locked="0" hidden="1"/>
    </xf>
    <xf numFmtId="10" fontId="110" fillId="13" borderId="3" xfId="0" applyNumberFormat="1" applyFont="1" applyFill="1" applyBorder="1" applyAlignment="1" applyProtection="1">
      <alignment vertical="center"/>
      <protection hidden="1"/>
    </xf>
    <xf numFmtId="10" fontId="110" fillId="13" borderId="0" xfId="0" applyNumberFormat="1" applyFont="1" applyFill="1" applyAlignment="1" applyProtection="1">
      <alignment vertical="center"/>
      <protection hidden="1"/>
    </xf>
    <xf numFmtId="0" fontId="110" fillId="0" borderId="4" xfId="0" applyFont="1" applyBorder="1" applyAlignment="1" applyProtection="1">
      <alignment vertical="center"/>
      <protection hidden="1"/>
    </xf>
    <xf numFmtId="0" fontId="119" fillId="31" borderId="3" xfId="0" applyFont="1" applyFill="1" applyBorder="1" applyAlignment="1" applyProtection="1">
      <alignment horizontal="center" vertical="center"/>
      <protection hidden="1"/>
    </xf>
    <xf numFmtId="10" fontId="110" fillId="0" borderId="3" xfId="0" applyNumberFormat="1" applyFont="1" applyBorder="1" applyAlignment="1" applyProtection="1">
      <alignment horizontal="center" vertical="center"/>
      <protection locked="0" hidden="1"/>
    </xf>
    <xf numFmtId="0" fontId="119" fillId="64" borderId="3" xfId="0" applyFont="1" applyFill="1" applyBorder="1" applyAlignment="1" applyProtection="1">
      <alignment horizontal="center" vertical="center"/>
      <protection hidden="1"/>
    </xf>
    <xf numFmtId="168" fontId="117" fillId="0" borderId="0" xfId="6" applyNumberFormat="1" applyFont="1" applyFill="1" applyAlignment="1" applyProtection="1">
      <alignment horizontal="center"/>
      <protection hidden="1"/>
    </xf>
    <xf numFmtId="4" fontId="122" fillId="0" borderId="0" xfId="0" applyNumberFormat="1" applyFont="1" applyAlignment="1" applyProtection="1">
      <alignment horizontal="left"/>
      <protection hidden="1"/>
    </xf>
    <xf numFmtId="0" fontId="136" fillId="0" borderId="0" xfId="0" applyFont="1" applyAlignment="1" applyProtection="1">
      <alignment horizontal="right" vertical="center"/>
      <protection hidden="1"/>
    </xf>
    <xf numFmtId="167" fontId="113" fillId="0" borderId="0" xfId="0" applyNumberFormat="1" applyFont="1" applyAlignment="1" applyProtection="1">
      <alignment horizontal="center" vertical="center"/>
      <protection locked="0" hidden="1"/>
    </xf>
    <xf numFmtId="0" fontId="122" fillId="11" borderId="3" xfId="0" applyFont="1" applyFill="1" applyBorder="1" applyAlignment="1" applyProtection="1">
      <alignment horizontal="center" vertical="center" wrapText="1"/>
      <protection hidden="1"/>
    </xf>
    <xf numFmtId="0" fontId="122" fillId="0" borderId="4" xfId="0" applyFont="1" applyBorder="1" applyAlignment="1" applyProtection="1">
      <alignment horizontal="left"/>
      <protection hidden="1"/>
    </xf>
    <xf numFmtId="0" fontId="110" fillId="0" borderId="0" xfId="0" applyFont="1" applyAlignment="1" applyProtection="1">
      <alignment horizontal="right"/>
      <protection hidden="1"/>
    </xf>
    <xf numFmtId="10" fontId="116" fillId="0" borderId="0" xfId="0" applyNumberFormat="1" applyFont="1" applyProtection="1">
      <protection hidden="1"/>
    </xf>
    <xf numFmtId="0" fontId="114" fillId="0" borderId="3" xfId="0" applyFont="1" applyBorder="1" applyAlignment="1" applyProtection="1">
      <alignment horizontal="center"/>
      <protection hidden="1"/>
    </xf>
    <xf numFmtId="0" fontId="122" fillId="11" borderId="30" xfId="0" applyFont="1" applyFill="1" applyBorder="1" applyAlignment="1" applyProtection="1">
      <alignment horizontal="center" vertical="center" wrapText="1"/>
      <protection hidden="1"/>
    </xf>
    <xf numFmtId="0" fontId="122" fillId="11" borderId="11" xfId="0" applyFont="1" applyFill="1" applyBorder="1" applyAlignment="1" applyProtection="1">
      <alignment horizontal="center" vertical="center" wrapText="1"/>
      <protection hidden="1"/>
    </xf>
    <xf numFmtId="0" fontId="122" fillId="11" borderId="0" xfId="0" applyFont="1" applyFill="1" applyAlignment="1" applyProtection="1">
      <alignment horizontal="center" vertical="center" wrapText="1"/>
      <protection hidden="1"/>
    </xf>
    <xf numFmtId="0" fontId="122" fillId="4" borderId="0" xfId="1" applyFont="1" applyFill="1" applyAlignment="1" applyProtection="1">
      <alignment horizontal="center" vertical="center" wrapText="1"/>
      <protection hidden="1"/>
    </xf>
    <xf numFmtId="0" fontId="119" fillId="98" borderId="3" xfId="1" applyFont="1" applyFill="1" applyBorder="1" applyAlignment="1" applyProtection="1">
      <alignment horizontal="center" vertical="center" wrapText="1"/>
      <protection hidden="1"/>
    </xf>
    <xf numFmtId="0" fontId="117" fillId="0" borderId="23" xfId="1" applyFont="1" applyBorder="1" applyAlignment="1" applyProtection="1">
      <alignment horizontal="center" vertical="top" wrapText="1"/>
      <protection hidden="1"/>
    </xf>
    <xf numFmtId="0" fontId="122" fillId="0" borderId="0" xfId="0" applyFont="1" applyAlignment="1" applyProtection="1">
      <alignment horizontal="center" vertical="center" wrapText="1"/>
      <protection hidden="1"/>
    </xf>
    <xf numFmtId="0" fontId="114" fillId="0" borderId="30" xfId="0" applyFont="1" applyBorder="1" applyAlignment="1" applyProtection="1">
      <alignment horizontal="right"/>
      <protection hidden="1"/>
    </xf>
    <xf numFmtId="0" fontId="114" fillId="0" borderId="11" xfId="0" applyFont="1" applyBorder="1" applyProtection="1">
      <protection hidden="1"/>
    </xf>
    <xf numFmtId="42" fontId="110" fillId="59" borderId="30" xfId="0" applyNumberFormat="1" applyFont="1" applyFill="1" applyBorder="1" applyProtection="1">
      <protection hidden="1"/>
    </xf>
    <xf numFmtId="0" fontId="110" fillId="0" borderId="11" xfId="0" applyFont="1" applyBorder="1" applyProtection="1">
      <protection hidden="1"/>
    </xf>
    <xf numFmtId="0" fontId="137" fillId="0" borderId="4" xfId="0" applyFont="1" applyBorder="1" applyProtection="1">
      <protection hidden="1"/>
    </xf>
    <xf numFmtId="0" fontId="137" fillId="0" borderId="0" xfId="0" applyFont="1" applyProtection="1">
      <protection hidden="1"/>
    </xf>
    <xf numFmtId="0" fontId="137" fillId="0" borderId="0" xfId="0" applyFont="1" applyAlignment="1" applyProtection="1">
      <alignment horizontal="center"/>
      <protection hidden="1"/>
    </xf>
    <xf numFmtId="0" fontId="138" fillId="0" borderId="0" xfId="0" applyFont="1" applyAlignment="1" applyProtection="1">
      <alignment horizontal="center"/>
      <protection hidden="1"/>
    </xf>
    <xf numFmtId="0" fontId="138" fillId="0" borderId="0" xfId="0" applyFont="1" applyProtection="1">
      <protection hidden="1"/>
    </xf>
    <xf numFmtId="0" fontId="117" fillId="0" borderId="5" xfId="0" applyFont="1" applyBorder="1" applyAlignment="1" applyProtection="1">
      <alignment horizontal="center"/>
      <protection hidden="1"/>
    </xf>
    <xf numFmtId="0" fontId="119" fillId="36" borderId="0" xfId="0" applyFont="1" applyFill="1" applyAlignment="1" applyProtection="1">
      <alignment horizontal="center" vertical="center"/>
      <protection hidden="1"/>
    </xf>
    <xf numFmtId="0" fontId="119" fillId="64" borderId="0" xfId="0" applyFont="1" applyFill="1" applyAlignment="1" applyProtection="1">
      <alignment horizontal="center" vertical="center"/>
      <protection hidden="1"/>
    </xf>
    <xf numFmtId="3" fontId="110" fillId="0" borderId="0" xfId="0" applyNumberFormat="1" applyFont="1" applyProtection="1">
      <protection hidden="1"/>
    </xf>
    <xf numFmtId="0" fontId="110" fillId="15" borderId="0" xfId="0" applyFont="1" applyFill="1" applyProtection="1">
      <protection hidden="1"/>
    </xf>
    <xf numFmtId="171" fontId="137" fillId="0" borderId="4" xfId="8" applyNumberFormat="1" applyFont="1" applyBorder="1" applyProtection="1">
      <protection hidden="1"/>
    </xf>
    <xf numFmtId="0" fontId="114" fillId="0" borderId="5" xfId="0" applyFont="1" applyBorder="1" applyProtection="1">
      <protection hidden="1"/>
    </xf>
    <xf numFmtId="0" fontId="110" fillId="15" borderId="4" xfId="0" applyFont="1" applyFill="1" applyBorder="1" applyProtection="1">
      <protection hidden="1"/>
    </xf>
    <xf numFmtId="0" fontId="110" fillId="15" borderId="5" xfId="0" applyFont="1" applyFill="1" applyBorder="1" applyProtection="1">
      <protection hidden="1"/>
    </xf>
    <xf numFmtId="0" fontId="119" fillId="2" borderId="5" xfId="0" applyFont="1" applyFill="1" applyBorder="1" applyAlignment="1" applyProtection="1">
      <alignment horizontal="center"/>
      <protection hidden="1"/>
    </xf>
    <xf numFmtId="0" fontId="117" fillId="35" borderId="3" xfId="0" applyFont="1" applyFill="1" applyBorder="1" applyAlignment="1" applyProtection="1">
      <alignment horizontal="center"/>
      <protection hidden="1"/>
    </xf>
    <xf numFmtId="0" fontId="117" fillId="0" borderId="30" xfId="0" applyFont="1" applyBorder="1" applyAlignment="1" applyProtection="1">
      <alignment horizontal="center"/>
      <protection hidden="1"/>
    </xf>
    <xf numFmtId="0" fontId="117" fillId="0" borderId="15" xfId="0" applyFont="1" applyBorder="1" applyAlignment="1" applyProtection="1">
      <alignment horizontal="center"/>
      <protection hidden="1"/>
    </xf>
    <xf numFmtId="3" fontId="117" fillId="0" borderId="11" xfId="0" applyNumberFormat="1" applyFont="1" applyBorder="1" applyAlignment="1" applyProtection="1">
      <alignment horizontal="center"/>
      <protection hidden="1"/>
    </xf>
    <xf numFmtId="0" fontId="117" fillId="0" borderId="0" xfId="0" applyFont="1" applyAlignment="1" applyProtection="1">
      <alignment horizontal="center"/>
      <protection hidden="1"/>
    </xf>
    <xf numFmtId="4" fontId="117" fillId="0" borderId="11" xfId="0" applyNumberFormat="1" applyFont="1" applyBorder="1" applyAlignment="1" applyProtection="1">
      <alignment horizontal="center"/>
      <protection hidden="1"/>
    </xf>
    <xf numFmtId="3" fontId="110" fillId="13" borderId="0" xfId="0" applyNumberFormat="1" applyFont="1" applyFill="1" applyProtection="1">
      <protection hidden="1"/>
    </xf>
    <xf numFmtId="164" fontId="114" fillId="0" borderId="4" xfId="5" applyNumberFormat="1" applyFont="1" applyBorder="1" applyProtection="1">
      <protection hidden="1"/>
    </xf>
    <xf numFmtId="164" fontId="114" fillId="15" borderId="5" xfId="5" applyNumberFormat="1" applyFont="1" applyFill="1" applyBorder="1" applyProtection="1">
      <protection hidden="1"/>
    </xf>
    <xf numFmtId="43" fontId="114" fillId="0" borderId="0" xfId="5" applyFont="1" applyBorder="1" applyProtection="1">
      <protection hidden="1"/>
    </xf>
    <xf numFmtId="43" fontId="114" fillId="0" borderId="4" xfId="5" applyFont="1" applyBorder="1" applyProtection="1">
      <protection hidden="1"/>
    </xf>
    <xf numFmtId="43" fontId="114" fillId="0" borderId="5" xfId="5" applyFont="1" applyBorder="1" applyProtection="1">
      <protection hidden="1"/>
    </xf>
    <xf numFmtId="4" fontId="110" fillId="15" borderId="4" xfId="0" applyNumberFormat="1" applyFont="1" applyFill="1" applyBorder="1" applyProtection="1">
      <protection hidden="1"/>
    </xf>
    <xf numFmtId="4" fontId="110" fillId="15" borderId="0" xfId="0" applyNumberFormat="1" applyFont="1" applyFill="1" applyProtection="1">
      <protection hidden="1"/>
    </xf>
    <xf numFmtId="172" fontId="121" fillId="0" borderId="5" xfId="6" applyNumberFormat="1" applyFont="1" applyBorder="1" applyProtection="1">
      <protection hidden="1"/>
    </xf>
    <xf numFmtId="170" fontId="138" fillId="0" borderId="3" xfId="6" applyNumberFormat="1" applyFont="1" applyBorder="1" applyProtection="1">
      <protection locked="0"/>
    </xf>
    <xf numFmtId="0" fontId="110" fillId="0" borderId="4" xfId="0" applyFont="1" applyBorder="1" applyAlignment="1" applyProtection="1">
      <alignment horizontal="center"/>
      <protection hidden="1"/>
    </xf>
    <xf numFmtId="180" fontId="110" fillId="0" borderId="0" xfId="14" applyNumberFormat="1" applyFont="1" applyBorder="1" applyProtection="1">
      <protection hidden="1"/>
    </xf>
    <xf numFmtId="180" fontId="110" fillId="0" borderId="5" xfId="14" applyNumberFormat="1" applyFont="1" applyBorder="1" applyProtection="1">
      <protection hidden="1"/>
    </xf>
    <xf numFmtId="170" fontId="138" fillId="0" borderId="0" xfId="6" applyNumberFormat="1" applyFont="1" applyFill="1" applyBorder="1" applyProtection="1">
      <protection locked="0"/>
    </xf>
    <xf numFmtId="170" fontId="114" fillId="0" borderId="0" xfId="6" applyNumberFormat="1" applyFont="1" applyFill="1" applyBorder="1" applyProtection="1">
      <protection hidden="1"/>
    </xf>
    <xf numFmtId="170" fontId="110" fillId="0" borderId="0" xfId="6" applyNumberFormat="1" applyFont="1" applyFill="1" applyBorder="1"/>
    <xf numFmtId="10" fontId="114" fillId="0" borderId="5" xfId="6" applyNumberFormat="1" applyFont="1" applyBorder="1" applyProtection="1">
      <protection hidden="1"/>
    </xf>
    <xf numFmtId="43" fontId="110" fillId="0" borderId="4" xfId="0" applyNumberFormat="1" applyFont="1" applyBorder="1" applyProtection="1">
      <protection hidden="1"/>
    </xf>
    <xf numFmtId="43" fontId="110" fillId="0" borderId="5" xfId="5" applyFont="1" applyBorder="1" applyProtection="1">
      <protection hidden="1"/>
    </xf>
    <xf numFmtId="4" fontId="110" fillId="37" borderId="4" xfId="0" applyNumberFormat="1" applyFont="1" applyFill="1" applyBorder="1" applyProtection="1">
      <protection hidden="1"/>
    </xf>
    <xf numFmtId="4" fontId="110" fillId="37" borderId="0" xfId="0" applyNumberFormat="1" applyFont="1" applyFill="1" applyProtection="1">
      <protection hidden="1"/>
    </xf>
    <xf numFmtId="4" fontId="110" fillId="13" borderId="0" xfId="0" applyNumberFormat="1" applyFont="1" applyFill="1" applyProtection="1">
      <protection hidden="1"/>
    </xf>
    <xf numFmtId="4" fontId="110" fillId="0" borderId="0" xfId="0" applyNumberFormat="1" applyFont="1" applyProtection="1">
      <protection hidden="1"/>
    </xf>
    <xf numFmtId="3" fontId="122" fillId="0" borderId="0" xfId="0" applyNumberFormat="1" applyFont="1" applyAlignment="1" applyProtection="1">
      <alignment horizontal="center"/>
      <protection hidden="1"/>
    </xf>
    <xf numFmtId="4" fontId="110" fillId="0" borderId="4" xfId="0" applyNumberFormat="1" applyFont="1" applyBorder="1" applyProtection="1">
      <protection hidden="1"/>
    </xf>
    <xf numFmtId="43" fontId="110" fillId="13" borderId="0" xfId="5" applyFont="1" applyFill="1" applyProtection="1">
      <protection hidden="1"/>
    </xf>
    <xf numFmtId="0" fontId="110" fillId="67" borderId="4" xfId="0" applyFont="1" applyFill="1" applyBorder="1" applyAlignment="1" applyProtection="1">
      <alignment horizontal="center"/>
      <protection hidden="1"/>
    </xf>
    <xf numFmtId="180" fontId="110" fillId="67" borderId="0" xfId="14" applyNumberFormat="1" applyFont="1" applyFill="1" applyBorder="1" applyProtection="1">
      <protection hidden="1"/>
    </xf>
    <xf numFmtId="0" fontId="110" fillId="49" borderId="4" xfId="0" applyFont="1" applyFill="1" applyBorder="1" applyAlignment="1" applyProtection="1">
      <alignment horizontal="center"/>
      <protection hidden="1"/>
    </xf>
    <xf numFmtId="180" fontId="110" fillId="49" borderId="0" xfId="14" applyNumberFormat="1" applyFont="1" applyFill="1" applyBorder="1" applyProtection="1">
      <protection hidden="1"/>
    </xf>
    <xf numFmtId="170" fontId="114" fillId="0" borderId="0" xfId="6" applyNumberFormat="1" applyFont="1" applyFill="1" applyBorder="1" applyAlignment="1" applyProtection="1">
      <protection hidden="1"/>
    </xf>
    <xf numFmtId="0" fontId="114" fillId="49" borderId="4" xfId="0" applyFont="1" applyFill="1" applyBorder="1" applyAlignment="1" applyProtection="1">
      <alignment horizontal="center"/>
      <protection hidden="1"/>
    </xf>
    <xf numFmtId="180" fontId="114" fillId="49" borderId="0" xfId="14" applyNumberFormat="1" applyFont="1" applyFill="1" applyBorder="1" applyProtection="1">
      <protection hidden="1"/>
    </xf>
    <xf numFmtId="0" fontId="114" fillId="0" borderId="0" xfId="0" applyFont="1" applyAlignment="1" applyProtection="1">
      <alignment vertical="top"/>
      <protection hidden="1"/>
    </xf>
    <xf numFmtId="170" fontId="114" fillId="0" borderId="0" xfId="6" applyNumberFormat="1" applyFont="1" applyFill="1" applyBorder="1" applyAlignment="1" applyProtection="1">
      <alignment vertical="top"/>
      <protection hidden="1"/>
    </xf>
    <xf numFmtId="164" fontId="114" fillId="0" borderId="8" xfId="5" applyNumberFormat="1" applyFont="1" applyBorder="1" applyProtection="1">
      <protection hidden="1"/>
    </xf>
    <xf numFmtId="43" fontId="110" fillId="0" borderId="8" xfId="0" applyNumberFormat="1" applyFont="1" applyBorder="1" applyProtection="1">
      <protection hidden="1"/>
    </xf>
    <xf numFmtId="43" fontId="110" fillId="0" borderId="33" xfId="5" applyFont="1" applyBorder="1" applyProtection="1">
      <protection hidden="1"/>
    </xf>
    <xf numFmtId="172" fontId="121" fillId="0" borderId="33" xfId="6" applyNumberFormat="1" applyFont="1" applyBorder="1" applyProtection="1">
      <protection hidden="1"/>
    </xf>
    <xf numFmtId="0" fontId="110" fillId="0" borderId="8" xfId="0" applyFont="1" applyBorder="1" applyAlignment="1" applyProtection="1">
      <alignment horizontal="center"/>
      <protection hidden="1"/>
    </xf>
    <xf numFmtId="180" fontId="110" fillId="0" borderId="2" xfId="14" applyNumberFormat="1" applyFont="1" applyBorder="1" applyProtection="1">
      <protection hidden="1"/>
    </xf>
    <xf numFmtId="180" fontId="110" fillId="0" borderId="33" xfId="14" applyNumberFormat="1" applyFont="1" applyBorder="1" applyProtection="1">
      <protection hidden="1"/>
    </xf>
    <xf numFmtId="3" fontId="110" fillId="0" borderId="0" xfId="0" applyNumberFormat="1" applyFont="1" applyAlignment="1" applyProtection="1">
      <alignment horizontal="center"/>
      <protection hidden="1"/>
    </xf>
    <xf numFmtId="4" fontId="110" fillId="0" borderId="0" xfId="0" applyNumberFormat="1" applyFont="1" applyAlignment="1" applyProtection="1">
      <alignment horizontal="center"/>
      <protection hidden="1"/>
    </xf>
    <xf numFmtId="164" fontId="114" fillId="0" borderId="0" xfId="5" applyNumberFormat="1" applyFont="1" applyBorder="1" applyProtection="1">
      <protection hidden="1"/>
    </xf>
    <xf numFmtId="0" fontId="113" fillId="0" borderId="31" xfId="0" applyFont="1" applyBorder="1" applyProtection="1">
      <protection hidden="1"/>
    </xf>
    <xf numFmtId="0" fontId="122" fillId="0" borderId="31" xfId="0" applyFont="1" applyBorder="1" applyProtection="1">
      <protection hidden="1"/>
    </xf>
    <xf numFmtId="3" fontId="122" fillId="0" borderId="31" xfId="0" applyNumberFormat="1" applyFont="1" applyBorder="1" applyAlignment="1" applyProtection="1">
      <alignment horizontal="center"/>
      <protection hidden="1"/>
    </xf>
    <xf numFmtId="3" fontId="122" fillId="0" borderId="31" xfId="0" applyNumberFormat="1" applyFont="1" applyBorder="1" applyProtection="1">
      <protection hidden="1"/>
    </xf>
    <xf numFmtId="3" fontId="115" fillId="0" borderId="31" xfId="0" applyNumberFormat="1" applyFont="1" applyBorder="1" applyProtection="1">
      <protection hidden="1"/>
    </xf>
    <xf numFmtId="3" fontId="122" fillId="0" borderId="0" xfId="0" applyNumberFormat="1" applyFont="1" applyProtection="1">
      <protection hidden="1"/>
    </xf>
    <xf numFmtId="3" fontId="115" fillId="0" borderId="0" xfId="0" applyNumberFormat="1" applyFont="1" applyProtection="1">
      <protection hidden="1"/>
    </xf>
    <xf numFmtId="0" fontId="139" fillId="98" borderId="15" xfId="0" applyFont="1" applyFill="1" applyBorder="1" applyAlignment="1" applyProtection="1">
      <alignment horizontal="left"/>
      <protection hidden="1"/>
    </xf>
    <xf numFmtId="0" fontId="140" fillId="98" borderId="16" xfId="0" applyFont="1" applyFill="1" applyBorder="1" applyAlignment="1" applyProtection="1">
      <alignment horizontal="left"/>
      <protection hidden="1"/>
    </xf>
    <xf numFmtId="0" fontId="140" fillId="98" borderId="35" xfId="0" applyFont="1" applyFill="1" applyBorder="1" applyAlignment="1" applyProtection="1">
      <alignment horizontal="left" vertical="center"/>
      <protection hidden="1"/>
    </xf>
    <xf numFmtId="0" fontId="141" fillId="0" borderId="0" xfId="0" applyFont="1" applyAlignment="1" applyProtection="1">
      <alignment vertical="center"/>
      <protection hidden="1"/>
    </xf>
    <xf numFmtId="0" fontId="142" fillId="0" borderId="0" xfId="0" applyFont="1" applyAlignment="1" applyProtection="1">
      <alignment horizontal="centerContinuous"/>
      <protection hidden="1"/>
    </xf>
    <xf numFmtId="10" fontId="110" fillId="0" borderId="0" xfId="6" applyNumberFormat="1" applyFont="1" applyProtection="1">
      <protection hidden="1"/>
    </xf>
    <xf numFmtId="2" fontId="110" fillId="13" borderId="10" xfId="0" applyNumberFormat="1" applyFont="1" applyFill="1" applyBorder="1" applyProtection="1">
      <protection hidden="1"/>
    </xf>
    <xf numFmtId="0" fontId="122" fillId="16" borderId="0" xfId="0" applyFont="1" applyFill="1" applyProtection="1">
      <protection hidden="1"/>
    </xf>
    <xf numFmtId="0" fontId="110" fillId="16" borderId="0" xfId="0" applyFont="1" applyFill="1" applyProtection="1">
      <protection hidden="1"/>
    </xf>
    <xf numFmtId="0" fontId="114" fillId="16" borderId="0" xfId="0" applyFont="1" applyFill="1" applyAlignment="1" applyProtection="1">
      <alignment horizontal="left"/>
      <protection hidden="1"/>
    </xf>
    <xf numFmtId="0" fontId="122" fillId="16" borderId="0" xfId="0" applyFont="1" applyFill="1" applyAlignment="1" applyProtection="1">
      <alignment horizontal="right"/>
      <protection hidden="1"/>
    </xf>
    <xf numFmtId="0" fontId="114" fillId="16" borderId="0" xfId="0" applyFont="1" applyFill="1" applyAlignment="1" applyProtection="1">
      <alignment horizontal="center"/>
      <protection hidden="1"/>
    </xf>
    <xf numFmtId="0" fontId="113" fillId="0" borderId="0" xfId="0" applyFont="1" applyAlignment="1" applyProtection="1">
      <alignment vertical="center"/>
      <protection hidden="1"/>
    </xf>
    <xf numFmtId="10" fontId="122" fillId="0" borderId="0" xfId="0" applyNumberFormat="1" applyFont="1" applyAlignment="1" applyProtection="1">
      <alignment horizontal="center"/>
      <protection hidden="1"/>
    </xf>
    <xf numFmtId="8" fontId="114" fillId="0" borderId="0" xfId="0" applyNumberFormat="1" applyFont="1" applyAlignment="1" applyProtection="1">
      <alignment horizontal="left"/>
      <protection hidden="1"/>
    </xf>
    <xf numFmtId="1" fontId="117" fillId="0" borderId="0" xfId="0" applyNumberFormat="1" applyFont="1" applyAlignment="1" applyProtection="1">
      <alignment horizontal="center"/>
      <protection hidden="1"/>
    </xf>
    <xf numFmtId="0" fontId="114" fillId="37" borderId="3" xfId="0" applyFont="1" applyFill="1" applyBorder="1" applyProtection="1">
      <protection hidden="1"/>
    </xf>
    <xf numFmtId="0" fontId="122" fillId="12" borderId="1" xfId="0" applyFont="1" applyFill="1" applyBorder="1" applyAlignment="1" applyProtection="1">
      <alignment horizontal="left"/>
      <protection hidden="1"/>
    </xf>
    <xf numFmtId="168" fontId="135" fillId="0" borderId="0" xfId="6" applyNumberFormat="1" applyFont="1" applyFill="1" applyAlignment="1" applyProtection="1">
      <alignment horizontal="center"/>
      <protection hidden="1"/>
    </xf>
    <xf numFmtId="6" fontId="110" fillId="0" borderId="0" xfId="0" applyNumberFormat="1" applyFont="1" applyProtection="1">
      <protection hidden="1"/>
    </xf>
    <xf numFmtId="0" fontId="121" fillId="13" borderId="10" xfId="0" applyFont="1" applyFill="1" applyBorder="1" applyProtection="1">
      <protection hidden="1"/>
    </xf>
    <xf numFmtId="0" fontId="122" fillId="0" borderId="32" xfId="0" applyFont="1" applyBorder="1" applyAlignment="1" applyProtection="1">
      <alignment horizontal="left"/>
      <protection hidden="1"/>
    </xf>
    <xf numFmtId="0" fontId="119" fillId="98" borderId="3" xfId="0" applyFont="1" applyFill="1" applyBorder="1" applyAlignment="1" applyProtection="1">
      <alignment horizontal="center" vertical="center"/>
      <protection hidden="1"/>
    </xf>
    <xf numFmtId="0" fontId="119" fillId="22" borderId="3" xfId="0" applyFont="1" applyFill="1" applyBorder="1" applyAlignment="1" applyProtection="1">
      <alignment horizontal="center" vertical="center" wrapText="1"/>
      <protection hidden="1"/>
    </xf>
    <xf numFmtId="0" fontId="137" fillId="0" borderId="32" xfId="0" applyFont="1" applyBorder="1" applyProtection="1">
      <protection hidden="1"/>
    </xf>
    <xf numFmtId="4" fontId="110" fillId="0" borderId="26" xfId="0" applyNumberFormat="1" applyFont="1" applyBorder="1" applyAlignment="1" applyProtection="1">
      <alignment horizontal="center"/>
      <protection hidden="1"/>
    </xf>
    <xf numFmtId="3" fontId="121" fillId="15" borderId="26" xfId="0" applyNumberFormat="1" applyFont="1" applyFill="1" applyBorder="1" applyAlignment="1" applyProtection="1">
      <alignment horizontal="center"/>
      <protection hidden="1"/>
    </xf>
    <xf numFmtId="164" fontId="114" fillId="0" borderId="5" xfId="5" applyNumberFormat="1" applyFont="1" applyBorder="1" applyProtection="1">
      <protection hidden="1"/>
    </xf>
    <xf numFmtId="10" fontId="110" fillId="0" borderId="0" xfId="6" applyNumberFormat="1" applyFont="1" applyBorder="1" applyAlignment="1" applyProtection="1">
      <alignment horizontal="center"/>
      <protection hidden="1"/>
    </xf>
    <xf numFmtId="3" fontId="121" fillId="0" borderId="0" xfId="0" applyNumberFormat="1" applyFont="1" applyAlignment="1" applyProtection="1">
      <alignment horizontal="center"/>
      <protection locked="0" hidden="1"/>
    </xf>
    <xf numFmtId="10" fontId="114" fillId="0" borderId="0" xfId="6" applyNumberFormat="1" applyFont="1" applyBorder="1" applyProtection="1">
      <protection hidden="1"/>
    </xf>
    <xf numFmtId="172" fontId="121" fillId="0" borderId="0" xfId="6" applyNumberFormat="1" applyFont="1" applyProtection="1">
      <protection hidden="1"/>
    </xf>
    <xf numFmtId="0" fontId="110" fillId="0" borderId="31" xfId="0" applyFont="1" applyBorder="1" applyProtection="1">
      <protection hidden="1"/>
    </xf>
    <xf numFmtId="4" fontId="113" fillId="0" borderId="31" xfId="0" applyNumberFormat="1" applyFont="1" applyBorder="1" applyAlignment="1" applyProtection="1">
      <alignment horizontal="center"/>
      <protection hidden="1"/>
    </xf>
    <xf numFmtId="0" fontId="110" fillId="0" borderId="31" xfId="0" applyFont="1" applyBorder="1" applyAlignment="1" applyProtection="1">
      <alignment horizontal="center"/>
      <protection hidden="1"/>
    </xf>
    <xf numFmtId="3" fontId="113" fillId="0" borderId="31" xfId="0" applyNumberFormat="1" applyFont="1" applyBorder="1" applyProtection="1">
      <protection hidden="1"/>
    </xf>
    <xf numFmtId="0" fontId="110" fillId="0" borderId="0" xfId="0" applyFont="1" applyAlignment="1" applyProtection="1">
      <alignment wrapText="1"/>
      <protection hidden="1"/>
    </xf>
    <xf numFmtId="0" fontId="145" fillId="0" borderId="23" xfId="1" applyFont="1" applyBorder="1" applyAlignment="1" applyProtection="1">
      <alignment horizontal="center" vertical="top" wrapText="1"/>
      <protection hidden="1"/>
    </xf>
    <xf numFmtId="0" fontId="121" fillId="13" borderId="0" xfId="0" applyFont="1" applyFill="1" applyProtection="1">
      <protection hidden="1"/>
    </xf>
    <xf numFmtId="0" fontId="119" fillId="98" borderId="3" xfId="0" applyFont="1" applyFill="1" applyBorder="1" applyAlignment="1" applyProtection="1">
      <alignment horizontal="center" vertical="center" wrapText="1"/>
      <protection hidden="1"/>
    </xf>
    <xf numFmtId="0" fontId="119" fillId="36" borderId="0" xfId="0" applyFont="1" applyFill="1" applyAlignment="1" applyProtection="1">
      <alignment horizontal="center"/>
      <protection hidden="1"/>
    </xf>
    <xf numFmtId="3" fontId="121" fillId="0" borderId="26" xfId="0" applyNumberFormat="1" applyFont="1" applyBorder="1" applyAlignment="1" applyProtection="1">
      <alignment horizontal="center"/>
      <protection hidden="1"/>
    </xf>
    <xf numFmtId="3" fontId="113" fillId="0" borderId="31" xfId="0" applyNumberFormat="1" applyFont="1" applyBorder="1" applyAlignment="1" applyProtection="1">
      <alignment horizontal="center"/>
      <protection hidden="1"/>
    </xf>
    <xf numFmtId="0" fontId="117" fillId="0" borderId="0" xfId="0" applyFont="1" applyAlignment="1" applyProtection="1">
      <alignment vertical="top"/>
      <protection hidden="1"/>
    </xf>
    <xf numFmtId="0" fontId="117" fillId="0" borderId="0" xfId="0" applyFont="1" applyAlignment="1" applyProtection="1">
      <alignment horizontal="centerContinuous" vertical="top"/>
      <protection hidden="1"/>
    </xf>
    <xf numFmtId="0" fontId="110" fillId="66" borderId="3" xfId="0" applyFont="1" applyFill="1" applyBorder="1" applyProtection="1">
      <protection hidden="1"/>
    </xf>
    <xf numFmtId="0" fontId="110" fillId="98" borderId="0" xfId="0" applyFont="1" applyFill="1" applyProtection="1">
      <protection hidden="1"/>
    </xf>
    <xf numFmtId="167" fontId="116" fillId="0" borderId="0" xfId="0" applyNumberFormat="1" applyFont="1" applyAlignment="1" applyProtection="1">
      <alignment vertical="center"/>
      <protection hidden="1"/>
    </xf>
    <xf numFmtId="0" fontId="113" fillId="0" borderId="0" xfId="0" applyFont="1" applyAlignment="1" applyProtection="1">
      <alignment horizontal="center"/>
      <protection locked="0" hidden="1"/>
    </xf>
    <xf numFmtId="0" fontId="113" fillId="0" borderId="0" xfId="0" applyFont="1" applyAlignment="1" applyProtection="1">
      <alignment horizontal="right"/>
      <protection hidden="1"/>
    </xf>
    <xf numFmtId="42" fontId="110" fillId="0" borderId="0" xfId="0" applyNumberFormat="1" applyFont="1" applyProtection="1">
      <protection hidden="1"/>
    </xf>
    <xf numFmtId="0" fontId="121" fillId="0" borderId="0" xfId="0" applyFont="1" applyAlignment="1" applyProtection="1">
      <alignment horizontal="right"/>
      <protection hidden="1"/>
    </xf>
    <xf numFmtId="0" fontId="126" fillId="0" borderId="0" xfId="0" applyFont="1" applyAlignment="1" applyProtection="1">
      <alignment horizontal="right"/>
      <protection hidden="1"/>
    </xf>
    <xf numFmtId="0" fontId="123" fillId="98" borderId="0" xfId="0" applyFont="1" applyFill="1" applyProtection="1">
      <protection hidden="1"/>
    </xf>
    <xf numFmtId="0" fontId="141" fillId="0" borderId="121" xfId="0" applyFont="1" applyBorder="1" applyAlignment="1" applyProtection="1">
      <alignment horizontal="centerContinuous"/>
      <protection hidden="1"/>
    </xf>
    <xf numFmtId="0" fontId="146" fillId="0" borderId="121" xfId="0" applyFont="1" applyBorder="1" applyAlignment="1" applyProtection="1">
      <alignment horizontal="centerContinuous"/>
      <protection hidden="1"/>
    </xf>
    <xf numFmtId="0" fontId="131" fillId="0" borderId="0" xfId="1" applyFont="1" applyAlignment="1" applyProtection="1">
      <alignment horizontal="center" vertical="center"/>
      <protection hidden="1"/>
    </xf>
    <xf numFmtId="0" fontId="122" fillId="0" borderId="0" xfId="0" applyFont="1" applyAlignment="1" applyProtection="1">
      <alignment wrapText="1"/>
      <protection hidden="1"/>
    </xf>
    <xf numFmtId="4" fontId="123" fillId="0" borderId="0" xfId="0" applyNumberFormat="1" applyFont="1" applyAlignment="1" applyProtection="1">
      <alignment horizontal="center"/>
      <protection hidden="1"/>
    </xf>
    <xf numFmtId="0" fontId="123" fillId="0" borderId="0" xfId="0" applyFont="1" applyAlignment="1" applyProtection="1">
      <alignment horizontal="center"/>
      <protection hidden="1"/>
    </xf>
    <xf numFmtId="0" fontId="122" fillId="0" borderId="0" xfId="0" applyFont="1" applyAlignment="1" applyProtection="1">
      <alignment horizontal="right" wrapText="1"/>
      <protection hidden="1"/>
    </xf>
    <xf numFmtId="167" fontId="113" fillId="0" borderId="0" xfId="0" applyNumberFormat="1" applyFont="1" applyAlignment="1" applyProtection="1">
      <alignment horizontal="center"/>
      <protection hidden="1"/>
    </xf>
    <xf numFmtId="167" fontId="110" fillId="0" borderId="42" xfId="0" applyNumberFormat="1" applyFont="1" applyBorder="1" applyProtection="1">
      <protection hidden="1"/>
    </xf>
    <xf numFmtId="9" fontId="110" fillId="0" borderId="0" xfId="6" applyFont="1" applyFill="1" applyBorder="1" applyAlignment="1" applyProtection="1">
      <alignment horizontal="center"/>
      <protection hidden="1"/>
    </xf>
    <xf numFmtId="9" fontId="110" fillId="0" borderId="0" xfId="0" applyNumberFormat="1" applyFont="1" applyAlignment="1" applyProtection="1">
      <alignment horizontal="center"/>
      <protection hidden="1"/>
    </xf>
    <xf numFmtId="0" fontId="110" fillId="0" borderId="42" xfId="0" applyFont="1" applyBorder="1" applyProtection="1">
      <protection hidden="1"/>
    </xf>
    <xf numFmtId="10" fontId="116" fillId="0" borderId="0" xfId="6" applyNumberFormat="1" applyFont="1" applyFill="1" applyBorder="1" applyAlignment="1" applyProtection="1">
      <alignment horizontal="center"/>
      <protection hidden="1"/>
    </xf>
    <xf numFmtId="0" fontId="110" fillId="0" borderId="42" xfId="0" applyFont="1" applyBorder="1" applyAlignment="1" applyProtection="1">
      <alignment horizontal="center"/>
      <protection hidden="1"/>
    </xf>
    <xf numFmtId="167" fontId="115" fillId="0" borderId="0" xfId="0" applyNumberFormat="1" applyFont="1" applyAlignment="1" applyProtection="1">
      <alignment horizontal="center"/>
      <protection hidden="1"/>
    </xf>
    <xf numFmtId="0" fontId="110" fillId="0" borderId="62" xfId="0" applyFont="1" applyBorder="1" applyProtection="1">
      <protection hidden="1"/>
    </xf>
    <xf numFmtId="167" fontId="110" fillId="0" borderId="0" xfId="0" applyNumberFormat="1" applyFont="1" applyAlignment="1" applyProtection="1">
      <alignment horizontal="center"/>
      <protection hidden="1"/>
    </xf>
    <xf numFmtId="0" fontId="114" fillId="0" borderId="0" xfId="0" applyFont="1" applyAlignment="1" applyProtection="1">
      <alignment horizontal="left" vertical="center"/>
      <protection hidden="1"/>
    </xf>
    <xf numFmtId="174" fontId="116" fillId="0" borderId="0" xfId="0" applyNumberFormat="1" applyFont="1" applyAlignment="1" applyProtection="1">
      <alignment horizontal="center"/>
      <protection hidden="1"/>
    </xf>
    <xf numFmtId="167" fontId="110" fillId="0" borderId="0" xfId="0" applyNumberFormat="1" applyFont="1" applyProtection="1">
      <protection hidden="1"/>
    </xf>
    <xf numFmtId="167" fontId="116" fillId="0" borderId="0" xfId="0" applyNumberFormat="1" applyFont="1" applyAlignment="1" applyProtection="1">
      <alignment horizontal="center"/>
      <protection hidden="1"/>
    </xf>
    <xf numFmtId="0" fontId="147" fillId="0" borderId="0" xfId="0" applyFont="1" applyProtection="1">
      <protection hidden="1"/>
    </xf>
    <xf numFmtId="0" fontId="116" fillId="0" borderId="83" xfId="0" applyFont="1" applyBorder="1" applyAlignment="1" applyProtection="1">
      <alignment horizontal="centerContinuous"/>
      <protection hidden="1"/>
    </xf>
    <xf numFmtId="0" fontId="121" fillId="0" borderId="82" xfId="0" applyFont="1" applyBorder="1" applyAlignment="1" applyProtection="1">
      <alignment horizontal="centerContinuous"/>
      <protection hidden="1"/>
    </xf>
    <xf numFmtId="0" fontId="121" fillId="0" borderId="120" xfId="0" applyFont="1" applyBorder="1" applyAlignment="1" applyProtection="1">
      <alignment horizontal="centerContinuous"/>
      <protection hidden="1"/>
    </xf>
    <xf numFmtId="0" fontId="116" fillId="0" borderId="0" xfId="0" applyFont="1" applyAlignment="1" applyProtection="1">
      <alignment horizontal="centerContinuous"/>
      <protection hidden="1"/>
    </xf>
    <xf numFmtId="0" fontId="121" fillId="0" borderId="0" xfId="0" applyFont="1" applyAlignment="1" applyProtection="1">
      <alignment horizontal="centerContinuous"/>
      <protection hidden="1"/>
    </xf>
    <xf numFmtId="0" fontId="114" fillId="21" borderId="91" xfId="0" applyFont="1" applyFill="1" applyBorder="1" applyProtection="1">
      <protection hidden="1"/>
    </xf>
    <xf numFmtId="0" fontId="121" fillId="21" borderId="41" xfId="0" applyFont="1" applyFill="1" applyBorder="1" applyAlignment="1" applyProtection="1">
      <alignment horizontal="centerContinuous"/>
      <protection hidden="1"/>
    </xf>
    <xf numFmtId="0" fontId="123" fillId="16" borderId="0" xfId="0" applyFont="1" applyFill="1" applyAlignment="1" applyProtection="1">
      <alignment horizontal="center"/>
      <protection locked="0" hidden="1"/>
    </xf>
    <xf numFmtId="0" fontId="121" fillId="21" borderId="0" xfId="0" applyFont="1" applyFill="1" applyAlignment="1" applyProtection="1">
      <alignment horizontal="centerContinuous"/>
      <protection hidden="1"/>
    </xf>
    <xf numFmtId="43" fontId="114" fillId="21" borderId="0" xfId="0" applyNumberFormat="1" applyFont="1" applyFill="1" applyAlignment="1" applyProtection="1">
      <alignment horizontal="right" vertical="center"/>
      <protection hidden="1"/>
    </xf>
    <xf numFmtId="0" fontId="121" fillId="21" borderId="42" xfId="0" applyFont="1" applyFill="1" applyBorder="1" applyAlignment="1" applyProtection="1">
      <alignment horizontal="centerContinuous"/>
      <protection hidden="1"/>
    </xf>
    <xf numFmtId="0" fontId="114" fillId="21" borderId="0" xfId="0" applyFont="1" applyFill="1" applyAlignment="1" applyProtection="1">
      <alignment horizontal="right"/>
      <protection hidden="1"/>
    </xf>
    <xf numFmtId="0" fontId="133" fillId="0" borderId="0" xfId="7" applyFont="1" applyFill="1" applyProtection="1">
      <protection hidden="1"/>
    </xf>
    <xf numFmtId="9" fontId="114" fillId="21" borderId="0" xfId="0" applyNumberFormat="1" applyFont="1" applyFill="1" applyAlignment="1" applyProtection="1">
      <alignment horizontal="right"/>
      <protection hidden="1"/>
    </xf>
    <xf numFmtId="10" fontId="114" fillId="21" borderId="0" xfId="0" applyNumberFormat="1" applyFont="1" applyFill="1" applyAlignment="1" applyProtection="1">
      <alignment horizontal="right"/>
      <protection hidden="1"/>
    </xf>
    <xf numFmtId="0" fontId="116" fillId="21" borderId="62" xfId="0" applyFont="1" applyFill="1" applyBorder="1" applyProtection="1">
      <protection hidden="1"/>
    </xf>
    <xf numFmtId="5" fontId="116" fillId="21" borderId="63" xfId="0" applyNumberFormat="1" applyFont="1" applyFill="1" applyBorder="1" applyAlignment="1" applyProtection="1">
      <alignment horizontal="right"/>
      <protection hidden="1"/>
    </xf>
    <xf numFmtId="0" fontId="121" fillId="21" borderId="63" xfId="0" applyFont="1" applyFill="1" applyBorder="1" applyAlignment="1" applyProtection="1">
      <alignment horizontal="centerContinuous"/>
      <protection hidden="1"/>
    </xf>
    <xf numFmtId="0" fontId="116" fillId="21" borderId="63" xfId="0" applyFont="1" applyFill="1" applyBorder="1" applyAlignment="1" applyProtection="1">
      <alignment horizontal="right"/>
      <protection hidden="1"/>
    </xf>
    <xf numFmtId="0" fontId="121" fillId="21" borderId="64" xfId="0" applyFont="1" applyFill="1" applyBorder="1" applyAlignment="1" applyProtection="1">
      <alignment horizontal="centerContinuous"/>
      <protection hidden="1"/>
    </xf>
    <xf numFmtId="0" fontId="121" fillId="13" borderId="3" xfId="0" applyFont="1" applyFill="1" applyBorder="1" applyAlignment="1" applyProtection="1">
      <alignment horizontal="center" vertical="center"/>
      <protection hidden="1"/>
    </xf>
    <xf numFmtId="0" fontId="116" fillId="13" borderId="3" xfId="0" applyFont="1" applyFill="1" applyBorder="1" applyAlignment="1" applyProtection="1">
      <alignment horizontal="center"/>
      <protection hidden="1"/>
    </xf>
    <xf numFmtId="10" fontId="110" fillId="0" borderId="3" xfId="0" applyNumberFormat="1" applyFont="1" applyBorder="1" applyAlignment="1" applyProtection="1">
      <alignment horizontal="center"/>
      <protection locked="0" hidden="1"/>
    </xf>
    <xf numFmtId="168" fontId="132" fillId="0" borderId="0" xfId="0" applyNumberFormat="1" applyFont="1" applyAlignment="1" applyProtection="1">
      <alignment horizontal="center"/>
      <protection hidden="1"/>
    </xf>
    <xf numFmtId="0" fontId="113" fillId="0" borderId="0" xfId="0" applyFont="1" applyAlignment="1" applyProtection="1">
      <alignment horizontal="right" vertical="center"/>
      <protection hidden="1"/>
    </xf>
    <xf numFmtId="0" fontId="116" fillId="0" borderId="0" xfId="0" applyFont="1" applyAlignment="1" applyProtection="1">
      <alignment horizontal="center" vertical="center"/>
      <protection hidden="1"/>
    </xf>
    <xf numFmtId="10" fontId="114" fillId="0" borderId="3" xfId="0" applyNumberFormat="1" applyFont="1" applyBorder="1" applyProtection="1">
      <protection hidden="1"/>
    </xf>
    <xf numFmtId="0" fontId="110" fillId="48" borderId="1" xfId="0" applyFont="1" applyFill="1" applyBorder="1" applyAlignment="1" applyProtection="1">
      <alignment horizontal="center"/>
      <protection hidden="1"/>
    </xf>
    <xf numFmtId="42" fontId="110" fillId="43" borderId="30" xfId="0" applyNumberFormat="1" applyFont="1" applyFill="1" applyBorder="1" applyProtection="1">
      <protection hidden="1"/>
    </xf>
    <xf numFmtId="9" fontId="110" fillId="0" borderId="5" xfId="11" applyFont="1" applyBorder="1" applyAlignment="1" applyProtection="1">
      <alignment horizontal="center"/>
      <protection hidden="1"/>
    </xf>
    <xf numFmtId="9" fontId="110" fillId="0" borderId="0" xfId="11" applyFont="1" applyAlignment="1" applyProtection="1">
      <alignment horizontal="center"/>
      <protection hidden="1"/>
    </xf>
    <xf numFmtId="0" fontId="110" fillId="48" borderId="9" xfId="0" applyFont="1" applyFill="1" applyBorder="1" applyAlignment="1" applyProtection="1">
      <alignment horizontal="center"/>
      <protection hidden="1"/>
    </xf>
    <xf numFmtId="42" fontId="121" fillId="13" borderId="0" xfId="0" applyNumberFormat="1" applyFont="1" applyFill="1" applyProtection="1">
      <protection hidden="1"/>
    </xf>
    <xf numFmtId="164" fontId="114" fillId="43" borderId="5" xfId="5" applyNumberFormat="1" applyFont="1" applyFill="1" applyBorder="1" applyProtection="1">
      <protection hidden="1"/>
    </xf>
    <xf numFmtId="10" fontId="110" fillId="0" borderId="9" xfId="6" applyNumberFormat="1" applyFont="1" applyBorder="1" applyAlignment="1" applyProtection="1">
      <alignment horizontal="center"/>
      <protection hidden="1"/>
    </xf>
    <xf numFmtId="10" fontId="110" fillId="0" borderId="0" xfId="6" applyNumberFormat="1" applyFont="1" applyBorder="1" applyProtection="1">
      <protection hidden="1"/>
    </xf>
    <xf numFmtId="10" fontId="110" fillId="0" borderId="10" xfId="6" applyNumberFormat="1" applyFont="1" applyBorder="1" applyAlignment="1" applyProtection="1">
      <alignment horizontal="center"/>
      <protection hidden="1"/>
    </xf>
    <xf numFmtId="10" fontId="110" fillId="67" borderId="0" xfId="0" applyNumberFormat="1" applyFont="1" applyFill="1" applyAlignment="1" applyProtection="1">
      <alignment horizontal="center"/>
      <protection hidden="1"/>
    </xf>
    <xf numFmtId="10" fontId="110" fillId="0" borderId="5" xfId="6" applyNumberFormat="1" applyFont="1" applyBorder="1" applyProtection="1">
      <protection hidden="1"/>
    </xf>
    <xf numFmtId="10" fontId="110" fillId="0" borderId="0" xfId="6" applyNumberFormat="1" applyFont="1" applyFill="1" applyProtection="1">
      <protection hidden="1"/>
    </xf>
    <xf numFmtId="10" fontId="110" fillId="16" borderId="0" xfId="0" applyNumberFormat="1" applyFont="1" applyFill="1" applyAlignment="1" applyProtection="1">
      <alignment horizontal="center"/>
      <protection hidden="1"/>
    </xf>
    <xf numFmtId="10" fontId="110" fillId="0" borderId="33" xfId="6" applyNumberFormat="1" applyFont="1" applyBorder="1" applyProtection="1">
      <protection hidden="1"/>
    </xf>
    <xf numFmtId="10" fontId="110" fillId="0" borderId="2" xfId="0" applyNumberFormat="1" applyFont="1" applyBorder="1" applyAlignment="1" applyProtection="1">
      <alignment horizontal="center"/>
      <protection hidden="1"/>
    </xf>
    <xf numFmtId="4" fontId="113" fillId="0" borderId="31" xfId="0" applyNumberFormat="1" applyFont="1" applyBorder="1" applyProtection="1">
      <protection hidden="1"/>
    </xf>
    <xf numFmtId="4" fontId="116" fillId="0" borderId="31" xfId="0" applyNumberFormat="1" applyFont="1" applyBorder="1" applyProtection="1">
      <protection hidden="1"/>
    </xf>
    <xf numFmtId="0" fontId="114" fillId="0" borderId="0" xfId="0" applyFont="1" applyAlignment="1" applyProtection="1">
      <alignment wrapText="1"/>
      <protection hidden="1"/>
    </xf>
    <xf numFmtId="0" fontId="114" fillId="0" borderId="0" xfId="0" applyFont="1" applyAlignment="1" applyProtection="1">
      <alignment horizontal="left" wrapText="1"/>
      <protection hidden="1"/>
    </xf>
    <xf numFmtId="0" fontId="140" fillId="98" borderId="35" xfId="0" applyFont="1" applyFill="1" applyBorder="1" applyAlignment="1" applyProtection="1">
      <alignment horizontal="left"/>
      <protection hidden="1"/>
    </xf>
    <xf numFmtId="164" fontId="114" fillId="15" borderId="0" xfId="5" applyNumberFormat="1" applyFont="1" applyFill="1" applyBorder="1" applyProtection="1">
      <protection hidden="1"/>
    </xf>
    <xf numFmtId="10" fontId="114" fillId="15" borderId="5" xfId="6" applyNumberFormat="1" applyFont="1" applyFill="1" applyBorder="1" applyProtection="1">
      <protection hidden="1"/>
    </xf>
    <xf numFmtId="0" fontId="114" fillId="13" borderId="3" xfId="0" applyFont="1" applyFill="1" applyBorder="1" applyProtection="1">
      <protection hidden="1"/>
    </xf>
    <xf numFmtId="0" fontId="148" fillId="0" borderId="3" xfId="0" applyFont="1" applyBorder="1" applyProtection="1">
      <protection hidden="1"/>
    </xf>
    <xf numFmtId="0" fontId="114" fillId="38" borderId="0" xfId="0" applyFont="1" applyFill="1" applyProtection="1">
      <protection hidden="1"/>
    </xf>
    <xf numFmtId="0" fontId="122" fillId="49" borderId="3" xfId="0" applyFont="1" applyFill="1" applyBorder="1" applyProtection="1">
      <protection hidden="1"/>
    </xf>
    <xf numFmtId="0" fontId="122" fillId="28" borderId="3" xfId="0" applyFont="1" applyFill="1" applyBorder="1" applyAlignment="1" applyProtection="1">
      <alignment horizontal="center" vertical="center"/>
      <protection hidden="1"/>
    </xf>
    <xf numFmtId="0" fontId="122" fillId="28" borderId="0" xfId="0" applyFont="1" applyFill="1" applyAlignment="1" applyProtection="1">
      <alignment horizontal="center" vertical="center"/>
      <protection hidden="1"/>
    </xf>
    <xf numFmtId="0" fontId="122" fillId="38" borderId="15" xfId="0" applyFont="1" applyFill="1" applyBorder="1" applyProtection="1">
      <protection hidden="1"/>
    </xf>
    <xf numFmtId="0" fontId="122" fillId="38" borderId="11" xfId="0" applyFont="1" applyFill="1" applyBorder="1" applyProtection="1">
      <protection hidden="1"/>
    </xf>
    <xf numFmtId="0" fontId="113" fillId="44" borderId="3" xfId="0" applyFont="1" applyFill="1" applyBorder="1" applyAlignment="1">
      <alignment wrapText="1"/>
    </xf>
    <xf numFmtId="0" fontId="113" fillId="44" borderId="3" xfId="0" applyFont="1" applyFill="1" applyBorder="1" applyAlignment="1">
      <alignment horizontal="center" wrapText="1"/>
    </xf>
    <xf numFmtId="0" fontId="113" fillId="41" borderId="14" xfId="0" applyFont="1" applyFill="1" applyBorder="1" applyAlignment="1">
      <alignment horizontal="center"/>
    </xf>
    <xf numFmtId="0" fontId="114" fillId="39" borderId="0" xfId="0" applyFont="1" applyFill="1" applyAlignment="1" applyProtection="1">
      <alignment horizontal="center"/>
      <protection locked="0"/>
    </xf>
    <xf numFmtId="0" fontId="122" fillId="41" borderId="0" xfId="0" applyFont="1" applyFill="1" applyProtection="1">
      <protection hidden="1"/>
    </xf>
    <xf numFmtId="0" fontId="114" fillId="20" borderId="0" xfId="1" applyFont="1" applyFill="1" applyAlignment="1">
      <alignment horizontal="center" wrapText="1"/>
    </xf>
    <xf numFmtId="0" fontId="122" fillId="30" borderId="0" xfId="0" applyFont="1" applyFill="1" applyAlignment="1">
      <alignment horizontal="center" wrapText="1"/>
    </xf>
    <xf numFmtId="0" fontId="119" fillId="10" borderId="30" xfId="0" applyFont="1" applyFill="1" applyBorder="1" applyAlignment="1">
      <alignment horizontal="center"/>
    </xf>
    <xf numFmtId="0" fontId="114" fillId="10" borderId="0" xfId="0" applyFont="1" applyFill="1" applyAlignment="1" applyProtection="1">
      <alignment horizontal="center"/>
      <protection hidden="1"/>
    </xf>
    <xf numFmtId="0" fontId="114" fillId="32" borderId="0" xfId="0" applyFont="1" applyFill="1" applyProtection="1">
      <protection hidden="1"/>
    </xf>
    <xf numFmtId="0" fontId="115" fillId="34" borderId="7" xfId="0" applyFont="1" applyFill="1" applyBorder="1" applyAlignment="1">
      <alignment horizontal="center"/>
    </xf>
    <xf numFmtId="0" fontId="114" fillId="56" borderId="0" xfId="0" applyFont="1" applyFill="1" applyProtection="1">
      <protection hidden="1"/>
    </xf>
    <xf numFmtId="0" fontId="115" fillId="52" borderId="7" xfId="0" applyFont="1" applyFill="1" applyBorder="1" applyAlignment="1">
      <alignment horizontal="center"/>
    </xf>
    <xf numFmtId="3" fontId="115" fillId="52" borderId="7" xfId="0" applyNumberFormat="1" applyFont="1" applyFill="1" applyBorder="1" applyAlignment="1">
      <alignment horizontal="center" wrapText="1"/>
    </xf>
    <xf numFmtId="0" fontId="122" fillId="22" borderId="3" xfId="0" applyFont="1" applyFill="1" applyBorder="1" applyAlignment="1">
      <alignment horizontal="center" vertical="center" wrapText="1"/>
    </xf>
    <xf numFmtId="0" fontId="122" fillId="28" borderId="0" xfId="0" applyFont="1" applyFill="1" applyProtection="1">
      <protection hidden="1"/>
    </xf>
    <xf numFmtId="0" fontId="122" fillId="28" borderId="0" xfId="0" applyFont="1" applyFill="1" applyAlignment="1" applyProtection="1">
      <alignment wrapText="1"/>
      <protection hidden="1"/>
    </xf>
    <xf numFmtId="0" fontId="122" fillId="0" borderId="0" xfId="0" applyFont="1" applyAlignment="1" applyProtection="1">
      <alignment horizontal="center" wrapText="1"/>
      <protection hidden="1"/>
    </xf>
    <xf numFmtId="0" fontId="116" fillId="35" borderId="3" xfId="0" applyFont="1" applyFill="1" applyBorder="1" applyProtection="1">
      <protection locked="0"/>
    </xf>
    <xf numFmtId="4" fontId="116" fillId="13" borderId="0" xfId="0" applyNumberFormat="1" applyFont="1" applyFill="1" applyProtection="1">
      <protection locked="0"/>
    </xf>
    <xf numFmtId="0" fontId="115" fillId="56" borderId="30" xfId="0" applyFont="1" applyFill="1" applyBorder="1" applyProtection="1">
      <protection hidden="1"/>
    </xf>
    <xf numFmtId="0" fontId="115" fillId="56" borderId="4" xfId="0" applyFont="1" applyFill="1" applyBorder="1" applyAlignment="1" applyProtection="1">
      <alignment horizontal="left"/>
      <protection hidden="1"/>
    </xf>
    <xf numFmtId="0" fontId="115" fillId="56" borderId="4" xfId="0" applyFont="1" applyFill="1" applyBorder="1" applyProtection="1">
      <protection locked="0"/>
    </xf>
    <xf numFmtId="0" fontId="115" fillId="56" borderId="4" xfId="0" applyFont="1" applyFill="1" applyBorder="1"/>
    <xf numFmtId="0" fontId="115" fillId="56" borderId="4" xfId="0" applyFont="1" applyFill="1" applyBorder="1" applyProtection="1">
      <protection hidden="1"/>
    </xf>
    <xf numFmtId="0" fontId="115" fillId="56" borderId="4" xfId="0" applyFont="1" applyFill="1" applyBorder="1" applyAlignment="1">
      <alignment horizontal="left"/>
    </xf>
    <xf numFmtId="0" fontId="115" fillId="56" borderId="8" xfId="0" applyFont="1" applyFill="1" applyBorder="1" applyProtection="1">
      <protection hidden="1"/>
    </xf>
    <xf numFmtId="0" fontId="117" fillId="40" borderId="0" xfId="0" applyFont="1" applyFill="1" applyAlignment="1" applyProtection="1">
      <alignment horizontal="centerContinuous" vertical="center"/>
      <protection hidden="1"/>
    </xf>
    <xf numFmtId="0" fontId="149" fillId="40" borderId="0" xfId="0" applyFont="1" applyFill="1" applyAlignment="1" applyProtection="1">
      <alignment horizontal="left" vertical="center"/>
      <protection hidden="1"/>
    </xf>
    <xf numFmtId="0" fontId="122" fillId="40" borderId="0" xfId="0" applyFont="1" applyFill="1" applyAlignment="1" applyProtection="1">
      <alignment horizontal="centerContinuous" vertical="center"/>
      <protection hidden="1"/>
    </xf>
    <xf numFmtId="0" fontId="114" fillId="0" borderId="94" xfId="0" applyFont="1" applyBorder="1" applyProtection="1">
      <protection hidden="1"/>
    </xf>
    <xf numFmtId="9" fontId="121" fillId="13" borderId="33" xfId="0" applyNumberFormat="1" applyFont="1" applyFill="1" applyBorder="1" applyAlignment="1" applyProtection="1">
      <alignment horizontal="center"/>
      <protection hidden="1"/>
    </xf>
    <xf numFmtId="0" fontId="151" fillId="0" borderId="30" xfId="0" applyFont="1" applyBorder="1" applyProtection="1">
      <protection hidden="1"/>
    </xf>
    <xf numFmtId="9" fontId="151" fillId="0" borderId="1" xfId="6" applyFont="1" applyBorder="1" applyAlignment="1" applyProtection="1">
      <alignment horizontal="center"/>
      <protection hidden="1"/>
    </xf>
    <xf numFmtId="4" fontId="121" fillId="13" borderId="14" xfId="0" applyNumberFormat="1" applyFont="1" applyFill="1" applyBorder="1" applyProtection="1">
      <protection hidden="1"/>
    </xf>
    <xf numFmtId="0" fontId="114" fillId="0" borderId="1" xfId="0" applyFont="1" applyBorder="1" applyProtection="1">
      <protection hidden="1"/>
    </xf>
    <xf numFmtId="0" fontId="110" fillId="0" borderId="1" xfId="0" applyFont="1" applyBorder="1"/>
    <xf numFmtId="176" fontId="114" fillId="13" borderId="9" xfId="1" applyNumberFormat="1" applyFont="1" applyFill="1" applyBorder="1"/>
    <xf numFmtId="178" fontId="114" fillId="13" borderId="14" xfId="1" applyNumberFormat="1" applyFont="1" applyFill="1" applyBorder="1"/>
    <xf numFmtId="0" fontId="121" fillId="13" borderId="28" xfId="0" applyFont="1" applyFill="1" applyBorder="1" applyAlignment="1">
      <alignment horizontal="center"/>
    </xf>
    <xf numFmtId="0" fontId="121" fillId="13" borderId="3" xfId="0" applyFont="1" applyFill="1" applyBorder="1" applyProtection="1">
      <protection hidden="1"/>
    </xf>
    <xf numFmtId="0" fontId="114" fillId="0" borderId="21" xfId="0" applyFont="1" applyBorder="1" applyAlignment="1" applyProtection="1">
      <alignment horizontal="center"/>
      <protection hidden="1"/>
    </xf>
    <xf numFmtId="0" fontId="114" fillId="30" borderId="0" xfId="0" applyFont="1" applyFill="1" applyAlignment="1">
      <alignment horizontal="center" wrapText="1"/>
    </xf>
    <xf numFmtId="9" fontId="114" fillId="0" borderId="33" xfId="6" applyFont="1" applyBorder="1" applyAlignment="1" applyProtection="1">
      <alignment horizontal="center"/>
      <protection hidden="1"/>
    </xf>
    <xf numFmtId="9" fontId="114" fillId="0" borderId="0" xfId="6" applyFont="1" applyBorder="1" applyAlignment="1" applyProtection="1">
      <alignment horizontal="center"/>
      <protection hidden="1"/>
    </xf>
    <xf numFmtId="4" fontId="122" fillId="66" borderId="0" xfId="1" applyNumberFormat="1" applyFont="1" applyFill="1"/>
    <xf numFmtId="0" fontId="116" fillId="13" borderId="3" xfId="0" applyFont="1" applyFill="1" applyBorder="1" applyAlignment="1" applyProtection="1">
      <alignment horizontal="center"/>
      <protection locked="0" hidden="1"/>
    </xf>
    <xf numFmtId="0" fontId="114" fillId="0" borderId="3" xfId="0" applyFont="1" applyBorder="1" applyProtection="1">
      <protection hidden="1"/>
    </xf>
    <xf numFmtId="43" fontId="114" fillId="0" borderId="3" xfId="5" applyFont="1" applyBorder="1" applyProtection="1">
      <protection hidden="1"/>
    </xf>
    <xf numFmtId="0" fontId="110" fillId="46" borderId="59" xfId="0" applyFont="1" applyFill="1" applyBorder="1" applyAlignment="1">
      <alignment horizontal="center"/>
    </xf>
    <xf numFmtId="164" fontId="110" fillId="0" borderId="1" xfId="5" applyNumberFormat="1" applyFont="1" applyBorder="1"/>
    <xf numFmtId="0" fontId="123" fillId="16" borderId="1" xfId="0" applyFont="1" applyFill="1" applyBorder="1" applyAlignment="1" applyProtection="1">
      <alignment horizontal="center" vertical="center"/>
      <protection hidden="1"/>
    </xf>
    <xf numFmtId="0" fontId="123" fillId="16" borderId="1" xfId="0" applyFont="1" applyFill="1" applyBorder="1" applyAlignment="1" applyProtection="1">
      <alignment horizontal="center" vertical="center" wrapText="1"/>
      <protection hidden="1"/>
    </xf>
    <xf numFmtId="2" fontId="116" fillId="13" borderId="3" xfId="1" applyNumberFormat="1" applyFont="1" applyFill="1" applyBorder="1"/>
    <xf numFmtId="10" fontId="116" fillId="13" borderId="3" xfId="6" applyNumberFormat="1" applyFont="1" applyFill="1" applyBorder="1" applyAlignment="1"/>
    <xf numFmtId="0" fontId="114" fillId="0" borderId="0" xfId="1" applyFont="1"/>
    <xf numFmtId="0" fontId="114" fillId="0" borderId="33" xfId="1" applyFont="1" applyBorder="1"/>
    <xf numFmtId="1" fontId="114" fillId="0" borderId="0" xfId="6" applyNumberFormat="1" applyFont="1" applyFill="1" applyBorder="1" applyAlignment="1" applyProtection="1">
      <alignment horizontal="center"/>
      <protection hidden="1"/>
    </xf>
    <xf numFmtId="9" fontId="114" fillId="15" borderId="1" xfId="6" applyFont="1" applyFill="1" applyBorder="1" applyAlignment="1" applyProtection="1">
      <alignment horizontal="left"/>
      <protection hidden="1"/>
    </xf>
    <xf numFmtId="10" fontId="110" fillId="0" borderId="15" xfId="6" applyNumberFormat="1" applyFont="1" applyFill="1" applyBorder="1" applyAlignment="1" applyProtection="1">
      <alignment horizontal="center"/>
      <protection locked="0"/>
    </xf>
    <xf numFmtId="10" fontId="110" fillId="76" borderId="0" xfId="6" applyNumberFormat="1" applyFont="1" applyFill="1" applyAlignment="1">
      <alignment horizontal="center"/>
    </xf>
    <xf numFmtId="10" fontId="110" fillId="72" borderId="0" xfId="6" applyNumberFormat="1" applyFont="1" applyFill="1" applyAlignment="1">
      <alignment horizontal="center"/>
    </xf>
    <xf numFmtId="10" fontId="110" fillId="78" borderId="0" xfId="6" applyNumberFormat="1" applyFont="1" applyFill="1" applyBorder="1" applyAlignment="1">
      <alignment horizontal="center"/>
    </xf>
    <xf numFmtId="10" fontId="110" fillId="32" borderId="0" xfId="6" applyNumberFormat="1" applyFont="1" applyFill="1" applyAlignment="1">
      <alignment horizontal="center"/>
    </xf>
    <xf numFmtId="10" fontId="110" fillId="73" borderId="0" xfId="6" applyNumberFormat="1" applyFont="1" applyFill="1" applyBorder="1" applyAlignment="1">
      <alignment horizontal="center"/>
    </xf>
    <xf numFmtId="10" fontId="110" fillId="75" borderId="0" xfId="6" applyNumberFormat="1" applyFont="1" applyFill="1" applyBorder="1" applyAlignment="1">
      <alignment horizontal="center"/>
    </xf>
    <xf numFmtId="0" fontId="114" fillId="0" borderId="9" xfId="0" applyFont="1" applyBorder="1" applyProtection="1">
      <protection hidden="1"/>
    </xf>
    <xf numFmtId="0" fontId="114" fillId="0" borderId="4" xfId="0" applyFont="1" applyBorder="1" applyAlignment="1" applyProtection="1">
      <alignment horizontal="left"/>
      <protection hidden="1"/>
    </xf>
    <xf numFmtId="9" fontId="114" fillId="0" borderId="9" xfId="6" applyFont="1" applyFill="1" applyBorder="1" applyAlignment="1" applyProtection="1">
      <alignment horizontal="center"/>
      <protection hidden="1"/>
    </xf>
    <xf numFmtId="0" fontId="110" fillId="0" borderId="9" xfId="0" applyFont="1" applyBorder="1"/>
    <xf numFmtId="0" fontId="114" fillId="13" borderId="9" xfId="1" applyFont="1" applyFill="1" applyBorder="1"/>
    <xf numFmtId="9" fontId="114" fillId="0" borderId="28" xfId="11" applyFont="1" applyFill="1" applyBorder="1" applyAlignment="1">
      <alignment horizontal="center"/>
    </xf>
    <xf numFmtId="10" fontId="116" fillId="13" borderId="10" xfId="6" applyNumberFormat="1" applyFont="1" applyFill="1" applyBorder="1" applyAlignment="1">
      <alignment horizontal="center"/>
    </xf>
    <xf numFmtId="0" fontId="122" fillId="0" borderId="30" xfId="0" applyFont="1" applyBorder="1" applyProtection="1">
      <protection hidden="1"/>
    </xf>
    <xf numFmtId="0" fontId="122" fillId="5" borderId="1" xfId="0" applyFont="1" applyFill="1" applyBorder="1" applyAlignment="1">
      <alignment horizontal="center" wrapText="1"/>
    </xf>
    <xf numFmtId="0" fontId="122" fillId="0" borderId="1" xfId="1" applyFont="1" applyBorder="1" applyAlignment="1">
      <alignment horizontal="center"/>
    </xf>
    <xf numFmtId="0" fontId="110" fillId="46" borderId="60" xfId="0" applyFont="1" applyFill="1" applyBorder="1" applyAlignment="1">
      <alignment horizontal="center"/>
    </xf>
    <xf numFmtId="164" fontId="110" fillId="0" borderId="9" xfId="5" applyNumberFormat="1" applyFont="1" applyBorder="1"/>
    <xf numFmtId="10" fontId="114" fillId="64" borderId="0" xfId="6" applyNumberFormat="1" applyFont="1" applyFill="1" applyBorder="1" applyAlignment="1">
      <alignment horizontal="center"/>
    </xf>
    <xf numFmtId="10" fontId="114" fillId="64" borderId="0" xfId="0" applyNumberFormat="1" applyFont="1" applyFill="1" applyAlignment="1">
      <alignment horizontal="center"/>
    </xf>
    <xf numFmtId="10" fontId="114" fillId="0" borderId="0" xfId="6" applyNumberFormat="1" applyFont="1" applyFill="1" applyBorder="1"/>
    <xf numFmtId="9" fontId="114" fillId="15" borderId="4" xfId="6" applyFont="1" applyFill="1" applyBorder="1" applyAlignment="1" applyProtection="1">
      <alignment horizontal="left"/>
      <protection locked="0"/>
    </xf>
    <xf numFmtId="10" fontId="110" fillId="0" borderId="3" xfId="6" applyNumberFormat="1" applyFont="1" applyFill="1" applyBorder="1" applyAlignment="1" applyProtection="1">
      <alignment horizontal="center"/>
      <protection locked="0"/>
    </xf>
    <xf numFmtId="10" fontId="110" fillId="76" borderId="0" xfId="6" applyNumberFormat="1" applyFont="1" applyFill="1" applyBorder="1" applyAlignment="1">
      <alignment horizontal="center"/>
    </xf>
    <xf numFmtId="10" fontId="110" fillId="72" borderId="0" xfId="6" applyNumberFormat="1" applyFont="1" applyFill="1" applyBorder="1" applyAlignment="1">
      <alignment horizontal="center"/>
    </xf>
    <xf numFmtId="10" fontId="110" fillId="78" borderId="0" xfId="0" applyNumberFormat="1" applyFont="1" applyFill="1" applyAlignment="1">
      <alignment horizontal="center"/>
    </xf>
    <xf numFmtId="10" fontId="110" fillId="15" borderId="0" xfId="6" applyNumberFormat="1" applyFont="1" applyFill="1" applyAlignment="1">
      <alignment horizontal="center"/>
    </xf>
    <xf numFmtId="0" fontId="110" fillId="66" borderId="14" xfId="0" applyFont="1" applyFill="1" applyBorder="1"/>
    <xf numFmtId="0" fontId="114" fillId="0" borderId="11" xfId="0" applyFont="1" applyBorder="1" applyAlignment="1">
      <alignment horizontal="center"/>
    </xf>
    <xf numFmtId="6" fontId="121" fillId="13" borderId="3" xfId="0" applyNumberFormat="1" applyFont="1" applyFill="1" applyBorder="1" applyAlignment="1" applyProtection="1">
      <alignment horizontal="center"/>
      <protection hidden="1"/>
    </xf>
    <xf numFmtId="8" fontId="114" fillId="28" borderId="1" xfId="1" applyNumberFormat="1" applyFont="1" applyFill="1" applyBorder="1"/>
    <xf numFmtId="9" fontId="114" fillId="13" borderId="3" xfId="6" applyFont="1" applyFill="1" applyBorder="1" applyAlignment="1" applyProtection="1">
      <alignment horizontal="center"/>
      <protection hidden="1"/>
    </xf>
    <xf numFmtId="43" fontId="116" fillId="0" borderId="10" xfId="5" applyFont="1" applyBorder="1"/>
    <xf numFmtId="0" fontId="122" fillId="86" borderId="9" xfId="1" applyFont="1" applyFill="1" applyBorder="1" applyAlignment="1">
      <alignment horizontal="center"/>
    </xf>
    <xf numFmtId="0" fontId="122" fillId="5" borderId="9" xfId="1" applyFont="1" applyFill="1" applyBorder="1" applyAlignment="1">
      <alignment horizontal="center"/>
    </xf>
    <xf numFmtId="0" fontId="114" fillId="5" borderId="9" xfId="1" applyFont="1" applyFill="1" applyBorder="1"/>
    <xf numFmtId="43" fontId="121" fillId="13" borderId="1" xfId="5" applyFont="1" applyFill="1" applyBorder="1" applyProtection="1">
      <protection hidden="1"/>
    </xf>
    <xf numFmtId="9" fontId="121" fillId="0" borderId="0" xfId="6" applyFont="1" applyAlignment="1" applyProtection="1">
      <alignment horizontal="left"/>
      <protection hidden="1"/>
    </xf>
    <xf numFmtId="10" fontId="114" fillId="28" borderId="0" xfId="6" applyNumberFormat="1" applyFont="1" applyFill="1" applyBorder="1" applyAlignment="1">
      <alignment horizontal="center"/>
    </xf>
    <xf numFmtId="10" fontId="114" fillId="28" borderId="0" xfId="0" applyNumberFormat="1" applyFont="1" applyFill="1" applyAlignment="1">
      <alignment horizontal="center"/>
    </xf>
    <xf numFmtId="10" fontId="114" fillId="0" borderId="0" xfId="0" applyNumberFormat="1" applyFont="1"/>
    <xf numFmtId="9" fontId="114" fillId="15" borderId="4" xfId="6" applyFont="1" applyFill="1" applyBorder="1" applyAlignment="1" applyProtection="1">
      <alignment horizontal="left"/>
      <protection hidden="1"/>
    </xf>
    <xf numFmtId="10" fontId="110" fillId="78" borderId="0" xfId="6" applyNumberFormat="1" applyFont="1" applyFill="1" applyAlignment="1">
      <alignment horizontal="center"/>
    </xf>
    <xf numFmtId="0" fontId="114" fillId="48" borderId="30" xfId="0" applyFont="1" applyFill="1" applyBorder="1" applyProtection="1">
      <protection locked="0"/>
    </xf>
    <xf numFmtId="9" fontId="114" fillId="48" borderId="9" xfId="6" applyFont="1" applyFill="1" applyBorder="1" applyAlignment="1" applyProtection="1">
      <alignment horizontal="center"/>
      <protection locked="0"/>
    </xf>
    <xf numFmtId="0" fontId="114" fillId="0" borderId="10" xfId="0" applyFont="1" applyBorder="1" applyProtection="1">
      <protection hidden="1"/>
    </xf>
    <xf numFmtId="0" fontId="114" fillId="0" borderId="2" xfId="0" applyFont="1" applyBorder="1" applyProtection="1">
      <protection hidden="1"/>
    </xf>
    <xf numFmtId="0" fontId="110" fillId="0" borderId="10" xfId="0" applyFont="1" applyBorder="1"/>
    <xf numFmtId="0" fontId="114" fillId="13" borderId="10" xfId="1" applyFont="1" applyFill="1" applyBorder="1"/>
    <xf numFmtId="10" fontId="116" fillId="13" borderId="3" xfId="0" applyNumberFormat="1" applyFont="1" applyFill="1" applyBorder="1" applyAlignment="1">
      <alignment horizontal="center"/>
    </xf>
    <xf numFmtId="0" fontId="122" fillId="5" borderId="9" xfId="0" applyFont="1" applyFill="1" applyBorder="1" applyAlignment="1">
      <alignment horizontal="center" wrapText="1"/>
    </xf>
    <xf numFmtId="169" fontId="148" fillId="86" borderId="0" xfId="15" applyNumberFormat="1" applyFont="1" applyFill="1" applyBorder="1" applyAlignment="1">
      <alignment horizontal="center" vertical="center"/>
    </xf>
    <xf numFmtId="169" fontId="110" fillId="86" borderId="0" xfId="15" applyNumberFormat="1" applyFont="1" applyFill="1" applyBorder="1" applyAlignment="1">
      <alignment horizontal="center" vertical="center"/>
    </xf>
    <xf numFmtId="16" fontId="114" fillId="0" borderId="4" xfId="0" applyNumberFormat="1" applyFont="1" applyBorder="1" applyAlignment="1" applyProtection="1">
      <alignment horizontal="right"/>
      <protection hidden="1"/>
    </xf>
    <xf numFmtId="43" fontId="114" fillId="66" borderId="9" xfId="5" applyFont="1" applyFill="1" applyBorder="1" applyProtection="1">
      <protection hidden="1"/>
    </xf>
    <xf numFmtId="10" fontId="114" fillId="19" borderId="0" xfId="6" applyNumberFormat="1" applyFont="1" applyFill="1" applyBorder="1" applyAlignment="1">
      <alignment horizontal="center"/>
    </xf>
    <xf numFmtId="10" fontId="114" fillId="19" borderId="0" xfId="0" applyNumberFormat="1" applyFont="1" applyFill="1" applyAlignment="1">
      <alignment horizontal="center"/>
    </xf>
    <xf numFmtId="4" fontId="114" fillId="64" borderId="0" xfId="0" applyNumberFormat="1" applyFont="1" applyFill="1" applyAlignment="1">
      <alignment horizontal="center"/>
    </xf>
    <xf numFmtId="9" fontId="114" fillId="15" borderId="4" xfId="0" applyNumberFormat="1" applyFont="1" applyFill="1" applyBorder="1" applyAlignment="1" applyProtection="1">
      <alignment horizontal="left"/>
      <protection hidden="1"/>
    </xf>
    <xf numFmtId="0" fontId="110" fillId="15" borderId="0" xfId="0" applyFont="1" applyFill="1"/>
    <xf numFmtId="0" fontId="114" fillId="0" borderId="88" xfId="0" applyFont="1" applyBorder="1" applyProtection="1">
      <protection hidden="1"/>
    </xf>
    <xf numFmtId="0" fontId="110" fillId="0" borderId="88" xfId="0" applyFont="1" applyBorder="1" applyProtection="1">
      <protection hidden="1"/>
    </xf>
    <xf numFmtId="0" fontId="114" fillId="0" borderId="88" xfId="0" applyFont="1" applyBorder="1" applyAlignment="1" applyProtection="1">
      <alignment horizontal="left"/>
      <protection hidden="1"/>
    </xf>
    <xf numFmtId="0" fontId="114" fillId="48" borderId="4" xfId="0" applyFont="1" applyFill="1" applyBorder="1"/>
    <xf numFmtId="9" fontId="114" fillId="48" borderId="9" xfId="6" applyFont="1" applyFill="1" applyBorder="1" applyAlignment="1">
      <alignment horizontal="center"/>
    </xf>
    <xf numFmtId="0" fontId="114" fillId="0" borderId="9" xfId="0" applyFont="1" applyBorder="1" applyProtection="1">
      <protection locked="0"/>
    </xf>
    <xf numFmtId="10" fontId="114" fillId="42" borderId="0" xfId="6" applyNumberFormat="1" applyFont="1" applyFill="1" applyBorder="1" applyAlignment="1">
      <alignment horizontal="center"/>
    </xf>
    <xf numFmtId="10" fontId="114" fillId="42" borderId="0" xfId="0" applyNumberFormat="1" applyFont="1" applyFill="1" applyAlignment="1">
      <alignment horizontal="center"/>
    </xf>
    <xf numFmtId="4" fontId="114" fillId="28" borderId="0" xfId="0" applyNumberFormat="1" applyFont="1" applyFill="1" applyAlignment="1">
      <alignment horizontal="center"/>
    </xf>
    <xf numFmtId="10" fontId="110" fillId="15" borderId="0" xfId="6" applyNumberFormat="1" applyFont="1" applyFill="1" applyBorder="1"/>
    <xf numFmtId="0" fontId="116" fillId="0" borderId="39" xfId="0" applyFont="1" applyBorder="1" applyAlignment="1" applyProtection="1">
      <alignment vertical="center"/>
      <protection hidden="1"/>
    </xf>
    <xf numFmtId="0" fontId="114" fillId="42" borderId="30" xfId="0" applyFont="1" applyFill="1" applyBorder="1" applyProtection="1">
      <protection hidden="1"/>
    </xf>
    <xf numFmtId="9" fontId="114" fillId="42" borderId="9" xfId="6" applyFont="1" applyFill="1" applyBorder="1" applyAlignment="1" applyProtection="1">
      <alignment horizontal="center"/>
      <protection hidden="1"/>
    </xf>
    <xf numFmtId="0" fontId="114" fillId="0" borderId="9" xfId="0" applyFont="1" applyBorder="1"/>
    <xf numFmtId="0" fontId="122" fillId="69" borderId="0" xfId="0" applyFont="1" applyFill="1" applyProtection="1">
      <protection hidden="1"/>
    </xf>
    <xf numFmtId="0" fontId="121" fillId="13" borderId="3" xfId="0" applyFont="1" applyFill="1" applyBorder="1" applyAlignment="1" applyProtection="1">
      <alignment horizontal="center"/>
      <protection hidden="1"/>
    </xf>
    <xf numFmtId="0" fontId="114" fillId="15" borderId="1" xfId="0" applyFont="1" applyFill="1" applyBorder="1" applyProtection="1">
      <protection hidden="1"/>
    </xf>
    <xf numFmtId="0" fontId="114" fillId="0" borderId="8" xfId="0" applyFont="1" applyBorder="1" applyAlignment="1" applyProtection="1">
      <alignment horizontal="right"/>
      <protection hidden="1"/>
    </xf>
    <xf numFmtId="43" fontId="114" fillId="66" borderId="10" xfId="5" applyFont="1" applyFill="1" applyBorder="1" applyProtection="1">
      <protection hidden="1"/>
    </xf>
    <xf numFmtId="4" fontId="114" fillId="19" borderId="0" xfId="0" applyNumberFormat="1" applyFont="1" applyFill="1" applyAlignment="1">
      <alignment horizontal="center"/>
    </xf>
    <xf numFmtId="0" fontId="114" fillId="0" borderId="4" xfId="0" applyFont="1" applyBorder="1"/>
    <xf numFmtId="9" fontId="114" fillId="0" borderId="9" xfId="6" applyFont="1" applyFill="1" applyBorder="1" applyAlignment="1">
      <alignment horizontal="center"/>
    </xf>
    <xf numFmtId="0" fontId="113" fillId="0" borderId="3" xfId="0" applyFont="1" applyBorder="1" applyAlignment="1">
      <alignment horizontal="center"/>
    </xf>
    <xf numFmtId="0" fontId="114" fillId="15" borderId="10" xfId="0" applyFont="1" applyFill="1" applyBorder="1" applyProtection="1">
      <protection hidden="1"/>
    </xf>
    <xf numFmtId="0" fontId="152" fillId="15" borderId="10" xfId="1" applyFont="1" applyFill="1" applyBorder="1" applyAlignment="1">
      <alignment horizontal="center"/>
    </xf>
    <xf numFmtId="10" fontId="114" fillId="76" borderId="0" xfId="6" applyNumberFormat="1" applyFont="1" applyFill="1" applyBorder="1" applyAlignment="1">
      <alignment horizontal="center"/>
    </xf>
    <xf numFmtId="10" fontId="114" fillId="76" borderId="0" xfId="0" applyNumberFormat="1" applyFont="1" applyFill="1" applyAlignment="1">
      <alignment horizontal="center"/>
    </xf>
    <xf numFmtId="4" fontId="114" fillId="42" borderId="0" xfId="0" applyNumberFormat="1" applyFont="1" applyFill="1" applyAlignment="1">
      <alignment horizontal="center"/>
    </xf>
    <xf numFmtId="10" fontId="110" fillId="32" borderId="0" xfId="6" applyNumberFormat="1" applyFont="1" applyFill="1" applyBorder="1" applyAlignment="1">
      <alignment horizontal="center"/>
    </xf>
    <xf numFmtId="10" fontId="110" fillId="15" borderId="0" xfId="6" applyNumberFormat="1" applyFont="1" applyFill="1" applyBorder="1" applyAlignment="1">
      <alignment horizontal="center"/>
    </xf>
    <xf numFmtId="4" fontId="114" fillId="0" borderId="0" xfId="0" applyNumberFormat="1" applyFont="1" applyProtection="1">
      <protection hidden="1"/>
    </xf>
    <xf numFmtId="0" fontId="114" fillId="0" borderId="8" xfId="0" applyFont="1" applyBorder="1"/>
    <xf numFmtId="9" fontId="114" fillId="0" borderId="10" xfId="6" applyFont="1" applyFill="1" applyBorder="1" applyAlignment="1">
      <alignment horizontal="center"/>
    </xf>
    <xf numFmtId="0" fontId="114" fillId="0" borderId="9" xfId="1" applyFont="1" applyBorder="1"/>
    <xf numFmtId="179" fontId="114" fillId="0" borderId="0" xfId="0" applyNumberFormat="1" applyFont="1" applyProtection="1">
      <protection hidden="1"/>
    </xf>
    <xf numFmtId="4" fontId="114" fillId="0" borderId="0" xfId="0" applyNumberFormat="1" applyFont="1" applyAlignment="1" applyProtection="1">
      <alignment horizontal="center"/>
      <protection hidden="1"/>
    </xf>
    <xf numFmtId="0" fontId="114" fillId="47" borderId="0" xfId="0" applyFont="1" applyFill="1" applyProtection="1">
      <protection hidden="1"/>
    </xf>
    <xf numFmtId="4" fontId="122" fillId="0" borderId="0" xfId="0" applyNumberFormat="1" applyFont="1" applyProtection="1">
      <protection hidden="1"/>
    </xf>
    <xf numFmtId="43" fontId="114" fillId="0" borderId="0" xfId="0" applyNumberFormat="1" applyFont="1" applyProtection="1">
      <protection hidden="1"/>
    </xf>
    <xf numFmtId="10" fontId="114" fillId="0" borderId="0" xfId="6" applyNumberFormat="1" applyFont="1" applyFill="1" applyBorder="1" applyProtection="1">
      <protection hidden="1"/>
    </xf>
    <xf numFmtId="0" fontId="123" fillId="0" borderId="0" xfId="0" applyFont="1" applyAlignment="1" applyProtection="1">
      <alignment horizontal="center" vertical="center"/>
      <protection locked="0" hidden="1"/>
    </xf>
    <xf numFmtId="0" fontId="114" fillId="32" borderId="30" xfId="0" applyFont="1" applyFill="1" applyBorder="1" applyAlignment="1">
      <alignment horizontal="left"/>
    </xf>
    <xf numFmtId="9" fontId="114" fillId="32" borderId="9" xfId="6" applyFont="1" applyFill="1" applyBorder="1" applyAlignment="1">
      <alignment horizontal="center"/>
    </xf>
    <xf numFmtId="0" fontId="114" fillId="0" borderId="33" xfId="0" applyFont="1" applyBorder="1" applyProtection="1">
      <protection hidden="1"/>
    </xf>
    <xf numFmtId="10" fontId="121" fillId="13" borderId="28" xfId="6" applyNumberFormat="1" applyFont="1" applyFill="1" applyBorder="1" applyProtection="1">
      <protection hidden="1"/>
    </xf>
    <xf numFmtId="10" fontId="114" fillId="41" borderId="0" xfId="6" applyNumberFormat="1" applyFont="1" applyFill="1" applyBorder="1" applyAlignment="1">
      <alignment horizontal="center"/>
    </xf>
    <xf numFmtId="10" fontId="114" fillId="41" borderId="0" xfId="0" applyNumberFormat="1" applyFont="1" applyFill="1" applyAlignment="1">
      <alignment horizontal="center"/>
    </xf>
    <xf numFmtId="4" fontId="114" fillId="76" borderId="0" xfId="0" applyNumberFormat="1" applyFont="1" applyFill="1" applyAlignment="1">
      <alignment horizontal="center"/>
    </xf>
    <xf numFmtId="3" fontId="114" fillId="0" borderId="0" xfId="0" applyNumberFormat="1" applyFont="1" applyAlignment="1" applyProtection="1">
      <alignment horizontal="right"/>
      <protection hidden="1"/>
    </xf>
    <xf numFmtId="0" fontId="114" fillId="32" borderId="8" xfId="0" applyFont="1" applyFill="1" applyBorder="1" applyAlignment="1">
      <alignment horizontal="left"/>
    </xf>
    <xf numFmtId="9" fontId="114" fillId="32" borderId="10" xfId="6" applyFont="1" applyFill="1" applyBorder="1" applyAlignment="1">
      <alignment horizontal="center"/>
    </xf>
    <xf numFmtId="0" fontId="114" fillId="0" borderId="9" xfId="0" applyFont="1" applyBorder="1" applyAlignment="1">
      <alignment horizontal="left"/>
    </xf>
    <xf numFmtId="0" fontId="122" fillId="0" borderId="0" xfId="1" applyFont="1" applyAlignment="1">
      <alignment horizontal="center"/>
    </xf>
    <xf numFmtId="10" fontId="114" fillId="30" borderId="0" xfId="6" applyNumberFormat="1" applyFont="1" applyFill="1" applyBorder="1" applyAlignment="1">
      <alignment horizontal="center"/>
    </xf>
    <xf numFmtId="10" fontId="114" fillId="30" borderId="0" xfId="0" applyNumberFormat="1" applyFont="1" applyFill="1" applyAlignment="1">
      <alignment horizontal="center"/>
    </xf>
    <xf numFmtId="174" fontId="114" fillId="0" borderId="0" xfId="0" applyNumberFormat="1" applyFont="1" applyProtection="1">
      <protection hidden="1"/>
    </xf>
    <xf numFmtId="0" fontId="114" fillId="0" borderId="0" xfId="0" applyFont="1" applyAlignment="1" applyProtection="1">
      <alignment vertical="top" wrapText="1"/>
      <protection hidden="1"/>
    </xf>
    <xf numFmtId="0" fontId="114" fillId="70" borderId="0" xfId="0" applyFont="1" applyFill="1" applyProtection="1">
      <protection hidden="1"/>
    </xf>
    <xf numFmtId="9" fontId="114" fillId="70" borderId="28" xfId="0" applyNumberFormat="1" applyFont="1" applyFill="1" applyBorder="1" applyAlignment="1" applyProtection="1">
      <alignment horizontal="center"/>
      <protection hidden="1"/>
    </xf>
    <xf numFmtId="0" fontId="114" fillId="0" borderId="10" xfId="1" applyFont="1" applyBorder="1"/>
    <xf numFmtId="0" fontId="114" fillId="0" borderId="0" xfId="0" applyFont="1" applyAlignment="1" applyProtection="1">
      <alignment horizontal="center" vertical="top" wrapText="1"/>
      <protection hidden="1"/>
    </xf>
    <xf numFmtId="10" fontId="114" fillId="0" borderId="0" xfId="6" applyNumberFormat="1" applyFont="1" applyFill="1" applyBorder="1" applyAlignment="1" applyProtection="1">
      <alignment vertical="top" wrapText="1"/>
      <protection hidden="1"/>
    </xf>
    <xf numFmtId="10" fontId="114" fillId="29" borderId="0" xfId="6" applyNumberFormat="1" applyFont="1" applyFill="1" applyBorder="1" applyAlignment="1">
      <alignment horizontal="center"/>
    </xf>
    <xf numFmtId="10" fontId="114" fillId="29" borderId="0" xfId="0" applyNumberFormat="1" applyFont="1" applyFill="1" applyAlignment="1">
      <alignment horizontal="center"/>
    </xf>
    <xf numFmtId="4" fontId="114" fillId="41" borderId="0" xfId="0" applyNumberFormat="1" applyFont="1" applyFill="1" applyAlignment="1">
      <alignment horizontal="center"/>
    </xf>
    <xf numFmtId="164" fontId="153" fillId="0" borderId="0" xfId="5" applyNumberFormat="1" applyFont="1" applyAlignment="1" applyProtection="1">
      <protection hidden="1"/>
    </xf>
    <xf numFmtId="3" fontId="114" fillId="0" borderId="0" xfId="0" applyNumberFormat="1" applyFont="1" applyProtection="1">
      <protection hidden="1"/>
    </xf>
    <xf numFmtId="0" fontId="114" fillId="0" borderId="14" xfId="0" applyFont="1" applyBorder="1" applyProtection="1">
      <protection hidden="1"/>
    </xf>
    <xf numFmtId="9" fontId="114" fillId="0" borderId="3" xfId="6" applyFont="1" applyFill="1" applyBorder="1" applyAlignment="1" applyProtection="1">
      <alignment horizontal="center"/>
      <protection hidden="1"/>
    </xf>
    <xf numFmtId="0" fontId="114" fillId="0" borderId="0" xfId="0" applyFont="1" applyAlignment="1" applyProtection="1">
      <alignment horizontal="center" wrapText="1"/>
      <protection hidden="1"/>
    </xf>
    <xf numFmtId="4" fontId="114" fillId="30" borderId="0" xfId="0" applyNumberFormat="1" applyFont="1" applyFill="1" applyAlignment="1">
      <alignment horizontal="center"/>
    </xf>
    <xf numFmtId="10" fontId="115" fillId="0" borderId="0" xfId="6" applyNumberFormat="1" applyFont="1" applyFill="1" applyAlignment="1" applyProtection="1">
      <alignment horizontal="center"/>
      <protection hidden="1"/>
    </xf>
    <xf numFmtId="0" fontId="110" fillId="0" borderId="20" xfId="0" applyFont="1" applyBorder="1" applyProtection="1">
      <protection locked="0" hidden="1"/>
    </xf>
    <xf numFmtId="43" fontId="114" fillId="0" borderId="0" xfId="5" applyFont="1" applyProtection="1">
      <protection hidden="1"/>
    </xf>
    <xf numFmtId="10" fontId="114" fillId="75" borderId="0" xfId="6" applyNumberFormat="1" applyFont="1" applyFill="1" applyBorder="1" applyAlignment="1">
      <alignment horizontal="center"/>
    </xf>
    <xf numFmtId="10" fontId="114" fillId="75" borderId="0" xfId="0" applyNumberFormat="1" applyFont="1" applyFill="1" applyAlignment="1">
      <alignment horizontal="center"/>
    </xf>
    <xf numFmtId="4" fontId="114" fillId="29" borderId="0" xfId="0" applyNumberFormat="1" applyFont="1" applyFill="1" applyAlignment="1">
      <alignment horizontal="center"/>
    </xf>
    <xf numFmtId="0" fontId="134" fillId="0" borderId="0" xfId="0" applyFont="1" applyAlignment="1" applyProtection="1">
      <alignment horizontal="right"/>
      <protection hidden="1"/>
    </xf>
    <xf numFmtId="0" fontId="117" fillId="0" borderId="0" xfId="0" applyFont="1" applyAlignment="1" applyProtection="1">
      <alignment horizontal="right"/>
      <protection hidden="1"/>
    </xf>
    <xf numFmtId="3" fontId="117" fillId="0" borderId="0" xfId="0" applyNumberFormat="1" applyFont="1" applyAlignment="1" applyProtection="1">
      <alignment horizontal="right"/>
      <protection hidden="1"/>
    </xf>
    <xf numFmtId="0" fontId="151" fillId="0" borderId="0" xfId="0" applyFont="1" applyProtection="1">
      <protection hidden="1"/>
    </xf>
    <xf numFmtId="10" fontId="114" fillId="0" borderId="0" xfId="6" applyNumberFormat="1" applyFont="1" applyProtection="1">
      <protection hidden="1"/>
    </xf>
    <xf numFmtId="10" fontId="114" fillId="0" borderId="0" xfId="6" applyNumberFormat="1" applyFont="1" applyFill="1" applyBorder="1" applyAlignment="1">
      <alignment horizontal="right" wrapText="1"/>
    </xf>
    <xf numFmtId="167" fontId="114" fillId="0" borderId="0" xfId="0" applyNumberFormat="1" applyFont="1" applyProtection="1">
      <protection hidden="1"/>
    </xf>
    <xf numFmtId="0" fontId="116" fillId="13" borderId="3" xfId="0" applyFont="1" applyFill="1" applyBorder="1" applyProtection="1">
      <protection hidden="1"/>
    </xf>
    <xf numFmtId="4" fontId="114" fillId="75" borderId="0" xfId="0" applyNumberFormat="1" applyFont="1" applyFill="1" applyAlignment="1">
      <alignment horizontal="center"/>
    </xf>
    <xf numFmtId="10" fontId="114" fillId="0" borderId="0" xfId="0" applyNumberFormat="1" applyFont="1" applyAlignment="1">
      <alignment horizontal="right" wrapText="1"/>
    </xf>
    <xf numFmtId="10" fontId="110" fillId="15" borderId="0" xfId="6" applyNumberFormat="1" applyFont="1" applyFill="1" applyBorder="1" applyAlignment="1">
      <alignment wrapText="1"/>
    </xf>
    <xf numFmtId="3" fontId="122" fillId="0" borderId="0" xfId="0" applyNumberFormat="1" applyFont="1" applyAlignment="1" applyProtection="1">
      <alignment horizontal="right"/>
      <protection locked="0" hidden="1"/>
    </xf>
    <xf numFmtId="0" fontId="113" fillId="0" borderId="0" xfId="0" applyFont="1" applyAlignment="1">
      <alignment horizontal="center"/>
    </xf>
    <xf numFmtId="10" fontId="114" fillId="39" borderId="0" xfId="6" applyNumberFormat="1" applyFont="1" applyFill="1" applyBorder="1" applyAlignment="1">
      <alignment horizontal="center"/>
    </xf>
    <xf numFmtId="10" fontId="114" fillId="39" borderId="0" xfId="0" applyNumberFormat="1" applyFont="1" applyFill="1" applyAlignment="1">
      <alignment horizontal="center"/>
    </xf>
    <xf numFmtId="10" fontId="122" fillId="15" borderId="0" xfId="0" applyNumberFormat="1" applyFont="1" applyFill="1" applyAlignment="1">
      <alignment horizontal="center" vertical="center"/>
    </xf>
    <xf numFmtId="167" fontId="122" fillId="0" borderId="0" xfId="12" applyNumberFormat="1" applyFont="1" applyFill="1" applyBorder="1" applyAlignment="1" applyProtection="1">
      <alignment horizontal="center"/>
      <protection locked="0" hidden="1"/>
    </xf>
    <xf numFmtId="0" fontId="122" fillId="0" borderId="0" xfId="0" applyFont="1" applyAlignment="1" applyProtection="1">
      <alignment horizontal="center" vertical="center"/>
      <protection hidden="1"/>
    </xf>
    <xf numFmtId="178" fontId="114" fillId="0" borderId="0" xfId="1" applyNumberFormat="1" applyFont="1"/>
    <xf numFmtId="10" fontId="114" fillId="15" borderId="0" xfId="6" applyNumberFormat="1" applyFont="1" applyFill="1" applyBorder="1"/>
    <xf numFmtId="167" fontId="122" fillId="0" borderId="0" xfId="0" applyNumberFormat="1" applyFont="1" applyAlignment="1" applyProtection="1">
      <alignment horizontal="right"/>
      <protection hidden="1"/>
    </xf>
    <xf numFmtId="43" fontId="114" fillId="0" borderId="0" xfId="12" applyFont="1" applyProtection="1">
      <protection hidden="1"/>
    </xf>
    <xf numFmtId="10" fontId="114" fillId="0" borderId="0" xfId="0" applyNumberFormat="1" applyFont="1" applyProtection="1">
      <protection hidden="1"/>
    </xf>
    <xf numFmtId="169" fontId="148" fillId="86" borderId="2" xfId="15" applyNumberFormat="1" applyFont="1" applyFill="1" applyBorder="1" applyAlignment="1">
      <alignment horizontal="center" vertical="center"/>
    </xf>
    <xf numFmtId="169" fontId="110" fillId="86" borderId="2" xfId="15" applyNumberFormat="1" applyFont="1" applyFill="1" applyBorder="1" applyAlignment="1">
      <alignment horizontal="center" vertical="center"/>
    </xf>
    <xf numFmtId="4" fontId="114" fillId="39" borderId="0" xfId="0" applyNumberFormat="1" applyFont="1" applyFill="1" applyAlignment="1">
      <alignment horizontal="center"/>
    </xf>
    <xf numFmtId="10" fontId="110" fillId="0" borderId="0" xfId="6" applyNumberFormat="1" applyFont="1" applyFill="1" applyBorder="1" applyAlignment="1">
      <alignment horizontal="center" vertical="center"/>
    </xf>
    <xf numFmtId="4" fontId="116" fillId="0" borderId="0" xfId="0" applyNumberFormat="1" applyFont="1" applyAlignment="1" applyProtection="1">
      <alignment horizontal="right"/>
      <protection hidden="1"/>
    </xf>
    <xf numFmtId="10" fontId="114" fillId="78" borderId="0" xfId="6" applyNumberFormat="1" applyFont="1" applyFill="1" applyBorder="1" applyAlignment="1">
      <alignment horizontal="center"/>
    </xf>
    <xf numFmtId="10" fontId="114" fillId="78" borderId="0" xfId="0" applyNumberFormat="1" applyFont="1" applyFill="1" applyAlignment="1">
      <alignment horizontal="center"/>
    </xf>
    <xf numFmtId="10" fontId="122" fillId="15" borderId="0" xfId="0" applyNumberFormat="1" applyFont="1" applyFill="1" applyAlignment="1">
      <alignment vertical="center"/>
    </xf>
    <xf numFmtId="10" fontId="114" fillId="15" borderId="0" xfId="6" applyNumberFormat="1" applyFont="1" applyFill="1" applyBorder="1" applyProtection="1">
      <protection hidden="1"/>
    </xf>
    <xf numFmtId="43" fontId="114" fillId="0" borderId="0" xfId="12" applyFont="1" applyFill="1" applyBorder="1" applyProtection="1">
      <protection hidden="1"/>
    </xf>
    <xf numFmtId="0" fontId="114" fillId="0" borderId="0" xfId="0" applyFont="1" applyProtection="1">
      <protection locked="0"/>
    </xf>
    <xf numFmtId="10" fontId="110" fillId="15" borderId="0" xfId="6" applyNumberFormat="1" applyFont="1" applyFill="1" applyBorder="1" applyAlignment="1"/>
    <xf numFmtId="182" fontId="114" fillId="0" borderId="0" xfId="0" applyNumberFormat="1" applyFont="1" applyAlignment="1" applyProtection="1">
      <alignment horizontal="center"/>
      <protection locked="0" hidden="1"/>
    </xf>
    <xf numFmtId="10" fontId="114" fillId="15" borderId="0" xfId="0" applyNumberFormat="1" applyFont="1" applyFill="1" applyProtection="1">
      <protection hidden="1"/>
    </xf>
    <xf numFmtId="4" fontId="114" fillId="0" borderId="0" xfId="0" applyNumberFormat="1" applyFont="1" applyAlignment="1" applyProtection="1">
      <alignment wrapText="1"/>
      <protection hidden="1"/>
    </xf>
    <xf numFmtId="0" fontId="114" fillId="0" borderId="0" xfId="0" applyFont="1" applyAlignment="1" applyProtection="1">
      <alignment horizontal="centerContinuous"/>
      <protection hidden="1"/>
    </xf>
    <xf numFmtId="44" fontId="114" fillId="0" borderId="0" xfId="0" applyNumberFormat="1" applyFont="1" applyProtection="1">
      <protection hidden="1"/>
    </xf>
    <xf numFmtId="43" fontId="114" fillId="0" borderId="0" xfId="12" applyFont="1" applyAlignment="1" applyProtection="1">
      <protection hidden="1"/>
    </xf>
    <xf numFmtId="43" fontId="114" fillId="0" borderId="0" xfId="12" applyFont="1" applyFill="1" applyBorder="1" applyAlignment="1" applyProtection="1">
      <protection hidden="1"/>
    </xf>
    <xf numFmtId="0" fontId="114" fillId="15" borderId="0" xfId="0" applyFont="1" applyFill="1" applyProtection="1">
      <protection hidden="1"/>
    </xf>
    <xf numFmtId="43" fontId="122" fillId="0" borderId="0" xfId="0" applyNumberFormat="1" applyFont="1" applyProtection="1">
      <protection hidden="1"/>
    </xf>
    <xf numFmtId="0" fontId="155" fillId="0" borderId="4" xfId="0" applyFont="1" applyBorder="1" applyProtection="1">
      <protection hidden="1"/>
    </xf>
    <xf numFmtId="10" fontId="110" fillId="15" borderId="0" xfId="6" applyNumberFormat="1" applyFont="1" applyFill="1" applyAlignment="1"/>
    <xf numFmtId="10" fontId="114" fillId="15" borderId="0" xfId="0" applyNumberFormat="1" applyFont="1" applyFill="1" applyAlignment="1">
      <alignment horizontal="center"/>
    </xf>
    <xf numFmtId="2" fontId="122" fillId="15" borderId="0" xfId="0" applyNumberFormat="1" applyFont="1" applyFill="1" applyAlignment="1">
      <alignment horizontal="center"/>
    </xf>
    <xf numFmtId="10" fontId="122" fillId="15" borderId="0" xfId="6" applyNumberFormat="1" applyFont="1" applyFill="1" applyBorder="1" applyAlignment="1">
      <alignment horizontal="center"/>
    </xf>
    <xf numFmtId="0" fontId="113" fillId="15" borderId="0" xfId="0" applyFont="1" applyFill="1" applyAlignment="1">
      <alignment horizontal="center"/>
    </xf>
    <xf numFmtId="10" fontId="113" fillId="15" borderId="0" xfId="6" applyNumberFormat="1" applyFont="1" applyFill="1" applyBorder="1" applyAlignment="1">
      <alignment horizontal="center"/>
    </xf>
    <xf numFmtId="0" fontId="155" fillId="0" borderId="0" xfId="0" applyFont="1" applyProtection="1">
      <protection hidden="1"/>
    </xf>
    <xf numFmtId="37" fontId="116" fillId="0" borderId="0" xfId="0" applyNumberFormat="1" applyFont="1" applyProtection="1">
      <protection hidden="1"/>
    </xf>
    <xf numFmtId="0" fontId="122" fillId="15" borderId="0" xfId="0" applyFont="1" applyFill="1" applyAlignment="1">
      <alignment horizontal="center"/>
    </xf>
    <xf numFmtId="2" fontId="113" fillId="15" borderId="0" xfId="6" applyNumberFormat="1" applyFont="1" applyFill="1" applyBorder="1" applyAlignment="1">
      <alignment horizontal="center"/>
    </xf>
    <xf numFmtId="0" fontId="155" fillId="0" borderId="0" xfId="0" applyFont="1" applyAlignment="1" applyProtection="1">
      <alignment wrapText="1"/>
      <protection hidden="1"/>
    </xf>
    <xf numFmtId="0" fontId="121" fillId="15" borderId="0" xfId="0" applyFont="1" applyFill="1" applyAlignment="1">
      <alignment horizontal="center"/>
    </xf>
    <xf numFmtId="10" fontId="110" fillId="15" borderId="0" xfId="0" applyNumberFormat="1" applyFont="1" applyFill="1" applyAlignment="1">
      <alignment horizontal="center"/>
    </xf>
    <xf numFmtId="10" fontId="121" fillId="15" borderId="0" xfId="6" applyNumberFormat="1" applyFont="1" applyFill="1"/>
    <xf numFmtId="0" fontId="155" fillId="0" borderId="0" xfId="0" applyFont="1" applyAlignment="1" applyProtection="1">
      <alignment vertical="top"/>
      <protection hidden="1"/>
    </xf>
    <xf numFmtId="37" fontId="116" fillId="0" borderId="0" xfId="0" applyNumberFormat="1" applyFont="1" applyAlignment="1" applyProtection="1">
      <alignment vertical="top"/>
      <protection hidden="1"/>
    </xf>
    <xf numFmtId="0" fontId="110" fillId="15" borderId="0" xfId="0" applyFont="1" applyFill="1" applyAlignment="1">
      <alignment horizontal="center"/>
    </xf>
    <xf numFmtId="10" fontId="110" fillId="15" borderId="0" xfId="6" applyNumberFormat="1" applyFont="1" applyFill="1"/>
    <xf numFmtId="10" fontId="121" fillId="0" borderId="0" xfId="6" applyNumberFormat="1" applyFont="1" applyFill="1" applyBorder="1" applyAlignment="1">
      <alignment horizontal="right"/>
    </xf>
    <xf numFmtId="43" fontId="114" fillId="0" borderId="0" xfId="5" applyFont="1" applyFill="1" applyBorder="1" applyProtection="1">
      <protection hidden="1"/>
    </xf>
    <xf numFmtId="177" fontId="114" fillId="0" borderId="0" xfId="0" applyNumberFormat="1" applyFont="1" applyProtection="1">
      <protection hidden="1"/>
    </xf>
    <xf numFmtId="0" fontId="110" fillId="0" borderId="60" xfId="0" applyFont="1" applyBorder="1" applyAlignment="1">
      <alignment horizontal="center"/>
    </xf>
    <xf numFmtId="0" fontId="156" fillId="0" borderId="8" xfId="0" applyFont="1" applyBorder="1" applyProtection="1">
      <protection hidden="1"/>
    </xf>
    <xf numFmtId="0" fontId="110" fillId="0" borderId="2" xfId="0" applyFont="1" applyBorder="1" applyAlignment="1" applyProtection="1">
      <alignment horizontal="center"/>
      <protection hidden="1"/>
    </xf>
    <xf numFmtId="0" fontId="114" fillId="0" borderId="33" xfId="0" applyFont="1" applyBorder="1" applyAlignment="1" applyProtection="1">
      <alignment horizontal="center"/>
      <protection hidden="1"/>
    </xf>
    <xf numFmtId="2" fontId="121" fillId="15" borderId="0" xfId="0" applyNumberFormat="1" applyFont="1" applyFill="1" applyAlignment="1">
      <alignment horizontal="center"/>
    </xf>
    <xf numFmtId="0" fontId="110" fillId="0" borderId="63" xfId="0" applyFont="1" applyBorder="1"/>
    <xf numFmtId="0" fontId="110" fillId="0" borderId="63" xfId="0" applyFont="1" applyBorder="1" applyAlignment="1" applyProtection="1">
      <alignment horizontal="center"/>
      <protection hidden="1"/>
    </xf>
    <xf numFmtId="0" fontId="114" fillId="0" borderId="63" xfId="0" applyFont="1" applyBorder="1" applyProtection="1">
      <protection hidden="1"/>
    </xf>
    <xf numFmtId="164" fontId="110" fillId="0" borderId="9" xfId="5" applyNumberFormat="1" applyFont="1" applyFill="1" applyBorder="1"/>
    <xf numFmtId="0" fontId="148" fillId="0" borderId="0" xfId="0" applyFont="1" applyProtection="1">
      <protection hidden="1"/>
    </xf>
    <xf numFmtId="3" fontId="110" fillId="0" borderId="0" xfId="0" applyNumberFormat="1" applyFont="1"/>
    <xf numFmtId="0" fontId="110" fillId="0" borderId="57" xfId="0" applyFont="1" applyBorder="1"/>
    <xf numFmtId="0" fontId="122" fillId="15" borderId="53" xfId="0" applyFont="1" applyFill="1" applyBorder="1" applyAlignment="1" applyProtection="1">
      <alignment horizontal="center"/>
      <protection locked="0" hidden="1"/>
    </xf>
    <xf numFmtId="3" fontId="116" fillId="0" borderId="80" xfId="0" applyNumberFormat="1" applyFont="1" applyBorder="1" applyAlignment="1" applyProtection="1">
      <alignment horizontal="center" vertical="center"/>
      <protection hidden="1"/>
    </xf>
    <xf numFmtId="0" fontId="110" fillId="0" borderId="44" xfId="0" applyFont="1" applyBorder="1"/>
    <xf numFmtId="3" fontId="114" fillId="0" borderId="0" xfId="0" applyNumberFormat="1" applyFont="1"/>
    <xf numFmtId="10" fontId="114" fillId="15" borderId="0" xfId="6" applyNumberFormat="1" applyFont="1" applyFill="1" applyAlignment="1">
      <alignment horizontal="center"/>
    </xf>
    <xf numFmtId="10" fontId="114" fillId="15" borderId="0" xfId="6" applyNumberFormat="1" applyFont="1" applyFill="1" applyAlignment="1"/>
    <xf numFmtId="3" fontId="123" fillId="50" borderId="79" xfId="0" applyNumberFormat="1" applyFont="1" applyFill="1" applyBorder="1" applyAlignment="1" applyProtection="1">
      <alignment horizontal="center" vertical="center"/>
      <protection hidden="1"/>
    </xf>
    <xf numFmtId="3" fontId="123" fillId="50" borderId="80" xfId="0" applyNumberFormat="1" applyFont="1" applyFill="1" applyBorder="1" applyAlignment="1" applyProtection="1">
      <alignment horizontal="center" vertical="center"/>
      <protection hidden="1"/>
    </xf>
    <xf numFmtId="0" fontId="113" fillId="0" borderId="44" xfId="0" applyFont="1" applyBorder="1"/>
    <xf numFmtId="10" fontId="114" fillId="0" borderId="0" xfId="0" applyNumberFormat="1" applyFont="1" applyAlignment="1" applyProtection="1">
      <alignment horizontal="center"/>
      <protection hidden="1"/>
    </xf>
    <xf numFmtId="0" fontId="114" fillId="0" borderId="57" xfId="0" applyFont="1" applyBorder="1" applyAlignment="1" applyProtection="1">
      <alignment vertical="center"/>
      <protection hidden="1"/>
    </xf>
    <xf numFmtId="167" fontId="113" fillId="0" borderId="0" xfId="0" applyNumberFormat="1" applyFont="1" applyAlignment="1">
      <alignment horizontal="center" vertical="center"/>
    </xf>
    <xf numFmtId="167" fontId="122" fillId="0" borderId="58" xfId="0" applyNumberFormat="1" applyFont="1" applyBorder="1" applyAlignment="1">
      <alignment horizontal="center" vertical="center"/>
    </xf>
    <xf numFmtId="0" fontId="114" fillId="0" borderId="0" xfId="0" quotePrefix="1" applyFont="1" applyAlignment="1" applyProtection="1">
      <alignment horizontal="center"/>
      <protection hidden="1"/>
    </xf>
    <xf numFmtId="3" fontId="114" fillId="0" borderId="57" xfId="0" applyNumberFormat="1" applyFont="1" applyBorder="1" applyAlignment="1" applyProtection="1">
      <alignment horizontal="left" vertical="center"/>
      <protection hidden="1"/>
    </xf>
    <xf numFmtId="3" fontId="114" fillId="0" borderId="0" xfId="0" applyNumberFormat="1" applyFont="1" applyAlignment="1" applyProtection="1">
      <alignment horizontal="center" vertical="center"/>
      <protection hidden="1"/>
    </xf>
    <xf numFmtId="167" fontId="159" fillId="0" borderId="0" xfId="0" applyNumberFormat="1" applyFont="1" applyAlignment="1">
      <alignment horizontal="center" vertical="center"/>
    </xf>
    <xf numFmtId="167" fontId="159" fillId="0" borderId="58" xfId="0" applyNumberFormat="1" applyFont="1" applyBorder="1" applyAlignment="1">
      <alignment horizontal="center" vertical="center"/>
    </xf>
    <xf numFmtId="0" fontId="158" fillId="0" borderId="44" xfId="0" applyFont="1" applyBorder="1" applyProtection="1">
      <protection hidden="1"/>
    </xf>
    <xf numFmtId="0" fontId="158" fillId="0" borderId="57" xfId="0" applyFont="1" applyBorder="1" applyAlignment="1" applyProtection="1">
      <alignment vertical="center"/>
      <protection hidden="1"/>
    </xf>
    <xf numFmtId="167" fontId="158" fillId="0" borderId="0" xfId="0" applyNumberFormat="1" applyFont="1" applyAlignment="1">
      <alignment horizontal="center" vertical="center"/>
    </xf>
    <xf numFmtId="167" fontId="158" fillId="0" borderId="58" xfId="0" applyNumberFormat="1" applyFont="1" applyBorder="1" applyAlignment="1">
      <alignment horizontal="center" vertical="center"/>
    </xf>
    <xf numFmtId="0" fontId="110" fillId="0" borderId="61" xfId="0" applyFont="1" applyBorder="1" applyAlignment="1">
      <alignment horizontal="center"/>
    </xf>
    <xf numFmtId="164" fontId="110" fillId="0" borderId="10" xfId="5" applyNumberFormat="1" applyFont="1" applyFill="1" applyBorder="1"/>
    <xf numFmtId="167" fontId="159" fillId="0" borderId="0" xfId="0" applyNumberFormat="1" applyFont="1" applyAlignment="1" applyProtection="1">
      <alignment horizontal="center" vertical="center"/>
      <protection hidden="1"/>
    </xf>
    <xf numFmtId="167" fontId="159" fillId="0" borderId="58" xfId="0" applyNumberFormat="1" applyFont="1" applyBorder="1" applyAlignment="1" applyProtection="1">
      <alignment horizontal="center" vertical="center"/>
      <protection hidden="1"/>
    </xf>
    <xf numFmtId="0" fontId="116" fillId="0" borderId="44" xfId="0" applyFont="1" applyBorder="1" applyAlignment="1" applyProtection="1">
      <alignment vertical="center"/>
      <protection hidden="1"/>
    </xf>
    <xf numFmtId="0" fontId="114" fillId="0" borderId="0" xfId="0" quotePrefix="1" applyFont="1" applyAlignment="1" applyProtection="1">
      <alignment horizontal="center" vertical="center"/>
      <protection hidden="1"/>
    </xf>
    <xf numFmtId="2" fontId="110" fillId="15" borderId="0" xfId="0" applyNumberFormat="1" applyFont="1" applyFill="1" applyAlignment="1">
      <alignment horizontal="center"/>
    </xf>
    <xf numFmtId="2" fontId="110" fillId="15" borderId="0" xfId="5" applyNumberFormat="1" applyFont="1" applyFill="1" applyAlignment="1">
      <alignment horizontal="center"/>
    </xf>
    <xf numFmtId="167" fontId="158" fillId="0" borderId="0" xfId="0" applyNumberFormat="1" applyFont="1" applyAlignment="1" applyProtection="1">
      <alignment horizontal="center" vertical="center"/>
      <protection hidden="1"/>
    </xf>
    <xf numFmtId="167" fontId="158" fillId="0" borderId="58" xfId="0" applyNumberFormat="1" applyFont="1" applyBorder="1" applyAlignment="1" applyProtection="1">
      <alignment horizontal="center" vertical="center"/>
      <protection hidden="1"/>
    </xf>
    <xf numFmtId="0" fontId="121" fillId="0" borderId="57" xfId="0" applyFont="1" applyBorder="1" applyAlignment="1">
      <alignment vertical="center"/>
    </xf>
    <xf numFmtId="0" fontId="110" fillId="0" borderId="58" xfId="0" applyFont="1" applyBorder="1"/>
    <xf numFmtId="10" fontId="121" fillId="15" borderId="0" xfId="6" applyNumberFormat="1" applyFont="1" applyFill="1" applyAlignment="1">
      <alignment horizontal="center"/>
    </xf>
    <xf numFmtId="0" fontId="159" fillId="0" borderId="76" xfId="0" applyFont="1" applyBorder="1" applyAlignment="1">
      <alignment vertical="top" wrapText="1"/>
    </xf>
    <xf numFmtId="0" fontId="114" fillId="98" borderId="0" xfId="0" applyFont="1" applyFill="1" applyProtection="1">
      <protection hidden="1"/>
    </xf>
    <xf numFmtId="0" fontId="114" fillId="98" borderId="0" xfId="0" applyFont="1" applyFill="1"/>
    <xf numFmtId="0" fontId="114" fillId="16" borderId="0" xfId="0" applyFont="1" applyFill="1" applyProtection="1">
      <protection hidden="1"/>
    </xf>
    <xf numFmtId="0" fontId="110" fillId="16" borderId="0" xfId="0" applyFont="1" applyFill="1"/>
    <xf numFmtId="0" fontId="110" fillId="0" borderId="0" xfId="0" applyFont="1" applyAlignment="1">
      <alignment horizontal="center"/>
    </xf>
    <xf numFmtId="0" fontId="114" fillId="19" borderId="3" xfId="0" applyFont="1" applyFill="1" applyBorder="1" applyProtection="1">
      <protection hidden="1"/>
    </xf>
    <xf numFmtId="1" fontId="122" fillId="0" borderId="0" xfId="0" applyNumberFormat="1" applyFont="1" applyAlignment="1" applyProtection="1">
      <alignment horizontal="center"/>
      <protection hidden="1"/>
    </xf>
    <xf numFmtId="2" fontId="114" fillId="0" borderId="3" xfId="0" applyNumberFormat="1" applyFont="1" applyBorder="1" applyProtection="1">
      <protection hidden="1"/>
    </xf>
    <xf numFmtId="0" fontId="114" fillId="43" borderId="1" xfId="0" applyFont="1" applyFill="1" applyBorder="1" applyAlignment="1" applyProtection="1">
      <alignment horizontal="center" vertical="center"/>
      <protection hidden="1"/>
    </xf>
    <xf numFmtId="0" fontId="114" fillId="0" borderId="15" xfId="0" applyFont="1" applyBorder="1" applyAlignment="1" applyProtection="1">
      <alignment horizontal="center"/>
      <protection hidden="1"/>
    </xf>
    <xf numFmtId="0" fontId="114" fillId="0" borderId="11" xfId="0" applyFont="1" applyBorder="1" applyAlignment="1" applyProtection="1">
      <alignment horizontal="center"/>
      <protection hidden="1"/>
    </xf>
    <xf numFmtId="174" fontId="121" fillId="13" borderId="3" xfId="0" applyNumberFormat="1" applyFont="1" applyFill="1" applyBorder="1" applyProtection="1">
      <protection hidden="1"/>
    </xf>
    <xf numFmtId="10" fontId="122" fillId="0" borderId="0" xfId="0" applyNumberFormat="1" applyFont="1" applyAlignment="1" applyProtection="1">
      <alignment vertical="top" wrapText="1"/>
      <protection hidden="1"/>
    </xf>
    <xf numFmtId="0" fontId="114" fillId="12" borderId="1" xfId="0" applyFont="1" applyFill="1" applyBorder="1" applyProtection="1">
      <protection hidden="1"/>
    </xf>
    <xf numFmtId="0" fontId="114" fillId="43" borderId="10" xfId="0" applyFont="1" applyFill="1" applyBorder="1" applyAlignment="1" applyProtection="1">
      <alignment horizontal="center" vertical="center"/>
      <protection hidden="1"/>
    </xf>
    <xf numFmtId="0" fontId="122" fillId="0" borderId="0" xfId="0" applyFont="1" applyAlignment="1" applyProtection="1">
      <alignment horizontal="centerContinuous"/>
      <protection hidden="1"/>
    </xf>
    <xf numFmtId="0" fontId="122" fillId="0" borderId="2" xfId="0" applyFont="1" applyBorder="1" applyAlignment="1" applyProtection="1">
      <alignment vertical="center"/>
      <protection hidden="1"/>
    </xf>
    <xf numFmtId="2" fontId="114" fillId="12" borderId="10" xfId="0" applyNumberFormat="1" applyFont="1" applyFill="1" applyBorder="1" applyProtection="1">
      <protection hidden="1"/>
    </xf>
    <xf numFmtId="43" fontId="114" fillId="13" borderId="3" xfId="5" applyFont="1" applyFill="1" applyBorder="1" applyAlignment="1" applyProtection="1">
      <protection hidden="1"/>
    </xf>
    <xf numFmtId="0" fontId="117" fillId="12" borderId="4" xfId="0" applyFont="1" applyFill="1" applyBorder="1" applyAlignment="1" applyProtection="1">
      <alignment horizontal="center" vertical="center"/>
      <protection locked="0" hidden="1"/>
    </xf>
    <xf numFmtId="0" fontId="122" fillId="11" borderId="0" xfId="0" applyFont="1" applyFill="1" applyAlignment="1" applyProtection="1">
      <alignment horizontal="center"/>
      <protection hidden="1"/>
    </xf>
    <xf numFmtId="1" fontId="114" fillId="0" borderId="3" xfId="0" applyNumberFormat="1" applyFont="1" applyBorder="1" applyAlignment="1" applyProtection="1">
      <alignment horizontal="center"/>
      <protection hidden="1"/>
    </xf>
    <xf numFmtId="0" fontId="122" fillId="4" borderId="0" xfId="0" applyFont="1" applyFill="1" applyAlignment="1" applyProtection="1">
      <alignment horizontal="center" vertical="center" wrapText="1"/>
      <protection hidden="1"/>
    </xf>
    <xf numFmtId="0" fontId="119" fillId="22" borderId="3" xfId="0" applyFont="1" applyFill="1" applyBorder="1" applyAlignment="1" applyProtection="1">
      <alignment horizontal="center" vertical="center"/>
      <protection hidden="1"/>
    </xf>
    <xf numFmtId="0" fontId="122" fillId="22" borderId="3" xfId="0" applyFont="1" applyFill="1" applyBorder="1" applyAlignment="1" applyProtection="1">
      <alignment horizontal="center" vertical="center" wrapText="1"/>
      <protection hidden="1"/>
    </xf>
    <xf numFmtId="0" fontId="117" fillId="0" borderId="1" xfId="0" applyFont="1" applyBorder="1" applyAlignment="1" applyProtection="1">
      <alignment horizontal="center" vertical="top" wrapText="1"/>
      <protection hidden="1"/>
    </xf>
    <xf numFmtId="0" fontId="119" fillId="0" borderId="0" xfId="0" applyFont="1" applyAlignment="1" applyProtection="1">
      <alignment horizontal="center" vertical="center" wrapText="1"/>
      <protection hidden="1"/>
    </xf>
    <xf numFmtId="0" fontId="122" fillId="0" borderId="4" xfId="0" applyFont="1" applyBorder="1" applyAlignment="1" applyProtection="1">
      <alignment horizontal="center"/>
      <protection hidden="1"/>
    </xf>
    <xf numFmtId="0" fontId="137" fillId="13" borderId="5" xfId="0" applyFont="1" applyFill="1" applyBorder="1" applyAlignment="1" applyProtection="1">
      <alignment horizontal="center"/>
      <protection hidden="1"/>
    </xf>
    <xf numFmtId="0" fontId="114" fillId="4" borderId="0" xfId="0" applyFont="1" applyFill="1" applyProtection="1">
      <protection hidden="1"/>
    </xf>
    <xf numFmtId="4" fontId="114" fillId="0" borderId="15" xfId="0" applyNumberFormat="1" applyFont="1" applyBorder="1" applyProtection="1">
      <protection hidden="1"/>
    </xf>
    <xf numFmtId="0" fontId="116" fillId="0" borderId="15" xfId="0" applyFont="1" applyBorder="1" applyAlignment="1" applyProtection="1">
      <alignment horizontal="center"/>
      <protection hidden="1"/>
    </xf>
    <xf numFmtId="0" fontId="117" fillId="0" borderId="46" xfId="0" applyFont="1" applyBorder="1" applyAlignment="1" applyProtection="1">
      <alignment horizontal="center"/>
      <protection locked="0" hidden="1"/>
    </xf>
    <xf numFmtId="3" fontId="114" fillId="13" borderId="30" xfId="0" applyNumberFormat="1" applyFont="1" applyFill="1" applyBorder="1" applyProtection="1">
      <protection hidden="1"/>
    </xf>
    <xf numFmtId="0" fontId="119" fillId="0" borderId="0" xfId="0" applyFont="1" applyProtection="1">
      <protection hidden="1"/>
    </xf>
    <xf numFmtId="164" fontId="122" fillId="4" borderId="0" xfId="0" applyNumberFormat="1" applyFont="1" applyFill="1" applyAlignment="1" applyProtection="1">
      <alignment horizontal="center"/>
      <protection hidden="1"/>
    </xf>
    <xf numFmtId="3" fontId="114" fillId="21" borderId="48" xfId="0" applyNumberFormat="1" applyFont="1" applyFill="1" applyBorder="1" applyAlignment="1" applyProtection="1">
      <alignment horizontal="center"/>
      <protection hidden="1"/>
    </xf>
    <xf numFmtId="4" fontId="114" fillId="21" borderId="48" xfId="0" applyNumberFormat="1" applyFont="1" applyFill="1" applyBorder="1" applyAlignment="1" applyProtection="1">
      <alignment horizontal="center"/>
      <protection hidden="1"/>
    </xf>
    <xf numFmtId="4" fontId="114" fillId="21" borderId="47" xfId="0" applyNumberFormat="1" applyFont="1" applyFill="1" applyBorder="1" applyAlignment="1" applyProtection="1">
      <alignment horizontal="center"/>
      <protection hidden="1"/>
    </xf>
    <xf numFmtId="3" fontId="114" fillId="14" borderId="11" xfId="0" applyNumberFormat="1" applyFont="1" applyFill="1" applyBorder="1" applyProtection="1">
      <protection hidden="1"/>
    </xf>
    <xf numFmtId="0" fontId="114" fillId="22" borderId="4" xfId="0" applyFont="1" applyFill="1" applyBorder="1" applyProtection="1">
      <protection hidden="1"/>
    </xf>
    <xf numFmtId="0" fontId="114" fillId="22" borderId="0" xfId="0" applyFont="1" applyFill="1" applyProtection="1">
      <protection hidden="1"/>
    </xf>
    <xf numFmtId="0" fontId="114" fillId="4" borderId="0" xfId="0" applyFont="1" applyFill="1" applyAlignment="1" applyProtection="1">
      <alignment horizontal="center"/>
      <protection hidden="1"/>
    </xf>
    <xf numFmtId="171" fontId="114" fillId="0" borderId="0" xfId="8" applyNumberFormat="1" applyFont="1" applyFill="1" applyBorder="1" applyProtection="1">
      <protection hidden="1"/>
    </xf>
    <xf numFmtId="10" fontId="114" fillId="15" borderId="5" xfId="11" applyNumberFormat="1" applyFont="1" applyFill="1" applyBorder="1" applyAlignment="1" applyProtection="1">
      <alignment horizontal="center"/>
      <protection hidden="1"/>
    </xf>
    <xf numFmtId="3" fontId="114" fillId="11" borderId="4" xfId="0" applyNumberFormat="1" applyFont="1" applyFill="1" applyBorder="1" applyProtection="1">
      <protection hidden="1"/>
    </xf>
    <xf numFmtId="3" fontId="114" fillId="22" borderId="5" xfId="0" applyNumberFormat="1" applyFont="1" applyFill="1" applyBorder="1" applyProtection="1">
      <protection hidden="1"/>
    </xf>
    <xf numFmtId="0" fontId="122" fillId="22" borderId="4" xfId="0" applyFont="1" applyFill="1" applyBorder="1" applyProtection="1">
      <protection hidden="1"/>
    </xf>
    <xf numFmtId="0" fontId="122" fillId="22" borderId="0" xfId="0" applyFont="1" applyFill="1" applyProtection="1">
      <protection hidden="1"/>
    </xf>
    <xf numFmtId="4" fontId="122" fillId="11" borderId="0" xfId="0" applyNumberFormat="1" applyFont="1" applyFill="1" applyProtection="1">
      <protection hidden="1"/>
    </xf>
    <xf numFmtId="172" fontId="121" fillId="0" borderId="5" xfId="6" applyNumberFormat="1" applyFont="1" applyBorder="1" applyAlignment="1" applyProtection="1">
      <alignment horizontal="center"/>
      <protection hidden="1"/>
    </xf>
    <xf numFmtId="173" fontId="114" fillId="0" borderId="0" xfId="13" applyFont="1" applyFill="1" applyBorder="1" applyProtection="1">
      <protection hidden="1"/>
    </xf>
    <xf numFmtId="10" fontId="114" fillId="0" borderId="5" xfId="11" applyNumberFormat="1" applyFont="1" applyFill="1" applyBorder="1" applyAlignment="1" applyProtection="1">
      <alignment horizontal="center"/>
      <protection hidden="1"/>
    </xf>
    <xf numFmtId="3" fontId="114" fillId="0" borderId="4" xfId="0" applyNumberFormat="1" applyFont="1" applyBorder="1" applyProtection="1">
      <protection hidden="1"/>
    </xf>
    <xf numFmtId="3" fontId="114" fillId="11" borderId="5" xfId="0" applyNumberFormat="1" applyFont="1" applyFill="1" applyBorder="1" applyProtection="1">
      <protection hidden="1"/>
    </xf>
    <xf numFmtId="173" fontId="122" fillId="0" borderId="4" xfId="13" applyFont="1" applyFill="1" applyBorder="1" applyProtection="1">
      <protection hidden="1"/>
    </xf>
    <xf numFmtId="173" fontId="122" fillId="0" borderId="0" xfId="13" applyFont="1" applyFill="1" applyBorder="1" applyProtection="1">
      <protection hidden="1"/>
    </xf>
    <xf numFmtId="43" fontId="122" fillId="0" borderId="0" xfId="12" applyFont="1" applyFill="1" applyProtection="1">
      <protection hidden="1"/>
    </xf>
    <xf numFmtId="3" fontId="114" fillId="0" borderId="5" xfId="0" applyNumberFormat="1" applyFont="1" applyBorder="1" applyProtection="1">
      <protection hidden="1"/>
    </xf>
    <xf numFmtId="10" fontId="114" fillId="0" borderId="0" xfId="11" applyNumberFormat="1" applyFont="1" applyFill="1" applyBorder="1" applyAlignment="1" applyProtection="1">
      <alignment horizontal="center"/>
      <protection hidden="1"/>
    </xf>
    <xf numFmtId="43" fontId="114" fillId="0" borderId="0" xfId="12" applyFont="1" applyFill="1" applyProtection="1">
      <protection hidden="1"/>
    </xf>
    <xf numFmtId="8" fontId="114" fillId="0" borderId="0" xfId="0" applyNumberFormat="1" applyFont="1" applyProtection="1">
      <protection hidden="1"/>
    </xf>
    <xf numFmtId="173" fontId="162" fillId="2" borderId="0" xfId="13" applyFont="1" applyFill="1" applyProtection="1">
      <protection hidden="1"/>
    </xf>
    <xf numFmtId="173" fontId="162" fillId="0" borderId="0" xfId="13" applyFont="1" applyFill="1" applyBorder="1" applyProtection="1">
      <protection hidden="1"/>
    </xf>
    <xf numFmtId="173" fontId="122" fillId="15" borderId="4" xfId="13" applyFont="1" applyFill="1" applyBorder="1" applyProtection="1">
      <protection hidden="1"/>
    </xf>
    <xf numFmtId="8" fontId="137" fillId="0" borderId="0" xfId="0" applyNumberFormat="1" applyFont="1" applyProtection="1">
      <protection hidden="1"/>
    </xf>
    <xf numFmtId="172" fontId="114" fillId="0" borderId="0" xfId="6" applyNumberFormat="1" applyFont="1" applyFill="1" applyBorder="1" applyProtection="1">
      <protection hidden="1"/>
    </xf>
    <xf numFmtId="172" fontId="110" fillId="0" borderId="0" xfId="6" applyNumberFormat="1" applyFont="1" applyFill="1" applyBorder="1"/>
    <xf numFmtId="0" fontId="122" fillId="0" borderId="31" xfId="0" applyFont="1" applyBorder="1" applyAlignment="1" applyProtection="1">
      <alignment horizontal="center"/>
      <protection hidden="1"/>
    </xf>
    <xf numFmtId="4" fontId="122" fillId="0" borderId="31" xfId="0" applyNumberFormat="1" applyFont="1" applyBorder="1" applyAlignment="1" applyProtection="1">
      <alignment horizontal="center"/>
      <protection hidden="1"/>
    </xf>
    <xf numFmtId="4" fontId="119" fillId="0" borderId="0" xfId="0" applyNumberFormat="1" applyFont="1" applyAlignment="1" applyProtection="1">
      <alignment horizontal="center"/>
      <protection hidden="1"/>
    </xf>
    <xf numFmtId="171" fontId="114" fillId="0" borderId="0" xfId="8" applyNumberFormat="1" applyFont="1" applyFill="1" applyBorder="1" applyAlignment="1" applyProtection="1">
      <alignment vertical="top"/>
      <protection hidden="1"/>
    </xf>
    <xf numFmtId="7" fontId="163" fillId="0" borderId="0" xfId="0" applyNumberFormat="1" applyFont="1" applyAlignment="1" applyProtection="1">
      <alignment horizontal="right"/>
      <protection hidden="1"/>
    </xf>
    <xf numFmtId="168" fontId="135" fillId="0" borderId="0" xfId="11" applyNumberFormat="1" applyFont="1" applyFill="1" applyAlignment="1" applyProtection="1">
      <alignment horizontal="center"/>
      <protection hidden="1"/>
    </xf>
    <xf numFmtId="0" fontId="164" fillId="98" borderId="3" xfId="0" applyFont="1" applyFill="1" applyBorder="1" applyAlignment="1" applyProtection="1">
      <alignment horizontal="center" vertical="center" wrapText="1"/>
      <protection hidden="1"/>
    </xf>
    <xf numFmtId="174" fontId="113" fillId="0" borderId="0" xfId="0" applyNumberFormat="1" applyFont="1" applyAlignment="1" applyProtection="1">
      <alignment horizontal="center"/>
      <protection locked="0" hidden="1"/>
    </xf>
    <xf numFmtId="0" fontId="165" fillId="0" borderId="0" xfId="0" applyFont="1" applyAlignment="1" applyProtection="1">
      <alignment horizontal="centerContinuous" vertical="top"/>
      <protection hidden="1"/>
    </xf>
    <xf numFmtId="10" fontId="122" fillId="0" borderId="136" xfId="11" applyNumberFormat="1" applyFont="1" applyFill="1" applyBorder="1" applyAlignment="1" applyProtection="1">
      <alignment horizontal="center"/>
      <protection locked="0" hidden="1"/>
    </xf>
    <xf numFmtId="3" fontId="114" fillId="0" borderId="136" xfId="0" applyNumberFormat="1" applyFont="1" applyBorder="1" applyAlignment="1" applyProtection="1">
      <alignment horizontal="right"/>
      <protection locked="0" hidden="1"/>
    </xf>
    <xf numFmtId="0" fontId="167" fillId="0" borderId="0" xfId="0" applyFont="1" applyProtection="1">
      <protection hidden="1"/>
    </xf>
    <xf numFmtId="4" fontId="21" fillId="0" borderId="3" xfId="0" applyNumberFormat="1" applyFont="1" applyBorder="1"/>
    <xf numFmtId="43" fontId="21" fillId="0" borderId="3" xfId="5" applyFont="1" applyBorder="1"/>
    <xf numFmtId="9" fontId="63" fillId="67" borderId="113" xfId="0" applyNumberFormat="1" applyFont="1" applyFill="1" applyBorder="1" applyAlignment="1">
      <alignment horizontal="center" vertical="center"/>
    </xf>
    <xf numFmtId="1" fontId="16" fillId="31" borderId="0" xfId="5" applyNumberFormat="1" applyFont="1" applyFill="1" applyBorder="1" applyAlignment="1" applyProtection="1">
      <alignment horizontal="center"/>
      <protection locked="0"/>
    </xf>
    <xf numFmtId="10" fontId="114" fillId="0" borderId="33" xfId="6" applyNumberFormat="1" applyFont="1" applyBorder="1" applyProtection="1">
      <protection hidden="1"/>
    </xf>
    <xf numFmtId="10" fontId="63" fillId="0" borderId="0" xfId="0" applyNumberFormat="1" applyFont="1" applyAlignment="1">
      <alignment horizontal="center" vertical="center"/>
    </xf>
    <xf numFmtId="0" fontId="50" fillId="44" borderId="0" xfId="0" applyFont="1" applyFill="1" applyAlignment="1" applyProtection="1">
      <alignment wrapText="1"/>
      <protection hidden="1"/>
    </xf>
    <xf numFmtId="9" fontId="3" fillId="67" borderId="3" xfId="1" applyNumberFormat="1" applyFill="1" applyBorder="1" applyAlignment="1">
      <alignment horizontal="center"/>
    </xf>
    <xf numFmtId="0" fontId="5" fillId="22" borderId="0" xfId="1" applyFont="1" applyFill="1" applyAlignment="1">
      <alignment horizontal="center"/>
    </xf>
    <xf numFmtId="0" fontId="3" fillId="22" borderId="1" xfId="1" applyFill="1" applyBorder="1" applyAlignment="1">
      <alignment horizontal="center"/>
    </xf>
    <xf numFmtId="0" fontId="3" fillId="22" borderId="30" xfId="1" applyFill="1" applyBorder="1" applyAlignment="1">
      <alignment horizontal="center"/>
    </xf>
    <xf numFmtId="0" fontId="3" fillId="22" borderId="30" xfId="1" applyFill="1" applyBorder="1"/>
    <xf numFmtId="0" fontId="3" fillId="22" borderId="1" xfId="1" applyFill="1" applyBorder="1"/>
    <xf numFmtId="0" fontId="3" fillId="22" borderId="9" xfId="1" applyFill="1" applyBorder="1" applyAlignment="1">
      <alignment horizontal="center"/>
    </xf>
    <xf numFmtId="0" fontId="3" fillId="22" borderId="4" xfId="1" applyFill="1" applyBorder="1" applyAlignment="1">
      <alignment horizontal="center"/>
    </xf>
    <xf numFmtId="0" fontId="3" fillId="22" borderId="4" xfId="1" applyFill="1" applyBorder="1"/>
    <xf numFmtId="0" fontId="3" fillId="22" borderId="9" xfId="1" applyFill="1" applyBorder="1"/>
    <xf numFmtId="0" fontId="3" fillId="22" borderId="10" xfId="1" applyFill="1" applyBorder="1" applyAlignment="1">
      <alignment horizontal="center"/>
    </xf>
    <xf numFmtId="0" fontId="3" fillId="22" borderId="8" xfId="1" applyFill="1" applyBorder="1"/>
    <xf numFmtId="0" fontId="3" fillId="22" borderId="10" xfId="1" applyFill="1" applyBorder="1"/>
    <xf numFmtId="43" fontId="3" fillId="0" borderId="1" xfId="5" applyFont="1" applyFill="1" applyBorder="1" applyAlignment="1">
      <alignment horizontal="left"/>
    </xf>
    <xf numFmtId="164" fontId="3" fillId="86" borderId="11" xfId="3" applyNumberFormat="1" applyFont="1" applyFill="1" applyBorder="1" applyAlignment="1">
      <alignment horizontal="center"/>
    </xf>
    <xf numFmtId="10" fontId="3" fillId="64" borderId="5" xfId="0" applyNumberFormat="1" applyFont="1" applyFill="1" applyBorder="1" applyAlignment="1">
      <alignment horizontal="center"/>
    </xf>
    <xf numFmtId="10" fontId="3" fillId="28" borderId="5" xfId="0" applyNumberFormat="1" applyFont="1" applyFill="1" applyBorder="1" applyAlignment="1">
      <alignment horizontal="center"/>
    </xf>
    <xf numFmtId="10" fontId="3" fillId="19" borderId="5" xfId="0" applyNumberFormat="1" applyFont="1" applyFill="1" applyBorder="1" applyAlignment="1">
      <alignment horizontal="center"/>
    </xf>
    <xf numFmtId="10" fontId="3" fillId="42" borderId="5" xfId="0" applyNumberFormat="1" applyFont="1" applyFill="1" applyBorder="1" applyAlignment="1">
      <alignment horizontal="center"/>
    </xf>
    <xf numFmtId="10" fontId="3" fillId="76" borderId="5" xfId="0" applyNumberFormat="1" applyFont="1" applyFill="1" applyBorder="1" applyAlignment="1">
      <alignment horizontal="center"/>
    </xf>
    <xf numFmtId="10" fontId="3" fillId="41" borderId="5" xfId="0" applyNumberFormat="1" applyFont="1" applyFill="1" applyBorder="1" applyAlignment="1">
      <alignment horizontal="center"/>
    </xf>
    <xf numFmtId="10" fontId="3" fillId="30" borderId="5" xfId="0" applyNumberFormat="1" applyFont="1" applyFill="1" applyBorder="1" applyAlignment="1">
      <alignment horizontal="center"/>
    </xf>
    <xf numFmtId="10" fontId="3" fillId="29" borderId="5" xfId="0" applyNumberFormat="1" applyFont="1" applyFill="1" applyBorder="1" applyAlignment="1">
      <alignment horizontal="center"/>
    </xf>
    <xf numFmtId="10" fontId="3" fillId="75" borderId="5" xfId="0" applyNumberFormat="1" applyFont="1" applyFill="1" applyBorder="1" applyAlignment="1">
      <alignment horizontal="center"/>
    </xf>
    <xf numFmtId="10" fontId="3" fillId="39" borderId="5" xfId="0" applyNumberFormat="1" applyFont="1" applyFill="1" applyBorder="1" applyAlignment="1">
      <alignment horizontal="center"/>
    </xf>
    <xf numFmtId="2" fontId="3" fillId="13" borderId="3" xfId="1" applyNumberFormat="1" applyFill="1" applyBorder="1" applyAlignment="1">
      <alignment horizontal="center"/>
    </xf>
    <xf numFmtId="10" fontId="21" fillId="13" borderId="3" xfId="0" applyNumberFormat="1" applyFont="1" applyFill="1" applyBorder="1"/>
    <xf numFmtId="2" fontId="8" fillId="66" borderId="14" xfId="1" applyNumberFormat="1" applyFont="1" applyFill="1" applyBorder="1" applyAlignment="1">
      <alignment horizontal="center"/>
    </xf>
    <xf numFmtId="4" fontId="110" fillId="66" borderId="0" xfId="0" applyNumberFormat="1" applyFont="1" applyFill="1" applyProtection="1">
      <protection hidden="1"/>
    </xf>
    <xf numFmtId="172" fontId="121" fillId="66" borderId="0" xfId="6" applyNumberFormat="1" applyFont="1" applyFill="1" applyBorder="1" applyProtection="1">
      <protection hidden="1"/>
    </xf>
    <xf numFmtId="170" fontId="138" fillId="0" borderId="1" xfId="6" applyNumberFormat="1" applyFont="1" applyBorder="1" applyProtection="1">
      <protection locked="0"/>
    </xf>
    <xf numFmtId="170" fontId="138" fillId="0" borderId="9" xfId="6" applyNumberFormat="1" applyFont="1" applyBorder="1" applyProtection="1">
      <protection locked="0"/>
    </xf>
    <xf numFmtId="170" fontId="138" fillId="0" borderId="10" xfId="6" applyNumberFormat="1" applyFont="1" applyBorder="1" applyProtection="1">
      <protection locked="0"/>
    </xf>
    <xf numFmtId="10" fontId="3" fillId="59" borderId="0" xfId="0" applyNumberFormat="1" applyFont="1" applyFill="1" applyAlignment="1">
      <alignment horizontal="center"/>
    </xf>
    <xf numFmtId="0" fontId="152" fillId="13" borderId="1" xfId="1" applyFont="1" applyFill="1" applyBorder="1" applyAlignment="1">
      <alignment horizontal="center"/>
    </xf>
    <xf numFmtId="0" fontId="152" fillId="13" borderId="9" xfId="1" applyFont="1" applyFill="1" applyBorder="1" applyAlignment="1">
      <alignment horizontal="center"/>
    </xf>
    <xf numFmtId="0" fontId="114" fillId="77" borderId="30" xfId="0" applyFont="1" applyFill="1" applyBorder="1" applyProtection="1">
      <protection hidden="1"/>
    </xf>
    <xf numFmtId="0" fontId="114" fillId="0" borderId="30" xfId="0" applyFont="1" applyBorder="1" applyProtection="1">
      <protection hidden="1"/>
    </xf>
    <xf numFmtId="0" fontId="114" fillId="0" borderId="1" xfId="1" applyFont="1" applyBorder="1" applyAlignment="1">
      <alignment horizontal="center"/>
    </xf>
    <xf numFmtId="0" fontId="122" fillId="13" borderId="10" xfId="1" applyFont="1" applyFill="1" applyBorder="1" applyAlignment="1">
      <alignment horizontal="center"/>
    </xf>
    <xf numFmtId="0" fontId="168" fillId="42" borderId="0" xfId="0" applyFont="1" applyFill="1" applyProtection="1">
      <protection hidden="1"/>
    </xf>
    <xf numFmtId="0" fontId="148" fillId="0" borderId="14" xfId="0" applyFont="1" applyBorder="1"/>
    <xf numFmtId="1" fontId="119" fillId="31" borderId="0" xfId="5" applyNumberFormat="1" applyFont="1" applyFill="1" applyBorder="1" applyAlignment="1" applyProtection="1">
      <alignment horizontal="center"/>
      <protection locked="0"/>
    </xf>
    <xf numFmtId="10" fontId="114" fillId="64" borderId="11" xfId="0" applyNumberFormat="1" applyFont="1" applyFill="1" applyBorder="1" applyAlignment="1">
      <alignment horizontal="center"/>
    </xf>
    <xf numFmtId="10" fontId="114" fillId="28" borderId="5" xfId="0" applyNumberFormat="1" applyFont="1" applyFill="1" applyBorder="1" applyAlignment="1">
      <alignment horizontal="center"/>
    </xf>
    <xf numFmtId="10" fontId="114" fillId="19" borderId="5" xfId="0" applyNumberFormat="1" applyFont="1" applyFill="1" applyBorder="1" applyAlignment="1">
      <alignment horizontal="center"/>
    </xf>
    <xf numFmtId="10" fontId="114" fillId="42" borderId="5" xfId="0" applyNumberFormat="1" applyFont="1" applyFill="1" applyBorder="1" applyAlignment="1">
      <alignment horizontal="center"/>
    </xf>
    <xf numFmtId="10" fontId="114" fillId="64" borderId="5" xfId="0" applyNumberFormat="1" applyFont="1" applyFill="1" applyBorder="1" applyAlignment="1">
      <alignment horizontal="center"/>
    </xf>
    <xf numFmtId="10" fontId="114" fillId="76" borderId="5" xfId="0" applyNumberFormat="1" applyFont="1" applyFill="1" applyBorder="1" applyAlignment="1">
      <alignment horizontal="center"/>
    </xf>
    <xf numFmtId="10" fontId="114" fillId="41" borderId="5" xfId="0" applyNumberFormat="1" applyFont="1" applyFill="1" applyBorder="1" applyAlignment="1">
      <alignment horizontal="center"/>
    </xf>
    <xf numFmtId="10" fontId="114" fillId="30" borderId="5" xfId="0" applyNumberFormat="1" applyFont="1" applyFill="1" applyBorder="1" applyAlignment="1">
      <alignment horizontal="center"/>
    </xf>
    <xf numFmtId="10" fontId="114" fillId="29" borderId="5" xfId="0" applyNumberFormat="1" applyFont="1" applyFill="1" applyBorder="1" applyAlignment="1">
      <alignment horizontal="center"/>
    </xf>
    <xf numFmtId="10" fontId="114" fillId="75" borderId="5" xfId="0" applyNumberFormat="1" applyFont="1" applyFill="1" applyBorder="1" applyAlignment="1">
      <alignment horizontal="center"/>
    </xf>
    <xf numFmtId="10" fontId="114" fillId="39" borderId="5" xfId="0" applyNumberFormat="1" applyFont="1" applyFill="1" applyBorder="1" applyAlignment="1">
      <alignment horizontal="center"/>
    </xf>
    <xf numFmtId="171" fontId="114" fillId="0" borderId="4" xfId="8" applyNumberFormat="1" applyFont="1" applyFill="1" applyBorder="1" applyProtection="1">
      <protection hidden="1"/>
    </xf>
    <xf numFmtId="171" fontId="114" fillId="0" borderId="8" xfId="8" applyNumberFormat="1" applyFont="1" applyFill="1" applyBorder="1" applyProtection="1">
      <protection hidden="1"/>
    </xf>
    <xf numFmtId="10" fontId="114" fillId="0" borderId="33" xfId="11" applyNumberFormat="1" applyFont="1" applyFill="1" applyBorder="1" applyAlignment="1" applyProtection="1">
      <alignment horizontal="center"/>
      <protection hidden="1"/>
    </xf>
    <xf numFmtId="180" fontId="110" fillId="0" borderId="0" xfId="14" applyNumberFormat="1" applyFont="1" applyFill="1" applyProtection="1">
      <protection hidden="1"/>
    </xf>
    <xf numFmtId="164" fontId="114" fillId="0" borderId="0" xfId="5" applyNumberFormat="1" applyFont="1" applyFill="1" applyBorder="1" applyProtection="1">
      <protection hidden="1"/>
    </xf>
    <xf numFmtId="43" fontId="110" fillId="0" borderId="0" xfId="0" applyNumberFormat="1" applyFont="1" applyProtection="1">
      <protection hidden="1"/>
    </xf>
    <xf numFmtId="43" fontId="110" fillId="0" borderId="0" xfId="5" applyFont="1" applyFill="1" applyBorder="1" applyProtection="1">
      <protection hidden="1"/>
    </xf>
    <xf numFmtId="172" fontId="121" fillId="0" borderId="0" xfId="6" applyNumberFormat="1" applyFont="1" applyFill="1" applyBorder="1" applyProtection="1">
      <protection hidden="1"/>
    </xf>
    <xf numFmtId="180" fontId="110" fillId="0" borderId="0" xfId="14" applyNumberFormat="1" applyFont="1" applyFill="1" applyBorder="1" applyProtection="1">
      <protection hidden="1"/>
    </xf>
    <xf numFmtId="0" fontId="3" fillId="89" borderId="0" xfId="0" applyFont="1" applyFill="1" applyAlignment="1" applyProtection="1">
      <alignment horizontal="center"/>
      <protection hidden="1"/>
    </xf>
    <xf numFmtId="0" fontId="3" fillId="66" borderId="137" xfId="1" applyFill="1" applyBorder="1" applyAlignment="1">
      <alignment wrapText="1"/>
    </xf>
    <xf numFmtId="9" fontId="63" fillId="0" borderId="138" xfId="0" applyNumberFormat="1" applyFont="1" applyBorder="1" applyAlignment="1">
      <alignment horizontal="center" vertical="center"/>
    </xf>
    <xf numFmtId="9" fontId="63" fillId="0" borderId="139" xfId="0" applyNumberFormat="1" applyFont="1" applyBorder="1" applyAlignment="1">
      <alignment horizontal="center" vertical="center"/>
    </xf>
    <xf numFmtId="0" fontId="3" fillId="47" borderId="3" xfId="1" applyFill="1" applyBorder="1" applyAlignment="1">
      <alignment wrapText="1"/>
    </xf>
    <xf numFmtId="9" fontId="63" fillId="22" borderId="139" xfId="0" applyNumberFormat="1" applyFont="1" applyFill="1" applyBorder="1" applyAlignment="1">
      <alignment horizontal="center" vertical="center"/>
    </xf>
    <xf numFmtId="0" fontId="5" fillId="57" borderId="0" xfId="1" applyFont="1" applyFill="1" applyAlignment="1">
      <alignment horizontal="center"/>
    </xf>
    <xf numFmtId="0" fontId="5" fillId="57" borderId="0" xfId="1" applyFont="1" applyFill="1" applyAlignment="1">
      <alignment horizontal="center" vertical="center"/>
    </xf>
    <xf numFmtId="6" fontId="110" fillId="0" borderId="125" xfId="0" applyNumberFormat="1" applyFont="1" applyBorder="1" applyAlignment="1" applyProtection="1">
      <alignment horizontal="center" vertical="center"/>
      <protection hidden="1"/>
    </xf>
    <xf numFmtId="6" fontId="110" fillId="0" borderId="0" xfId="0" applyNumberFormat="1" applyFont="1" applyAlignment="1" applyProtection="1">
      <alignment horizontal="center" vertical="center"/>
      <protection hidden="1"/>
    </xf>
    <xf numFmtId="174" fontId="114" fillId="0" borderId="126" xfId="0" applyNumberFormat="1" applyFont="1" applyBorder="1" applyAlignment="1" applyProtection="1">
      <alignment horizontal="center" vertical="center"/>
      <protection hidden="1"/>
    </xf>
    <xf numFmtId="6" fontId="110" fillId="0" borderId="126" xfId="0" applyNumberFormat="1" applyFont="1" applyBorder="1" applyAlignment="1" applyProtection="1">
      <alignment horizontal="center" vertical="center"/>
      <protection hidden="1"/>
    </xf>
    <xf numFmtId="0" fontId="128" fillId="0" borderId="42" xfId="0" applyFont="1" applyBorder="1" applyAlignment="1" applyProtection="1">
      <alignment vertical="center"/>
      <protection hidden="1"/>
    </xf>
    <xf numFmtId="0" fontId="114" fillId="0" borderId="0" xfId="1" applyFont="1" applyAlignment="1" applyProtection="1">
      <alignment horizontal="left" vertical="center"/>
      <protection hidden="1"/>
    </xf>
    <xf numFmtId="5" fontId="122" fillId="0" borderId="126" xfId="0" applyNumberFormat="1" applyFont="1" applyBorder="1" applyAlignment="1" applyProtection="1">
      <alignment vertical="center"/>
      <protection hidden="1"/>
    </xf>
    <xf numFmtId="0" fontId="110" fillId="0" borderId="126" xfId="0" applyFont="1" applyBorder="1" applyAlignment="1" applyProtection="1">
      <alignment vertical="center"/>
      <protection hidden="1"/>
    </xf>
    <xf numFmtId="174" fontId="114" fillId="21" borderId="0" xfId="0" applyNumberFormat="1" applyFont="1" applyFill="1" applyAlignment="1" applyProtection="1">
      <alignment vertical="center"/>
      <protection hidden="1"/>
    </xf>
    <xf numFmtId="0" fontId="167" fillId="21" borderId="0" xfId="0" applyFont="1" applyFill="1" applyAlignment="1" applyProtection="1">
      <alignment horizontal="left" wrapText="1"/>
      <protection hidden="1"/>
    </xf>
    <xf numFmtId="0" fontId="116" fillId="0" borderId="0" xfId="0" applyFont="1" applyAlignment="1" applyProtection="1">
      <alignment horizontal="left" vertical="center"/>
      <protection hidden="1"/>
    </xf>
    <xf numFmtId="167" fontId="110" fillId="0" borderId="0" xfId="0" applyNumberFormat="1" applyFont="1" applyAlignment="1" applyProtection="1">
      <alignment horizontal="center" vertical="center"/>
      <protection hidden="1"/>
    </xf>
    <xf numFmtId="167" fontId="110" fillId="0" borderId="0" xfId="0" applyNumberFormat="1" applyFont="1" applyAlignment="1" applyProtection="1">
      <alignment vertical="center"/>
      <protection hidden="1"/>
    </xf>
    <xf numFmtId="174" fontId="114" fillId="21" borderId="0" xfId="0" applyNumberFormat="1" applyFont="1" applyFill="1" applyAlignment="1" applyProtection="1">
      <alignment horizontal="right" vertical="center"/>
      <protection hidden="1"/>
    </xf>
    <xf numFmtId="0" fontId="114" fillId="21" borderId="140" xfId="0" applyFont="1" applyFill="1" applyBorder="1" applyProtection="1">
      <protection hidden="1"/>
    </xf>
    <xf numFmtId="0" fontId="114" fillId="21" borderId="141" xfId="0" applyFont="1" applyFill="1" applyBorder="1" applyAlignment="1" applyProtection="1">
      <alignment vertical="center" wrapText="1"/>
      <protection hidden="1"/>
    </xf>
    <xf numFmtId="0" fontId="114" fillId="21" borderId="141" xfId="0" applyFont="1" applyFill="1" applyBorder="1" applyProtection="1">
      <protection hidden="1"/>
    </xf>
    <xf numFmtId="0" fontId="169" fillId="0" borderId="126" xfId="0" applyFont="1" applyBorder="1" applyAlignment="1" applyProtection="1">
      <alignment vertical="center" wrapText="1"/>
      <protection hidden="1"/>
    </xf>
    <xf numFmtId="0" fontId="110" fillId="0" borderId="126" xfId="0" applyFont="1" applyBorder="1" applyProtection="1">
      <protection hidden="1"/>
    </xf>
    <xf numFmtId="0" fontId="114" fillId="0" borderId="126" xfId="0" applyFont="1" applyBorder="1" applyAlignment="1" applyProtection="1">
      <alignment vertical="center" wrapText="1"/>
      <protection hidden="1"/>
    </xf>
    <xf numFmtId="0" fontId="114" fillId="0" borderId="126" xfId="0" applyFont="1" applyBorder="1" applyProtection="1">
      <protection hidden="1"/>
    </xf>
    <xf numFmtId="0" fontId="116" fillId="0" borderId="126" xfId="0" applyFont="1" applyBorder="1" applyProtection="1">
      <protection hidden="1"/>
    </xf>
    <xf numFmtId="0" fontId="131" fillId="0" borderId="126" xfId="1" applyFont="1" applyBorder="1" applyProtection="1">
      <protection hidden="1"/>
    </xf>
    <xf numFmtId="0" fontId="114" fillId="0" borderId="126" xfId="0" applyFont="1" applyBorder="1" applyAlignment="1" applyProtection="1">
      <alignment vertical="center"/>
      <protection hidden="1"/>
    </xf>
    <xf numFmtId="0" fontId="167" fillId="0" borderId="0" xfId="0" applyFont="1" applyAlignment="1" applyProtection="1">
      <alignment wrapText="1"/>
      <protection hidden="1"/>
    </xf>
    <xf numFmtId="0" fontId="114" fillId="0" borderId="0" xfId="0" applyFont="1" applyAlignment="1" applyProtection="1">
      <alignment vertical="center" wrapText="1"/>
      <protection hidden="1"/>
    </xf>
    <xf numFmtId="0" fontId="14" fillId="25" borderId="0" xfId="1" applyFont="1" applyFill="1" applyAlignment="1">
      <alignment horizontal="center"/>
    </xf>
    <xf numFmtId="0" fontId="43" fillId="25" borderId="3" xfId="1" applyFont="1" applyFill="1" applyBorder="1" applyAlignment="1">
      <alignment horizontal="center"/>
    </xf>
    <xf numFmtId="0" fontId="1" fillId="0" borderId="3" xfId="0" applyFont="1" applyBorder="1" applyAlignment="1">
      <alignment horizontal="center"/>
    </xf>
    <xf numFmtId="0" fontId="3" fillId="25" borderId="3" xfId="1" applyFill="1" applyBorder="1"/>
    <xf numFmtId="0" fontId="3" fillId="0" borderId="4" xfId="1" applyBorder="1"/>
    <xf numFmtId="0" fontId="3" fillId="0" borderId="8" xfId="1" applyBorder="1"/>
    <xf numFmtId="0" fontId="14" fillId="69" borderId="0" xfId="1" applyFont="1" applyFill="1" applyAlignment="1">
      <alignment horizontal="center"/>
    </xf>
    <xf numFmtId="0" fontId="43" fillId="69" borderId="3" xfId="1" applyFont="1" applyFill="1" applyBorder="1" applyAlignment="1">
      <alignment horizontal="center"/>
    </xf>
    <xf numFmtId="0" fontId="5" fillId="69" borderId="0" xfId="1" applyFont="1" applyFill="1" applyAlignment="1">
      <alignment horizontal="center"/>
    </xf>
    <xf numFmtId="0" fontId="3" fillId="69" borderId="1" xfId="1" applyFill="1" applyBorder="1" applyAlignment="1">
      <alignment horizontal="center"/>
    </xf>
    <xf numFmtId="0" fontId="3" fillId="69" borderId="30" xfId="1" applyFill="1" applyBorder="1" applyAlignment="1">
      <alignment horizontal="center"/>
    </xf>
    <xf numFmtId="0" fontId="3" fillId="69" borderId="30" xfId="1" applyFill="1" applyBorder="1"/>
    <xf numFmtId="0" fontId="3" fillId="69" borderId="1" xfId="1" applyFill="1" applyBorder="1"/>
    <xf numFmtId="0" fontId="3" fillId="69" borderId="9" xfId="1" applyFill="1" applyBorder="1" applyAlignment="1">
      <alignment horizontal="center"/>
    </xf>
    <xf numFmtId="0" fontId="3" fillId="69" borderId="4" xfId="1" applyFill="1" applyBorder="1" applyAlignment="1">
      <alignment horizontal="center"/>
    </xf>
    <xf numFmtId="0" fontId="3" fillId="69" borderId="4" xfId="1" applyFill="1" applyBorder="1"/>
    <xf numFmtId="0" fontId="3" fillId="69" borderId="9" xfId="1" applyFill="1" applyBorder="1"/>
    <xf numFmtId="0" fontId="3" fillId="69" borderId="10" xfId="1" applyFill="1" applyBorder="1" applyAlignment="1">
      <alignment horizontal="center"/>
    </xf>
    <xf numFmtId="0" fontId="3" fillId="69" borderId="0" xfId="1" applyFill="1"/>
    <xf numFmtId="0" fontId="3" fillId="69" borderId="8" xfId="1" applyFill="1" applyBorder="1"/>
    <xf numFmtId="0" fontId="3" fillId="69" borderId="10" xfId="1" applyFill="1" applyBorder="1"/>
    <xf numFmtId="0" fontId="3" fillId="22" borderId="3" xfId="1" applyFill="1" applyBorder="1"/>
    <xf numFmtId="0" fontId="23" fillId="22" borderId="3" xfId="1" applyFont="1" applyFill="1" applyBorder="1" applyAlignment="1">
      <alignment horizontal="center"/>
    </xf>
    <xf numFmtId="0" fontId="14" fillId="22" borderId="0" xfId="1" applyFont="1" applyFill="1" applyAlignment="1">
      <alignment horizontal="center" wrapText="1"/>
    </xf>
    <xf numFmtId="0" fontId="5" fillId="22" borderId="1" xfId="1" applyFont="1" applyFill="1" applyBorder="1" applyAlignment="1">
      <alignment horizontal="center"/>
    </xf>
    <xf numFmtId="167" fontId="170" fillId="0" borderId="0" xfId="0" applyNumberFormat="1" applyFont="1" applyAlignment="1" applyProtection="1">
      <alignment horizontal="right" vertical="center"/>
      <protection hidden="1"/>
    </xf>
    <xf numFmtId="0" fontId="114" fillId="13" borderId="14" xfId="0" applyFont="1" applyFill="1" applyBorder="1" applyProtection="1">
      <protection hidden="1"/>
    </xf>
    <xf numFmtId="9" fontId="114" fillId="13" borderId="14" xfId="6" applyFont="1" applyFill="1" applyBorder="1" applyAlignment="1" applyProtection="1">
      <alignment horizontal="center"/>
      <protection hidden="1"/>
    </xf>
    <xf numFmtId="0" fontId="115" fillId="56" borderId="8" xfId="0" applyFont="1" applyFill="1" applyBorder="1" applyAlignment="1" applyProtection="1">
      <alignment wrapText="1"/>
      <protection hidden="1"/>
    </xf>
    <xf numFmtId="0" fontId="151" fillId="13" borderId="3" xfId="0" applyFont="1" applyFill="1" applyBorder="1" applyProtection="1">
      <protection hidden="1"/>
    </xf>
    <xf numFmtId="0" fontId="1" fillId="16" borderId="0" xfId="0" applyFont="1" applyFill="1"/>
    <xf numFmtId="0" fontId="1" fillId="16" borderId="0" xfId="0" applyFont="1" applyFill="1" applyAlignment="1">
      <alignment horizontal="center"/>
    </xf>
    <xf numFmtId="0" fontId="1" fillId="50" borderId="0" xfId="0" applyFont="1" applyFill="1"/>
    <xf numFmtId="9" fontId="1" fillId="0" borderId="0" xfId="6" applyFont="1" applyAlignment="1">
      <alignment horizontal="center"/>
    </xf>
    <xf numFmtId="0" fontId="1" fillId="0" borderId="0" xfId="0" applyFont="1"/>
    <xf numFmtId="0" fontId="1" fillId="3" borderId="0" xfId="0" applyFont="1" applyFill="1" applyAlignment="1">
      <alignment horizontal="center" wrapText="1"/>
    </xf>
    <xf numFmtId="9" fontId="1" fillId="0" borderId="28" xfId="0" applyNumberFormat="1" applyFont="1" applyBorder="1" applyAlignment="1">
      <alignment horizontal="center"/>
    </xf>
    <xf numFmtId="10" fontId="1" fillId="28" borderId="0" xfId="6" applyNumberFormat="1" applyFont="1" applyFill="1" applyBorder="1" applyAlignment="1">
      <alignment horizontal="center"/>
    </xf>
    <xf numFmtId="0" fontId="1" fillId="66" borderId="9" xfId="0" applyFont="1" applyFill="1" applyBorder="1" applyAlignment="1" applyProtection="1">
      <alignment wrapText="1"/>
      <protection hidden="1"/>
    </xf>
    <xf numFmtId="0" fontId="1" fillId="66" borderId="10" xfId="0" applyFont="1" applyFill="1" applyBorder="1" applyAlignment="1">
      <alignment wrapText="1"/>
    </xf>
    <xf numFmtId="0" fontId="1" fillId="66" borderId="9" xfId="0" applyFont="1" applyFill="1" applyBorder="1" applyAlignment="1">
      <alignment wrapText="1"/>
    </xf>
    <xf numFmtId="10" fontId="1" fillId="0" borderId="0" xfId="0" applyNumberFormat="1" applyFont="1" applyAlignment="1">
      <alignment horizontal="center"/>
    </xf>
    <xf numFmtId="9" fontId="1" fillId="0" borderId="3" xfId="0" applyNumberFormat="1" applyFont="1" applyBorder="1"/>
    <xf numFmtId="164" fontId="1" fillId="0" borderId="14" xfId="5" applyNumberFormat="1" applyFont="1" applyBorder="1"/>
    <xf numFmtId="0" fontId="1" fillId="0" borderId="30" xfId="0" applyFont="1" applyBorder="1"/>
    <xf numFmtId="10" fontId="1" fillId="19" borderId="0" xfId="6" applyNumberFormat="1" applyFont="1" applyFill="1" applyBorder="1" applyAlignment="1">
      <alignment horizontal="center"/>
    </xf>
    <xf numFmtId="9" fontId="1" fillId="0" borderId="3" xfId="0" applyNumberFormat="1" applyFont="1" applyBorder="1" applyAlignment="1">
      <alignment horizontal="center"/>
    </xf>
    <xf numFmtId="0" fontId="1" fillId="0" borderId="11" xfId="0" applyFont="1" applyBorder="1"/>
    <xf numFmtId="0" fontId="1" fillId="66" borderId="1" xfId="0" applyFont="1" applyFill="1" applyBorder="1" applyAlignment="1">
      <alignment horizontal="center"/>
    </xf>
    <xf numFmtId="0" fontId="1" fillId="0" borderId="0" xfId="0" applyFont="1" applyAlignment="1">
      <alignment horizontal="center"/>
    </xf>
    <xf numFmtId="9" fontId="1" fillId="0" borderId="3" xfId="6" applyFont="1" applyBorder="1" applyAlignment="1">
      <alignment horizontal="center"/>
    </xf>
    <xf numFmtId="10" fontId="1" fillId="42" borderId="0" xfId="6" applyNumberFormat="1" applyFont="1" applyFill="1" applyBorder="1" applyAlignment="1">
      <alignment horizontal="center"/>
    </xf>
    <xf numFmtId="10" fontId="1" fillId="0" borderId="3" xfId="6" applyNumberFormat="1" applyFont="1" applyBorder="1" applyAlignment="1">
      <alignment horizontal="center"/>
    </xf>
    <xf numFmtId="2" fontId="1" fillId="0" borderId="3" xfId="0" applyNumberFormat="1" applyFont="1" applyBorder="1" applyAlignment="1">
      <alignment horizontal="center"/>
    </xf>
    <xf numFmtId="10" fontId="1" fillId="75" borderId="3" xfId="6" applyNumberFormat="1" applyFont="1" applyFill="1" applyBorder="1" applyAlignment="1">
      <alignment horizontal="center"/>
    </xf>
    <xf numFmtId="9" fontId="1" fillId="22" borderId="3" xfId="6" applyFont="1" applyFill="1" applyBorder="1" applyAlignment="1">
      <alignment horizontal="center"/>
    </xf>
    <xf numFmtId="0" fontId="1" fillId="66" borderId="3" xfId="0" applyFont="1" applyFill="1" applyBorder="1" applyAlignment="1">
      <alignment horizontal="center"/>
    </xf>
    <xf numFmtId="43" fontId="1" fillId="24" borderId="95" xfId="5" applyFont="1" applyFill="1" applyBorder="1"/>
    <xf numFmtId="169" fontId="1" fillId="86" borderId="5" xfId="15" applyNumberFormat="1" applyFont="1" applyFill="1" applyBorder="1" applyAlignment="1">
      <alignment horizontal="center" vertical="center"/>
    </xf>
    <xf numFmtId="0" fontId="1" fillId="0" borderId="3" xfId="0" applyFont="1" applyBorder="1"/>
    <xf numFmtId="0" fontId="1" fillId="25" borderId="3" xfId="0" applyFont="1" applyFill="1" applyBorder="1" applyAlignment="1">
      <alignment horizontal="center"/>
    </xf>
    <xf numFmtId="10" fontId="1" fillId="64" borderId="0" xfId="6" applyNumberFormat="1" applyFont="1" applyFill="1" applyBorder="1" applyAlignment="1">
      <alignment horizontal="center"/>
    </xf>
    <xf numFmtId="43" fontId="1" fillId="24" borderId="93" xfId="5" applyFont="1" applyFill="1" applyBorder="1"/>
    <xf numFmtId="9" fontId="1" fillId="0" borderId="0" xfId="0" applyNumberFormat="1" applyFont="1"/>
    <xf numFmtId="10" fontId="1" fillId="39" borderId="3" xfId="6" applyNumberFormat="1" applyFont="1" applyFill="1" applyBorder="1" applyAlignment="1">
      <alignment horizontal="center"/>
    </xf>
    <xf numFmtId="10" fontId="1" fillId="76" borderId="0" xfId="6" applyNumberFormat="1" applyFont="1" applyFill="1" applyBorder="1" applyAlignment="1">
      <alignment horizontal="center"/>
    </xf>
    <xf numFmtId="10" fontId="1" fillId="0" borderId="0" xfId="6" applyNumberFormat="1" applyFont="1" applyFill="1" applyBorder="1"/>
    <xf numFmtId="10" fontId="1" fillId="67" borderId="0" xfId="6" applyNumberFormat="1" applyFont="1" applyFill="1" applyBorder="1" applyAlignment="1">
      <alignment horizontal="center"/>
    </xf>
    <xf numFmtId="10" fontId="1" fillId="30" borderId="0" xfId="6" applyNumberFormat="1" applyFont="1" applyFill="1" applyBorder="1" applyAlignment="1">
      <alignment horizontal="center"/>
    </xf>
    <xf numFmtId="0" fontId="1" fillId="0" borderId="9" xfId="0" applyFont="1" applyBorder="1" applyProtection="1">
      <protection hidden="1"/>
    </xf>
    <xf numFmtId="10" fontId="1" fillId="29" borderId="0" xfId="6" applyNumberFormat="1" applyFont="1" applyFill="1" applyBorder="1" applyAlignment="1">
      <alignment horizontal="center"/>
    </xf>
    <xf numFmtId="10" fontId="1" fillId="0" borderId="0" xfId="5" applyNumberFormat="1" applyFont="1" applyFill="1" applyBorder="1"/>
    <xf numFmtId="0" fontId="1" fillId="0" borderId="9" xfId="0" applyFont="1" applyBorder="1"/>
    <xf numFmtId="43" fontId="1" fillId="0" borderId="12" xfId="0" applyNumberFormat="1" applyFont="1" applyBorder="1"/>
    <xf numFmtId="164" fontId="1" fillId="0" borderId="0" xfId="5" applyNumberFormat="1" applyFont="1" applyFill="1" applyBorder="1"/>
    <xf numFmtId="0" fontId="1" fillId="0" borderId="10" xfId="0" applyFont="1" applyBorder="1"/>
    <xf numFmtId="10" fontId="1" fillId="75" borderId="0" xfId="6" applyNumberFormat="1" applyFont="1" applyFill="1" applyBorder="1" applyAlignment="1">
      <alignment horizontal="center"/>
    </xf>
    <xf numFmtId="43" fontId="1" fillId="0" borderId="0" xfId="5" applyFont="1" applyFill="1" applyBorder="1" applyAlignment="1">
      <alignment horizontal="center"/>
    </xf>
    <xf numFmtId="10" fontId="1" fillId="0" borderId="0" xfId="6" applyNumberFormat="1" applyFont="1" applyFill="1" applyBorder="1" applyAlignment="1">
      <alignment horizontal="center"/>
    </xf>
    <xf numFmtId="0" fontId="1" fillId="13" borderId="1" xfId="0" applyFont="1" applyFill="1" applyBorder="1"/>
    <xf numFmtId="0" fontId="1" fillId="13" borderId="10" xfId="0" applyFont="1" applyFill="1" applyBorder="1"/>
    <xf numFmtId="10" fontId="1" fillId="39" borderId="0" xfId="6" applyNumberFormat="1" applyFont="1" applyFill="1" applyBorder="1" applyAlignment="1">
      <alignment horizontal="center"/>
    </xf>
    <xf numFmtId="43" fontId="1" fillId="0" borderId="0" xfId="0" applyNumberFormat="1" applyFont="1"/>
    <xf numFmtId="0" fontId="1" fillId="0" borderId="11" xfId="0" applyFont="1" applyBorder="1" applyAlignment="1">
      <alignment horizontal="center"/>
    </xf>
    <xf numFmtId="0" fontId="1" fillId="0" borderId="4" xfId="0" applyFont="1" applyBorder="1"/>
    <xf numFmtId="0" fontId="1" fillId="0" borderId="5" xfId="0" applyFont="1" applyBorder="1" applyAlignment="1">
      <alignment horizontal="center"/>
    </xf>
    <xf numFmtId="0" fontId="1" fillId="0" borderId="8" xfId="0" applyFont="1" applyBorder="1"/>
    <xf numFmtId="0" fontId="1" fillId="0" borderId="33" xfId="0" applyFont="1" applyBorder="1" applyAlignment="1">
      <alignment horizontal="center"/>
    </xf>
    <xf numFmtId="43" fontId="1" fillId="0" borderId="0" xfId="0" applyNumberFormat="1" applyFont="1" applyAlignment="1">
      <alignment horizontal="center"/>
    </xf>
    <xf numFmtId="169" fontId="1" fillId="86" borderId="33" xfId="15" applyNumberFormat="1" applyFont="1" applyFill="1" applyBorder="1" applyAlignment="1">
      <alignment horizontal="center" vertical="center"/>
    </xf>
    <xf numFmtId="0" fontId="1" fillId="0" borderId="0" xfId="0" applyFont="1" applyAlignment="1">
      <alignment vertical="center"/>
    </xf>
    <xf numFmtId="0" fontId="1" fillId="0" borderId="10" xfId="0" applyFont="1" applyBorder="1" applyAlignment="1">
      <alignment horizontal="center"/>
    </xf>
    <xf numFmtId="44" fontId="1" fillId="0" borderId="0" xfId="0" applyNumberFormat="1" applyFont="1"/>
    <xf numFmtId="10" fontId="1" fillId="76" borderId="26" xfId="6" applyNumberFormat="1" applyFont="1" applyFill="1" applyBorder="1" applyAlignment="1">
      <alignment horizontal="center"/>
    </xf>
    <xf numFmtId="10" fontId="1" fillId="15" borderId="0" xfId="6" applyNumberFormat="1" applyFont="1" applyFill="1" applyBorder="1" applyAlignment="1">
      <alignment horizontal="center"/>
    </xf>
    <xf numFmtId="10" fontId="1" fillId="15" borderId="0" xfId="6" applyNumberFormat="1" applyFont="1" applyFill="1" applyBorder="1" applyAlignment="1"/>
    <xf numFmtId="0" fontId="1" fillId="15" borderId="0" xfId="0" applyFont="1" applyFill="1"/>
    <xf numFmtId="0" fontId="1" fillId="15" borderId="0" xfId="0" applyFont="1" applyFill="1" applyAlignment="1">
      <alignment horizontal="center"/>
    </xf>
    <xf numFmtId="10" fontId="1" fillId="15" borderId="0" xfId="0" applyNumberFormat="1" applyFont="1" applyFill="1" applyAlignment="1">
      <alignment horizontal="center"/>
    </xf>
    <xf numFmtId="10" fontId="1" fillId="15" borderId="0" xfId="6" applyNumberFormat="1" applyFont="1" applyFill="1" applyBorder="1"/>
    <xf numFmtId="43" fontId="1" fillId="0" borderId="0" xfId="5" applyFont="1" applyFill="1" applyBorder="1"/>
    <xf numFmtId="9" fontId="1" fillId="0" borderId="3" xfId="6" applyFont="1" applyFill="1" applyBorder="1" applyAlignment="1">
      <alignment horizontal="center"/>
    </xf>
    <xf numFmtId="0" fontId="1" fillId="47" borderId="3" xfId="0" applyFont="1" applyFill="1" applyBorder="1"/>
    <xf numFmtId="0" fontId="1" fillId="66" borderId="9" xfId="0" applyFont="1" applyFill="1" applyBorder="1" applyProtection="1">
      <protection hidden="1"/>
    </xf>
    <xf numFmtId="9" fontId="1" fillId="15" borderId="3" xfId="6" applyFont="1" applyFill="1" applyBorder="1" applyAlignment="1">
      <alignment horizontal="center"/>
    </xf>
    <xf numFmtId="0" fontId="1" fillId="15" borderId="3" xfId="0" applyFont="1" applyFill="1" applyBorder="1"/>
    <xf numFmtId="0" fontId="1" fillId="66" borderId="9" xfId="0" applyFont="1" applyFill="1" applyBorder="1"/>
    <xf numFmtId="0" fontId="1" fillId="66" borderId="10" xfId="0" applyFont="1" applyFill="1" applyBorder="1"/>
    <xf numFmtId="0" fontId="116" fillId="0" borderId="136" xfId="0" applyFont="1" applyBorder="1" applyAlignment="1" applyProtection="1">
      <alignment horizontal="center" vertical="top" wrapText="1"/>
      <protection locked="0" hidden="1"/>
    </xf>
    <xf numFmtId="3" fontId="110" fillId="0" borderId="136" xfId="0" applyNumberFormat="1" applyFont="1" applyBorder="1" applyProtection="1">
      <protection hidden="1"/>
    </xf>
    <xf numFmtId="4" fontId="113" fillId="0" borderId="136" xfId="0" applyNumberFormat="1" applyFont="1" applyBorder="1" applyAlignment="1" applyProtection="1">
      <alignment horizontal="center"/>
      <protection hidden="1"/>
    </xf>
    <xf numFmtId="3" fontId="110" fillId="0" borderId="136" xfId="0" applyNumberFormat="1" applyFont="1" applyBorder="1" applyAlignment="1" applyProtection="1">
      <alignment horizontal="center"/>
      <protection hidden="1"/>
    </xf>
    <xf numFmtId="10" fontId="110" fillId="0" borderId="136" xfId="6" applyNumberFormat="1" applyFont="1" applyFill="1" applyBorder="1" applyAlignment="1" applyProtection="1">
      <alignment horizontal="center"/>
      <protection hidden="1"/>
    </xf>
    <xf numFmtId="4" fontId="110" fillId="0" borderId="136" xfId="0" applyNumberFormat="1" applyFont="1" applyBorder="1" applyAlignment="1" applyProtection="1">
      <alignment horizontal="center"/>
      <protection hidden="1"/>
    </xf>
    <xf numFmtId="3" fontId="121" fillId="0" borderId="136" xfId="0" applyNumberFormat="1" applyFont="1" applyBorder="1" applyAlignment="1" applyProtection="1">
      <alignment horizontal="center"/>
      <protection locked="0" hidden="1"/>
    </xf>
    <xf numFmtId="0" fontId="121" fillId="0" borderId="136" xfId="0" applyFont="1" applyBorder="1" applyProtection="1">
      <protection locked="0" hidden="1"/>
    </xf>
    <xf numFmtId="0" fontId="121" fillId="0" borderId="136" xfId="0" applyFont="1" applyBorder="1" applyProtection="1">
      <protection hidden="1"/>
    </xf>
    <xf numFmtId="0" fontId="110" fillId="0" borderId="136" xfId="0" applyFont="1" applyBorder="1" applyAlignment="1" applyProtection="1">
      <alignment horizontal="center"/>
      <protection hidden="1"/>
    </xf>
    <xf numFmtId="10" fontId="110" fillId="0" borderId="136" xfId="6" applyNumberFormat="1" applyFont="1" applyBorder="1" applyAlignment="1" applyProtection="1">
      <alignment horizontal="center"/>
      <protection hidden="1"/>
    </xf>
    <xf numFmtId="167" fontId="122" fillId="0" borderId="136" xfId="0" applyNumberFormat="1" applyFont="1" applyBorder="1" applyAlignment="1" applyProtection="1">
      <alignment horizontal="center" vertical="center"/>
      <protection locked="0" hidden="1"/>
    </xf>
    <xf numFmtId="0" fontId="116" fillId="0" borderId="136" xfId="0" applyFont="1" applyBorder="1" applyAlignment="1" applyProtection="1">
      <alignment horizontal="center"/>
      <protection locked="0" hidden="1"/>
    </xf>
    <xf numFmtId="4" fontId="121" fillId="0" borderId="136" xfId="0" applyNumberFormat="1" applyFont="1" applyBorder="1" applyAlignment="1" applyProtection="1">
      <alignment horizontal="center"/>
      <protection locked="0" hidden="1"/>
    </xf>
    <xf numFmtId="10" fontId="114" fillId="0" borderId="136" xfId="6" applyNumberFormat="1" applyFont="1" applyFill="1" applyBorder="1" applyAlignment="1" applyProtection="1">
      <alignment horizontal="center"/>
      <protection hidden="1"/>
    </xf>
    <xf numFmtId="1" fontId="114" fillId="0" borderId="136" xfId="12" applyNumberFormat="1" applyFont="1" applyFill="1" applyBorder="1" applyAlignment="1" applyProtection="1">
      <alignment horizontal="right"/>
      <protection locked="0" hidden="1"/>
    </xf>
    <xf numFmtId="0" fontId="113" fillId="0" borderId="136" xfId="0" applyFont="1" applyBorder="1" applyAlignment="1" applyProtection="1">
      <alignment horizontal="center"/>
      <protection locked="0" hidden="1"/>
    </xf>
    <xf numFmtId="0" fontId="114" fillId="0" borderId="136" xfId="0" applyFont="1" applyBorder="1" applyAlignment="1" applyProtection="1">
      <alignment horizontal="center"/>
      <protection locked="0" hidden="1"/>
    </xf>
    <xf numFmtId="4" fontId="122" fillId="0" borderId="143" xfId="0" applyNumberFormat="1" applyFont="1" applyBorder="1" applyAlignment="1" applyProtection="1">
      <alignment horizontal="center"/>
      <protection hidden="1"/>
    </xf>
    <xf numFmtId="4" fontId="117" fillId="0" borderId="143" xfId="0" applyNumberFormat="1" applyFont="1" applyBorder="1" applyAlignment="1" applyProtection="1">
      <alignment horizontal="center"/>
      <protection hidden="1"/>
    </xf>
    <xf numFmtId="3" fontId="114" fillId="0" borderId="143" xfId="0" applyNumberFormat="1" applyFont="1" applyBorder="1" applyAlignment="1" applyProtection="1">
      <alignment horizontal="center"/>
      <protection hidden="1"/>
    </xf>
    <xf numFmtId="10" fontId="114" fillId="0" borderId="143" xfId="6" applyNumberFormat="1" applyFont="1" applyFill="1" applyBorder="1" applyAlignment="1" applyProtection="1">
      <alignment horizontal="center"/>
      <protection hidden="1"/>
    </xf>
    <xf numFmtId="4" fontId="114" fillId="0" borderId="143" xfId="0" applyNumberFormat="1" applyFont="1" applyBorder="1" applyAlignment="1" applyProtection="1">
      <alignment horizontal="center"/>
      <protection hidden="1"/>
    </xf>
    <xf numFmtId="4" fontId="117" fillId="0" borderId="143" xfId="0" applyNumberFormat="1" applyFont="1" applyBorder="1" applyAlignment="1" applyProtection="1">
      <alignment horizontal="center"/>
      <protection locked="0" hidden="1"/>
    </xf>
    <xf numFmtId="4" fontId="117" fillId="15" borderId="143" xfId="0" applyNumberFormat="1" applyFont="1" applyFill="1" applyBorder="1" applyAlignment="1" applyProtection="1">
      <alignment horizontal="center"/>
      <protection hidden="1"/>
    </xf>
    <xf numFmtId="0" fontId="1" fillId="0" borderId="0" xfId="0" applyFont="1" applyAlignment="1" applyProtection="1">
      <alignment vertical="center"/>
      <protection hidden="1"/>
    </xf>
    <xf numFmtId="0" fontId="1" fillId="0" borderId="0" xfId="0" applyFont="1" applyProtection="1">
      <protection hidden="1"/>
    </xf>
    <xf numFmtId="0" fontId="1" fillId="0" borderId="11" xfId="0" applyFont="1" applyBorder="1" applyProtection="1">
      <protection hidden="1"/>
    </xf>
    <xf numFmtId="42" fontId="1" fillId="74" borderId="30" xfId="0" applyNumberFormat="1" applyFont="1" applyFill="1" applyBorder="1" applyProtection="1">
      <protection hidden="1"/>
    </xf>
    <xf numFmtId="42" fontId="1" fillId="51" borderId="30" xfId="0" applyNumberFormat="1" applyFont="1" applyFill="1" applyBorder="1" applyProtection="1">
      <protection hidden="1"/>
    </xf>
    <xf numFmtId="42" fontId="1" fillId="64" borderId="30" xfId="0" applyNumberFormat="1" applyFont="1" applyFill="1" applyBorder="1" applyProtection="1">
      <protection hidden="1"/>
    </xf>
    <xf numFmtId="42" fontId="1" fillId="79" borderId="30" xfId="0" applyNumberFormat="1" applyFont="1" applyFill="1" applyBorder="1" applyProtection="1">
      <protection hidden="1"/>
    </xf>
    <xf numFmtId="42" fontId="1" fillId="16" borderId="30" xfId="0" applyNumberFormat="1" applyFont="1" applyFill="1" applyBorder="1" applyProtection="1">
      <protection hidden="1"/>
    </xf>
    <xf numFmtId="0" fontId="1" fillId="0" borderId="0" xfId="0" applyFont="1" applyAlignment="1" applyProtection="1">
      <alignment horizontal="center"/>
      <protection hidden="1"/>
    </xf>
    <xf numFmtId="0" fontId="1" fillId="0" borderId="1" xfId="0" applyFont="1" applyBorder="1" applyAlignment="1" applyProtection="1">
      <alignment horizontal="center"/>
      <protection hidden="1"/>
    </xf>
    <xf numFmtId="0" fontId="1" fillId="0" borderId="30" xfId="0" applyFont="1" applyBorder="1" applyAlignment="1" applyProtection="1">
      <alignment horizontal="center"/>
      <protection hidden="1"/>
    </xf>
    <xf numFmtId="3" fontId="1" fillId="0" borderId="0" xfId="0" applyNumberFormat="1" applyFont="1" applyAlignment="1" applyProtection="1">
      <alignment horizontal="center"/>
      <protection hidden="1"/>
    </xf>
    <xf numFmtId="4" fontId="1" fillId="0" borderId="0" xfId="0" applyNumberFormat="1" applyFont="1" applyAlignment="1" applyProtection="1">
      <alignment horizontal="center"/>
      <protection hidden="1"/>
    </xf>
    <xf numFmtId="43" fontId="1" fillId="0" borderId="5" xfId="5" applyFont="1" applyBorder="1" applyProtection="1">
      <protection hidden="1"/>
    </xf>
    <xf numFmtId="164" fontId="1" fillId="0" borderId="5" xfId="5" applyNumberFormat="1" applyFont="1" applyBorder="1" applyProtection="1">
      <protection hidden="1"/>
    </xf>
    <xf numFmtId="43" fontId="1" fillId="13" borderId="10" xfId="5" applyFont="1" applyFill="1" applyBorder="1" applyProtection="1">
      <protection hidden="1"/>
    </xf>
    <xf numFmtId="43" fontId="1" fillId="74" borderId="0" xfId="5" applyFont="1" applyFill="1" applyProtection="1">
      <protection hidden="1"/>
    </xf>
    <xf numFmtId="3" fontId="1" fillId="0" borderId="2" xfId="0" applyNumberFormat="1" applyFont="1" applyBorder="1" applyAlignment="1" applyProtection="1">
      <alignment horizontal="center"/>
      <protection hidden="1"/>
    </xf>
    <xf numFmtId="43" fontId="1" fillId="0" borderId="33" xfId="5" applyFont="1" applyBorder="1" applyProtection="1">
      <protection hidden="1"/>
    </xf>
    <xf numFmtId="164" fontId="1" fillId="0" borderId="33" xfId="5" applyNumberFormat="1" applyFont="1" applyBorder="1" applyProtection="1">
      <protection hidden="1"/>
    </xf>
    <xf numFmtId="43" fontId="1" fillId="0" borderId="0" xfId="5" applyFont="1" applyBorder="1" applyProtection="1">
      <protection hidden="1"/>
    </xf>
    <xf numFmtId="164" fontId="1" fillId="0" borderId="0" xfId="5" applyNumberFormat="1" applyFont="1" applyBorder="1" applyProtection="1">
      <protection hidden="1"/>
    </xf>
    <xf numFmtId="0" fontId="14" fillId="95" borderId="0" xfId="1" applyFont="1" applyFill="1" applyAlignment="1">
      <alignment horizontal="center" wrapText="1"/>
    </xf>
    <xf numFmtId="0" fontId="74" fillId="95" borderId="97" xfId="0" applyFont="1" applyFill="1" applyBorder="1" applyAlignment="1">
      <alignment horizontal="center" vertical="center" wrapText="1"/>
    </xf>
    <xf numFmtId="0" fontId="74" fillId="95" borderId="100" xfId="0" applyFont="1" applyFill="1" applyBorder="1" applyAlignment="1">
      <alignment horizontal="center" vertical="center" wrapText="1"/>
    </xf>
    <xf numFmtId="0" fontId="74" fillId="95" borderId="102" xfId="0" applyFont="1" applyFill="1" applyBorder="1" applyAlignment="1">
      <alignment horizontal="center" vertical="center" wrapText="1"/>
    </xf>
    <xf numFmtId="0" fontId="75" fillId="95" borderId="105" xfId="0" applyFont="1" applyFill="1" applyBorder="1" applyAlignment="1">
      <alignment horizontal="center" vertical="center" wrapText="1"/>
    </xf>
    <xf numFmtId="0" fontId="60" fillId="95" borderId="107" xfId="0" applyFont="1" applyFill="1" applyBorder="1" applyAlignment="1">
      <alignment horizontal="center" vertical="center" wrapText="1"/>
    </xf>
    <xf numFmtId="0" fontId="60" fillId="95" borderId="109" xfId="0" applyFont="1" applyFill="1" applyBorder="1" applyAlignment="1">
      <alignment horizontal="center" vertical="center" wrapText="1"/>
    </xf>
    <xf numFmtId="0" fontId="75" fillId="78" borderId="105" xfId="0" applyFont="1" applyFill="1" applyBorder="1" applyAlignment="1">
      <alignment horizontal="center" vertical="center" wrapText="1"/>
    </xf>
    <xf numFmtId="0" fontId="60" fillId="78" borderId="107" xfId="0" applyFont="1" applyFill="1" applyBorder="1" applyAlignment="1">
      <alignment horizontal="center" vertical="center" wrapText="1"/>
    </xf>
    <xf numFmtId="0" fontId="60" fillId="78" borderId="109" xfId="0" applyFont="1" applyFill="1" applyBorder="1" applyAlignment="1">
      <alignment horizontal="center" vertical="center" wrapText="1"/>
    </xf>
    <xf numFmtId="0" fontId="14" fillId="71" borderId="0" xfId="1" applyFont="1" applyFill="1" applyAlignment="1">
      <alignment horizontal="center" wrapText="1"/>
    </xf>
    <xf numFmtId="0" fontId="74" fillId="13" borderId="97" xfId="0" applyFont="1" applyFill="1" applyBorder="1" applyAlignment="1">
      <alignment horizontal="center" vertical="center" wrapText="1"/>
    </xf>
    <xf numFmtId="0" fontId="74" fillId="13" borderId="100" xfId="0" applyFont="1" applyFill="1" applyBorder="1" applyAlignment="1">
      <alignment horizontal="center" vertical="center" wrapText="1"/>
    </xf>
    <xf numFmtId="0" fontId="74" fillId="13" borderId="102" xfId="0" applyFont="1" applyFill="1" applyBorder="1" applyAlignment="1">
      <alignment horizontal="center" vertical="center" wrapText="1"/>
    </xf>
    <xf numFmtId="0" fontId="75" fillId="44" borderId="105" xfId="0" applyFont="1" applyFill="1" applyBorder="1" applyAlignment="1">
      <alignment horizontal="center" vertical="center" wrapText="1"/>
    </xf>
    <xf numFmtId="0" fontId="60" fillId="44" borderId="107" xfId="0" applyFont="1" applyFill="1" applyBorder="1" applyAlignment="1">
      <alignment horizontal="center" vertical="center" wrapText="1"/>
    </xf>
    <xf numFmtId="0" fontId="60" fillId="44" borderId="109" xfId="0" applyFont="1" applyFill="1" applyBorder="1" applyAlignment="1">
      <alignment horizontal="center" vertical="center" wrapText="1"/>
    </xf>
    <xf numFmtId="0" fontId="22" fillId="0" borderId="0" xfId="0" applyFont="1" applyAlignment="1">
      <alignment horizontal="center" vertical="center" wrapText="1"/>
    </xf>
    <xf numFmtId="0" fontId="67" fillId="0" borderId="0" xfId="0" applyFont="1" applyAlignment="1">
      <alignment horizontal="center" vertical="center" wrapText="1"/>
    </xf>
    <xf numFmtId="0" fontId="71" fillId="0" borderId="0" xfId="0" applyFont="1" applyAlignment="1">
      <alignment horizontal="center" vertical="center" wrapText="1"/>
    </xf>
    <xf numFmtId="0" fontId="14" fillId="86" borderId="0" xfId="1" applyFont="1" applyFill="1" applyAlignment="1">
      <alignment horizontal="center" wrapText="1"/>
    </xf>
    <xf numFmtId="0" fontId="5" fillId="0" borderId="30" xfId="1" applyFont="1" applyBorder="1" applyAlignment="1">
      <alignment horizontal="center"/>
    </xf>
    <xf numFmtId="0" fontId="5" fillId="0" borderId="11" xfId="1" applyFont="1" applyBorder="1" applyAlignment="1">
      <alignment horizontal="center"/>
    </xf>
    <xf numFmtId="0" fontId="14" fillId="44" borderId="0" xfId="1" applyFont="1" applyFill="1" applyAlignment="1">
      <alignment horizontal="center" wrapText="1"/>
    </xf>
    <xf numFmtId="0" fontId="17" fillId="0" borderId="0" xfId="0" applyFont="1" applyAlignment="1">
      <alignment horizontal="center" vertical="center" wrapText="1"/>
    </xf>
    <xf numFmtId="0" fontId="5" fillId="5" borderId="0" xfId="1" applyFont="1" applyFill="1" applyAlignment="1">
      <alignment horizontal="center" wrapText="1"/>
    </xf>
    <xf numFmtId="0" fontId="14" fillId="73" borderId="0" xfId="0" applyFont="1" applyFill="1" applyAlignment="1">
      <alignment horizontal="center" wrapText="1"/>
    </xf>
    <xf numFmtId="0" fontId="14" fillId="73" borderId="5" xfId="0" applyFont="1" applyFill="1" applyBorder="1" applyAlignment="1">
      <alignment horizontal="center" wrapText="1"/>
    </xf>
    <xf numFmtId="0" fontId="5" fillId="0" borderId="40" xfId="1" applyFont="1" applyBorder="1" applyAlignment="1">
      <alignment horizontal="right" vertical="center"/>
    </xf>
    <xf numFmtId="1" fontId="4" fillId="31" borderId="8" xfId="5" applyNumberFormat="1" applyFont="1" applyFill="1" applyBorder="1" applyAlignment="1" applyProtection="1">
      <alignment horizontal="center"/>
      <protection locked="0"/>
    </xf>
    <xf numFmtId="1" fontId="4" fillId="31" borderId="2" xfId="5" applyNumberFormat="1" applyFont="1" applyFill="1" applyBorder="1" applyAlignment="1" applyProtection="1">
      <alignment horizontal="center"/>
      <protection locked="0"/>
    </xf>
    <xf numFmtId="1" fontId="16" fillId="31" borderId="8" xfId="5" applyNumberFormat="1" applyFont="1" applyFill="1" applyBorder="1" applyAlignment="1" applyProtection="1">
      <alignment horizontal="center"/>
      <protection locked="0"/>
    </xf>
    <xf numFmtId="1" fontId="16" fillId="31" borderId="0" xfId="5" applyNumberFormat="1" applyFont="1" applyFill="1" applyBorder="1" applyAlignment="1" applyProtection="1">
      <alignment horizontal="center"/>
      <protection locked="0"/>
    </xf>
    <xf numFmtId="1" fontId="4" fillId="31" borderId="0" xfId="5" applyNumberFormat="1" applyFont="1" applyFill="1" applyBorder="1" applyAlignment="1" applyProtection="1">
      <alignment horizontal="center"/>
      <protection locked="0"/>
    </xf>
    <xf numFmtId="0" fontId="56" fillId="0" borderId="2" xfId="0" applyFont="1" applyBorder="1" applyAlignment="1">
      <alignment horizontal="center"/>
    </xf>
    <xf numFmtId="0" fontId="65" fillId="13" borderId="0" xfId="0" applyFont="1" applyFill="1" applyAlignment="1">
      <alignment horizontal="center"/>
    </xf>
    <xf numFmtId="0" fontId="5" fillId="14" borderId="8" xfId="0" applyFont="1" applyFill="1" applyBorder="1" applyAlignment="1" applyProtection="1">
      <alignment horizontal="left" vertical="center"/>
      <protection locked="0"/>
    </xf>
    <xf numFmtId="0" fontId="5" fillId="14" borderId="2" xfId="0" applyFont="1" applyFill="1" applyBorder="1" applyAlignment="1" applyProtection="1">
      <alignment horizontal="left" vertical="center"/>
      <protection locked="0"/>
    </xf>
    <xf numFmtId="0" fontId="36" fillId="13" borderId="12" xfId="0" applyFont="1" applyFill="1" applyBorder="1" applyAlignment="1">
      <alignment horizontal="center" vertical="top"/>
    </xf>
    <xf numFmtId="0" fontId="36" fillId="13" borderId="134" xfId="0" applyFont="1" applyFill="1" applyBorder="1" applyAlignment="1">
      <alignment horizontal="center" vertical="top"/>
    </xf>
    <xf numFmtId="0" fontId="36" fillId="13" borderId="21" xfId="0" applyFont="1" applyFill="1" applyBorder="1" applyAlignment="1">
      <alignment horizontal="center" vertical="top"/>
    </xf>
    <xf numFmtId="0" fontId="59" fillId="16" borderId="12" xfId="0" applyFont="1" applyFill="1" applyBorder="1" applyAlignment="1">
      <alignment horizontal="center" vertical="top"/>
    </xf>
    <xf numFmtId="0" fontId="59" fillId="16" borderId="134" xfId="0" applyFont="1" applyFill="1" applyBorder="1" applyAlignment="1">
      <alignment horizontal="center" vertical="top"/>
    </xf>
    <xf numFmtId="0" fontId="59" fillId="16" borderId="21" xfId="0" applyFont="1" applyFill="1" applyBorder="1" applyAlignment="1">
      <alignment horizontal="center" vertical="top"/>
    </xf>
    <xf numFmtId="0" fontId="124" fillId="21" borderId="0" xfId="0" applyFont="1" applyFill="1" applyAlignment="1" applyProtection="1">
      <alignment horizontal="center"/>
      <protection hidden="1"/>
    </xf>
    <xf numFmtId="0" fontId="124" fillId="21" borderId="44" xfId="0" applyFont="1" applyFill="1" applyBorder="1" applyAlignment="1" applyProtection="1">
      <alignment horizontal="center"/>
      <protection hidden="1"/>
    </xf>
    <xf numFmtId="0" fontId="113" fillId="15" borderId="0" xfId="0" applyFont="1" applyFill="1" applyAlignment="1" applyProtection="1">
      <alignment horizontal="center"/>
      <protection locked="0" hidden="1"/>
    </xf>
    <xf numFmtId="0" fontId="113" fillId="0" borderId="0" xfId="0" applyFont="1" applyAlignment="1" applyProtection="1">
      <alignment horizontal="center"/>
      <protection locked="0" hidden="1"/>
    </xf>
    <xf numFmtId="42" fontId="122" fillId="15" borderId="0" xfId="0" applyNumberFormat="1" applyFont="1" applyFill="1" applyAlignment="1" applyProtection="1">
      <alignment horizontal="center" vertical="center"/>
      <protection locked="0" hidden="1"/>
    </xf>
    <xf numFmtId="167" fontId="113" fillId="0" borderId="18" xfId="0" applyNumberFormat="1" applyFont="1" applyBorder="1" applyAlignment="1" applyProtection="1">
      <alignment horizontal="center"/>
      <protection locked="0" hidden="1"/>
    </xf>
    <xf numFmtId="167" fontId="113" fillId="0" borderId="19" xfId="0" applyNumberFormat="1" applyFont="1" applyBorder="1" applyAlignment="1" applyProtection="1">
      <alignment horizontal="center"/>
      <protection locked="0" hidden="1"/>
    </xf>
    <xf numFmtId="3" fontId="113" fillId="0" borderId="0" xfId="0" applyNumberFormat="1" applyFont="1" applyAlignment="1" applyProtection="1">
      <alignment horizontal="center"/>
      <protection locked="0" hidden="1"/>
    </xf>
    <xf numFmtId="3" fontId="122" fillId="0" borderId="0" xfId="0" applyNumberFormat="1" applyFont="1" applyAlignment="1" applyProtection="1">
      <alignment horizontal="center"/>
      <protection locked="0" hidden="1"/>
    </xf>
    <xf numFmtId="167" fontId="113" fillId="0" borderId="0" xfId="0" applyNumberFormat="1" applyFont="1" applyAlignment="1" applyProtection="1">
      <alignment horizontal="center"/>
      <protection locked="0" hidden="1"/>
    </xf>
    <xf numFmtId="166" fontId="110" fillId="0" borderId="0" xfId="0" applyNumberFormat="1" applyFont="1" applyAlignment="1" applyProtection="1">
      <alignment horizontal="center"/>
      <protection hidden="1"/>
    </xf>
    <xf numFmtId="0" fontId="114" fillId="0" borderId="50" xfId="0" applyFont="1" applyBorder="1" applyAlignment="1" applyProtection="1">
      <alignment horizontal="left"/>
      <protection locked="0" hidden="1"/>
    </xf>
    <xf numFmtId="0" fontId="114" fillId="0" borderId="20" xfId="0" applyFont="1" applyBorder="1" applyAlignment="1" applyProtection="1">
      <alignment horizontal="left"/>
      <protection locked="0" hidden="1"/>
    </xf>
    <xf numFmtId="0" fontId="114" fillId="0" borderId="19" xfId="0" applyFont="1" applyBorder="1" applyAlignment="1" applyProtection="1">
      <alignment horizontal="left"/>
      <protection locked="0" hidden="1"/>
    </xf>
    <xf numFmtId="0" fontId="114" fillId="0" borderId="18" xfId="0" applyFont="1" applyBorder="1" applyAlignment="1" applyProtection="1">
      <alignment horizontal="center"/>
      <protection locked="0" hidden="1"/>
    </xf>
    <xf numFmtId="0" fontId="114" fillId="0" borderId="19" xfId="0" applyFont="1" applyBorder="1" applyAlignment="1" applyProtection="1">
      <alignment horizontal="center"/>
      <protection locked="0" hidden="1"/>
    </xf>
    <xf numFmtId="167" fontId="122" fillId="0" borderId="0" xfId="0" applyNumberFormat="1" applyFont="1" applyAlignment="1" applyProtection="1">
      <alignment horizontal="center" vertical="center"/>
      <protection locked="0" hidden="1"/>
    </xf>
    <xf numFmtId="0" fontId="110" fillId="0" borderId="0" xfId="0" applyFont="1" applyAlignment="1" applyProtection="1">
      <alignment horizontal="left"/>
      <protection hidden="1"/>
    </xf>
    <xf numFmtId="6" fontId="116" fillId="0" borderId="0" xfId="0" applyNumberFormat="1" applyFont="1" applyAlignment="1" applyProtection="1">
      <alignment horizontal="center"/>
      <protection locked="0" hidden="1"/>
    </xf>
    <xf numFmtId="0" fontId="113" fillId="0" borderId="24" xfId="0" applyFont="1" applyBorder="1" applyAlignment="1" applyProtection="1">
      <alignment horizontal="center" vertical="center"/>
      <protection hidden="1"/>
    </xf>
    <xf numFmtId="167" fontId="122" fillId="13" borderId="0" xfId="0" applyNumberFormat="1" applyFont="1" applyFill="1" applyAlignment="1" applyProtection="1">
      <alignment horizontal="center" vertical="center"/>
      <protection locked="0" hidden="1"/>
    </xf>
    <xf numFmtId="5" fontId="122" fillId="15" borderId="0" xfId="0" applyNumberFormat="1" applyFont="1" applyFill="1" applyAlignment="1" applyProtection="1">
      <alignment horizontal="center" vertical="center"/>
      <protection locked="0" hidden="1"/>
    </xf>
    <xf numFmtId="0" fontId="122" fillId="0" borderId="0" xfId="0" applyFont="1" applyAlignment="1" applyProtection="1">
      <alignment horizontal="justify" wrapText="1"/>
      <protection hidden="1"/>
    </xf>
    <xf numFmtId="0" fontId="114" fillId="0" borderId="0" xfId="0" applyFont="1" applyAlignment="1" applyProtection="1">
      <alignment horizontal="justify" wrapText="1"/>
      <protection hidden="1"/>
    </xf>
    <xf numFmtId="0" fontId="114" fillId="0" borderId="0" xfId="0" applyFont="1" applyAlignment="1" applyProtection="1">
      <alignment horizontal="left" wrapText="1"/>
      <protection hidden="1"/>
    </xf>
    <xf numFmtId="0" fontId="114" fillId="0" borderId="0" xfId="0" applyFont="1" applyAlignment="1" applyProtection="1">
      <alignment horizontal="left"/>
      <protection hidden="1"/>
    </xf>
    <xf numFmtId="10" fontId="122" fillId="15" borderId="0" xfId="6" applyNumberFormat="1" applyFont="1" applyFill="1" applyBorder="1" applyAlignment="1" applyProtection="1">
      <alignment horizontal="center" vertical="center"/>
      <protection locked="0" hidden="1"/>
    </xf>
    <xf numFmtId="42" fontId="122" fillId="0" borderId="18" xfId="0" applyNumberFormat="1" applyFont="1" applyBorder="1" applyAlignment="1" applyProtection="1">
      <alignment horizontal="center" vertical="center"/>
      <protection locked="0" hidden="1"/>
    </xf>
    <xf numFmtId="42" fontId="122" fillId="0" borderId="19" xfId="0" applyNumberFormat="1" applyFont="1" applyBorder="1" applyAlignment="1" applyProtection="1">
      <alignment horizontal="center" vertical="center"/>
      <protection locked="0" hidden="1"/>
    </xf>
    <xf numFmtId="0" fontId="116" fillId="0" borderId="0" xfId="0" applyFont="1" applyAlignment="1" applyProtection="1">
      <alignment horizontal="center" wrapText="1"/>
      <protection hidden="1"/>
    </xf>
    <xf numFmtId="4" fontId="123" fillId="98" borderId="0" xfId="0" applyNumberFormat="1" applyFont="1" applyFill="1" applyAlignment="1" applyProtection="1">
      <alignment horizontal="center" vertical="center"/>
      <protection hidden="1"/>
    </xf>
    <xf numFmtId="0" fontId="122" fillId="0" borderId="0" xfId="0" applyFont="1" applyAlignment="1" applyProtection="1">
      <alignment horizontal="center" wrapText="1"/>
      <protection hidden="1"/>
    </xf>
    <xf numFmtId="0" fontId="113" fillId="0" borderId="18" xfId="0" applyFont="1" applyBorder="1" applyAlignment="1" applyProtection="1">
      <alignment horizontal="center"/>
      <protection locked="0" hidden="1"/>
    </xf>
    <xf numFmtId="0" fontId="113" fillId="0" borderId="19" xfId="0" applyFont="1" applyBorder="1" applyAlignment="1" applyProtection="1">
      <alignment horizontal="center"/>
      <protection locked="0" hidden="1"/>
    </xf>
    <xf numFmtId="0" fontId="110" fillId="0" borderId="0" xfId="0" applyFont="1" applyAlignment="1" applyProtection="1">
      <alignment horizontal="left" wrapText="1"/>
      <protection hidden="1"/>
    </xf>
    <xf numFmtId="0" fontId="113" fillId="0" borderId="0" xfId="0" applyFont="1" applyAlignment="1" applyProtection="1">
      <alignment horizontal="left" wrapText="1"/>
      <protection hidden="1"/>
    </xf>
    <xf numFmtId="0" fontId="144" fillId="0" borderId="0" xfId="0" applyFont="1" applyAlignment="1" applyProtection="1">
      <alignment horizontal="center" vertical="center"/>
      <protection hidden="1"/>
    </xf>
    <xf numFmtId="0" fontId="110" fillId="0" borderId="2" xfId="0" applyFont="1" applyBorder="1" applyAlignment="1" applyProtection="1">
      <alignment horizontal="center"/>
      <protection hidden="1"/>
    </xf>
    <xf numFmtId="0" fontId="114" fillId="0" borderId="2" xfId="0" applyFont="1" applyBorder="1" applyAlignment="1" applyProtection="1">
      <alignment horizontal="center"/>
      <protection hidden="1"/>
    </xf>
    <xf numFmtId="0" fontId="114" fillId="0" borderId="15" xfId="0" applyFont="1" applyBorder="1" applyAlignment="1" applyProtection="1">
      <alignment horizontal="center"/>
      <protection hidden="1"/>
    </xf>
    <xf numFmtId="0" fontId="114" fillId="0" borderId="11" xfId="0" applyFont="1" applyBorder="1" applyAlignment="1" applyProtection="1">
      <alignment horizontal="center"/>
      <protection hidden="1"/>
    </xf>
    <xf numFmtId="0" fontId="113" fillId="0" borderId="142" xfId="0" applyFont="1" applyBorder="1" applyAlignment="1" applyProtection="1">
      <alignment horizontal="center"/>
      <protection locked="0" hidden="1"/>
    </xf>
    <xf numFmtId="0" fontId="113" fillId="0" borderId="86" xfId="0" applyFont="1" applyBorder="1" applyAlignment="1" applyProtection="1">
      <alignment horizontal="center"/>
      <protection locked="0" hidden="1"/>
    </xf>
    <xf numFmtId="0" fontId="110" fillId="0" borderId="142" xfId="0" applyFont="1" applyBorder="1" applyAlignment="1" applyProtection="1">
      <alignment horizontal="center"/>
      <protection locked="0" hidden="1"/>
    </xf>
    <xf numFmtId="0" fontId="110" fillId="0" borderId="86" xfId="0" applyFont="1" applyBorder="1" applyAlignment="1" applyProtection="1">
      <alignment horizontal="center"/>
      <protection locked="0" hidden="1"/>
    </xf>
    <xf numFmtId="6" fontId="122" fillId="0" borderId="0" xfId="0" applyNumberFormat="1" applyFont="1" applyAlignment="1" applyProtection="1">
      <alignment horizontal="center"/>
      <protection locked="0" hidden="1"/>
    </xf>
    <xf numFmtId="0" fontId="124" fillId="21" borderId="43" xfId="0" applyFont="1" applyFill="1" applyBorder="1" applyAlignment="1" applyProtection="1">
      <alignment horizontal="center"/>
      <protection hidden="1"/>
    </xf>
    <xf numFmtId="0" fontId="124" fillId="21" borderId="91" xfId="0" applyFont="1" applyFill="1" applyBorder="1" applyAlignment="1" applyProtection="1">
      <alignment horizontal="center"/>
      <protection hidden="1"/>
    </xf>
    <xf numFmtId="4" fontId="123" fillId="98" borderId="43" xfId="0" applyNumberFormat="1" applyFont="1" applyFill="1" applyBorder="1" applyAlignment="1" applyProtection="1">
      <alignment horizontal="center" vertical="center"/>
      <protection hidden="1"/>
    </xf>
    <xf numFmtId="4" fontId="123" fillId="98" borderId="91" xfId="0" applyNumberFormat="1" applyFont="1" applyFill="1" applyBorder="1" applyAlignment="1" applyProtection="1">
      <alignment horizontal="center" vertical="center"/>
      <protection hidden="1"/>
    </xf>
    <xf numFmtId="4" fontId="123" fillId="98" borderId="41" xfId="0" applyNumberFormat="1" applyFont="1" applyFill="1" applyBorder="1" applyAlignment="1" applyProtection="1">
      <alignment horizontal="center" vertical="center"/>
      <protection hidden="1"/>
    </xf>
    <xf numFmtId="167" fontId="114" fillId="0" borderId="0" xfId="0" applyNumberFormat="1" applyFont="1" applyAlignment="1" applyProtection="1">
      <alignment horizontal="center" vertical="center"/>
      <protection locked="0" hidden="1"/>
    </xf>
    <xf numFmtId="0" fontId="113" fillId="0" borderId="0" xfId="0" applyFont="1" applyAlignment="1" applyProtection="1">
      <alignment horizontal="center"/>
      <protection hidden="1"/>
    </xf>
    <xf numFmtId="9" fontId="121" fillId="0" borderId="0" xfId="6" applyFont="1" applyBorder="1" applyAlignment="1" applyProtection="1">
      <alignment horizontal="center"/>
      <protection hidden="1"/>
    </xf>
    <xf numFmtId="174" fontId="113" fillId="0" borderId="50" xfId="0" applyNumberFormat="1" applyFont="1" applyBorder="1" applyAlignment="1" applyProtection="1">
      <alignment horizontal="center"/>
      <protection locked="0" hidden="1"/>
    </xf>
    <xf numFmtId="174" fontId="113" fillId="0" borderId="19" xfId="0" applyNumberFormat="1" applyFont="1" applyBorder="1" applyAlignment="1" applyProtection="1">
      <alignment horizontal="center"/>
      <protection locked="0" hidden="1"/>
    </xf>
    <xf numFmtId="0" fontId="122" fillId="0" borderId="0" xfId="0" applyFont="1" applyAlignment="1" applyProtection="1">
      <alignment horizontal="left" wrapText="1"/>
      <protection hidden="1"/>
    </xf>
    <xf numFmtId="0" fontId="110" fillId="0" borderId="50" xfId="0" applyFont="1" applyBorder="1" applyAlignment="1" applyProtection="1">
      <alignment horizontal="center"/>
      <protection locked="0" hidden="1"/>
    </xf>
    <xf numFmtId="0" fontId="110" fillId="0" borderId="19" xfId="0" applyFont="1" applyBorder="1" applyAlignment="1" applyProtection="1">
      <alignment horizontal="center"/>
      <protection locked="0" hidden="1"/>
    </xf>
    <xf numFmtId="9" fontId="110" fillId="0" borderId="50" xfId="0" applyNumberFormat="1" applyFont="1" applyBorder="1" applyAlignment="1" applyProtection="1">
      <alignment horizontal="center"/>
      <protection locked="0" hidden="1"/>
    </xf>
    <xf numFmtId="0" fontId="110" fillId="0" borderId="2" xfId="0" applyFont="1" applyBorder="1" applyAlignment="1" applyProtection="1">
      <alignment horizontal="left"/>
      <protection locked="0" hidden="1"/>
    </xf>
    <xf numFmtId="3" fontId="122" fillId="0" borderId="0" xfId="0" applyNumberFormat="1" applyFont="1" applyAlignment="1" applyProtection="1">
      <alignment horizontal="center"/>
      <protection hidden="1"/>
    </xf>
    <xf numFmtId="3" fontId="122" fillId="0" borderId="42" xfId="0" applyNumberFormat="1" applyFont="1" applyBorder="1" applyAlignment="1" applyProtection="1">
      <alignment horizontal="center"/>
      <protection hidden="1"/>
    </xf>
    <xf numFmtId="0" fontId="123" fillId="50" borderId="65" xfId="0" applyFont="1" applyFill="1" applyBorder="1" applyAlignment="1" applyProtection="1">
      <alignment horizontal="center" vertical="center"/>
      <protection hidden="1"/>
    </xf>
    <xf numFmtId="0" fontId="123" fillId="50" borderId="66" xfId="0" applyFont="1" applyFill="1" applyBorder="1" applyAlignment="1" applyProtection="1">
      <alignment horizontal="center" vertical="center"/>
      <protection hidden="1"/>
    </xf>
    <xf numFmtId="0" fontId="123" fillId="50" borderId="67" xfId="0" applyFont="1" applyFill="1" applyBorder="1" applyAlignment="1" applyProtection="1">
      <alignment horizontal="center" vertical="center"/>
      <protection hidden="1"/>
    </xf>
    <xf numFmtId="0" fontId="123" fillId="98" borderId="65" xfId="0" applyFont="1" applyFill="1" applyBorder="1" applyAlignment="1" applyProtection="1">
      <alignment horizontal="center"/>
      <protection hidden="1"/>
    </xf>
    <xf numFmtId="0" fontId="123" fillId="98" borderId="66" xfId="0" applyFont="1" applyFill="1" applyBorder="1" applyAlignment="1" applyProtection="1">
      <alignment horizontal="center"/>
      <protection hidden="1"/>
    </xf>
    <xf numFmtId="0" fontId="123" fillId="98" borderId="67" xfId="0" applyFont="1" applyFill="1" applyBorder="1" applyAlignment="1" applyProtection="1">
      <alignment horizontal="center"/>
      <protection hidden="1"/>
    </xf>
    <xf numFmtId="0" fontId="116" fillId="0" borderId="68" xfId="0" applyFont="1" applyBorder="1" applyAlignment="1" applyProtection="1">
      <alignment horizontal="right" vertical="center" wrapText="1"/>
      <protection hidden="1"/>
    </xf>
    <xf numFmtId="0" fontId="116" fillId="0" borderId="69" xfId="0" applyFont="1" applyBorder="1" applyAlignment="1" applyProtection="1">
      <alignment horizontal="right" vertical="center"/>
      <protection hidden="1"/>
    </xf>
    <xf numFmtId="0" fontId="116" fillId="0" borderId="69" xfId="0" applyFont="1" applyBorder="1" applyAlignment="1">
      <alignment horizontal="center" vertical="center"/>
    </xf>
    <xf numFmtId="0" fontId="116" fillId="0" borderId="78" xfId="0" applyFont="1" applyBorder="1" applyAlignment="1">
      <alignment horizontal="center" vertical="center"/>
    </xf>
    <xf numFmtId="0" fontId="122" fillId="0" borderId="0" xfId="0" applyFont="1" applyAlignment="1" applyProtection="1">
      <alignment horizontal="center" vertical="center"/>
      <protection hidden="1"/>
    </xf>
    <xf numFmtId="0" fontId="122" fillId="0" borderId="42" xfId="0" applyFont="1" applyBorder="1" applyAlignment="1" applyProtection="1">
      <alignment horizontal="center" wrapText="1"/>
      <protection hidden="1"/>
    </xf>
    <xf numFmtId="10" fontId="114" fillId="0" borderId="0" xfId="0" applyNumberFormat="1" applyFont="1" applyAlignment="1" applyProtection="1">
      <alignment horizontal="center"/>
      <protection hidden="1"/>
    </xf>
    <xf numFmtId="0" fontId="114" fillId="0" borderId="42" xfId="0" applyFont="1" applyBorder="1" applyAlignment="1" applyProtection="1">
      <alignment horizontal="center"/>
      <protection hidden="1"/>
    </xf>
    <xf numFmtId="0" fontId="114" fillId="0" borderId="0" xfId="0" applyFont="1" applyAlignment="1" applyProtection="1">
      <alignment horizontal="center"/>
      <protection hidden="1"/>
    </xf>
    <xf numFmtId="0" fontId="114" fillId="0" borderId="0" xfId="0" quotePrefix="1" applyFont="1" applyAlignment="1" applyProtection="1">
      <alignment horizontal="center"/>
      <protection hidden="1"/>
    </xf>
    <xf numFmtId="3" fontId="114" fillId="0" borderId="0" xfId="0" applyNumberFormat="1" applyFont="1" applyAlignment="1" applyProtection="1">
      <alignment horizontal="center"/>
      <protection hidden="1"/>
    </xf>
    <xf numFmtId="3" fontId="114" fillId="0" borderId="42" xfId="0" applyNumberFormat="1" applyFont="1" applyBorder="1" applyAlignment="1" applyProtection="1">
      <alignment horizontal="center"/>
      <protection hidden="1"/>
    </xf>
    <xf numFmtId="3" fontId="158" fillId="0" borderId="0" xfId="0" applyNumberFormat="1" applyFont="1" applyAlignment="1" applyProtection="1">
      <alignment horizontal="center"/>
      <protection hidden="1"/>
    </xf>
    <xf numFmtId="3" fontId="158" fillId="0" borderId="42" xfId="0" applyNumberFormat="1" applyFont="1" applyBorder="1" applyAlignment="1" applyProtection="1">
      <alignment horizontal="center"/>
      <protection hidden="1"/>
    </xf>
    <xf numFmtId="3" fontId="114" fillId="0" borderId="57" xfId="0" applyNumberFormat="1" applyFont="1" applyBorder="1" applyAlignment="1" applyProtection="1">
      <alignment horizontal="left" vertical="center" wrapText="1"/>
      <protection hidden="1"/>
    </xf>
    <xf numFmtId="3" fontId="114" fillId="0" borderId="0" xfId="0" applyNumberFormat="1" applyFont="1" applyAlignment="1" applyProtection="1">
      <alignment horizontal="left" vertical="center" wrapText="1"/>
      <protection hidden="1"/>
    </xf>
    <xf numFmtId="3" fontId="116" fillId="0" borderId="0" xfId="0" applyNumberFormat="1" applyFont="1" applyAlignment="1" applyProtection="1">
      <alignment horizontal="center" vertical="center"/>
      <protection hidden="1"/>
    </xf>
    <xf numFmtId="0" fontId="116" fillId="0" borderId="0" xfId="0" applyFont="1" applyAlignment="1" applyProtection="1">
      <alignment horizontal="center" vertical="center"/>
      <protection hidden="1"/>
    </xf>
    <xf numFmtId="0" fontId="116" fillId="0" borderId="42" xfId="0" applyFont="1" applyBorder="1" applyAlignment="1" applyProtection="1">
      <alignment horizontal="center" vertical="center"/>
      <protection hidden="1"/>
    </xf>
    <xf numFmtId="0" fontId="116" fillId="55" borderId="44" xfId="0" applyFont="1" applyFill="1" applyBorder="1" applyAlignment="1">
      <alignment horizontal="center" vertical="center" wrapText="1"/>
    </xf>
    <xf numFmtId="0" fontId="116" fillId="55" borderId="0" xfId="0" applyFont="1" applyFill="1" applyAlignment="1">
      <alignment horizontal="center" vertical="center" wrapText="1"/>
    </xf>
    <xf numFmtId="0" fontId="116" fillId="55" borderId="42" xfId="0" applyFont="1" applyFill="1" applyBorder="1" applyAlignment="1">
      <alignment horizontal="center" vertical="center" wrapText="1"/>
    </xf>
    <xf numFmtId="0" fontId="159" fillId="0" borderId="74" xfId="0" applyFont="1" applyBorder="1" applyAlignment="1">
      <alignment horizontal="left" vertical="top" wrapText="1"/>
    </xf>
    <xf numFmtId="0" fontId="159" fillId="0" borderId="75" xfId="0" applyFont="1" applyBorder="1" applyAlignment="1">
      <alignment horizontal="left" vertical="top" wrapText="1"/>
    </xf>
    <xf numFmtId="0" fontId="148" fillId="55" borderId="62" xfId="0" applyFont="1" applyFill="1" applyBorder="1" applyAlignment="1">
      <alignment horizontal="left" vertical="center" wrapText="1"/>
    </xf>
    <xf numFmtId="0" fontId="148" fillId="55" borderId="63" xfId="0" applyFont="1" applyFill="1" applyBorder="1" applyAlignment="1">
      <alignment horizontal="left" vertical="center" wrapText="1"/>
    </xf>
    <xf numFmtId="0" fontId="148" fillId="55" borderId="64" xfId="0" applyFont="1" applyFill="1" applyBorder="1" applyAlignment="1">
      <alignment horizontal="left" vertical="center" wrapText="1"/>
    </xf>
    <xf numFmtId="0" fontId="114" fillId="0" borderId="0" xfId="0" applyFont="1" applyAlignment="1" applyProtection="1">
      <alignment horizontal="left" vertical="top"/>
      <protection hidden="1"/>
    </xf>
    <xf numFmtId="0" fontId="116" fillId="0" borderId="91" xfId="0" applyFont="1" applyBorder="1" applyAlignment="1">
      <alignment horizontal="left" vertical="center"/>
    </xf>
    <xf numFmtId="0" fontId="114" fillId="0" borderId="0" xfId="0" applyFont="1" applyAlignment="1" applyProtection="1">
      <alignment vertical="top" wrapText="1"/>
      <protection hidden="1"/>
    </xf>
    <xf numFmtId="0" fontId="123" fillId="25" borderId="52" xfId="0" applyFont="1" applyFill="1" applyBorder="1" applyAlignment="1" applyProtection="1">
      <alignment horizontal="left"/>
      <protection hidden="1"/>
    </xf>
    <xf numFmtId="0" fontId="123" fillId="25" borderId="73" xfId="0" applyFont="1" applyFill="1" applyBorder="1" applyAlignment="1" applyProtection="1">
      <alignment horizontal="left"/>
      <protection hidden="1"/>
    </xf>
    <xf numFmtId="10" fontId="116" fillId="0" borderId="0" xfId="6" applyNumberFormat="1" applyFont="1" applyFill="1" applyBorder="1" applyAlignment="1" applyProtection="1">
      <alignment horizontal="center" vertical="center"/>
      <protection hidden="1"/>
    </xf>
    <xf numFmtId="0" fontId="148" fillId="0" borderId="0" xfId="0" applyFont="1" applyAlignment="1" applyProtection="1">
      <alignment horizontal="center" vertical="center" wrapText="1"/>
      <protection hidden="1"/>
    </xf>
    <xf numFmtId="0" fontId="123" fillId="25" borderId="52" xfId="0" applyFont="1" applyFill="1" applyBorder="1" applyAlignment="1" applyProtection="1">
      <alignment horizontal="left" wrapText="1"/>
      <protection hidden="1"/>
    </xf>
    <xf numFmtId="0" fontId="123" fillId="25" borderId="51" xfId="0" applyFont="1" applyFill="1" applyBorder="1" applyAlignment="1" applyProtection="1">
      <alignment horizontal="left" wrapText="1"/>
      <protection hidden="1"/>
    </xf>
    <xf numFmtId="0" fontId="158" fillId="0" borderId="70" xfId="0" applyFont="1" applyBorder="1" applyAlignment="1" applyProtection="1">
      <alignment horizontal="center" vertical="center" wrapText="1"/>
      <protection hidden="1"/>
    </xf>
    <xf numFmtId="0" fontId="116" fillId="0" borderId="70" xfId="0" applyFont="1" applyBorder="1" applyAlignment="1" applyProtection="1">
      <alignment horizontal="center" vertical="center"/>
      <protection hidden="1"/>
    </xf>
    <xf numFmtId="174" fontId="152" fillId="0" borderId="0" xfId="0" applyNumberFormat="1" applyFont="1" applyAlignment="1" applyProtection="1">
      <alignment horizontal="center"/>
      <protection hidden="1"/>
    </xf>
    <xf numFmtId="174" fontId="152" fillId="0" borderId="5" xfId="0" applyNumberFormat="1" applyFont="1" applyBorder="1" applyAlignment="1" applyProtection="1">
      <alignment horizontal="center"/>
      <protection hidden="1"/>
    </xf>
    <xf numFmtId="174" fontId="152" fillId="0" borderId="135" xfId="0" applyNumberFormat="1" applyFont="1" applyBorder="1" applyAlignment="1" applyProtection="1">
      <alignment horizontal="center" vertical="center"/>
      <protection hidden="1"/>
    </xf>
    <xf numFmtId="174" fontId="152" fillId="0" borderId="5" xfId="0" applyNumberFormat="1" applyFont="1" applyBorder="1" applyAlignment="1" applyProtection="1">
      <alignment horizontal="center" vertical="center"/>
      <protection hidden="1"/>
    </xf>
    <xf numFmtId="0" fontId="116" fillId="0" borderId="50" xfId="0" applyFont="1" applyBorder="1" applyAlignment="1" applyProtection="1">
      <alignment horizontal="center"/>
      <protection locked="0" hidden="1"/>
    </xf>
    <xf numFmtId="0" fontId="116" fillId="0" borderId="19" xfId="0" applyFont="1" applyBorder="1" applyAlignment="1" applyProtection="1">
      <alignment horizontal="center"/>
      <protection locked="0" hidden="1"/>
    </xf>
    <xf numFmtId="0" fontId="122" fillId="0" borderId="0" xfId="0" applyFont="1" applyAlignment="1" applyProtection="1">
      <alignment horizontal="center"/>
      <protection hidden="1"/>
    </xf>
    <xf numFmtId="0" fontId="123" fillId="98" borderId="0" xfId="0" applyFont="1" applyFill="1" applyAlignment="1" applyProtection="1">
      <alignment horizontal="center" vertical="center"/>
      <protection hidden="1"/>
    </xf>
    <xf numFmtId="0" fontId="155" fillId="0" borderId="4" xfId="0" applyFont="1" applyBorder="1" applyAlignment="1" applyProtection="1">
      <alignment horizontal="right"/>
      <protection hidden="1"/>
    </xf>
    <xf numFmtId="0" fontId="155" fillId="0" borderId="0" xfId="0" applyFont="1" applyAlignment="1" applyProtection="1">
      <alignment horizontal="right"/>
      <protection hidden="1"/>
    </xf>
    <xf numFmtId="0" fontId="155" fillId="0" borderId="0" xfId="0" applyFont="1" applyAlignment="1" applyProtection="1">
      <alignment horizontal="center"/>
      <protection hidden="1"/>
    </xf>
    <xf numFmtId="0" fontId="124" fillId="0" borderId="0" xfId="0" applyFont="1" applyAlignment="1" applyProtection="1">
      <alignment horizontal="center"/>
      <protection hidden="1"/>
    </xf>
    <xf numFmtId="0" fontId="124" fillId="0" borderId="5" xfId="0" applyFont="1" applyBorder="1" applyAlignment="1" applyProtection="1">
      <alignment horizontal="center"/>
      <protection hidden="1"/>
    </xf>
    <xf numFmtId="174" fontId="152" fillId="0" borderId="0" xfId="0" applyNumberFormat="1" applyFont="1" applyAlignment="1" applyProtection="1">
      <alignment horizontal="center" vertical="center"/>
      <protection hidden="1"/>
    </xf>
    <xf numFmtId="0" fontId="122" fillId="86" borderId="0" xfId="0" applyFont="1" applyFill="1" applyAlignment="1">
      <alignment horizontal="center"/>
    </xf>
    <xf numFmtId="1" fontId="119" fillId="31" borderId="8" xfId="5" applyNumberFormat="1" applyFont="1" applyFill="1" applyBorder="1" applyAlignment="1" applyProtection="1">
      <alignment horizontal="center"/>
      <protection locked="0"/>
    </xf>
    <xf numFmtId="1" fontId="119" fillId="31" borderId="2" xfId="5" applyNumberFormat="1" applyFont="1" applyFill="1" applyBorder="1" applyAlignment="1" applyProtection="1">
      <alignment horizontal="center"/>
      <protection locked="0"/>
    </xf>
    <xf numFmtId="1" fontId="119" fillId="31" borderId="14" xfId="5" applyNumberFormat="1" applyFont="1" applyFill="1" applyBorder="1" applyAlignment="1" applyProtection="1">
      <alignment horizontal="center"/>
      <protection locked="0"/>
    </xf>
    <xf numFmtId="1" fontId="119" fillId="31" borderId="31" xfId="5" applyNumberFormat="1" applyFont="1" applyFill="1" applyBorder="1" applyAlignment="1" applyProtection="1">
      <alignment horizontal="center"/>
      <protection locked="0"/>
    </xf>
    <xf numFmtId="1" fontId="119" fillId="31" borderId="28" xfId="5" applyNumberFormat="1" applyFont="1" applyFill="1" applyBorder="1" applyAlignment="1" applyProtection="1">
      <alignment horizontal="center"/>
      <protection locked="0"/>
    </xf>
    <xf numFmtId="0" fontId="123" fillId="45" borderId="65" xfId="0" applyFont="1" applyFill="1" applyBorder="1" applyAlignment="1" applyProtection="1">
      <alignment horizontal="center" vertical="center"/>
      <protection hidden="1"/>
    </xf>
    <xf numFmtId="0" fontId="123" fillId="45" borderId="66" xfId="0" applyFont="1" applyFill="1" applyBorder="1" applyAlignment="1" applyProtection="1">
      <alignment horizontal="center" vertical="center"/>
      <protection hidden="1"/>
    </xf>
    <xf numFmtId="0" fontId="123" fillId="45" borderId="67" xfId="0" applyFont="1" applyFill="1" applyBorder="1" applyAlignment="1" applyProtection="1">
      <alignment horizontal="center" vertical="center"/>
      <protection hidden="1"/>
    </xf>
    <xf numFmtId="166" fontId="122" fillId="0" borderId="0" xfId="0" applyNumberFormat="1" applyFont="1" applyAlignment="1" applyProtection="1">
      <alignment horizontal="center" vertical="center"/>
      <protection hidden="1"/>
    </xf>
    <xf numFmtId="0" fontId="110" fillId="0" borderId="2" xfId="0" applyFont="1" applyBorder="1" applyAlignment="1" applyProtection="1">
      <alignment horizontal="center"/>
      <protection locked="0" hidden="1"/>
    </xf>
    <xf numFmtId="0" fontId="119" fillId="98" borderId="89" xfId="0" applyFont="1" applyFill="1" applyBorder="1" applyAlignment="1" applyProtection="1">
      <alignment horizontal="center"/>
      <protection hidden="1"/>
    </xf>
    <xf numFmtId="0" fontId="119" fillId="98" borderId="0" xfId="0" applyFont="1" applyFill="1" applyAlignment="1" applyProtection="1">
      <alignment horizontal="center"/>
      <protection hidden="1"/>
    </xf>
    <xf numFmtId="0" fontId="119" fillId="98" borderId="54" xfId="0" applyFont="1" applyFill="1" applyBorder="1" applyAlignment="1" applyProtection="1">
      <alignment horizontal="center"/>
      <protection hidden="1"/>
    </xf>
    <xf numFmtId="0" fontId="119" fillId="98" borderId="55" xfId="0" applyFont="1" applyFill="1" applyBorder="1" applyAlignment="1" applyProtection="1">
      <alignment horizontal="center"/>
      <protection hidden="1"/>
    </xf>
    <xf numFmtId="0" fontId="119" fillId="98" borderId="56" xfId="0" applyFont="1" applyFill="1" applyBorder="1" applyAlignment="1" applyProtection="1">
      <alignment horizontal="center"/>
      <protection hidden="1"/>
    </xf>
    <xf numFmtId="4" fontId="116" fillId="0" borderId="50" xfId="0" applyNumberFormat="1" applyFont="1" applyBorder="1" applyAlignment="1" applyProtection="1">
      <alignment horizontal="left"/>
      <protection locked="0" hidden="1"/>
    </xf>
    <xf numFmtId="4" fontId="116" fillId="0" borderId="19" xfId="0" applyNumberFormat="1" applyFont="1" applyBorder="1" applyAlignment="1" applyProtection="1">
      <alignment horizontal="left"/>
      <protection locked="0" hidden="1"/>
    </xf>
    <xf numFmtId="0" fontId="123" fillId="25" borderId="4" xfId="0" applyFont="1" applyFill="1" applyBorder="1" applyAlignment="1" applyProtection="1">
      <alignment horizontal="left" vertical="center" wrapText="1"/>
      <protection hidden="1"/>
    </xf>
    <xf numFmtId="0" fontId="123" fillId="25" borderId="0" xfId="0" applyFont="1" applyFill="1" applyAlignment="1" applyProtection="1">
      <alignment horizontal="left" vertical="center" wrapText="1"/>
      <protection hidden="1"/>
    </xf>
    <xf numFmtId="0" fontId="123" fillId="25" borderId="72" xfId="0" applyFont="1" applyFill="1" applyBorder="1" applyAlignment="1" applyProtection="1">
      <alignment horizontal="left" vertical="center" wrapText="1"/>
      <protection hidden="1"/>
    </xf>
    <xf numFmtId="0" fontId="123" fillId="25" borderId="71" xfId="0" applyFont="1" applyFill="1" applyBorder="1" applyAlignment="1" applyProtection="1">
      <alignment horizontal="left" vertical="center" wrapText="1"/>
      <protection hidden="1"/>
    </xf>
    <xf numFmtId="6" fontId="116" fillId="0" borderId="77" xfId="0" applyNumberFormat="1" applyFont="1" applyBorder="1" applyAlignment="1" applyProtection="1">
      <alignment horizontal="center"/>
      <protection locked="0" hidden="1"/>
    </xf>
    <xf numFmtId="0" fontId="122" fillId="0" borderId="14" xfId="0" applyFont="1" applyBorder="1" applyAlignment="1">
      <alignment horizontal="center"/>
    </xf>
    <xf numFmtId="0" fontId="122" fillId="0" borderId="31" xfId="0" applyFont="1" applyBorder="1" applyAlignment="1">
      <alignment horizontal="center"/>
    </xf>
    <xf numFmtId="0" fontId="122" fillId="0" borderId="28" xfId="0" applyFont="1" applyBorder="1" applyAlignment="1">
      <alignment horizontal="center"/>
    </xf>
    <xf numFmtId="0" fontId="126" fillId="0" borderId="0" xfId="0" applyFont="1" applyAlignment="1" applyProtection="1">
      <alignment horizontal="left" vertical="top" wrapText="1"/>
      <protection hidden="1"/>
    </xf>
    <xf numFmtId="0" fontId="122" fillId="0" borderId="30" xfId="1" applyFont="1" applyBorder="1" applyAlignment="1">
      <alignment horizontal="center"/>
    </xf>
    <xf numFmtId="0" fontId="122" fillId="0" borderId="11" xfId="1" applyFont="1" applyBorder="1" applyAlignment="1">
      <alignment horizontal="center"/>
    </xf>
    <xf numFmtId="0" fontId="0" fillId="0" borderId="0" xfId="0" applyAlignment="1">
      <alignment horizontal="center" wrapText="1"/>
    </xf>
    <xf numFmtId="0" fontId="3" fillId="0" borderId="15" xfId="0" applyFont="1" applyBorder="1" applyAlignment="1" applyProtection="1">
      <alignment horizontal="center"/>
      <protection hidden="1"/>
    </xf>
    <xf numFmtId="0" fontId="3" fillId="0" borderId="11" xfId="0" applyFont="1" applyBorder="1" applyAlignment="1" applyProtection="1">
      <alignment horizontal="center"/>
      <protection hidden="1"/>
    </xf>
    <xf numFmtId="166" fontId="0" fillId="0" borderId="0" xfId="0" applyNumberFormat="1" applyAlignment="1">
      <alignment horizontal="center"/>
    </xf>
    <xf numFmtId="0" fontId="34" fillId="20" borderId="0" xfId="0" applyFont="1" applyFill="1" applyAlignment="1">
      <alignment horizontal="center"/>
    </xf>
    <xf numFmtId="0" fontId="34" fillId="81" borderId="0" xfId="0" applyFont="1" applyFill="1" applyAlignment="1">
      <alignment horizontal="center"/>
    </xf>
    <xf numFmtId="0" fontId="34" fillId="97" borderId="0" xfId="0" applyFont="1" applyFill="1" applyAlignment="1">
      <alignment horizontal="center"/>
    </xf>
    <xf numFmtId="0" fontId="34" fillId="10" borderId="0" xfId="0" applyFont="1" applyFill="1" applyAlignment="1">
      <alignment horizontal="center"/>
    </xf>
    <xf numFmtId="0" fontId="34" fillId="64" borderId="0" xfId="0" applyFont="1" applyFill="1" applyAlignment="1">
      <alignment horizontal="center"/>
    </xf>
    <xf numFmtId="0" fontId="34" fillId="16" borderId="0" xfId="0" applyFont="1" applyFill="1" applyAlignment="1">
      <alignment horizontal="center"/>
    </xf>
    <xf numFmtId="0" fontId="34" fillId="70" borderId="0" xfId="0" applyFont="1" applyFill="1" applyAlignment="1">
      <alignment horizontal="center"/>
    </xf>
    <xf numFmtId="166" fontId="0" fillId="0" borderId="15" xfId="0" applyNumberFormat="1" applyBorder="1" applyAlignment="1">
      <alignment horizontal="center"/>
    </xf>
    <xf numFmtId="166" fontId="0" fillId="0" borderId="11" xfId="0" applyNumberFormat="1" applyBorder="1" applyAlignment="1">
      <alignment horizontal="center"/>
    </xf>
    <xf numFmtId="0" fontId="34" fillId="51" borderId="0" xfId="0" applyFont="1" applyFill="1" applyAlignment="1">
      <alignment horizontal="center"/>
    </xf>
    <xf numFmtId="0" fontId="34" fillId="23" borderId="0" xfId="0" applyFont="1" applyFill="1" applyAlignment="1">
      <alignment horizontal="center"/>
    </xf>
    <xf numFmtId="0" fontId="98" fillId="0" borderId="0" xfId="9" applyFont="1" applyAlignment="1">
      <alignment horizontal="justify" vertical="center" wrapText="1"/>
    </xf>
    <xf numFmtId="0" fontId="98" fillId="0" borderId="0" xfId="9" applyFont="1" applyAlignment="1">
      <alignment horizontal="justify" wrapText="1"/>
    </xf>
    <xf numFmtId="0" fontId="93" fillId="0" borderId="0" xfId="9" applyFont="1" applyAlignment="1">
      <alignment horizontal="center"/>
    </xf>
    <xf numFmtId="0" fontId="100" fillId="0" borderId="0" xfId="9" applyFont="1"/>
    <xf numFmtId="0" fontId="100" fillId="0" borderId="0" xfId="9" applyFont="1" applyAlignment="1">
      <alignment horizontal="justify" wrapText="1"/>
    </xf>
    <xf numFmtId="0" fontId="92" fillId="0" borderId="0" xfId="9" applyFont="1" applyAlignment="1">
      <alignment horizontal="left"/>
    </xf>
    <xf numFmtId="0" fontId="94" fillId="2" borderId="0" xfId="9" applyFont="1" applyFill="1" applyAlignment="1">
      <alignment horizontal="center"/>
    </xf>
    <xf numFmtId="0" fontId="100" fillId="0" borderId="0" xfId="9" applyFont="1" applyAlignment="1">
      <alignment horizontal="left"/>
    </xf>
    <xf numFmtId="0" fontId="98" fillId="0" borderId="0" xfId="9" applyFont="1" applyAlignment="1">
      <alignment horizontal="left" wrapText="1"/>
    </xf>
    <xf numFmtId="0" fontId="95" fillId="16" borderId="0" xfId="9" applyFont="1" applyFill="1" applyAlignment="1">
      <alignment horizontal="center" vertical="center" wrapText="1"/>
    </xf>
    <xf numFmtId="0" fontId="93" fillId="0" borderId="0" xfId="9" applyFont="1" applyAlignment="1">
      <alignment horizontal="justify" wrapText="1"/>
    </xf>
    <xf numFmtId="0" fontId="89" fillId="0" borderId="32" xfId="0" applyFont="1" applyBorder="1" applyAlignment="1">
      <alignment horizontal="left" vertical="center" wrapText="1"/>
    </xf>
    <xf numFmtId="0" fontId="89" fillId="0" borderId="13" xfId="0" applyFont="1" applyBorder="1" applyAlignment="1">
      <alignment horizontal="left" vertical="center" wrapText="1"/>
    </xf>
    <xf numFmtId="0" fontId="90" fillId="0" borderId="32" xfId="0" applyFont="1" applyBorder="1" applyAlignment="1">
      <alignment horizontal="left" vertical="center" wrapText="1"/>
    </xf>
    <xf numFmtId="0" fontId="90" fillId="0" borderId="13" xfId="0" applyFont="1" applyBorder="1" applyAlignment="1">
      <alignment horizontal="left" vertical="center" wrapText="1"/>
    </xf>
    <xf numFmtId="0" fontId="95" fillId="16" borderId="32" xfId="0" applyFont="1" applyFill="1" applyBorder="1" applyAlignment="1">
      <alignment horizontal="center" vertical="center" wrapText="1"/>
    </xf>
    <xf numFmtId="0" fontId="95" fillId="16" borderId="13" xfId="0" applyFont="1" applyFill="1" applyBorder="1" applyAlignment="1">
      <alignment horizontal="center" vertical="center" wrapText="1"/>
    </xf>
    <xf numFmtId="0" fontId="92" fillId="0" borderId="32" xfId="0" applyFont="1" applyBorder="1" applyAlignment="1">
      <alignment horizontal="left" vertical="center" wrapText="1"/>
    </xf>
    <xf numFmtId="0" fontId="92" fillId="0" borderId="13" xfId="0" applyFont="1" applyBorder="1" applyAlignment="1">
      <alignment horizontal="left" vertical="center" wrapText="1"/>
    </xf>
    <xf numFmtId="0" fontId="96" fillId="0" borderId="32" xfId="0" applyFont="1" applyBorder="1" applyAlignment="1">
      <alignment horizontal="center" vertical="center" wrapText="1"/>
    </xf>
    <xf numFmtId="0" fontId="96" fillId="0" borderId="13" xfId="0" applyFont="1" applyBorder="1" applyAlignment="1">
      <alignment horizontal="center" vertical="center" wrapText="1"/>
    </xf>
    <xf numFmtId="0" fontId="92" fillId="67" borderId="32" xfId="0" applyFont="1" applyFill="1" applyBorder="1" applyAlignment="1">
      <alignment horizontal="center" vertical="center" wrapText="1"/>
    </xf>
    <xf numFmtId="0" fontId="92" fillId="67" borderId="13" xfId="0" applyFont="1" applyFill="1" applyBorder="1" applyAlignment="1">
      <alignment horizontal="center" vertical="center" wrapText="1"/>
    </xf>
    <xf numFmtId="0" fontId="89" fillId="0" borderId="0" xfId="0" applyFont="1" applyAlignment="1">
      <alignment horizontal="left" vertical="center" wrapText="1"/>
    </xf>
    <xf numFmtId="0" fontId="89" fillId="16" borderId="29" xfId="0" applyFont="1" applyFill="1" applyBorder="1" applyAlignment="1">
      <alignment horizontal="left" vertical="center" wrapText="1"/>
    </xf>
    <xf numFmtId="0" fontId="89" fillId="16" borderId="49" xfId="0" applyFont="1" applyFill="1" applyBorder="1" applyAlignment="1">
      <alignment horizontal="left" vertical="center" wrapText="1"/>
    </xf>
    <xf numFmtId="0" fontId="92" fillId="72" borderId="32" xfId="0" applyFont="1" applyFill="1" applyBorder="1" applyAlignment="1">
      <alignment horizontal="center" vertical="center" wrapText="1"/>
    </xf>
    <xf numFmtId="0" fontId="92" fillId="72" borderId="13" xfId="0" applyFont="1" applyFill="1" applyBorder="1" applyAlignment="1">
      <alignment horizontal="center" vertical="center" wrapText="1"/>
    </xf>
    <xf numFmtId="0" fontId="92" fillId="0" borderId="87" xfId="0" applyFont="1" applyBorder="1" applyAlignment="1">
      <alignment horizontal="center"/>
    </xf>
    <xf numFmtId="0" fontId="92" fillId="57" borderId="32" xfId="0" applyFont="1" applyFill="1" applyBorder="1" applyAlignment="1">
      <alignment horizontal="center" vertical="center" wrapText="1"/>
    </xf>
    <xf numFmtId="0" fontId="92" fillId="57" borderId="13" xfId="0" applyFont="1" applyFill="1" applyBorder="1" applyAlignment="1">
      <alignment horizontal="center" vertical="center" wrapText="1"/>
    </xf>
    <xf numFmtId="0" fontId="96" fillId="0" borderId="34" xfId="0" applyFont="1" applyBorder="1" applyAlignment="1">
      <alignment horizontal="center" vertical="center" wrapText="1"/>
    </xf>
    <xf numFmtId="0" fontId="96" fillId="0" borderId="27" xfId="0" applyFont="1" applyBorder="1" applyAlignment="1">
      <alignment horizontal="center" vertical="center" wrapText="1"/>
    </xf>
  </cellXfs>
  <cellStyles count="16">
    <cellStyle name="Euro" xfId="4" xr:uid="{00000000-0005-0000-0000-000000000000}"/>
    <cellStyle name="Hipervínculo" xfId="7" builtinId="8"/>
    <cellStyle name="Hipervínculo 2" xfId="10" xr:uid="{00000000-0005-0000-0000-000002000000}"/>
    <cellStyle name="Millares" xfId="5" builtinId="3"/>
    <cellStyle name="Millares [0]" xfId="14" builtinId="6"/>
    <cellStyle name="Millares 2" xfId="3" xr:uid="{00000000-0005-0000-0000-000005000000}"/>
    <cellStyle name="Millares 3" xfId="12" xr:uid="{00000000-0005-0000-0000-000006000000}"/>
    <cellStyle name="Millares_BHF-034 SIMULADOR UNICO V 1.49.RESPALDO" xfId="13" xr:uid="{00000000-0005-0000-0000-000007000000}"/>
    <cellStyle name="Millares_Tabla amortización" xfId="8" xr:uid="{00000000-0005-0000-0000-000008000000}"/>
    <cellStyle name="Moneda" xfId="15" builtinId="4"/>
    <cellStyle name="Normal" xfId="0" builtinId="0"/>
    <cellStyle name="Normal 2" xfId="1" xr:uid="{00000000-0005-0000-0000-00000A000000}"/>
    <cellStyle name="Normal 3" xfId="9" xr:uid="{00000000-0005-0000-0000-00000B000000}"/>
    <cellStyle name="Porcentaje" xfId="6" builtinId="5"/>
    <cellStyle name="Porcentaje 2" xfId="2" xr:uid="{00000000-0005-0000-0000-00000D000000}"/>
    <cellStyle name="Porcentaje 3" xfId="11" xr:uid="{00000000-0005-0000-0000-00000E000000}"/>
  </cellStyles>
  <dxfs count="281">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ill>
        <patternFill>
          <bgColor theme="0" tint="-0.2499465926084170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theme="8" tint="0.59996337778862885"/>
        </patternFill>
      </fill>
    </dxf>
    <dxf>
      <fill>
        <patternFill>
          <bgColor theme="0" tint="-0.24994659260841701"/>
        </patternFill>
      </fill>
    </dxf>
    <dxf>
      <fill>
        <patternFill>
          <bgColor theme="0" tint="-0.24994659260841701"/>
        </patternFill>
      </fill>
    </dxf>
    <dxf>
      <fill>
        <patternFill>
          <bgColor theme="8" tint="0.59996337778862885"/>
        </patternFill>
      </fill>
    </dxf>
    <dxf>
      <fill>
        <patternFill>
          <bgColor theme="0" tint="-0.24994659260841701"/>
        </patternFill>
      </fill>
    </dxf>
    <dxf>
      <fill>
        <patternFill>
          <bgColor theme="0" tint="-0.24994659260841701"/>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theme="0" tint="-0.24994659260841701"/>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theme="0" tint="-0.24994659260841701"/>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theme="0" tint="-0.24994659260841701"/>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theme="0" tint="-0.24994659260841701"/>
        </patternFill>
      </fill>
    </dxf>
    <dxf>
      <font>
        <color auto="1"/>
      </font>
      <border>
        <left style="hair">
          <color auto="1"/>
        </left>
        <right style="hair">
          <color auto="1"/>
        </right>
        <top style="hair">
          <color auto="1"/>
        </top>
        <bottom style="hair">
          <color auto="1"/>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ont>
        <condense val="0"/>
        <extend val="0"/>
        <color indexed="9"/>
      </font>
    </dxf>
    <dxf>
      <font>
        <condense val="0"/>
        <extend val="0"/>
        <color indexed="9"/>
      </font>
    </dxf>
    <dxf>
      <border>
        <left style="hair">
          <color auto="1"/>
        </left>
        <right style="hair">
          <color auto="1"/>
        </right>
        <top style="hair">
          <color auto="1"/>
        </top>
        <bottom style="hair">
          <color auto="1"/>
        </bottom>
        <vertical/>
        <horizontal/>
      </border>
    </dxf>
    <dxf>
      <font>
        <condense val="0"/>
        <extend val="0"/>
        <color indexed="9"/>
      </font>
    </dxf>
    <dxf>
      <font>
        <condense val="0"/>
        <extend val="0"/>
        <color indexed="9"/>
      </font>
    </dxf>
    <dxf>
      <fill>
        <patternFill>
          <bgColor indexed="17"/>
        </patternFill>
      </fill>
    </dxf>
    <dxf>
      <fill>
        <patternFill>
          <bgColor rgb="FFFFFF00"/>
        </patternFill>
      </fill>
    </dxf>
    <dxf>
      <fill>
        <patternFill>
          <bgColor theme="0" tint="-0.14996795556505021"/>
        </patternFill>
      </fill>
    </dxf>
    <dxf>
      <font>
        <b/>
        <i val="0"/>
      </font>
      <fill>
        <patternFill>
          <bgColor theme="0" tint="-4.9989318521683403E-2"/>
        </patternFill>
      </fill>
    </dxf>
    <dxf>
      <font>
        <b/>
        <i val="0"/>
        <color theme="0"/>
      </font>
      <fill>
        <patternFill>
          <bgColor rgb="FFFF0000"/>
        </patternFill>
      </fill>
    </dxf>
    <dxf>
      <font>
        <b/>
        <i val="0"/>
      </font>
      <fill>
        <patternFill>
          <bgColor theme="0" tint="-4.9989318521683403E-2"/>
        </patternFill>
      </fill>
    </dxf>
    <dxf>
      <font>
        <b/>
        <i val="0"/>
      </font>
      <fill>
        <patternFill>
          <bgColor theme="0" tint="-4.9989318521683403E-2"/>
        </patternFill>
      </fill>
    </dxf>
    <dxf>
      <fill>
        <patternFill>
          <bgColor theme="0" tint="-4.9989318521683403E-2"/>
        </patternFill>
      </fill>
      <border>
        <left style="hair">
          <color auto="1"/>
        </left>
        <right style="hair">
          <color auto="1"/>
        </right>
        <top style="hair">
          <color auto="1"/>
        </top>
        <bottom style="hair">
          <color auto="1"/>
        </bottom>
      </border>
    </dxf>
    <dxf>
      <fill>
        <patternFill>
          <bgColor theme="0" tint="-4.9989318521683403E-2"/>
        </patternFill>
      </fill>
      <border>
        <left style="hair">
          <color auto="1"/>
        </left>
        <right style="hair">
          <color auto="1"/>
        </right>
        <top style="hair">
          <color auto="1"/>
        </top>
        <bottom style="hair">
          <color auto="1"/>
        </bottom>
      </border>
    </dxf>
    <dxf>
      <fill>
        <patternFill>
          <bgColor theme="0" tint="-4.9989318521683403E-2"/>
        </patternFill>
      </fill>
      <border>
        <left style="hair">
          <color auto="1"/>
        </left>
        <right style="hair">
          <color auto="1"/>
        </right>
        <top style="hair">
          <color auto="1"/>
        </top>
        <bottom style="hair">
          <color auto="1"/>
        </bottom>
      </border>
    </dxf>
    <dxf>
      <fill>
        <patternFill>
          <bgColor theme="0" tint="-4.9989318521683403E-2"/>
        </patternFill>
      </fill>
      <border>
        <left style="hair">
          <color auto="1"/>
        </left>
        <right style="hair">
          <color auto="1"/>
        </right>
        <top style="hair">
          <color auto="1"/>
        </top>
        <bottom style="hair">
          <color auto="1"/>
        </bottom>
      </border>
    </dxf>
    <dxf>
      <font>
        <b/>
        <i val="0"/>
        <color theme="0"/>
      </font>
      <fill>
        <patternFill>
          <bgColor rgb="FFFF0000"/>
        </patternFill>
      </fill>
    </dxf>
    <dxf>
      <font>
        <b/>
        <i val="0"/>
      </font>
      <fill>
        <patternFill>
          <bgColor theme="0" tint="-4.9989318521683403E-2"/>
        </patternFill>
      </fill>
    </dxf>
    <dxf>
      <fill>
        <patternFill>
          <bgColor theme="0" tint="-4.9989318521683403E-2"/>
        </patternFill>
      </fill>
      <border>
        <left style="hair">
          <color auto="1"/>
        </left>
        <right style="hair">
          <color auto="1"/>
        </right>
        <top style="hair">
          <color auto="1"/>
        </top>
        <bottom style="hair">
          <color auto="1"/>
        </bottom>
      </border>
    </dxf>
    <dxf>
      <fill>
        <patternFill>
          <bgColor theme="0" tint="-4.9989318521683403E-2"/>
        </patternFill>
      </fill>
      <border>
        <left style="hair">
          <color auto="1"/>
        </left>
        <right style="hair">
          <color auto="1"/>
        </right>
        <top style="hair">
          <color auto="1"/>
        </top>
        <bottom style="hair">
          <color auto="1"/>
        </bottom>
      </border>
    </dxf>
    <dxf>
      <fill>
        <patternFill>
          <bgColor theme="0" tint="-0.14996795556505021"/>
        </patternFill>
      </fill>
    </dxf>
    <dxf>
      <font>
        <b/>
        <i val="0"/>
        <color theme="0"/>
      </font>
      <fill>
        <patternFill>
          <bgColor rgb="FFFF0000"/>
        </patternFill>
      </fill>
    </dxf>
    <dxf>
      <fill>
        <patternFill>
          <bgColor theme="0" tint="-0.14996795556505021"/>
        </patternFill>
      </fill>
    </dxf>
    <dxf>
      <fill>
        <patternFill patternType="none">
          <bgColor auto="1"/>
        </patternFill>
      </fill>
      <border>
        <left/>
        <right/>
        <top/>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fill>
        <patternFill>
          <bgColor rgb="FFFFFF00"/>
        </patternFill>
      </fill>
    </dxf>
    <dxf>
      <fill>
        <patternFill>
          <bgColor theme="0" tint="-0.14996795556505021"/>
        </patternFill>
      </fill>
      <border>
        <left style="hair">
          <color auto="1"/>
        </left>
        <right style="hair">
          <color auto="1"/>
        </right>
        <top style="hair">
          <color auto="1"/>
        </top>
        <bottom style="hair">
          <color auto="1"/>
        </bottom>
        <vertical/>
        <horizontal/>
      </border>
    </dxf>
    <dxf>
      <fill>
        <patternFill>
          <bgColor theme="0" tint="-0.14996795556505021"/>
        </patternFill>
      </fill>
      <border>
        <left style="hair">
          <color auto="1"/>
        </left>
        <right style="hair">
          <color auto="1"/>
        </right>
        <top style="hair">
          <color auto="1"/>
        </top>
        <bottom style="hair">
          <color auto="1"/>
        </bottom>
      </border>
    </dxf>
    <dxf>
      <font>
        <color theme="0"/>
      </font>
      <border>
        <left/>
        <right/>
        <top/>
        <bottom/>
      </border>
    </dxf>
    <dxf>
      <fill>
        <patternFill>
          <bgColor rgb="FFFFFF00"/>
        </patternFill>
      </fill>
    </dxf>
    <dxf>
      <fill>
        <patternFill>
          <bgColor rgb="FFFFFF00"/>
        </patternFill>
      </fill>
    </dxf>
    <dxf>
      <fill>
        <patternFill patternType="none">
          <bgColor auto="1"/>
        </patternFill>
      </fill>
      <border>
        <left/>
        <right/>
        <top/>
        <bottom/>
        <vertical/>
        <horizontal/>
      </border>
    </dxf>
    <dxf>
      <fill>
        <patternFill>
          <bgColor indexed="22"/>
        </patternFill>
      </fill>
      <border>
        <left style="hair">
          <color indexed="64"/>
        </left>
        <right style="hair">
          <color indexed="64"/>
        </right>
        <top style="hair">
          <color indexed="64"/>
        </top>
        <bottom style="hair">
          <color indexed="64"/>
        </bottom>
      </border>
    </dxf>
    <dxf>
      <font>
        <color theme="0"/>
      </font>
    </dxf>
    <dxf>
      <font>
        <b/>
        <i val="0"/>
        <color theme="0"/>
      </font>
      <fill>
        <patternFill>
          <bgColor rgb="FFFF0000"/>
        </patternFill>
      </fill>
    </dxf>
    <dxf>
      <font>
        <b/>
        <i val="0"/>
      </font>
      <fill>
        <patternFill>
          <bgColor theme="0" tint="-4.9989318521683403E-2"/>
        </patternFill>
      </fill>
    </dxf>
    <dxf>
      <fill>
        <patternFill>
          <bgColor theme="0" tint="-4.9989318521683403E-2"/>
        </patternFill>
      </fill>
      <border>
        <left style="hair">
          <color auto="1"/>
        </left>
        <right style="hair">
          <color auto="1"/>
        </right>
        <top style="hair">
          <color auto="1"/>
        </top>
        <bottom style="hair">
          <color auto="1"/>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rgb="FFEC0000"/>
        </patternFill>
      </fill>
    </dxf>
    <dxf>
      <fill>
        <patternFill>
          <bgColor rgb="FFEC0000"/>
        </patternFill>
      </fill>
    </dxf>
    <dxf>
      <fill>
        <patternFill>
          <bgColor rgb="FFEC0000"/>
        </patternFill>
      </fill>
    </dxf>
    <dxf>
      <fill>
        <patternFill>
          <bgColor rgb="FFFFFF00"/>
        </patternFill>
      </fill>
      <border>
        <left style="dashDotDot">
          <color auto="1"/>
        </left>
        <right style="dashDotDot">
          <color auto="1"/>
        </right>
        <top style="dashDotDot">
          <color auto="1"/>
        </top>
        <bottom style="dashDotDot">
          <color auto="1"/>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font>
        <color rgb="FFFFFF00"/>
      </font>
      <fill>
        <patternFill>
          <bgColor rgb="FFFFFF00"/>
        </patternFill>
      </fill>
    </dxf>
    <dxf>
      <fill>
        <patternFill>
          <bgColor theme="0" tint="-0.14996795556505021"/>
        </patternFill>
      </fill>
      <border>
        <left style="hair">
          <color auto="1"/>
        </left>
        <right style="hair">
          <color auto="1"/>
        </right>
        <top style="hair">
          <color auto="1"/>
        </top>
        <bottom style="hair">
          <color auto="1"/>
        </bottom>
        <vertical/>
        <horizontal/>
      </border>
    </dxf>
    <dxf>
      <font>
        <color rgb="FFFFFF00"/>
      </font>
      <fill>
        <patternFill>
          <bgColor rgb="FFFFFF00"/>
        </patternFill>
      </fill>
    </dxf>
    <dxf>
      <fill>
        <patternFill>
          <bgColor theme="0" tint="-0.14996795556505021"/>
        </patternFill>
      </fill>
      <border>
        <left style="hair">
          <color auto="1"/>
        </left>
        <right style="hair">
          <color auto="1"/>
        </right>
        <top style="hair">
          <color auto="1"/>
        </top>
        <bottom style="hair">
          <color auto="1"/>
        </bottom>
        <vertical/>
        <horizontal/>
      </border>
    </dxf>
    <dxf>
      <fill>
        <patternFill>
          <bgColor rgb="FFFFFF00"/>
        </patternFill>
      </fill>
    </dxf>
    <dxf>
      <font>
        <condense val="0"/>
        <extend val="0"/>
        <color indexed="9"/>
      </font>
    </dxf>
    <dxf>
      <fill>
        <patternFill>
          <bgColor theme="0" tint="-0.24994659260841701"/>
        </patternFill>
      </fill>
      <border>
        <left style="thin">
          <color indexed="64"/>
        </left>
        <right style="thin">
          <color indexed="64"/>
        </right>
        <top style="thin">
          <color indexed="64"/>
        </top>
        <bottom style="thin">
          <color indexed="64"/>
        </bottom>
      </border>
    </dxf>
    <dxf>
      <font>
        <condense val="0"/>
        <extend val="0"/>
        <color indexed="9"/>
      </font>
      <fill>
        <patternFill>
          <bgColor rgb="FFEC0000"/>
        </patternFill>
      </fill>
    </dxf>
    <dxf>
      <fill>
        <patternFill>
          <bgColor rgb="FFEC0000"/>
        </patternFill>
      </fill>
    </dxf>
    <dxf>
      <fill>
        <patternFill>
          <bgColor indexed="43"/>
        </patternFill>
      </fill>
    </dxf>
    <dxf>
      <border>
        <top style="thin">
          <color indexed="10"/>
        </top>
        <bottom style="thin">
          <color indexed="10"/>
        </bottom>
      </border>
    </dxf>
    <dxf>
      <fill>
        <patternFill>
          <bgColor indexed="22"/>
        </patternFill>
      </fill>
    </dxf>
    <dxf>
      <border>
        <left/>
        <right/>
        <top style="thin">
          <color indexed="10"/>
        </top>
        <bottom style="thin">
          <color indexed="10"/>
        </bottom>
      </border>
    </dxf>
    <dxf>
      <fill>
        <patternFill>
          <bgColor indexed="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8" tint="0.59996337778862885"/>
        </patternFill>
      </fill>
    </dxf>
    <dxf>
      <fill>
        <patternFill>
          <bgColor rgb="FFEC0000"/>
        </patternFill>
      </fill>
    </dxf>
    <dxf>
      <font>
        <condense val="0"/>
        <extend val="0"/>
        <color indexed="9"/>
      </font>
    </dxf>
    <dxf>
      <fill>
        <patternFill>
          <bgColor theme="0" tint="-0.14996795556505021"/>
        </patternFill>
      </fill>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font>
        <color theme="0"/>
      </font>
      <border>
        <left/>
        <right/>
        <top/>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font>
        <color theme="0"/>
      </font>
      <border>
        <left/>
        <right/>
        <top/>
        <bottom/>
        <vertical/>
        <horizontal/>
      </border>
    </dxf>
    <dxf>
      <fill>
        <patternFill>
          <bgColor rgb="FFEC0000"/>
        </patternFill>
      </fill>
    </dxf>
    <dxf>
      <font>
        <color theme="0"/>
      </font>
      <fill>
        <patternFill>
          <bgColor rgb="FFEC0000"/>
        </patternFill>
      </fill>
    </dxf>
    <dxf>
      <font>
        <color theme="0"/>
      </font>
      <fill>
        <patternFill>
          <bgColor rgb="FFEC0000"/>
        </patternFill>
      </fill>
    </dxf>
    <dxf>
      <fill>
        <patternFill>
          <bgColor rgb="FFEC0000"/>
        </patternFill>
      </fill>
    </dxf>
    <dxf>
      <font>
        <color theme="0"/>
      </font>
      <fill>
        <patternFill>
          <bgColor theme="0"/>
        </patternFill>
      </fill>
    </dxf>
    <dxf>
      <fill>
        <patternFill>
          <bgColor theme="0" tint="-0.14996795556505021"/>
        </patternFill>
      </fill>
    </dxf>
    <dxf>
      <font>
        <color theme="0"/>
      </font>
    </dxf>
    <dxf>
      <fill>
        <patternFill>
          <bgColor theme="0" tint="-0.499984740745262"/>
        </patternFill>
      </fill>
    </dxf>
    <dxf>
      <fill>
        <patternFill>
          <bgColor theme="0" tint="-0.499984740745262"/>
        </patternFill>
      </fill>
    </dxf>
    <dxf>
      <font>
        <condense val="0"/>
        <extend val="0"/>
        <color indexed="9"/>
      </font>
    </dxf>
    <dxf>
      <font>
        <condense val="0"/>
        <extend val="0"/>
        <color indexed="9"/>
      </font>
    </dxf>
    <dxf>
      <font>
        <condense val="0"/>
        <extend val="0"/>
        <color indexed="9"/>
      </font>
    </dxf>
    <dxf>
      <fill>
        <patternFill>
          <bgColor indexed="17"/>
        </patternFill>
      </fill>
    </dxf>
    <dxf>
      <fill>
        <patternFill>
          <bgColor rgb="FFFBF1EA"/>
        </patternFill>
      </fill>
    </dxf>
    <dxf>
      <border>
        <bottom style="thin">
          <color rgb="FFFF0000"/>
        </bottom>
        <vertical/>
        <horizontal/>
      </border>
    </dxf>
    <dxf>
      <border>
        <bottom style="thin">
          <color rgb="FFFF0000"/>
        </bottom>
        <vertical/>
        <horizontal/>
      </border>
    </dxf>
    <dxf>
      <border>
        <right style="thin">
          <color rgb="FFFF0000"/>
        </right>
        <bottom/>
        <vertical/>
        <horizontal/>
      </border>
    </dxf>
    <dxf>
      <border>
        <left style="thin">
          <color rgb="FFFF0000"/>
        </left>
        <vertical/>
        <horizontal/>
      </border>
    </dxf>
    <dxf>
      <border>
        <right style="thin">
          <color rgb="FFFF0000"/>
        </right>
        <bottom/>
        <vertical/>
        <horizontal/>
      </border>
    </dxf>
    <dxf>
      <border>
        <bottom style="thin">
          <color rgb="FFFF0000"/>
        </bottom>
        <vertical/>
        <horizontal/>
      </border>
    </dxf>
    <dxf>
      <border>
        <bottom style="thin">
          <color rgb="FFFF0000"/>
        </bottom>
        <vertical/>
        <horizontal/>
      </border>
    </dxf>
    <dxf>
      <border>
        <right style="thin">
          <color rgb="FFFF0000"/>
        </right>
        <bottom/>
        <vertical/>
        <horizontal/>
      </border>
    </dxf>
    <dxf>
      <border>
        <left style="thin">
          <color rgb="FFEC0000"/>
        </left>
        <vertical/>
        <horizontal/>
      </border>
    </dxf>
    <dxf>
      <border>
        <right style="thin">
          <color rgb="FFEC0000"/>
        </right>
        <vertical/>
        <horizontal/>
      </border>
    </dxf>
    <dxf>
      <fill>
        <patternFill>
          <bgColor theme="0" tint="-0.499984740745262"/>
        </patternFill>
      </fill>
    </dxf>
    <dxf>
      <fill>
        <patternFill>
          <bgColor theme="0" tint="-0.499984740745262"/>
        </patternFill>
      </fill>
    </dxf>
    <dxf>
      <fill>
        <patternFill>
          <bgColor rgb="FFEC0000"/>
        </patternFill>
      </fill>
    </dxf>
    <dxf>
      <fill>
        <patternFill>
          <bgColor rgb="FFEC0000"/>
        </patternFill>
      </fill>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patternType="none">
          <bgColor auto="1"/>
        </patternFill>
      </fill>
      <border>
        <left/>
        <right/>
        <top/>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patternType="none">
          <bgColor auto="1"/>
        </patternFill>
      </fill>
      <border>
        <left/>
        <right/>
        <top/>
        <bottom/>
        <vertical/>
        <horizontal/>
      </border>
    </dxf>
    <dxf>
      <fill>
        <patternFill>
          <bgColor theme="0" tint="-0.14996795556505021"/>
        </patternFill>
      </fill>
    </dxf>
    <dxf>
      <fill>
        <patternFill>
          <bgColor theme="0" tint="-0.14996795556505021"/>
        </patternFill>
      </fill>
      <border>
        <left/>
        <right/>
        <top/>
        <bottom/>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patternType="none">
          <bgColor auto="1"/>
        </patternFill>
      </fill>
      <border>
        <left/>
        <right/>
        <top/>
        <bottom/>
        <vertical/>
        <horizontal/>
      </border>
    </dxf>
    <dxf>
      <fill>
        <patternFill>
          <bgColor rgb="FFFFFF00"/>
        </patternFill>
      </fill>
      <border>
        <left style="dotted">
          <color auto="1"/>
        </left>
        <right style="dotted">
          <color auto="1"/>
        </right>
        <top style="dotted">
          <color auto="1"/>
        </top>
        <bottom style="dotted">
          <color auto="1"/>
        </bottom>
        <vertical/>
        <horizontal/>
      </border>
    </dxf>
    <dxf>
      <fill>
        <patternFill>
          <bgColor theme="0" tint="-0.14996795556505021"/>
        </patternFill>
      </fill>
      <border>
        <left/>
        <right/>
        <top/>
        <bottom/>
        <vertical/>
        <horizontal/>
      </border>
    </dxf>
    <dxf>
      <fill>
        <patternFill>
          <bgColor theme="0" tint="-0.14996795556505021"/>
        </patternFill>
      </fill>
      <border>
        <left/>
        <right/>
        <top/>
        <bottom/>
        <vertical/>
        <horizontal/>
      </border>
    </dxf>
    <dxf>
      <fill>
        <patternFill>
          <bgColor theme="0" tint="-0.14996795556505021"/>
        </patternFill>
      </fill>
      <border>
        <left/>
        <right/>
        <top/>
        <bottom/>
        <vertical/>
        <horizontal/>
      </border>
    </dxf>
    <dxf>
      <fill>
        <patternFill>
          <bgColor theme="0" tint="-0.14996795556505021"/>
        </patternFill>
      </fill>
      <border>
        <left/>
        <right/>
        <top/>
        <bottom/>
        <vertical/>
        <horizontal/>
      </border>
    </dxf>
    <dxf>
      <fill>
        <patternFill>
          <bgColor theme="0" tint="-0.14996795556505021"/>
        </patternFill>
      </fill>
      <border>
        <left/>
        <right/>
        <top/>
        <bottom/>
      </border>
    </dxf>
    <dxf>
      <fill>
        <patternFill>
          <bgColor theme="8" tint="0.59996337778862885"/>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EC0000"/>
        </patternFill>
      </fill>
    </dxf>
    <dxf>
      <font>
        <condense val="0"/>
        <extend val="0"/>
        <color indexed="9"/>
      </font>
    </dxf>
    <dxf>
      <fill>
        <patternFill>
          <bgColor rgb="FFEC0000"/>
        </patternFill>
      </fill>
    </dxf>
    <dxf>
      <fill>
        <patternFill>
          <bgColor rgb="FFEC0000"/>
        </patternFill>
      </fill>
    </dxf>
    <dxf>
      <font>
        <condense val="0"/>
        <extend val="0"/>
        <color indexed="9"/>
      </font>
    </dxf>
    <dxf>
      <font>
        <color auto="1"/>
      </font>
      <fill>
        <patternFill patternType="solid">
          <bgColor theme="0" tint="-0.1499679555650502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patternType="none">
          <bgColor auto="1"/>
        </patternFill>
      </fill>
      <border>
        <left/>
        <right/>
        <top/>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font>
        <color theme="0"/>
      </font>
      <border>
        <left/>
        <right/>
        <top/>
        <bottom/>
        <vertical/>
        <horizontal/>
      </border>
    </dxf>
    <dxf>
      <font>
        <color theme="0"/>
      </font>
      <fill>
        <patternFill patternType="none">
          <bgColor auto="1"/>
        </patternFill>
      </fill>
    </dxf>
    <dxf>
      <fill>
        <patternFill>
          <bgColor theme="0" tint="-0.14996795556505021"/>
        </patternFill>
      </fill>
    </dxf>
    <dxf>
      <fill>
        <patternFill>
          <bgColor theme="4" tint="-0.24994659260841701"/>
        </patternFill>
      </fill>
    </dxf>
    <dxf>
      <fill>
        <patternFill>
          <bgColor theme="0" tint="-0.499984740745262"/>
        </patternFill>
      </fill>
    </dxf>
    <dxf>
      <fill>
        <patternFill>
          <bgColor rgb="FFEC0000"/>
        </patternFill>
      </fill>
    </dxf>
    <dxf>
      <fill>
        <patternFill>
          <bgColor theme="4" tint="-0.24994659260841701"/>
        </patternFill>
      </fill>
    </dxf>
    <dxf>
      <fill>
        <patternFill>
          <bgColor theme="0" tint="-0.499984740745262"/>
        </patternFill>
      </fill>
    </dxf>
    <dxf>
      <fill>
        <patternFill>
          <bgColor rgb="FFFBF1EA"/>
        </patternFill>
      </fill>
    </dxf>
    <dxf>
      <font>
        <color theme="0"/>
      </font>
      <fill>
        <patternFill>
          <bgColor rgb="FFEC0000"/>
        </patternFill>
      </fill>
    </dxf>
    <dxf>
      <font>
        <color theme="0"/>
      </font>
      <fill>
        <patternFill>
          <bgColor rgb="FFEC0000"/>
        </patternFill>
      </fill>
    </dxf>
    <dxf>
      <font>
        <color rgb="FFFF0000"/>
      </font>
      <fill>
        <patternFill>
          <bgColor rgb="FFFF0000"/>
        </patternFill>
      </fill>
    </dxf>
    <dxf>
      <fill>
        <patternFill>
          <bgColor theme="0" tint="-0.14996795556505021"/>
        </patternFill>
      </fill>
    </dxf>
    <dxf>
      <font>
        <color theme="0"/>
      </font>
    </dxf>
    <dxf>
      <font>
        <color theme="0"/>
      </font>
      <fill>
        <patternFill>
          <bgColor rgb="FFEC0000"/>
        </patternFill>
      </fill>
    </dxf>
    <dxf>
      <font>
        <color theme="0"/>
      </font>
      <fill>
        <patternFill>
          <bgColor theme="4" tint="-0.24994659260841701"/>
        </patternFill>
      </fill>
    </dxf>
    <dxf>
      <font>
        <color theme="0"/>
      </font>
      <fill>
        <patternFill>
          <bgColor theme="0" tint="-0.499984740745262"/>
        </patternFill>
      </fill>
    </dxf>
    <dxf>
      <font>
        <color theme="0"/>
      </font>
      <fill>
        <patternFill>
          <bgColor rgb="FFEC0000"/>
        </patternFill>
      </fill>
    </dxf>
    <dxf>
      <font>
        <color theme="0"/>
      </font>
      <fill>
        <patternFill>
          <bgColor theme="4" tint="-0.24994659260841701"/>
        </patternFill>
      </fill>
    </dxf>
    <dxf>
      <font>
        <color theme="0"/>
      </font>
      <fill>
        <patternFill>
          <bgColor theme="0" tint="-0.499984740745262"/>
        </patternFill>
      </fill>
    </dxf>
    <dxf>
      <font>
        <color theme="0"/>
      </font>
      <fill>
        <patternFill>
          <bgColor rgb="FFEC0000"/>
        </patternFill>
      </fill>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bgColor theme="0" tint="-0.14996795556505021"/>
        </patternFill>
      </fill>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ont>
        <condense val="0"/>
        <extend val="0"/>
        <color indexed="9"/>
      </font>
    </dxf>
    <dxf>
      <font>
        <condense val="0"/>
        <extend val="0"/>
        <color indexed="9"/>
      </font>
    </dxf>
    <dxf>
      <font>
        <condense val="0"/>
        <extend val="0"/>
        <color indexed="9"/>
      </font>
    </dxf>
    <dxf>
      <font>
        <b/>
        <i val="0"/>
        <color theme="0"/>
      </font>
      <fill>
        <patternFill>
          <bgColor rgb="FFFF0000"/>
        </patternFill>
      </fill>
    </dxf>
    <dxf>
      <font>
        <b/>
        <i val="0"/>
      </font>
      <fill>
        <patternFill>
          <bgColor theme="0" tint="-4.9989318521683403E-2"/>
        </patternFill>
      </fill>
    </dxf>
    <dxf>
      <font>
        <b/>
        <i val="0"/>
      </font>
      <fill>
        <patternFill>
          <bgColor theme="0" tint="-4.9989318521683403E-2"/>
        </patternFill>
      </fill>
    </dxf>
    <dxf>
      <font>
        <b/>
        <i val="0"/>
      </font>
      <fill>
        <patternFill>
          <bgColor theme="0" tint="-4.9989318521683403E-2"/>
        </patternFill>
      </fill>
    </dxf>
    <dxf>
      <fill>
        <patternFill>
          <bgColor theme="0" tint="-4.9989318521683403E-2"/>
        </patternFill>
      </fill>
      <border>
        <left style="hair">
          <color auto="1"/>
        </left>
        <right style="hair">
          <color auto="1"/>
        </right>
        <top style="hair">
          <color auto="1"/>
        </top>
        <bottom style="hair">
          <color auto="1"/>
        </bottom>
        <vertical/>
        <horizontal/>
      </border>
    </dxf>
    <dxf>
      <fill>
        <patternFill>
          <bgColor theme="0" tint="-4.9989318521683403E-2"/>
        </patternFill>
      </fill>
      <border>
        <left style="hair">
          <color auto="1"/>
        </left>
        <right style="hair">
          <color auto="1"/>
        </right>
        <top style="hair">
          <color auto="1"/>
        </top>
        <bottom style="hair">
          <color auto="1"/>
        </bottom>
        <vertical/>
        <horizontal/>
      </border>
    </dxf>
    <dxf>
      <fill>
        <patternFill>
          <bgColor theme="0" tint="-4.9989318521683403E-2"/>
        </patternFill>
      </fill>
      <border>
        <left style="hair">
          <color auto="1"/>
        </left>
        <right style="hair">
          <color auto="1"/>
        </right>
        <top style="hair">
          <color auto="1"/>
        </top>
        <bottom style="hair">
          <color auto="1"/>
        </bottom>
        <vertical/>
        <horizontal/>
      </border>
    </dxf>
    <dxf>
      <fill>
        <patternFill>
          <bgColor theme="0" tint="-4.9989318521683403E-2"/>
        </patternFill>
      </fill>
      <border>
        <left style="hair">
          <color auto="1"/>
        </left>
        <right style="hair">
          <color auto="1"/>
        </right>
        <top style="hair">
          <color auto="1"/>
        </top>
        <bottom style="hair">
          <color auto="1"/>
        </bottom>
        <vertical/>
        <horizontal/>
      </border>
    </dxf>
    <dxf>
      <font>
        <b/>
        <i val="0"/>
      </font>
      <fill>
        <patternFill>
          <bgColor theme="0" tint="-4.9989318521683403E-2"/>
        </patternFill>
      </fill>
    </dxf>
    <dxf>
      <fill>
        <patternFill>
          <bgColor theme="0" tint="-4.9989318521683403E-2"/>
        </patternFill>
      </fill>
      <border>
        <left style="hair">
          <color auto="1"/>
        </left>
        <right style="hair">
          <color auto="1"/>
        </right>
        <top style="hair">
          <color auto="1"/>
        </top>
        <bottom style="hair">
          <color auto="1"/>
        </bottom>
        <vertical/>
        <horizontal/>
      </border>
    </dxf>
    <dxf>
      <fill>
        <patternFill>
          <bgColor theme="0" tint="-0.14996795556505021"/>
        </patternFill>
      </fill>
      <border>
        <left style="hair">
          <color auto="1"/>
        </left>
        <right style="hair">
          <color auto="1"/>
        </right>
        <top style="hair">
          <color auto="1"/>
        </top>
        <bottom style="hair">
          <color auto="1"/>
        </bottom>
        <vertical/>
        <horizontal/>
      </border>
    </dxf>
    <dxf>
      <font>
        <condense val="0"/>
        <extend val="0"/>
        <color indexed="9"/>
      </font>
    </dxf>
    <dxf>
      <font>
        <condense val="0"/>
        <extend val="0"/>
        <color indexed="9"/>
      </font>
    </dxf>
    <dxf>
      <font>
        <condense val="0"/>
        <extend val="0"/>
        <color indexed="9"/>
      </font>
    </dxf>
    <dxf>
      <fill>
        <patternFill>
          <bgColor indexed="17"/>
        </patternFill>
      </fill>
    </dxf>
    <dxf>
      <border>
        <left style="hair">
          <color auto="1"/>
        </left>
        <right style="hair">
          <color auto="1"/>
        </right>
        <top style="hair">
          <color auto="1"/>
        </top>
        <bottom style="hair">
          <color auto="1"/>
        </bottom>
        <vertical/>
        <horizontal/>
      </border>
    </dxf>
    <dxf>
      <font>
        <color theme="0"/>
      </font>
      <border>
        <left/>
        <right/>
        <top/>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patternType="none">
          <bgColor auto="1"/>
        </patternFill>
      </fill>
      <border>
        <left/>
        <right/>
        <top/>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patternType="none">
          <bgColor auto="1"/>
        </patternFill>
      </fill>
      <border>
        <left/>
        <right/>
        <top/>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bgColor theme="0" tint="-0.24994659260841701"/>
        </patternFill>
      </fill>
    </dxf>
    <dxf>
      <fill>
        <patternFill>
          <bgColor theme="0" tint="-0.24994659260841701"/>
        </patternFill>
      </fill>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fill>
        <patternFill patternType="none">
          <bgColor auto="1"/>
        </patternFill>
      </fill>
      <border>
        <left/>
        <right/>
        <top/>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bgColor theme="0" tint="-0.14996795556505021"/>
        </patternFill>
      </fill>
    </dxf>
    <dxf>
      <fill>
        <patternFill patternType="none">
          <bgColor auto="1"/>
        </patternFill>
      </fill>
      <border>
        <left style="hair">
          <color auto="1"/>
        </left>
        <right style="hair">
          <color auto="1"/>
        </right>
        <top style="hair">
          <color auto="1"/>
        </top>
        <bottom style="hair">
          <color auto="1"/>
        </bottom>
        <vertical/>
        <horizontal/>
      </border>
    </dxf>
    <dxf>
      <font>
        <color theme="0"/>
      </font>
      <border>
        <left/>
        <right/>
        <top/>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patternType="none">
          <bgColor auto="1"/>
        </patternFill>
      </fill>
      <border>
        <left style="hair">
          <color auto="1"/>
        </left>
        <right style="hair">
          <color auto="1"/>
        </right>
        <top style="hair">
          <color auto="1"/>
        </top>
        <bottom style="hair">
          <color auto="1"/>
        </bottom>
        <vertical/>
        <horizontal/>
      </border>
    </dxf>
    <dxf>
      <fill>
        <patternFill>
          <bgColor theme="0" tint="-4.9989318521683403E-2"/>
        </patternFill>
      </fill>
      <border>
        <left style="hair">
          <color auto="1"/>
        </left>
        <right style="hair">
          <color auto="1"/>
        </right>
        <top style="hair">
          <color auto="1"/>
        </top>
        <bottom style="hair">
          <color auto="1"/>
        </bottom>
        <vertical/>
        <horizontal/>
      </border>
    </dxf>
    <dxf>
      <fill>
        <patternFill>
          <bgColor theme="0" tint="-4.9989318521683403E-2"/>
        </patternFill>
      </fill>
      <border>
        <left style="hair">
          <color auto="1"/>
        </left>
        <right style="hair">
          <color auto="1"/>
        </right>
        <top style="hair">
          <color auto="1"/>
        </top>
        <bottom style="hair">
          <color auto="1"/>
        </bottom>
        <vertical/>
        <horizontal/>
      </border>
    </dxf>
    <dxf>
      <font>
        <b/>
        <i val="0"/>
        <color theme="0"/>
      </font>
      <fill>
        <patternFill>
          <bgColor rgb="FFFF0000"/>
        </patternFill>
      </fill>
    </dxf>
    <dxf>
      <font>
        <b/>
        <i val="0"/>
      </font>
      <fill>
        <patternFill>
          <bgColor theme="0" tint="-4.9989318521683403E-2"/>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theme="0" tint="-0.24994659260841701"/>
        </patternFill>
      </fill>
    </dxf>
    <dxf>
      <fill>
        <patternFill>
          <bgColor theme="0" tint="-0.24994659260841701"/>
        </patternFill>
      </fill>
    </dxf>
    <dxf>
      <fill>
        <patternFill>
          <bgColor rgb="FFFFFF00"/>
        </patternFill>
      </fill>
      <border>
        <left style="dashDotDot">
          <color auto="1"/>
        </left>
        <right style="dashDotDot">
          <color auto="1"/>
        </right>
        <top style="dashDotDot">
          <color auto="1"/>
        </top>
        <bottom style="dashDotDot">
          <color auto="1"/>
        </bottom>
        <vertical/>
        <horizontal/>
      </border>
    </dxf>
    <dxf>
      <font>
        <condense val="0"/>
        <extend val="0"/>
        <color indexed="9"/>
      </font>
    </dxf>
    <dxf>
      <fill>
        <patternFill>
          <bgColor rgb="FFCCFFCC"/>
        </patternFill>
      </fill>
    </dxf>
    <dxf>
      <fill>
        <patternFill>
          <bgColor rgb="FFCCFFCC"/>
        </patternFill>
      </fill>
    </dxf>
    <dxf>
      <fill>
        <patternFill>
          <bgColor rgb="FFCCFFCC"/>
        </patternFill>
      </fill>
    </dxf>
    <dxf>
      <fill>
        <patternFill>
          <bgColor theme="0" tint="-0.14996795556505021"/>
        </patternFill>
      </fill>
    </dxf>
    <dxf>
      <fill>
        <patternFill>
          <bgColor rgb="FFCCFFCC"/>
        </patternFill>
      </fill>
    </dxf>
  </dxfs>
  <tableStyles count="0" defaultTableStyle="TableStyleMedium2" defaultPivotStyle="PivotStyleLight16"/>
  <colors>
    <mruColors>
      <color rgb="FFFF66FF"/>
      <color rgb="FFFFFF99"/>
      <color rgb="FFCCFFCC"/>
      <color rgb="FFCCCC00"/>
      <color rgb="FFEC0000"/>
      <color rgb="FF1A1A1A"/>
      <color rgb="FF33CCCC"/>
      <color rgb="FF00FFFF"/>
      <color rgb="FFFBF1EA"/>
      <color rgb="FFF5DE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3.xml"/></Relationships>
</file>

<file path=xl/ctrlProps/ctrlProp1.xml><?xml version="1.0" encoding="utf-8"?>
<formControlPr xmlns="http://schemas.microsoft.com/office/spreadsheetml/2009/9/main" objectType="Radio" firstButton="1" fmlaLink="BC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2</xdr:col>
      <xdr:colOff>307181</xdr:colOff>
      <xdr:row>9</xdr:row>
      <xdr:rowOff>122240</xdr:rowOff>
    </xdr:from>
    <xdr:to>
      <xdr:col>6</xdr:col>
      <xdr:colOff>307181</xdr:colOff>
      <xdr:row>12</xdr:row>
      <xdr:rowOff>75142</xdr:rowOff>
    </xdr:to>
    <xdr:pic>
      <xdr:nvPicPr>
        <xdr:cNvPr id="11" name="Imagen 10">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srcRect r="4571" b="27297"/>
        <a:stretch/>
      </xdr:blipFill>
      <xdr:spPr>
        <a:xfrm>
          <a:off x="1135856" y="1846265"/>
          <a:ext cx="3048000" cy="581552"/>
        </a:xfrm>
        <a:prstGeom prst="rect">
          <a:avLst/>
        </a:prstGeom>
      </xdr:spPr>
    </xdr:pic>
    <xdr:clientData/>
  </xdr:twoCellAnchor>
  <xdr:twoCellAnchor>
    <xdr:from>
      <xdr:col>1</xdr:col>
      <xdr:colOff>0</xdr:colOff>
      <xdr:row>0</xdr:row>
      <xdr:rowOff>0</xdr:rowOff>
    </xdr:from>
    <xdr:to>
      <xdr:col>12</xdr:col>
      <xdr:colOff>12701</xdr:colOff>
      <xdr:row>2</xdr:row>
      <xdr:rowOff>154781</xdr:rowOff>
    </xdr:to>
    <xdr:sp macro="" textlink="">
      <xdr:nvSpPr>
        <xdr:cNvPr id="3" name="Rectángulo 2">
          <a:extLst>
            <a:ext uri="{FF2B5EF4-FFF2-40B4-BE49-F238E27FC236}">
              <a16:creationId xmlns:a16="http://schemas.microsoft.com/office/drawing/2014/main" id="{00000000-0008-0000-0200-000003000000}"/>
            </a:ext>
          </a:extLst>
        </xdr:cNvPr>
        <xdr:cNvSpPr/>
      </xdr:nvSpPr>
      <xdr:spPr>
        <a:xfrm>
          <a:off x="714375" y="0"/>
          <a:ext cx="7747001" cy="545306"/>
        </a:xfrm>
        <a:prstGeom prst="rect">
          <a:avLst/>
        </a:prstGeom>
        <a:solidFill>
          <a:srgbClr val="EA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MX"/>
        </a:p>
      </xdr:txBody>
    </xdr:sp>
    <xdr:clientData/>
  </xdr:twoCellAnchor>
  <xdr:twoCellAnchor editAs="oneCell">
    <xdr:from>
      <xdr:col>1</xdr:col>
      <xdr:colOff>95251</xdr:colOff>
      <xdr:row>0</xdr:row>
      <xdr:rowOff>47626</xdr:rowOff>
    </xdr:from>
    <xdr:to>
      <xdr:col>3</xdr:col>
      <xdr:colOff>588170</xdr:colOff>
      <xdr:row>2</xdr:row>
      <xdr:rowOff>153840</xdr:rowOff>
    </xdr:to>
    <xdr:pic>
      <xdr:nvPicPr>
        <xdr:cNvPr id="4" name="Imagen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266701" y="47626"/>
          <a:ext cx="1893094" cy="525314"/>
        </a:xfrm>
        <a:prstGeom prst="rect">
          <a:avLst/>
        </a:prstGeom>
      </xdr:spPr>
    </xdr:pic>
    <xdr:clientData/>
  </xdr:twoCellAnchor>
  <xdr:twoCellAnchor>
    <xdr:from>
      <xdr:col>2</xdr:col>
      <xdr:colOff>471489</xdr:colOff>
      <xdr:row>3</xdr:row>
      <xdr:rowOff>146025</xdr:rowOff>
    </xdr:from>
    <xdr:to>
      <xdr:col>5</xdr:col>
      <xdr:colOff>457201</xdr:colOff>
      <xdr:row>9</xdr:row>
      <xdr:rowOff>140604</xdr:rowOff>
    </xdr:to>
    <xdr:sp macro="[0]!Inicio" textlink="">
      <xdr:nvSpPr>
        <xdr:cNvPr id="8" name="Rectángulo redondeado 7">
          <a:extLst>
            <a:ext uri="{FF2B5EF4-FFF2-40B4-BE49-F238E27FC236}">
              <a16:creationId xmlns:a16="http://schemas.microsoft.com/office/drawing/2014/main" id="{00000000-0008-0000-0200-000008000000}"/>
            </a:ext>
          </a:extLst>
        </xdr:cNvPr>
        <xdr:cNvSpPr/>
      </xdr:nvSpPr>
      <xdr:spPr>
        <a:xfrm>
          <a:off x="757239" y="784200"/>
          <a:ext cx="2271712" cy="1251879"/>
        </a:xfrm>
        <a:prstGeom prst="roundRect">
          <a:avLst/>
        </a:prstGeom>
        <a:solidFill>
          <a:srgbClr val="EC0000"/>
        </a:solidFill>
        <a:ln>
          <a:noFill/>
        </a:ln>
        <a:effectLst/>
        <a:scene3d>
          <a:camera prst="orthographicFront"/>
          <a:lightRig rig="threePt" dir="t"/>
        </a:scene3d>
        <a:sp3d contourW="12700">
          <a:bevelT/>
          <a:bevelB w="0" h="0"/>
          <a:extrusionClr>
            <a:schemeClr val="bg1"/>
          </a:extrusionClr>
          <a:contourClr>
            <a:schemeClr val="bg1">
              <a:lumMod val="50000"/>
            </a:schemeClr>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baseline="0">
              <a:latin typeface="Santander Micro Text SemiBold" panose="020B0504020201010104" pitchFamily="34" charset="0"/>
              <a:cs typeface="Santander Micro Text SemiBold" panose="020B0504020201010104" pitchFamily="34" charset="0"/>
            </a:rPr>
            <a:t>HIPOTECA SANTANDER</a:t>
          </a:r>
          <a:endParaRPr lang="es-MX" sz="1600" b="1">
            <a:latin typeface="Santander Micro Text SemiBold" panose="020B0504020201010104" pitchFamily="34" charset="0"/>
            <a:cs typeface="Santander Micro Text SemiBold" panose="020B0504020201010104" pitchFamily="34" charset="0"/>
          </a:endParaRPr>
        </a:p>
      </xdr:txBody>
    </xdr:sp>
    <xdr:clientData/>
  </xdr:twoCellAnchor>
  <xdr:twoCellAnchor>
    <xdr:from>
      <xdr:col>2</xdr:col>
      <xdr:colOff>458526</xdr:colOff>
      <xdr:row>12</xdr:row>
      <xdr:rowOff>156379</xdr:rowOff>
    </xdr:from>
    <xdr:to>
      <xdr:col>5</xdr:col>
      <xdr:colOff>428625</xdr:colOff>
      <xdr:row>18</xdr:row>
      <xdr:rowOff>93869</xdr:rowOff>
    </xdr:to>
    <xdr:sp macro="[0]!Módulo6.Plus" textlink="">
      <xdr:nvSpPr>
        <xdr:cNvPr id="12" name="Rectángulo redondeado 11">
          <a:extLst>
            <a:ext uri="{FF2B5EF4-FFF2-40B4-BE49-F238E27FC236}">
              <a16:creationId xmlns:a16="http://schemas.microsoft.com/office/drawing/2014/main" id="{00000000-0008-0000-0200-00000C000000}"/>
            </a:ext>
          </a:extLst>
        </xdr:cNvPr>
        <xdr:cNvSpPr/>
      </xdr:nvSpPr>
      <xdr:spPr>
        <a:xfrm>
          <a:off x="1303352" y="2276727"/>
          <a:ext cx="2372056" cy="997664"/>
        </a:xfrm>
        <a:prstGeom prst="roundRect">
          <a:avLst/>
        </a:prstGeom>
        <a:solidFill>
          <a:srgbClr val="A0B2C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bg1"/>
              </a:solidFill>
              <a:effectLst/>
              <a:latin typeface="Arial" panose="020B0604020202020204" pitchFamily="34" charset="0"/>
              <a:ea typeface="+mn-ea"/>
              <a:cs typeface="Arial" panose="020B0604020202020204" pitchFamily="34" charset="0"/>
            </a:rPr>
            <a:t>Elabora tu tabla de Hipoteca</a:t>
          </a:r>
          <a:r>
            <a:rPr lang="es-MX" sz="1200" b="1" baseline="0">
              <a:solidFill>
                <a:schemeClr val="bg1"/>
              </a:solidFill>
              <a:effectLst/>
              <a:latin typeface="Arial" panose="020B0604020202020204" pitchFamily="34" charset="0"/>
              <a:ea typeface="+mn-ea"/>
              <a:cs typeface="Arial" panose="020B0604020202020204" pitchFamily="34" charset="0"/>
            </a:rPr>
            <a:t> Santander con condiciones aprobadas y s</a:t>
          </a:r>
          <a:r>
            <a:rPr lang="es-MX" sz="1200" b="1">
              <a:solidFill>
                <a:schemeClr val="bg1"/>
              </a:solidFill>
              <a:latin typeface="Arial" panose="020B0604020202020204" pitchFamily="34" charset="0"/>
              <a:cs typeface="Arial" panose="020B0604020202020204" pitchFamily="34" charset="0"/>
            </a:rPr>
            <a:t>imula</a:t>
          </a:r>
          <a:r>
            <a:rPr lang="es-MX" sz="1200" b="1" baseline="0">
              <a:solidFill>
                <a:schemeClr val="bg1"/>
              </a:solidFill>
              <a:latin typeface="Arial" panose="020B0604020202020204" pitchFamily="34" charset="0"/>
              <a:cs typeface="Arial" panose="020B0604020202020204" pitchFamily="34" charset="0"/>
            </a:rPr>
            <a:t> tu Hipoteca Plus</a:t>
          </a:r>
          <a:r>
            <a:rPr lang="es-MX" sz="1000" b="1" baseline="0">
              <a:solidFill>
                <a:schemeClr val="bg1"/>
              </a:solidFill>
              <a:latin typeface="Arial" panose="020B0604020202020204" pitchFamily="34" charset="0"/>
              <a:cs typeface="Arial" panose="020B0604020202020204" pitchFamily="34" charset="0"/>
            </a:rPr>
            <a:t> </a:t>
          </a:r>
          <a:endParaRPr lang="es-MX" sz="1000" b="1">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1</xdr:col>
      <xdr:colOff>50799</xdr:colOff>
      <xdr:row>3</xdr:row>
      <xdr:rowOff>68736</xdr:rowOff>
    </xdr:from>
    <xdr:to>
      <xdr:col>2</xdr:col>
      <xdr:colOff>325016</xdr:colOff>
      <xdr:row>9</xdr:row>
      <xdr:rowOff>43336</xdr:rowOff>
    </xdr:to>
    <xdr:pic>
      <xdr:nvPicPr>
        <xdr:cNvPr id="14" name="Imagen 13">
          <a:extLst>
            <a:ext uri="{FF2B5EF4-FFF2-40B4-BE49-F238E27FC236}">
              <a16:creationId xmlns:a16="http://schemas.microsoft.com/office/drawing/2014/main" id="{00000000-0008-0000-0200-00000E000000}"/>
            </a:ext>
          </a:extLst>
        </xdr:cNvPr>
        <xdr:cNvPicPr>
          <a:picLocks noChangeAspect="1"/>
        </xdr:cNvPicPr>
      </xdr:nvPicPr>
      <xdr:blipFill rotWithShape="1">
        <a:blip xmlns:r="http://schemas.openxmlformats.org/officeDocument/2006/relationships" r:embed="rId3"/>
        <a:srcRect l="20832" r="18410"/>
        <a:stretch/>
      </xdr:blipFill>
      <xdr:spPr>
        <a:xfrm>
          <a:off x="222249" y="706911"/>
          <a:ext cx="912392" cy="1231900"/>
        </a:xfrm>
        <a:prstGeom prst="rect">
          <a:avLst/>
        </a:prstGeom>
      </xdr:spPr>
    </xdr:pic>
    <xdr:clientData/>
  </xdr:twoCellAnchor>
  <xdr:twoCellAnchor editAs="oneCell">
    <xdr:from>
      <xdr:col>13</xdr:col>
      <xdr:colOff>755874</xdr:colOff>
      <xdr:row>5</xdr:row>
      <xdr:rowOff>119839</xdr:rowOff>
    </xdr:from>
    <xdr:to>
      <xdr:col>15</xdr:col>
      <xdr:colOff>271638</xdr:colOff>
      <xdr:row>8</xdr:row>
      <xdr:rowOff>150810</xdr:rowOff>
    </xdr:to>
    <xdr:pic>
      <xdr:nvPicPr>
        <xdr:cNvPr id="19" name="Imagen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4"/>
        <a:stretch>
          <a:fillRect/>
        </a:stretch>
      </xdr:blipFill>
      <xdr:spPr>
        <a:xfrm>
          <a:off x="8737824" y="1177114"/>
          <a:ext cx="1039764" cy="659621"/>
        </a:xfrm>
        <a:prstGeom prst="rect">
          <a:avLst/>
        </a:prstGeom>
      </xdr:spPr>
    </xdr:pic>
    <xdr:clientData/>
  </xdr:twoCellAnchor>
  <xdr:twoCellAnchor>
    <xdr:from>
      <xdr:col>13</xdr:col>
      <xdr:colOff>183362</xdr:colOff>
      <xdr:row>11</xdr:row>
      <xdr:rowOff>142816</xdr:rowOff>
    </xdr:from>
    <xdr:to>
      <xdr:col>15</xdr:col>
      <xdr:colOff>571500</xdr:colOff>
      <xdr:row>14</xdr:row>
      <xdr:rowOff>30214</xdr:rowOff>
    </xdr:to>
    <xdr:sp macro="[0]!pasos" textlink="">
      <xdr:nvSpPr>
        <xdr:cNvPr id="20" name="Rectángulo redondeado 19">
          <a:extLst>
            <a:ext uri="{FF2B5EF4-FFF2-40B4-BE49-F238E27FC236}">
              <a16:creationId xmlns:a16="http://schemas.microsoft.com/office/drawing/2014/main" id="{00000000-0008-0000-0200-000014000000}"/>
            </a:ext>
          </a:extLst>
        </xdr:cNvPr>
        <xdr:cNvSpPr/>
      </xdr:nvSpPr>
      <xdr:spPr>
        <a:xfrm>
          <a:off x="8165312" y="2457391"/>
          <a:ext cx="1912138" cy="516048"/>
        </a:xfrm>
        <a:prstGeom prst="roundRect">
          <a:avLst/>
        </a:prstGeom>
        <a:solidFill>
          <a:srgbClr val="EC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a:latin typeface="Santander Micro Text SemiBold" panose="020B0504020201010104" pitchFamily="34" charset="0"/>
              <a:cs typeface="Santander Micro Text SemiBold" panose="020B0504020201010104" pitchFamily="34" charset="0"/>
            </a:rPr>
            <a:t>Próximos pasos</a:t>
          </a:r>
        </a:p>
      </xdr:txBody>
    </xdr:sp>
    <xdr:clientData/>
  </xdr:twoCellAnchor>
  <xdr:twoCellAnchor>
    <xdr:from>
      <xdr:col>13</xdr:col>
      <xdr:colOff>165501</xdr:colOff>
      <xdr:row>8</xdr:row>
      <xdr:rowOff>202346</xdr:rowOff>
    </xdr:from>
    <xdr:to>
      <xdr:col>15</xdr:col>
      <xdr:colOff>584631</xdr:colOff>
      <xdr:row>11</xdr:row>
      <xdr:rowOff>92125</xdr:rowOff>
    </xdr:to>
    <xdr:sp macro="[0]!guía" textlink="">
      <xdr:nvSpPr>
        <xdr:cNvPr id="21" name="Rectángulo redondeado 20">
          <a:extLst>
            <a:ext uri="{FF2B5EF4-FFF2-40B4-BE49-F238E27FC236}">
              <a16:creationId xmlns:a16="http://schemas.microsoft.com/office/drawing/2014/main" id="{00000000-0008-0000-0200-000015000000}"/>
            </a:ext>
          </a:extLst>
        </xdr:cNvPr>
        <xdr:cNvSpPr/>
      </xdr:nvSpPr>
      <xdr:spPr>
        <a:xfrm>
          <a:off x="8147451" y="1888271"/>
          <a:ext cx="1943130" cy="518429"/>
        </a:xfrm>
        <a:prstGeom prst="roundRect">
          <a:avLst/>
        </a:prstGeom>
        <a:solidFill>
          <a:srgbClr val="EC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a:latin typeface="Santander Micro Text SemiBold" panose="020B0504020201010104" pitchFamily="34" charset="0"/>
              <a:cs typeface="Santander Micro Text SemiBold" panose="020B0504020201010104" pitchFamily="34" charset="0"/>
            </a:rPr>
            <a:t>Guía de uso</a:t>
          </a:r>
        </a:p>
      </xdr:txBody>
    </xdr:sp>
    <xdr:clientData/>
  </xdr:twoCellAnchor>
  <xdr:twoCellAnchor>
    <xdr:from>
      <xdr:col>6</xdr:col>
      <xdr:colOff>595316</xdr:colOff>
      <xdr:row>3</xdr:row>
      <xdr:rowOff>146025</xdr:rowOff>
    </xdr:from>
    <xdr:to>
      <xdr:col>9</xdr:col>
      <xdr:colOff>590550</xdr:colOff>
      <xdr:row>9</xdr:row>
      <xdr:rowOff>140604</xdr:rowOff>
    </xdr:to>
    <xdr:sp macro="[0]!Free" textlink="">
      <xdr:nvSpPr>
        <xdr:cNvPr id="15" name="Rectángulo redondeado 14">
          <a:extLst>
            <a:ext uri="{FF2B5EF4-FFF2-40B4-BE49-F238E27FC236}">
              <a16:creationId xmlns:a16="http://schemas.microsoft.com/office/drawing/2014/main" id="{00000000-0008-0000-0200-00000F000000}"/>
            </a:ext>
          </a:extLst>
        </xdr:cNvPr>
        <xdr:cNvSpPr/>
      </xdr:nvSpPr>
      <xdr:spPr>
        <a:xfrm>
          <a:off x="3929066" y="784200"/>
          <a:ext cx="2281234" cy="1251879"/>
        </a:xfrm>
        <a:prstGeom prst="roundRect">
          <a:avLst/>
        </a:prstGeom>
        <a:solidFill>
          <a:srgbClr val="1A1A1A"/>
        </a:solidFill>
        <a:ln>
          <a:noFill/>
        </a:ln>
        <a:scene3d>
          <a:camera prst="orthographicFront"/>
          <a:lightRig rig="threePt" dir="t"/>
        </a:scene3d>
        <a:sp3d contourW="12700">
          <a:bevelT/>
          <a:contourClr>
            <a:schemeClr val="bg1">
              <a:lumMod val="50000"/>
            </a:schemeClr>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a:latin typeface="Santander Micro Text SemiBold" panose="020B0504020201010104" pitchFamily="34" charset="0"/>
              <a:cs typeface="Santander Micro Text SemiBold" panose="020B0504020201010104" pitchFamily="34" charset="0"/>
            </a:rPr>
            <a:t>HIPOTECA</a:t>
          </a:r>
          <a:r>
            <a:rPr lang="es-MX" sz="1600" baseline="0">
              <a:latin typeface="Santander Micro Text SemiBold" panose="020B0504020201010104" pitchFamily="34" charset="0"/>
              <a:cs typeface="Santander Micro Text SemiBold" panose="020B0504020201010104" pitchFamily="34" charset="0"/>
            </a:rPr>
            <a:t> FREE</a:t>
          </a:r>
          <a:endParaRPr lang="es-MX" sz="1600">
            <a:latin typeface="Santander Micro Text SemiBold" panose="020B0504020201010104" pitchFamily="34" charset="0"/>
            <a:cs typeface="Santander Micro Text SemiBold" panose="020B05040202010101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32723</xdr:colOff>
      <xdr:row>1</xdr:row>
      <xdr:rowOff>4109</xdr:rowOff>
    </xdr:from>
    <xdr:to>
      <xdr:col>13</xdr:col>
      <xdr:colOff>216387</xdr:colOff>
      <xdr:row>2</xdr:row>
      <xdr:rowOff>78287</xdr:rowOff>
    </xdr:to>
    <xdr:sp macro="[0]!limpiar" textlink="">
      <xdr:nvSpPr>
        <xdr:cNvPr id="8" name="7 Bisel">
          <a:extLst>
            <a:ext uri="{FF2B5EF4-FFF2-40B4-BE49-F238E27FC236}">
              <a16:creationId xmlns:a16="http://schemas.microsoft.com/office/drawing/2014/main" id="{00000000-0008-0000-0500-000008000000}"/>
            </a:ext>
          </a:extLst>
        </xdr:cNvPr>
        <xdr:cNvSpPr/>
      </xdr:nvSpPr>
      <xdr:spPr>
        <a:xfrm>
          <a:off x="13772209" y="434691"/>
          <a:ext cx="1488459" cy="309041"/>
        </a:xfrm>
        <a:prstGeom prst="bevel">
          <a:avLst/>
        </a:prstGeom>
        <a:solidFill>
          <a:srgbClr val="EC0000"/>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1" i="0" u="none" strike="noStrike" kern="0" cap="none" spc="0" normalizeH="0" baseline="0" noProof="0">
              <a:ln>
                <a:noFill/>
              </a:ln>
              <a:solidFill>
                <a:schemeClr val="bg1"/>
              </a:solidFill>
              <a:effectLst/>
              <a:uLnTx/>
              <a:uFillTx/>
              <a:latin typeface="Calibri"/>
              <a:ea typeface="+mn-ea"/>
              <a:cs typeface="+mn-cs"/>
            </a:rPr>
            <a:t>Nueva cotización</a:t>
          </a:r>
        </a:p>
      </xdr:txBody>
    </xdr:sp>
    <xdr:clientData/>
  </xdr:twoCellAnchor>
  <xdr:twoCellAnchor editAs="oneCell">
    <xdr:from>
      <xdr:col>10</xdr:col>
      <xdr:colOff>1113966</xdr:colOff>
      <xdr:row>1</xdr:row>
      <xdr:rowOff>4110</xdr:rowOff>
    </xdr:from>
    <xdr:to>
      <xdr:col>11</xdr:col>
      <xdr:colOff>1438369</xdr:colOff>
      <xdr:row>2</xdr:row>
      <xdr:rowOff>73041</xdr:rowOff>
    </xdr:to>
    <xdr:sp macro="[0]!IMPRIMIR" textlink="">
      <xdr:nvSpPr>
        <xdr:cNvPr id="5" name="4 Bisel">
          <a:extLst>
            <a:ext uri="{FF2B5EF4-FFF2-40B4-BE49-F238E27FC236}">
              <a16:creationId xmlns:a16="http://schemas.microsoft.com/office/drawing/2014/main" id="{00000000-0008-0000-0500-000005000000}"/>
            </a:ext>
          </a:extLst>
        </xdr:cNvPr>
        <xdr:cNvSpPr/>
      </xdr:nvSpPr>
      <xdr:spPr>
        <a:xfrm>
          <a:off x="12230815" y="434692"/>
          <a:ext cx="1485670" cy="303794"/>
        </a:xfrm>
        <a:prstGeom prst="bevel">
          <a:avLst/>
        </a:prstGeom>
        <a:solidFill>
          <a:schemeClr val="bg1">
            <a:lumMod val="85000"/>
          </a:scheme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Imprimir</a:t>
          </a:r>
        </a:p>
      </xdr:txBody>
    </xdr:sp>
    <xdr:clientData/>
  </xdr:twoCellAnchor>
  <xdr:twoCellAnchor editAs="oneCell">
    <xdr:from>
      <xdr:col>13</xdr:col>
      <xdr:colOff>1240890</xdr:colOff>
      <xdr:row>76</xdr:row>
      <xdr:rowOff>23813</xdr:rowOff>
    </xdr:from>
    <xdr:to>
      <xdr:col>14</xdr:col>
      <xdr:colOff>1027986</xdr:colOff>
      <xdr:row>77</xdr:row>
      <xdr:rowOff>130208</xdr:rowOff>
    </xdr:to>
    <xdr:sp macro="[0]!IMPRIMIR" textlink="">
      <xdr:nvSpPr>
        <xdr:cNvPr id="7" name="6 Bisel">
          <a:extLst>
            <a:ext uri="{FF2B5EF4-FFF2-40B4-BE49-F238E27FC236}">
              <a16:creationId xmlns:a16="http://schemas.microsoft.com/office/drawing/2014/main" id="{00000000-0008-0000-0500-000007000000}"/>
            </a:ext>
          </a:extLst>
        </xdr:cNvPr>
        <xdr:cNvSpPr/>
      </xdr:nvSpPr>
      <xdr:spPr>
        <a:xfrm>
          <a:off x="15754609" y="13358813"/>
          <a:ext cx="1218128" cy="309702"/>
        </a:xfrm>
        <a:prstGeom prst="bevel">
          <a:avLst/>
        </a:prstGeom>
        <a:solidFill>
          <a:srgbClr val="EC0000"/>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chemeClr val="bg1"/>
              </a:solidFill>
              <a:effectLst/>
              <a:uLnTx/>
              <a:uFillTx/>
              <a:latin typeface="Calibri"/>
              <a:ea typeface="+mn-ea"/>
              <a:cs typeface="+mn-cs"/>
            </a:rPr>
            <a:t>Imprimir</a:t>
          </a:r>
        </a:p>
      </xdr:txBody>
    </xdr:sp>
    <xdr:clientData/>
  </xdr:twoCellAnchor>
  <xdr:twoCellAnchor editAs="oneCell">
    <xdr:from>
      <xdr:col>13</xdr:col>
      <xdr:colOff>710180</xdr:colOff>
      <xdr:row>1</xdr:row>
      <xdr:rowOff>4110</xdr:rowOff>
    </xdr:from>
    <xdr:to>
      <xdr:col>14</xdr:col>
      <xdr:colOff>753111</xdr:colOff>
      <xdr:row>2</xdr:row>
      <xdr:rowOff>75687</xdr:rowOff>
    </xdr:to>
    <xdr:sp macro="[0]!pasos" textlink="">
      <xdr:nvSpPr>
        <xdr:cNvPr id="10" name="9 Bisel">
          <a:extLst>
            <a:ext uri="{FF2B5EF4-FFF2-40B4-BE49-F238E27FC236}">
              <a16:creationId xmlns:a16="http://schemas.microsoft.com/office/drawing/2014/main" id="{00000000-0008-0000-0500-00000A000000}"/>
            </a:ext>
          </a:extLst>
        </xdr:cNvPr>
        <xdr:cNvSpPr/>
      </xdr:nvSpPr>
      <xdr:spPr>
        <a:xfrm>
          <a:off x="15754461" y="434692"/>
          <a:ext cx="1478205" cy="306440"/>
        </a:xfrm>
        <a:prstGeom prst="bevel">
          <a:avLst/>
        </a:prstGeom>
        <a:solidFill>
          <a:schemeClr val="bg1">
            <a:lumMod val="85000"/>
          </a:scheme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Próximos pasos</a:t>
          </a:r>
        </a:p>
      </xdr:txBody>
    </xdr:sp>
    <xdr:clientData/>
  </xdr:twoCellAnchor>
  <xdr:twoCellAnchor editAs="oneCell">
    <xdr:from>
      <xdr:col>0</xdr:col>
      <xdr:colOff>0</xdr:colOff>
      <xdr:row>0</xdr:row>
      <xdr:rowOff>27214</xdr:rowOff>
    </xdr:from>
    <xdr:to>
      <xdr:col>3</xdr:col>
      <xdr:colOff>1256280</xdr:colOff>
      <xdr:row>1</xdr:row>
      <xdr:rowOff>139021</xdr:rowOff>
    </xdr:to>
    <xdr:pic>
      <xdr:nvPicPr>
        <xdr:cNvPr id="14" name="Imagen 13" descr="http://intranet.mx.corp/identidad_2018/images/santander_negativo_small.jpg">
          <a:extLst>
            <a:ext uri="{FF2B5EF4-FFF2-40B4-BE49-F238E27FC236}">
              <a16:creationId xmlns:a16="http://schemas.microsoft.com/office/drawing/2014/main" id="{00000000-0008-0000-05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214"/>
          <a:ext cx="1909913" cy="536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979588</xdr:colOff>
      <xdr:row>1</xdr:row>
      <xdr:rowOff>4110</xdr:rowOff>
    </xdr:from>
    <xdr:to>
      <xdr:col>10</xdr:col>
      <xdr:colOff>1032812</xdr:colOff>
      <xdr:row>2</xdr:row>
      <xdr:rowOff>51875</xdr:rowOff>
    </xdr:to>
    <xdr:sp macro="[0]!selec" textlink="">
      <xdr:nvSpPr>
        <xdr:cNvPr id="13" name="7 Bisel">
          <a:extLst>
            <a:ext uri="{FF2B5EF4-FFF2-40B4-BE49-F238E27FC236}">
              <a16:creationId xmlns:a16="http://schemas.microsoft.com/office/drawing/2014/main" id="{00000000-0008-0000-0500-00000D000000}"/>
            </a:ext>
          </a:extLst>
        </xdr:cNvPr>
        <xdr:cNvSpPr/>
      </xdr:nvSpPr>
      <xdr:spPr>
        <a:xfrm>
          <a:off x="10661163" y="434692"/>
          <a:ext cx="1488498" cy="282628"/>
        </a:xfrm>
        <a:prstGeom prst="bevel">
          <a:avLst/>
        </a:prstGeom>
        <a:solidFill>
          <a:schemeClr val="bg1">
            <a:lumMod val="85000"/>
          </a:scheme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Inicio</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425978</xdr:colOff>
      <xdr:row>1</xdr:row>
      <xdr:rowOff>22490</xdr:rowOff>
    </xdr:from>
    <xdr:to>
      <xdr:col>9</xdr:col>
      <xdr:colOff>632073</xdr:colOff>
      <xdr:row>1</xdr:row>
      <xdr:rowOff>311025</xdr:rowOff>
    </xdr:to>
    <xdr:sp macro="[0]!captura" textlink="">
      <xdr:nvSpPr>
        <xdr:cNvPr id="2" name="1 Bisel">
          <a:extLst>
            <a:ext uri="{FF2B5EF4-FFF2-40B4-BE49-F238E27FC236}">
              <a16:creationId xmlns:a16="http://schemas.microsoft.com/office/drawing/2014/main" id="{00000000-0008-0000-0600-000002000000}"/>
            </a:ext>
          </a:extLst>
        </xdr:cNvPr>
        <xdr:cNvSpPr/>
      </xdr:nvSpPr>
      <xdr:spPr>
        <a:xfrm>
          <a:off x="7700697" y="343959"/>
          <a:ext cx="1230032" cy="288535"/>
        </a:xfrm>
        <a:prstGeom prst="bevel">
          <a:avLst/>
        </a:prstGeom>
        <a:solidFill>
          <a:sysClr val="window" lastClr="FFFFFF">
            <a:lumMod val="85000"/>
          </a:sys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Regresar</a:t>
          </a:r>
        </a:p>
      </xdr:txBody>
    </xdr:sp>
    <xdr:clientData/>
  </xdr:twoCellAnchor>
  <xdr:twoCellAnchor editAs="oneCell">
    <xdr:from>
      <xdr:col>9</xdr:col>
      <xdr:colOff>795073</xdr:colOff>
      <xdr:row>1</xdr:row>
      <xdr:rowOff>34396</xdr:rowOff>
    </xdr:from>
    <xdr:to>
      <xdr:col>10</xdr:col>
      <xdr:colOff>905917</xdr:colOff>
      <xdr:row>1</xdr:row>
      <xdr:rowOff>322931</xdr:rowOff>
    </xdr:to>
    <xdr:sp macro="[0]!IMPRIMIR" textlink="">
      <xdr:nvSpPr>
        <xdr:cNvPr id="5" name="4 Bisel">
          <a:extLst>
            <a:ext uri="{FF2B5EF4-FFF2-40B4-BE49-F238E27FC236}">
              <a16:creationId xmlns:a16="http://schemas.microsoft.com/office/drawing/2014/main" id="{00000000-0008-0000-0600-000005000000}"/>
            </a:ext>
          </a:extLst>
        </xdr:cNvPr>
        <xdr:cNvSpPr/>
      </xdr:nvSpPr>
      <xdr:spPr>
        <a:xfrm>
          <a:off x="9093729" y="355865"/>
          <a:ext cx="1230032" cy="288535"/>
        </a:xfrm>
        <a:prstGeom prst="bevel">
          <a:avLst/>
        </a:prstGeom>
        <a:solidFill>
          <a:sysClr val="window" lastClr="FFFFFF">
            <a:lumMod val="85000"/>
          </a:sys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Imprimir</a:t>
          </a:r>
        </a:p>
      </xdr:txBody>
    </xdr:sp>
    <xdr:clientData/>
  </xdr:twoCellAnchor>
  <xdr:twoCellAnchor editAs="oneCell">
    <xdr:from>
      <xdr:col>0</xdr:col>
      <xdr:colOff>0</xdr:colOff>
      <xdr:row>0</xdr:row>
      <xdr:rowOff>0</xdr:rowOff>
    </xdr:from>
    <xdr:to>
      <xdr:col>3</xdr:col>
      <xdr:colOff>797719</xdr:colOff>
      <xdr:row>1</xdr:row>
      <xdr:rowOff>223837</xdr:rowOff>
    </xdr:to>
    <xdr:pic>
      <xdr:nvPicPr>
        <xdr:cNvPr id="6" name="Imagen 5" descr="http://intranet.mx.corp/identidad_2018/images/santander_negativo_small.jpg">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90500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818885</xdr:colOff>
      <xdr:row>1</xdr:row>
      <xdr:rowOff>22490</xdr:rowOff>
    </xdr:from>
    <xdr:to>
      <xdr:col>7</xdr:col>
      <xdr:colOff>739230</xdr:colOff>
      <xdr:row>1</xdr:row>
      <xdr:rowOff>311025</xdr:rowOff>
    </xdr:to>
    <xdr:sp macro="[0]!captura" textlink="">
      <xdr:nvSpPr>
        <xdr:cNvPr id="2" name="1 Bisel">
          <a:extLst>
            <a:ext uri="{FF2B5EF4-FFF2-40B4-BE49-F238E27FC236}">
              <a16:creationId xmlns:a16="http://schemas.microsoft.com/office/drawing/2014/main" id="{00000000-0008-0000-0700-000002000000}"/>
            </a:ext>
          </a:extLst>
        </xdr:cNvPr>
        <xdr:cNvSpPr/>
      </xdr:nvSpPr>
      <xdr:spPr>
        <a:xfrm>
          <a:off x="5667110" y="222515"/>
          <a:ext cx="1234795" cy="288535"/>
        </a:xfrm>
        <a:prstGeom prst="bevel">
          <a:avLst/>
        </a:prstGeom>
        <a:solidFill>
          <a:sysClr val="window" lastClr="FFFFFF">
            <a:lumMod val="85000"/>
          </a:sys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Regresar</a:t>
          </a:r>
        </a:p>
      </xdr:txBody>
    </xdr:sp>
    <xdr:clientData/>
  </xdr:twoCellAnchor>
  <xdr:twoCellAnchor editAs="oneCell">
    <xdr:from>
      <xdr:col>8</xdr:col>
      <xdr:colOff>187854</xdr:colOff>
      <xdr:row>1</xdr:row>
      <xdr:rowOff>22490</xdr:rowOff>
    </xdr:from>
    <xdr:to>
      <xdr:col>9</xdr:col>
      <xdr:colOff>155824</xdr:colOff>
      <xdr:row>1</xdr:row>
      <xdr:rowOff>311025</xdr:rowOff>
    </xdr:to>
    <xdr:sp macro="[0]!IMPRIMIR" textlink="">
      <xdr:nvSpPr>
        <xdr:cNvPr id="3" name="4 Bisel">
          <a:extLst>
            <a:ext uri="{FF2B5EF4-FFF2-40B4-BE49-F238E27FC236}">
              <a16:creationId xmlns:a16="http://schemas.microsoft.com/office/drawing/2014/main" id="{00000000-0008-0000-0700-000003000000}"/>
            </a:ext>
          </a:extLst>
        </xdr:cNvPr>
        <xdr:cNvSpPr/>
      </xdr:nvSpPr>
      <xdr:spPr>
        <a:xfrm>
          <a:off x="7464954" y="222515"/>
          <a:ext cx="1234795" cy="288535"/>
        </a:xfrm>
        <a:prstGeom prst="bevel">
          <a:avLst/>
        </a:prstGeom>
        <a:solidFill>
          <a:sysClr val="window" lastClr="FFFFFF">
            <a:lumMod val="85000"/>
          </a:sys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Imprimir</a:t>
          </a:r>
        </a:p>
      </xdr:txBody>
    </xdr:sp>
    <xdr:clientData/>
  </xdr:twoCellAnchor>
  <xdr:twoCellAnchor editAs="oneCell">
    <xdr:from>
      <xdr:col>0</xdr:col>
      <xdr:colOff>0</xdr:colOff>
      <xdr:row>0</xdr:row>
      <xdr:rowOff>0</xdr:rowOff>
    </xdr:from>
    <xdr:to>
      <xdr:col>3</xdr:col>
      <xdr:colOff>797719</xdr:colOff>
      <xdr:row>1</xdr:row>
      <xdr:rowOff>223837</xdr:rowOff>
    </xdr:to>
    <xdr:pic>
      <xdr:nvPicPr>
        <xdr:cNvPr id="4" name="Imagen 3" descr="http://intranet.mx.corp/identidad_2018/images/santander_negativo_small.jpg">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902619" cy="5310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1235448</xdr:colOff>
      <xdr:row>1</xdr:row>
      <xdr:rowOff>0</xdr:rowOff>
    </xdr:from>
    <xdr:to>
      <xdr:col>10</xdr:col>
      <xdr:colOff>428205</xdr:colOff>
      <xdr:row>3</xdr:row>
      <xdr:rowOff>23895</xdr:rowOff>
    </xdr:to>
    <xdr:sp macro="[0]!limpiafree" textlink="">
      <xdr:nvSpPr>
        <xdr:cNvPr id="2" name="Bisel 1">
          <a:extLst>
            <a:ext uri="{FF2B5EF4-FFF2-40B4-BE49-F238E27FC236}">
              <a16:creationId xmlns:a16="http://schemas.microsoft.com/office/drawing/2014/main" id="{00000000-0008-0000-0300-000002000000}"/>
            </a:ext>
          </a:extLst>
        </xdr:cNvPr>
        <xdr:cNvSpPr/>
      </xdr:nvSpPr>
      <xdr:spPr>
        <a:xfrm>
          <a:off x="8373595" y="381000"/>
          <a:ext cx="1747698" cy="449719"/>
        </a:xfrm>
        <a:prstGeom prst="bevel">
          <a:avLst/>
        </a:prstGeom>
        <a:solidFill>
          <a:srgbClr val="EC0000"/>
        </a:solid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t>Nueva cotización</a:t>
          </a:r>
        </a:p>
      </xdr:txBody>
    </xdr:sp>
    <xdr:clientData/>
  </xdr:twoCellAnchor>
  <xdr:twoCellAnchor editAs="oneCell">
    <xdr:from>
      <xdr:col>10</xdr:col>
      <xdr:colOff>557633</xdr:colOff>
      <xdr:row>0</xdr:row>
      <xdr:rowOff>296256</xdr:rowOff>
    </xdr:from>
    <xdr:to>
      <xdr:col>11</xdr:col>
      <xdr:colOff>756224</xdr:colOff>
      <xdr:row>2</xdr:row>
      <xdr:rowOff>140773</xdr:rowOff>
    </xdr:to>
    <xdr:sp macro="[0]!selec" textlink="">
      <xdr:nvSpPr>
        <xdr:cNvPr id="3" name="7 Bisel">
          <a:extLst>
            <a:ext uri="{FF2B5EF4-FFF2-40B4-BE49-F238E27FC236}">
              <a16:creationId xmlns:a16="http://schemas.microsoft.com/office/drawing/2014/main" id="{00000000-0008-0000-0300-000003000000}"/>
            </a:ext>
          </a:extLst>
        </xdr:cNvPr>
        <xdr:cNvSpPr/>
      </xdr:nvSpPr>
      <xdr:spPr>
        <a:xfrm>
          <a:off x="10404102" y="296256"/>
          <a:ext cx="1484466" cy="439830"/>
        </a:xfrm>
        <a:prstGeom prst="bevel">
          <a:avLst/>
        </a:prstGeom>
        <a:solidFill>
          <a:schemeClr val="bg1">
            <a:lumMod val="85000"/>
          </a:scheme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Inicio</a:t>
          </a:r>
        </a:p>
      </xdr:txBody>
    </xdr:sp>
    <xdr:clientData/>
  </xdr:twoCellAnchor>
  <xdr:twoCellAnchor editAs="oneCell">
    <xdr:from>
      <xdr:col>12</xdr:col>
      <xdr:colOff>994912</xdr:colOff>
      <xdr:row>56</xdr:row>
      <xdr:rowOff>56030</xdr:rowOff>
    </xdr:from>
    <xdr:to>
      <xdr:col>14</xdr:col>
      <xdr:colOff>22721</xdr:colOff>
      <xdr:row>57</xdr:row>
      <xdr:rowOff>144182</xdr:rowOff>
    </xdr:to>
    <xdr:sp macro="[0]!IMPRIMIR" textlink="">
      <xdr:nvSpPr>
        <xdr:cNvPr id="4" name="4 Bisel">
          <a:extLst>
            <a:ext uri="{FF2B5EF4-FFF2-40B4-BE49-F238E27FC236}">
              <a16:creationId xmlns:a16="http://schemas.microsoft.com/office/drawing/2014/main" id="{00000000-0008-0000-0300-000004000000}"/>
            </a:ext>
          </a:extLst>
        </xdr:cNvPr>
        <xdr:cNvSpPr/>
      </xdr:nvSpPr>
      <xdr:spPr>
        <a:xfrm>
          <a:off x="13007618" y="10354236"/>
          <a:ext cx="1493104" cy="300363"/>
        </a:xfrm>
        <a:prstGeom prst="bevel">
          <a:avLst/>
        </a:prstGeom>
        <a:solidFill>
          <a:srgbClr val="EC0000"/>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1" i="0" u="none" strike="noStrike" kern="0" cap="none" spc="0" normalizeH="0" baseline="0" noProof="0">
              <a:ln>
                <a:noFill/>
              </a:ln>
              <a:solidFill>
                <a:schemeClr val="bg1"/>
              </a:solidFill>
              <a:effectLst/>
              <a:uLnTx/>
              <a:uFillTx/>
              <a:latin typeface="Calibri"/>
              <a:ea typeface="+mn-ea"/>
              <a:cs typeface="+mn-cs"/>
            </a:rPr>
            <a:t>Imprimir</a:t>
          </a:r>
        </a:p>
      </xdr:txBody>
    </xdr:sp>
    <xdr:clientData/>
  </xdr:twoCellAnchor>
  <xdr:twoCellAnchor editAs="oneCell">
    <xdr:from>
      <xdr:col>0</xdr:col>
      <xdr:colOff>0</xdr:colOff>
      <xdr:row>0</xdr:row>
      <xdr:rowOff>0</xdr:rowOff>
    </xdr:from>
    <xdr:to>
      <xdr:col>3</xdr:col>
      <xdr:colOff>654809</xdr:colOff>
      <xdr:row>1</xdr:row>
      <xdr:rowOff>137576</xdr:rowOff>
    </xdr:to>
    <xdr:pic>
      <xdr:nvPicPr>
        <xdr:cNvPr id="5" name="Imagen 4" descr="http://intranet.mx.corp/identidad_2018/images/santander_negativo_small.jpg">
          <a:extLst>
            <a:ext uri="{FF2B5EF4-FFF2-40B4-BE49-F238E27FC236}">
              <a16:creationId xmlns:a16="http://schemas.microsoft.com/office/drawing/2014/main" id="{EBC6E2BD-512C-47AA-B390-7EDC92B07D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909167" cy="5423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818885</xdr:colOff>
      <xdr:row>1</xdr:row>
      <xdr:rowOff>22490</xdr:rowOff>
    </xdr:from>
    <xdr:to>
      <xdr:col>7</xdr:col>
      <xdr:colOff>739230</xdr:colOff>
      <xdr:row>1</xdr:row>
      <xdr:rowOff>311025</xdr:rowOff>
    </xdr:to>
    <xdr:sp macro="[0]!Free" textlink="">
      <xdr:nvSpPr>
        <xdr:cNvPr id="2" name="1 Bisel">
          <a:extLst>
            <a:ext uri="{FF2B5EF4-FFF2-40B4-BE49-F238E27FC236}">
              <a16:creationId xmlns:a16="http://schemas.microsoft.com/office/drawing/2014/main" id="{00000000-0008-0000-0400-000002000000}"/>
            </a:ext>
          </a:extLst>
        </xdr:cNvPr>
        <xdr:cNvSpPr/>
      </xdr:nvSpPr>
      <xdr:spPr>
        <a:xfrm>
          <a:off x="5667110" y="222515"/>
          <a:ext cx="1234795" cy="288535"/>
        </a:xfrm>
        <a:prstGeom prst="bevel">
          <a:avLst/>
        </a:prstGeom>
        <a:solidFill>
          <a:sysClr val="window" lastClr="FFFFFF">
            <a:lumMod val="85000"/>
          </a:sys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Regresar</a:t>
          </a:r>
        </a:p>
      </xdr:txBody>
    </xdr:sp>
    <xdr:clientData/>
  </xdr:twoCellAnchor>
  <xdr:twoCellAnchor editAs="oneCell">
    <xdr:from>
      <xdr:col>9</xdr:col>
      <xdr:colOff>235479</xdr:colOff>
      <xdr:row>0</xdr:row>
      <xdr:rowOff>201084</xdr:rowOff>
    </xdr:from>
    <xdr:to>
      <xdr:col>10</xdr:col>
      <xdr:colOff>346323</xdr:colOff>
      <xdr:row>1</xdr:row>
      <xdr:rowOff>180056</xdr:rowOff>
    </xdr:to>
    <xdr:sp macro="[0]!IMPRIMIR" textlink="">
      <xdr:nvSpPr>
        <xdr:cNvPr id="3" name="4 Bisel">
          <a:extLst>
            <a:ext uri="{FF2B5EF4-FFF2-40B4-BE49-F238E27FC236}">
              <a16:creationId xmlns:a16="http://schemas.microsoft.com/office/drawing/2014/main" id="{00000000-0008-0000-0400-000003000000}"/>
            </a:ext>
          </a:extLst>
        </xdr:cNvPr>
        <xdr:cNvSpPr/>
      </xdr:nvSpPr>
      <xdr:spPr>
        <a:xfrm>
          <a:off x="9653323" y="201084"/>
          <a:ext cx="1230032" cy="288535"/>
        </a:xfrm>
        <a:prstGeom prst="bevel">
          <a:avLst/>
        </a:prstGeom>
        <a:solidFill>
          <a:sysClr val="window" lastClr="FFFFFF">
            <a:lumMod val="85000"/>
          </a:sys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Imprimir</a:t>
          </a:r>
        </a:p>
      </xdr:txBody>
    </xdr:sp>
    <xdr:clientData/>
  </xdr:twoCellAnchor>
  <xdr:twoCellAnchor editAs="oneCell">
    <xdr:from>
      <xdr:col>0</xdr:col>
      <xdr:colOff>0</xdr:colOff>
      <xdr:row>0</xdr:row>
      <xdr:rowOff>0</xdr:rowOff>
    </xdr:from>
    <xdr:to>
      <xdr:col>3</xdr:col>
      <xdr:colOff>797719</xdr:colOff>
      <xdr:row>1</xdr:row>
      <xdr:rowOff>223837</xdr:rowOff>
    </xdr:to>
    <xdr:pic>
      <xdr:nvPicPr>
        <xdr:cNvPr id="4" name="Imagen 3" descr="http://intranet.mx.corp/identidad_2018/images/santander_negativo_small.jpg">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902619" cy="5310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460870</xdr:colOff>
      <xdr:row>3</xdr:row>
      <xdr:rowOff>109271</xdr:rowOff>
    </xdr:from>
    <xdr:to>
      <xdr:col>13</xdr:col>
      <xdr:colOff>774291</xdr:colOff>
      <xdr:row>5</xdr:row>
      <xdr:rowOff>22340</xdr:rowOff>
    </xdr:to>
    <xdr:sp macro="[0]!selec" textlink="">
      <xdr:nvSpPr>
        <xdr:cNvPr id="2" name="1 Bisel">
          <a:extLst>
            <a:ext uri="{FF2B5EF4-FFF2-40B4-BE49-F238E27FC236}">
              <a16:creationId xmlns:a16="http://schemas.microsoft.com/office/drawing/2014/main" id="{00000000-0008-0000-0900-000002000000}"/>
            </a:ext>
          </a:extLst>
        </xdr:cNvPr>
        <xdr:cNvSpPr/>
      </xdr:nvSpPr>
      <xdr:spPr>
        <a:xfrm>
          <a:off x="11624170" y="918896"/>
          <a:ext cx="1304020" cy="296472"/>
        </a:xfrm>
        <a:prstGeom prst="bevel">
          <a:avLst/>
        </a:prstGeom>
        <a:solidFill>
          <a:schemeClr val="bg1">
            <a:lumMod val="85000"/>
          </a:scheme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Inicio</a:t>
          </a:r>
        </a:p>
      </xdr:txBody>
    </xdr:sp>
    <xdr:clientData/>
  </xdr:twoCellAnchor>
  <xdr:twoCellAnchor editAs="oneCell">
    <xdr:from>
      <xdr:col>13</xdr:col>
      <xdr:colOff>886264</xdr:colOff>
      <xdr:row>3</xdr:row>
      <xdr:rowOff>110595</xdr:rowOff>
    </xdr:from>
    <xdr:to>
      <xdr:col>129</xdr:col>
      <xdr:colOff>19554</xdr:colOff>
      <xdr:row>5</xdr:row>
      <xdr:rowOff>21017</xdr:rowOff>
    </xdr:to>
    <xdr:sp macro="[0]!IMPRIMIR" textlink="">
      <xdr:nvSpPr>
        <xdr:cNvPr id="3" name="2 Bisel">
          <a:extLst>
            <a:ext uri="{FF2B5EF4-FFF2-40B4-BE49-F238E27FC236}">
              <a16:creationId xmlns:a16="http://schemas.microsoft.com/office/drawing/2014/main" id="{00000000-0008-0000-0900-000003000000}"/>
            </a:ext>
          </a:extLst>
        </xdr:cNvPr>
        <xdr:cNvSpPr/>
      </xdr:nvSpPr>
      <xdr:spPr>
        <a:xfrm>
          <a:off x="13040164" y="920220"/>
          <a:ext cx="1295466" cy="293825"/>
        </a:xfrm>
        <a:prstGeom prst="bevel">
          <a:avLst/>
        </a:prstGeom>
        <a:solidFill>
          <a:schemeClr val="bg1">
            <a:lumMod val="85000"/>
          </a:scheme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Imprimir</a:t>
          </a:r>
        </a:p>
      </xdr:txBody>
    </xdr:sp>
    <xdr:clientData/>
  </xdr:twoCellAnchor>
  <xdr:twoCellAnchor editAs="oneCell">
    <xdr:from>
      <xdr:col>11</xdr:col>
      <xdr:colOff>148076</xdr:colOff>
      <xdr:row>3</xdr:row>
      <xdr:rowOff>109933</xdr:rowOff>
    </xdr:from>
    <xdr:to>
      <xdr:col>12</xdr:col>
      <xdr:colOff>68751</xdr:colOff>
      <xdr:row>5</xdr:row>
      <xdr:rowOff>21679</xdr:rowOff>
    </xdr:to>
    <xdr:sp macro="[0]!limpiar2" textlink="">
      <xdr:nvSpPr>
        <xdr:cNvPr id="4" name="4 Bisel">
          <a:extLst>
            <a:ext uri="{FF2B5EF4-FFF2-40B4-BE49-F238E27FC236}">
              <a16:creationId xmlns:a16="http://schemas.microsoft.com/office/drawing/2014/main" id="{00000000-0008-0000-0900-000004000000}"/>
            </a:ext>
          </a:extLst>
        </xdr:cNvPr>
        <xdr:cNvSpPr/>
      </xdr:nvSpPr>
      <xdr:spPr>
        <a:xfrm>
          <a:off x="10225526" y="919558"/>
          <a:ext cx="1286672" cy="295149"/>
        </a:xfrm>
        <a:prstGeom prst="bevel">
          <a:avLst/>
        </a:prstGeom>
        <a:solidFill>
          <a:srgbClr val="FF0000"/>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chemeClr val="bg1"/>
              </a:solidFill>
              <a:effectLst/>
              <a:uLnTx/>
              <a:uFillTx/>
              <a:latin typeface="Calibri"/>
              <a:ea typeface="+mn-ea"/>
              <a:cs typeface="+mn-cs"/>
            </a:rPr>
            <a:t>Nueva Cotización</a:t>
          </a:r>
        </a:p>
      </xdr:txBody>
    </xdr:sp>
    <xdr:clientData/>
  </xdr:twoCellAnchor>
  <xdr:twoCellAnchor editAs="oneCell">
    <xdr:from>
      <xdr:col>0</xdr:col>
      <xdr:colOff>0</xdr:colOff>
      <xdr:row>0</xdr:row>
      <xdr:rowOff>15875</xdr:rowOff>
    </xdr:from>
    <xdr:to>
      <xdr:col>4</xdr:col>
      <xdr:colOff>359833</xdr:colOff>
      <xdr:row>1</xdr:row>
      <xdr:rowOff>231775</xdr:rowOff>
    </xdr:to>
    <xdr:pic>
      <xdr:nvPicPr>
        <xdr:cNvPr id="5" name="Imagen 4" descr="http://intranet.mx.corp/identidad_2018/images/santander_negativo_small.jpg">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875"/>
          <a:ext cx="1912408" cy="530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xdr:col>
          <xdr:colOff>548640</xdr:colOff>
          <xdr:row>44</xdr:row>
          <xdr:rowOff>213360</xdr:rowOff>
        </xdr:from>
        <xdr:to>
          <xdr:col>5</xdr:col>
          <xdr:colOff>868680</xdr:colOff>
          <xdr:row>44</xdr:row>
          <xdr:rowOff>419100</xdr:rowOff>
        </xdr:to>
        <xdr:sp macro="" textlink="">
          <xdr:nvSpPr>
            <xdr:cNvPr id="18433" name="Option Button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594360</xdr:colOff>
          <xdr:row>44</xdr:row>
          <xdr:rowOff>213360</xdr:rowOff>
        </xdr:from>
        <xdr:to>
          <xdr:col>6</xdr:col>
          <xdr:colOff>914400</xdr:colOff>
          <xdr:row>45</xdr:row>
          <xdr:rowOff>0</xdr:rowOff>
        </xdr:to>
        <xdr:sp macro="" textlink="">
          <xdr:nvSpPr>
            <xdr:cNvPr id="18434" name="Option Button 2" hidden="1">
              <a:extLst>
                <a:ext uri="{63B3BB69-23CF-44E3-9099-C40C66FF867C}">
                  <a14:compatExt spid="_x0000_s18434"/>
                </a:ext>
                <a:ext uri="{FF2B5EF4-FFF2-40B4-BE49-F238E27FC236}">
                  <a16:creationId xmlns:a16="http://schemas.microsoft.com/office/drawing/2014/main" id="{00000000-0008-0000-0800-00000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332438</xdr:colOff>
      <xdr:row>30</xdr:row>
      <xdr:rowOff>95875</xdr:rowOff>
    </xdr:from>
    <xdr:to>
      <xdr:col>7</xdr:col>
      <xdr:colOff>713438</xdr:colOff>
      <xdr:row>32</xdr:row>
      <xdr:rowOff>74709</xdr:rowOff>
    </xdr:to>
    <xdr:sp macro="" textlink="">
      <xdr:nvSpPr>
        <xdr:cNvPr id="6" name="Conector 5">
          <a:extLst>
            <a:ext uri="{FF2B5EF4-FFF2-40B4-BE49-F238E27FC236}">
              <a16:creationId xmlns:a16="http://schemas.microsoft.com/office/drawing/2014/main" id="{00000000-0008-0000-0900-000006000000}"/>
            </a:ext>
          </a:extLst>
        </xdr:cNvPr>
        <xdr:cNvSpPr/>
      </xdr:nvSpPr>
      <xdr:spPr>
        <a:xfrm>
          <a:off x="5418788" y="6058525"/>
          <a:ext cx="381000" cy="416984"/>
        </a:xfrm>
        <a:prstGeom prst="flowChartConnector">
          <a:avLst/>
        </a:prstGeom>
        <a:solidFill>
          <a:schemeClr val="tx1">
            <a:lumMod val="65000"/>
            <a:lumOff val="35000"/>
          </a:schemeClr>
        </a:solidFill>
        <a:ln cmpd="dbl">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MX" sz="2000"/>
            <a:t>1</a:t>
          </a:r>
        </a:p>
      </xdr:txBody>
    </xdr:sp>
    <xdr:clientData/>
  </xdr:twoCellAnchor>
  <xdr:twoCellAnchor editAs="oneCell">
    <xdr:from>
      <xdr:col>2</xdr:col>
      <xdr:colOff>332316</xdr:colOff>
      <xdr:row>41</xdr:row>
      <xdr:rowOff>364070</xdr:rowOff>
    </xdr:from>
    <xdr:to>
      <xdr:col>3</xdr:col>
      <xdr:colOff>173566</xdr:colOff>
      <xdr:row>43</xdr:row>
      <xdr:rowOff>101353</xdr:rowOff>
    </xdr:to>
    <xdr:sp macro="" textlink="">
      <xdr:nvSpPr>
        <xdr:cNvPr id="7" name="Conector 10">
          <a:extLst>
            <a:ext uri="{FF2B5EF4-FFF2-40B4-BE49-F238E27FC236}">
              <a16:creationId xmlns:a16="http://schemas.microsoft.com/office/drawing/2014/main" id="{00000000-0008-0000-0900-000007000000}"/>
            </a:ext>
          </a:extLst>
        </xdr:cNvPr>
        <xdr:cNvSpPr/>
      </xdr:nvSpPr>
      <xdr:spPr>
        <a:xfrm>
          <a:off x="332316" y="10784420"/>
          <a:ext cx="384175" cy="418041"/>
        </a:xfrm>
        <a:prstGeom prst="flowChartConnector">
          <a:avLst/>
        </a:prstGeom>
        <a:solidFill>
          <a:schemeClr val="accent1">
            <a:lumMod val="75000"/>
          </a:schemeClr>
        </a:solidFill>
        <a:ln cmpd="dbl">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MX" sz="2000"/>
            <a:t>2</a:t>
          </a:r>
        </a:p>
      </xdr:txBody>
    </xdr:sp>
    <xdr:clientData/>
  </xdr:twoCellAnchor>
  <xdr:twoCellAnchor editAs="oneCell">
    <xdr:from>
      <xdr:col>7</xdr:col>
      <xdr:colOff>1214965</xdr:colOff>
      <xdr:row>41</xdr:row>
      <xdr:rowOff>378887</xdr:rowOff>
    </xdr:from>
    <xdr:to>
      <xdr:col>8</xdr:col>
      <xdr:colOff>198965</xdr:colOff>
      <xdr:row>43</xdr:row>
      <xdr:rowOff>116170</xdr:rowOff>
    </xdr:to>
    <xdr:sp macro="" textlink="">
      <xdr:nvSpPr>
        <xdr:cNvPr id="8" name="Conector 11">
          <a:extLst>
            <a:ext uri="{FF2B5EF4-FFF2-40B4-BE49-F238E27FC236}">
              <a16:creationId xmlns:a16="http://schemas.microsoft.com/office/drawing/2014/main" id="{00000000-0008-0000-0900-000008000000}"/>
            </a:ext>
          </a:extLst>
        </xdr:cNvPr>
        <xdr:cNvSpPr/>
      </xdr:nvSpPr>
      <xdr:spPr>
        <a:xfrm>
          <a:off x="6301315" y="10799237"/>
          <a:ext cx="355600" cy="418041"/>
        </a:xfrm>
        <a:prstGeom prst="flowChartConnector">
          <a:avLst/>
        </a:prstGeom>
        <a:solidFill>
          <a:srgbClr val="EC0000"/>
        </a:solidFill>
        <a:ln cmpd="dbl">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MX" sz="2000"/>
            <a:t>3</a:t>
          </a:r>
        </a:p>
      </xdr:txBody>
    </xdr:sp>
    <xdr:clientData/>
  </xdr:twoCellAnchor>
  <xdr:twoCellAnchor>
    <xdr:from>
      <xdr:col>10</xdr:col>
      <xdr:colOff>232833</xdr:colOff>
      <xdr:row>30</xdr:row>
      <xdr:rowOff>137581</xdr:rowOff>
    </xdr:from>
    <xdr:to>
      <xdr:col>14</xdr:col>
      <xdr:colOff>762000</xdr:colOff>
      <xdr:row>38</xdr:row>
      <xdr:rowOff>148164</xdr:rowOff>
    </xdr:to>
    <xdr:sp macro="" textlink="">
      <xdr:nvSpPr>
        <xdr:cNvPr id="9" name="Rectángulo redondeado 8">
          <a:extLst>
            <a:ext uri="{FF2B5EF4-FFF2-40B4-BE49-F238E27FC236}">
              <a16:creationId xmlns:a16="http://schemas.microsoft.com/office/drawing/2014/main" id="{00000000-0008-0000-0900-000009000000}"/>
            </a:ext>
          </a:extLst>
        </xdr:cNvPr>
        <xdr:cNvSpPr/>
      </xdr:nvSpPr>
      <xdr:spPr>
        <a:xfrm>
          <a:off x="9272058" y="6100231"/>
          <a:ext cx="4891617" cy="1944158"/>
        </a:xfrm>
        <a:prstGeom prst="roundRect">
          <a:avLst/>
        </a:prstGeom>
        <a:noFill/>
        <a:ln>
          <a:solidFill>
            <a:schemeClr val="tx1">
              <a:lumMod val="50000"/>
              <a:lumOff val="50000"/>
            </a:schemeClr>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xdr:col>
      <xdr:colOff>529167</xdr:colOff>
      <xdr:row>54</xdr:row>
      <xdr:rowOff>10584</xdr:rowOff>
    </xdr:from>
    <xdr:to>
      <xdr:col>7</xdr:col>
      <xdr:colOff>619124</xdr:colOff>
      <xdr:row>54</xdr:row>
      <xdr:rowOff>606148</xdr:rowOff>
    </xdr:to>
    <xdr:pic>
      <xdr:nvPicPr>
        <xdr:cNvPr id="10" name="Imagen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2"/>
        <a:stretch>
          <a:fillRect/>
        </a:stretch>
      </xdr:blipFill>
      <xdr:spPr>
        <a:xfrm>
          <a:off x="529167" y="13859934"/>
          <a:ext cx="5176307" cy="595564"/>
        </a:xfrm>
        <a:prstGeom prst="rect">
          <a:avLst/>
        </a:prstGeom>
      </xdr:spPr>
    </xdr:pic>
    <xdr:clientData/>
  </xdr:twoCellAnchor>
  <xdr:twoCellAnchor>
    <xdr:from>
      <xdr:col>6</xdr:col>
      <xdr:colOff>84670</xdr:colOff>
      <xdr:row>52</xdr:row>
      <xdr:rowOff>179915</xdr:rowOff>
    </xdr:from>
    <xdr:to>
      <xdr:col>6</xdr:col>
      <xdr:colOff>1270004</xdr:colOff>
      <xdr:row>53</xdr:row>
      <xdr:rowOff>317498</xdr:rowOff>
    </xdr:to>
    <xdr:sp macro="[0]!Módulo6.recompensa" textlink="">
      <xdr:nvSpPr>
        <xdr:cNvPr id="11" name="Bisel 3">
          <a:extLst>
            <a:ext uri="{FF2B5EF4-FFF2-40B4-BE49-F238E27FC236}">
              <a16:creationId xmlns:a16="http://schemas.microsoft.com/office/drawing/2014/main" id="{00000000-0008-0000-0900-00000B000000}"/>
            </a:ext>
          </a:extLst>
        </xdr:cNvPr>
        <xdr:cNvSpPr/>
      </xdr:nvSpPr>
      <xdr:spPr>
        <a:xfrm>
          <a:off x="3799420" y="13457765"/>
          <a:ext cx="1185334" cy="366183"/>
        </a:xfrm>
        <a:prstGeom prst="bevel">
          <a:avLst/>
        </a:prstGeom>
        <a:solidFill>
          <a:schemeClr val="accent1">
            <a:lumMod val="75000"/>
          </a:schemeClr>
        </a:solidFill>
        <a:ln w="9525">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t>Borrar selección</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205740</xdr:colOff>
          <xdr:row>15</xdr:row>
          <xdr:rowOff>60960</xdr:rowOff>
        </xdr:from>
        <xdr:to>
          <xdr:col>1</xdr:col>
          <xdr:colOff>510540</xdr:colOff>
          <xdr:row>17</xdr:row>
          <xdr:rowOff>76200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205740</xdr:colOff>
          <xdr:row>16</xdr:row>
          <xdr:rowOff>152400</xdr:rowOff>
        </xdr:from>
        <xdr:to>
          <xdr:col>1</xdr:col>
          <xdr:colOff>510540</xdr:colOff>
          <xdr:row>18</xdr:row>
          <xdr:rowOff>38100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205740</xdr:colOff>
          <xdr:row>17</xdr:row>
          <xdr:rowOff>167640</xdr:rowOff>
        </xdr:from>
        <xdr:to>
          <xdr:col>1</xdr:col>
          <xdr:colOff>510540</xdr:colOff>
          <xdr:row>19</xdr:row>
          <xdr:rowOff>53340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205740</xdr:colOff>
          <xdr:row>18</xdr:row>
          <xdr:rowOff>175260</xdr:rowOff>
        </xdr:from>
        <xdr:to>
          <xdr:col>1</xdr:col>
          <xdr:colOff>510540</xdr:colOff>
          <xdr:row>20</xdr:row>
          <xdr:rowOff>60960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60614</xdr:colOff>
      <xdr:row>0</xdr:row>
      <xdr:rowOff>0</xdr:rowOff>
    </xdr:from>
    <xdr:to>
      <xdr:col>2</xdr:col>
      <xdr:colOff>1359478</xdr:colOff>
      <xdr:row>1</xdr:row>
      <xdr:rowOff>327464</xdr:rowOff>
    </xdr:to>
    <xdr:pic>
      <xdr:nvPicPr>
        <xdr:cNvPr id="8" name="Imagen 7" descr="http://intranet.mx.corp/identidad_2018/images/santander_negativo_small.jpg">
          <a:extLst>
            <a:ext uri="{FF2B5EF4-FFF2-40B4-BE49-F238E27FC236}">
              <a16:creationId xmlns:a16="http://schemas.microsoft.com/office/drawing/2014/main" id="{00000000-0008-0000-0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4523" y="0"/>
          <a:ext cx="190500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3229840</xdr:colOff>
      <xdr:row>0</xdr:row>
      <xdr:rowOff>159832</xdr:rowOff>
    </xdr:from>
    <xdr:to>
      <xdr:col>2</xdr:col>
      <xdr:colOff>4711505</xdr:colOff>
      <xdr:row>1</xdr:row>
      <xdr:rowOff>234494</xdr:rowOff>
    </xdr:to>
    <xdr:sp macro="[0]!selec" textlink="">
      <xdr:nvSpPr>
        <xdr:cNvPr id="10" name="7 Bisel">
          <a:extLst>
            <a:ext uri="{FF2B5EF4-FFF2-40B4-BE49-F238E27FC236}">
              <a16:creationId xmlns:a16="http://schemas.microsoft.com/office/drawing/2014/main" id="{00000000-0008-0000-0C00-00000A000000}"/>
            </a:ext>
          </a:extLst>
        </xdr:cNvPr>
        <xdr:cNvSpPr/>
      </xdr:nvSpPr>
      <xdr:spPr>
        <a:xfrm>
          <a:off x="3939885" y="159832"/>
          <a:ext cx="1481665" cy="280598"/>
        </a:xfrm>
        <a:prstGeom prst="bevel">
          <a:avLst/>
        </a:prstGeom>
        <a:solidFill>
          <a:schemeClr val="bg1">
            <a:lumMod val="85000"/>
          </a:scheme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Inicio</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2</xdr:col>
      <xdr:colOff>1400175</xdr:colOff>
      <xdr:row>2</xdr:row>
      <xdr:rowOff>117764</xdr:rowOff>
    </xdr:to>
    <xdr:pic>
      <xdr:nvPicPr>
        <xdr:cNvPr id="2" name="Imagen 1" descr="http://intranet.mx.corp/identidad_2018/images/santander_negativo_small.jpg">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0"/>
          <a:ext cx="190500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3676650</xdr:colOff>
      <xdr:row>0</xdr:row>
      <xdr:rowOff>100013</xdr:rowOff>
    </xdr:from>
    <xdr:to>
      <xdr:col>2</xdr:col>
      <xdr:colOff>4986229</xdr:colOff>
      <xdr:row>1</xdr:row>
      <xdr:rowOff>158769</xdr:rowOff>
    </xdr:to>
    <xdr:sp macro="[0]!selec" textlink="">
      <xdr:nvSpPr>
        <xdr:cNvPr id="5" name="1 Bisel">
          <a:extLst>
            <a:ext uri="{FF2B5EF4-FFF2-40B4-BE49-F238E27FC236}">
              <a16:creationId xmlns:a16="http://schemas.microsoft.com/office/drawing/2014/main" id="{00000000-0008-0000-0D00-000005000000}"/>
            </a:ext>
          </a:extLst>
        </xdr:cNvPr>
        <xdr:cNvSpPr/>
      </xdr:nvSpPr>
      <xdr:spPr>
        <a:xfrm>
          <a:off x="4191000" y="100013"/>
          <a:ext cx="1309579" cy="295149"/>
        </a:xfrm>
        <a:prstGeom prst="bevel">
          <a:avLst/>
        </a:prstGeom>
        <a:solidFill>
          <a:schemeClr val="bg1">
            <a:lumMod val="85000"/>
          </a:schemeClr>
        </a:solidFill>
        <a:ln w="25400" cap="flat" cmpd="sng" algn="ctr">
          <a:solidFill>
            <a:schemeClr val="bg1"/>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0" i="0" u="none" strike="noStrike" kern="0" cap="none" spc="0" normalizeH="0" baseline="0" noProof="0">
              <a:ln>
                <a:noFill/>
              </a:ln>
              <a:solidFill>
                <a:sysClr val="windowText" lastClr="000000"/>
              </a:solidFill>
              <a:effectLst/>
              <a:uLnTx/>
              <a:uFillTx/>
              <a:latin typeface="Calibri"/>
              <a:ea typeface="+mn-ea"/>
              <a:cs typeface="+mn-cs"/>
            </a:rPr>
            <a:t>Ir a Inicio</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antandernet-my.sharepoint.com/RESPALDO/UNIDAD%20D/Mis_Doc%20C180277/DPRODTOS/SIMULADORES/BHF-081%20Perfilador%20de%20Cr&#233;dito%20Hipotecario%20V%201.19%20RESPALD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antandernet-my.sharepoint.com/Mis_Doc%20C180277/DPRODTOS/SIMULADORES/Actuales/SIMULADOR%20FOVISSTE%20BHF-062%20respaldo%20%20(Abril%20201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itácora de Cambios"/>
      <sheetName val="Cal"/>
      <sheetName val="Perfilador"/>
      <sheetName val="Próximos pasos"/>
      <sheetName val="Políticas"/>
      <sheetName val="Adm"/>
    </sheetNames>
    <sheetDataSet>
      <sheetData sheetId="0"/>
      <sheetData sheetId="1"/>
      <sheetData sheetId="2"/>
      <sheetData sheetId="3"/>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itácora de cambios"/>
      <sheetName val="Captura"/>
      <sheetName val="cal"/>
      <sheetName val="TABLA AMORTIZACION"/>
      <sheetName val="CAT"/>
      <sheetName val="MONTOS MAX CRED "/>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printerSettings" Target="../printerSettings/printerSettings11.bin"/><Relationship Id="rId7" Type="http://schemas.openxmlformats.org/officeDocument/2006/relationships/ctrlProp" Target="../ctrlProps/ctrlProp4.xml"/><Relationship Id="rId2" Type="http://schemas.openxmlformats.org/officeDocument/2006/relationships/hyperlink" Target="http://portal.infonavit.org.mx/wps/wcm/connect/infonavit/trabajadores/precalificacion_y_puntos/precalificacion_y_puntos" TargetMode="External"/><Relationship Id="rId1" Type="http://schemas.openxmlformats.org/officeDocument/2006/relationships/hyperlink" Target="http://portal.infonavit.org.mx/wps/portal/TRABAJADORES/Menu%20de%20apoyo/Derechohabientes/slPrecaCofinavit" TargetMode="External"/><Relationship Id="rId6" Type="http://schemas.openxmlformats.org/officeDocument/2006/relationships/ctrlProp" Target="../ctrlProps/ctrlProp3.xml"/><Relationship Id="rId5" Type="http://schemas.openxmlformats.org/officeDocument/2006/relationships/vmlDrawing" Target="../drawings/vmlDrawing2.vml"/><Relationship Id="rId4" Type="http://schemas.openxmlformats.org/officeDocument/2006/relationships/drawing" Target="../drawings/drawing8.xml"/><Relationship Id="rId9"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LV165"/>
  <sheetViews>
    <sheetView showGridLines="0" showZeros="0" topLeftCell="BG2" zoomScale="70" zoomScaleNormal="70" workbookViewId="0">
      <selection activeCell="BN11" sqref="BN11"/>
    </sheetView>
  </sheetViews>
  <sheetFormatPr baseColWidth="10" defaultColWidth="11.44140625" defaultRowHeight="13.2"/>
  <cols>
    <col min="1" max="1" width="46.77734375" style="372" customWidth="1"/>
    <col min="2" max="2" width="38.21875" style="372" customWidth="1"/>
    <col min="3" max="3" width="24.77734375" style="571" customWidth="1"/>
    <col min="4" max="4" width="30.21875" style="372" customWidth="1"/>
    <col min="5" max="5" width="34.21875" style="565" customWidth="1"/>
    <col min="6" max="6" width="23.44140625" style="565" customWidth="1"/>
    <col min="7" max="7" width="24.77734375" style="571" customWidth="1"/>
    <col min="8" max="9" width="27.77734375" style="372" customWidth="1"/>
    <col min="10" max="10" width="25.21875" style="372" bestFit="1" customWidth="1"/>
    <col min="11" max="11" width="22.77734375" style="372" customWidth="1"/>
    <col min="12" max="12" width="17.21875" style="372" customWidth="1"/>
    <col min="13" max="13" width="20.5546875" style="372" customWidth="1"/>
    <col min="14" max="14" width="17.21875" style="372" customWidth="1"/>
    <col min="15" max="16" width="16.5546875" style="372" customWidth="1"/>
    <col min="17" max="17" width="27.44140625" style="372" bestFit="1" customWidth="1"/>
    <col min="18" max="18" width="16" style="372" customWidth="1"/>
    <col min="19" max="19" width="21.77734375" style="372" customWidth="1"/>
    <col min="20" max="20" width="16.5546875" style="372" customWidth="1"/>
    <col min="21" max="21" width="22.21875" style="372" customWidth="1"/>
    <col min="22" max="22" width="20.21875" style="372" customWidth="1"/>
    <col min="23" max="23" width="20" style="571" customWidth="1"/>
    <col min="24" max="24" width="20.77734375" style="372" customWidth="1"/>
    <col min="25" max="26" width="27" style="372" customWidth="1"/>
    <col min="27" max="27" width="29.77734375" style="372" customWidth="1"/>
    <col min="28" max="28" width="40.44140625" style="372" bestFit="1" customWidth="1"/>
    <col min="29" max="29" width="38.77734375" style="372" bestFit="1" customWidth="1"/>
    <col min="30" max="30" width="33.21875" style="372" customWidth="1"/>
    <col min="31" max="32" width="24.77734375" style="372" customWidth="1"/>
    <col min="33" max="33" width="17.77734375" style="372" customWidth="1"/>
    <col min="34" max="34" width="10.77734375" style="372" customWidth="1"/>
    <col min="35" max="35" width="10.5546875" style="372" customWidth="1"/>
    <col min="36" max="36" width="11.44140625" style="372"/>
    <col min="37" max="41" width="11.21875" style="372" customWidth="1"/>
    <col min="42" max="42" width="22" style="372" customWidth="1"/>
    <col min="43" max="43" width="33.21875" style="372" customWidth="1"/>
    <col min="44" max="44" width="20.21875" style="372" bestFit="1" customWidth="1"/>
    <col min="45" max="48" width="20.21875" style="372" customWidth="1"/>
    <col min="49" max="49" width="28.5546875" style="372" bestFit="1" customWidth="1"/>
    <col min="50" max="50" width="42.44140625" style="372" bestFit="1" customWidth="1"/>
    <col min="51" max="51" width="20.21875" style="372" customWidth="1"/>
    <col min="52" max="52" width="8.77734375" style="372" customWidth="1"/>
    <col min="53" max="63" width="20.21875" style="372" customWidth="1"/>
    <col min="64" max="64" width="27" style="372" customWidth="1"/>
    <col min="65" max="65" width="20.21875" style="372" customWidth="1"/>
    <col min="66" max="66" width="38.5546875" style="372" customWidth="1"/>
    <col min="67" max="67" width="19.44140625" style="372" customWidth="1"/>
    <col min="68" max="68" width="25" style="372" customWidth="1"/>
    <col min="69" max="69" width="25" style="496" customWidth="1"/>
    <col min="70" max="70" width="16.21875" style="496" customWidth="1"/>
    <col min="71" max="72" width="12.21875" style="372" customWidth="1"/>
    <col min="73" max="73" width="24.21875" style="372" customWidth="1"/>
    <col min="74" max="74" width="26.77734375" style="372" customWidth="1"/>
    <col min="75" max="75" width="17.5546875" style="372" customWidth="1"/>
    <col min="76" max="79" width="12.21875" style="372" customWidth="1"/>
    <col min="80" max="80" width="20.77734375" style="372" customWidth="1"/>
    <col min="81" max="88" width="12.21875" style="372" customWidth="1"/>
    <col min="89" max="89" width="14.44140625" style="372" customWidth="1"/>
    <col min="90" max="90" width="23.5546875" style="372" customWidth="1"/>
    <col min="91" max="94" width="14.44140625" style="372" customWidth="1"/>
    <col min="95" max="97" width="12.21875" style="372" customWidth="1"/>
    <col min="98" max="98" width="26.44140625" style="372" customWidth="1"/>
    <col min="99" max="99" width="12.21875" style="372" customWidth="1"/>
    <col min="100" max="100" width="15.5546875" style="372" customWidth="1"/>
    <col min="101" max="113" width="12.21875" style="372" customWidth="1"/>
    <col min="114" max="129" width="11.44140625" style="372"/>
    <col min="130" max="130" width="21.5546875" style="372" customWidth="1"/>
    <col min="131" max="131" width="11.44140625" style="372"/>
    <col min="132" max="132" width="19.21875" style="372" customWidth="1"/>
    <col min="133" max="133" width="20.77734375" style="372" customWidth="1"/>
    <col min="134" max="134" width="6.44140625" style="372" customWidth="1"/>
    <col min="135" max="137" width="12.21875" style="372" customWidth="1"/>
    <col min="138" max="138" width="20.77734375" style="372" customWidth="1"/>
    <col min="139" max="146" width="12.21875" style="372" customWidth="1"/>
    <col min="147" max="152" width="14.44140625" style="372" customWidth="1"/>
    <col min="153" max="157" width="12.21875" style="372" customWidth="1"/>
    <col min="158" max="158" width="15.5546875" style="372" customWidth="1"/>
    <col min="159" max="161" width="12.21875" style="372" customWidth="1"/>
    <col min="162" max="173" width="11.44140625" style="372"/>
    <col min="174" max="176" width="11.77734375" style="496" customWidth="1"/>
    <col min="177" max="182" width="18.77734375" style="496" customWidth="1"/>
    <col min="183" max="184" width="18.77734375" style="372" customWidth="1"/>
    <col min="185" max="187" width="15.77734375" style="372" customWidth="1"/>
    <col min="188" max="188" width="46.77734375" style="372" customWidth="1"/>
    <col min="189" max="189" width="43.21875" style="372" customWidth="1"/>
    <col min="190" max="190" width="35.5546875" style="571" customWidth="1"/>
    <col min="191" max="191" width="36.77734375" style="372" bestFit="1" customWidth="1"/>
    <col min="192" max="192" width="22.21875" style="571" customWidth="1"/>
    <col min="193" max="195" width="27.77734375" style="372" customWidth="1"/>
    <col min="196" max="196" width="17.21875" style="372" customWidth="1"/>
    <col min="197" max="197" width="16.5546875" style="372" customWidth="1"/>
    <col min="198" max="198" width="17.77734375" style="372" bestFit="1" customWidth="1"/>
    <col min="199" max="199" width="27.44140625" style="372" bestFit="1" customWidth="1"/>
    <col min="200" max="200" width="16" style="372" customWidth="1"/>
    <col min="201" max="201" width="21.77734375" style="372" customWidth="1"/>
    <col min="202" max="202" width="16.5546875" style="372" customWidth="1"/>
    <col min="203" max="204" width="22.21875" style="372" customWidth="1"/>
    <col min="205" max="206" width="19.21875" style="372" customWidth="1"/>
    <col min="207" max="207" width="28.21875" style="372" customWidth="1"/>
    <col min="208" max="208" width="29.77734375" style="372" customWidth="1"/>
    <col min="209" max="209" width="40.44140625" style="372" bestFit="1" customWidth="1"/>
    <col min="210" max="210" width="38.77734375" style="372" bestFit="1" customWidth="1"/>
    <col min="211" max="211" width="33.21875" style="372" customWidth="1"/>
    <col min="212" max="212" width="24.77734375" style="372" customWidth="1"/>
    <col min="213" max="213" width="23.44140625" style="372" customWidth="1"/>
    <col min="214" max="214" width="18.21875" style="372" customWidth="1"/>
    <col min="215" max="215" width="15.77734375" style="372" customWidth="1"/>
    <col min="216" max="216" width="17.21875" style="372" customWidth="1"/>
    <col min="217" max="217" width="19.44140625" style="372" customWidth="1"/>
    <col min="218" max="218" width="6.21875" style="372" customWidth="1"/>
    <col min="219" max="220" width="12.21875" style="372" bestFit="1" customWidth="1"/>
    <col min="221" max="221" width="12.21875" style="372" customWidth="1"/>
    <col min="222" max="222" width="12.21875" style="372" bestFit="1" customWidth="1"/>
    <col min="223" max="223" width="12.21875" style="372" customWidth="1"/>
    <col min="224" max="224" width="12.21875" style="372" bestFit="1" customWidth="1"/>
    <col min="225" max="225" width="12.21875" style="372" customWidth="1"/>
    <col min="226" max="226" width="1.44140625" style="372" customWidth="1"/>
    <col min="227" max="233" width="12.21875" style="372" customWidth="1"/>
    <col min="234" max="234" width="2.21875" style="372" customWidth="1"/>
    <col min="235" max="235" width="9.21875" style="372" customWidth="1"/>
    <col min="236" max="240" width="12.21875" style="372" customWidth="1"/>
    <col min="241" max="241" width="15" style="372" bestFit="1" customWidth="1"/>
    <col min="242" max="242" width="33.21875" style="372" customWidth="1"/>
    <col min="243" max="243" width="41.5546875" style="372" customWidth="1"/>
    <col min="244" max="244" width="20.21875" style="372" bestFit="1" customWidth="1"/>
    <col min="245" max="247" width="20.21875" style="372" customWidth="1"/>
    <col min="248" max="248" width="28.5546875" style="372" bestFit="1" customWidth="1"/>
    <col min="249" max="249" width="42.44140625" style="372" bestFit="1" customWidth="1"/>
    <col min="250" max="250" width="9.21875" style="372" customWidth="1"/>
    <col min="251" max="262" width="20.21875" style="372" customWidth="1"/>
    <col min="263" max="263" width="14" style="372" customWidth="1"/>
    <col min="264" max="264" width="12.21875" style="372" customWidth="1"/>
    <col min="265" max="266" width="22.44140625" style="372" customWidth="1"/>
    <col min="267" max="281" width="12.21875" style="372" customWidth="1"/>
    <col min="282" max="282" width="15.44140625" style="372" customWidth="1"/>
    <col min="283" max="313" width="12.21875" style="372" customWidth="1"/>
    <col min="314" max="314" width="15.44140625" style="372" customWidth="1"/>
    <col min="315" max="332" width="12.21875" style="372" customWidth="1"/>
    <col min="333" max="333" width="12.21875" style="372" bestFit="1" customWidth="1"/>
    <col min="334" max="16384" width="11.44140625" style="372"/>
  </cols>
  <sheetData>
    <row r="1" spans="1:334" ht="53.25" customHeight="1" thickBot="1">
      <c r="A1" s="984" t="s">
        <v>0</v>
      </c>
      <c r="B1" s="486"/>
      <c r="C1" s="2062"/>
      <c r="D1" s="486"/>
      <c r="E1" s="2063"/>
      <c r="F1" s="2063"/>
      <c r="G1" s="2062"/>
      <c r="H1" s="486"/>
      <c r="I1" s="486"/>
      <c r="J1" s="486"/>
      <c r="K1" s="486"/>
      <c r="L1" s="486"/>
      <c r="M1" s="486"/>
      <c r="N1" s="486"/>
      <c r="O1" s="486"/>
      <c r="P1" s="486"/>
      <c r="Q1" s="486"/>
      <c r="R1" s="486"/>
      <c r="S1" s="486"/>
      <c r="T1" s="486"/>
      <c r="U1" s="486"/>
      <c r="V1" s="486"/>
      <c r="W1" s="2062"/>
      <c r="X1" s="486"/>
      <c r="Y1" s="486"/>
      <c r="Z1" s="486"/>
      <c r="AA1" s="486"/>
      <c r="AB1" s="486"/>
      <c r="AC1" s="486"/>
      <c r="AD1" s="486"/>
      <c r="AE1" s="486"/>
      <c r="AF1" s="486"/>
      <c r="AG1" s="486"/>
      <c r="AH1" s="486"/>
      <c r="AI1" s="486"/>
      <c r="AJ1" s="486"/>
      <c r="AK1" s="486"/>
      <c r="AL1" s="486"/>
      <c r="AM1" s="486"/>
      <c r="AN1" s="486"/>
      <c r="AO1" s="486"/>
      <c r="AP1" s="486"/>
      <c r="AQ1" s="486"/>
      <c r="AR1" s="486"/>
      <c r="AS1" s="486"/>
      <c r="AT1" s="486"/>
      <c r="AU1" s="486"/>
      <c r="AV1" s="486"/>
      <c r="AW1" s="486"/>
      <c r="AX1" s="486"/>
      <c r="AY1" s="486"/>
      <c r="AZ1" s="486"/>
      <c r="BA1" s="486"/>
      <c r="BB1" s="486"/>
      <c r="BC1" s="486"/>
      <c r="BD1" s="486"/>
      <c r="BE1" s="486"/>
      <c r="BF1" s="486"/>
      <c r="BG1" s="486"/>
      <c r="BH1" s="486"/>
      <c r="BI1" s="486"/>
      <c r="BJ1" s="486"/>
      <c r="BK1" s="486"/>
      <c r="BL1" s="486"/>
      <c r="BM1" s="486"/>
      <c r="BN1" s="486"/>
      <c r="BO1" s="486"/>
      <c r="BP1" s="486"/>
      <c r="BQ1" s="487"/>
      <c r="BR1" s="487"/>
      <c r="BS1" s="486"/>
      <c r="BT1" s="486"/>
      <c r="BU1" s="486"/>
      <c r="BV1" s="486"/>
      <c r="BW1" s="486"/>
      <c r="BX1" s="486"/>
      <c r="BY1" s="486"/>
      <c r="BZ1" s="486"/>
      <c r="CA1" s="486"/>
      <c r="CB1" s="486"/>
      <c r="CC1" s="486"/>
      <c r="CD1" s="486"/>
      <c r="CE1" s="486"/>
      <c r="CF1" s="486"/>
      <c r="CG1" s="486"/>
      <c r="CH1" s="486"/>
      <c r="CI1" s="486"/>
      <c r="CJ1" s="486"/>
      <c r="CK1" s="486"/>
      <c r="CL1" s="486"/>
      <c r="CM1" s="486"/>
      <c r="CN1" s="486"/>
      <c r="CO1" s="486"/>
      <c r="CP1" s="486"/>
      <c r="CQ1" s="486"/>
      <c r="CR1" s="486"/>
      <c r="CS1" s="486"/>
      <c r="CT1" s="486"/>
      <c r="CU1" s="486"/>
      <c r="CV1" s="486"/>
      <c r="CW1" s="486"/>
      <c r="CX1" s="486"/>
      <c r="CY1" s="486"/>
      <c r="CZ1" s="486"/>
      <c r="DA1" s="486"/>
      <c r="DB1" s="486"/>
      <c r="DC1" s="486"/>
      <c r="DD1" s="486"/>
      <c r="DE1" s="486"/>
      <c r="DF1" s="486"/>
      <c r="DG1" s="486"/>
      <c r="DH1" s="486"/>
      <c r="DI1" s="486"/>
      <c r="DJ1" s="486"/>
      <c r="DK1" s="486"/>
      <c r="DL1" s="486"/>
      <c r="DM1" s="486"/>
      <c r="DN1" s="486"/>
      <c r="DO1" s="486"/>
      <c r="DP1" s="486"/>
      <c r="DQ1" s="486"/>
      <c r="DR1" s="486"/>
      <c r="DS1" s="486"/>
      <c r="DT1" s="486"/>
      <c r="DU1" s="486"/>
      <c r="DV1" s="486"/>
      <c r="DW1" s="486"/>
      <c r="DX1" s="486"/>
      <c r="DY1" s="486"/>
      <c r="DZ1" s="486"/>
      <c r="EA1" s="486"/>
      <c r="EB1" s="486"/>
      <c r="EC1" s="486"/>
      <c r="ED1" s="486"/>
      <c r="EE1" s="486"/>
      <c r="EF1" s="486"/>
      <c r="EG1" s="486"/>
      <c r="EH1" s="486"/>
      <c r="EI1" s="486"/>
      <c r="EJ1" s="486"/>
      <c r="EK1" s="486"/>
      <c r="EL1" s="486"/>
      <c r="EM1" s="486"/>
      <c r="EN1" s="486"/>
      <c r="EO1" s="486"/>
      <c r="EP1" s="486"/>
      <c r="EQ1" s="486"/>
      <c r="ER1" s="486"/>
      <c r="ES1" s="486"/>
      <c r="ET1" s="486"/>
      <c r="EU1" s="486"/>
      <c r="EV1" s="486"/>
      <c r="EW1" s="486"/>
      <c r="EX1" s="486"/>
      <c r="EY1" s="486"/>
      <c r="EZ1" s="486"/>
      <c r="FA1" s="486"/>
      <c r="FB1" s="486"/>
      <c r="FC1" s="486"/>
      <c r="FD1" s="486"/>
      <c r="FE1" s="486"/>
      <c r="FF1" s="486"/>
      <c r="FG1" s="486"/>
      <c r="FH1" s="486"/>
      <c r="FI1" s="486"/>
      <c r="FJ1" s="486"/>
      <c r="FK1" s="486"/>
      <c r="FL1" s="486"/>
      <c r="FM1" s="486"/>
      <c r="FN1" s="486"/>
      <c r="FO1" s="486"/>
      <c r="FP1" s="486"/>
      <c r="FQ1" s="486"/>
      <c r="FR1" s="487"/>
      <c r="FS1" s="487"/>
      <c r="FT1" s="487"/>
      <c r="FU1" s="487"/>
      <c r="FV1" s="487"/>
      <c r="FW1" s="487"/>
      <c r="FX1" s="487"/>
      <c r="FY1" s="487"/>
      <c r="FZ1" s="487"/>
      <c r="GA1" s="486"/>
      <c r="GB1" s="486"/>
      <c r="GC1" s="486"/>
      <c r="GD1" s="985" t="s">
        <v>1</v>
      </c>
      <c r="GE1" s="488"/>
      <c r="GF1" s="488"/>
      <c r="GG1" s="488"/>
      <c r="GH1" s="2064"/>
      <c r="GI1" s="488"/>
      <c r="GJ1" s="2064"/>
      <c r="GK1" s="488"/>
      <c r="GL1" s="488"/>
      <c r="GM1" s="488"/>
      <c r="GN1" s="488"/>
      <c r="GO1" s="488"/>
      <c r="GP1" s="488"/>
      <c r="GQ1" s="488"/>
      <c r="GR1" s="488"/>
      <c r="GS1" s="488"/>
      <c r="GT1" s="488"/>
      <c r="GU1" s="488"/>
      <c r="GV1" s="488"/>
      <c r="GW1" s="488"/>
      <c r="GX1" s="488"/>
      <c r="GY1" s="488"/>
      <c r="GZ1" s="488"/>
      <c r="HA1" s="488"/>
      <c r="HB1" s="488"/>
      <c r="HC1" s="488"/>
      <c r="HD1" s="488"/>
      <c r="HE1" s="488"/>
      <c r="HF1" s="488"/>
      <c r="HG1" s="488"/>
      <c r="HH1" s="488"/>
      <c r="HI1" s="488"/>
      <c r="HJ1" s="488"/>
      <c r="HK1" s="488"/>
      <c r="HL1" s="488"/>
      <c r="HM1" s="488"/>
      <c r="HN1" s="488"/>
      <c r="HO1" s="488"/>
      <c r="HP1" s="488"/>
      <c r="HQ1" s="488"/>
      <c r="HR1" s="488"/>
      <c r="HS1" s="488"/>
      <c r="HT1" s="488"/>
      <c r="HU1" s="488"/>
      <c r="HV1" s="488"/>
      <c r="HW1" s="488"/>
      <c r="HX1" s="488"/>
      <c r="HY1" s="488"/>
      <c r="HZ1" s="488"/>
      <c r="IA1" s="488"/>
      <c r="IB1" s="488"/>
      <c r="IC1" s="488"/>
      <c r="ID1" s="488"/>
      <c r="IE1" s="488"/>
      <c r="IF1" s="488"/>
      <c r="IG1" s="488"/>
      <c r="IH1" s="488"/>
      <c r="II1" s="488"/>
      <c r="IJ1" s="488"/>
      <c r="IK1" s="488"/>
      <c r="IL1" s="488"/>
      <c r="IM1" s="488"/>
      <c r="IN1" s="488"/>
      <c r="IO1" s="488"/>
      <c r="IP1" s="488"/>
      <c r="IQ1" s="488"/>
      <c r="IR1" s="488"/>
      <c r="IS1" s="488"/>
      <c r="IT1" s="488"/>
      <c r="IU1" s="488"/>
      <c r="IV1" s="488"/>
      <c r="IW1" s="488"/>
      <c r="IX1" s="488"/>
      <c r="IY1" s="488"/>
      <c r="IZ1" s="488"/>
      <c r="JA1" s="488"/>
      <c r="JB1" s="488"/>
      <c r="JC1" s="488"/>
      <c r="JD1" s="488"/>
      <c r="JE1" s="488"/>
      <c r="JF1" s="488"/>
      <c r="JG1" s="488"/>
      <c r="JH1" s="488"/>
      <c r="JI1" s="488"/>
      <c r="JJ1" s="488"/>
      <c r="JK1" s="488"/>
      <c r="JL1" s="488"/>
      <c r="JM1" s="488"/>
      <c r="JN1" s="488"/>
      <c r="JO1" s="488"/>
      <c r="JP1" s="488"/>
      <c r="JQ1" s="488"/>
      <c r="JR1" s="488"/>
      <c r="JS1" s="488"/>
      <c r="JT1" s="488"/>
      <c r="JU1" s="488"/>
      <c r="JV1" s="488"/>
      <c r="JW1" s="488"/>
      <c r="JX1" s="488"/>
      <c r="JY1" s="488"/>
      <c r="JZ1" s="488"/>
      <c r="KA1" s="488"/>
      <c r="KB1" s="488"/>
      <c r="KC1" s="488"/>
      <c r="KD1" s="488"/>
      <c r="KE1" s="488"/>
      <c r="KF1" s="488"/>
      <c r="KG1" s="488"/>
      <c r="KH1" s="488"/>
      <c r="KI1" s="488"/>
      <c r="KJ1" s="488"/>
      <c r="KK1" s="488"/>
      <c r="KL1" s="488"/>
      <c r="KM1" s="488"/>
      <c r="KN1" s="488"/>
      <c r="KO1" s="488"/>
      <c r="KP1" s="488"/>
      <c r="KQ1" s="488"/>
      <c r="KR1" s="488"/>
      <c r="KS1" s="488"/>
      <c r="KT1" s="488"/>
      <c r="KU1" s="488"/>
      <c r="KV1" s="488"/>
      <c r="KW1" s="488"/>
      <c r="KX1" s="488"/>
      <c r="KY1" s="488"/>
      <c r="KZ1" s="488"/>
      <c r="LA1" s="488"/>
      <c r="LB1" s="488"/>
      <c r="LC1" s="488"/>
      <c r="LD1" s="488"/>
      <c r="LE1" s="488"/>
      <c r="LF1" s="488"/>
      <c r="LG1" s="488"/>
      <c r="LH1" s="488"/>
      <c r="LI1" s="488"/>
      <c r="LJ1" s="488"/>
      <c r="LK1" s="488"/>
      <c r="LL1" s="488"/>
      <c r="LM1" s="488"/>
      <c r="LN1" s="488"/>
      <c r="LO1" s="488"/>
      <c r="LP1" s="488"/>
      <c r="LQ1" s="488"/>
      <c r="LR1" s="488"/>
      <c r="LS1" s="488"/>
      <c r="LT1" s="488"/>
      <c r="LU1" s="488"/>
      <c r="LV1" s="488"/>
    </row>
    <row r="2" spans="1:334" s="699" customFormat="1" ht="27.75" customHeight="1">
      <c r="A2" s="372"/>
      <c r="B2" s="2210" t="s">
        <v>2</v>
      </c>
      <c r="C2" s="2210"/>
      <c r="D2" s="718" t="s">
        <v>3</v>
      </c>
      <c r="E2" s="621" t="s">
        <v>4</v>
      </c>
      <c r="F2" s="621" t="s">
        <v>5</v>
      </c>
      <c r="G2" s="622" t="s">
        <v>6</v>
      </c>
      <c r="H2" s="623" t="s">
        <v>7</v>
      </c>
      <c r="I2" s="2197" t="s">
        <v>8</v>
      </c>
      <c r="J2" s="2197" t="s">
        <v>9</v>
      </c>
      <c r="K2" s="2207" t="s">
        <v>10</v>
      </c>
      <c r="L2" s="2207"/>
      <c r="M2" s="2207"/>
      <c r="N2" s="2207"/>
      <c r="O2" s="624" t="s">
        <v>11</v>
      </c>
      <c r="P2" s="625" t="s">
        <v>12</v>
      </c>
      <c r="Q2" s="626" t="s">
        <v>13</v>
      </c>
      <c r="R2" s="627" t="s">
        <v>14</v>
      </c>
      <c r="S2" s="658" t="s">
        <v>15</v>
      </c>
      <c r="T2" s="628" t="s">
        <v>16</v>
      </c>
      <c r="U2" s="2213" t="s">
        <v>17</v>
      </c>
      <c r="V2" s="2213"/>
      <c r="W2" s="2213"/>
      <c r="X2" s="2213"/>
      <c r="Y2" s="2214"/>
      <c r="Z2" s="629" t="s">
        <v>18</v>
      </c>
      <c r="AA2" s="629" t="s">
        <v>19</v>
      </c>
      <c r="AB2" s="696" t="s">
        <v>20</v>
      </c>
      <c r="AC2" s="697" t="s">
        <v>21</v>
      </c>
      <c r="AD2" s="979" t="s">
        <v>22</v>
      </c>
      <c r="AE2" s="690" t="s">
        <v>23</v>
      </c>
      <c r="AF2" s="633" t="s">
        <v>24</v>
      </c>
      <c r="AG2" s="2218" t="s">
        <v>25</v>
      </c>
      <c r="AH2" s="2219"/>
      <c r="AI2" s="2219"/>
      <c r="AJ2" s="2219"/>
      <c r="AK2" s="2219"/>
      <c r="AL2" s="2219"/>
      <c r="AM2" s="1931"/>
      <c r="AN2" s="1931"/>
      <c r="AO2" s="1931"/>
      <c r="AP2" s="634" t="s">
        <v>26</v>
      </c>
      <c r="AQ2" s="706" t="s">
        <v>27</v>
      </c>
      <c r="AR2" s="639" t="s">
        <v>28</v>
      </c>
      <c r="AS2" s="639" t="s">
        <v>29</v>
      </c>
      <c r="AT2" s="639" t="s">
        <v>30</v>
      </c>
      <c r="AU2" s="2032" t="s">
        <v>31</v>
      </c>
      <c r="AV2" s="2032" t="s">
        <v>32</v>
      </c>
      <c r="AW2" s="2032" t="s">
        <v>33</v>
      </c>
      <c r="AX2" s="2032" t="s">
        <v>34</v>
      </c>
      <c r="AY2" s="711" t="s">
        <v>35</v>
      </c>
      <c r="AZ2" s="496"/>
      <c r="BA2" s="231" t="s">
        <v>36</v>
      </c>
      <c r="BB2" s="372"/>
      <c r="BC2" s="1" t="s">
        <v>37</v>
      </c>
      <c r="BD2" s="372"/>
      <c r="BE2" s="2065"/>
      <c r="BF2" s="2066"/>
      <c r="BG2" s="372"/>
      <c r="BH2" s="496"/>
      <c r="BI2" s="2066"/>
      <c r="BJ2" s="2066"/>
      <c r="BK2" s="372"/>
      <c r="BL2" s="496"/>
      <c r="BM2" s="496"/>
      <c r="BN2" s="640" t="s">
        <v>38</v>
      </c>
      <c r="BO2" s="641" t="s">
        <v>39</v>
      </c>
      <c r="BP2" s="641" t="s">
        <v>40</v>
      </c>
      <c r="BQ2" s="641" t="s">
        <v>41</v>
      </c>
      <c r="BR2" s="641" t="s">
        <v>42</v>
      </c>
      <c r="BU2" s="445"/>
      <c r="BV2" s="446" t="s">
        <v>43</v>
      </c>
      <c r="BW2" s="447"/>
      <c r="EA2" s="2187" t="s">
        <v>44</v>
      </c>
      <c r="EB2" s="2187"/>
      <c r="EC2" s="2187"/>
      <c r="EG2" s="948"/>
      <c r="FR2" s="700"/>
      <c r="FS2" s="700"/>
      <c r="FT2" s="700"/>
      <c r="FU2" s="700"/>
      <c r="FV2" s="700"/>
      <c r="FW2" s="700"/>
      <c r="FX2" s="700"/>
      <c r="FY2" s="700"/>
      <c r="FZ2" s="700"/>
      <c r="GB2" s="701"/>
      <c r="GC2" s="643"/>
      <c r="GD2" s="644"/>
      <c r="GF2" s="372"/>
      <c r="GG2" s="2210" t="s">
        <v>2</v>
      </c>
      <c r="GH2" s="2210"/>
      <c r="GI2" s="718" t="s">
        <v>3</v>
      </c>
      <c r="GJ2" s="622" t="s">
        <v>6</v>
      </c>
      <c r="GK2" s="645" t="s">
        <v>7</v>
      </c>
      <c r="GL2" s="2197" t="s">
        <v>8</v>
      </c>
      <c r="GM2" s="2197" t="s">
        <v>9</v>
      </c>
      <c r="GN2" s="962" t="s">
        <v>10</v>
      </c>
      <c r="GO2" s="624" t="s">
        <v>11</v>
      </c>
      <c r="GP2" s="625" t="s">
        <v>12</v>
      </c>
      <c r="GQ2" s="626" t="s">
        <v>13</v>
      </c>
      <c r="GR2" s="627" t="s">
        <v>14</v>
      </c>
      <c r="GS2" s="658" t="s">
        <v>15</v>
      </c>
      <c r="GT2" s="628" t="s">
        <v>16</v>
      </c>
      <c r="GU2" s="891" t="s">
        <v>17</v>
      </c>
      <c r="GV2" s="891"/>
      <c r="GW2" s="646"/>
      <c r="GX2" s="646"/>
      <c r="GY2" s="629" t="s">
        <v>18</v>
      </c>
      <c r="GZ2" s="629" t="s">
        <v>19</v>
      </c>
      <c r="HA2" s="696" t="s">
        <v>20</v>
      </c>
      <c r="HB2" s="697" t="s">
        <v>21</v>
      </c>
      <c r="HC2" s="636" t="s">
        <v>22</v>
      </c>
      <c r="HD2" s="632" t="s">
        <v>23</v>
      </c>
      <c r="HE2" s="633" t="s">
        <v>24</v>
      </c>
      <c r="HF2" s="237" t="s">
        <v>45</v>
      </c>
      <c r="HG2" s="237" t="s">
        <v>45</v>
      </c>
      <c r="HH2" s="237" t="s">
        <v>45</v>
      </c>
      <c r="HI2" s="237" t="s">
        <v>45</v>
      </c>
      <c r="HJ2" s="237" t="s">
        <v>45</v>
      </c>
      <c r="HK2" s="237" t="s">
        <v>45</v>
      </c>
      <c r="HL2" s="635"/>
      <c r="HM2" s="635"/>
      <c r="HN2" s="635"/>
      <c r="HO2" s="635"/>
      <c r="HP2" s="635"/>
      <c r="HQ2" s="635"/>
      <c r="HR2" s="635"/>
      <c r="HS2" s="635"/>
      <c r="HT2" s="635"/>
      <c r="HU2" s="635"/>
      <c r="HV2" s="635"/>
      <c r="HW2" s="635"/>
      <c r="HX2" s="635"/>
      <c r="HY2" s="635"/>
      <c r="HZ2" s="635"/>
      <c r="IA2" s="635"/>
      <c r="IB2" s="894" t="s">
        <v>26</v>
      </c>
      <c r="IC2" s="635"/>
      <c r="ID2" s="635"/>
      <c r="IE2" s="635"/>
      <c r="IF2" s="635"/>
      <c r="IG2" s="635"/>
      <c r="IH2" s="698" t="s">
        <v>27</v>
      </c>
      <c r="II2" s="981" t="s">
        <v>46</v>
      </c>
      <c r="IJ2" s="637" t="s">
        <v>28</v>
      </c>
      <c r="IK2" s="638" t="s">
        <v>29</v>
      </c>
      <c r="IL2" s="2038" t="s">
        <v>31</v>
      </c>
      <c r="IM2" s="2038" t="s">
        <v>32</v>
      </c>
      <c r="IN2" s="2038" t="s">
        <v>33</v>
      </c>
      <c r="IO2" s="2038" t="s">
        <v>34</v>
      </c>
      <c r="IP2" s="496"/>
      <c r="IQ2" s="551" t="s">
        <v>47</v>
      </c>
      <c r="IR2" s="372"/>
      <c r="IS2" s="1" t="s">
        <v>37</v>
      </c>
      <c r="IT2" s="372"/>
      <c r="IU2" s="2065"/>
      <c r="IV2" s="2066"/>
      <c r="IW2" s="372"/>
      <c r="IX2" s="496"/>
      <c r="IY2" s="2066"/>
      <c r="IZ2" s="2066"/>
      <c r="JA2" s="372"/>
      <c r="JB2" s="496"/>
      <c r="JC2" s="372"/>
      <c r="JE2" s="899"/>
      <c r="JF2" s="900" t="s">
        <v>43</v>
      </c>
      <c r="JG2" s="901"/>
      <c r="KK2" s="2187" t="s">
        <v>44</v>
      </c>
      <c r="KL2" s="2187"/>
      <c r="KM2" s="2187"/>
    </row>
    <row r="3" spans="1:334" s="665" customFormat="1" ht="33" customHeight="1" thickBot="1">
      <c r="A3" s="372"/>
      <c r="B3" s="466"/>
      <c r="C3" s="466"/>
      <c r="D3" s="718"/>
      <c r="E3" s="647" t="s">
        <v>48</v>
      </c>
      <c r="F3" s="648"/>
      <c r="G3" s="649"/>
      <c r="H3" s="650" t="s">
        <v>49</v>
      </c>
      <c r="I3" s="2197"/>
      <c r="J3" s="2197"/>
      <c r="K3" s="651"/>
      <c r="L3" s="652"/>
      <c r="M3" s="651"/>
      <c r="N3" s="651"/>
      <c r="O3" s="653"/>
      <c r="P3" s="654"/>
      <c r="Q3" s="655"/>
      <c r="R3" s="656"/>
      <c r="S3" s="658"/>
      <c r="T3" s="657" t="s">
        <v>50</v>
      </c>
      <c r="U3" s="658" t="s">
        <v>51</v>
      </c>
      <c r="V3" s="658" t="s">
        <v>52</v>
      </c>
      <c r="W3" s="659" t="s">
        <v>53</v>
      </c>
      <c r="X3" s="660" t="s">
        <v>54</v>
      </c>
      <c r="Y3" s="661" t="s">
        <v>55</v>
      </c>
      <c r="Z3" s="662">
        <v>100000</v>
      </c>
      <c r="AA3" s="740">
        <v>250000</v>
      </c>
      <c r="AB3" s="630" t="s">
        <v>56</v>
      </c>
      <c r="AC3" s="631" t="s">
        <v>57</v>
      </c>
      <c r="AD3" s="980"/>
      <c r="AE3" s="691"/>
      <c r="AG3" s="492" t="s">
        <v>58</v>
      </c>
      <c r="AH3" s="702"/>
      <c r="AI3" s="702"/>
      <c r="AJ3" s="702"/>
      <c r="AK3" s="702"/>
      <c r="AL3" s="702"/>
      <c r="AM3" s="702"/>
      <c r="AN3" s="702"/>
      <c r="AO3" s="702"/>
      <c r="AP3" s="1025">
        <f>IF(H4=180,VLOOKUP(AE4,AG7:AI111,3,0),IF(H4=240,VLOOKUP(AE4,AJ7:AL111,3,0),IF(H4=300,VLOOKUP(AE4,AM7:AO9,3,0),0)))</f>
        <v>0</v>
      </c>
      <c r="AQ3" s="705" t="str">
        <f>Captura!F17</f>
        <v>Ninguno</v>
      </c>
      <c r="AR3" s="443">
        <f>IF($AQ$3=$AQ$8,"SI",0)</f>
        <v>0</v>
      </c>
      <c r="AS3" s="443">
        <f>IF($AQ$3=$AQ$9,"SI",0)</f>
        <v>0</v>
      </c>
      <c r="AT3" s="669">
        <f>IF($AQ$3=$AQ$10,"SI",0)</f>
        <v>0</v>
      </c>
      <c r="AU3" s="2033"/>
      <c r="AV3" s="2033"/>
      <c r="AW3" s="2033"/>
      <c r="AX3" s="2033"/>
      <c r="AY3" s="669">
        <f>IF($AQ$3=$AQ$11,"SI",0)</f>
        <v>0</v>
      </c>
      <c r="AZ3" s="496"/>
      <c r="BA3" s="552" t="s">
        <v>59</v>
      </c>
      <c r="BB3" s="464" t="s">
        <v>60</v>
      </c>
      <c r="BC3" s="713" t="s">
        <v>61</v>
      </c>
      <c r="BD3" s="712" t="s">
        <v>62</v>
      </c>
      <c r="BE3" s="714" t="s">
        <v>63</v>
      </c>
      <c r="BF3" s="712" t="s">
        <v>64</v>
      </c>
      <c r="BG3" s="715" t="s">
        <v>65</v>
      </c>
      <c r="BH3" s="716" t="s">
        <v>66</v>
      </c>
      <c r="BI3" s="712" t="s">
        <v>67</v>
      </c>
      <c r="BJ3" s="717" t="s">
        <v>68</v>
      </c>
      <c r="BK3" s="717" t="s">
        <v>69</v>
      </c>
      <c r="BL3" s="553" t="s">
        <v>70</v>
      </c>
      <c r="BM3" s="496"/>
      <c r="BN3" s="708">
        <f>IF(BN5="no",0,Captura!F78)</f>
        <v>0</v>
      </c>
      <c r="BO3" s="670">
        <v>9.5000000000000001E-2</v>
      </c>
      <c r="BP3" s="671">
        <v>8.8999999999999996E-2</v>
      </c>
      <c r="BQ3" s="671"/>
      <c r="BR3" s="671"/>
      <c r="BS3" s="672"/>
      <c r="BT3" s="672"/>
      <c r="BU3" s="699" t="s">
        <v>71</v>
      </c>
      <c r="BV3" s="761" t="str">
        <f>CONCATENATE(B4,AQ3)</f>
        <v>0Ninguno</v>
      </c>
      <c r="BX3" s="672"/>
      <c r="BY3" s="793" t="s">
        <v>72</v>
      </c>
      <c r="BZ3" s="791"/>
      <c r="CA3" s="791"/>
      <c r="CB3" s="791"/>
      <c r="CC3" s="791"/>
      <c r="CD3" s="791"/>
      <c r="CE3" s="791"/>
      <c r="CF3" s="791"/>
      <c r="CG3" s="791"/>
      <c r="CH3" s="791"/>
      <c r="CI3" s="791"/>
      <c r="CJ3" s="791"/>
      <c r="CK3" s="791"/>
      <c r="CL3" s="791"/>
      <c r="CM3" s="791"/>
      <c r="CN3" s="791"/>
      <c r="CO3" s="791"/>
      <c r="CP3" s="791"/>
      <c r="CQ3" s="791"/>
      <c r="CR3" s="791"/>
      <c r="CS3" s="791"/>
      <c r="CT3" s="791"/>
      <c r="CU3" s="791"/>
      <c r="CV3" s="791"/>
      <c r="CW3" s="791"/>
      <c r="CX3" s="791"/>
      <c r="CY3" s="791"/>
      <c r="CZ3" s="791"/>
      <c r="DA3" s="791"/>
      <c r="DB3" s="791"/>
      <c r="DC3" s="791"/>
      <c r="DD3" s="791"/>
      <c r="DE3" s="791"/>
      <c r="DF3" s="791"/>
      <c r="DG3" s="791"/>
      <c r="DH3" s="791"/>
      <c r="DI3" s="791"/>
      <c r="DJ3" s="792"/>
      <c r="DK3" s="792"/>
      <c r="DL3" s="792"/>
      <c r="DM3" s="792"/>
      <c r="DN3" s="792"/>
      <c r="DO3" s="792"/>
      <c r="DP3" s="792"/>
      <c r="DQ3" s="792"/>
      <c r="DR3" s="792"/>
      <c r="DS3" s="792"/>
      <c r="DT3" s="792"/>
      <c r="DU3" s="792"/>
      <c r="DV3" s="792"/>
      <c r="DW3" s="792"/>
      <c r="DX3" s="792"/>
      <c r="EE3" s="796" t="s">
        <v>73</v>
      </c>
      <c r="EF3" s="794"/>
      <c r="EG3" s="794"/>
      <c r="EH3" s="794"/>
      <c r="EI3" s="794"/>
      <c r="EJ3" s="794"/>
      <c r="EK3" s="794"/>
      <c r="EL3" s="794"/>
      <c r="EM3" s="794"/>
      <c r="EN3" s="794"/>
      <c r="EO3" s="794"/>
      <c r="EP3" s="794"/>
      <c r="EQ3" s="794"/>
      <c r="ER3" s="794"/>
      <c r="ES3" s="794"/>
      <c r="ET3" s="794"/>
      <c r="EU3" s="794"/>
      <c r="EV3" s="794"/>
      <c r="EW3" s="794"/>
      <c r="EX3" s="794"/>
      <c r="EY3" s="794"/>
      <c r="EZ3" s="794"/>
      <c r="FA3" s="794"/>
      <c r="FB3" s="794"/>
      <c r="FC3" s="794"/>
      <c r="FD3" s="794"/>
      <c r="FE3" s="794"/>
      <c r="FF3" s="795"/>
      <c r="FG3" s="795"/>
      <c r="FH3" s="795"/>
      <c r="FI3" s="795"/>
      <c r="FJ3" s="795"/>
      <c r="FK3" s="795"/>
      <c r="FL3" s="795"/>
      <c r="FM3" s="795"/>
      <c r="FN3" s="795"/>
      <c r="FO3" s="795"/>
      <c r="FP3" s="795"/>
      <c r="FQ3" s="795"/>
      <c r="FR3" s="795"/>
      <c r="FS3" s="795"/>
      <c r="FT3" s="795"/>
      <c r="FU3" s="673"/>
      <c r="FV3" s="673"/>
      <c r="FW3" s="673"/>
      <c r="FX3" s="673"/>
      <c r="FY3" s="673"/>
      <c r="FZ3" s="673"/>
      <c r="GA3" s="674"/>
      <c r="GB3" s="642"/>
      <c r="GC3" s="675"/>
      <c r="GD3" s="676"/>
      <c r="GF3" s="372"/>
      <c r="GG3" s="466"/>
      <c r="GH3" s="466"/>
      <c r="GI3" s="718"/>
      <c r="GJ3" s="649"/>
      <c r="GK3" s="677" t="s">
        <v>49</v>
      </c>
      <c r="GL3" s="2197"/>
      <c r="GM3" s="2197"/>
      <c r="GN3" s="651"/>
      <c r="GO3" s="653"/>
      <c r="GP3" s="654"/>
      <c r="GQ3" s="655"/>
      <c r="GR3" s="656"/>
      <c r="GS3" s="658"/>
      <c r="GT3" s="657" t="s">
        <v>50</v>
      </c>
      <c r="GU3" s="658" t="s">
        <v>51</v>
      </c>
      <c r="GV3" s="658" t="s">
        <v>52</v>
      </c>
      <c r="GW3" s="660" t="s">
        <v>54</v>
      </c>
      <c r="GX3" s="2067" t="s">
        <v>55</v>
      </c>
      <c r="GY3" s="662">
        <v>100000</v>
      </c>
      <c r="GZ3" s="663">
        <v>250000</v>
      </c>
      <c r="HA3" s="630" t="s">
        <v>56</v>
      </c>
      <c r="HB3" s="631" t="s">
        <v>57</v>
      </c>
      <c r="HC3" s="893" t="str">
        <f>IF(GG4=GF116,Free!K19,"")</f>
        <v/>
      </c>
      <c r="HD3" s="925"/>
      <c r="HE3" s="664">
        <f>IF(GI4="Fijos",HL3,IF(GI4="Crecientes",HT3,0))</f>
        <v>0</v>
      </c>
      <c r="HF3" s="176" t="s">
        <v>74</v>
      </c>
      <c r="HG3" s="176" t="s">
        <v>75</v>
      </c>
      <c r="HH3" s="937" t="s">
        <v>76</v>
      </c>
      <c r="HI3" s="937" t="s">
        <v>77</v>
      </c>
      <c r="HJ3" s="372"/>
      <c r="HL3" s="666" t="e">
        <f>VLOOKUP(HD4,freeConge,MATCH(GK4,HK5:HQ5,0))</f>
        <v>#N/A</v>
      </c>
      <c r="HR3" s="236"/>
      <c r="HT3" s="667" t="e">
        <f>VLOOKUP(HD4,freeProgra,MATCH(GK4,HS5:HY5,0))</f>
        <v>#N/A</v>
      </c>
      <c r="HU3" s="236"/>
      <c r="HW3" s="236"/>
      <c r="HX3" s="236"/>
      <c r="HY3" s="236"/>
      <c r="HZ3" s="236"/>
      <c r="IA3" s="236"/>
      <c r="IB3" s="668" t="e">
        <f>VLOOKUP(HD4,freeajuste,MATCH(GK4,IA5:IG5,0))</f>
        <v>#N/A</v>
      </c>
      <c r="IC3" s="236"/>
      <c r="ID3" s="236"/>
      <c r="IE3" s="236"/>
      <c r="IF3" s="236"/>
      <c r="IH3" s="443" t="str">
        <f>Free!I9</f>
        <v>Ninguno</v>
      </c>
      <c r="II3" s="1087"/>
      <c r="IJ3" s="443">
        <f>IF(IH3=IH8,"SI",0)</f>
        <v>0</v>
      </c>
      <c r="IK3" s="443">
        <f>IF(IH3=IH9,"SI",0)</f>
        <v>0</v>
      </c>
      <c r="IL3" s="2039"/>
      <c r="IM3" s="2039"/>
      <c r="IN3" s="2039"/>
      <c r="IO3" s="2039"/>
      <c r="IP3" s="496"/>
      <c r="IQ3" s="526"/>
      <c r="IR3" s="871" t="s">
        <v>60</v>
      </c>
      <c r="IS3" s="871" t="s">
        <v>61</v>
      </c>
      <c r="IT3" s="872" t="s">
        <v>62</v>
      </c>
      <c r="IU3" s="873" t="s">
        <v>63</v>
      </c>
      <c r="IV3" s="872" t="s">
        <v>64</v>
      </c>
      <c r="IW3" s="874" t="s">
        <v>65</v>
      </c>
      <c r="IX3" s="875" t="s">
        <v>66</v>
      </c>
      <c r="IY3" s="872" t="s">
        <v>67</v>
      </c>
      <c r="IZ3" s="876" t="s">
        <v>68</v>
      </c>
      <c r="JA3" s="876" t="s">
        <v>69</v>
      </c>
      <c r="JB3" s="553" t="s">
        <v>70</v>
      </c>
      <c r="JC3" s="372"/>
      <c r="JD3" s="672"/>
      <c r="JE3" s="699" t="s">
        <v>71</v>
      </c>
      <c r="JF3" s="761" t="str">
        <f>CONCATENATE(GG4,IH3)</f>
        <v>0Ninguno</v>
      </c>
      <c r="JH3" s="672"/>
      <c r="JI3" s="793" t="s">
        <v>78</v>
      </c>
      <c r="JJ3" s="791"/>
      <c r="JK3" s="791"/>
      <c r="JL3" s="791"/>
      <c r="JM3" s="791"/>
      <c r="JN3" s="791"/>
      <c r="JO3" s="791"/>
      <c r="JP3" s="791"/>
      <c r="JQ3" s="791"/>
      <c r="JR3" s="791"/>
      <c r="JS3" s="791"/>
      <c r="JT3" s="791"/>
      <c r="JU3" s="791"/>
      <c r="JV3" s="791"/>
      <c r="JW3" s="791"/>
      <c r="JX3" s="791"/>
      <c r="JY3" s="791"/>
      <c r="JZ3" s="791"/>
      <c r="KA3" s="792"/>
      <c r="KB3" s="792"/>
      <c r="KC3" s="792"/>
      <c r="KD3" s="792"/>
      <c r="KE3" s="792"/>
      <c r="KF3" s="792"/>
      <c r="KG3" s="792"/>
      <c r="KH3" s="792"/>
      <c r="KI3" s="792"/>
      <c r="KJ3" s="672"/>
      <c r="KO3" s="796" t="s">
        <v>79</v>
      </c>
      <c r="KP3" s="794"/>
      <c r="KQ3" s="794"/>
      <c r="KR3" s="794"/>
      <c r="KS3" s="794"/>
      <c r="KT3" s="794"/>
      <c r="KU3" s="794"/>
      <c r="KV3" s="794"/>
      <c r="KW3" s="794"/>
      <c r="KX3" s="794"/>
      <c r="KY3" s="794"/>
      <c r="KZ3" s="794"/>
      <c r="LA3" s="794"/>
      <c r="LB3" s="794"/>
      <c r="LC3" s="794"/>
      <c r="LD3" s="794"/>
      <c r="LE3" s="794"/>
      <c r="LF3" s="794"/>
      <c r="LG3" s="795"/>
      <c r="LH3" s="795"/>
      <c r="LI3" s="795"/>
      <c r="LJ3" s="795"/>
      <c r="LK3" s="795"/>
      <c r="LL3" s="795"/>
      <c r="LM3" s="795"/>
      <c r="LN3" s="795"/>
      <c r="LO3" s="795"/>
      <c r="LP3" s="672"/>
      <c r="LQ3" s="672"/>
      <c r="LR3" s="672"/>
      <c r="LS3" s="672"/>
    </row>
    <row r="4" spans="1:334" ht="67.2" thickBot="1">
      <c r="B4" s="480">
        <f>Captura!F15</f>
        <v>0</v>
      </c>
      <c r="C4" s="466"/>
      <c r="D4" s="481">
        <f>Captura!F31</f>
        <v>0</v>
      </c>
      <c r="E4" s="483">
        <f>Captura!N31</f>
        <v>0</v>
      </c>
      <c r="F4" s="431">
        <f>IF(B4=A118,F5,0)</f>
        <v>0</v>
      </c>
      <c r="G4" s="1035" t="str">
        <f>IF(B4=A113,"si",IF(OR(B4=A118,AND(B4=A116,AC4=AC14)),Captura!N25,G16))</f>
        <v/>
      </c>
      <c r="H4" s="485">
        <f>Captura!F21</f>
        <v>0</v>
      </c>
      <c r="I4" s="732" t="str">
        <f>Captura!F13</f>
        <v>Asalariado</v>
      </c>
      <c r="J4" s="731" t="s">
        <v>80</v>
      </c>
      <c r="K4" s="726">
        <f>_xlfn.XLOOKUP(AA9,M7:M21,N7:N21,0,1,1)</f>
        <v>2000</v>
      </c>
      <c r="L4" s="652"/>
      <c r="M4" s="651"/>
      <c r="N4" s="651"/>
      <c r="O4" s="429">
        <f>IF(OR(B4=A116,B4=A117),O6,IF(ISNA(VLOOKUP(B4,lista,4,0)),0,VLOOKUP(B4,lista,4,0)))</f>
        <v>0</v>
      </c>
      <c r="P4" s="471">
        <f>IF(ISNA(VLOOKUP(B4,lista,2,0)),0,VLOOKUP(B4,lista,2,0))</f>
        <v>0</v>
      </c>
      <c r="Q4" s="430">
        <f>IF(ISNA(VLOOKUP(B4,lista,3,0)),0,VLOOKUP(B4,lista,3,0))</f>
        <v>0</v>
      </c>
      <c r="R4" s="684">
        <f>Captura!F27</f>
        <v>0</v>
      </c>
      <c r="S4" s="685" t="str">
        <f>Captura!F23</f>
        <v>SI</v>
      </c>
      <c r="T4" s="687">
        <f>Captura!F29</f>
        <v>1</v>
      </c>
      <c r="U4" s="476" t="str">
        <f>IF(AS3="SI","Extranjeros","Santander")</f>
        <v>Santander</v>
      </c>
      <c r="V4" s="477">
        <f>IF(S4="NO",0,VLOOKUP(T4,T7:V10,MATCH(U4,T6:V6,0)))</f>
        <v>5.1539999999999995E-4</v>
      </c>
      <c r="W4" s="475">
        <f>IF(S5="NO",0,IF(B4=A118,W7,0))</f>
        <v>0</v>
      </c>
      <c r="X4" s="474">
        <f>IF(S5="NO",0,IF(B4=A119,0,X7))</f>
        <v>2.9999999999999997E-4</v>
      </c>
      <c r="Y4" s="2068">
        <v>0.7</v>
      </c>
      <c r="Z4" s="80" t="s">
        <v>81</v>
      </c>
      <c r="AA4" s="80" t="s">
        <v>82</v>
      </c>
      <c r="AB4" s="695">
        <f>Captura!N21</f>
        <v>0</v>
      </c>
      <c r="AC4" s="694">
        <f>Captura!N19</f>
        <v>0</v>
      </c>
      <c r="AD4" s="981" t="s">
        <v>83</v>
      </c>
      <c r="AE4" s="1082">
        <f>Cal!AB116</f>
        <v>0</v>
      </c>
      <c r="AF4" s="1026">
        <f>IF(D4="Fijos",AF6,AG4)</f>
        <v>0</v>
      </c>
      <c r="AG4" s="1962">
        <f>IF(AND(D4="Crecientes",Adm!BN3&gt;""),Captura!AT82,IF(H4=180,VLOOKUP(AE4,AG7:AH111,2,0),IF(H4=240,VLOOKUP(AE4,AJ7:AK111,2,0),IF(H4=300,VLOOKUP(AE4,AM7:AO9,2,0),0))))</f>
        <v>0</v>
      </c>
      <c r="AH4" s="703"/>
      <c r="AI4" s="704"/>
      <c r="AJ4" s="703"/>
      <c r="AK4" s="703"/>
      <c r="AL4" s="703"/>
      <c r="AM4" s="703"/>
      <c r="AN4" s="703"/>
      <c r="AO4" s="703"/>
      <c r="AQ4" s="134" t="s">
        <v>84</v>
      </c>
      <c r="AS4" s="372" t="s">
        <v>85</v>
      </c>
      <c r="AT4" s="496"/>
      <c r="AY4" s="496"/>
      <c r="AZ4" s="496"/>
      <c r="BA4" s="530" t="s">
        <v>86</v>
      </c>
      <c r="BB4" s="554" t="s">
        <v>87</v>
      </c>
      <c r="BC4" s="547" t="s">
        <v>88</v>
      </c>
      <c r="BD4" s="547" t="s">
        <v>88</v>
      </c>
      <c r="BE4" s="547" t="s">
        <v>88</v>
      </c>
      <c r="BF4" s="547" t="s">
        <v>88</v>
      </c>
      <c r="BG4" s="547" t="s">
        <v>89</v>
      </c>
      <c r="BH4" s="547" t="s">
        <v>88</v>
      </c>
      <c r="BI4" s="547" t="s">
        <v>89</v>
      </c>
      <c r="BJ4" s="2034" t="s">
        <v>89</v>
      </c>
      <c r="BK4" s="2034" t="s">
        <v>89</v>
      </c>
      <c r="BL4" s="530" t="str">
        <f>IF($AQ$3=AQ8,"VERDADERO","FALSO")</f>
        <v>FALSO</v>
      </c>
      <c r="BM4" s="496"/>
      <c r="BN4" s="137" t="s">
        <v>90</v>
      </c>
      <c r="BO4" s="2069">
        <v>9.7500000000000003E-2</v>
      </c>
      <c r="BP4" s="560">
        <v>8.9499999999999996E-2</v>
      </c>
      <c r="BQ4" s="560"/>
      <c r="BR4" s="560"/>
      <c r="BS4" s="256"/>
      <c r="BT4" s="256"/>
      <c r="BU4" s="2198" t="s">
        <v>91</v>
      </c>
      <c r="BV4" s="743" t="s">
        <v>92</v>
      </c>
      <c r="BW4" s="744" t="s">
        <v>93</v>
      </c>
      <c r="BX4" s="256"/>
      <c r="BY4" s="2201"/>
      <c r="BZ4" s="748" t="s">
        <v>92</v>
      </c>
      <c r="CA4" s="754" t="s">
        <v>94</v>
      </c>
      <c r="CB4" s="755" t="s">
        <v>95</v>
      </c>
      <c r="CC4" s="1999" t="s">
        <v>96</v>
      </c>
      <c r="CD4" s="756" t="s">
        <v>97</v>
      </c>
      <c r="CE4" s="757" t="s">
        <v>98</v>
      </c>
      <c r="CF4" s="2070" t="s">
        <v>99</v>
      </c>
      <c r="CG4" s="758" t="s">
        <v>100</v>
      </c>
      <c r="CH4" s="755" t="s">
        <v>101</v>
      </c>
      <c r="CI4" s="2071" t="s">
        <v>102</v>
      </c>
      <c r="CJ4" s="2072" t="s">
        <v>103</v>
      </c>
      <c r="CK4" s="762" t="s">
        <v>104</v>
      </c>
      <c r="CL4" s="763" t="s">
        <v>105</v>
      </c>
      <c r="CM4" s="764" t="s">
        <v>106</v>
      </c>
      <c r="CN4" s="764" t="s">
        <v>107</v>
      </c>
      <c r="CO4" s="765" t="s">
        <v>108</v>
      </c>
      <c r="CP4" s="765" t="s">
        <v>99</v>
      </c>
      <c r="CQ4" s="766" t="s">
        <v>109</v>
      </c>
      <c r="CR4" s="766" t="s">
        <v>110</v>
      </c>
      <c r="CS4" s="767" t="s">
        <v>111</v>
      </c>
      <c r="CT4" s="767" t="s">
        <v>112</v>
      </c>
      <c r="CU4" s="767" t="s">
        <v>113</v>
      </c>
      <c r="CV4" s="768" t="s">
        <v>114</v>
      </c>
      <c r="CW4" s="772" t="s">
        <v>115</v>
      </c>
      <c r="CX4" s="773" t="s">
        <v>116</v>
      </c>
      <c r="CY4" s="774" t="s">
        <v>117</v>
      </c>
      <c r="CZ4" s="775" t="s">
        <v>118</v>
      </c>
      <c r="DA4" s="776" t="s">
        <v>119</v>
      </c>
      <c r="DB4" s="777" t="s">
        <v>120</v>
      </c>
      <c r="DC4" s="778" t="s">
        <v>121</v>
      </c>
      <c r="DD4" s="779" t="s">
        <v>122</v>
      </c>
      <c r="DE4" s="780" t="s">
        <v>123</v>
      </c>
      <c r="DF4" s="779" t="s">
        <v>124</v>
      </c>
      <c r="DG4" s="781" t="s">
        <v>125</v>
      </c>
      <c r="DH4" s="782" t="s">
        <v>126</v>
      </c>
      <c r="DI4" s="783" t="s">
        <v>127</v>
      </c>
      <c r="DJ4" s="769" t="s">
        <v>128</v>
      </c>
      <c r="DK4" s="770" t="s">
        <v>129</v>
      </c>
      <c r="DL4" s="771" t="s">
        <v>130</v>
      </c>
      <c r="DM4" s="784" t="s">
        <v>131</v>
      </c>
      <c r="DN4" s="785" t="s">
        <v>132</v>
      </c>
      <c r="DO4" s="786" t="s">
        <v>133</v>
      </c>
      <c r="DP4" s="787" t="s">
        <v>134</v>
      </c>
      <c r="DQ4" s="788" t="s">
        <v>135</v>
      </c>
      <c r="DR4" s="789" t="s">
        <v>136</v>
      </c>
      <c r="DS4" s="790" t="s">
        <v>137</v>
      </c>
      <c r="DT4" s="790" t="s">
        <v>138</v>
      </c>
      <c r="DU4" s="790" t="s">
        <v>139</v>
      </c>
      <c r="DV4" s="1934" t="s">
        <v>140</v>
      </c>
      <c r="DW4" s="1934" t="s">
        <v>141</v>
      </c>
      <c r="DX4" s="1934" t="s">
        <v>142</v>
      </c>
      <c r="EA4" s="2188" t="s">
        <v>91</v>
      </c>
      <c r="EB4" s="809" t="s">
        <v>92</v>
      </c>
      <c r="EC4" s="812" t="s">
        <v>143</v>
      </c>
      <c r="EE4" s="2191"/>
      <c r="EF4" s="748" t="s">
        <v>92</v>
      </c>
      <c r="EG4" s="754" t="s">
        <v>94</v>
      </c>
      <c r="EH4" s="755" t="s">
        <v>95</v>
      </c>
      <c r="EI4" s="756" t="s">
        <v>96</v>
      </c>
      <c r="EJ4" s="756" t="s">
        <v>97</v>
      </c>
      <c r="EK4" s="757" t="s">
        <v>98</v>
      </c>
      <c r="EL4" s="2070" t="s">
        <v>99</v>
      </c>
      <c r="EM4" s="758" t="s">
        <v>100</v>
      </c>
      <c r="EN4" s="755" t="s">
        <v>101</v>
      </c>
      <c r="EO4" s="2071" t="s">
        <v>102</v>
      </c>
      <c r="EP4" s="2072" t="s">
        <v>103</v>
      </c>
      <c r="EQ4" s="762" t="s">
        <v>104</v>
      </c>
      <c r="ER4" s="763" t="s">
        <v>105</v>
      </c>
      <c r="ES4" s="2002" t="s">
        <v>106</v>
      </c>
      <c r="ET4" s="2002" t="s">
        <v>107</v>
      </c>
      <c r="EU4" s="765" t="s">
        <v>108</v>
      </c>
      <c r="EV4" s="765" t="s">
        <v>144</v>
      </c>
      <c r="EW4" s="766" t="s">
        <v>109</v>
      </c>
      <c r="EX4" s="766" t="s">
        <v>110</v>
      </c>
      <c r="EY4" s="767" t="s">
        <v>111</v>
      </c>
      <c r="EZ4" s="767" t="s">
        <v>112</v>
      </c>
      <c r="FA4" s="767" t="s">
        <v>113</v>
      </c>
      <c r="FB4" s="804" t="s">
        <v>114</v>
      </c>
      <c r="FC4" s="781" t="s">
        <v>125</v>
      </c>
      <c r="FD4" s="782" t="s">
        <v>126</v>
      </c>
      <c r="FE4" s="783" t="s">
        <v>127</v>
      </c>
      <c r="FF4" s="769" t="s">
        <v>128</v>
      </c>
      <c r="FG4" s="770" t="s">
        <v>129</v>
      </c>
      <c r="FH4" s="771" t="s">
        <v>130</v>
      </c>
      <c r="FI4" s="784" t="s">
        <v>131</v>
      </c>
      <c r="FJ4" s="785" t="s">
        <v>132</v>
      </c>
      <c r="FK4" s="786" t="s">
        <v>133</v>
      </c>
      <c r="FL4" s="787" t="s">
        <v>134</v>
      </c>
      <c r="FM4" s="788" t="s">
        <v>135</v>
      </c>
      <c r="FN4" s="789" t="s">
        <v>136</v>
      </c>
      <c r="FO4" s="790" t="s">
        <v>137</v>
      </c>
      <c r="FP4" s="790" t="s">
        <v>138</v>
      </c>
      <c r="FQ4" s="790" t="s">
        <v>139</v>
      </c>
      <c r="FR4" s="1934" t="s">
        <v>140</v>
      </c>
      <c r="FS4" s="1934" t="s">
        <v>141</v>
      </c>
      <c r="FT4" s="1934" t="s">
        <v>142</v>
      </c>
      <c r="FU4" s="2073"/>
      <c r="FV4" s="2073"/>
      <c r="FW4" s="2073"/>
      <c r="FX4" s="2073"/>
      <c r="FY4" s="2073"/>
      <c r="FZ4" s="2073"/>
      <c r="GA4" s="497"/>
      <c r="GB4" s="498"/>
      <c r="GC4" s="486"/>
      <c r="GD4" s="488"/>
      <c r="GG4" s="480">
        <f>Free!F9</f>
        <v>0</v>
      </c>
      <c r="GH4" s="491"/>
      <c r="GI4" s="481">
        <f>Free!F23</f>
        <v>0</v>
      </c>
      <c r="GJ4" s="1093" t="str">
        <f>IF(GG4=GF113,"si",IF(AND(GG4=GF116,HB4=HB14),Free!K25,GJ16))</f>
        <v/>
      </c>
      <c r="GK4" s="485">
        <f>Free!F11*12</f>
        <v>0</v>
      </c>
      <c r="GL4" s="885" t="str">
        <f>Free!F7</f>
        <v>Asalariado</v>
      </c>
      <c r="GM4" s="731" t="s">
        <v>80</v>
      </c>
      <c r="GN4" s="460">
        <v>2.7499999999999998E-3</v>
      </c>
      <c r="GO4" s="963">
        <f>IF(AND(GG4=GF116,HB4=HB15),GO8,0)</f>
        <v>0</v>
      </c>
      <c r="GP4" s="471">
        <f>IF(ISNA(VLOOKUP(GG4,ListaFree,2,0)),0,VLOOKUP(GG4,ListaFree,2,0))</f>
        <v>0</v>
      </c>
      <c r="GQ4" s="889">
        <f>IF(ISNA(VLOOKUP(GG4,ListaFree,3,0)),0,VLOOKUP(GG4,ListaFree,3,0))</f>
        <v>0</v>
      </c>
      <c r="GR4" s="471">
        <f>Free!F19</f>
        <v>0</v>
      </c>
      <c r="GS4" s="890" t="str">
        <f>Free!F13</f>
        <v>SI</v>
      </c>
      <c r="GT4" s="427">
        <f>Free!F21</f>
        <v>1</v>
      </c>
      <c r="GU4" s="449" t="str">
        <f>IF(IK3="SI","Extranjeros","FREE")</f>
        <v>FREE</v>
      </c>
      <c r="GV4" s="450">
        <f>IF(GS4="NO",0,IF($GS$12=$GS$13,0,VLOOKUP(GT4,GT6:GV9,MATCH(GU4,GT5:GV5,0))))</f>
        <v>0</v>
      </c>
      <c r="GW4" s="474">
        <f>IF(GS5="NO",0,IF(GS12=GS13,0,GW6))</f>
        <v>0</v>
      </c>
      <c r="GX4" s="2074">
        <v>0.7</v>
      </c>
      <c r="GY4" s="80" t="s">
        <v>145</v>
      </c>
      <c r="HA4" s="428" t="str">
        <f>IF(GG4=GF116,Free!K23,"")</f>
        <v/>
      </c>
      <c r="HB4" s="436" t="str">
        <f>IF(GG4=GF116,Free!K21,"")</f>
        <v/>
      </c>
      <c r="HC4" s="494" t="str">
        <f>IF(GG4=GF116,"SI","")</f>
        <v/>
      </c>
      <c r="HD4" s="693">
        <f>Cal!BO116</f>
        <v>0</v>
      </c>
      <c r="HE4" s="509" t="s">
        <v>146</v>
      </c>
      <c r="HF4" s="939">
        <v>0.1085</v>
      </c>
      <c r="HG4" s="940">
        <f>HF4-0.01</f>
        <v>9.8500000000000004E-2</v>
      </c>
      <c r="HH4" s="940">
        <f>HF4+0.01</f>
        <v>0.11849999999999999</v>
      </c>
      <c r="HI4" s="938">
        <v>2.5000000000000001E-3</v>
      </c>
      <c r="HK4" s="240" t="s">
        <v>74</v>
      </c>
      <c r="HL4" s="242" t="s">
        <v>147</v>
      </c>
      <c r="HM4" s="242"/>
      <c r="HN4" s="242"/>
      <c r="HO4" s="242"/>
      <c r="HP4" s="242"/>
      <c r="HQ4" s="242"/>
      <c r="HR4" s="234"/>
      <c r="HS4" s="176" t="s">
        <v>74</v>
      </c>
      <c r="HT4" s="241"/>
      <c r="HU4" s="241" t="s">
        <v>148</v>
      </c>
      <c r="HV4" s="241"/>
      <c r="HW4" s="241"/>
      <c r="HX4" s="241"/>
      <c r="HY4" s="241"/>
      <c r="IA4" s="176" t="s">
        <v>74</v>
      </c>
      <c r="IB4" s="241" t="s">
        <v>149</v>
      </c>
      <c r="IC4" s="493"/>
      <c r="ID4" s="493"/>
      <c r="IE4" s="493"/>
      <c r="IF4" s="493"/>
      <c r="IG4" s="241"/>
      <c r="IH4" s="134" t="s">
        <v>84</v>
      </c>
      <c r="II4" s="1088" t="s">
        <v>150</v>
      </c>
      <c r="IK4" s="372" t="s">
        <v>85</v>
      </c>
      <c r="IO4" s="491" t="s">
        <v>151</v>
      </c>
      <c r="IP4" s="496"/>
      <c r="IQ4" s="526" t="s">
        <v>86</v>
      </c>
      <c r="IR4" s="554" t="s">
        <v>87</v>
      </c>
      <c r="IS4" s="547" t="s">
        <v>88</v>
      </c>
      <c r="IT4" s="547" t="s">
        <v>88</v>
      </c>
      <c r="IU4" s="547" t="s">
        <v>88</v>
      </c>
      <c r="IV4" s="547" t="s">
        <v>88</v>
      </c>
      <c r="IW4" s="547" t="s">
        <v>89</v>
      </c>
      <c r="IX4" s="547" t="s">
        <v>89</v>
      </c>
      <c r="IY4" s="547" t="s">
        <v>89</v>
      </c>
      <c r="IZ4" s="2034" t="s">
        <v>89</v>
      </c>
      <c r="JA4" s="2034" t="s">
        <v>89</v>
      </c>
      <c r="JB4" s="548" t="str">
        <f>IF(AND($IH$3=IH8,$II$3&lt;&gt;""),"VERDADERO","FALSO")</f>
        <v>FALSO</v>
      </c>
      <c r="JD4" s="256"/>
      <c r="JE4" s="2198" t="s">
        <v>91</v>
      </c>
      <c r="JF4" s="743" t="s">
        <v>92</v>
      </c>
      <c r="JG4" s="902" t="s">
        <v>93</v>
      </c>
      <c r="JH4" s="256"/>
      <c r="JI4" s="2201"/>
      <c r="JJ4" s="748" t="s">
        <v>92</v>
      </c>
      <c r="JK4" s="754" t="s">
        <v>94</v>
      </c>
      <c r="JL4" s="755" t="s">
        <v>95</v>
      </c>
      <c r="JM4" s="756" t="s">
        <v>96</v>
      </c>
      <c r="JN4" s="758" t="s">
        <v>100</v>
      </c>
      <c r="JO4" s="755" t="s">
        <v>101</v>
      </c>
      <c r="JP4" s="755" t="s">
        <v>97</v>
      </c>
      <c r="JQ4" s="762" t="s">
        <v>104</v>
      </c>
      <c r="JR4" s="763" t="s">
        <v>105</v>
      </c>
      <c r="JS4" s="764" t="s">
        <v>106</v>
      </c>
      <c r="JT4" s="766" t="s">
        <v>109</v>
      </c>
      <c r="JU4" s="766" t="s">
        <v>110</v>
      </c>
      <c r="JV4" s="766" t="s">
        <v>107</v>
      </c>
      <c r="JW4" s="804" t="s">
        <v>114</v>
      </c>
      <c r="JX4" s="781" t="s">
        <v>125</v>
      </c>
      <c r="JY4" s="782" t="s">
        <v>126</v>
      </c>
      <c r="JZ4" s="783" t="s">
        <v>127</v>
      </c>
      <c r="KA4" s="769" t="s">
        <v>128</v>
      </c>
      <c r="KB4" s="770" t="s">
        <v>129</v>
      </c>
      <c r="KC4" s="771" t="s">
        <v>130</v>
      </c>
      <c r="KD4" s="784" t="s">
        <v>131</v>
      </c>
      <c r="KE4" s="785" t="s">
        <v>132</v>
      </c>
      <c r="KF4" s="786" t="s">
        <v>133</v>
      </c>
      <c r="KG4" s="787" t="s">
        <v>134</v>
      </c>
      <c r="KH4" s="788" t="s">
        <v>135</v>
      </c>
      <c r="KI4" s="789" t="s">
        <v>136</v>
      </c>
      <c r="KJ4" s="256"/>
      <c r="KK4" s="2188" t="s">
        <v>91</v>
      </c>
      <c r="KL4" s="809" t="s">
        <v>92</v>
      </c>
      <c r="KM4" s="812" t="s">
        <v>143</v>
      </c>
      <c r="KO4" s="2191"/>
      <c r="KP4" s="748" t="s">
        <v>92</v>
      </c>
      <c r="KQ4" s="754" t="s">
        <v>94</v>
      </c>
      <c r="KR4" s="755" t="s">
        <v>95</v>
      </c>
      <c r="KS4" s="756" t="s">
        <v>96</v>
      </c>
      <c r="KT4" s="758" t="s">
        <v>100</v>
      </c>
      <c r="KU4" s="755" t="s">
        <v>101</v>
      </c>
      <c r="KV4" s="755" t="s">
        <v>97</v>
      </c>
      <c r="KW4" s="762" t="s">
        <v>104</v>
      </c>
      <c r="KX4" s="763" t="s">
        <v>105</v>
      </c>
      <c r="KY4" s="764" t="s">
        <v>106</v>
      </c>
      <c r="KZ4" s="766" t="s">
        <v>109</v>
      </c>
      <c r="LA4" s="766" t="s">
        <v>110</v>
      </c>
      <c r="LB4" s="766" t="s">
        <v>107</v>
      </c>
      <c r="LC4" s="804" t="s">
        <v>114</v>
      </c>
      <c r="LD4" s="781" t="s">
        <v>125</v>
      </c>
      <c r="LE4" s="782" t="s">
        <v>126</v>
      </c>
      <c r="LF4" s="783" t="s">
        <v>127</v>
      </c>
      <c r="LG4" s="769" t="s">
        <v>128</v>
      </c>
      <c r="LH4" s="770" t="s">
        <v>129</v>
      </c>
      <c r="LI4" s="771" t="s">
        <v>130</v>
      </c>
      <c r="LJ4" s="784" t="s">
        <v>131</v>
      </c>
      <c r="LK4" s="785" t="s">
        <v>132</v>
      </c>
      <c r="LL4" s="786" t="s">
        <v>133</v>
      </c>
      <c r="LM4" s="787" t="s">
        <v>134</v>
      </c>
      <c r="LN4" s="788" t="s">
        <v>135</v>
      </c>
      <c r="LO4" s="789" t="s">
        <v>136</v>
      </c>
      <c r="LP4" s="256"/>
      <c r="LQ4" s="256"/>
      <c r="LR4" s="256"/>
    </row>
    <row r="5" spans="1:334" ht="27.6" thickBot="1">
      <c r="B5" s="721" t="s">
        <v>152</v>
      </c>
      <c r="C5" s="168" t="s">
        <v>153</v>
      </c>
      <c r="D5" s="719" t="s">
        <v>154</v>
      </c>
      <c r="E5" s="81" t="s">
        <v>155</v>
      </c>
      <c r="F5" s="2075">
        <v>11500</v>
      </c>
      <c r="G5" s="2076" t="s">
        <v>156</v>
      </c>
      <c r="H5" s="173" t="s">
        <v>157</v>
      </c>
      <c r="I5" s="134"/>
      <c r="J5" s="507">
        <v>0.6</v>
      </c>
      <c r="K5" s="727"/>
      <c r="L5" s="2208" t="s">
        <v>158</v>
      </c>
      <c r="M5" s="2209"/>
      <c r="N5" s="458" t="s">
        <v>159</v>
      </c>
      <c r="O5" s="678" t="s">
        <v>160</v>
      </c>
      <c r="P5" s="499"/>
      <c r="Q5" s="181" t="s">
        <v>161</v>
      </c>
      <c r="S5" s="686" t="str">
        <f>Captura!F25</f>
        <v>SI</v>
      </c>
      <c r="W5" s="372"/>
      <c r="Z5" s="500">
        <v>700000</v>
      </c>
      <c r="AA5" s="500">
        <v>250000</v>
      </c>
      <c r="AD5" s="982" t="s">
        <v>88</v>
      </c>
      <c r="AE5" s="692" t="s">
        <v>162</v>
      </c>
      <c r="AF5" s="492" t="s">
        <v>163</v>
      </c>
      <c r="AG5" s="2216">
        <v>180</v>
      </c>
      <c r="AH5" s="2217"/>
      <c r="AI5" s="260"/>
      <c r="AJ5" s="2220">
        <v>240</v>
      </c>
      <c r="AK5" s="2220"/>
      <c r="AL5" s="2220"/>
      <c r="AM5" s="2220">
        <v>300</v>
      </c>
      <c r="AN5" s="2220"/>
      <c r="AO5" s="2220"/>
      <c r="AQ5" s="546" t="str">
        <f>IFERROR(VLOOKUP(AQ3,ofertassantander,1,0),"FALSO")</f>
        <v>Ninguno</v>
      </c>
      <c r="AS5" s="710">
        <f>Captura!F19</f>
        <v>0</v>
      </c>
      <c r="AT5" s="496"/>
      <c r="AY5" s="496"/>
      <c r="AZ5" s="496"/>
      <c r="BA5" s="530" t="s">
        <v>164</v>
      </c>
      <c r="BB5" s="554" t="s">
        <v>87</v>
      </c>
      <c r="BC5" s="2034" t="s">
        <v>88</v>
      </c>
      <c r="BD5" s="2034" t="s">
        <v>89</v>
      </c>
      <c r="BE5" s="2034" t="s">
        <v>89</v>
      </c>
      <c r="BF5" s="2034" t="s">
        <v>89</v>
      </c>
      <c r="BG5" s="2034" t="s">
        <v>89</v>
      </c>
      <c r="BH5" s="2034" t="s">
        <v>89</v>
      </c>
      <c r="BI5" s="2034" t="s">
        <v>89</v>
      </c>
      <c r="BJ5" s="2034" t="s">
        <v>89</v>
      </c>
      <c r="BK5" s="2034" t="s">
        <v>89</v>
      </c>
      <c r="BL5" s="530" t="str">
        <f>IF($AQ$3=AQ9,"VERDADERO","FALSO")</f>
        <v>FALSO</v>
      </c>
      <c r="BM5" s="496"/>
      <c r="BN5" s="709">
        <f>IF(ISNA(VLOOKUP(B4,lista,6,0)),0,VLOOKUP(B4,lista,6,0))</f>
        <v>0</v>
      </c>
      <c r="BO5" s="2077">
        <v>9.8000000000000004E-2</v>
      </c>
      <c r="BP5" s="562">
        <v>8.8499999999999995E-2</v>
      </c>
      <c r="BQ5" s="562">
        <v>9.5000000000000001E-2</v>
      </c>
      <c r="BR5" s="562"/>
      <c r="BS5" s="256"/>
      <c r="BT5" s="256"/>
      <c r="BU5" s="2199"/>
      <c r="BV5" s="742">
        <v>1</v>
      </c>
      <c r="BW5" s="745" t="e">
        <f>VLOOKUP(BV5,Basetasassantander,MATCH($BV$3,$BZ$4:$DX$4,0))</f>
        <v>#N/A</v>
      </c>
      <c r="BX5" s="256"/>
      <c r="BY5" s="2202"/>
      <c r="BZ5" s="742">
        <v>1</v>
      </c>
      <c r="CA5" s="752">
        <v>0.13250000000000001</v>
      </c>
      <c r="CB5" s="752">
        <v>0.13250000000000001</v>
      </c>
      <c r="CC5" s="752">
        <v>0.13250000000000001</v>
      </c>
      <c r="CD5" s="752">
        <v>0.13250000000000001</v>
      </c>
      <c r="CE5" s="752">
        <v>0.13250000000000001</v>
      </c>
      <c r="CF5" s="752">
        <v>0.13250000000000001</v>
      </c>
      <c r="CG5" s="752">
        <v>0.10249999999999999</v>
      </c>
      <c r="CH5" s="752">
        <v>0.121</v>
      </c>
      <c r="CI5" s="752">
        <v>0.125</v>
      </c>
      <c r="CJ5" s="752">
        <v>0.115</v>
      </c>
      <c r="CK5" s="752">
        <v>0.1275</v>
      </c>
      <c r="CL5" s="752">
        <v>0.1275</v>
      </c>
      <c r="CM5" s="752">
        <v>0.1275</v>
      </c>
      <c r="CN5" s="752">
        <v>0.1275</v>
      </c>
      <c r="CO5" s="752">
        <v>0.1275</v>
      </c>
      <c r="CP5" s="752">
        <v>0.1275</v>
      </c>
      <c r="CQ5" s="752">
        <v>9.7500000000000003E-2</v>
      </c>
      <c r="CR5" s="752">
        <v>0.1159</v>
      </c>
      <c r="CS5" s="752">
        <v>0.105</v>
      </c>
      <c r="CT5" s="752">
        <v>0.105</v>
      </c>
      <c r="CU5" s="752">
        <v>0.105</v>
      </c>
      <c r="CV5" s="752">
        <v>0.10249999999999999</v>
      </c>
      <c r="CW5" s="752">
        <v>0.13</v>
      </c>
      <c r="CX5" s="752">
        <v>0.13</v>
      </c>
      <c r="CY5" s="752">
        <v>0.13</v>
      </c>
      <c r="CZ5" s="752">
        <v>0.1249</v>
      </c>
      <c r="DA5" s="752">
        <v>0.1249</v>
      </c>
      <c r="DB5" s="752">
        <v>0.1249</v>
      </c>
      <c r="DC5" s="857" t="s">
        <v>165</v>
      </c>
      <c r="DD5" s="857" t="s">
        <v>165</v>
      </c>
      <c r="DE5" s="857" t="s">
        <v>165</v>
      </c>
      <c r="DF5" s="857" t="s">
        <v>165</v>
      </c>
      <c r="DG5" s="752">
        <v>0.10249999999999999</v>
      </c>
      <c r="DH5" s="752">
        <v>0.10249999999999999</v>
      </c>
      <c r="DI5" s="752">
        <v>0.10249999999999999</v>
      </c>
      <c r="DJ5" s="752">
        <v>0.10249999999999999</v>
      </c>
      <c r="DK5" s="752">
        <v>0.10249999999999999</v>
      </c>
      <c r="DL5" s="752">
        <v>0.10249999999999999</v>
      </c>
      <c r="DM5" s="752">
        <v>0.10249999999999999</v>
      </c>
      <c r="DN5" s="752">
        <v>0.10249999999999999</v>
      </c>
      <c r="DO5" s="752">
        <v>0.10249999999999999</v>
      </c>
      <c r="DP5" s="752">
        <v>0.10249999999999999</v>
      </c>
      <c r="DQ5" s="752">
        <v>0.10249999999999999</v>
      </c>
      <c r="DR5" s="752">
        <v>0.10249999999999999</v>
      </c>
      <c r="DS5" s="752">
        <v>8.9499999999999996E-2</v>
      </c>
      <c r="DT5" s="752">
        <v>8.9499999999999996E-2</v>
      </c>
      <c r="DU5" s="752">
        <v>8.9499999999999996E-2</v>
      </c>
      <c r="DV5" s="906">
        <v>0.11799999999999999</v>
      </c>
      <c r="DW5" s="906">
        <v>0.11799999999999999</v>
      </c>
      <c r="DX5" s="906">
        <v>0.11799999999999999</v>
      </c>
      <c r="DY5" s="1933"/>
      <c r="EA5" s="2189"/>
      <c r="EB5" s="808">
        <v>1</v>
      </c>
      <c r="EC5" s="810" t="e">
        <f>IF($I$4="Asalariado",VLOOKUP(EB5,Aforodestino,MATCH($BV$3,$EF$4:$FT$4,0)),IF($I$4="NO asalariado",VLOOKUP(EB5,AforodestinoNO,MATCH($BV$3,$EF$12:$FQ$12,0))))</f>
        <v>#N/A</v>
      </c>
      <c r="EE5" s="2192"/>
      <c r="EF5" s="742">
        <v>1</v>
      </c>
      <c r="EG5" s="797">
        <v>0.75</v>
      </c>
      <c r="EH5" s="797">
        <v>0.75</v>
      </c>
      <c r="EI5" s="797">
        <v>1</v>
      </c>
      <c r="EJ5" s="797">
        <v>0.5</v>
      </c>
      <c r="EK5" s="797">
        <v>0.75</v>
      </c>
      <c r="EL5" s="945">
        <f>IF(Captura!$F$35&gt;$Z$11,75%,80%)</f>
        <v>0.8</v>
      </c>
      <c r="EM5" s="797">
        <v>0.35</v>
      </c>
      <c r="EN5" s="797">
        <v>0.75</v>
      </c>
      <c r="EO5" s="797">
        <v>0.6</v>
      </c>
      <c r="EP5" s="797">
        <v>0.7</v>
      </c>
      <c r="EQ5" s="797">
        <v>0.75</v>
      </c>
      <c r="ER5" s="797">
        <v>0.75</v>
      </c>
      <c r="ES5" s="2001">
        <v>1</v>
      </c>
      <c r="ET5" s="2001">
        <v>0.5</v>
      </c>
      <c r="EU5" s="797">
        <v>0.75</v>
      </c>
      <c r="EV5" s="945">
        <f>IF(Captura!$F$35&gt;$Z$11,75%,80%)</f>
        <v>0.8</v>
      </c>
      <c r="EW5" s="797">
        <v>0.35</v>
      </c>
      <c r="EX5" s="797">
        <v>0.75</v>
      </c>
      <c r="EY5" s="797">
        <v>0.75</v>
      </c>
      <c r="EZ5" s="797">
        <v>0.75</v>
      </c>
      <c r="FA5" s="797">
        <v>1</v>
      </c>
      <c r="FB5" s="945">
        <f>IF(Captura!$F$35&gt;$Z$11,75%,IF($AS$5="SI",90%,80%))</f>
        <v>0.8</v>
      </c>
      <c r="FC5" s="797">
        <v>0.75</v>
      </c>
      <c r="FD5" s="797">
        <v>0.75</v>
      </c>
      <c r="FE5" s="797">
        <v>1</v>
      </c>
      <c r="FF5" s="797">
        <v>0.75</v>
      </c>
      <c r="FG5" s="797">
        <v>0.75</v>
      </c>
      <c r="FH5" s="797">
        <v>1</v>
      </c>
      <c r="FI5" s="797">
        <v>0.75</v>
      </c>
      <c r="FJ5" s="797">
        <v>0.75</v>
      </c>
      <c r="FK5" s="797">
        <v>1</v>
      </c>
      <c r="FL5" s="797">
        <v>0.75</v>
      </c>
      <c r="FM5" s="797">
        <v>0.75</v>
      </c>
      <c r="FN5" s="797">
        <v>1</v>
      </c>
      <c r="FO5" s="797">
        <v>0.75</v>
      </c>
      <c r="FP5" s="797">
        <v>0.75</v>
      </c>
      <c r="FQ5" s="797">
        <v>1</v>
      </c>
      <c r="FR5" s="2078">
        <v>0.75</v>
      </c>
      <c r="FS5" s="2078">
        <v>0.75</v>
      </c>
      <c r="FT5" s="2078">
        <v>1</v>
      </c>
      <c r="FU5" s="2073"/>
      <c r="FV5" s="2073"/>
      <c r="FW5" s="2073"/>
      <c r="FX5" s="2073"/>
      <c r="FY5" s="2073"/>
      <c r="FZ5" s="2073"/>
      <c r="GB5" s="505"/>
      <c r="GC5" s="486"/>
      <c r="GD5" s="488"/>
      <c r="GG5" s="166" t="s">
        <v>166</v>
      </c>
      <c r="GH5" s="956" t="s">
        <v>153</v>
      </c>
      <c r="GI5" s="959" t="s">
        <v>167</v>
      </c>
      <c r="GJ5" s="2079" t="s">
        <v>168</v>
      </c>
      <c r="GK5" s="173" t="s">
        <v>169</v>
      </c>
      <c r="GL5" s="134"/>
      <c r="GM5" s="507">
        <v>0.6</v>
      </c>
      <c r="GN5" s="459"/>
      <c r="GO5" s="82" t="s">
        <v>64</v>
      </c>
      <c r="GS5" s="433" t="str">
        <f>Free!F15</f>
        <v>SI</v>
      </c>
      <c r="GU5" s="564" t="s">
        <v>45</v>
      </c>
      <c r="GV5" s="564" t="s">
        <v>164</v>
      </c>
      <c r="GW5" s="563" t="s">
        <v>170</v>
      </c>
      <c r="GY5" s="525">
        <v>6000000</v>
      </c>
      <c r="HA5" s="247" t="s">
        <v>171</v>
      </c>
      <c r="HB5" s="248" t="s">
        <v>172</v>
      </c>
      <c r="HC5" s="434" t="str">
        <f>IF(GG4=GF116,"NO","")</f>
        <v/>
      </c>
      <c r="HD5" s="238" t="s">
        <v>173</v>
      </c>
      <c r="HE5" s="517">
        <f>HE3</f>
        <v>0</v>
      </c>
      <c r="HF5" s="939">
        <v>0.1135</v>
      </c>
      <c r="HG5" s="940">
        <f>HF5-0.01</f>
        <v>0.10350000000000001</v>
      </c>
      <c r="HH5" s="940">
        <f>HF5+0.01</f>
        <v>0.1235</v>
      </c>
      <c r="HK5" s="258" t="s">
        <v>74</v>
      </c>
      <c r="HL5" s="501">
        <v>240</v>
      </c>
      <c r="HM5" s="501">
        <v>204</v>
      </c>
      <c r="HN5" s="501">
        <v>180</v>
      </c>
      <c r="HO5" s="501">
        <v>144</v>
      </c>
      <c r="HP5" s="501">
        <v>120</v>
      </c>
      <c r="HQ5" s="502">
        <v>96</v>
      </c>
      <c r="HR5" s="561"/>
      <c r="HS5" s="257" t="s">
        <v>74</v>
      </c>
      <c r="HT5" s="503">
        <v>240</v>
      </c>
      <c r="HU5" s="503">
        <v>204</v>
      </c>
      <c r="HV5" s="503">
        <v>180</v>
      </c>
      <c r="HW5" s="503">
        <v>144</v>
      </c>
      <c r="HX5" s="503">
        <v>120</v>
      </c>
      <c r="HY5" s="502">
        <v>96</v>
      </c>
      <c r="HZ5" s="490"/>
      <c r="IA5" s="257" t="s">
        <v>74</v>
      </c>
      <c r="IB5" s="503">
        <v>240</v>
      </c>
      <c r="IC5" s="503">
        <v>204</v>
      </c>
      <c r="ID5" s="503">
        <v>180</v>
      </c>
      <c r="IE5" s="503">
        <v>144</v>
      </c>
      <c r="IF5" s="503">
        <v>120</v>
      </c>
      <c r="IG5" s="502">
        <v>96</v>
      </c>
      <c r="IH5" s="1086" t="str">
        <f>IFERROR(VLOOKUP(IH3,Ofertasfree,1,0),"FALSO")</f>
        <v>Ninguno</v>
      </c>
      <c r="II5" s="1089"/>
      <c r="IK5" s="435">
        <f>Free!M9</f>
        <v>0</v>
      </c>
      <c r="IO5" s="2054"/>
      <c r="IP5" s="496"/>
      <c r="IQ5" s="526" t="s">
        <v>164</v>
      </c>
      <c r="IR5" s="554" t="s">
        <v>87</v>
      </c>
      <c r="IS5" s="547" t="s">
        <v>88</v>
      </c>
      <c r="IT5" s="2034" t="s">
        <v>89</v>
      </c>
      <c r="IU5" s="2034" t="s">
        <v>89</v>
      </c>
      <c r="IV5" s="2034" t="s">
        <v>89</v>
      </c>
      <c r="IW5" s="2034" t="s">
        <v>89</v>
      </c>
      <c r="IX5" s="2034" t="s">
        <v>89</v>
      </c>
      <c r="IY5" s="2034" t="s">
        <v>89</v>
      </c>
      <c r="IZ5" s="2034" t="s">
        <v>89</v>
      </c>
      <c r="JA5" s="2034" t="s">
        <v>89</v>
      </c>
      <c r="JB5" s="548" t="str">
        <f t="shared" ref="JB5" si="0">IF(AND($IH$3=IH9,$II$3&lt;&gt;""),"VERDADERO","FALSO")</f>
        <v>FALSO</v>
      </c>
      <c r="JD5" s="256"/>
      <c r="JE5" s="2199"/>
      <c r="JF5" s="742">
        <v>1</v>
      </c>
      <c r="JG5" s="745" t="e">
        <f>VLOOKUP(JF5,basetasasfree,MATCH($JF$3,$JJ$4:$KI$4,0))</f>
        <v>#N/A</v>
      </c>
      <c r="JH5" s="256"/>
      <c r="JI5" s="2202"/>
      <c r="JJ5" s="742">
        <v>1</v>
      </c>
      <c r="JK5" s="752">
        <v>0.1135</v>
      </c>
      <c r="JL5" s="752">
        <v>0.1135</v>
      </c>
      <c r="JM5" s="752">
        <v>0.1135</v>
      </c>
      <c r="JN5" s="752">
        <v>0.1135</v>
      </c>
      <c r="JO5" s="752">
        <v>0.1135</v>
      </c>
      <c r="JP5" s="752">
        <v>0.1135</v>
      </c>
      <c r="JQ5" s="752">
        <v>0.1085</v>
      </c>
      <c r="JR5" s="752">
        <v>0.1085</v>
      </c>
      <c r="JS5" s="752">
        <v>0.1085</v>
      </c>
      <c r="JT5" s="752">
        <v>0.1085</v>
      </c>
      <c r="JU5" s="752">
        <v>0.1085</v>
      </c>
      <c r="JV5" s="752">
        <v>0.1085</v>
      </c>
      <c r="JW5" s="752">
        <v>0.1135</v>
      </c>
      <c r="JX5" s="752">
        <v>0.1085</v>
      </c>
      <c r="JY5" s="752">
        <v>0.1085</v>
      </c>
      <c r="JZ5" s="752">
        <v>0.1085</v>
      </c>
      <c r="KA5" s="752">
        <v>0.1085</v>
      </c>
      <c r="KB5" s="752">
        <v>0.1085</v>
      </c>
      <c r="KC5" s="752">
        <v>0.1085</v>
      </c>
      <c r="KD5" s="752">
        <v>0.1085</v>
      </c>
      <c r="KE5" s="752">
        <v>0.1085</v>
      </c>
      <c r="KF5" s="752">
        <v>0.1085</v>
      </c>
      <c r="KG5" s="752">
        <v>0.1085</v>
      </c>
      <c r="KH5" s="752">
        <v>0.1085</v>
      </c>
      <c r="KI5" s="752">
        <v>0.1085</v>
      </c>
      <c r="KJ5" s="256"/>
      <c r="KK5" s="2189"/>
      <c r="KL5" s="808">
        <v>1</v>
      </c>
      <c r="KM5" s="810" t="e">
        <f>IF($GL$4="Asalariado",VLOOKUP(KL5,Aforodestinofree,MATCH($JF$3,$KP$4:$LO$4,0)),IF($GL$4="NO asalariado",VLOOKUP(KL5,aforodestinofreeNO,MATCH($JF$3,$KP$12:$LO$12,0))))</f>
        <v>#N/A</v>
      </c>
      <c r="KO5" s="2192"/>
      <c r="KP5" s="903">
        <v>1</v>
      </c>
      <c r="KQ5" s="905">
        <v>0.75</v>
      </c>
      <c r="KR5" s="905">
        <v>0.75</v>
      </c>
      <c r="KS5" s="905">
        <v>1</v>
      </c>
      <c r="KT5" s="905">
        <v>0.35</v>
      </c>
      <c r="KU5" s="905">
        <v>0.75</v>
      </c>
      <c r="KV5" s="906">
        <v>0.5</v>
      </c>
      <c r="KW5" s="905">
        <v>0.75</v>
      </c>
      <c r="KX5" s="905">
        <v>0.75</v>
      </c>
      <c r="KY5" s="905">
        <v>1</v>
      </c>
      <c r="KZ5" s="905">
        <v>0.35</v>
      </c>
      <c r="LA5" s="905">
        <v>0.75</v>
      </c>
      <c r="LB5" s="906">
        <v>0.5</v>
      </c>
      <c r="LC5" s="905">
        <f>IF($IK$5="SI",90%,80%)</f>
        <v>0.8</v>
      </c>
      <c r="LD5" s="905">
        <v>0.75</v>
      </c>
      <c r="LE5" s="905">
        <v>0.75</v>
      </c>
      <c r="LF5" s="905">
        <v>1</v>
      </c>
      <c r="LG5" s="905">
        <v>0.75</v>
      </c>
      <c r="LH5" s="905">
        <v>0.75</v>
      </c>
      <c r="LI5" s="905">
        <v>1</v>
      </c>
      <c r="LJ5" s="905">
        <v>0.75</v>
      </c>
      <c r="LK5" s="905">
        <v>0.75</v>
      </c>
      <c r="LL5" s="905">
        <v>1</v>
      </c>
      <c r="LM5" s="905">
        <v>0.75</v>
      </c>
      <c r="LN5" s="905">
        <v>0.75</v>
      </c>
      <c r="LO5" s="905">
        <v>1</v>
      </c>
      <c r="LP5" s="256"/>
      <c r="LQ5" s="256"/>
      <c r="LR5" s="256"/>
    </row>
    <row r="6" spans="1:334" ht="33" customHeight="1">
      <c r="B6" s="506" t="s">
        <v>61</v>
      </c>
      <c r="C6" s="78" t="str">
        <f>IF(B4=A113,"si","no")</f>
        <v>no</v>
      </c>
      <c r="D6" s="470" t="s">
        <v>167</v>
      </c>
      <c r="E6" s="2080" t="str">
        <f>IF(B4=A118,"Construcción en Terreno Propio","")</f>
        <v/>
      </c>
      <c r="F6" s="2081"/>
      <c r="G6" s="723">
        <v>113.14</v>
      </c>
      <c r="H6" s="484">
        <f>IF(Adm!B4=Adm!A120,0,1)</f>
        <v>1</v>
      </c>
      <c r="I6" s="134" t="s">
        <v>174</v>
      </c>
      <c r="J6" s="731" t="s">
        <v>175</v>
      </c>
      <c r="K6" s="728" t="s">
        <v>64</v>
      </c>
      <c r="L6" s="456" t="s">
        <v>176</v>
      </c>
      <c r="M6" s="457" t="s">
        <v>177</v>
      </c>
      <c r="N6" s="508"/>
      <c r="O6" s="679">
        <f>IF(AC4=AC15,16%,0)</f>
        <v>0</v>
      </c>
      <c r="P6" s="499"/>
      <c r="Q6" s="683">
        <v>350</v>
      </c>
      <c r="S6" s="134" t="s">
        <v>174</v>
      </c>
      <c r="U6" s="688" t="s">
        <v>178</v>
      </c>
      <c r="V6" s="689" t="s">
        <v>164</v>
      </c>
      <c r="W6" s="689" t="s">
        <v>53</v>
      </c>
      <c r="X6" s="689" t="s">
        <v>54</v>
      </c>
      <c r="Z6" s="80" t="s">
        <v>179</v>
      </c>
      <c r="AA6" s="479" t="s">
        <v>180</v>
      </c>
      <c r="AB6" s="721" t="s">
        <v>174</v>
      </c>
      <c r="AC6" s="721" t="s">
        <v>174</v>
      </c>
      <c r="AD6" s="983" t="s">
        <v>89</v>
      </c>
      <c r="AE6" s="1081">
        <f>IF(BN3=0,Cal!AB116,IFERROR(VLOOKUP(Cal!AB116,BO3:BR33,MATCH(BN3,BO2:BR2,0)),0))</f>
        <v>0</v>
      </c>
      <c r="AF6" s="1960" t="e">
        <f>IF(B4=A118,PMT(((AE6/360)*(365/12)),H4-E13,-1000),PMT(((AE6/360)*(365/12)),H4,-1000))</f>
        <v>#NUM!</v>
      </c>
      <c r="AG6" s="261" t="s">
        <v>181</v>
      </c>
      <c r="AH6" s="262"/>
      <c r="AI6" s="263"/>
      <c r="AJ6" s="261" t="s">
        <v>181</v>
      </c>
      <c r="AK6" s="262"/>
      <c r="AL6" s="263"/>
      <c r="AM6" s="261" t="s">
        <v>181</v>
      </c>
      <c r="AN6" s="262"/>
      <c r="AO6" s="263"/>
      <c r="AS6" s="699" t="s">
        <v>182</v>
      </c>
      <c r="BA6" s="530" t="s">
        <v>183</v>
      </c>
      <c r="BB6" s="554" t="s">
        <v>184</v>
      </c>
      <c r="BC6" s="547" t="s">
        <v>88</v>
      </c>
      <c r="BD6" s="547" t="s">
        <v>88</v>
      </c>
      <c r="BE6" s="547" t="s">
        <v>88</v>
      </c>
      <c r="BF6" s="2082" t="s">
        <v>89</v>
      </c>
      <c r="BG6" s="2082" t="s">
        <v>89</v>
      </c>
      <c r="BH6" s="2082" t="s">
        <v>89</v>
      </c>
      <c r="BI6" s="2082" t="s">
        <v>89</v>
      </c>
      <c r="BJ6" s="2082" t="s">
        <v>89</v>
      </c>
      <c r="BK6" s="2082" t="s">
        <v>89</v>
      </c>
      <c r="BL6" s="530" t="str">
        <f>IF($AQ$3=AQ10,"VERDADERO","FALSO")</f>
        <v>FALSO</v>
      </c>
      <c r="BN6" s="496" t="s">
        <v>185</v>
      </c>
      <c r="BO6" s="2083">
        <v>0.1</v>
      </c>
      <c r="BP6" s="567">
        <v>8.8999999999999996E-2</v>
      </c>
      <c r="BQ6" s="567"/>
      <c r="BR6" s="567"/>
      <c r="BS6" s="256"/>
      <c r="BT6" s="256"/>
      <c r="BU6" s="2199"/>
      <c r="BV6" s="742">
        <v>2</v>
      </c>
      <c r="BW6" s="745" t="e">
        <f>VLOOKUP(BV6,Basetasassantander,MATCH($BV$3,$BZ$4:$DX$4,0))</f>
        <v>#N/A</v>
      </c>
      <c r="BX6" s="256"/>
      <c r="BY6" s="2202"/>
      <c r="BZ6" s="742">
        <v>2</v>
      </c>
      <c r="CA6" s="752">
        <v>0.1225</v>
      </c>
      <c r="CB6" s="752">
        <v>0.1225</v>
      </c>
      <c r="CC6" s="752">
        <v>0.1225</v>
      </c>
      <c r="CD6" s="752">
        <v>0.1225</v>
      </c>
      <c r="CE6" s="752">
        <v>0.1225</v>
      </c>
      <c r="CF6" s="752">
        <v>0.1225</v>
      </c>
      <c r="CG6" s="752">
        <v>0.10249999999999999</v>
      </c>
      <c r="CH6" s="752">
        <v>0.121</v>
      </c>
      <c r="CI6" s="752">
        <v>0.125</v>
      </c>
      <c r="CJ6" s="752">
        <v>0.115</v>
      </c>
      <c r="CK6" s="752">
        <v>0.11749999999999999</v>
      </c>
      <c r="CL6" s="752">
        <v>0.11749999999999999</v>
      </c>
      <c r="CM6" s="752">
        <v>0.11749999999999999</v>
      </c>
      <c r="CN6" s="752">
        <v>0.11749999999999999</v>
      </c>
      <c r="CO6" s="752">
        <v>0.11749999999999999</v>
      </c>
      <c r="CP6" s="752">
        <v>0.11749999999999999</v>
      </c>
      <c r="CQ6" s="752">
        <v>9.7500000000000003E-2</v>
      </c>
      <c r="CR6" s="752">
        <v>0.1159</v>
      </c>
      <c r="CS6" s="752">
        <v>0.105</v>
      </c>
      <c r="CT6" s="752">
        <v>0.105</v>
      </c>
      <c r="CU6" s="752">
        <v>0.105</v>
      </c>
      <c r="CV6" s="752">
        <v>0.10249999999999999</v>
      </c>
      <c r="CW6" s="752">
        <v>0.12</v>
      </c>
      <c r="CX6" s="752">
        <v>0.12</v>
      </c>
      <c r="CY6" s="752">
        <v>0.12</v>
      </c>
      <c r="CZ6" s="752">
        <v>0.1149</v>
      </c>
      <c r="DA6" s="752">
        <v>0.1149</v>
      </c>
      <c r="DB6" s="752">
        <v>0.1149</v>
      </c>
      <c r="DC6" s="857" t="s">
        <v>165</v>
      </c>
      <c r="DD6" s="857" t="s">
        <v>165</v>
      </c>
      <c r="DE6" s="857" t="s">
        <v>165</v>
      </c>
      <c r="DF6" s="857" t="s">
        <v>165</v>
      </c>
      <c r="DG6" s="752">
        <v>0.10249999999999999</v>
      </c>
      <c r="DH6" s="752">
        <v>0.10249999999999999</v>
      </c>
      <c r="DI6" s="752">
        <v>0.10249999999999999</v>
      </c>
      <c r="DJ6" s="752">
        <v>0.10249999999999999</v>
      </c>
      <c r="DK6" s="752">
        <v>0.10249999999999999</v>
      </c>
      <c r="DL6" s="752">
        <v>0.10249999999999999</v>
      </c>
      <c r="DM6" s="752">
        <v>0.10249999999999999</v>
      </c>
      <c r="DN6" s="752">
        <v>0.10249999999999999</v>
      </c>
      <c r="DO6" s="752">
        <v>0.10249999999999999</v>
      </c>
      <c r="DP6" s="752">
        <v>0.10249999999999999</v>
      </c>
      <c r="DQ6" s="752">
        <v>0.10249999999999999</v>
      </c>
      <c r="DR6" s="752">
        <v>0.10249999999999999</v>
      </c>
      <c r="DS6" s="752">
        <v>8.9499999999999996E-2</v>
      </c>
      <c r="DT6" s="752">
        <v>8.9499999999999996E-2</v>
      </c>
      <c r="DU6" s="752">
        <v>8.9499999999999996E-2</v>
      </c>
      <c r="DV6" s="906">
        <v>0.11799999999999999</v>
      </c>
      <c r="DW6" s="906">
        <v>0.11799999999999999</v>
      </c>
      <c r="DX6" s="906">
        <v>0.11799999999999999</v>
      </c>
      <c r="DY6" s="1933"/>
      <c r="EA6" s="2189"/>
      <c r="EB6" s="808">
        <v>2</v>
      </c>
      <c r="EC6" s="810" t="e">
        <f>IF($I$4="Asalariado",VLOOKUP(EB6,Aforodestino,MATCH($BV$3,$EF$4:$FT$4,0)),IF($I$4="NO asalariado",VLOOKUP(EB6,AforodestinoNO,MATCH($BV$3,$EF$12:$FQ$12,0))))</f>
        <v>#N/A</v>
      </c>
      <c r="EE6" s="2192"/>
      <c r="EF6" s="742">
        <v>2</v>
      </c>
      <c r="EG6" s="945">
        <f>IF(Captura!$F$35&gt;$Z$11,75%,80%)</f>
        <v>0.8</v>
      </c>
      <c r="EH6" s="797">
        <v>0.8</v>
      </c>
      <c r="EI6" s="797">
        <v>1</v>
      </c>
      <c r="EJ6" s="797">
        <v>0.5</v>
      </c>
      <c r="EK6" s="945">
        <f>IF(Captura!$F$35&gt;$Z$11,75%,80%)</f>
        <v>0.8</v>
      </c>
      <c r="EL6" s="945">
        <f>IF(Captura!$F$35&gt;$Z$11,75%,80%)</f>
        <v>0.8</v>
      </c>
      <c r="EM6" s="797">
        <v>0.35</v>
      </c>
      <c r="EN6" s="945">
        <f>IF(Captura!$F$35&gt;$Z$11,75%,80%)</f>
        <v>0.8</v>
      </c>
      <c r="EO6" s="797">
        <v>0.6</v>
      </c>
      <c r="EP6" s="797">
        <v>0.7</v>
      </c>
      <c r="EQ6" s="945">
        <f>IF(Captura!$F$35&gt;$Z$11,75%,80%)</f>
        <v>0.8</v>
      </c>
      <c r="ER6" s="797">
        <v>0.8</v>
      </c>
      <c r="ES6" s="797">
        <v>1</v>
      </c>
      <c r="ET6" s="797">
        <v>0.5</v>
      </c>
      <c r="EU6" s="945">
        <f>IF(Captura!$F$35&gt;$Z$11,75%,80%)</f>
        <v>0.8</v>
      </c>
      <c r="EV6" s="945">
        <f>IF(Captura!$F$35&gt;$Z$11,75%,80%)</f>
        <v>0.8</v>
      </c>
      <c r="EW6" s="797">
        <v>0.35</v>
      </c>
      <c r="EX6" s="945">
        <f>IF(Captura!$F$35&gt;$Z$11,75%,80%)</f>
        <v>0.8</v>
      </c>
      <c r="EY6" s="945">
        <f>IF(Captura!$F$35&gt;$Z$11,75%,80%)</f>
        <v>0.8</v>
      </c>
      <c r="EZ6" s="797">
        <v>0.8</v>
      </c>
      <c r="FA6" s="797">
        <v>1</v>
      </c>
      <c r="FB6" s="945">
        <f>IF(Captura!$F$35&gt;$Z$11,75%,IF($AS$5="SI",90%,80%))</f>
        <v>0.8</v>
      </c>
      <c r="FC6" s="945">
        <f>IF(Captura!$F$35&gt;$Z$11,75%,80%)</f>
        <v>0.8</v>
      </c>
      <c r="FD6" s="797">
        <v>0.8</v>
      </c>
      <c r="FE6" s="797">
        <v>1</v>
      </c>
      <c r="FF6" s="945">
        <f>IF(Captura!$F$35&gt;$Z$11,75%,80%)</f>
        <v>0.8</v>
      </c>
      <c r="FG6" s="797">
        <v>0.8</v>
      </c>
      <c r="FH6" s="797">
        <v>1</v>
      </c>
      <c r="FI6" s="945">
        <f>IF(Captura!$F$35&gt;$Z$11,75%,80%)</f>
        <v>0.8</v>
      </c>
      <c r="FJ6" s="797">
        <v>0.8</v>
      </c>
      <c r="FK6" s="797">
        <v>1</v>
      </c>
      <c r="FL6" s="945">
        <f>IF(Captura!$F$35&gt;$Z$11,75%,80%)</f>
        <v>0.8</v>
      </c>
      <c r="FM6" s="797">
        <v>0.8</v>
      </c>
      <c r="FN6" s="797">
        <v>1</v>
      </c>
      <c r="FO6" s="945">
        <f>IF(Captura!$F$35&gt;$Z$11,75%,80%)</f>
        <v>0.8</v>
      </c>
      <c r="FP6" s="797">
        <v>0.8</v>
      </c>
      <c r="FQ6" s="797">
        <v>1</v>
      </c>
      <c r="FR6" s="1935">
        <f>IF(Captura!$F$35&gt;$Z$11,75%,80%)</f>
        <v>0.8</v>
      </c>
      <c r="FS6" s="549">
        <v>0.8</v>
      </c>
      <c r="FT6" s="2078">
        <v>1</v>
      </c>
      <c r="FU6" s="504"/>
      <c r="FV6" s="504"/>
      <c r="FW6" s="504"/>
      <c r="FX6" s="504"/>
      <c r="FY6" s="504"/>
      <c r="FZ6" s="504"/>
      <c r="GB6" s="505"/>
      <c r="GC6" s="486"/>
      <c r="GD6" s="488"/>
      <c r="GG6" s="506" t="s">
        <v>61</v>
      </c>
      <c r="GH6" s="957" t="str">
        <f>IF(GG4=GF113,"si","no")</f>
        <v>no</v>
      </c>
      <c r="GI6" s="959" t="s">
        <v>58</v>
      </c>
      <c r="GJ6" s="869">
        <v>113.14</v>
      </c>
      <c r="GK6" s="870" t="e">
        <f>VLOOKUP(GG4,ListaFree,5,0)</f>
        <v>#N/A</v>
      </c>
      <c r="GL6" s="134" t="s">
        <v>174</v>
      </c>
      <c r="GM6" s="731" t="s">
        <v>175</v>
      </c>
      <c r="GN6" s="886">
        <v>1413</v>
      </c>
      <c r="GO6" s="432">
        <f>IF(HB4=HB15,16%,0)</f>
        <v>0</v>
      </c>
      <c r="GS6" s="134" t="s">
        <v>174</v>
      </c>
      <c r="GT6" s="510">
        <v>1</v>
      </c>
      <c r="GU6" s="1094">
        <v>2.33E-4</v>
      </c>
      <c r="GV6" s="1095">
        <v>2.0680000000000001E-4</v>
      </c>
      <c r="GW6" s="513">
        <f>0.0001856</f>
        <v>1.8560000000000001E-4</v>
      </c>
      <c r="GY6" s="80"/>
      <c r="GZ6" s="966" t="s">
        <v>186</v>
      </c>
      <c r="HA6" s="964" t="str">
        <f>IF(GG4=GF116,"Ninguno","")</f>
        <v/>
      </c>
      <c r="HB6" s="529" t="str">
        <f>IF(GG4=GF116,"Origen Adquisición","")</f>
        <v/>
      </c>
      <c r="HD6" s="442">
        <f>HD4</f>
        <v>0</v>
      </c>
      <c r="HK6" s="2084">
        <v>0.1085</v>
      </c>
      <c r="HL6" s="2085">
        <v>10.66</v>
      </c>
      <c r="HM6" s="2085">
        <v>11.15</v>
      </c>
      <c r="HN6" s="2085">
        <v>11.63</v>
      </c>
      <c r="HO6" s="2085">
        <v>12.74</v>
      </c>
      <c r="HP6" s="2085">
        <v>13.93</v>
      </c>
      <c r="HQ6" s="2085">
        <v>15.81</v>
      </c>
      <c r="HR6" s="561"/>
      <c r="HS6" s="566">
        <v>0.1085</v>
      </c>
      <c r="HT6" s="2085">
        <v>9.43</v>
      </c>
      <c r="HU6" s="2085">
        <v>9.5500000000000007</v>
      </c>
      <c r="HV6" s="2085">
        <v>9.6199999999999992</v>
      </c>
      <c r="HW6" s="2085">
        <v>10.92</v>
      </c>
      <c r="HX6" s="2085">
        <v>12.22</v>
      </c>
      <c r="HY6" s="2085">
        <v>14.18</v>
      </c>
      <c r="HZ6" s="2073"/>
      <c r="IA6" s="2086">
        <v>0.1085</v>
      </c>
      <c r="IB6" s="2084">
        <v>0.02</v>
      </c>
      <c r="IC6" s="2084">
        <v>2.8000000000000001E-2</v>
      </c>
      <c r="ID6" s="2084">
        <v>3.6999999999999998E-2</v>
      </c>
      <c r="IE6" s="2084">
        <v>3.5999999999999997E-2</v>
      </c>
      <c r="IF6" s="2084">
        <v>3.5999999999999997E-2</v>
      </c>
      <c r="IG6" s="2084">
        <v>3.6999999999999998E-2</v>
      </c>
      <c r="II6" s="1090"/>
      <c r="IK6" s="699" t="s">
        <v>182</v>
      </c>
      <c r="IO6" s="2055" t="s">
        <v>182</v>
      </c>
      <c r="IQ6" s="491" t="s">
        <v>31</v>
      </c>
      <c r="IR6" s="2053" t="s">
        <v>87</v>
      </c>
      <c r="IS6" s="2087" t="s">
        <v>89</v>
      </c>
      <c r="IT6" s="2087" t="s">
        <v>89</v>
      </c>
      <c r="IU6" s="2087" t="s">
        <v>89</v>
      </c>
      <c r="IV6" s="2087" t="s">
        <v>89</v>
      </c>
      <c r="IW6" s="2087" t="s">
        <v>89</v>
      </c>
      <c r="IX6" s="2087" t="s">
        <v>89</v>
      </c>
      <c r="IY6" s="2087" t="s">
        <v>89</v>
      </c>
      <c r="IZ6" s="2087" t="s">
        <v>89</v>
      </c>
      <c r="JA6" s="2087" t="s">
        <v>89</v>
      </c>
      <c r="JB6" s="548"/>
      <c r="JD6" s="256"/>
      <c r="JE6" s="2199"/>
      <c r="JF6" s="742">
        <v>2</v>
      </c>
      <c r="JG6" s="745" t="e">
        <f>VLOOKUP(JF6,basetasasfree,MATCH($JF$3,$JJ$4:$KI$4,0))</f>
        <v>#N/A</v>
      </c>
      <c r="JH6" s="256"/>
      <c r="JI6" s="2202"/>
      <c r="JJ6" s="742">
        <v>2</v>
      </c>
      <c r="JK6" s="752">
        <v>0.1135</v>
      </c>
      <c r="JL6" s="752">
        <v>0.1135</v>
      </c>
      <c r="JM6" s="752">
        <v>0.1135</v>
      </c>
      <c r="JN6" s="752">
        <v>0.1135</v>
      </c>
      <c r="JO6" s="752">
        <v>0.1135</v>
      </c>
      <c r="JP6" s="752">
        <v>0.1135</v>
      </c>
      <c r="JQ6" s="752">
        <v>0.1085</v>
      </c>
      <c r="JR6" s="752">
        <v>0.1085</v>
      </c>
      <c r="JS6" s="752">
        <v>0.1085</v>
      </c>
      <c r="JT6" s="752">
        <v>0.1085</v>
      </c>
      <c r="JU6" s="752">
        <v>0.1085</v>
      </c>
      <c r="JV6" s="752">
        <v>0.1085</v>
      </c>
      <c r="JW6" s="752">
        <v>0.1135</v>
      </c>
      <c r="JX6" s="752">
        <v>0.1085</v>
      </c>
      <c r="JY6" s="752">
        <v>0.1085</v>
      </c>
      <c r="JZ6" s="752">
        <v>0.1085</v>
      </c>
      <c r="KA6" s="752">
        <v>0.1085</v>
      </c>
      <c r="KB6" s="752">
        <v>0.1085</v>
      </c>
      <c r="KC6" s="752">
        <v>0.1085</v>
      </c>
      <c r="KD6" s="752">
        <v>0.1085</v>
      </c>
      <c r="KE6" s="752">
        <v>0.1085</v>
      </c>
      <c r="KF6" s="752">
        <v>0.1085</v>
      </c>
      <c r="KG6" s="752">
        <v>0.1085</v>
      </c>
      <c r="KH6" s="752">
        <v>0.1085</v>
      </c>
      <c r="KI6" s="752">
        <v>0.1085</v>
      </c>
      <c r="KJ6" s="256"/>
      <c r="KK6" s="2189"/>
      <c r="KL6" s="808">
        <v>2</v>
      </c>
      <c r="KM6" s="810" t="e">
        <f>IF($GL$4="Asalariado",VLOOKUP(KL6,Aforodestinofree,MATCH($JF$3,$KP$4:$LO$4,0)),IF($GL$4="NO asalariado",VLOOKUP(KL6,aforodestinofreeNO,MATCH($JF$3,$KP$12:$LO$12,0))))</f>
        <v>#N/A</v>
      </c>
      <c r="KO6" s="2192"/>
      <c r="KP6" s="903">
        <v>2</v>
      </c>
      <c r="KQ6" s="905">
        <v>0.8</v>
      </c>
      <c r="KR6" s="905">
        <v>0.8</v>
      </c>
      <c r="KS6" s="905">
        <v>1</v>
      </c>
      <c r="KT6" s="905">
        <v>0.35</v>
      </c>
      <c r="KU6" s="905">
        <v>0.8</v>
      </c>
      <c r="KV6" s="906">
        <v>0.5</v>
      </c>
      <c r="KW6" s="905">
        <v>0.8</v>
      </c>
      <c r="KX6" s="905">
        <v>0.8</v>
      </c>
      <c r="KY6" s="905">
        <v>1</v>
      </c>
      <c r="KZ6" s="905">
        <v>0.35</v>
      </c>
      <c r="LA6" s="905">
        <v>0.8</v>
      </c>
      <c r="LB6" s="906">
        <v>0.5</v>
      </c>
      <c r="LC6" s="905">
        <f>IF($IK$5="SI",90%,80%)</f>
        <v>0.8</v>
      </c>
      <c r="LD6" s="905">
        <v>0.8</v>
      </c>
      <c r="LE6" s="905">
        <v>0.8</v>
      </c>
      <c r="LF6" s="905">
        <v>1</v>
      </c>
      <c r="LG6" s="905">
        <v>0.8</v>
      </c>
      <c r="LH6" s="905">
        <v>0.8</v>
      </c>
      <c r="LI6" s="905">
        <v>1</v>
      </c>
      <c r="LJ6" s="905">
        <v>0.8</v>
      </c>
      <c r="LK6" s="905">
        <v>0.8</v>
      </c>
      <c r="LL6" s="905">
        <v>1</v>
      </c>
      <c r="LM6" s="905">
        <v>0.8</v>
      </c>
      <c r="LN6" s="905">
        <v>0.8</v>
      </c>
      <c r="LO6" s="905">
        <v>1</v>
      </c>
      <c r="LP6" s="256"/>
      <c r="LQ6" s="256"/>
      <c r="LR6" s="256"/>
    </row>
    <row r="7" spans="1:334" ht="27" thickBot="1">
      <c r="B7" s="514" t="s">
        <v>62</v>
      </c>
      <c r="C7" s="168" t="s">
        <v>67</v>
      </c>
      <c r="D7" s="482" t="e">
        <f>IF(VLOOKUP(B4,lista,7,0)="SI","Crecientes","")</f>
        <v>#N/A</v>
      </c>
      <c r="E7" s="2088" t="str">
        <f>IF(B4=A118,"Adquisición de Terreno y Construcción","")</f>
        <v/>
      </c>
      <c r="F7" s="2081"/>
      <c r="G7" s="2089">
        <f>G6*30.4</f>
        <v>3439.4559999999997</v>
      </c>
      <c r="H7" s="496"/>
      <c r="I7" s="1949" t="s">
        <v>187</v>
      </c>
      <c r="J7" s="507">
        <v>0.55000000000000004</v>
      </c>
      <c r="K7" s="729">
        <v>2586.21</v>
      </c>
      <c r="L7" s="681">
        <v>0</v>
      </c>
      <c r="M7" s="568">
        <v>500000</v>
      </c>
      <c r="N7" s="2090">
        <v>2000</v>
      </c>
      <c r="O7" s="678" t="s">
        <v>188</v>
      </c>
      <c r="P7" s="499"/>
      <c r="S7" s="472" t="s">
        <v>88</v>
      </c>
      <c r="T7" s="510">
        <v>1</v>
      </c>
      <c r="U7" s="511">
        <v>5.1539999999999995E-4</v>
      </c>
      <c r="V7" s="512">
        <v>2.6350000000000001E-4</v>
      </c>
      <c r="W7" s="2091">
        <f>0.2269/1000</f>
        <v>2.2689999999999999E-4</v>
      </c>
      <c r="X7" s="515">
        <v>2.9999999999999997E-4</v>
      </c>
      <c r="Z7" s="516">
        <v>15000</v>
      </c>
      <c r="AA7" s="500">
        <v>20000000</v>
      </c>
      <c r="AB7" s="437" t="str">
        <f>IF(OR(B4=A116,B4=A117),"Ninguno","")</f>
        <v/>
      </c>
      <c r="AC7" s="856" t="str">
        <f>IF(OR(B4=A116,B4=A117,),"Origen Adquisición","")</f>
        <v/>
      </c>
      <c r="AG7" s="569">
        <v>9.5000000000000001E-2</v>
      </c>
      <c r="AH7" s="570">
        <v>9.0399999999999991</v>
      </c>
      <c r="AI7" s="1950">
        <v>2.8000000000000001E-2</v>
      </c>
      <c r="AJ7" s="569">
        <v>9.5000000000000001E-2</v>
      </c>
      <c r="AK7" s="570">
        <v>8.35</v>
      </c>
      <c r="AL7" s="1950">
        <v>1.7999999999999999E-2</v>
      </c>
      <c r="AM7" s="559">
        <v>9.8000000000000004E-2</v>
      </c>
      <c r="AN7" s="570">
        <v>8.5</v>
      </c>
      <c r="AO7" s="559">
        <v>8.3999999999999995E-3</v>
      </c>
      <c r="AP7" s="125"/>
      <c r="AQ7" s="489" t="s">
        <v>189</v>
      </c>
      <c r="AS7" s="707" t="str">
        <f>IF(AS3="SI","SI","")</f>
        <v/>
      </c>
      <c r="BA7" s="2035" t="s">
        <v>31</v>
      </c>
      <c r="BB7" s="2035" t="s">
        <v>87</v>
      </c>
      <c r="BC7" s="2092" t="s">
        <v>89</v>
      </c>
      <c r="BD7" s="2092" t="s">
        <v>89</v>
      </c>
      <c r="BE7" s="2092" t="s">
        <v>89</v>
      </c>
      <c r="BF7" s="2092" t="s">
        <v>89</v>
      </c>
      <c r="BG7" s="2092" t="s">
        <v>89</v>
      </c>
      <c r="BH7" s="2092" t="s">
        <v>89</v>
      </c>
      <c r="BI7" s="2092" t="s">
        <v>89</v>
      </c>
      <c r="BJ7" s="2092" t="s">
        <v>89</v>
      </c>
      <c r="BK7" s="2092" t="s">
        <v>89</v>
      </c>
      <c r="BL7" s="2035"/>
      <c r="BN7" s="2004" t="str">
        <f>IF(BN5="no","","Plan Platino")</f>
        <v>Plan Platino</v>
      </c>
      <c r="BO7" s="2093">
        <v>0.10199999999999999</v>
      </c>
      <c r="BP7" s="559">
        <v>9.7000000000000003E-2</v>
      </c>
      <c r="BQ7" s="559"/>
      <c r="BR7" s="559"/>
      <c r="BS7" s="256"/>
      <c r="BT7" s="256"/>
      <c r="BU7" s="2199"/>
      <c r="BV7" s="742">
        <v>3</v>
      </c>
      <c r="BW7" s="745" t="e">
        <f>VLOOKUP(BV7,Basetasassantander,MATCH($BV$3,$BZ$4:$DX$4,0))</f>
        <v>#N/A</v>
      </c>
      <c r="BX7" s="256"/>
      <c r="BY7" s="2202"/>
      <c r="BZ7" s="742">
        <v>3</v>
      </c>
      <c r="CA7" s="752">
        <v>0.1095</v>
      </c>
      <c r="CB7" s="752">
        <v>0.1095</v>
      </c>
      <c r="CC7" s="752">
        <v>0.1095</v>
      </c>
      <c r="CD7" s="752">
        <v>0.1095</v>
      </c>
      <c r="CE7" s="752">
        <v>0.1095</v>
      </c>
      <c r="CF7" s="752">
        <v>0.1095</v>
      </c>
      <c r="CG7" s="752">
        <v>0.10249999999999999</v>
      </c>
      <c r="CH7" s="752">
        <v>0.111</v>
      </c>
      <c r="CI7" s="752">
        <v>0.115</v>
      </c>
      <c r="CJ7" s="752">
        <v>0.115</v>
      </c>
      <c r="CK7" s="752">
        <v>0.1045</v>
      </c>
      <c r="CL7" s="752">
        <v>0.1045</v>
      </c>
      <c r="CM7" s="752">
        <v>0.1045</v>
      </c>
      <c r="CN7" s="752">
        <v>0.1045</v>
      </c>
      <c r="CO7" s="752">
        <v>0.1045</v>
      </c>
      <c r="CP7" s="752">
        <v>0.1045</v>
      </c>
      <c r="CQ7" s="752">
        <v>9.7500000000000003E-2</v>
      </c>
      <c r="CR7" s="752">
        <v>0.10589999999999999</v>
      </c>
      <c r="CS7" s="752">
        <v>9.8000000000000004E-2</v>
      </c>
      <c r="CT7" s="752">
        <v>9.8000000000000004E-2</v>
      </c>
      <c r="CU7" s="752">
        <v>9.8000000000000004E-2</v>
      </c>
      <c r="CV7" s="752">
        <v>0.10249999999999999</v>
      </c>
      <c r="CW7" s="752">
        <v>0.107</v>
      </c>
      <c r="CX7" s="752">
        <v>0.107</v>
      </c>
      <c r="CY7" s="752">
        <v>0.107</v>
      </c>
      <c r="CZ7" s="752">
        <v>0.10199999999999999</v>
      </c>
      <c r="DA7" s="752">
        <v>0.10199999999999999</v>
      </c>
      <c r="DB7" s="752">
        <v>0.10199999999999999</v>
      </c>
      <c r="DC7" s="752">
        <v>0.1096</v>
      </c>
      <c r="DD7" s="752">
        <v>0.1096</v>
      </c>
      <c r="DE7" s="752">
        <v>0.1096</v>
      </c>
      <c r="DF7" s="752">
        <v>0.11650000000000001</v>
      </c>
      <c r="DG7" s="752">
        <v>0.10249999999999999</v>
      </c>
      <c r="DH7" s="752">
        <v>0.10249999999999999</v>
      </c>
      <c r="DI7" s="752">
        <v>0.10249999999999999</v>
      </c>
      <c r="DJ7" s="752">
        <v>0.10249999999999999</v>
      </c>
      <c r="DK7" s="752">
        <v>0.10249999999999999</v>
      </c>
      <c r="DL7" s="752">
        <v>0.10249999999999999</v>
      </c>
      <c r="DM7" s="752">
        <v>0.10249999999999999</v>
      </c>
      <c r="DN7" s="752">
        <v>0.10249999999999999</v>
      </c>
      <c r="DO7" s="752">
        <v>0.10249999999999999</v>
      </c>
      <c r="DP7" s="752">
        <v>0.10249999999999999</v>
      </c>
      <c r="DQ7" s="752">
        <v>0.10249999999999999</v>
      </c>
      <c r="DR7" s="752">
        <v>0.10249999999999999</v>
      </c>
      <c r="DS7" s="752">
        <v>8.9499999999999996E-2</v>
      </c>
      <c r="DT7" s="752">
        <v>8.9499999999999996E-2</v>
      </c>
      <c r="DU7" s="752">
        <v>8.9499999999999996E-2</v>
      </c>
      <c r="DV7" s="906">
        <v>0.105</v>
      </c>
      <c r="DW7" s="906">
        <v>0.105</v>
      </c>
      <c r="DX7" s="906">
        <v>0.105</v>
      </c>
      <c r="DY7" s="1933"/>
      <c r="EA7" s="2189"/>
      <c r="EB7" s="808">
        <v>3</v>
      </c>
      <c r="EC7" s="810" t="e">
        <f>IF($I$4="Asalariado",VLOOKUP(EB7,Aforodestino,MATCH($BV$3,$EF$4:$FT$4,0)),IF($I$4="NO asalariado",VLOOKUP(EB7,AforodestinoNO,MATCH($BV$3,$EF$12:$FQ$12,0))))</f>
        <v>#N/A</v>
      </c>
      <c r="EE7" s="2192"/>
      <c r="EF7" s="742">
        <v>3</v>
      </c>
      <c r="EG7" s="945">
        <f>IF(Captura!$F$35&gt;$Z$11,75%,85%)</f>
        <v>0.85</v>
      </c>
      <c r="EH7" s="797">
        <v>0.85</v>
      </c>
      <c r="EI7" s="797">
        <v>1</v>
      </c>
      <c r="EJ7" s="797">
        <v>0.5</v>
      </c>
      <c r="EK7" s="945">
        <f>IF(Captura!$F$35&gt;$Z$11,75%,85%)</f>
        <v>0.85</v>
      </c>
      <c r="EL7" s="945">
        <f>IF(Captura!$F$35&gt;$Z$11,75%,80%)</f>
        <v>0.8</v>
      </c>
      <c r="EM7" s="797">
        <v>0.35</v>
      </c>
      <c r="EN7" s="945">
        <f>IF(Captura!$F$35&gt;$Z$11,75%,85%)</f>
        <v>0.85</v>
      </c>
      <c r="EO7" s="797">
        <v>0.7</v>
      </c>
      <c r="EP7" s="797">
        <v>0.7</v>
      </c>
      <c r="EQ7" s="945">
        <f>IF(Captura!$F$35&gt;$Z$11,75%,85%)</f>
        <v>0.85</v>
      </c>
      <c r="ER7" s="797">
        <v>0.85</v>
      </c>
      <c r="ES7" s="797">
        <v>1</v>
      </c>
      <c r="ET7" s="797">
        <v>0.5</v>
      </c>
      <c r="EU7" s="945">
        <f>IF(Captura!$F$35&gt;$Z$11,75%,85%)</f>
        <v>0.85</v>
      </c>
      <c r="EV7" s="945">
        <f>IF(Captura!$F$35&gt;$Z$11,75%,80%)</f>
        <v>0.8</v>
      </c>
      <c r="EW7" s="797">
        <v>0.35</v>
      </c>
      <c r="EX7" s="945">
        <f>IF(Captura!$F$35&gt;$Z$11,75%,85%)</f>
        <v>0.85</v>
      </c>
      <c r="EY7" s="945">
        <f>IF(Captura!$F$35&gt;$Z$11,75%,85%)</f>
        <v>0.85</v>
      </c>
      <c r="EZ7" s="797">
        <v>0.85</v>
      </c>
      <c r="FA7" s="797">
        <v>1</v>
      </c>
      <c r="FB7" s="945">
        <f>IF(Captura!$F$35&gt;$Z$11,75%,IF($AS$5="SI",90%,80%))</f>
        <v>0.8</v>
      </c>
      <c r="FC7" s="945">
        <f>IF(Captura!$F$35&gt;$Z$11,75%,85%)</f>
        <v>0.85</v>
      </c>
      <c r="FD7" s="797">
        <v>0.85</v>
      </c>
      <c r="FE7" s="797">
        <v>1</v>
      </c>
      <c r="FF7" s="945">
        <f>IF(Captura!$F$35&gt;$Z$11,75%,85%)</f>
        <v>0.85</v>
      </c>
      <c r="FG7" s="797">
        <v>0.85</v>
      </c>
      <c r="FH7" s="797">
        <v>1</v>
      </c>
      <c r="FI7" s="945">
        <f>IF(Captura!$F$35&gt;$Z$11,75%,85%)</f>
        <v>0.85</v>
      </c>
      <c r="FJ7" s="797">
        <v>0.85</v>
      </c>
      <c r="FK7" s="797">
        <v>1</v>
      </c>
      <c r="FL7" s="945">
        <f>IF(Captura!$F$35&gt;$Z$11,75%,85%)</f>
        <v>0.85</v>
      </c>
      <c r="FM7" s="797">
        <v>0.85</v>
      </c>
      <c r="FN7" s="797">
        <v>1</v>
      </c>
      <c r="FO7" s="945">
        <f>IF(Captura!$F$35&gt;$Z$11,75%,85%)</f>
        <v>0.85</v>
      </c>
      <c r="FP7" s="797">
        <v>0.85</v>
      </c>
      <c r="FQ7" s="797">
        <v>1</v>
      </c>
      <c r="FR7" s="1935">
        <f>IF(Captura!$F$35&gt;$Z$11,75%,85%)</f>
        <v>0.85</v>
      </c>
      <c r="FS7" s="549">
        <v>0.85</v>
      </c>
      <c r="FT7" s="2078">
        <v>1</v>
      </c>
      <c r="GB7" s="2215"/>
      <c r="GC7" s="486"/>
      <c r="GD7" s="488"/>
      <c r="GG7" s="514" t="s">
        <v>62</v>
      </c>
      <c r="GH7" s="956" t="s">
        <v>190</v>
      </c>
      <c r="GI7" s="960" t="s">
        <v>191</v>
      </c>
      <c r="GJ7" s="2094">
        <f>GJ6*30.4</f>
        <v>3439.4559999999997</v>
      </c>
      <c r="GL7" s="741" t="s">
        <v>187</v>
      </c>
      <c r="GM7" s="507">
        <v>0.55000000000000004</v>
      </c>
      <c r="GN7" s="887">
        <v>18000</v>
      </c>
      <c r="GO7" s="82" t="s">
        <v>188</v>
      </c>
      <c r="GS7" s="169" t="s">
        <v>88</v>
      </c>
      <c r="GT7" s="520">
        <v>2</v>
      </c>
      <c r="GU7" s="1095">
        <v>3.7310000000000002E-4</v>
      </c>
      <c r="GV7" s="1095">
        <v>3.6860000000000001E-4</v>
      </c>
      <c r="GX7" s="2095"/>
      <c r="GY7" s="525"/>
      <c r="GZ7" s="967">
        <f>Free!F25</f>
        <v>0</v>
      </c>
      <c r="HA7" s="965" t="str">
        <f>IF(GG4=GF116,"Financiamiento de gastos","")</f>
        <v/>
      </c>
      <c r="HB7" s="531" t="str">
        <f>IF(GG4=GF116,"Origen Liquidez","")</f>
        <v/>
      </c>
      <c r="HK7" s="2084">
        <v>0.1135</v>
      </c>
      <c r="HL7" s="2085">
        <v>11.01</v>
      </c>
      <c r="HM7" s="2085">
        <v>11.48</v>
      </c>
      <c r="HN7" s="2085">
        <v>11.95</v>
      </c>
      <c r="HO7" s="2085">
        <v>13.04</v>
      </c>
      <c r="HP7" s="2085">
        <v>14.22</v>
      </c>
      <c r="HQ7" s="2085">
        <v>16.09</v>
      </c>
      <c r="HR7" s="561"/>
      <c r="HS7" s="566">
        <v>0.1135</v>
      </c>
      <c r="HT7" s="2085">
        <v>9.77</v>
      </c>
      <c r="HU7" s="2085">
        <v>9.85</v>
      </c>
      <c r="HV7" s="2085">
        <v>9.91</v>
      </c>
      <c r="HW7" s="2085">
        <v>10.96</v>
      </c>
      <c r="HX7" s="2085">
        <v>12.22</v>
      </c>
      <c r="HY7" s="2085">
        <v>14.18</v>
      </c>
      <c r="HZ7" s="2066"/>
      <c r="IA7" s="2096">
        <v>0.1135</v>
      </c>
      <c r="IB7" s="2084">
        <v>0.02</v>
      </c>
      <c r="IC7" s="2084">
        <v>2.8000000000000001E-2</v>
      </c>
      <c r="ID7" s="2084">
        <v>3.6999999999999998E-2</v>
      </c>
      <c r="IE7" s="2084">
        <v>4.1000000000000002E-2</v>
      </c>
      <c r="IF7" s="2084">
        <v>4.2000000000000003E-2</v>
      </c>
      <c r="IG7" s="2084">
        <v>4.2999999999999997E-2</v>
      </c>
      <c r="IH7" s="489" t="s">
        <v>192</v>
      </c>
      <c r="II7" s="1091" t="s">
        <v>193</v>
      </c>
      <c r="IK7" s="444" t="str">
        <f>IF(IK3="SI","SI","")</f>
        <v/>
      </c>
      <c r="IO7" s="2056"/>
      <c r="IQ7" s="491" t="s">
        <v>32</v>
      </c>
      <c r="IR7" s="2053" t="s">
        <v>87</v>
      </c>
      <c r="IS7" s="2087" t="s">
        <v>89</v>
      </c>
      <c r="IT7" s="2087" t="s">
        <v>89</v>
      </c>
      <c r="IU7" s="2087" t="s">
        <v>89</v>
      </c>
      <c r="IV7" s="2087" t="s">
        <v>89</v>
      </c>
      <c r="IW7" s="2087" t="s">
        <v>89</v>
      </c>
      <c r="IX7" s="2087" t="s">
        <v>89</v>
      </c>
      <c r="IY7" s="2087" t="s">
        <v>89</v>
      </c>
      <c r="IZ7" s="2087" t="s">
        <v>89</v>
      </c>
      <c r="JA7" s="2087" t="s">
        <v>89</v>
      </c>
      <c r="JB7" s="548"/>
      <c r="JD7" s="256"/>
      <c r="JE7" s="2199"/>
      <c r="JF7" s="742">
        <v>3</v>
      </c>
      <c r="JG7" s="745" t="e">
        <f>VLOOKUP(JF7,basetasasfree,MATCH($JF$3,$JJ$4:$KI$4,0))</f>
        <v>#N/A</v>
      </c>
      <c r="JH7" s="256"/>
      <c r="JI7" s="2202"/>
      <c r="JJ7" s="742">
        <v>3</v>
      </c>
      <c r="JK7" s="752">
        <v>0.1135</v>
      </c>
      <c r="JL7" s="752">
        <v>0.1135</v>
      </c>
      <c r="JM7" s="752">
        <v>0.1135</v>
      </c>
      <c r="JN7" s="752">
        <v>0.1135</v>
      </c>
      <c r="JO7" s="752">
        <v>0.1135</v>
      </c>
      <c r="JP7" s="752">
        <v>0.1135</v>
      </c>
      <c r="JQ7" s="752">
        <v>0.1085</v>
      </c>
      <c r="JR7" s="752">
        <v>0.1085</v>
      </c>
      <c r="JS7" s="752">
        <v>0.1085</v>
      </c>
      <c r="JT7" s="752">
        <v>0.1085</v>
      </c>
      <c r="JU7" s="752">
        <v>0.1085</v>
      </c>
      <c r="JV7" s="752">
        <v>0.1085</v>
      </c>
      <c r="JW7" s="752">
        <v>0.1135</v>
      </c>
      <c r="JX7" s="752">
        <v>0.1085</v>
      </c>
      <c r="JY7" s="752">
        <v>0.1085</v>
      </c>
      <c r="JZ7" s="752">
        <v>0.1085</v>
      </c>
      <c r="KA7" s="752">
        <v>0.1085</v>
      </c>
      <c r="KB7" s="752">
        <v>0.1085</v>
      </c>
      <c r="KC7" s="752">
        <v>0.1085</v>
      </c>
      <c r="KD7" s="752">
        <v>0.1085</v>
      </c>
      <c r="KE7" s="752">
        <v>0.1085</v>
      </c>
      <c r="KF7" s="752">
        <v>0.1085</v>
      </c>
      <c r="KG7" s="752">
        <v>0.1085</v>
      </c>
      <c r="KH7" s="752">
        <v>0.1085</v>
      </c>
      <c r="KI7" s="752">
        <v>0.1085</v>
      </c>
      <c r="KJ7" s="256"/>
      <c r="KK7" s="2189"/>
      <c r="KL7" s="808">
        <v>3</v>
      </c>
      <c r="KM7" s="810" t="e">
        <f>IF($GL$4="Asalariado",VLOOKUP(KL7,Aforodestinofree,MATCH($JF$3,$KP$4:$LO$4,0)),IF($GL$4="NO asalariado",VLOOKUP(KL7,aforodestinofreeNO,MATCH($JF$3,$KP$12:$LO$12,0))))</f>
        <v>#N/A</v>
      </c>
      <c r="KO7" s="2192"/>
      <c r="KP7" s="903">
        <v>3</v>
      </c>
      <c r="KQ7" s="905">
        <v>0.85</v>
      </c>
      <c r="KR7" s="905">
        <v>0.85</v>
      </c>
      <c r="KS7" s="905">
        <v>1</v>
      </c>
      <c r="KT7" s="905">
        <v>0.35</v>
      </c>
      <c r="KU7" s="905">
        <v>0.85</v>
      </c>
      <c r="KV7" s="906">
        <v>0.5</v>
      </c>
      <c r="KW7" s="905">
        <v>0.85</v>
      </c>
      <c r="KX7" s="905">
        <v>0.85</v>
      </c>
      <c r="KY7" s="905">
        <v>1</v>
      </c>
      <c r="KZ7" s="905">
        <v>0.35</v>
      </c>
      <c r="LA7" s="905">
        <v>0.85</v>
      </c>
      <c r="LB7" s="906">
        <v>0.5</v>
      </c>
      <c r="LC7" s="905">
        <f>IF($IK$5="SI",90%,80%)</f>
        <v>0.8</v>
      </c>
      <c r="LD7" s="905">
        <v>0.85</v>
      </c>
      <c r="LE7" s="905">
        <v>0.85</v>
      </c>
      <c r="LF7" s="905">
        <v>1</v>
      </c>
      <c r="LG7" s="905">
        <v>0.85</v>
      </c>
      <c r="LH7" s="905">
        <v>0.85</v>
      </c>
      <c r="LI7" s="905">
        <v>1</v>
      </c>
      <c r="LJ7" s="905">
        <v>0.85</v>
      </c>
      <c r="LK7" s="905">
        <v>0.85</v>
      </c>
      <c r="LL7" s="905">
        <v>1</v>
      </c>
      <c r="LM7" s="905">
        <v>0.85</v>
      </c>
      <c r="LN7" s="905">
        <v>0.85</v>
      </c>
      <c r="LO7" s="905">
        <v>1</v>
      </c>
      <c r="LP7" s="256"/>
      <c r="LQ7" s="256"/>
      <c r="LR7" s="256"/>
    </row>
    <row r="8" spans="1:334" ht="44.25" customHeight="1">
      <c r="A8" s="521"/>
      <c r="B8" s="521" t="s">
        <v>194</v>
      </c>
      <c r="C8" s="79" t="str">
        <f>IF(B4=A118,"si","no")</f>
        <v>no</v>
      </c>
      <c r="E8" s="2081"/>
      <c r="F8" s="2081"/>
      <c r="G8" s="723" t="s">
        <v>195</v>
      </c>
      <c r="H8" s="180" t="s">
        <v>196</v>
      </c>
      <c r="I8" s="879" t="s">
        <v>197</v>
      </c>
      <c r="J8" s="731" t="s">
        <v>198</v>
      </c>
      <c r="K8" s="730" t="s">
        <v>199</v>
      </c>
      <c r="L8" s="681">
        <v>500001</v>
      </c>
      <c r="M8" s="568">
        <v>1000000</v>
      </c>
      <c r="N8" s="2090">
        <v>3000</v>
      </c>
      <c r="O8" s="680">
        <v>0.16</v>
      </c>
      <c r="P8" s="499"/>
      <c r="S8" s="473" t="s">
        <v>89</v>
      </c>
      <c r="T8" s="520">
        <v>2</v>
      </c>
      <c r="U8" s="521">
        <v>8.2540000000000001E-4</v>
      </c>
      <c r="V8" s="512">
        <v>4.9640000000000003E-4</v>
      </c>
      <c r="W8" s="2066"/>
      <c r="Z8" s="80" t="s">
        <v>200</v>
      </c>
      <c r="AA8" s="80" t="s">
        <v>186</v>
      </c>
      <c r="AB8" s="438" t="str">
        <f>IF(OR(B4=A116,B4=A117),"Financiamiento de gastos","")</f>
        <v/>
      </c>
      <c r="AC8" s="440" t="str">
        <f>IF(OR(B4=A116,B4=A117,),"Origen Liquidez","")</f>
        <v/>
      </c>
      <c r="AG8" s="572">
        <v>9.7500000000000003E-2</v>
      </c>
      <c r="AH8" s="573">
        <v>9.19</v>
      </c>
      <c r="AI8" s="1951">
        <v>2.8000000000000001E-2</v>
      </c>
      <c r="AJ8" s="572">
        <v>9.7500000000000003E-2</v>
      </c>
      <c r="AK8" s="573">
        <v>8.5</v>
      </c>
      <c r="AL8" s="1951">
        <v>1.7999999999999999E-2</v>
      </c>
      <c r="AM8" s="560">
        <v>0.105</v>
      </c>
      <c r="AN8" s="573">
        <v>9.1</v>
      </c>
      <c r="AO8" s="560">
        <v>6.7000000000000002E-3</v>
      </c>
      <c r="AP8" s="125"/>
      <c r="AQ8" s="522" t="s">
        <v>86</v>
      </c>
      <c r="AS8" s="434" t="str">
        <f>IF(AS3="SI","NO","")</f>
        <v/>
      </c>
      <c r="BA8" s="2035" t="s">
        <v>32</v>
      </c>
      <c r="BB8" s="2035" t="s">
        <v>87</v>
      </c>
      <c r="BC8" s="2092" t="s">
        <v>89</v>
      </c>
      <c r="BD8" s="2092" t="s">
        <v>89</v>
      </c>
      <c r="BE8" s="2092" t="s">
        <v>89</v>
      </c>
      <c r="BF8" s="2092" t="s">
        <v>89</v>
      </c>
      <c r="BG8" s="2092" t="s">
        <v>89</v>
      </c>
      <c r="BH8" s="2092" t="s">
        <v>89</v>
      </c>
      <c r="BI8" s="2092" t="s">
        <v>89</v>
      </c>
      <c r="BJ8" s="2092" t="s">
        <v>89</v>
      </c>
      <c r="BK8" s="2092" t="s">
        <v>89</v>
      </c>
      <c r="BL8" s="2035"/>
      <c r="BN8" s="2005" t="str">
        <f>IF(BN5="no","",IF(AQ3=AQ12,"Plan Asalariado",""))</f>
        <v/>
      </c>
      <c r="BO8" s="2097">
        <v>0.10249999999999999</v>
      </c>
      <c r="BP8" s="574">
        <v>8.9499999999999996E-2</v>
      </c>
      <c r="BQ8" s="574"/>
      <c r="BR8" s="574">
        <v>0.08</v>
      </c>
      <c r="BS8" s="256"/>
      <c r="BT8" s="256"/>
      <c r="BU8" s="2199"/>
      <c r="BV8" s="742">
        <v>4</v>
      </c>
      <c r="BW8" s="745" t="e">
        <f>VLOOKUP(BV8,Basetasassantander,MATCH($BV$3,$BZ$4:$DX$4,0))</f>
        <v>#N/A</v>
      </c>
      <c r="BX8" s="256"/>
      <c r="BY8" s="2202"/>
      <c r="BZ8" s="742">
        <v>4</v>
      </c>
      <c r="CA8" s="749">
        <v>0.10249999999999999</v>
      </c>
      <c r="CB8" s="749">
        <v>0.10249999999999999</v>
      </c>
      <c r="CC8" s="749">
        <v>0.10249999999999999</v>
      </c>
      <c r="CD8" s="749">
        <v>0.10249999999999999</v>
      </c>
      <c r="CE8" s="749">
        <v>0.10249999999999999</v>
      </c>
      <c r="CF8" s="749">
        <v>0.10249999999999999</v>
      </c>
      <c r="CG8" s="749">
        <v>0.10249999999999999</v>
      </c>
      <c r="CH8" s="749">
        <v>0.111</v>
      </c>
      <c r="CI8" s="749">
        <v>0.115</v>
      </c>
      <c r="CJ8" s="749">
        <v>0.115</v>
      </c>
      <c r="CK8" s="749">
        <v>9.7500000000000003E-2</v>
      </c>
      <c r="CL8" s="749">
        <v>9.7500000000000003E-2</v>
      </c>
      <c r="CM8" s="749">
        <v>9.7500000000000003E-2</v>
      </c>
      <c r="CN8" s="749">
        <v>9.7500000000000003E-2</v>
      </c>
      <c r="CO8" s="749">
        <v>9.7500000000000003E-2</v>
      </c>
      <c r="CP8" s="749">
        <v>9.7500000000000003E-2</v>
      </c>
      <c r="CQ8" s="749">
        <v>9.7500000000000003E-2</v>
      </c>
      <c r="CR8" s="749">
        <v>0.10589999999999999</v>
      </c>
      <c r="CS8" s="749">
        <v>9.8000000000000004E-2</v>
      </c>
      <c r="CT8" s="749">
        <v>9.8000000000000004E-2</v>
      </c>
      <c r="CU8" s="749">
        <v>9.8000000000000004E-2</v>
      </c>
      <c r="CV8" s="749">
        <v>0.10249999999999999</v>
      </c>
      <c r="CW8" s="749">
        <v>0.1</v>
      </c>
      <c r="CX8" s="749">
        <v>0.1</v>
      </c>
      <c r="CY8" s="749">
        <v>0.1</v>
      </c>
      <c r="CZ8" s="749">
        <v>9.5000000000000001E-2</v>
      </c>
      <c r="DA8" s="749">
        <v>9.5000000000000001E-2</v>
      </c>
      <c r="DB8" s="749">
        <v>9.5000000000000001E-2</v>
      </c>
      <c r="DC8" s="749">
        <v>9.8000000000000004E-2</v>
      </c>
      <c r="DD8" s="749">
        <v>9.8000000000000004E-2</v>
      </c>
      <c r="DE8" s="749">
        <v>9.8000000000000004E-2</v>
      </c>
      <c r="DF8" s="749">
        <v>0.1094</v>
      </c>
      <c r="DG8" s="749">
        <v>0.10249999999999999</v>
      </c>
      <c r="DH8" s="749">
        <v>0.10249999999999999</v>
      </c>
      <c r="DI8" s="749">
        <v>0.10249999999999999</v>
      </c>
      <c r="DJ8" s="749">
        <v>0.10249999999999999</v>
      </c>
      <c r="DK8" s="749">
        <v>0.10249999999999999</v>
      </c>
      <c r="DL8" s="749">
        <v>0.10249999999999999</v>
      </c>
      <c r="DM8" s="749">
        <v>0.10249999999999999</v>
      </c>
      <c r="DN8" s="749">
        <v>0.10249999999999999</v>
      </c>
      <c r="DO8" s="749">
        <v>0.10249999999999999</v>
      </c>
      <c r="DP8" s="749">
        <v>0.10249999999999999</v>
      </c>
      <c r="DQ8" s="749">
        <v>0.10249999999999999</v>
      </c>
      <c r="DR8" s="749">
        <v>0.10249999999999999</v>
      </c>
      <c r="DS8" s="749">
        <v>8.9499999999999996E-2</v>
      </c>
      <c r="DT8" s="749">
        <v>8.9499999999999996E-2</v>
      </c>
      <c r="DU8" s="749">
        <v>8.9499999999999996E-2</v>
      </c>
      <c r="DV8" s="906">
        <v>9.8000000000000004E-2</v>
      </c>
      <c r="DW8" s="906">
        <v>9.8000000000000004E-2</v>
      </c>
      <c r="DX8" s="906">
        <v>9.8000000000000004E-2</v>
      </c>
      <c r="DY8" s="1933"/>
      <c r="EA8" s="2189"/>
      <c r="EB8" s="808">
        <v>4</v>
      </c>
      <c r="EC8" s="810" t="e">
        <f>IF($I$4="Asalariado",VLOOKUP(EB8,Aforodestino,MATCH($BV$3,$EF$4:$FT$4,0)),IF($I$4="NO asalariado",VLOOKUP(EB8,AforodestinoNO,MATCH($BV$3,$EF$12:$FQ$12,0))))</f>
        <v>#N/A</v>
      </c>
      <c r="EE8" s="2192"/>
      <c r="EF8" s="742">
        <v>4</v>
      </c>
      <c r="EG8" s="946">
        <f>IF(Captura!$F$35&gt;$Z$11,75%,90%)</f>
        <v>0.9</v>
      </c>
      <c r="EH8" s="798">
        <v>0.95</v>
      </c>
      <c r="EI8" s="798">
        <v>1</v>
      </c>
      <c r="EJ8" s="798">
        <v>0.5</v>
      </c>
      <c r="EK8" s="946">
        <f>IF(Captura!$F$35&gt;$Z$11,75%,90%)</f>
        <v>0.9</v>
      </c>
      <c r="EL8" s="946">
        <f>IF(Captura!$F$35&gt;$Z$11,75%,80%)</f>
        <v>0.8</v>
      </c>
      <c r="EM8" s="798">
        <v>0.35</v>
      </c>
      <c r="EN8" s="946">
        <f>IF(Captura!$F$35&gt;$Z$11,75%,90%)</f>
        <v>0.9</v>
      </c>
      <c r="EO8" s="798">
        <v>0.7</v>
      </c>
      <c r="EP8" s="798">
        <v>0.7</v>
      </c>
      <c r="EQ8" s="946">
        <f>IF(Captura!$F$35&gt;$Z$11,75%,90%)</f>
        <v>0.9</v>
      </c>
      <c r="ER8" s="798">
        <v>0.95</v>
      </c>
      <c r="ES8" s="798">
        <v>1</v>
      </c>
      <c r="ET8" s="798">
        <v>0.5</v>
      </c>
      <c r="EU8" s="946">
        <f>IF(Captura!$F$35&gt;$Z$11,75%,90%)</f>
        <v>0.9</v>
      </c>
      <c r="EV8" s="946">
        <f>IF(Captura!$F$35&gt;$Z$11,75%,80%)</f>
        <v>0.8</v>
      </c>
      <c r="EW8" s="798">
        <v>0.35</v>
      </c>
      <c r="EX8" s="946">
        <f>IF(Captura!$F$35&gt;$Z$11,75%,90%)</f>
        <v>0.9</v>
      </c>
      <c r="EY8" s="946">
        <f>IF(Captura!$F$35&gt;$Z$11,75%,90%)</f>
        <v>0.9</v>
      </c>
      <c r="EZ8" s="798">
        <v>0.95</v>
      </c>
      <c r="FA8" s="798">
        <v>1</v>
      </c>
      <c r="FB8" s="945">
        <f>IF(Captura!$F$35&gt;$Z$11,75%,IF($AS$5="SI",90%,80%))</f>
        <v>0.8</v>
      </c>
      <c r="FC8" s="946">
        <f>IF(Captura!$F$35&gt;$Z$11,75%,90%)</f>
        <v>0.9</v>
      </c>
      <c r="FD8" s="798">
        <v>0.95</v>
      </c>
      <c r="FE8" s="797">
        <v>1</v>
      </c>
      <c r="FF8" s="946">
        <f>IF(Captura!$F$35&gt;$Z$11,75%,90%)</f>
        <v>0.9</v>
      </c>
      <c r="FG8" s="798">
        <v>0.95</v>
      </c>
      <c r="FH8" s="797">
        <v>1</v>
      </c>
      <c r="FI8" s="946">
        <f>IF(Captura!$F$35&gt;$Z$11,75%,90%)</f>
        <v>0.9</v>
      </c>
      <c r="FJ8" s="798">
        <v>0.95</v>
      </c>
      <c r="FK8" s="797">
        <v>1</v>
      </c>
      <c r="FL8" s="946">
        <f>IF(Captura!$F$35&gt;$Z$11,75%,90%)</f>
        <v>0.9</v>
      </c>
      <c r="FM8" s="798">
        <v>0.95</v>
      </c>
      <c r="FN8" s="797">
        <v>1</v>
      </c>
      <c r="FO8" s="946">
        <f>IF(Captura!$F$35&gt;$Z$11,75%,90%)</f>
        <v>0.9</v>
      </c>
      <c r="FP8" s="798">
        <v>0.95</v>
      </c>
      <c r="FQ8" s="797">
        <v>1</v>
      </c>
      <c r="FR8" s="1935">
        <f>IF(Captura!$F$35&gt;$Z$11,75%,90%)</f>
        <v>0.9</v>
      </c>
      <c r="FS8" s="549">
        <v>0.95</v>
      </c>
      <c r="FT8" s="2078">
        <v>1</v>
      </c>
      <c r="FU8" s="465"/>
      <c r="FV8" s="465"/>
      <c r="FW8" s="465"/>
      <c r="FX8" s="465"/>
      <c r="FY8" s="465"/>
      <c r="FZ8" s="465"/>
      <c r="GB8" s="2215"/>
      <c r="GC8" s="486"/>
      <c r="GD8" s="488"/>
      <c r="GG8" s="521" t="s">
        <v>194</v>
      </c>
      <c r="GH8" s="958" t="str">
        <f>IF(GG4=GF117,"si","no")</f>
        <v>no</v>
      </c>
      <c r="GI8" s="475">
        <f>GI4</f>
        <v>0</v>
      </c>
      <c r="GJ8" s="877" t="s">
        <v>195</v>
      </c>
      <c r="GK8" s="134" t="s">
        <v>174</v>
      </c>
      <c r="GL8" s="879" t="s">
        <v>197</v>
      </c>
      <c r="GM8" s="731" t="s">
        <v>198</v>
      </c>
      <c r="GN8" s="888" t="s">
        <v>64</v>
      </c>
      <c r="GO8" s="507">
        <v>0.16</v>
      </c>
      <c r="GS8" s="170" t="s">
        <v>89</v>
      </c>
      <c r="GT8" s="520">
        <v>3</v>
      </c>
      <c r="GU8" s="1095">
        <v>4.6490000000000002E-4</v>
      </c>
      <c r="GV8" s="1095">
        <v>5.2030000000000002E-4</v>
      </c>
      <c r="GX8" s="2095"/>
      <c r="GY8" s="80"/>
      <c r="GZ8" s="968" t="s">
        <v>201</v>
      </c>
      <c r="HA8" s="439" t="str">
        <f>IF(AND(GG4=GF116,HB4=HB15),"",IF(GG4=GF116,"Dinero adicional",""))</f>
        <v/>
      </c>
      <c r="HB8" s="131"/>
      <c r="HK8" s="2098"/>
      <c r="HL8" s="1"/>
      <c r="HM8" s="1"/>
      <c r="HN8" s="2098"/>
      <c r="HO8" s="2098"/>
      <c r="HP8" s="235"/>
      <c r="HQ8" s="235"/>
      <c r="HR8" s="235"/>
      <c r="HS8" s="235"/>
      <c r="HT8" s="235"/>
      <c r="HU8" s="235"/>
      <c r="HV8" s="235"/>
      <c r="HW8" s="235"/>
      <c r="HX8" s="235"/>
      <c r="HY8" s="235"/>
      <c r="HZ8" s="235"/>
      <c r="IA8" s="235"/>
      <c r="IB8" s="235"/>
      <c r="IC8" s="235"/>
      <c r="ID8" s="235"/>
      <c r="IE8" s="235"/>
      <c r="IF8" s="235"/>
      <c r="IG8" s="2098"/>
      <c r="IH8" s="518" t="s">
        <v>86</v>
      </c>
      <c r="II8" s="982"/>
      <c r="IK8" s="519" t="str">
        <f>IF(IK3="SI","NO","")</f>
        <v/>
      </c>
      <c r="IO8" s="1945"/>
      <c r="IQ8" s="491" t="s">
        <v>33</v>
      </c>
      <c r="IR8" s="2053" t="s">
        <v>87</v>
      </c>
      <c r="IS8" s="2087" t="s">
        <v>89</v>
      </c>
      <c r="IT8" s="2087" t="s">
        <v>89</v>
      </c>
      <c r="IU8" s="2087" t="s">
        <v>89</v>
      </c>
      <c r="IV8" s="2087" t="s">
        <v>89</v>
      </c>
      <c r="IW8" s="2087" t="s">
        <v>89</v>
      </c>
      <c r="IX8" s="2087" t="s">
        <v>89</v>
      </c>
      <c r="IY8" s="2087" t="s">
        <v>89</v>
      </c>
      <c r="IZ8" s="2087" t="s">
        <v>89</v>
      </c>
      <c r="JA8" s="2087" t="s">
        <v>89</v>
      </c>
      <c r="JB8" s="548"/>
      <c r="JD8" s="256"/>
      <c r="JE8" s="2199"/>
      <c r="JF8" s="742">
        <v>4</v>
      </c>
      <c r="JG8" s="745" t="e">
        <f>VLOOKUP(JF8,basetasasfree,MATCH($JF$3,$JJ$4:$KI$4,0))</f>
        <v>#N/A</v>
      </c>
      <c r="JH8" s="256"/>
      <c r="JI8" s="2202"/>
      <c r="JJ8" s="742">
        <v>4</v>
      </c>
      <c r="JK8" s="752">
        <v>0.1135</v>
      </c>
      <c r="JL8" s="752">
        <v>0.1135</v>
      </c>
      <c r="JM8" s="752">
        <v>0.1135</v>
      </c>
      <c r="JN8" s="752">
        <v>0.1135</v>
      </c>
      <c r="JO8" s="752">
        <v>0.1135</v>
      </c>
      <c r="JP8" s="752">
        <v>0.1135</v>
      </c>
      <c r="JQ8" s="752">
        <v>0.1085</v>
      </c>
      <c r="JR8" s="752">
        <v>0.1085</v>
      </c>
      <c r="JS8" s="752">
        <v>0.1085</v>
      </c>
      <c r="JT8" s="752">
        <v>0.1085</v>
      </c>
      <c r="JU8" s="752">
        <v>0.1085</v>
      </c>
      <c r="JV8" s="752">
        <v>0.1085</v>
      </c>
      <c r="JW8" s="752">
        <v>0.1135</v>
      </c>
      <c r="JX8" s="752">
        <v>0.1085</v>
      </c>
      <c r="JY8" s="752">
        <v>0.1085</v>
      </c>
      <c r="JZ8" s="752">
        <v>0.1085</v>
      </c>
      <c r="KA8" s="752">
        <v>0.1085</v>
      </c>
      <c r="KB8" s="752">
        <v>0.1085</v>
      </c>
      <c r="KC8" s="752">
        <v>0.1085</v>
      </c>
      <c r="KD8" s="752">
        <v>0.1085</v>
      </c>
      <c r="KE8" s="752">
        <v>0.1085</v>
      </c>
      <c r="KF8" s="752">
        <v>0.1085</v>
      </c>
      <c r="KG8" s="752">
        <v>0.1085</v>
      </c>
      <c r="KH8" s="752">
        <v>0.1085</v>
      </c>
      <c r="KI8" s="752">
        <v>0.1085</v>
      </c>
      <c r="KJ8" s="256"/>
      <c r="KK8" s="2189"/>
      <c r="KL8" s="808">
        <v>4</v>
      </c>
      <c r="KM8" s="810" t="e">
        <f>IF($GL$4="Asalariado",VLOOKUP(KL8,Aforodestinofree,MATCH($JF$3,$KP$4:$LO$4,0)),IF($GL$4="NO asalariado",VLOOKUP(KL8,aforodestinofreeNO,MATCH($JF$3,$KP$12:$LO$12,0))))</f>
        <v>#N/A</v>
      </c>
      <c r="KO8" s="2192"/>
      <c r="KP8" s="903">
        <v>4</v>
      </c>
      <c r="KQ8" s="905">
        <v>0.9</v>
      </c>
      <c r="KR8" s="905">
        <v>0.95</v>
      </c>
      <c r="KS8" s="905">
        <v>1</v>
      </c>
      <c r="KT8" s="905">
        <v>0.35</v>
      </c>
      <c r="KU8" s="905">
        <v>0.9</v>
      </c>
      <c r="KV8" s="906">
        <v>0.5</v>
      </c>
      <c r="KW8" s="905">
        <v>0.9</v>
      </c>
      <c r="KX8" s="905">
        <v>0.95</v>
      </c>
      <c r="KY8" s="905">
        <v>1</v>
      </c>
      <c r="KZ8" s="905">
        <v>0.35</v>
      </c>
      <c r="LA8" s="905">
        <v>0.9</v>
      </c>
      <c r="LB8" s="906">
        <v>0.5</v>
      </c>
      <c r="LC8" s="905">
        <f>IF($IK$5="SI",90%,80%)</f>
        <v>0.8</v>
      </c>
      <c r="LD8" s="905">
        <v>0.9</v>
      </c>
      <c r="LE8" s="905">
        <v>0.95</v>
      </c>
      <c r="LF8" s="905">
        <v>1</v>
      </c>
      <c r="LG8" s="905">
        <v>0.9</v>
      </c>
      <c r="LH8" s="905">
        <v>0.95</v>
      </c>
      <c r="LI8" s="905">
        <v>1</v>
      </c>
      <c r="LJ8" s="905">
        <v>0.9</v>
      </c>
      <c r="LK8" s="905">
        <v>0.95</v>
      </c>
      <c r="LL8" s="905">
        <v>1</v>
      </c>
      <c r="LM8" s="905">
        <v>0.9</v>
      </c>
      <c r="LN8" s="905">
        <v>0.95</v>
      </c>
      <c r="LO8" s="905">
        <v>1</v>
      </c>
      <c r="LP8" s="256"/>
      <c r="LQ8" s="256"/>
      <c r="LR8" s="256"/>
    </row>
    <row r="9" spans="1:334" ht="27" thickBot="1">
      <c r="B9" s="521" t="s">
        <v>202</v>
      </c>
      <c r="C9" s="168" t="s">
        <v>68</v>
      </c>
      <c r="D9" s="720" t="s">
        <v>191</v>
      </c>
      <c r="E9" s="43" t="s">
        <v>203</v>
      </c>
      <c r="F9" s="2081"/>
      <c r="G9" s="724">
        <f>G7*25</f>
        <v>85986.4</v>
      </c>
      <c r="H9" s="709" t="e">
        <f>VLOOKUP(B4,lista,5,0)</f>
        <v>#N/A</v>
      </c>
      <c r="I9" s="134" t="s">
        <v>204</v>
      </c>
      <c r="J9" s="507">
        <v>0.45</v>
      </c>
      <c r="K9" s="729">
        <v>2586.21</v>
      </c>
      <c r="L9" s="681">
        <v>1000001</v>
      </c>
      <c r="M9" s="568">
        <v>1500000</v>
      </c>
      <c r="N9" s="2090">
        <v>4500</v>
      </c>
      <c r="S9" s="134"/>
      <c r="T9" s="520">
        <v>3</v>
      </c>
      <c r="U9" s="521">
        <v>1.0284999999999999E-3</v>
      </c>
      <c r="V9" s="512">
        <v>7.3990000000000004E-4</v>
      </c>
      <c r="W9" s="2066"/>
      <c r="Z9" s="516">
        <v>200000</v>
      </c>
      <c r="AA9" s="461">
        <f>IF(B4=A118,Captura!F33+Captura!F35,Captura!F33)</f>
        <v>0</v>
      </c>
      <c r="AB9" s="438" t="str">
        <f>IF(AND(OR(B4=A116,B4=A117),AC4=AC15),"",IF(OR(B4=A116,B4=A117),"Dinero adicional",""))</f>
        <v/>
      </c>
      <c r="AC9" s="441" t="str">
        <f>IF(B4=A117,"Origen Cofinanciamiento","")</f>
        <v/>
      </c>
      <c r="AG9" s="575">
        <v>9.8000000000000004E-2</v>
      </c>
      <c r="AH9" s="576">
        <v>9.2200000000000006</v>
      </c>
      <c r="AI9" s="1952">
        <v>2.8000000000000001E-2</v>
      </c>
      <c r="AJ9" s="575">
        <v>9.8000000000000004E-2</v>
      </c>
      <c r="AK9" s="576">
        <v>8.5399999999999991</v>
      </c>
      <c r="AL9" s="1952">
        <v>1.7999999999999999E-2</v>
      </c>
      <c r="AM9" s="575">
        <v>0.11799999999999999</v>
      </c>
      <c r="AN9" s="576">
        <v>10.130000000000001</v>
      </c>
      <c r="AO9" s="562">
        <v>5.4999999999999997E-3</v>
      </c>
      <c r="AP9" s="125"/>
      <c r="AQ9" s="522" t="s">
        <v>164</v>
      </c>
      <c r="BA9" s="2035" t="s">
        <v>33</v>
      </c>
      <c r="BB9" s="2035" t="s">
        <v>87</v>
      </c>
      <c r="BC9" s="2092" t="s">
        <v>89</v>
      </c>
      <c r="BD9" s="2092" t="s">
        <v>89</v>
      </c>
      <c r="BE9" s="2092" t="s">
        <v>89</v>
      </c>
      <c r="BF9" s="2092" t="s">
        <v>89</v>
      </c>
      <c r="BG9" s="2092" t="s">
        <v>89</v>
      </c>
      <c r="BH9" s="2092" t="s">
        <v>89</v>
      </c>
      <c r="BI9" s="2092" t="s">
        <v>89</v>
      </c>
      <c r="BJ9" s="2092" t="s">
        <v>89</v>
      </c>
      <c r="BK9" s="2092" t="s">
        <v>89</v>
      </c>
      <c r="BL9" s="2035"/>
      <c r="BN9" s="2004" t="str">
        <f>IF(BN5="no","",IF(AQ5="Ninguno","Plan SEV",""))</f>
        <v>Plan SEV</v>
      </c>
      <c r="BO9" s="2069">
        <v>0.1045</v>
      </c>
      <c r="BP9" s="560">
        <v>9.9500000000000005E-2</v>
      </c>
      <c r="BQ9" s="560"/>
      <c r="BR9" s="560"/>
      <c r="BS9" s="256"/>
      <c r="BT9" s="256"/>
      <c r="BU9" s="2200"/>
      <c r="BV9" s="746">
        <v>5</v>
      </c>
      <c r="BW9" s="747" t="e">
        <f>VLOOKUP(BV9,Basetasassantander,MATCH($BV$3,$BZ$4:$DX$4,0))</f>
        <v>#N/A</v>
      </c>
      <c r="BX9" s="256"/>
      <c r="BY9" s="2203"/>
      <c r="BZ9" s="750">
        <v>5</v>
      </c>
      <c r="CA9" s="751">
        <v>0.10249999999999999</v>
      </c>
      <c r="CB9" s="751">
        <v>0.10249999999999999</v>
      </c>
      <c r="CC9" s="751">
        <v>0.10249999999999999</v>
      </c>
      <c r="CD9" s="751">
        <v>0.10249999999999999</v>
      </c>
      <c r="CE9" s="751">
        <v>0.10249999999999999</v>
      </c>
      <c r="CF9" s="751">
        <v>0.10249999999999999</v>
      </c>
      <c r="CG9" s="751">
        <v>0.10249999999999999</v>
      </c>
      <c r="CH9" s="751">
        <v>0.111</v>
      </c>
      <c r="CI9" s="751">
        <v>0.115</v>
      </c>
      <c r="CJ9" s="751">
        <v>0.115</v>
      </c>
      <c r="CK9" s="751">
        <v>9.7500000000000003E-2</v>
      </c>
      <c r="CL9" s="751">
        <v>9.7500000000000003E-2</v>
      </c>
      <c r="CM9" s="751">
        <v>9.7500000000000003E-2</v>
      </c>
      <c r="CN9" s="751">
        <v>9.7500000000000003E-2</v>
      </c>
      <c r="CO9" s="751">
        <v>9.7500000000000003E-2</v>
      </c>
      <c r="CP9" s="751">
        <v>9.7500000000000003E-2</v>
      </c>
      <c r="CQ9" s="751">
        <v>9.7500000000000003E-2</v>
      </c>
      <c r="CR9" s="751">
        <v>0.10589999999999999</v>
      </c>
      <c r="CS9" s="751">
        <v>9.8000000000000004E-2</v>
      </c>
      <c r="CT9" s="751">
        <v>9.8000000000000004E-2</v>
      </c>
      <c r="CU9" s="751">
        <v>9.8000000000000004E-2</v>
      </c>
      <c r="CV9" s="751">
        <v>0.10249999999999999</v>
      </c>
      <c r="CW9" s="751">
        <v>0.1</v>
      </c>
      <c r="CX9" s="751">
        <v>0.1</v>
      </c>
      <c r="CY9" s="751">
        <v>0.1</v>
      </c>
      <c r="CZ9" s="751">
        <v>9.5000000000000001E-2</v>
      </c>
      <c r="DA9" s="751">
        <v>9.5000000000000001E-2</v>
      </c>
      <c r="DB9" s="751">
        <v>9.5000000000000001E-2</v>
      </c>
      <c r="DC9" s="751">
        <v>9.8000000000000004E-2</v>
      </c>
      <c r="DD9" s="751">
        <v>9.8000000000000004E-2</v>
      </c>
      <c r="DE9" s="751">
        <v>9.8000000000000004E-2</v>
      </c>
      <c r="DF9" s="751">
        <v>0.1094</v>
      </c>
      <c r="DG9" s="751">
        <v>0.10249999999999999</v>
      </c>
      <c r="DH9" s="751">
        <v>0.10249999999999999</v>
      </c>
      <c r="DI9" s="751">
        <v>0.10249999999999999</v>
      </c>
      <c r="DJ9" s="751">
        <v>0.10249999999999999</v>
      </c>
      <c r="DK9" s="751">
        <v>0.10249999999999999</v>
      </c>
      <c r="DL9" s="751">
        <v>0.10249999999999999</v>
      </c>
      <c r="DM9" s="751">
        <v>0.10249999999999999</v>
      </c>
      <c r="DN9" s="751">
        <v>0.10249999999999999</v>
      </c>
      <c r="DO9" s="751">
        <v>0.10249999999999999</v>
      </c>
      <c r="DP9" s="751">
        <v>0.10249999999999999</v>
      </c>
      <c r="DQ9" s="751">
        <v>0.10249999999999999</v>
      </c>
      <c r="DR9" s="751">
        <v>0.10249999999999999</v>
      </c>
      <c r="DS9" s="751">
        <v>8.9499999999999996E-2</v>
      </c>
      <c r="DT9" s="751">
        <v>8.9499999999999996E-2</v>
      </c>
      <c r="DU9" s="751">
        <v>8.9499999999999996E-2</v>
      </c>
      <c r="DV9" s="906">
        <v>9.8000000000000004E-2</v>
      </c>
      <c r="DW9" s="906">
        <v>9.8000000000000004E-2</v>
      </c>
      <c r="DX9" s="906">
        <v>9.8000000000000004E-2</v>
      </c>
      <c r="DY9" s="1933"/>
      <c r="EA9" s="2190"/>
      <c r="EB9" s="811">
        <v>5</v>
      </c>
      <c r="EC9" s="810" t="e">
        <f>IF($I$4="Asalariado",VLOOKUP(EB9,Aforodestino,MATCH($BV$3,$EF$4:$FT$4,0)),IF($I$4="NO asalariado",VLOOKUP(EB9,AforodestinoNO,MATCH($BV$3,$EF$12:$FQ$12,0))))</f>
        <v>#N/A</v>
      </c>
      <c r="EE9" s="2193"/>
      <c r="EF9" s="750">
        <v>5</v>
      </c>
      <c r="EG9" s="947">
        <f>IF(Captura!$F$35&gt;$Z$11,80%,90%)</f>
        <v>0.9</v>
      </c>
      <c r="EH9" s="799">
        <v>0.95</v>
      </c>
      <c r="EI9" s="799">
        <v>1</v>
      </c>
      <c r="EJ9" s="799">
        <v>0.5</v>
      </c>
      <c r="EK9" s="947">
        <f>IF(Captura!$F$35&gt;$Z$11,80%,90%)</f>
        <v>0.9</v>
      </c>
      <c r="EL9" s="799">
        <v>0.8</v>
      </c>
      <c r="EM9" s="799">
        <v>0.35</v>
      </c>
      <c r="EN9" s="947">
        <f>IF(Captura!$F$35&gt;$Z$11,80%,90%)</f>
        <v>0.9</v>
      </c>
      <c r="EO9" s="799">
        <v>0.7</v>
      </c>
      <c r="EP9" s="799">
        <v>0.7</v>
      </c>
      <c r="EQ9" s="947">
        <f>IF(Captura!$F$35&gt;$Z$11,80%,90%)</f>
        <v>0.9</v>
      </c>
      <c r="ER9" s="799">
        <v>0.95</v>
      </c>
      <c r="ES9" s="799">
        <v>1</v>
      </c>
      <c r="ET9" s="799">
        <v>0.5</v>
      </c>
      <c r="EU9" s="947">
        <f>IF(Captura!$F$35&gt;$Z$11,80%,90%)</f>
        <v>0.9</v>
      </c>
      <c r="EV9" s="799">
        <v>0.8</v>
      </c>
      <c r="EW9" s="799">
        <v>0.35</v>
      </c>
      <c r="EX9" s="947">
        <f>IF(Captura!$F$35&gt;$Z$11,80%,90%)</f>
        <v>0.9</v>
      </c>
      <c r="EY9" s="947">
        <f>IF(Captura!$F$35&gt;$Z$11,80%,90%)</f>
        <v>0.9</v>
      </c>
      <c r="EZ9" s="799">
        <v>0.95</v>
      </c>
      <c r="FA9" s="799">
        <v>1</v>
      </c>
      <c r="FB9" s="1930">
        <f>IF(Captura!$F$35&gt;$Z$11,80%,IF($AS$5="SI",90%,80%))</f>
        <v>0.8</v>
      </c>
      <c r="FC9" s="947">
        <f>IF(Captura!$F$35&gt;$Z$11,80%,90%)</f>
        <v>0.9</v>
      </c>
      <c r="FD9" s="799">
        <v>0.95</v>
      </c>
      <c r="FE9" s="806">
        <v>1</v>
      </c>
      <c r="FF9" s="947">
        <f>IF(Captura!$F$35&gt;$Z$11,80%,90%)</f>
        <v>0.9</v>
      </c>
      <c r="FG9" s="799">
        <v>0.95</v>
      </c>
      <c r="FH9" s="806">
        <v>1</v>
      </c>
      <c r="FI9" s="947">
        <f>IF(Captura!$F$35&gt;$Z$11,80%,90%)</f>
        <v>0.9</v>
      </c>
      <c r="FJ9" s="799">
        <v>0.95</v>
      </c>
      <c r="FK9" s="806">
        <v>1</v>
      </c>
      <c r="FL9" s="947">
        <f>IF(Captura!$F$35&gt;$Z$11,80%,90%)</f>
        <v>0.9</v>
      </c>
      <c r="FM9" s="799">
        <v>0.95</v>
      </c>
      <c r="FN9" s="806">
        <v>1</v>
      </c>
      <c r="FO9" s="947">
        <f>IF(Captura!$F$35&gt;$Z$11,80%,90%)</f>
        <v>0.9</v>
      </c>
      <c r="FP9" s="799">
        <v>0.95</v>
      </c>
      <c r="FQ9" s="806">
        <v>1</v>
      </c>
      <c r="FR9" s="1935">
        <f>IF(Captura!$F$35&gt;$Z$11,80%,95%)</f>
        <v>0.95</v>
      </c>
      <c r="FS9" s="549">
        <v>0.95</v>
      </c>
      <c r="FT9" s="2078">
        <v>1</v>
      </c>
      <c r="FU9" s="504"/>
      <c r="FV9" s="504"/>
      <c r="FW9" s="504"/>
      <c r="FX9" s="504"/>
      <c r="FY9" s="504"/>
      <c r="FZ9" s="504"/>
      <c r="GB9" s="505"/>
      <c r="GC9" s="486"/>
      <c r="GD9" s="488"/>
      <c r="GG9" s="521" t="s">
        <v>202</v>
      </c>
      <c r="GH9" s="168" t="s">
        <v>205</v>
      </c>
      <c r="GJ9" s="878">
        <f>GJ7*25</f>
        <v>85986.4</v>
      </c>
      <c r="GK9" s="166" t="s">
        <v>206</v>
      </c>
      <c r="GL9" s="134" t="s">
        <v>204</v>
      </c>
      <c r="GM9" s="507">
        <v>0.45</v>
      </c>
      <c r="GN9" s="961">
        <v>2586.21</v>
      </c>
      <c r="GT9" s="523">
        <v>4</v>
      </c>
      <c r="GU9" s="1096">
        <v>5.8629999999999999E-4</v>
      </c>
      <c r="GV9" s="1097">
        <v>7.205E-4</v>
      </c>
      <c r="GY9" s="525"/>
      <c r="GZ9" s="478">
        <f>GZ7*GX4</f>
        <v>0</v>
      </c>
      <c r="HA9" s="131"/>
      <c r="HB9" s="131"/>
      <c r="HD9" s="125"/>
      <c r="HK9" s="2098"/>
      <c r="HL9" s="1"/>
      <c r="HM9" s="1"/>
      <c r="HN9" s="2098"/>
      <c r="HO9" s="2098"/>
      <c r="HP9" s="235"/>
      <c r="HQ9" s="235"/>
      <c r="HR9" s="235"/>
      <c r="HS9" s="235"/>
      <c r="HT9" s="235"/>
      <c r="HU9" s="235"/>
      <c r="HV9" s="235"/>
      <c r="HW9" s="235"/>
      <c r="HX9" s="235"/>
      <c r="HY9" s="235"/>
      <c r="HZ9" s="235"/>
      <c r="IA9" s="235"/>
      <c r="IB9" s="235"/>
      <c r="IC9" s="235"/>
      <c r="ID9" s="235"/>
      <c r="IE9" s="235"/>
      <c r="IF9" s="235"/>
      <c r="IG9" s="2098"/>
      <c r="IH9" s="522" t="s">
        <v>164</v>
      </c>
      <c r="II9" s="1092"/>
      <c r="IQ9" s="491" t="s">
        <v>34</v>
      </c>
      <c r="IR9" s="2053" t="s">
        <v>87</v>
      </c>
      <c r="IS9" s="2087" t="s">
        <v>89</v>
      </c>
      <c r="IT9" s="2087" t="s">
        <v>89</v>
      </c>
      <c r="IU9" s="2087" t="s">
        <v>89</v>
      </c>
      <c r="IV9" s="2087" t="s">
        <v>89</v>
      </c>
      <c r="IW9" s="2087" t="s">
        <v>89</v>
      </c>
      <c r="IX9" s="2087" t="s">
        <v>89</v>
      </c>
      <c r="IY9" s="2087" t="s">
        <v>89</v>
      </c>
      <c r="IZ9" s="2087" t="s">
        <v>89</v>
      </c>
      <c r="JA9" s="2087" t="s">
        <v>89</v>
      </c>
      <c r="JB9" s="548"/>
      <c r="JD9" s="256"/>
      <c r="JE9" s="2200"/>
      <c r="JF9" s="746">
        <v>5</v>
      </c>
      <c r="JG9" s="745" t="e">
        <f>VLOOKUP(JF9,basetasasfree,MATCH($JF$3,$JJ$4:$KI$4,0))</f>
        <v>#N/A</v>
      </c>
      <c r="JH9" s="256"/>
      <c r="JI9" s="2203"/>
      <c r="JJ9" s="750">
        <v>5</v>
      </c>
      <c r="JK9" s="752">
        <v>0.1135</v>
      </c>
      <c r="JL9" s="752">
        <v>0.1135</v>
      </c>
      <c r="JM9" s="752">
        <v>0.1135</v>
      </c>
      <c r="JN9" s="752">
        <v>0.1135</v>
      </c>
      <c r="JO9" s="752">
        <v>0.1135</v>
      </c>
      <c r="JP9" s="752">
        <v>0.1135</v>
      </c>
      <c r="JQ9" s="752">
        <v>0.1085</v>
      </c>
      <c r="JR9" s="752">
        <v>0.1085</v>
      </c>
      <c r="JS9" s="752">
        <v>0.1085</v>
      </c>
      <c r="JT9" s="752">
        <v>0.1085</v>
      </c>
      <c r="JU9" s="752">
        <v>0.1085</v>
      </c>
      <c r="JV9" s="752">
        <v>0.1085</v>
      </c>
      <c r="JW9" s="752">
        <v>0.1135</v>
      </c>
      <c r="JX9" s="752">
        <v>0.1085</v>
      </c>
      <c r="JY9" s="752">
        <v>0.1085</v>
      </c>
      <c r="JZ9" s="752">
        <v>0.1085</v>
      </c>
      <c r="KA9" s="752">
        <v>0.1085</v>
      </c>
      <c r="KB9" s="752">
        <v>0.1085</v>
      </c>
      <c r="KC9" s="752">
        <v>0.1085</v>
      </c>
      <c r="KD9" s="752">
        <v>0.1085</v>
      </c>
      <c r="KE9" s="752">
        <v>0.1085</v>
      </c>
      <c r="KF9" s="752">
        <v>0.1085</v>
      </c>
      <c r="KG9" s="752">
        <v>0.1085</v>
      </c>
      <c r="KH9" s="752">
        <v>0.1085</v>
      </c>
      <c r="KI9" s="752">
        <v>0.1085</v>
      </c>
      <c r="KJ9" s="256"/>
      <c r="KK9" s="2190"/>
      <c r="KL9" s="811">
        <v>5</v>
      </c>
      <c r="KM9" s="810" t="e">
        <f>IF($GL$4="Asalariado",VLOOKUP(KL9,Aforodestinofree,MATCH($JF$3,$KP$4:$LO$4,0)),IF($GL$4="NO asalariado",VLOOKUP(KL9,aforodestinofreeNO,MATCH($JF$3,$KP$12:$LO$12,0))))</f>
        <v>#N/A</v>
      </c>
      <c r="KO9" s="2193"/>
      <c r="KP9" s="904">
        <v>5</v>
      </c>
      <c r="KQ9" s="905">
        <v>0.9</v>
      </c>
      <c r="KR9" s="905">
        <v>0.95</v>
      </c>
      <c r="KS9" s="905">
        <v>1</v>
      </c>
      <c r="KT9" s="905">
        <v>0.35</v>
      </c>
      <c r="KU9" s="905">
        <v>0.9</v>
      </c>
      <c r="KV9" s="906">
        <v>0.5</v>
      </c>
      <c r="KW9" s="905">
        <v>0.9</v>
      </c>
      <c r="KX9" s="905">
        <v>0.95</v>
      </c>
      <c r="KY9" s="905">
        <v>1</v>
      </c>
      <c r="KZ9" s="905">
        <v>0.35</v>
      </c>
      <c r="LA9" s="905">
        <v>0.9</v>
      </c>
      <c r="LB9" s="906">
        <v>0.5</v>
      </c>
      <c r="LC9" s="905">
        <f>IF($IK$5="SI",90%,80%)</f>
        <v>0.8</v>
      </c>
      <c r="LD9" s="905">
        <v>0.9</v>
      </c>
      <c r="LE9" s="905">
        <v>0.95</v>
      </c>
      <c r="LF9" s="905">
        <v>1</v>
      </c>
      <c r="LG9" s="905">
        <v>0.9</v>
      </c>
      <c r="LH9" s="905">
        <v>0.95</v>
      </c>
      <c r="LI9" s="905">
        <v>1</v>
      </c>
      <c r="LJ9" s="905">
        <v>0.9</v>
      </c>
      <c r="LK9" s="905">
        <v>0.95</v>
      </c>
      <c r="LL9" s="905">
        <v>1</v>
      </c>
      <c r="LM9" s="905">
        <v>0.9</v>
      </c>
      <c r="LN9" s="905">
        <v>0.95</v>
      </c>
      <c r="LO9" s="905">
        <v>1</v>
      </c>
      <c r="LP9" s="256"/>
      <c r="LQ9" s="256"/>
      <c r="LR9" s="256"/>
      <c r="LS9" s="497"/>
      <c r="LT9" s="497"/>
      <c r="LU9" s="497"/>
    </row>
    <row r="10" spans="1:334" ht="42.75" customHeight="1">
      <c r="B10" s="514" t="s">
        <v>64</v>
      </c>
      <c r="C10" s="79" t="str">
        <f>IF(B4=A119,"si","no")</f>
        <v>no</v>
      </c>
      <c r="D10" s="581">
        <f>D4</f>
        <v>0</v>
      </c>
      <c r="E10" s="577">
        <f>Captura!N33</f>
        <v>0</v>
      </c>
      <c r="F10" s="2081"/>
      <c r="G10" s="2066"/>
      <c r="H10" s="496"/>
      <c r="I10" s="880" t="s">
        <v>187</v>
      </c>
      <c r="J10" s="731" t="s">
        <v>207</v>
      </c>
      <c r="L10" s="681">
        <v>1500001</v>
      </c>
      <c r="M10" s="568">
        <v>2000000</v>
      </c>
      <c r="N10" s="2090">
        <v>6000</v>
      </c>
      <c r="T10" s="523">
        <v>4</v>
      </c>
      <c r="U10" s="524">
        <v>1.2967E-3</v>
      </c>
      <c r="V10" s="524">
        <v>1.0614999999999999E-3</v>
      </c>
      <c r="W10" s="2066"/>
      <c r="Z10" s="80" t="s">
        <v>208</v>
      </c>
      <c r="AA10" s="80" t="s">
        <v>201</v>
      </c>
      <c r="AB10" s="438" t="str">
        <f>IF(AND(B4=A116,AC4=AC15),"",IF(B4=A116,"Remodelación",""))</f>
        <v/>
      </c>
      <c r="AC10" s="131"/>
      <c r="AG10" s="578">
        <v>0.1</v>
      </c>
      <c r="AH10" s="579">
        <v>9.33</v>
      </c>
      <c r="AI10" s="1953">
        <v>2.8000000000000001E-2</v>
      </c>
      <c r="AJ10" s="578">
        <v>0.1</v>
      </c>
      <c r="AK10" s="579">
        <v>8.67</v>
      </c>
      <c r="AL10" s="1953">
        <v>1.7999999999999999E-2</v>
      </c>
      <c r="AM10" s="578"/>
      <c r="AN10" s="579"/>
      <c r="AO10" s="1953"/>
      <c r="AP10" s="125"/>
      <c r="AQ10" s="522" t="s">
        <v>183</v>
      </c>
      <c r="BA10" s="2035" t="s">
        <v>34</v>
      </c>
      <c r="BB10" s="2035" t="s">
        <v>87</v>
      </c>
      <c r="BC10" s="2092" t="s">
        <v>89</v>
      </c>
      <c r="BD10" s="2092" t="s">
        <v>89</v>
      </c>
      <c r="BE10" s="2092" t="s">
        <v>89</v>
      </c>
      <c r="BF10" s="2092" t="s">
        <v>89</v>
      </c>
      <c r="BG10" s="2092" t="s">
        <v>89</v>
      </c>
      <c r="BH10" s="2092" t="s">
        <v>89</v>
      </c>
      <c r="BI10" s="2092" t="s">
        <v>89</v>
      </c>
      <c r="BJ10" s="2092" t="s">
        <v>89</v>
      </c>
      <c r="BK10" s="2092" t="s">
        <v>89</v>
      </c>
      <c r="BL10" s="2035"/>
      <c r="BN10" s="551" t="s">
        <v>209</v>
      </c>
      <c r="BO10" s="2099">
        <v>0.105</v>
      </c>
      <c r="BP10" s="2099">
        <v>9.5000000000000001E-2</v>
      </c>
      <c r="BQ10" s="2099">
        <v>0.10299999999999999</v>
      </c>
      <c r="BR10" s="2099"/>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R10" s="504"/>
      <c r="FS10" s="504"/>
      <c r="FT10" s="504"/>
      <c r="FU10" s="504"/>
      <c r="FV10" s="504"/>
      <c r="FW10" s="504"/>
      <c r="FX10" s="504"/>
      <c r="FY10" s="504"/>
      <c r="FZ10" s="504"/>
      <c r="GB10" s="505"/>
      <c r="GC10" s="486"/>
      <c r="GD10" s="488"/>
      <c r="GG10" s="514" t="s">
        <v>66</v>
      </c>
      <c r="GH10" s="79" t="str">
        <f>IF(GG4=GF114,"si","no")</f>
        <v>no</v>
      </c>
      <c r="GJ10" s="2066"/>
      <c r="GK10" s="882">
        <f>IF(GG4=GF116,8,10)</f>
        <v>10</v>
      </c>
      <c r="GL10" s="880" t="s">
        <v>187</v>
      </c>
      <c r="GM10" s="731" t="s">
        <v>207</v>
      </c>
      <c r="GS10" s="134" t="s">
        <v>174</v>
      </c>
      <c r="GX10" s="892"/>
      <c r="HD10" s="125"/>
      <c r="HK10" s="2098"/>
      <c r="HL10" s="1"/>
      <c r="HM10" s="1"/>
      <c r="HN10" s="2098"/>
      <c r="HO10" s="2098"/>
      <c r="HP10" s="235"/>
      <c r="HQ10" s="235"/>
      <c r="HR10" s="235"/>
      <c r="HS10" s="235"/>
      <c r="HT10" s="235"/>
      <c r="HU10" s="235"/>
      <c r="HV10" s="235"/>
      <c r="HW10" s="235"/>
      <c r="HX10" s="235"/>
      <c r="HY10" s="235"/>
      <c r="HZ10" s="235"/>
      <c r="IA10" s="235"/>
      <c r="IB10" s="235"/>
      <c r="IC10" s="235"/>
      <c r="ID10" s="235"/>
      <c r="IE10" s="235"/>
      <c r="IF10" s="235"/>
      <c r="IG10" s="2098"/>
      <c r="IH10" s="2036"/>
      <c r="II10" s="1092"/>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O10" s="256"/>
      <c r="KP10" s="256"/>
      <c r="KQ10" s="256"/>
      <c r="KR10" s="256"/>
      <c r="KS10" s="256"/>
      <c r="KT10" s="256"/>
      <c r="KU10" s="256"/>
      <c r="KV10" s="256"/>
      <c r="KW10" s="256"/>
      <c r="KX10" s="256"/>
      <c r="KY10" s="256"/>
      <c r="KZ10" s="256"/>
      <c r="LA10" s="256"/>
      <c r="LB10" s="256"/>
      <c r="LC10" s="256"/>
      <c r="LD10" s="256"/>
      <c r="LE10" s="256"/>
      <c r="LF10" s="256"/>
      <c r="LP10" s="256"/>
      <c r="LQ10" s="256"/>
      <c r="LR10" s="256"/>
      <c r="LS10" s="497"/>
      <c r="LT10" s="497"/>
      <c r="LU10" s="497"/>
    </row>
    <row r="11" spans="1:334" ht="27" thickBot="1">
      <c r="B11" s="521" t="s">
        <v>65</v>
      </c>
      <c r="C11" s="168" t="s">
        <v>69</v>
      </c>
      <c r="E11" s="2081"/>
      <c r="F11" s="2081"/>
      <c r="G11" s="725" t="s">
        <v>210</v>
      </c>
      <c r="H11" s="496"/>
      <c r="I11" s="881" t="s">
        <v>197</v>
      </c>
      <c r="J11" s="507">
        <v>0.35</v>
      </c>
      <c r="L11" s="681">
        <v>2000001</v>
      </c>
      <c r="M11" s="568">
        <v>2500000</v>
      </c>
      <c r="N11" s="2090">
        <v>7000</v>
      </c>
      <c r="W11" s="2066"/>
      <c r="Z11" s="525">
        <v>15000000</v>
      </c>
      <c r="AA11" s="478">
        <f>AA9*Y4</f>
        <v>0</v>
      </c>
      <c r="AB11" s="439" t="str">
        <f>IF(AND(B4=A116,AC4=AC15),"",IF(B4=A116,"Remodelación Plus",""))</f>
        <v/>
      </c>
      <c r="AC11" s="131"/>
      <c r="AG11" s="569">
        <v>0.10199999999999999</v>
      </c>
      <c r="AH11" s="570">
        <v>9.4499999999999993</v>
      </c>
      <c r="AI11" s="1950">
        <v>2.8000000000000001E-2</v>
      </c>
      <c r="AJ11" s="569">
        <v>0.10199999999999999</v>
      </c>
      <c r="AK11" s="570">
        <v>9</v>
      </c>
      <c r="AL11" s="1950">
        <v>1.4500000000000001E-2</v>
      </c>
      <c r="AM11" s="559"/>
      <c r="AN11" s="559"/>
      <c r="AO11" s="559"/>
      <c r="AP11" s="125"/>
      <c r="AQ11" s="557" t="s">
        <v>35</v>
      </c>
      <c r="BA11" s="530" t="s">
        <v>35</v>
      </c>
      <c r="BB11" s="554" t="s">
        <v>184</v>
      </c>
      <c r="BC11" s="547" t="s">
        <v>88</v>
      </c>
      <c r="BD11" s="547" t="s">
        <v>88</v>
      </c>
      <c r="BE11" s="547" t="s">
        <v>88</v>
      </c>
      <c r="BF11" s="2082" t="s">
        <v>89</v>
      </c>
      <c r="BG11" s="2082" t="s">
        <v>89</v>
      </c>
      <c r="BH11" s="2082" t="s">
        <v>89</v>
      </c>
      <c r="BI11" s="2082" t="s">
        <v>89</v>
      </c>
      <c r="BJ11" s="2082" t="s">
        <v>89</v>
      </c>
      <c r="BK11" s="2082" t="s">
        <v>89</v>
      </c>
      <c r="BL11" s="530" t="str">
        <f>IF($AQ$3=AQ11,"VERDADERO","FALSO")</f>
        <v>FALSO</v>
      </c>
      <c r="BN11" s="553" t="str" cm="1">
        <f t="array" ref="BN11:BN12">_xlfn._xlws.FILTER(Plan,Plan&lt;&gt;"")</f>
        <v>Plan Platino</v>
      </c>
      <c r="BO11" s="2100">
        <v>0.10589999999999999</v>
      </c>
      <c r="BP11" s="580">
        <v>9.2999999999999999E-2</v>
      </c>
      <c r="BQ11" s="580"/>
      <c r="BR11" s="580"/>
      <c r="BS11" s="256"/>
      <c r="BT11" s="256"/>
      <c r="BU11" s="858" t="s">
        <v>211</v>
      </c>
      <c r="CB11" s="759"/>
      <c r="CC11" s="760"/>
      <c r="CD11" s="760"/>
      <c r="CE11" s="256"/>
      <c r="CF11" s="256"/>
      <c r="CG11" s="256"/>
      <c r="CH11" s="256"/>
      <c r="CI11" s="256"/>
      <c r="CJ11" s="256"/>
      <c r="CK11" s="256"/>
      <c r="CL11" s="256"/>
      <c r="CM11" s="256"/>
      <c r="CN11" s="256"/>
      <c r="CO11" s="256"/>
      <c r="CP11" s="256"/>
      <c r="CQ11" s="256"/>
      <c r="CS11" s="256"/>
      <c r="CT11" s="256"/>
      <c r="CU11" s="256"/>
      <c r="CV11" s="256"/>
      <c r="CW11" s="256"/>
      <c r="CX11" s="256"/>
      <c r="CY11" s="256"/>
      <c r="CZ11" s="256"/>
      <c r="DA11" s="256"/>
      <c r="DB11" s="256"/>
      <c r="DC11" s="256"/>
      <c r="DD11" s="256"/>
      <c r="DE11" s="256"/>
      <c r="DF11" s="256"/>
      <c r="DG11" s="256"/>
      <c r="DH11" s="256"/>
      <c r="DI11" s="256"/>
      <c r="EC11" s="807"/>
      <c r="EE11" s="800" t="s">
        <v>212</v>
      </c>
      <c r="EF11" s="801"/>
      <c r="EG11" s="801"/>
      <c r="EH11" s="801"/>
      <c r="EI11" s="801"/>
      <c r="EJ11" s="801"/>
      <c r="EK11" s="801"/>
      <c r="EL11" s="801"/>
      <c r="EM11" s="801"/>
      <c r="EN11" s="801"/>
      <c r="EO11" s="801"/>
      <c r="EP11" s="801"/>
      <c r="EQ11" s="801"/>
      <c r="ER11" s="801"/>
      <c r="ES11" s="801"/>
      <c r="ET11" s="801"/>
      <c r="EU11" s="801"/>
      <c r="EV11" s="801"/>
      <c r="EW11" s="801"/>
      <c r="EX11" s="801"/>
      <c r="EY11" s="801"/>
      <c r="EZ11" s="801"/>
      <c r="FA11" s="801"/>
      <c r="FB11" s="801"/>
      <c r="FC11" s="801"/>
      <c r="FD11" s="801"/>
      <c r="FE11" s="801"/>
      <c r="FF11" s="802"/>
      <c r="FG11" s="802"/>
      <c r="FH11" s="802"/>
      <c r="FI11" s="802"/>
      <c r="FJ11" s="802"/>
      <c r="FK11" s="802"/>
      <c r="FL11" s="802"/>
      <c r="FM11" s="802"/>
      <c r="FN11" s="802"/>
      <c r="FO11" s="802"/>
      <c r="FP11" s="802"/>
      <c r="FQ11" s="802"/>
      <c r="GB11" s="505"/>
      <c r="GC11" s="486"/>
      <c r="GD11" s="488"/>
      <c r="GG11" s="866" t="s">
        <v>64</v>
      </c>
      <c r="GH11" s="168" t="s">
        <v>64</v>
      </c>
      <c r="GJ11" s="725" t="s">
        <v>210</v>
      </c>
      <c r="GK11" s="883">
        <f>IF(GG4=GF116,10,15)</f>
        <v>15</v>
      </c>
      <c r="GL11" s="881" t="s">
        <v>197</v>
      </c>
      <c r="GM11" s="507">
        <v>0.35</v>
      </c>
      <c r="GS11" s="855" t="s">
        <v>213</v>
      </c>
      <c r="GU11" s="134" t="s">
        <v>214</v>
      </c>
      <c r="GX11" s="892"/>
      <c r="HD11" s="125"/>
      <c r="HE11" s="528"/>
      <c r="HF11" s="528"/>
      <c r="HG11" s="528"/>
      <c r="HH11" s="528"/>
      <c r="HI11" s="528"/>
      <c r="HJ11" s="528"/>
      <c r="HK11" s="2098"/>
      <c r="HL11" s="1"/>
      <c r="HM11" s="1"/>
      <c r="HN11" s="2098"/>
      <c r="HO11" s="2098"/>
      <c r="HP11" s="235"/>
      <c r="HQ11" s="235"/>
      <c r="HR11" s="235"/>
      <c r="HS11" s="235"/>
      <c r="HT11" s="235"/>
      <c r="HU11" s="235"/>
      <c r="HV11" s="235"/>
      <c r="HW11" s="235"/>
      <c r="HX11" s="235"/>
      <c r="HY11" s="235"/>
      <c r="HZ11" s="235"/>
      <c r="IA11" s="235"/>
      <c r="IB11" s="235"/>
      <c r="IC11" s="235"/>
      <c r="ID11" s="235"/>
      <c r="IE11" s="235"/>
      <c r="IF11" s="235"/>
      <c r="IG11" s="2098"/>
      <c r="IH11" s="2036"/>
      <c r="II11" s="1092"/>
      <c r="JD11" s="256"/>
      <c r="JE11" s="930" t="s">
        <v>211</v>
      </c>
      <c r="JF11" s="256"/>
      <c r="JG11" s="256"/>
      <c r="JH11" s="256"/>
      <c r="JI11" s="256"/>
      <c r="JJ11" s="256"/>
      <c r="JK11" s="256"/>
      <c r="JL11" s="256"/>
      <c r="JM11" s="256"/>
      <c r="JN11" s="256"/>
      <c r="JO11" s="256"/>
      <c r="JP11" s="256"/>
      <c r="JQ11" s="256"/>
      <c r="JR11" s="256"/>
      <c r="JS11" s="256"/>
      <c r="JT11" s="256"/>
      <c r="JU11" s="256"/>
      <c r="JV11" s="256"/>
      <c r="JW11" s="256"/>
      <c r="JX11" s="256"/>
      <c r="JY11" s="256"/>
      <c r="JZ11" s="256"/>
      <c r="KA11" s="256"/>
      <c r="KB11" s="256"/>
      <c r="KC11" s="256"/>
      <c r="KD11" s="256"/>
      <c r="KE11" s="256"/>
      <c r="KF11" s="256"/>
      <c r="KG11" s="256"/>
      <c r="KH11" s="256"/>
      <c r="KI11" s="256"/>
      <c r="KJ11" s="256"/>
      <c r="KM11" s="807"/>
      <c r="KO11" s="800" t="s">
        <v>215</v>
      </c>
      <c r="KP11" s="801"/>
      <c r="KQ11" s="801"/>
      <c r="KR11" s="801"/>
      <c r="KS11" s="801"/>
      <c r="KT11" s="801"/>
      <c r="KU11" s="801"/>
      <c r="KV11" s="801"/>
      <c r="KW11" s="801"/>
      <c r="KX11" s="801"/>
      <c r="KY11" s="801"/>
      <c r="KZ11" s="801"/>
      <c r="LA11" s="801"/>
      <c r="LB11" s="801"/>
      <c r="LC11" s="801"/>
      <c r="LD11" s="801"/>
      <c r="LE11" s="801"/>
      <c r="LF11" s="801"/>
      <c r="LG11" s="802"/>
      <c r="LH11" s="802"/>
      <c r="LI11" s="802"/>
      <c r="LJ11" s="802"/>
      <c r="LK11" s="802"/>
      <c r="LL11" s="802"/>
      <c r="LM11" s="802"/>
      <c r="LN11" s="802"/>
      <c r="LO11" s="802"/>
      <c r="LP11" s="256"/>
      <c r="LQ11" s="256"/>
      <c r="LR11" s="256"/>
      <c r="LT11" s="497"/>
      <c r="LU11" s="497"/>
    </row>
    <row r="12" spans="1:334" ht="44.25" customHeight="1" thickBot="1">
      <c r="B12" s="2101" t="s">
        <v>67</v>
      </c>
      <c r="C12" s="79" t="str">
        <f>IF(B4=A120,"si","no")</f>
        <v>no</v>
      </c>
      <c r="E12" s="43" t="s">
        <v>216</v>
      </c>
      <c r="F12" s="2081"/>
      <c r="G12" s="252"/>
      <c r="H12" s="496"/>
      <c r="I12" s="496"/>
      <c r="J12" s="731" t="s">
        <v>217</v>
      </c>
      <c r="L12" s="681">
        <v>2500001</v>
      </c>
      <c r="M12" s="568">
        <v>3000000</v>
      </c>
      <c r="N12" s="2090">
        <v>9000</v>
      </c>
      <c r="W12" s="2066"/>
      <c r="AC12" s="131"/>
      <c r="AG12" s="582">
        <v>0.10249999999999999</v>
      </c>
      <c r="AH12" s="583">
        <v>9.48</v>
      </c>
      <c r="AI12" s="1954">
        <v>2.8000000000000001E-2</v>
      </c>
      <c r="AJ12" s="582">
        <v>0.10249999999999999</v>
      </c>
      <c r="AK12" s="583">
        <v>9.0299999999999994</v>
      </c>
      <c r="AL12" s="1954">
        <v>1.4500000000000001E-2</v>
      </c>
      <c r="AM12" s="574"/>
      <c r="AN12" s="574"/>
      <c r="AO12" s="574"/>
      <c r="AP12" s="125"/>
      <c r="AQ12" s="1097" t="s">
        <v>218</v>
      </c>
      <c r="AU12" s="1936" t="s">
        <v>219</v>
      </c>
      <c r="AV12" s="1936" t="s">
        <v>220</v>
      </c>
      <c r="AW12" s="1936" t="s">
        <v>221</v>
      </c>
      <c r="AX12" s="1936" t="s">
        <v>222</v>
      </c>
      <c r="BA12" s="524" t="s">
        <v>218</v>
      </c>
      <c r="BB12" s="554" t="s">
        <v>184</v>
      </c>
      <c r="BC12" s="547" t="s">
        <v>88</v>
      </c>
      <c r="BD12" s="547" t="s">
        <v>88</v>
      </c>
      <c r="BE12" s="547" t="s">
        <v>88</v>
      </c>
      <c r="BF12" s="2082" t="s">
        <v>89</v>
      </c>
      <c r="BG12" s="2082" t="s">
        <v>89</v>
      </c>
      <c r="BH12" s="2082" t="s">
        <v>89</v>
      </c>
      <c r="BI12" s="2082" t="s">
        <v>89</v>
      </c>
      <c r="BJ12" s="2082" t="s">
        <v>89</v>
      </c>
      <c r="BK12" s="2082" t="s">
        <v>89</v>
      </c>
      <c r="BL12" s="530" t="str">
        <f>IF(I4="No asalariado","FALSO",IF($AQ$3=AQ12,"VERDADERO","FALSO"))</f>
        <v>FALSO</v>
      </c>
      <c r="BN12" s="553" t="str">
        <v>Plan SEV</v>
      </c>
      <c r="BO12" s="2102">
        <v>0.106</v>
      </c>
      <c r="BP12" s="584">
        <v>9.6000000000000002E-2</v>
      </c>
      <c r="BQ12" s="584"/>
      <c r="BR12" s="584"/>
      <c r="BS12" s="256"/>
      <c r="BT12" s="256"/>
      <c r="BU12" s="860" t="s">
        <v>223</v>
      </c>
      <c r="CC12" s="256"/>
      <c r="CD12" s="256"/>
      <c r="CE12" s="256"/>
      <c r="CF12" s="256"/>
      <c r="CG12" s="256"/>
      <c r="CH12" s="256"/>
      <c r="CI12" s="256"/>
      <c r="CJ12" s="256"/>
      <c r="CK12" s="256"/>
      <c r="CL12" s="256"/>
      <c r="CM12" s="256"/>
      <c r="CN12" s="256"/>
      <c r="CO12" s="256"/>
      <c r="CP12" s="256"/>
      <c r="CQ12" s="256"/>
      <c r="CS12" s="256"/>
      <c r="CT12" s="256"/>
      <c r="CU12" s="256"/>
      <c r="CV12" s="256"/>
      <c r="CW12" s="256"/>
      <c r="CX12" s="256"/>
      <c r="CY12" s="256"/>
      <c r="CZ12" s="256"/>
      <c r="DA12" s="256"/>
      <c r="DB12" s="256"/>
      <c r="DC12" s="256"/>
      <c r="DD12" s="256"/>
      <c r="DE12" s="256"/>
      <c r="DF12" s="256"/>
      <c r="DG12" s="256"/>
      <c r="DH12" s="256"/>
      <c r="DI12" s="256"/>
      <c r="EE12" s="2194"/>
      <c r="EF12" s="748" t="s">
        <v>92</v>
      </c>
      <c r="EG12" s="754" t="s">
        <v>94</v>
      </c>
      <c r="EH12" s="755" t="s">
        <v>95</v>
      </c>
      <c r="EI12" s="756" t="s">
        <v>96</v>
      </c>
      <c r="EJ12" s="756" t="s">
        <v>97</v>
      </c>
      <c r="EK12" s="757" t="s">
        <v>98</v>
      </c>
      <c r="EL12" s="2070" t="s">
        <v>99</v>
      </c>
      <c r="EM12" s="758" t="s">
        <v>100</v>
      </c>
      <c r="EN12" s="755" t="s">
        <v>101</v>
      </c>
      <c r="EO12" s="2071" t="s">
        <v>102</v>
      </c>
      <c r="EP12" s="2072" t="s">
        <v>103</v>
      </c>
      <c r="EQ12" s="762" t="s">
        <v>104</v>
      </c>
      <c r="ER12" s="763" t="s">
        <v>105</v>
      </c>
      <c r="ES12" s="2002" t="s">
        <v>106</v>
      </c>
      <c r="ET12" s="2002" t="s">
        <v>107</v>
      </c>
      <c r="EU12" s="765" t="s">
        <v>108</v>
      </c>
      <c r="EV12" s="765" t="s">
        <v>144</v>
      </c>
      <c r="EW12" s="766" t="s">
        <v>109</v>
      </c>
      <c r="EX12" s="766" t="s">
        <v>110</v>
      </c>
      <c r="EY12" s="767" t="s">
        <v>111</v>
      </c>
      <c r="EZ12" s="767" t="s">
        <v>112</v>
      </c>
      <c r="FA12" s="767" t="s">
        <v>113</v>
      </c>
      <c r="FB12" s="804" t="s">
        <v>114</v>
      </c>
      <c r="FC12" s="781" t="s">
        <v>125</v>
      </c>
      <c r="FD12" s="782" t="s">
        <v>126</v>
      </c>
      <c r="FE12" s="783" t="s">
        <v>127</v>
      </c>
      <c r="FF12" s="769" t="s">
        <v>128</v>
      </c>
      <c r="FG12" s="770" t="s">
        <v>129</v>
      </c>
      <c r="FH12" s="771" t="s">
        <v>130</v>
      </c>
      <c r="FI12" s="784" t="s">
        <v>131</v>
      </c>
      <c r="FJ12" s="785" t="s">
        <v>132</v>
      </c>
      <c r="FK12" s="786" t="s">
        <v>133</v>
      </c>
      <c r="FL12" s="787" t="s">
        <v>134</v>
      </c>
      <c r="FM12" s="788" t="s">
        <v>135</v>
      </c>
      <c r="FN12" s="789" t="s">
        <v>136</v>
      </c>
      <c r="FO12" s="790" t="s">
        <v>137</v>
      </c>
      <c r="FP12" s="790" t="s">
        <v>138</v>
      </c>
      <c r="FQ12" s="790" t="s">
        <v>139</v>
      </c>
      <c r="FR12" s="465"/>
      <c r="FS12" s="465"/>
      <c r="FT12" s="465"/>
      <c r="FU12" s="465"/>
      <c r="FV12" s="465"/>
      <c r="FW12" s="465"/>
      <c r="FX12" s="465"/>
      <c r="FY12" s="465"/>
      <c r="FZ12" s="465"/>
      <c r="GB12" s="505"/>
      <c r="GC12" s="486"/>
      <c r="GD12" s="488"/>
      <c r="GH12" s="79" t="str">
        <f>IF(GG4=GF116,"si","no")</f>
        <v>no</v>
      </c>
      <c r="GJ12" s="252"/>
      <c r="GK12" s="883">
        <f>IF(GG4=GF116,12,20)</f>
        <v>20</v>
      </c>
      <c r="GL12" s="496"/>
      <c r="GM12" s="731" t="s">
        <v>217</v>
      </c>
      <c r="GS12" s="435" t="str">
        <f>Free!F17</f>
        <v>Pagados por el Banco</v>
      </c>
      <c r="GU12" s="530">
        <v>3.681E-4</v>
      </c>
      <c r="HD12" s="125"/>
      <c r="HK12" s="2103"/>
      <c r="HL12" s="239"/>
      <c r="HM12" s="1"/>
      <c r="HN12" s="2098"/>
      <c r="HO12" s="2098"/>
      <c r="HP12" s="235"/>
      <c r="HQ12" s="235"/>
      <c r="HR12" s="235"/>
      <c r="HS12" s="235"/>
      <c r="HT12" s="235"/>
      <c r="HU12" s="235"/>
      <c r="HV12" s="235"/>
      <c r="HW12" s="235"/>
      <c r="HX12" s="235"/>
      <c r="HY12" s="235"/>
      <c r="HZ12" s="235"/>
      <c r="IA12" s="235"/>
      <c r="IB12" s="235"/>
      <c r="IC12" s="235"/>
      <c r="ID12" s="235"/>
      <c r="IE12" s="235"/>
      <c r="IF12" s="235"/>
      <c r="IG12" s="2098"/>
      <c r="IH12" s="2036"/>
      <c r="II12" s="1092"/>
      <c r="IL12" s="2040" t="s">
        <v>219</v>
      </c>
      <c r="IM12" s="2040" t="s">
        <v>220</v>
      </c>
      <c r="IN12" s="2040" t="s">
        <v>221</v>
      </c>
      <c r="IO12" s="2040" t="s">
        <v>222</v>
      </c>
      <c r="JD12" s="256"/>
      <c r="JE12" s="860" t="s">
        <v>223</v>
      </c>
      <c r="JF12" s="256"/>
      <c r="JG12" s="256"/>
      <c r="JH12" s="256"/>
      <c r="JI12" s="256"/>
      <c r="JJ12" s="256"/>
      <c r="JK12" s="256"/>
      <c r="JL12" s="256"/>
      <c r="JM12" s="256"/>
      <c r="JN12" s="256"/>
      <c r="JO12" s="256"/>
      <c r="JP12" s="256"/>
      <c r="JQ12" s="256"/>
      <c r="JR12" s="256"/>
      <c r="JS12" s="256"/>
      <c r="JT12" s="256"/>
      <c r="JU12" s="256"/>
      <c r="JV12" s="256"/>
      <c r="JW12" s="256"/>
      <c r="JX12" s="256"/>
      <c r="JY12" s="256"/>
      <c r="JZ12" s="256"/>
      <c r="KA12" s="256"/>
      <c r="KB12" s="256"/>
      <c r="KC12" s="256"/>
      <c r="KD12" s="256"/>
      <c r="KE12" s="256"/>
      <c r="KF12" s="256"/>
      <c r="KG12" s="256"/>
      <c r="KH12" s="256"/>
      <c r="KI12" s="256"/>
      <c r="KJ12" s="256"/>
      <c r="KO12" s="2194"/>
      <c r="KP12" s="748" t="s">
        <v>92</v>
      </c>
      <c r="KQ12" s="754" t="s">
        <v>94</v>
      </c>
      <c r="KR12" s="755" t="s">
        <v>95</v>
      </c>
      <c r="KS12" s="756" t="s">
        <v>96</v>
      </c>
      <c r="KT12" s="758" t="s">
        <v>100</v>
      </c>
      <c r="KU12" s="755" t="s">
        <v>101</v>
      </c>
      <c r="KV12" s="755" t="s">
        <v>97</v>
      </c>
      <c r="KW12" s="762" t="s">
        <v>104</v>
      </c>
      <c r="KX12" s="763" t="s">
        <v>105</v>
      </c>
      <c r="KY12" s="764" t="s">
        <v>106</v>
      </c>
      <c r="KZ12" s="766" t="s">
        <v>109</v>
      </c>
      <c r="LA12" s="766" t="s">
        <v>110</v>
      </c>
      <c r="LB12" s="766" t="s">
        <v>107</v>
      </c>
      <c r="LC12" s="804" t="s">
        <v>114</v>
      </c>
      <c r="LD12" s="781" t="s">
        <v>125</v>
      </c>
      <c r="LE12" s="782" t="s">
        <v>126</v>
      </c>
      <c r="LF12" s="783" t="s">
        <v>127</v>
      </c>
      <c r="LG12" s="769" t="s">
        <v>128</v>
      </c>
      <c r="LH12" s="770" t="s">
        <v>129</v>
      </c>
      <c r="LI12" s="771" t="s">
        <v>130</v>
      </c>
      <c r="LJ12" s="784" t="s">
        <v>131</v>
      </c>
      <c r="LK12" s="785" t="s">
        <v>132</v>
      </c>
      <c r="LL12" s="786" t="s">
        <v>133</v>
      </c>
      <c r="LM12" s="787" t="s">
        <v>134</v>
      </c>
      <c r="LN12" s="788" t="s">
        <v>135</v>
      </c>
      <c r="LO12" s="789" t="s">
        <v>136</v>
      </c>
      <c r="LP12" s="256"/>
      <c r="LQ12" s="256"/>
      <c r="LR12" s="256"/>
    </row>
    <row r="13" spans="1:334" ht="14.4" thickBot="1">
      <c r="B13" s="2104" t="s">
        <v>68</v>
      </c>
      <c r="C13" s="168" t="s">
        <v>190</v>
      </c>
      <c r="E13" s="585">
        <f>IF(E10&lt;=500,12,IF(E10&gt;500,18,0))</f>
        <v>12</v>
      </c>
      <c r="F13" s="2081"/>
      <c r="G13" s="2105">
        <f>G7*11</f>
        <v>37834.015999999996</v>
      </c>
      <c r="H13" s="722"/>
      <c r="I13" s="496"/>
      <c r="J13" s="507">
        <v>0.3</v>
      </c>
      <c r="L13" s="681">
        <v>3000001</v>
      </c>
      <c r="M13" s="568">
        <v>3500000</v>
      </c>
      <c r="N13" s="2090">
        <v>10000</v>
      </c>
      <c r="W13" s="2066"/>
      <c r="AB13" s="134" t="s">
        <v>224</v>
      </c>
      <c r="AC13" s="134" t="s">
        <v>225</v>
      </c>
      <c r="AF13" s="528"/>
      <c r="AG13" s="572">
        <v>0.1045</v>
      </c>
      <c r="AH13" s="573">
        <v>9.59</v>
      </c>
      <c r="AI13" s="1951">
        <v>2.8000000000000001E-2</v>
      </c>
      <c r="AJ13" s="572">
        <v>0.1045</v>
      </c>
      <c r="AK13" s="573">
        <v>9.16</v>
      </c>
      <c r="AL13" s="1951">
        <v>1.4500000000000001E-2</v>
      </c>
      <c r="AM13" s="560"/>
      <c r="AN13" s="560"/>
      <c r="AO13" s="560"/>
      <c r="AP13" s="125"/>
      <c r="AU13" s="1937" t="s">
        <v>226</v>
      </c>
      <c r="AV13" s="1938" t="s">
        <v>227</v>
      </c>
      <c r="AW13" s="1939" t="s">
        <v>228</v>
      </c>
      <c r="AX13" s="1940" t="s">
        <v>229</v>
      </c>
      <c r="BN13" s="532"/>
      <c r="BO13" s="2083">
        <v>0.107</v>
      </c>
      <c r="BP13" s="567">
        <v>9.7000000000000003E-2</v>
      </c>
      <c r="BQ13" s="567"/>
      <c r="BR13" s="567"/>
      <c r="BS13" s="256"/>
      <c r="BT13" s="256"/>
      <c r="BU13" s="861" t="s">
        <v>230</v>
      </c>
      <c r="CC13" s="256"/>
      <c r="CD13" s="256"/>
      <c r="CE13" s="256"/>
      <c r="CF13" s="256"/>
      <c r="CG13" s="256"/>
      <c r="CH13" s="256"/>
      <c r="CI13" s="256"/>
      <c r="CJ13" s="256"/>
      <c r="CK13" s="256"/>
      <c r="CL13" s="256"/>
      <c r="CM13" s="256"/>
      <c r="CN13" s="256"/>
      <c r="CO13" s="256"/>
      <c r="CP13" s="256"/>
      <c r="CQ13" s="256"/>
      <c r="CS13" s="256"/>
      <c r="CT13" s="256"/>
      <c r="CU13" s="256"/>
      <c r="CV13" s="256"/>
      <c r="CW13" s="256"/>
      <c r="CX13" s="256"/>
      <c r="CY13" s="256"/>
      <c r="CZ13" s="256"/>
      <c r="DA13" s="256"/>
      <c r="DB13" s="256"/>
      <c r="DC13" s="256"/>
      <c r="DD13" s="256"/>
      <c r="DE13" s="256"/>
      <c r="DF13" s="256"/>
      <c r="DG13" s="256"/>
      <c r="DH13" s="256"/>
      <c r="DI13" s="256"/>
      <c r="EE13" s="2195"/>
      <c r="EF13" s="742">
        <v>1</v>
      </c>
      <c r="EG13" s="797">
        <v>0.75</v>
      </c>
      <c r="EH13" s="803" t="s">
        <v>165</v>
      </c>
      <c r="EI13" s="803" t="s">
        <v>165</v>
      </c>
      <c r="EJ13" s="797">
        <v>0.5</v>
      </c>
      <c r="EK13" s="797">
        <v>0.75</v>
      </c>
      <c r="EL13" s="945">
        <f>IF(Captura!$F$35&gt;$Z$11,75%,80%)</f>
        <v>0.8</v>
      </c>
      <c r="EM13" s="797">
        <v>0.35</v>
      </c>
      <c r="EN13" s="797">
        <v>0.75</v>
      </c>
      <c r="EO13" s="797">
        <v>0.6</v>
      </c>
      <c r="EP13" s="797">
        <v>0.7</v>
      </c>
      <c r="EQ13" s="797">
        <v>0.75</v>
      </c>
      <c r="ER13" s="803" t="s">
        <v>165</v>
      </c>
      <c r="ES13" s="2003" t="s">
        <v>165</v>
      </c>
      <c r="ET13" s="2001">
        <v>0.5</v>
      </c>
      <c r="EU13" s="797">
        <v>0.75</v>
      </c>
      <c r="EV13" s="945">
        <f>IF(Captura!$F$35&gt;$Z$11,75%,80%)</f>
        <v>0.8</v>
      </c>
      <c r="EW13" s="797">
        <v>0.35</v>
      </c>
      <c r="EX13" s="797">
        <v>0.75</v>
      </c>
      <c r="EY13" s="797">
        <v>0.75</v>
      </c>
      <c r="EZ13" s="805" t="s">
        <v>165</v>
      </c>
      <c r="FA13" s="805" t="s">
        <v>165</v>
      </c>
      <c r="FB13" s="945">
        <f>IF(Captura!$F$35&gt;$Z$11,75%,IF($AS$5="SI",90%,80%))</f>
        <v>0.8</v>
      </c>
      <c r="FC13" s="797">
        <v>0.75</v>
      </c>
      <c r="FD13" s="805" t="s">
        <v>165</v>
      </c>
      <c r="FE13" s="805" t="s">
        <v>165</v>
      </c>
      <c r="FF13" s="797">
        <v>0.75</v>
      </c>
      <c r="FG13" s="805" t="s">
        <v>165</v>
      </c>
      <c r="FH13" s="805" t="s">
        <v>165</v>
      </c>
      <c r="FI13" s="797">
        <v>0.75</v>
      </c>
      <c r="FJ13" s="805" t="s">
        <v>165</v>
      </c>
      <c r="FK13" s="805" t="s">
        <v>165</v>
      </c>
      <c r="FL13" s="797">
        <v>0.75</v>
      </c>
      <c r="FM13" s="805" t="s">
        <v>165</v>
      </c>
      <c r="FN13" s="805" t="s">
        <v>165</v>
      </c>
      <c r="FO13" s="797">
        <v>0.75</v>
      </c>
      <c r="FP13" s="805" t="s">
        <v>165</v>
      </c>
      <c r="FQ13" s="805" t="s">
        <v>165</v>
      </c>
      <c r="FR13" s="504"/>
      <c r="FS13" s="504"/>
      <c r="FT13" s="504"/>
      <c r="FU13" s="504"/>
      <c r="FV13" s="504"/>
      <c r="FW13" s="504"/>
      <c r="FX13" s="504"/>
      <c r="FY13" s="504"/>
      <c r="FZ13" s="504"/>
      <c r="GB13" s="505"/>
      <c r="GC13" s="486"/>
      <c r="GD13" s="488"/>
      <c r="GH13" s="2066"/>
      <c r="GJ13" s="2105">
        <f>GJ7*11</f>
        <v>37834.015999999996</v>
      </c>
      <c r="GK13" s="883">
        <f>IF(GG4=GF116,15,0)</f>
        <v>0</v>
      </c>
      <c r="GL13" s="496"/>
      <c r="GM13" s="507">
        <v>0.3</v>
      </c>
      <c r="GS13" s="536" t="s">
        <v>231</v>
      </c>
      <c r="HA13" s="134" t="s">
        <v>224</v>
      </c>
      <c r="HB13" s="134" t="s">
        <v>225</v>
      </c>
      <c r="HD13" s="125"/>
      <c r="HE13" s="528"/>
      <c r="HF13" s="528"/>
      <c r="HG13" s="528"/>
      <c r="HH13" s="528"/>
      <c r="HI13" s="528"/>
      <c r="HJ13" s="528"/>
      <c r="HK13" s="2106"/>
      <c r="HL13" s="245"/>
      <c r="HM13" s="1"/>
      <c r="HN13" s="2098"/>
      <c r="HO13" s="2098"/>
      <c r="HP13" s="235"/>
      <c r="HQ13" s="235"/>
      <c r="HR13" s="235"/>
      <c r="HS13" s="235"/>
      <c r="HT13" s="235"/>
      <c r="HU13" s="235"/>
      <c r="HV13" s="235"/>
      <c r="HW13" s="235"/>
      <c r="HX13" s="235"/>
      <c r="HY13" s="235"/>
      <c r="HZ13" s="235"/>
      <c r="IA13" s="235"/>
      <c r="IB13" s="235"/>
      <c r="IC13" s="235"/>
      <c r="ID13" s="235"/>
      <c r="IE13" s="235"/>
      <c r="IF13" s="235"/>
      <c r="IG13" s="2098"/>
      <c r="IH13" s="2037"/>
      <c r="II13" s="1092"/>
      <c r="IL13" s="2041" t="s">
        <v>226</v>
      </c>
      <c r="IM13" s="2042" t="s">
        <v>227</v>
      </c>
      <c r="IN13" s="2043" t="s">
        <v>228</v>
      </c>
      <c r="IO13" s="2044" t="s">
        <v>229</v>
      </c>
      <c r="JD13" s="256"/>
      <c r="JE13" s="861" t="s">
        <v>230</v>
      </c>
      <c r="JF13" s="256"/>
      <c r="JG13" s="256"/>
      <c r="JH13" s="256"/>
      <c r="JI13" s="256"/>
      <c r="JJ13" s="256"/>
      <c r="JK13" s="256"/>
      <c r="JL13" s="256"/>
      <c r="JM13" s="256"/>
      <c r="JN13" s="256"/>
      <c r="JO13" s="256"/>
      <c r="JP13" s="256"/>
      <c r="JQ13" s="256"/>
      <c r="JR13" s="256"/>
      <c r="JS13" s="256"/>
      <c r="JT13" s="256"/>
      <c r="JU13" s="256"/>
      <c r="JV13" s="256"/>
      <c r="JW13" s="256"/>
      <c r="JX13" s="256"/>
      <c r="JY13" s="256"/>
      <c r="JZ13" s="256"/>
      <c r="KA13" s="256"/>
      <c r="KB13" s="256"/>
      <c r="KC13" s="256"/>
      <c r="KD13" s="256"/>
      <c r="KE13" s="256"/>
      <c r="KF13" s="256"/>
      <c r="KG13" s="256"/>
      <c r="KH13" s="256"/>
      <c r="KI13" s="256"/>
      <c r="KJ13" s="256"/>
      <c r="KO13" s="2195"/>
      <c r="KP13" s="903">
        <v>1</v>
      </c>
      <c r="KQ13" s="905">
        <v>0.75</v>
      </c>
      <c r="KR13" s="907" t="s">
        <v>165</v>
      </c>
      <c r="KS13" s="907" t="s">
        <v>165</v>
      </c>
      <c r="KT13" s="905">
        <v>0.35</v>
      </c>
      <c r="KU13" s="905">
        <v>0.75</v>
      </c>
      <c r="KV13" s="908">
        <v>0.5</v>
      </c>
      <c r="KW13" s="905">
        <v>0.75</v>
      </c>
      <c r="KX13" s="907" t="s">
        <v>165</v>
      </c>
      <c r="KY13" s="907" t="s">
        <v>165</v>
      </c>
      <c r="KZ13" s="905">
        <v>0.35</v>
      </c>
      <c r="LA13" s="905">
        <v>0.75</v>
      </c>
      <c r="LB13" s="908">
        <v>0.5</v>
      </c>
      <c r="LC13" s="905">
        <f>IF($IK$5="SI",90%,80%)</f>
        <v>0.8</v>
      </c>
      <c r="LD13" s="905">
        <v>0.75</v>
      </c>
      <c r="LE13" s="909" t="s">
        <v>165</v>
      </c>
      <c r="LF13" s="909" t="s">
        <v>165</v>
      </c>
      <c r="LG13" s="905">
        <v>0.75</v>
      </c>
      <c r="LH13" s="909" t="s">
        <v>165</v>
      </c>
      <c r="LI13" s="909" t="s">
        <v>165</v>
      </c>
      <c r="LJ13" s="905">
        <v>0.75</v>
      </c>
      <c r="LK13" s="909" t="s">
        <v>165</v>
      </c>
      <c r="LL13" s="909" t="s">
        <v>165</v>
      </c>
      <c r="LM13" s="905">
        <v>0.75</v>
      </c>
      <c r="LN13" s="909" t="s">
        <v>165</v>
      </c>
      <c r="LO13" s="909" t="s">
        <v>165</v>
      </c>
      <c r="LP13" s="256"/>
      <c r="LQ13" s="256"/>
      <c r="LR13" s="256"/>
      <c r="LS13" s="134"/>
      <c r="LT13" s="134"/>
    </row>
    <row r="14" spans="1:334" ht="54.75" customHeight="1">
      <c r="B14" s="2107" t="s">
        <v>69</v>
      </c>
      <c r="C14" s="79"/>
      <c r="E14" s="2081"/>
      <c r="F14" s="2081"/>
      <c r="G14" s="44" t="s">
        <v>232</v>
      </c>
      <c r="H14" s="722"/>
      <c r="I14" s="496"/>
      <c r="L14" s="681">
        <v>3500001</v>
      </c>
      <c r="M14" s="568">
        <v>4000000</v>
      </c>
      <c r="N14" s="2090">
        <v>11000</v>
      </c>
      <c r="W14" s="2066"/>
      <c r="AB14" s="171" t="s">
        <v>233</v>
      </c>
      <c r="AC14" s="533" t="s">
        <v>234</v>
      </c>
      <c r="AE14" s="125"/>
      <c r="AF14" s="528"/>
      <c r="AG14" s="586">
        <v>0.105</v>
      </c>
      <c r="AH14" s="587">
        <v>9.6199999999999992</v>
      </c>
      <c r="AI14" s="1955">
        <v>2.8000000000000001E-2</v>
      </c>
      <c r="AJ14" s="586">
        <v>0.105</v>
      </c>
      <c r="AK14" s="587">
        <v>9.1999999999999993</v>
      </c>
      <c r="AL14" s="1955">
        <v>1.4500000000000001E-2</v>
      </c>
      <c r="AM14" s="588"/>
      <c r="AN14" s="588"/>
      <c r="AO14" s="588"/>
      <c r="AP14" s="125"/>
      <c r="AU14" s="1941" t="s">
        <v>235</v>
      </c>
      <c r="AV14" s="1942" t="s">
        <v>236</v>
      </c>
      <c r="AW14" s="1943" t="s">
        <v>237</v>
      </c>
      <c r="AX14" s="1944" t="s">
        <v>238</v>
      </c>
      <c r="BN14" s="532"/>
      <c r="BO14" s="2108">
        <v>0.1094</v>
      </c>
      <c r="BP14" s="589">
        <v>0.09</v>
      </c>
      <c r="BQ14" s="589"/>
      <c r="BR14" s="589"/>
      <c r="BS14" s="256"/>
      <c r="BT14" s="256"/>
      <c r="BU14" s="861" t="s">
        <v>239</v>
      </c>
      <c r="CC14" s="256"/>
      <c r="CD14" s="256"/>
      <c r="CE14" s="256"/>
      <c r="CF14" s="256"/>
      <c r="CG14" s="256"/>
      <c r="CH14" s="256"/>
      <c r="CI14" s="256"/>
      <c r="CJ14" s="256"/>
      <c r="CK14" s="256"/>
      <c r="CL14" s="256"/>
      <c r="CM14" s="256"/>
      <c r="CN14" s="256"/>
      <c r="CO14" s="256"/>
      <c r="CP14" s="256"/>
      <c r="CQ14" s="256"/>
      <c r="CS14" s="256"/>
      <c r="CT14" s="256"/>
      <c r="CU14" s="256"/>
      <c r="CV14" s="256"/>
      <c r="CW14" s="256"/>
      <c r="CX14" s="256"/>
      <c r="CY14" s="256"/>
      <c r="CZ14" s="256"/>
      <c r="DA14" s="256"/>
      <c r="DB14" s="256"/>
      <c r="DC14" s="256"/>
      <c r="DD14" s="256"/>
      <c r="DE14" s="256"/>
      <c r="DF14" s="256"/>
      <c r="DG14" s="256"/>
      <c r="DH14" s="256"/>
      <c r="DI14" s="256"/>
      <c r="EE14" s="2195"/>
      <c r="EF14" s="742">
        <v>2</v>
      </c>
      <c r="EG14" s="945">
        <f>IF(Captura!$F$35&gt;$Z$11,75%,80%)</f>
        <v>0.8</v>
      </c>
      <c r="EH14" s="803" t="s">
        <v>165</v>
      </c>
      <c r="EI14" s="803" t="s">
        <v>165</v>
      </c>
      <c r="EJ14" s="797">
        <v>0.5</v>
      </c>
      <c r="EK14" s="945">
        <f>IF(Captura!$F$35&gt;$Z$11,75%,80%)</f>
        <v>0.8</v>
      </c>
      <c r="EL14" s="945">
        <f>IF(Captura!$F$35&gt;$Z$11,75%,80%)</f>
        <v>0.8</v>
      </c>
      <c r="EM14" s="797">
        <v>0.35</v>
      </c>
      <c r="EN14" s="945">
        <f>IF(Captura!$F$35&gt;$Z$11,75%,80%)</f>
        <v>0.8</v>
      </c>
      <c r="EO14" s="797">
        <v>0.6</v>
      </c>
      <c r="EP14" s="797">
        <v>0.7</v>
      </c>
      <c r="EQ14" s="945">
        <f>IF(Captura!$F$35&gt;$Z$11,75%,80%)</f>
        <v>0.8</v>
      </c>
      <c r="ER14" s="803" t="s">
        <v>165</v>
      </c>
      <c r="ES14" s="803" t="s">
        <v>165</v>
      </c>
      <c r="ET14" s="797">
        <v>0.5</v>
      </c>
      <c r="EU14" s="945">
        <f>IF(Captura!$F$35&gt;$Z$11,75%,80%)</f>
        <v>0.8</v>
      </c>
      <c r="EV14" s="945">
        <f>IF(Captura!$F$35&gt;$Z$11,75%,80%)</f>
        <v>0.8</v>
      </c>
      <c r="EW14" s="797">
        <v>0.35</v>
      </c>
      <c r="EX14" s="945">
        <f>IF(Captura!$F$35&gt;$Z$11,75%,80%)</f>
        <v>0.8</v>
      </c>
      <c r="EY14" s="945">
        <f>IF(Captura!$F$35&gt;$Z$11,75%,80%)</f>
        <v>0.8</v>
      </c>
      <c r="EZ14" s="805" t="s">
        <v>165</v>
      </c>
      <c r="FA14" s="805" t="s">
        <v>165</v>
      </c>
      <c r="FB14" s="945">
        <f>IF(Captura!$F$35&gt;$Z$11,75%,IF($AS$5="SI",90%,80%))</f>
        <v>0.8</v>
      </c>
      <c r="FC14" s="945">
        <f>IF(Captura!$F$35&gt;$Z$11,75%,80%)</f>
        <v>0.8</v>
      </c>
      <c r="FD14" s="805" t="s">
        <v>165</v>
      </c>
      <c r="FE14" s="805" t="s">
        <v>165</v>
      </c>
      <c r="FF14" s="945">
        <f>IF(Captura!$F$35&gt;$Z$11,75%,80%)</f>
        <v>0.8</v>
      </c>
      <c r="FG14" s="805" t="s">
        <v>165</v>
      </c>
      <c r="FH14" s="805" t="s">
        <v>165</v>
      </c>
      <c r="FI14" s="945">
        <f>IF(Captura!$F$35&gt;$Z$11,75%,80%)</f>
        <v>0.8</v>
      </c>
      <c r="FJ14" s="805" t="s">
        <v>165</v>
      </c>
      <c r="FK14" s="805" t="s">
        <v>165</v>
      </c>
      <c r="FL14" s="945">
        <f>IF(Captura!$F$35&gt;$Z$11,75%,80%)</f>
        <v>0.8</v>
      </c>
      <c r="FM14" s="805" t="s">
        <v>165</v>
      </c>
      <c r="FN14" s="805" t="s">
        <v>165</v>
      </c>
      <c r="FO14" s="945">
        <f>IF(Captura!$F$35&gt;$Z$11,75%,80%)</f>
        <v>0.8</v>
      </c>
      <c r="FP14" s="805" t="s">
        <v>165</v>
      </c>
      <c r="FQ14" s="805" t="s">
        <v>165</v>
      </c>
      <c r="FR14" s="504"/>
      <c r="FS14" s="504"/>
      <c r="FT14" s="504"/>
      <c r="FU14" s="504"/>
      <c r="FV14" s="504"/>
      <c r="FW14" s="504"/>
      <c r="FX14" s="504"/>
      <c r="FY14" s="504"/>
      <c r="FZ14" s="504"/>
      <c r="GB14" s="505"/>
      <c r="GC14" s="486"/>
      <c r="GD14" s="488"/>
      <c r="GH14" s="2066"/>
      <c r="GJ14" s="44" t="s">
        <v>232</v>
      </c>
      <c r="GK14" s="883">
        <f>IF(GG4=GF116,17,0)</f>
        <v>0</v>
      </c>
      <c r="GL14" s="496"/>
      <c r="GM14" s="496"/>
      <c r="GS14" s="977" t="s">
        <v>240</v>
      </c>
      <c r="HA14" s="171" t="s">
        <v>233</v>
      </c>
      <c r="HB14" s="533" t="s">
        <v>234</v>
      </c>
      <c r="HD14" s="125"/>
      <c r="HE14" s="528"/>
      <c r="HF14" s="528"/>
      <c r="HG14" s="528"/>
      <c r="HH14" s="528"/>
      <c r="HI14" s="528"/>
      <c r="HJ14" s="528"/>
      <c r="HK14" s="2098"/>
      <c r="HL14" s="1"/>
      <c r="HM14" s="1"/>
      <c r="HN14" s="2098"/>
      <c r="HO14" s="2098"/>
      <c r="HP14" s="235"/>
      <c r="HQ14" s="235"/>
      <c r="HR14" s="235"/>
      <c r="HS14" s="2109"/>
      <c r="HT14" s="2110"/>
      <c r="HU14" s="2109"/>
      <c r="HV14" s="2098"/>
      <c r="HW14" s="2109"/>
      <c r="HX14" s="2098"/>
      <c r="HY14" s="2109"/>
      <c r="HZ14" s="2098"/>
      <c r="IA14" s="2109"/>
      <c r="IB14" s="2098"/>
      <c r="IC14" s="2109"/>
      <c r="ID14" s="2098"/>
      <c r="IE14" s="235"/>
      <c r="IF14" s="235"/>
      <c r="IG14" s="2098"/>
      <c r="II14" s="1092"/>
      <c r="IL14" s="2045" t="s">
        <v>235</v>
      </c>
      <c r="IM14" s="2046" t="s">
        <v>236</v>
      </c>
      <c r="IN14" s="2047" t="s">
        <v>237</v>
      </c>
      <c r="IO14" s="2048" t="s">
        <v>238</v>
      </c>
      <c r="IQ14" s="551" t="s">
        <v>241</v>
      </c>
      <c r="IT14" s="2066"/>
      <c r="IV14" s="2081"/>
      <c r="JD14" s="256"/>
      <c r="JE14" s="861" t="s">
        <v>239</v>
      </c>
      <c r="JF14" s="256"/>
      <c r="JG14" s="256"/>
      <c r="JH14" s="256"/>
      <c r="JI14" s="256"/>
      <c r="JJ14" s="256"/>
      <c r="JK14" s="256"/>
      <c r="JL14" s="256"/>
      <c r="JM14" s="256"/>
      <c r="JN14" s="256"/>
      <c r="JO14" s="256"/>
      <c r="JP14" s="256"/>
      <c r="JQ14" s="256"/>
      <c r="JR14" s="256"/>
      <c r="JS14" s="256"/>
      <c r="JT14" s="256"/>
      <c r="JU14" s="256"/>
      <c r="JV14" s="256"/>
      <c r="JW14" s="256"/>
      <c r="JX14" s="256"/>
      <c r="JY14" s="256"/>
      <c r="JZ14" s="256"/>
      <c r="KA14" s="256"/>
      <c r="KB14" s="256"/>
      <c r="KC14" s="256"/>
      <c r="KD14" s="256"/>
      <c r="KE14" s="256"/>
      <c r="KF14" s="256"/>
      <c r="KG14" s="256"/>
      <c r="KH14" s="256"/>
      <c r="KI14" s="256"/>
      <c r="KJ14" s="256"/>
      <c r="KO14" s="2195"/>
      <c r="KP14" s="903">
        <v>2</v>
      </c>
      <c r="KQ14" s="905">
        <v>0.8</v>
      </c>
      <c r="KR14" s="907" t="s">
        <v>165</v>
      </c>
      <c r="KS14" s="907" t="s">
        <v>165</v>
      </c>
      <c r="KT14" s="905">
        <v>0.35</v>
      </c>
      <c r="KU14" s="905">
        <v>0.8</v>
      </c>
      <c r="KV14" s="908">
        <v>0.5</v>
      </c>
      <c r="KW14" s="905">
        <v>0.8</v>
      </c>
      <c r="KX14" s="907" t="s">
        <v>165</v>
      </c>
      <c r="KY14" s="907" t="s">
        <v>165</v>
      </c>
      <c r="KZ14" s="905">
        <v>0.35</v>
      </c>
      <c r="LA14" s="905">
        <v>0.8</v>
      </c>
      <c r="LB14" s="908">
        <v>0.5</v>
      </c>
      <c r="LC14" s="905">
        <f>IF($IK$5="SI",90%,80%)</f>
        <v>0.8</v>
      </c>
      <c r="LD14" s="905">
        <v>0.8</v>
      </c>
      <c r="LE14" s="909" t="s">
        <v>165</v>
      </c>
      <c r="LF14" s="909" t="s">
        <v>165</v>
      </c>
      <c r="LG14" s="905">
        <v>0.8</v>
      </c>
      <c r="LH14" s="909" t="s">
        <v>165</v>
      </c>
      <c r="LI14" s="909" t="s">
        <v>165</v>
      </c>
      <c r="LJ14" s="905">
        <v>0.8</v>
      </c>
      <c r="LK14" s="909" t="s">
        <v>165</v>
      </c>
      <c r="LL14" s="909" t="s">
        <v>165</v>
      </c>
      <c r="LM14" s="905">
        <v>0.8</v>
      </c>
      <c r="LN14" s="909" t="s">
        <v>165</v>
      </c>
      <c r="LO14" s="909" t="s">
        <v>165</v>
      </c>
      <c r="LP14" s="256"/>
      <c r="LQ14" s="256"/>
      <c r="LR14" s="256"/>
      <c r="LS14" s="135"/>
      <c r="LT14" s="135"/>
    </row>
    <row r="15" spans="1:334" ht="12.75" customHeight="1">
      <c r="B15" s="555" t="s">
        <v>66</v>
      </c>
      <c r="C15" s="168" t="s">
        <v>205</v>
      </c>
      <c r="E15" s="2081"/>
      <c r="F15" s="2081"/>
      <c r="G15" s="2111" t="str">
        <f>IF(B4=A118,"SI",IF(AND(B4=A116,AC4=AC7),"SI",""))</f>
        <v/>
      </c>
      <c r="I15" s="721"/>
      <c r="L15" s="681">
        <v>4000001</v>
      </c>
      <c r="M15" s="568">
        <v>4500000</v>
      </c>
      <c r="N15" s="2090">
        <v>13500</v>
      </c>
      <c r="W15" s="2066"/>
      <c r="AB15" s="172" t="s">
        <v>242</v>
      </c>
      <c r="AC15" s="535" t="s">
        <v>243</v>
      </c>
      <c r="AE15" s="163"/>
      <c r="AF15" s="528"/>
      <c r="AG15" s="590">
        <v>0.10589999999999999</v>
      </c>
      <c r="AH15" s="591">
        <v>9.68</v>
      </c>
      <c r="AI15" s="1956">
        <v>2.8000000000000001E-2</v>
      </c>
      <c r="AJ15" s="590">
        <v>0.10589999999999999</v>
      </c>
      <c r="AK15" s="591">
        <v>9.26</v>
      </c>
      <c r="AL15" s="1956">
        <v>1.4500000000000001E-2</v>
      </c>
      <c r="AM15" s="580"/>
      <c r="AN15" s="580"/>
      <c r="AO15" s="580"/>
      <c r="AP15" s="125"/>
      <c r="AU15" s="1941" t="s">
        <v>244</v>
      </c>
      <c r="AV15" s="1945" t="s">
        <v>245</v>
      </c>
      <c r="AW15" s="1943" t="s">
        <v>246</v>
      </c>
      <c r="AX15" s="1944" t="s">
        <v>247</v>
      </c>
      <c r="BN15" s="534"/>
      <c r="BO15" s="2097">
        <v>0.1095</v>
      </c>
      <c r="BP15" s="574">
        <v>9.9500000000000005E-2</v>
      </c>
      <c r="BQ15" s="574"/>
      <c r="BR15" s="574">
        <v>0.08</v>
      </c>
      <c r="BS15" s="256"/>
      <c r="BT15" s="256"/>
      <c r="BU15" s="861" t="s">
        <v>248</v>
      </c>
      <c r="CC15" s="256"/>
      <c r="CD15" s="256"/>
      <c r="CE15" s="256"/>
      <c r="CF15" s="256"/>
      <c r="CG15" s="256"/>
      <c r="CH15" s="256"/>
      <c r="CI15" s="256"/>
      <c r="CJ15" s="256"/>
      <c r="CK15" s="256"/>
      <c r="CL15" s="256"/>
      <c r="CM15" s="256"/>
      <c r="CN15" s="256"/>
      <c r="CO15" s="256"/>
      <c r="CP15" s="256"/>
      <c r="CQ15" s="256"/>
      <c r="CS15" s="256"/>
      <c r="CT15" s="256"/>
      <c r="CU15" s="256"/>
      <c r="CV15" s="256"/>
      <c r="CW15" s="256"/>
      <c r="CX15" s="256"/>
      <c r="CY15" s="256"/>
      <c r="CZ15" s="256"/>
      <c r="DA15" s="256"/>
      <c r="DB15" s="256"/>
      <c r="DC15" s="256"/>
      <c r="DD15" s="256"/>
      <c r="DE15" s="256"/>
      <c r="DF15" s="256"/>
      <c r="DG15" s="256"/>
      <c r="DH15" s="256"/>
      <c r="DI15" s="256"/>
      <c r="EE15" s="2195"/>
      <c r="EF15" s="742">
        <v>3</v>
      </c>
      <c r="EG15" s="945">
        <f>IF(Captura!$F$35&gt;$Z$11,75%,80%)</f>
        <v>0.8</v>
      </c>
      <c r="EH15" s="803" t="s">
        <v>165</v>
      </c>
      <c r="EI15" s="803" t="s">
        <v>165</v>
      </c>
      <c r="EJ15" s="797">
        <v>0.5</v>
      </c>
      <c r="EK15" s="945">
        <f>IF(Captura!$F$35&gt;$Z$11,75%,80%)</f>
        <v>0.8</v>
      </c>
      <c r="EL15" s="945">
        <f>IF(Captura!$F$35&gt;$Z$11,75%,80%)</f>
        <v>0.8</v>
      </c>
      <c r="EM15" s="797">
        <v>0.35</v>
      </c>
      <c r="EN15" s="945">
        <f>IF(Captura!$F$35&gt;$Z$11,75%,80%)</f>
        <v>0.8</v>
      </c>
      <c r="EO15" s="797">
        <v>0.7</v>
      </c>
      <c r="EP15" s="797">
        <v>0.7</v>
      </c>
      <c r="EQ15" s="945">
        <f>IF(Captura!$F$35&gt;$Z$11,75%,80%)</f>
        <v>0.8</v>
      </c>
      <c r="ER15" s="803" t="s">
        <v>165</v>
      </c>
      <c r="ES15" s="803" t="s">
        <v>165</v>
      </c>
      <c r="ET15" s="797">
        <v>0.5</v>
      </c>
      <c r="EU15" s="945">
        <f>IF(Captura!$F$35&gt;$Z$11,75%,80%)</f>
        <v>0.8</v>
      </c>
      <c r="EV15" s="945">
        <f>IF(Captura!$F$35&gt;$Z$11,75%,80%)</f>
        <v>0.8</v>
      </c>
      <c r="EW15" s="797">
        <v>0.35</v>
      </c>
      <c r="EX15" s="945">
        <f>IF(Captura!$F$35&gt;$Z$11,75%,80%)</f>
        <v>0.8</v>
      </c>
      <c r="EY15" s="945">
        <f>IF(Captura!$F$35&gt;$Z$11,75%,80%)</f>
        <v>0.8</v>
      </c>
      <c r="EZ15" s="805" t="s">
        <v>165</v>
      </c>
      <c r="FA15" s="805" t="s">
        <v>165</v>
      </c>
      <c r="FB15" s="945">
        <f>IF(Captura!$F$35&gt;$Z$11,75%,IF($AS$5="SI",90%,80%))</f>
        <v>0.8</v>
      </c>
      <c r="FC15" s="945">
        <f>IF(Captura!$F$35&gt;$Z$11,75%,80%)</f>
        <v>0.8</v>
      </c>
      <c r="FD15" s="805" t="s">
        <v>165</v>
      </c>
      <c r="FE15" s="805" t="s">
        <v>165</v>
      </c>
      <c r="FF15" s="945">
        <f>IF(Captura!$F$35&gt;$Z$11,75%,80%)</f>
        <v>0.8</v>
      </c>
      <c r="FG15" s="805" t="s">
        <v>165</v>
      </c>
      <c r="FH15" s="805" t="s">
        <v>165</v>
      </c>
      <c r="FI15" s="945">
        <f>IF(Captura!$F$35&gt;$Z$11,75%,80%)</f>
        <v>0.8</v>
      </c>
      <c r="FJ15" s="805" t="s">
        <v>165</v>
      </c>
      <c r="FK15" s="805" t="s">
        <v>165</v>
      </c>
      <c r="FL15" s="945">
        <f>IF(Captura!$F$35&gt;$Z$11,75%,80%)</f>
        <v>0.8</v>
      </c>
      <c r="FM15" s="805" t="s">
        <v>165</v>
      </c>
      <c r="FN15" s="805" t="s">
        <v>165</v>
      </c>
      <c r="FO15" s="945">
        <f>IF(Captura!$F$35&gt;$Z$11,75%,80%)</f>
        <v>0.8</v>
      </c>
      <c r="FP15" s="805" t="s">
        <v>165</v>
      </c>
      <c r="FQ15" s="805" t="s">
        <v>165</v>
      </c>
      <c r="GB15" s="2215"/>
      <c r="GC15" s="486"/>
      <c r="GD15" s="488"/>
      <c r="GH15" s="2066"/>
      <c r="GJ15" s="2111" t="str">
        <f>IF(AND(GG4=GF116,HB4=HB14),"SI","")</f>
        <v/>
      </c>
      <c r="GK15" s="884">
        <f>IF(GG4=GF116,20,0)</f>
        <v>0</v>
      </c>
      <c r="GL15" s="496"/>
      <c r="GM15" s="496"/>
      <c r="HA15" s="172" t="s">
        <v>242</v>
      </c>
      <c r="HB15" s="535" t="s">
        <v>243</v>
      </c>
      <c r="HD15" s="163"/>
      <c r="HE15" s="528"/>
      <c r="HF15" s="528"/>
      <c r="HG15" s="528"/>
      <c r="HH15" s="528"/>
      <c r="HI15" s="528"/>
      <c r="HJ15" s="528"/>
      <c r="HK15" s="2098"/>
      <c r="HL15" s="1"/>
      <c r="HM15" s="1"/>
      <c r="HN15" s="2098"/>
      <c r="HO15" s="2098"/>
      <c r="HP15" s="235"/>
      <c r="HQ15" s="235"/>
      <c r="HR15" s="235"/>
      <c r="HS15" s="2109"/>
      <c r="HT15" s="2110"/>
      <c r="HU15" s="2109"/>
      <c r="HV15" s="2098"/>
      <c r="HW15" s="2109"/>
      <c r="HX15" s="2098"/>
      <c r="HY15" s="2109"/>
      <c r="HZ15" s="2098"/>
      <c r="IA15" s="2109"/>
      <c r="IB15" s="2098"/>
      <c r="IC15" s="2109"/>
      <c r="ID15" s="2098"/>
      <c r="IE15" s="235"/>
      <c r="IF15" s="235"/>
      <c r="IG15" s="235"/>
      <c r="II15" s="983"/>
      <c r="IL15" s="2045" t="s">
        <v>244</v>
      </c>
      <c r="IM15" s="2049" t="s">
        <v>245</v>
      </c>
      <c r="IN15" s="2047" t="s">
        <v>246</v>
      </c>
      <c r="IO15" s="2048" t="s">
        <v>247</v>
      </c>
      <c r="IQ15" s="467" t="s">
        <v>249</v>
      </c>
      <c r="IR15" s="467"/>
      <c r="IS15" s="467"/>
      <c r="IT15" s="467"/>
      <c r="IU15" s="467"/>
      <c r="IV15" s="467"/>
      <c r="JD15" s="256"/>
      <c r="JE15" s="861" t="s">
        <v>248</v>
      </c>
      <c r="JF15" s="256"/>
      <c r="JG15" s="256"/>
      <c r="JH15" s="256"/>
      <c r="JI15" s="256"/>
      <c r="JJ15" s="256"/>
      <c r="JK15" s="256"/>
      <c r="JL15" s="256"/>
      <c r="JM15" s="256"/>
      <c r="JN15" s="256"/>
      <c r="JO15" s="256"/>
      <c r="JP15" s="256"/>
      <c r="JQ15" s="256"/>
      <c r="JR15" s="256"/>
      <c r="JS15" s="256"/>
      <c r="JT15" s="256"/>
      <c r="JU15" s="256"/>
      <c r="JV15" s="256"/>
      <c r="JW15" s="256"/>
      <c r="JX15" s="256"/>
      <c r="JY15" s="256"/>
      <c r="JZ15" s="256"/>
      <c r="KA15" s="256"/>
      <c r="KB15" s="256"/>
      <c r="KC15" s="256"/>
      <c r="KD15" s="256"/>
      <c r="KE15" s="256"/>
      <c r="KF15" s="256"/>
      <c r="KG15" s="256"/>
      <c r="KH15" s="256"/>
      <c r="KI15" s="256"/>
      <c r="KJ15" s="256"/>
      <c r="KO15" s="2195"/>
      <c r="KP15" s="903">
        <v>3</v>
      </c>
      <c r="KQ15" s="905">
        <v>0.8</v>
      </c>
      <c r="KR15" s="907" t="s">
        <v>165</v>
      </c>
      <c r="KS15" s="907" t="s">
        <v>165</v>
      </c>
      <c r="KT15" s="905">
        <v>0.35</v>
      </c>
      <c r="KU15" s="905">
        <v>0.8</v>
      </c>
      <c r="KV15" s="908">
        <v>0.5</v>
      </c>
      <c r="KW15" s="905">
        <v>0.8</v>
      </c>
      <c r="KX15" s="907" t="s">
        <v>165</v>
      </c>
      <c r="KY15" s="907" t="s">
        <v>165</v>
      </c>
      <c r="KZ15" s="905">
        <v>0.35</v>
      </c>
      <c r="LA15" s="905">
        <v>0.8</v>
      </c>
      <c r="LB15" s="908">
        <v>0.5</v>
      </c>
      <c r="LC15" s="905">
        <f>IF($IK$5="SI",90%,80%)</f>
        <v>0.8</v>
      </c>
      <c r="LD15" s="905">
        <v>0.8</v>
      </c>
      <c r="LE15" s="909" t="s">
        <v>165</v>
      </c>
      <c r="LF15" s="909" t="s">
        <v>165</v>
      </c>
      <c r="LG15" s="905">
        <v>0.8</v>
      </c>
      <c r="LH15" s="909" t="s">
        <v>165</v>
      </c>
      <c r="LI15" s="909" t="s">
        <v>165</v>
      </c>
      <c r="LJ15" s="905">
        <v>0.8</v>
      </c>
      <c r="LK15" s="909" t="s">
        <v>165</v>
      </c>
      <c r="LL15" s="909" t="s">
        <v>165</v>
      </c>
      <c r="LM15" s="905">
        <v>0.8</v>
      </c>
      <c r="LN15" s="909" t="s">
        <v>165</v>
      </c>
      <c r="LO15" s="909" t="s">
        <v>165</v>
      </c>
      <c r="LP15" s="256"/>
      <c r="LQ15" s="256"/>
      <c r="LR15" s="256"/>
      <c r="LS15" s="135"/>
      <c r="LT15" s="135"/>
    </row>
    <row r="16" spans="1:334" ht="14.4" thickBot="1">
      <c r="C16" s="79" t="str">
        <f>IF(B4=A114,"si","no")</f>
        <v>no</v>
      </c>
      <c r="E16" s="2081"/>
      <c r="F16" s="2081"/>
      <c r="G16" s="2112" t="str">
        <f>IF(B4=A118,"NO",IF(AND(B4=A116,AC4=AC7),"NO",""))</f>
        <v/>
      </c>
      <c r="I16" s="136"/>
      <c r="L16" s="681">
        <v>4500001</v>
      </c>
      <c r="M16" s="568">
        <v>5500000</v>
      </c>
      <c r="N16" s="2090">
        <v>14000</v>
      </c>
      <c r="W16" s="2066"/>
      <c r="AB16" s="172" t="s">
        <v>250</v>
      </c>
      <c r="AC16" s="535" t="s">
        <v>251</v>
      </c>
      <c r="AE16" s="497"/>
      <c r="AG16" s="592">
        <v>0.106</v>
      </c>
      <c r="AH16" s="593">
        <v>9.68</v>
      </c>
      <c r="AI16" s="1957">
        <v>2.8000000000000001E-2</v>
      </c>
      <c r="AJ16" s="592">
        <v>0.106</v>
      </c>
      <c r="AK16" s="593">
        <v>9.26</v>
      </c>
      <c r="AL16" s="1957">
        <v>1.4500000000000001E-2</v>
      </c>
      <c r="AM16" s="584"/>
      <c r="AN16" s="584"/>
      <c r="AO16" s="584"/>
      <c r="AP16" s="125"/>
      <c r="AU16" s="1945" t="s">
        <v>252</v>
      </c>
      <c r="AV16" s="491" t="s">
        <v>253</v>
      </c>
      <c r="AW16" s="1943" t="s">
        <v>254</v>
      </c>
      <c r="AX16" s="1944" t="s">
        <v>255</v>
      </c>
      <c r="BO16" s="2077">
        <v>0.1096</v>
      </c>
      <c r="BP16" s="562">
        <v>9.5000000000000001E-2</v>
      </c>
      <c r="BQ16" s="562"/>
      <c r="BR16" s="562"/>
      <c r="BS16" s="256"/>
      <c r="BT16" s="256"/>
      <c r="BU16" s="862" t="s">
        <v>256</v>
      </c>
      <c r="CC16" s="256"/>
      <c r="CD16" s="256"/>
      <c r="CE16" s="256"/>
      <c r="CF16" s="256"/>
      <c r="CG16" s="256"/>
      <c r="CH16" s="256"/>
      <c r="CI16" s="256"/>
      <c r="CJ16" s="256"/>
      <c r="CK16" s="256"/>
      <c r="CL16" s="256"/>
      <c r="CM16" s="256"/>
      <c r="CN16" s="256"/>
      <c r="CO16" s="256"/>
      <c r="CP16" s="256"/>
      <c r="CQ16" s="256"/>
      <c r="CR16" s="256"/>
      <c r="CS16" s="256"/>
      <c r="CT16" s="256"/>
      <c r="CU16" s="256"/>
      <c r="CV16" s="256"/>
      <c r="CW16" s="256"/>
      <c r="CX16" s="256"/>
      <c r="CY16" s="256"/>
      <c r="CZ16" s="256"/>
      <c r="DA16" s="256"/>
      <c r="DB16" s="256"/>
      <c r="DC16" s="256"/>
      <c r="DD16" s="256"/>
      <c r="DE16" s="256"/>
      <c r="DF16" s="256"/>
      <c r="DG16" s="256"/>
      <c r="DH16" s="256"/>
      <c r="DI16" s="256"/>
      <c r="EE16" s="2195"/>
      <c r="EF16" s="742">
        <v>4</v>
      </c>
      <c r="EG16" s="946">
        <f>IF(Captura!$F$35&gt;$Z$11,75%,85%)</f>
        <v>0.85</v>
      </c>
      <c r="EH16" s="803" t="s">
        <v>165</v>
      </c>
      <c r="EI16" s="803" t="s">
        <v>165</v>
      </c>
      <c r="EJ16" s="2000">
        <v>0.5</v>
      </c>
      <c r="EK16" s="946">
        <f>IF(Captura!$F$35&gt;$Z$11,75%,85%)</f>
        <v>0.85</v>
      </c>
      <c r="EL16" s="945">
        <f>IF(Captura!$F$35&gt;$Z$11,75%,80%)</f>
        <v>0.8</v>
      </c>
      <c r="EM16" s="797">
        <v>0.35</v>
      </c>
      <c r="EN16" s="946">
        <f>IF(Captura!$F$35&gt;$Z$11,75%,85%)</f>
        <v>0.85</v>
      </c>
      <c r="EO16" s="798">
        <v>0.7</v>
      </c>
      <c r="EP16" s="798">
        <v>0.7</v>
      </c>
      <c r="EQ16" s="946">
        <f>IF(Captura!$F$35&gt;$Z$11,75%,85%)</f>
        <v>0.85</v>
      </c>
      <c r="ER16" s="803" t="s">
        <v>165</v>
      </c>
      <c r="ES16" s="803" t="s">
        <v>165</v>
      </c>
      <c r="ET16" s="798">
        <v>0.5</v>
      </c>
      <c r="EU16" s="946">
        <f>IF(Captura!$F$35&gt;$Z$11,75%,85%)</f>
        <v>0.85</v>
      </c>
      <c r="EV16" s="945">
        <f>IF(Captura!$F$35&gt;$Z$11,75%,80%)</f>
        <v>0.8</v>
      </c>
      <c r="EW16" s="797">
        <v>0.35</v>
      </c>
      <c r="EX16" s="946">
        <f>IF(Captura!$F$35&gt;$Z$11,75%,85%)</f>
        <v>0.85</v>
      </c>
      <c r="EY16" s="946">
        <f>IF(Captura!$F$35&gt;$Z$11,75%,85%)</f>
        <v>0.85</v>
      </c>
      <c r="EZ16" s="805" t="s">
        <v>165</v>
      </c>
      <c r="FA16" s="805" t="s">
        <v>165</v>
      </c>
      <c r="FB16" s="945">
        <f>IF(Captura!$F$35&gt;$Z$11,75%,IF($AS$5="SI",90%,80%))</f>
        <v>0.8</v>
      </c>
      <c r="FC16" s="946">
        <f>IF(Captura!$F$35&gt;$Z$11,75%,85%)</f>
        <v>0.85</v>
      </c>
      <c r="FD16" s="805" t="s">
        <v>165</v>
      </c>
      <c r="FE16" s="805" t="s">
        <v>165</v>
      </c>
      <c r="FF16" s="946">
        <f>IF(Captura!$F$35&gt;$Z$11,75%,85%)</f>
        <v>0.85</v>
      </c>
      <c r="FG16" s="805" t="s">
        <v>165</v>
      </c>
      <c r="FH16" s="805" t="s">
        <v>165</v>
      </c>
      <c r="FI16" s="946">
        <f>IF(Captura!$F$35&gt;$Z$11,75%,85%)</f>
        <v>0.85</v>
      </c>
      <c r="FJ16" s="805" t="s">
        <v>165</v>
      </c>
      <c r="FK16" s="805" t="s">
        <v>165</v>
      </c>
      <c r="FL16" s="946">
        <f>IF(Captura!$F$35&gt;$Z$11,75%,85%)</f>
        <v>0.85</v>
      </c>
      <c r="FM16" s="805" t="s">
        <v>165</v>
      </c>
      <c r="FN16" s="805" t="s">
        <v>165</v>
      </c>
      <c r="FO16" s="946">
        <f>IF(Captura!$F$35&gt;$Z$11,75%,85%)</f>
        <v>0.85</v>
      </c>
      <c r="FP16" s="805" t="s">
        <v>165</v>
      </c>
      <c r="FQ16" s="805" t="s">
        <v>165</v>
      </c>
      <c r="FR16" s="372"/>
      <c r="FS16" s="372"/>
      <c r="FT16" s="372"/>
      <c r="FU16" s="372"/>
      <c r="FV16" s="372"/>
      <c r="FW16" s="372"/>
      <c r="FX16" s="372"/>
      <c r="FY16" s="372"/>
      <c r="FZ16" s="372"/>
      <c r="GB16" s="2215"/>
      <c r="GC16" s="486"/>
      <c r="GD16" s="488"/>
      <c r="GH16" s="2066"/>
      <c r="GJ16" s="2112" t="str">
        <f>IF(AND(GG4=GF116,HB4=HB14),"NO","")</f>
        <v/>
      </c>
      <c r="GK16" s="496"/>
      <c r="GM16" s="496"/>
      <c r="HA16" s="172" t="s">
        <v>250</v>
      </c>
      <c r="HB16" s="535"/>
      <c r="HD16" s="497"/>
      <c r="HK16" s="2098"/>
      <c r="HL16" s="1"/>
      <c r="HM16" s="1"/>
      <c r="HN16" s="2098"/>
      <c r="HO16" s="2098"/>
      <c r="HP16" s="235"/>
      <c r="HQ16" s="235"/>
      <c r="HR16" s="235"/>
      <c r="HS16" s="2109"/>
      <c r="HT16" s="2110"/>
      <c r="HU16" s="2109"/>
      <c r="HV16" s="2098"/>
      <c r="HW16" s="2109"/>
      <c r="HX16" s="2098"/>
      <c r="HY16" s="2109"/>
      <c r="HZ16" s="2098"/>
      <c r="IA16" s="2109"/>
      <c r="IB16" s="2098"/>
      <c r="IC16" s="2109"/>
      <c r="ID16" s="2098"/>
      <c r="IE16" s="235"/>
      <c r="IF16" s="235"/>
      <c r="IG16" s="235"/>
      <c r="II16" s="1090"/>
      <c r="IL16" s="2049" t="s">
        <v>252</v>
      </c>
      <c r="IM16" s="2050" t="s">
        <v>253</v>
      </c>
      <c r="IN16" s="2047" t="s">
        <v>254</v>
      </c>
      <c r="IO16" s="2048" t="s">
        <v>255</v>
      </c>
      <c r="IQ16" s="526"/>
      <c r="IR16" s="462"/>
      <c r="IS16" s="467" t="s">
        <v>257</v>
      </c>
      <c r="IT16" s="467" t="s">
        <v>258</v>
      </c>
      <c r="IU16" s="467" t="s">
        <v>259</v>
      </c>
      <c r="IV16" s="467" t="s">
        <v>260</v>
      </c>
      <c r="IX16" s="496"/>
      <c r="IY16" s="2066"/>
      <c r="IZ16" s="2066"/>
      <c r="JD16" s="256"/>
      <c r="JE16" s="862" t="s">
        <v>256</v>
      </c>
      <c r="JF16" s="256"/>
      <c r="JG16" s="256"/>
      <c r="JH16" s="256"/>
      <c r="JI16" s="256"/>
      <c r="JJ16" s="256"/>
      <c r="JK16" s="256"/>
      <c r="JL16" s="256"/>
      <c r="JM16" s="256"/>
      <c r="JN16" s="256"/>
      <c r="JO16" s="256"/>
      <c r="JP16" s="256"/>
      <c r="JQ16" s="256"/>
      <c r="JR16" s="256"/>
      <c r="JS16" s="256"/>
      <c r="JT16" s="256"/>
      <c r="JU16" s="256"/>
      <c r="JV16" s="256"/>
      <c r="JW16" s="256"/>
      <c r="JX16" s="256"/>
      <c r="JY16" s="256"/>
      <c r="JZ16" s="256"/>
      <c r="KA16" s="256"/>
      <c r="KB16" s="256"/>
      <c r="KC16" s="256"/>
      <c r="KD16" s="256"/>
      <c r="KE16" s="256"/>
      <c r="KF16" s="256"/>
      <c r="KG16" s="256"/>
      <c r="KH16" s="256"/>
      <c r="KI16" s="256"/>
      <c r="KJ16" s="256"/>
      <c r="KO16" s="2195"/>
      <c r="KP16" s="903">
        <v>4</v>
      </c>
      <c r="KQ16" s="905">
        <v>0.85</v>
      </c>
      <c r="KR16" s="907" t="s">
        <v>165</v>
      </c>
      <c r="KS16" s="907" t="s">
        <v>165</v>
      </c>
      <c r="KT16" s="905">
        <v>0.35</v>
      </c>
      <c r="KU16" s="905">
        <v>0.85</v>
      </c>
      <c r="KV16" s="908">
        <v>0.5</v>
      </c>
      <c r="KW16" s="905">
        <v>0.85</v>
      </c>
      <c r="KX16" s="907" t="s">
        <v>165</v>
      </c>
      <c r="KY16" s="907" t="s">
        <v>165</v>
      </c>
      <c r="KZ16" s="905">
        <v>0.35</v>
      </c>
      <c r="LA16" s="905">
        <v>0.85</v>
      </c>
      <c r="LB16" s="908">
        <v>0.5</v>
      </c>
      <c r="LC16" s="905">
        <f>IF($IK$5="SI",90%,80%)</f>
        <v>0.8</v>
      </c>
      <c r="LD16" s="905">
        <v>0.85</v>
      </c>
      <c r="LE16" s="909" t="s">
        <v>165</v>
      </c>
      <c r="LF16" s="909" t="s">
        <v>165</v>
      </c>
      <c r="LG16" s="905">
        <v>0.85</v>
      </c>
      <c r="LH16" s="909" t="s">
        <v>165</v>
      </c>
      <c r="LI16" s="909" t="s">
        <v>165</v>
      </c>
      <c r="LJ16" s="905">
        <v>0.85</v>
      </c>
      <c r="LK16" s="909" t="s">
        <v>165</v>
      </c>
      <c r="LL16" s="909" t="s">
        <v>165</v>
      </c>
      <c r="LM16" s="905">
        <v>0.85</v>
      </c>
      <c r="LN16" s="909" t="s">
        <v>165</v>
      </c>
      <c r="LO16" s="909" t="s">
        <v>165</v>
      </c>
      <c r="LP16" s="256"/>
      <c r="LQ16" s="256"/>
      <c r="LR16" s="256"/>
      <c r="LS16" s="135"/>
      <c r="LT16" s="135"/>
    </row>
    <row r="17" spans="1:327" ht="27.75" customHeight="1">
      <c r="C17" s="168" t="s">
        <v>64</v>
      </c>
      <c r="E17" s="2081"/>
      <c r="F17" s="2081"/>
      <c r="G17" s="2066"/>
      <c r="H17" s="496"/>
      <c r="I17" s="496"/>
      <c r="L17" s="681">
        <v>5500001</v>
      </c>
      <c r="M17" s="568">
        <v>6000000</v>
      </c>
      <c r="N17" s="2090">
        <v>17000</v>
      </c>
      <c r="W17" s="2066"/>
      <c r="AB17" s="172" t="s">
        <v>261</v>
      </c>
      <c r="AC17" s="535"/>
      <c r="AF17" s="179"/>
      <c r="AG17" s="578">
        <v>0.107</v>
      </c>
      <c r="AH17" s="579">
        <v>9.74</v>
      </c>
      <c r="AI17" s="1953">
        <v>2.8000000000000001E-2</v>
      </c>
      <c r="AJ17" s="578">
        <v>0.107</v>
      </c>
      <c r="AK17" s="579">
        <v>9.33</v>
      </c>
      <c r="AL17" s="1953">
        <v>1.4500000000000001E-2</v>
      </c>
      <c r="AM17" s="567"/>
      <c r="AN17" s="567"/>
      <c r="AO17" s="567"/>
      <c r="AP17" s="125"/>
      <c r="AU17" s="491" t="s">
        <v>253</v>
      </c>
      <c r="AV17" s="491" t="s">
        <v>253</v>
      </c>
      <c r="AW17" s="1943" t="s">
        <v>262</v>
      </c>
      <c r="AX17" s="1944" t="s">
        <v>263</v>
      </c>
      <c r="BO17" s="2113">
        <v>0.111</v>
      </c>
      <c r="BP17" s="594">
        <v>9.2999999999999999E-2</v>
      </c>
      <c r="BQ17" s="594"/>
      <c r="BR17" s="594">
        <v>0.08</v>
      </c>
      <c r="BS17" s="256"/>
      <c r="BT17" s="256"/>
      <c r="BY17" s="256"/>
      <c r="BZ17" s="256"/>
      <c r="CA17" s="256"/>
      <c r="CB17" s="256"/>
      <c r="CC17" s="256"/>
      <c r="CD17" s="256"/>
      <c r="CE17" s="256"/>
      <c r="CF17" s="256"/>
      <c r="CG17" s="256"/>
      <c r="CH17" s="256"/>
      <c r="CI17" s="256"/>
      <c r="CJ17" s="256"/>
      <c r="CK17" s="256"/>
      <c r="CL17" s="256"/>
      <c r="CM17" s="256"/>
      <c r="CN17" s="256"/>
      <c r="CO17" s="256"/>
      <c r="CP17" s="256"/>
      <c r="CQ17" s="256"/>
      <c r="CR17" s="256"/>
      <c r="CS17" s="256"/>
      <c r="CT17" s="256"/>
      <c r="CU17" s="256"/>
      <c r="CV17" s="256"/>
      <c r="CW17" s="256"/>
      <c r="CX17" s="256"/>
      <c r="CY17" s="256"/>
      <c r="CZ17" s="256"/>
      <c r="DA17" s="256"/>
      <c r="DB17" s="256"/>
      <c r="DC17" s="256"/>
      <c r="DD17" s="256"/>
      <c r="DE17" s="256"/>
      <c r="DF17" s="256"/>
      <c r="DG17" s="256"/>
      <c r="DH17" s="256"/>
      <c r="DI17" s="256"/>
      <c r="EE17" s="2196"/>
      <c r="EF17" s="750">
        <v>5</v>
      </c>
      <c r="EG17" s="947">
        <f>IF(Captura!$F$35&gt;$Z$11,80%,90%)</f>
        <v>0.9</v>
      </c>
      <c r="EH17" s="803" t="s">
        <v>165</v>
      </c>
      <c r="EI17" s="803" t="s">
        <v>165</v>
      </c>
      <c r="EJ17" s="806">
        <v>0.5</v>
      </c>
      <c r="EK17" s="947">
        <f>IF(Captura!$F$35&gt;$Z$11,80%,90%)</f>
        <v>0.9</v>
      </c>
      <c r="EL17" s="797">
        <v>0.8</v>
      </c>
      <c r="EM17" s="797">
        <v>0.35</v>
      </c>
      <c r="EN17" s="947">
        <f>IF(Captura!$F$35&gt;$Z$11,80%,90%)</f>
        <v>0.9</v>
      </c>
      <c r="EO17" s="799">
        <v>0.7</v>
      </c>
      <c r="EP17" s="799">
        <v>0.7</v>
      </c>
      <c r="EQ17" s="947">
        <f>IF(Captura!$F$35&gt;$Z$11,80%,90%)</f>
        <v>0.9</v>
      </c>
      <c r="ER17" s="803" t="s">
        <v>165</v>
      </c>
      <c r="ES17" s="803" t="s">
        <v>165</v>
      </c>
      <c r="ET17" s="799">
        <v>0.5</v>
      </c>
      <c r="EU17" s="947">
        <f>IF(Captura!$F$35&gt;$Z$11,80%,90%)</f>
        <v>0.9</v>
      </c>
      <c r="EV17" s="797">
        <v>0.8</v>
      </c>
      <c r="EW17" s="797">
        <v>0.35</v>
      </c>
      <c r="EX17" s="947">
        <f>IF(Captura!$F$35&gt;$Z$11,80%,90%)</f>
        <v>0.9</v>
      </c>
      <c r="EY17" s="947">
        <f>IF(Captura!$F$35&gt;$Z$11,80%,90%)</f>
        <v>0.9</v>
      </c>
      <c r="EZ17" s="805" t="s">
        <v>165</v>
      </c>
      <c r="FA17" s="805" t="s">
        <v>165</v>
      </c>
      <c r="FB17" s="945">
        <f>IF(Captura!$F$35&gt;$Z$11,80%,IF($AS$5="SI",90%,80%))</f>
        <v>0.8</v>
      </c>
      <c r="FC17" s="799">
        <v>0.8</v>
      </c>
      <c r="FD17" s="805" t="s">
        <v>165</v>
      </c>
      <c r="FE17" s="805" t="s">
        <v>165</v>
      </c>
      <c r="FF17" s="799">
        <v>0.8</v>
      </c>
      <c r="FG17" s="805" t="s">
        <v>165</v>
      </c>
      <c r="FH17" s="805" t="s">
        <v>165</v>
      </c>
      <c r="FI17" s="799">
        <v>0.8</v>
      </c>
      <c r="FJ17" s="805" t="s">
        <v>165</v>
      </c>
      <c r="FK17" s="805" t="s">
        <v>165</v>
      </c>
      <c r="FL17" s="799">
        <v>0.8</v>
      </c>
      <c r="FM17" s="805" t="s">
        <v>165</v>
      </c>
      <c r="FN17" s="805" t="s">
        <v>165</v>
      </c>
      <c r="FO17" s="799">
        <v>0.8</v>
      </c>
      <c r="FP17" s="805" t="s">
        <v>165</v>
      </c>
      <c r="FQ17" s="805" t="s">
        <v>165</v>
      </c>
      <c r="FR17" s="372"/>
      <c r="FS17" s="372"/>
      <c r="FT17" s="372"/>
      <c r="FU17" s="372"/>
      <c r="FV17" s="372"/>
      <c r="FW17" s="372"/>
      <c r="FX17" s="372"/>
      <c r="FY17" s="372"/>
      <c r="FZ17" s="372"/>
      <c r="GB17" s="505"/>
      <c r="GC17" s="486"/>
      <c r="GD17" s="488"/>
      <c r="GH17" s="2066"/>
      <c r="GJ17" s="2114"/>
      <c r="GK17" s="496"/>
      <c r="GL17" s="496"/>
      <c r="GM17" s="496"/>
      <c r="HA17" s="172"/>
      <c r="HB17" s="535"/>
      <c r="HE17" s="179"/>
      <c r="HF17" s="179"/>
      <c r="HG17" s="179"/>
      <c r="HH17" s="179"/>
      <c r="HI17" s="179"/>
      <c r="HJ17" s="179"/>
      <c r="HK17" s="2098"/>
      <c r="HL17" s="1"/>
      <c r="HM17" s="1"/>
      <c r="HN17" s="2098"/>
      <c r="HO17" s="2098"/>
      <c r="HP17" s="235"/>
      <c r="HQ17" s="235"/>
      <c r="HR17" s="235"/>
      <c r="HS17" s="2109"/>
      <c r="HT17" s="2110"/>
      <c r="HU17" s="2109"/>
      <c r="HV17" s="2098"/>
      <c r="HW17" s="2109"/>
      <c r="HX17" s="2098"/>
      <c r="HY17" s="2109"/>
      <c r="HZ17" s="2098"/>
      <c r="IA17" s="2109"/>
      <c r="IB17" s="2098"/>
      <c r="IC17" s="2109"/>
      <c r="ID17" s="2098"/>
      <c r="IE17" s="235"/>
      <c r="IF17" s="235"/>
      <c r="IG17" s="235"/>
      <c r="IL17" s="2050" t="s">
        <v>253</v>
      </c>
      <c r="IM17" s="2050" t="s">
        <v>253</v>
      </c>
      <c r="IN17" s="2047" t="s">
        <v>262</v>
      </c>
      <c r="IO17" s="2048" t="s">
        <v>263</v>
      </c>
      <c r="IQ17" s="526"/>
      <c r="IR17" s="526"/>
      <c r="IS17" s="230" t="s">
        <v>264</v>
      </c>
      <c r="IT17" s="230" t="s">
        <v>265</v>
      </c>
      <c r="IU17" s="230" t="s">
        <v>266</v>
      </c>
      <c r="IV17" s="897" t="s">
        <v>267</v>
      </c>
      <c r="IX17" s="496"/>
      <c r="IY17" s="2066"/>
      <c r="IZ17" s="2066"/>
      <c r="JD17" s="256"/>
      <c r="JE17" s="256"/>
      <c r="JF17" s="256"/>
      <c r="JG17" s="256"/>
      <c r="JH17" s="256"/>
      <c r="JI17" s="256"/>
      <c r="JJ17" s="256"/>
      <c r="JK17" s="256"/>
      <c r="JL17" s="256"/>
      <c r="JM17" s="256"/>
      <c r="JN17" s="256"/>
      <c r="JO17" s="256"/>
      <c r="JP17" s="256"/>
      <c r="JQ17" s="256"/>
      <c r="JR17" s="256"/>
      <c r="JS17" s="256"/>
      <c r="JT17" s="256"/>
      <c r="JU17" s="256"/>
      <c r="JV17" s="256"/>
      <c r="JW17" s="256"/>
      <c r="JX17" s="256"/>
      <c r="JY17" s="256"/>
      <c r="JZ17" s="256"/>
      <c r="KA17" s="256"/>
      <c r="KB17" s="256"/>
      <c r="KC17" s="256"/>
      <c r="KD17" s="256"/>
      <c r="KE17" s="256"/>
      <c r="KF17" s="256"/>
      <c r="KG17" s="256"/>
      <c r="KH17" s="256"/>
      <c r="KI17" s="256"/>
      <c r="KJ17" s="256"/>
      <c r="KO17" s="2196"/>
      <c r="KP17" s="904">
        <v>5</v>
      </c>
      <c r="KQ17" s="905">
        <v>0.9</v>
      </c>
      <c r="KR17" s="907" t="s">
        <v>165</v>
      </c>
      <c r="KS17" s="907" t="s">
        <v>165</v>
      </c>
      <c r="KT17" s="905">
        <v>0.35</v>
      </c>
      <c r="KU17" s="905">
        <v>0.9</v>
      </c>
      <c r="KV17" s="908">
        <v>0.5</v>
      </c>
      <c r="KW17" s="905">
        <v>0.9</v>
      </c>
      <c r="KX17" s="907" t="s">
        <v>165</v>
      </c>
      <c r="KY17" s="907" t="s">
        <v>165</v>
      </c>
      <c r="KZ17" s="905">
        <v>0.35</v>
      </c>
      <c r="LA17" s="905">
        <v>0.9</v>
      </c>
      <c r="LB17" s="908">
        <v>0.5</v>
      </c>
      <c r="LC17" s="905">
        <f>IF($IK$5="SI",90%,80%)</f>
        <v>0.8</v>
      </c>
      <c r="LD17" s="905">
        <v>0.9</v>
      </c>
      <c r="LE17" s="909" t="s">
        <v>165</v>
      </c>
      <c r="LF17" s="909" t="s">
        <v>165</v>
      </c>
      <c r="LG17" s="905">
        <v>0.9</v>
      </c>
      <c r="LH17" s="909" t="s">
        <v>165</v>
      </c>
      <c r="LI17" s="909" t="s">
        <v>165</v>
      </c>
      <c r="LJ17" s="905">
        <v>0.9</v>
      </c>
      <c r="LK17" s="909" t="s">
        <v>165</v>
      </c>
      <c r="LL17" s="909" t="s">
        <v>165</v>
      </c>
      <c r="LM17" s="905">
        <v>0.9</v>
      </c>
      <c r="LN17" s="909" t="s">
        <v>165</v>
      </c>
      <c r="LO17" s="909" t="s">
        <v>165</v>
      </c>
    </row>
    <row r="18" spans="1:327" ht="12.75" customHeight="1">
      <c r="C18" s="79" t="str">
        <f>IF(B4=A116,"si","no")</f>
        <v>no</v>
      </c>
      <c r="E18" s="2081"/>
      <c r="F18" s="2081"/>
      <c r="G18" s="2066"/>
      <c r="L18" s="681">
        <v>6000001</v>
      </c>
      <c r="M18" s="568">
        <v>6500000</v>
      </c>
      <c r="N18" s="2090">
        <v>19000</v>
      </c>
      <c r="W18" s="2066"/>
      <c r="AB18" s="246" t="s">
        <v>268</v>
      </c>
      <c r="AC18" s="537"/>
      <c r="AF18" s="528"/>
      <c r="AG18" s="595">
        <v>0.1094</v>
      </c>
      <c r="AH18" s="596">
        <v>9.89</v>
      </c>
      <c r="AI18" s="1958">
        <v>2.8000000000000001E-2</v>
      </c>
      <c r="AJ18" s="595">
        <v>0.1094</v>
      </c>
      <c r="AK18" s="596">
        <v>9.49</v>
      </c>
      <c r="AL18" s="1958">
        <v>1.4500000000000001E-2</v>
      </c>
      <c r="AM18" s="589"/>
      <c r="AN18" s="589"/>
      <c r="AO18" s="589"/>
      <c r="AP18" s="125"/>
      <c r="AU18" s="491" t="s">
        <v>253</v>
      </c>
      <c r="AV18" s="491" t="s">
        <v>253</v>
      </c>
      <c r="AW18" s="1943" t="s">
        <v>269</v>
      </c>
      <c r="AX18" s="1944" t="s">
        <v>270</v>
      </c>
      <c r="BO18" s="2102">
        <v>0.112</v>
      </c>
      <c r="BP18" s="584">
        <v>0.10199999999999999</v>
      </c>
      <c r="BQ18" s="584"/>
      <c r="BR18" s="584"/>
      <c r="BS18" s="256"/>
      <c r="BT18" s="256"/>
      <c r="BY18" s="256"/>
      <c r="BZ18" s="256"/>
      <c r="CA18" s="256"/>
      <c r="CB18" s="256"/>
      <c r="CC18" s="256"/>
      <c r="CD18" s="256"/>
      <c r="CE18" s="256"/>
      <c r="CF18" s="256"/>
      <c r="CG18" s="256"/>
      <c r="CH18" s="256"/>
      <c r="CI18" s="256"/>
      <c r="CJ18" s="256"/>
      <c r="CK18" s="256"/>
      <c r="CL18" s="256"/>
      <c r="CM18" s="256"/>
      <c r="CN18" s="256"/>
      <c r="CO18" s="256"/>
      <c r="CP18" s="256"/>
      <c r="CQ18" s="256"/>
      <c r="CR18" s="256"/>
      <c r="CS18" s="256"/>
      <c r="CT18" s="256"/>
      <c r="CU18" s="256"/>
      <c r="CV18" s="256"/>
      <c r="CW18" s="256"/>
      <c r="CX18" s="256"/>
      <c r="CY18" s="256"/>
      <c r="CZ18" s="256"/>
      <c r="DA18" s="256"/>
      <c r="DB18" s="256"/>
      <c r="DC18" s="256"/>
      <c r="DD18" s="256"/>
      <c r="DE18" s="256"/>
      <c r="DF18" s="256"/>
      <c r="DG18" s="256"/>
      <c r="DH18" s="256"/>
      <c r="DI18" s="256"/>
      <c r="EE18" s="256"/>
      <c r="EF18" s="256"/>
      <c r="EG18" s="256"/>
      <c r="EH18" s="256"/>
      <c r="EI18" s="256"/>
      <c r="EJ18" s="256"/>
      <c r="EK18" s="256"/>
      <c r="EL18" s="256"/>
      <c r="EM18" s="256"/>
      <c r="EN18" s="256"/>
      <c r="EO18" s="256"/>
      <c r="EP18" s="256"/>
      <c r="EQ18" s="256"/>
      <c r="ER18" s="256"/>
      <c r="ES18" s="256"/>
      <c r="ET18" s="256"/>
      <c r="EU18" s="256"/>
      <c r="EV18" s="256"/>
      <c r="EW18" s="256"/>
      <c r="EX18" s="256"/>
      <c r="EY18" s="256"/>
      <c r="EZ18" s="256"/>
      <c r="FA18" s="256"/>
      <c r="FB18" s="256"/>
      <c r="FC18" s="256"/>
      <c r="FD18" s="256"/>
      <c r="FE18" s="256"/>
      <c r="FR18" s="372"/>
      <c r="FS18" s="372"/>
      <c r="FT18" s="372"/>
      <c r="FU18" s="372"/>
      <c r="FV18" s="372"/>
      <c r="FW18" s="372"/>
      <c r="FX18" s="372"/>
      <c r="FY18" s="372"/>
      <c r="FZ18" s="372"/>
      <c r="GB18" s="505"/>
      <c r="GC18" s="486"/>
      <c r="GD18" s="488"/>
      <c r="GH18" s="2066"/>
      <c r="GJ18" s="2114"/>
      <c r="HA18" s="246"/>
      <c r="HB18" s="537"/>
      <c r="HE18" s="528"/>
      <c r="HF18" s="528"/>
      <c r="HG18" s="528"/>
      <c r="HH18" s="528"/>
      <c r="HI18" s="528"/>
      <c r="HJ18" s="528"/>
      <c r="HK18" s="2098"/>
      <c r="HL18" s="1"/>
      <c r="HM18" s="1"/>
      <c r="HN18" s="2098"/>
      <c r="HO18" s="2098"/>
      <c r="HP18" s="1"/>
      <c r="HQ18" s="1"/>
      <c r="HR18" s="1"/>
      <c r="HS18" s="1"/>
      <c r="HT18" s="1"/>
      <c r="HU18" s="1"/>
      <c r="HV18" s="1"/>
      <c r="HW18" s="1"/>
      <c r="HX18" s="1"/>
      <c r="HY18" s="1"/>
      <c r="HZ18" s="1"/>
      <c r="IA18" s="1"/>
      <c r="IB18" s="1"/>
      <c r="IC18" s="1"/>
      <c r="ID18" s="1"/>
      <c r="IE18" s="1"/>
      <c r="IF18" s="1"/>
      <c r="IG18" s="1"/>
      <c r="IL18" s="2050" t="s">
        <v>253</v>
      </c>
      <c r="IM18" s="2050" t="s">
        <v>253</v>
      </c>
      <c r="IN18" s="2047" t="s">
        <v>269</v>
      </c>
      <c r="IO18" s="2048" t="s">
        <v>270</v>
      </c>
      <c r="IQ18" s="529" t="s">
        <v>233</v>
      </c>
      <c r="IR18" s="895" t="s">
        <v>233</v>
      </c>
      <c r="IS18" s="556">
        <v>1</v>
      </c>
      <c r="IT18" s="2076" t="str">
        <f t="shared" ref="IT18" si="1">IR18</f>
        <v>Ninguno</v>
      </c>
      <c r="IU18" s="510">
        <f>IF(IT18=0,MAX($IS$18:$IS$20)+1,IS18)</f>
        <v>1</v>
      </c>
      <c r="IV18" s="2115" t="str">
        <f>IFERROR(VLOOKUP(SMALL($IU$18:$IU$20,IS18),$IS$18:$IT$20,2,FALSE),"X")</f>
        <v>Ninguno</v>
      </c>
      <c r="IX18" s="496"/>
      <c r="IY18" s="2066"/>
      <c r="IZ18" s="2066"/>
      <c r="JD18" s="256"/>
      <c r="JE18" s="256"/>
      <c r="JF18" s="256"/>
      <c r="JG18" s="256"/>
      <c r="JH18" s="256"/>
      <c r="JI18" s="256"/>
      <c r="JJ18" s="256"/>
      <c r="JK18" s="256"/>
      <c r="JL18" s="256"/>
      <c r="JM18" s="256"/>
      <c r="JN18" s="256"/>
      <c r="JO18" s="256"/>
      <c r="JP18" s="256"/>
      <c r="JQ18" s="256"/>
      <c r="JR18" s="256"/>
      <c r="JS18" s="256"/>
      <c r="JT18" s="256"/>
      <c r="JU18" s="256"/>
      <c r="JV18" s="256"/>
      <c r="JW18" s="256"/>
      <c r="JX18" s="256"/>
      <c r="JY18" s="256"/>
      <c r="JZ18" s="256"/>
      <c r="KA18" s="256"/>
      <c r="KB18" s="256"/>
      <c r="KC18" s="256"/>
      <c r="KD18" s="256"/>
      <c r="KE18" s="256"/>
      <c r="KF18" s="256"/>
      <c r="KG18" s="256"/>
      <c r="KH18" s="256"/>
      <c r="KI18" s="256"/>
      <c r="KJ18" s="256"/>
      <c r="KO18" s="256"/>
      <c r="KP18" s="256"/>
      <c r="KQ18" s="256"/>
      <c r="KR18" s="256"/>
      <c r="KS18" s="256"/>
      <c r="KT18" s="256"/>
      <c r="KU18" s="256"/>
      <c r="KV18" s="256"/>
      <c r="KW18" s="256"/>
      <c r="KX18" s="256"/>
      <c r="KY18" s="256"/>
      <c r="KZ18" s="256"/>
      <c r="LA18" s="256"/>
      <c r="LB18" s="256"/>
      <c r="LC18" s="256"/>
      <c r="LD18" s="256"/>
      <c r="LE18" s="256"/>
      <c r="LF18" s="256"/>
    </row>
    <row r="19" spans="1:327" ht="15.6">
      <c r="C19" s="168" t="s">
        <v>199</v>
      </c>
      <c r="E19" s="2081"/>
      <c r="F19" s="2081"/>
      <c r="G19" s="2066"/>
      <c r="L19" s="681">
        <v>6500001</v>
      </c>
      <c r="M19" s="568">
        <v>8000000</v>
      </c>
      <c r="N19" s="2090">
        <v>20000</v>
      </c>
      <c r="W19" s="2066"/>
      <c r="AG19" s="582">
        <v>0.1095</v>
      </c>
      <c r="AH19" s="583">
        <v>9.89</v>
      </c>
      <c r="AI19" s="1954">
        <v>2.8000000000000001E-2</v>
      </c>
      <c r="AJ19" s="582">
        <v>0.1095</v>
      </c>
      <c r="AK19" s="583">
        <v>9.5</v>
      </c>
      <c r="AL19" s="1954">
        <v>1.4500000000000001E-2</v>
      </c>
      <c r="AM19" s="574"/>
      <c r="AN19" s="574"/>
      <c r="AO19" s="574"/>
      <c r="AP19" s="125"/>
      <c r="AU19" s="491" t="s">
        <v>253</v>
      </c>
      <c r="AV19" s="491" t="s">
        <v>253</v>
      </c>
      <c r="AW19" s="1946" t="s">
        <v>271</v>
      </c>
      <c r="AX19" s="1944" t="s">
        <v>272</v>
      </c>
      <c r="BA19" s="231" t="s">
        <v>241</v>
      </c>
      <c r="BD19" s="2066"/>
      <c r="BN19" s="534"/>
      <c r="BO19" s="2093">
        <v>0.1149</v>
      </c>
      <c r="BP19" s="559">
        <v>0.1125</v>
      </c>
      <c r="BQ19" s="559"/>
      <c r="BR19" s="559"/>
      <c r="BS19" s="256"/>
      <c r="BT19" s="256"/>
      <c r="BY19" s="256"/>
      <c r="BZ19" s="256"/>
      <c r="CA19" s="256"/>
      <c r="CB19" s="256"/>
      <c r="CC19" s="256"/>
      <c r="CD19" s="256"/>
      <c r="CE19" s="256"/>
      <c r="CF19" s="256"/>
      <c r="CG19" s="256"/>
      <c r="CH19" s="256"/>
      <c r="CI19" s="256"/>
      <c r="CJ19" s="256"/>
      <c r="CK19" s="256"/>
      <c r="CL19" s="256"/>
      <c r="CM19" s="256"/>
      <c r="CN19" s="256"/>
      <c r="CO19" s="256"/>
      <c r="CP19" s="256"/>
      <c r="CQ19" s="256"/>
      <c r="CR19" s="256"/>
      <c r="CS19" s="256"/>
      <c r="CT19" s="256"/>
      <c r="CU19" s="256"/>
      <c r="CV19" s="256"/>
      <c r="CW19" s="256"/>
      <c r="CX19" s="256"/>
      <c r="CY19" s="256"/>
      <c r="CZ19" s="256"/>
      <c r="DA19" s="256"/>
      <c r="DB19" s="256"/>
      <c r="DC19" s="256"/>
      <c r="DD19" s="256"/>
      <c r="DE19" s="256"/>
      <c r="DF19" s="256"/>
      <c r="DG19" s="256"/>
      <c r="DH19" s="256"/>
      <c r="DI19" s="256"/>
      <c r="EE19" s="256"/>
      <c r="EF19" s="256"/>
      <c r="EG19" s="256"/>
      <c r="EH19" s="256"/>
      <c r="EI19" s="256"/>
      <c r="EJ19" s="256"/>
      <c r="EK19" s="256"/>
      <c r="EL19" s="256"/>
      <c r="EM19" s="256"/>
      <c r="EN19" s="256"/>
      <c r="EO19" s="256"/>
      <c r="EP19" s="256"/>
      <c r="EQ19" s="256"/>
      <c r="ER19" s="256"/>
      <c r="ES19" s="256"/>
      <c r="ET19" s="256"/>
      <c r="EU19" s="256"/>
      <c r="EV19" s="256"/>
      <c r="EW19" s="256"/>
      <c r="EX19" s="256"/>
      <c r="EY19" s="256"/>
      <c r="EZ19" s="256"/>
      <c r="FA19" s="256"/>
      <c r="FB19" s="256"/>
      <c r="FC19" s="256"/>
      <c r="FD19" s="256"/>
      <c r="FE19" s="256"/>
      <c r="GB19" s="505"/>
      <c r="GC19" s="486"/>
      <c r="GD19" s="488"/>
      <c r="GH19" s="2066"/>
      <c r="GJ19" s="2066"/>
      <c r="GK19" s="136"/>
      <c r="GL19" s="136"/>
      <c r="GM19" s="136"/>
      <c r="HK19" s="2098"/>
      <c r="HL19" s="1"/>
      <c r="HM19" s="1"/>
      <c r="HN19" s="2098"/>
      <c r="HO19" s="2098"/>
      <c r="HP19" s="1"/>
      <c r="HQ19" s="1"/>
      <c r="HR19" s="1"/>
      <c r="HS19" s="1"/>
      <c r="HT19" s="1"/>
      <c r="HU19" s="1"/>
      <c r="HV19" s="1"/>
      <c r="HW19" s="1"/>
      <c r="HX19" s="1"/>
      <c r="HY19" s="1"/>
      <c r="HZ19" s="1"/>
      <c r="IA19" s="1"/>
      <c r="IB19" s="1"/>
      <c r="IC19" s="1"/>
      <c r="ID19" s="1"/>
      <c r="IE19" s="1"/>
      <c r="IF19" s="1"/>
      <c r="IG19" s="1"/>
      <c r="IL19" s="2050" t="s">
        <v>253</v>
      </c>
      <c r="IM19" s="2050" t="s">
        <v>253</v>
      </c>
      <c r="IN19" s="2051" t="s">
        <v>271</v>
      </c>
      <c r="IO19" s="2048" t="s">
        <v>272</v>
      </c>
      <c r="IQ19" s="557" t="s">
        <v>86</v>
      </c>
      <c r="IR19" s="512">
        <f>IF(OR(Adm!$GG$4=Adm!$GF$112,Adm!$GG$4=Adm!$GF$113,Adm!$GG$4=Adm!$GF$114,Adm!$GG$4=Adm!$GF$116),"Embajadores",0)</f>
        <v>0</v>
      </c>
      <c r="IS19" s="527">
        <v>2</v>
      </c>
      <c r="IT19" s="2116">
        <f>IR19</f>
        <v>0</v>
      </c>
      <c r="IU19" s="520">
        <f t="shared" ref="IU19:IU20" si="2">IF(IT19=0,MAX($IS$18:$IS$20)+1,IS19)</f>
        <v>4</v>
      </c>
      <c r="IV19" s="2117" t="str">
        <f t="shared" ref="IV19:IV20" si="3">IFERROR(VLOOKUP(SMALL($IU$18:$IU$20,IS19),$IS$18:$IT$20,2,FALSE),"X")</f>
        <v>X</v>
      </c>
      <c r="IX19" s="496"/>
      <c r="IY19" s="2066"/>
      <c r="IZ19" s="2066"/>
      <c r="JD19" s="256"/>
      <c r="JE19" s="256"/>
      <c r="JF19" s="256"/>
      <c r="JG19" s="256"/>
      <c r="JH19" s="256"/>
      <c r="JI19" s="256"/>
      <c r="JJ19" s="256"/>
      <c r="JK19" s="256"/>
      <c r="JL19" s="256"/>
      <c r="JM19" s="256"/>
      <c r="JN19" s="256"/>
      <c r="JO19" s="256"/>
      <c r="JP19" s="256"/>
      <c r="JQ19" s="256"/>
      <c r="JR19" s="256"/>
      <c r="JS19" s="256"/>
      <c r="JT19" s="256"/>
      <c r="JU19" s="256"/>
      <c r="JV19" s="256"/>
      <c r="JW19" s="256"/>
      <c r="JX19" s="256"/>
      <c r="JY19" s="256"/>
      <c r="JZ19" s="256"/>
      <c r="KA19" s="256"/>
      <c r="KB19" s="256"/>
      <c r="KC19" s="256"/>
      <c r="KD19" s="256"/>
      <c r="KE19" s="256"/>
      <c r="KF19" s="256"/>
      <c r="KG19" s="256"/>
      <c r="KH19" s="256"/>
      <c r="KI19" s="256"/>
      <c r="KJ19" s="256"/>
      <c r="KO19" s="256"/>
      <c r="KP19" s="256"/>
      <c r="KQ19" s="256"/>
      <c r="KR19" s="256"/>
      <c r="KS19" s="256"/>
      <c r="KT19" s="256"/>
      <c r="KU19" s="256"/>
      <c r="KV19" s="256"/>
      <c r="KW19" s="256"/>
      <c r="KX19" s="256"/>
      <c r="KY19" s="256"/>
      <c r="KZ19" s="256"/>
      <c r="LA19" s="256"/>
      <c r="LB19" s="256"/>
      <c r="LC19" s="256"/>
      <c r="LD19" s="256"/>
      <c r="LE19" s="256"/>
      <c r="LF19" s="256"/>
    </row>
    <row r="20" spans="1:327">
      <c r="C20" s="79" t="str">
        <f>IF(B4=A117,"si","no")</f>
        <v>no</v>
      </c>
      <c r="E20" s="2081"/>
      <c r="F20" s="2081"/>
      <c r="G20" s="129"/>
      <c r="L20" s="681">
        <v>8000001</v>
      </c>
      <c r="M20" s="568">
        <v>10000000</v>
      </c>
      <c r="N20" s="2090">
        <v>22000</v>
      </c>
      <c r="W20" s="2066"/>
      <c r="AG20" s="575">
        <v>0.1096</v>
      </c>
      <c r="AH20" s="576">
        <v>9.9</v>
      </c>
      <c r="AI20" s="1952">
        <v>2.8000000000000001E-2</v>
      </c>
      <c r="AJ20" s="575">
        <v>0.1096</v>
      </c>
      <c r="AK20" s="576">
        <v>9.5</v>
      </c>
      <c r="AL20" s="1952">
        <v>1.4500000000000001E-2</v>
      </c>
      <c r="AM20" s="562"/>
      <c r="AN20" s="562"/>
      <c r="AO20" s="562"/>
      <c r="AP20" s="125"/>
      <c r="AU20" s="491" t="s">
        <v>253</v>
      </c>
      <c r="AV20" s="491" t="s">
        <v>253</v>
      </c>
      <c r="AW20" s="491" t="s">
        <v>253</v>
      </c>
      <c r="AX20" s="1947" t="s">
        <v>273</v>
      </c>
      <c r="BA20" s="2212" t="s">
        <v>249</v>
      </c>
      <c r="BB20" s="2212"/>
      <c r="BC20" s="2212"/>
      <c r="BD20" s="2212"/>
      <c r="BE20" s="2212"/>
      <c r="BF20" s="2212"/>
      <c r="BO20" s="2073">
        <v>0.115</v>
      </c>
      <c r="BP20" s="597">
        <v>0.10349999999999999</v>
      </c>
      <c r="BQ20" s="597"/>
      <c r="BR20" s="2081"/>
      <c r="BS20" s="256"/>
      <c r="BT20" s="256"/>
      <c r="BY20" s="256"/>
      <c r="BZ20" s="256"/>
      <c r="CA20" s="256"/>
      <c r="CB20" s="256"/>
      <c r="CC20" s="256"/>
      <c r="CD20" s="256"/>
      <c r="CE20" s="256"/>
      <c r="CF20" s="256"/>
      <c r="CG20" s="256"/>
      <c r="CH20" s="256"/>
      <c r="CI20" s="256"/>
      <c r="CJ20" s="256"/>
      <c r="CK20" s="256"/>
      <c r="CL20" s="256"/>
      <c r="CM20" s="256"/>
      <c r="CN20" s="256"/>
      <c r="CO20" s="256"/>
      <c r="CP20" s="256"/>
      <c r="CQ20" s="256"/>
      <c r="CR20" s="256"/>
      <c r="CS20" s="256"/>
      <c r="CT20" s="256"/>
      <c r="CU20" s="256"/>
      <c r="CV20" s="256"/>
      <c r="CW20" s="256"/>
      <c r="CX20" s="256"/>
      <c r="CY20" s="256"/>
      <c r="CZ20" s="256"/>
      <c r="DA20" s="256"/>
      <c r="DB20" s="256"/>
      <c r="DC20" s="256"/>
      <c r="DD20" s="256"/>
      <c r="DE20" s="256"/>
      <c r="DF20" s="256"/>
      <c r="DG20" s="256"/>
      <c r="DH20" s="256"/>
      <c r="DI20" s="256"/>
      <c r="EE20" s="256"/>
      <c r="EF20" s="256"/>
      <c r="EG20" s="256"/>
      <c r="EH20" s="256"/>
      <c r="EI20" s="256"/>
      <c r="EJ20" s="256"/>
      <c r="EK20" s="256"/>
      <c r="EL20" s="256"/>
      <c r="EM20" s="256"/>
      <c r="EN20" s="256"/>
      <c r="EO20" s="256"/>
      <c r="EP20" s="256"/>
      <c r="EQ20" s="256"/>
      <c r="ER20" s="256"/>
      <c r="ES20" s="256"/>
      <c r="ET20" s="256"/>
      <c r="EU20" s="256"/>
      <c r="EV20" s="256"/>
      <c r="EW20" s="256"/>
      <c r="EX20" s="256"/>
      <c r="EY20" s="256"/>
      <c r="EZ20" s="256"/>
      <c r="FA20" s="256"/>
      <c r="FB20" s="256"/>
      <c r="FC20" s="256"/>
      <c r="FD20" s="256"/>
      <c r="FE20" s="256"/>
      <c r="GB20" s="505"/>
      <c r="GC20" s="486"/>
      <c r="GD20" s="488"/>
      <c r="GH20" s="2066"/>
      <c r="GJ20" s="129"/>
      <c r="GL20" s="136"/>
      <c r="GM20" s="136"/>
      <c r="HK20" s="2098"/>
      <c r="HL20" s="1"/>
      <c r="HM20" s="1"/>
      <c r="HN20" s="2098"/>
      <c r="HO20" s="2098"/>
      <c r="HP20" s="1"/>
      <c r="HQ20" s="1"/>
      <c r="HR20" s="1"/>
      <c r="HS20" s="1"/>
      <c r="HT20" s="1"/>
      <c r="HU20" s="1"/>
      <c r="HV20" s="1"/>
      <c r="HW20" s="1"/>
      <c r="HX20" s="1"/>
      <c r="HY20" s="1"/>
      <c r="HZ20" s="1"/>
      <c r="IA20" s="1"/>
      <c r="IB20" s="1"/>
      <c r="IC20" s="1"/>
      <c r="ID20" s="1"/>
      <c r="IE20" s="1"/>
      <c r="IF20" s="1"/>
      <c r="IG20" s="1"/>
      <c r="IL20" s="2050" t="s">
        <v>253</v>
      </c>
      <c r="IM20" s="2050" t="s">
        <v>253</v>
      </c>
      <c r="IN20" s="2050" t="s">
        <v>253</v>
      </c>
      <c r="IO20" s="2052" t="s">
        <v>273</v>
      </c>
      <c r="IQ20" s="531" t="s">
        <v>164</v>
      </c>
      <c r="IR20" s="896">
        <f>IF(Adm!$GG$4=Adm!$GF$112,"Extranjeros",0)</f>
        <v>0</v>
      </c>
      <c r="IS20" s="898">
        <v>3</v>
      </c>
      <c r="IT20" s="2118">
        <f>IR20</f>
        <v>0</v>
      </c>
      <c r="IU20" s="523">
        <f t="shared" si="2"/>
        <v>4</v>
      </c>
      <c r="IV20" s="2119" t="str">
        <f t="shared" si="3"/>
        <v>X</v>
      </c>
      <c r="IX20" s="496"/>
      <c r="IY20" s="2066"/>
      <c r="IZ20" s="2066"/>
      <c r="JD20" s="256"/>
      <c r="JE20" s="256"/>
      <c r="JF20" s="256"/>
      <c r="JG20" s="256"/>
      <c r="JH20" s="256"/>
      <c r="JI20" s="256"/>
      <c r="JJ20" s="256"/>
      <c r="JK20" s="256"/>
      <c r="JL20" s="256"/>
      <c r="JM20" s="256"/>
      <c r="JN20" s="256"/>
      <c r="JO20" s="256"/>
      <c r="JP20" s="256"/>
      <c r="JQ20" s="256"/>
      <c r="JR20" s="256"/>
      <c r="JS20" s="256"/>
      <c r="JT20" s="256"/>
      <c r="JU20" s="256"/>
      <c r="JV20" s="256"/>
      <c r="JW20" s="256"/>
      <c r="JX20" s="256"/>
      <c r="JY20" s="256"/>
      <c r="JZ20" s="256"/>
      <c r="KA20" s="256"/>
      <c r="KB20" s="256"/>
      <c r="KC20" s="256"/>
      <c r="KD20" s="256"/>
      <c r="KE20" s="256"/>
      <c r="KF20" s="256"/>
      <c r="KG20" s="256"/>
      <c r="KH20" s="256"/>
      <c r="KI20" s="256"/>
      <c r="KJ20" s="256"/>
      <c r="KK20" s="256"/>
      <c r="KL20" s="256"/>
      <c r="KM20" s="256"/>
      <c r="KN20" s="256"/>
      <c r="KO20" s="256"/>
      <c r="KP20" s="256"/>
      <c r="KQ20" s="256"/>
      <c r="KR20" s="256"/>
      <c r="KS20" s="256"/>
      <c r="KT20" s="256"/>
      <c r="KU20" s="256"/>
      <c r="KV20" s="256"/>
      <c r="KW20" s="256"/>
      <c r="KX20" s="256"/>
      <c r="KY20" s="256"/>
      <c r="KZ20" s="256"/>
      <c r="LA20" s="256"/>
      <c r="LB20" s="256"/>
      <c r="LC20" s="256"/>
      <c r="LD20" s="256"/>
      <c r="LE20" s="256"/>
      <c r="LF20" s="256"/>
      <c r="LG20" s="256"/>
      <c r="LH20" s="256"/>
      <c r="LI20" s="256"/>
      <c r="LJ20" s="256"/>
      <c r="LK20" s="256"/>
      <c r="LL20" s="256"/>
      <c r="LM20" s="256"/>
      <c r="LN20" s="256"/>
      <c r="LO20" s="256"/>
    </row>
    <row r="21" spans="1:327">
      <c r="C21" s="168" t="s">
        <v>274</v>
      </c>
      <c r="E21" s="2120"/>
      <c r="F21" s="2120"/>
      <c r="G21" s="2081"/>
      <c r="L21" s="682">
        <v>10000001</v>
      </c>
      <c r="M21" s="598">
        <v>999999999999</v>
      </c>
      <c r="N21" s="2121">
        <v>24000</v>
      </c>
      <c r="W21" s="2066"/>
      <c r="AB21" s="1030"/>
      <c r="AF21" s="179"/>
      <c r="AG21" s="599">
        <v>0.111</v>
      </c>
      <c r="AH21" s="600">
        <v>9.98</v>
      </c>
      <c r="AI21" s="1959">
        <v>2.8000000000000001E-2</v>
      </c>
      <c r="AJ21" s="599">
        <v>0.111</v>
      </c>
      <c r="AK21" s="600">
        <v>9.73</v>
      </c>
      <c r="AL21" s="1959">
        <v>1.23E-2</v>
      </c>
      <c r="AM21" s="594"/>
      <c r="AN21" s="594"/>
      <c r="AO21" s="594"/>
      <c r="AP21" s="125"/>
      <c r="BA21" s="526"/>
      <c r="BB21" s="462" t="s">
        <v>275</v>
      </c>
      <c r="BC21" s="467" t="s">
        <v>257</v>
      </c>
      <c r="BD21" s="467" t="s">
        <v>258</v>
      </c>
      <c r="BE21" s="467" t="s">
        <v>259</v>
      </c>
      <c r="BF21" s="467" t="s">
        <v>260</v>
      </c>
      <c r="BN21" s="534"/>
      <c r="BO21" s="2100">
        <v>0.1159</v>
      </c>
      <c r="BP21" s="580">
        <v>0.1095</v>
      </c>
      <c r="BQ21" s="580"/>
      <c r="BR21" s="580"/>
      <c r="BS21" s="256"/>
      <c r="BT21" s="256"/>
      <c r="BY21" s="256"/>
      <c r="BZ21" s="256"/>
      <c r="CA21" s="256"/>
      <c r="CB21" s="256"/>
      <c r="CC21" s="256"/>
      <c r="CD21" s="256"/>
      <c r="CE21" s="256"/>
      <c r="CF21" s="256"/>
      <c r="CG21" s="256"/>
      <c r="CH21" s="256"/>
      <c r="CI21" s="256"/>
      <c r="CJ21" s="256"/>
      <c r="CK21" s="256"/>
      <c r="CL21" s="256"/>
      <c r="CM21" s="256"/>
      <c r="CN21" s="256"/>
      <c r="CO21" s="256"/>
      <c r="CP21" s="256"/>
      <c r="CQ21" s="256"/>
      <c r="CR21" s="256"/>
      <c r="CS21" s="256"/>
      <c r="CT21" s="256"/>
      <c r="CU21" s="256"/>
      <c r="CV21" s="256"/>
      <c r="CW21" s="256"/>
      <c r="CX21" s="256"/>
      <c r="CY21" s="256"/>
      <c r="CZ21" s="256"/>
      <c r="DA21" s="256"/>
      <c r="DB21" s="256"/>
      <c r="DC21" s="256"/>
      <c r="DD21" s="256"/>
      <c r="DE21" s="256"/>
      <c r="DF21" s="256"/>
      <c r="DG21" s="256"/>
      <c r="DH21" s="256"/>
      <c r="DI21" s="256"/>
      <c r="EE21" s="256"/>
      <c r="EF21" s="256"/>
      <c r="EG21" s="256"/>
      <c r="EH21" s="256"/>
      <c r="EI21" s="256"/>
      <c r="EJ21" s="256"/>
      <c r="EK21" s="256"/>
      <c r="EL21" s="256"/>
      <c r="EM21" s="256"/>
      <c r="EN21" s="256"/>
      <c r="EO21" s="256"/>
      <c r="EP21" s="256"/>
      <c r="EQ21" s="256"/>
      <c r="ER21" s="256"/>
      <c r="ES21" s="256"/>
      <c r="ET21" s="256"/>
      <c r="EU21" s="256"/>
      <c r="EV21" s="256"/>
      <c r="EW21" s="256"/>
      <c r="EX21" s="256"/>
      <c r="EY21" s="256"/>
      <c r="EZ21" s="256"/>
      <c r="FA21" s="256"/>
      <c r="FB21" s="256"/>
      <c r="FC21" s="256"/>
      <c r="FD21" s="256"/>
      <c r="FE21" s="256"/>
      <c r="FR21" s="504"/>
      <c r="FS21" s="504"/>
      <c r="FT21" s="504"/>
      <c r="FU21" s="504"/>
      <c r="FV21" s="504"/>
      <c r="FW21" s="504"/>
      <c r="FX21" s="504"/>
      <c r="FY21" s="504"/>
      <c r="FZ21" s="504"/>
      <c r="GB21" s="505"/>
      <c r="GC21" s="486"/>
      <c r="GD21" s="488"/>
      <c r="GH21" s="2066"/>
      <c r="GJ21" s="2081"/>
      <c r="GL21" s="136"/>
      <c r="GM21" s="136"/>
      <c r="HA21" s="1030"/>
      <c r="HE21" s="179"/>
      <c r="HF21" s="179"/>
      <c r="HG21" s="179"/>
      <c r="HH21" s="179"/>
      <c r="HI21" s="179"/>
      <c r="HJ21" s="179"/>
      <c r="HK21" s="2098"/>
      <c r="HL21" s="1"/>
      <c r="HM21" s="1"/>
      <c r="HN21" s="2098"/>
      <c r="HO21" s="2098"/>
      <c r="HP21" s="1"/>
      <c r="HQ21" s="1"/>
      <c r="HR21" s="1"/>
      <c r="HS21" s="1"/>
      <c r="HT21" s="1"/>
      <c r="HU21" s="1"/>
      <c r="HV21" s="1"/>
      <c r="HW21" s="1"/>
      <c r="HX21" s="1"/>
      <c r="HY21" s="1"/>
      <c r="HZ21" s="1"/>
      <c r="IA21" s="1"/>
      <c r="IB21" s="1"/>
      <c r="IC21" s="1"/>
      <c r="ID21" s="1"/>
      <c r="IE21" s="1"/>
      <c r="IF21" s="1"/>
      <c r="IG21" s="1"/>
      <c r="IQ21" s="2122"/>
      <c r="IR21" s="2066"/>
      <c r="IS21" s="2066"/>
      <c r="IT21" s="2066"/>
      <c r="IU21" s="2066"/>
      <c r="IV21" s="2066"/>
      <c r="IX21" s="496"/>
      <c r="IY21" s="2066"/>
      <c r="IZ21" s="2066"/>
      <c r="JD21" s="256"/>
      <c r="JE21" s="256"/>
      <c r="JF21" s="256"/>
      <c r="JG21" s="256"/>
      <c r="JH21" s="256"/>
      <c r="JI21" s="256"/>
      <c r="JJ21" s="256"/>
      <c r="JK21" s="256"/>
      <c r="JL21" s="256"/>
      <c r="JM21" s="256"/>
      <c r="JN21" s="256"/>
      <c r="JO21" s="256"/>
      <c r="JP21" s="256"/>
      <c r="JQ21" s="256"/>
      <c r="JR21" s="256"/>
      <c r="JS21" s="256"/>
      <c r="JT21" s="256"/>
      <c r="JU21" s="256"/>
      <c r="JV21" s="256"/>
      <c r="JW21" s="256"/>
      <c r="JX21" s="256"/>
      <c r="JY21" s="256"/>
      <c r="JZ21" s="256"/>
      <c r="KA21" s="256"/>
      <c r="KB21" s="256"/>
      <c r="KC21" s="256"/>
      <c r="KD21" s="256"/>
      <c r="KE21" s="256"/>
      <c r="KF21" s="256"/>
      <c r="KG21" s="256"/>
      <c r="KH21" s="256"/>
      <c r="KI21" s="256"/>
      <c r="KJ21" s="256"/>
      <c r="KK21" s="256"/>
      <c r="KL21" s="256"/>
      <c r="KM21" s="256"/>
      <c r="KN21" s="256"/>
      <c r="KO21" s="256"/>
      <c r="KP21" s="256"/>
      <c r="KQ21" s="256"/>
      <c r="KR21" s="256"/>
      <c r="KS21" s="256"/>
      <c r="KT21" s="256"/>
      <c r="KU21" s="256"/>
      <c r="KV21" s="256"/>
      <c r="KW21" s="256"/>
      <c r="KX21" s="256"/>
      <c r="KY21" s="256"/>
      <c r="KZ21" s="256"/>
      <c r="LA21" s="256"/>
      <c r="LB21" s="256"/>
      <c r="LC21" s="256"/>
      <c r="LD21" s="256"/>
      <c r="LE21" s="256"/>
      <c r="LF21" s="256"/>
      <c r="LG21" s="256"/>
      <c r="LH21" s="256"/>
      <c r="LI21" s="256"/>
      <c r="LJ21" s="256"/>
      <c r="LK21" s="256"/>
      <c r="LL21" s="256"/>
      <c r="LM21" s="256"/>
      <c r="LN21" s="256"/>
      <c r="LO21" s="256"/>
    </row>
    <row r="22" spans="1:327" ht="30" customHeight="1">
      <c r="C22" s="79" t="str">
        <f>IF(AND(B4=A117,AC4=AC16),"si","no")</f>
        <v>no</v>
      </c>
      <c r="E22" s="2081"/>
      <c r="F22" s="2081"/>
      <c r="G22" s="601"/>
      <c r="W22" s="2066"/>
      <c r="AF22" s="152"/>
      <c r="AG22" s="592">
        <v>0.112</v>
      </c>
      <c r="AH22" s="593">
        <v>10.039999999999999</v>
      </c>
      <c r="AI22" s="1957">
        <v>2.8000000000000001E-2</v>
      </c>
      <c r="AJ22" s="592">
        <v>0.112</v>
      </c>
      <c r="AK22" s="593">
        <v>9.8000000000000007</v>
      </c>
      <c r="AL22" s="1957">
        <v>1.23E-2</v>
      </c>
      <c r="AM22" s="584"/>
      <c r="AN22" s="584"/>
      <c r="AO22" s="584"/>
      <c r="AP22" s="125"/>
      <c r="BA22" s="526"/>
      <c r="BB22" s="526"/>
      <c r="BC22" s="230" t="s">
        <v>264</v>
      </c>
      <c r="BD22" s="230" t="s">
        <v>265</v>
      </c>
      <c r="BE22" s="230" t="s">
        <v>266</v>
      </c>
      <c r="BF22" s="897" t="s">
        <v>276</v>
      </c>
      <c r="BO22" s="2108">
        <v>0.11650000000000001</v>
      </c>
      <c r="BP22" s="589">
        <v>0.1065</v>
      </c>
      <c r="BQ22" s="589"/>
      <c r="BR22" s="589"/>
      <c r="BS22" s="256"/>
      <c r="BT22" s="256"/>
      <c r="BY22" s="256"/>
      <c r="BZ22" s="256"/>
      <c r="CA22" s="256"/>
      <c r="CB22" s="256"/>
      <c r="CC22" s="256"/>
      <c r="CD22" s="256"/>
      <c r="CE22" s="256"/>
      <c r="CF22" s="256"/>
      <c r="CG22" s="256"/>
      <c r="CH22" s="256"/>
      <c r="CI22" s="256"/>
      <c r="CJ22" s="256"/>
      <c r="CK22" s="256"/>
      <c r="CL22" s="256"/>
      <c r="CM22" s="256"/>
      <c r="CN22" s="256"/>
      <c r="CO22" s="256"/>
      <c r="CP22" s="256"/>
      <c r="CQ22" s="256"/>
      <c r="CR22" s="256"/>
      <c r="CS22" s="256"/>
      <c r="CT22" s="256"/>
      <c r="CU22" s="256"/>
      <c r="CV22" s="256"/>
      <c r="CW22" s="256"/>
      <c r="CX22" s="256"/>
      <c r="CY22" s="256"/>
      <c r="CZ22" s="256"/>
      <c r="DA22" s="256"/>
      <c r="DB22" s="256"/>
      <c r="DC22" s="256"/>
      <c r="DD22" s="256"/>
      <c r="DE22" s="256"/>
      <c r="DF22" s="256"/>
      <c r="DG22" s="256"/>
      <c r="DH22" s="256"/>
      <c r="DI22" s="256"/>
      <c r="EE22" s="256"/>
      <c r="EF22" s="256"/>
      <c r="EG22" s="256"/>
      <c r="EH22" s="256"/>
      <c r="EI22" s="256"/>
      <c r="EJ22" s="256"/>
      <c r="EK22" s="256"/>
      <c r="EL22" s="256"/>
      <c r="EM22" s="256"/>
      <c r="EN22" s="256"/>
      <c r="EO22" s="256"/>
      <c r="EP22" s="256"/>
      <c r="EQ22" s="256"/>
      <c r="ER22" s="256"/>
      <c r="ES22" s="256"/>
      <c r="ET22" s="256"/>
      <c r="EU22" s="256"/>
      <c r="EV22" s="256"/>
      <c r="EW22" s="256"/>
      <c r="EX22" s="256"/>
      <c r="EY22" s="256"/>
      <c r="EZ22" s="256"/>
      <c r="FA22" s="256"/>
      <c r="FB22" s="256"/>
      <c r="FC22" s="256"/>
      <c r="FD22" s="256"/>
      <c r="FE22" s="256"/>
      <c r="FR22" s="504"/>
      <c r="FS22" s="504"/>
      <c r="FT22" s="504"/>
      <c r="FU22" s="504"/>
      <c r="FV22" s="504"/>
      <c r="FW22" s="504"/>
      <c r="FX22" s="504"/>
      <c r="FY22" s="504"/>
      <c r="FZ22" s="504"/>
      <c r="GB22" s="505"/>
      <c r="GC22" s="486"/>
      <c r="GD22" s="488"/>
      <c r="GH22" s="2066"/>
      <c r="GJ22" s="601"/>
      <c r="GL22" s="136"/>
      <c r="GM22" s="136"/>
      <c r="HE22" s="152"/>
      <c r="HF22" s="152"/>
      <c r="HG22" s="152"/>
      <c r="HH22" s="152"/>
      <c r="HI22" s="152"/>
      <c r="HJ22" s="152"/>
      <c r="HK22" s="2098"/>
      <c r="HL22" s="1"/>
      <c r="HM22" s="1"/>
      <c r="HN22" s="2098"/>
      <c r="HO22" s="2098"/>
      <c r="HP22" s="1"/>
      <c r="HQ22" s="1"/>
      <c r="HR22" s="1"/>
      <c r="HS22" s="1"/>
      <c r="HT22" s="1"/>
      <c r="HU22" s="1"/>
      <c r="HV22" s="1"/>
      <c r="HW22" s="1"/>
      <c r="HX22" s="1"/>
      <c r="HY22" s="1"/>
      <c r="HZ22" s="1"/>
      <c r="IA22" s="1"/>
      <c r="IB22" s="1"/>
      <c r="IC22" s="1"/>
      <c r="ID22" s="1"/>
      <c r="IE22" s="1"/>
      <c r="IF22" s="1"/>
      <c r="IG22" s="1"/>
      <c r="IQ22" s="2122"/>
      <c r="IR22" s="2066"/>
      <c r="IS22" s="2066"/>
      <c r="IT22" s="2066"/>
      <c r="IU22" s="2066"/>
      <c r="IV22" s="2066"/>
      <c r="IX22" s="496"/>
      <c r="IY22" s="2066"/>
      <c r="IZ22" s="2066"/>
      <c r="JD22" s="256"/>
      <c r="JE22" s="256"/>
      <c r="JF22" s="256"/>
      <c r="JG22" s="256"/>
      <c r="JH22" s="256"/>
      <c r="JI22" s="256"/>
      <c r="JJ22" s="256"/>
      <c r="JK22" s="256"/>
      <c r="JL22" s="256"/>
      <c r="JM22" s="256"/>
      <c r="JN22" s="256"/>
      <c r="JO22" s="256"/>
      <c r="JP22" s="256"/>
      <c r="JQ22" s="256"/>
      <c r="JR22" s="256"/>
      <c r="JS22" s="256"/>
      <c r="JT22" s="256"/>
      <c r="JU22" s="256"/>
      <c r="JV22" s="256"/>
      <c r="JW22" s="256"/>
      <c r="JX22" s="256"/>
      <c r="JY22" s="256"/>
      <c r="JZ22" s="256"/>
      <c r="KA22" s="256"/>
      <c r="KB22" s="256"/>
      <c r="KC22" s="256"/>
      <c r="KD22" s="256"/>
      <c r="KE22" s="256"/>
      <c r="KF22" s="256"/>
      <c r="KG22" s="256"/>
      <c r="KH22" s="256"/>
      <c r="KI22" s="256"/>
      <c r="KJ22" s="256"/>
      <c r="KK22" s="256"/>
      <c r="KL22" s="256"/>
      <c r="KM22" s="256"/>
      <c r="KN22" s="256"/>
      <c r="KO22" s="256"/>
      <c r="KP22" s="256"/>
      <c r="KQ22" s="256"/>
      <c r="KR22" s="256"/>
      <c r="KS22" s="256"/>
      <c r="KT22" s="256"/>
      <c r="KU22" s="256"/>
      <c r="KV22" s="256"/>
      <c r="KW22" s="256"/>
      <c r="KX22" s="256"/>
      <c r="KY22" s="256"/>
      <c r="KZ22" s="256"/>
      <c r="LA22" s="256"/>
      <c r="LB22" s="256"/>
      <c r="LC22" s="256"/>
      <c r="LD22" s="256"/>
      <c r="LE22" s="256"/>
      <c r="LF22" s="256"/>
      <c r="LG22" s="256"/>
      <c r="LH22" s="256"/>
      <c r="LI22" s="256"/>
      <c r="LJ22" s="256"/>
      <c r="LK22" s="256"/>
      <c r="LL22" s="256"/>
      <c r="LM22" s="256"/>
      <c r="LN22" s="256"/>
      <c r="LO22" s="256"/>
    </row>
    <row r="23" spans="1:327">
      <c r="C23" s="2066"/>
      <c r="E23" s="2081"/>
      <c r="F23" s="2081"/>
      <c r="G23" s="2081"/>
      <c r="W23" s="2066"/>
      <c r="AF23" s="179"/>
      <c r="AG23" s="569">
        <v>0.1149</v>
      </c>
      <c r="AH23" s="570">
        <v>10.220000000000001</v>
      </c>
      <c r="AI23" s="1950">
        <v>2.8000000000000001E-2</v>
      </c>
      <c r="AJ23" s="569">
        <v>0.1149</v>
      </c>
      <c r="AK23" s="570">
        <v>10</v>
      </c>
      <c r="AL23" s="1950">
        <v>1.23E-2</v>
      </c>
      <c r="AM23" s="559"/>
      <c r="AN23" s="559"/>
      <c r="AO23" s="559"/>
      <c r="AP23" s="125"/>
      <c r="BA23" s="529" t="s">
        <v>233</v>
      </c>
      <c r="BB23" s="1948" t="s">
        <v>233</v>
      </c>
      <c r="BC23" s="556">
        <v>1</v>
      </c>
      <c r="BD23" s="2076" t="str">
        <f t="shared" ref="BD23" si="4">BB23</f>
        <v>Ninguno</v>
      </c>
      <c r="BE23" s="510">
        <f>IF(BD23=0,MAX($BC$23:$BC$28)+1,BC23)</f>
        <v>1</v>
      </c>
      <c r="BF23" s="2115" t="str">
        <f>IFERROR(VLOOKUP(SMALL($BE$23:$BE$28,BC23),$BC$23:$BD$28,2,FALSE),"X")</f>
        <v>Ninguno</v>
      </c>
      <c r="BO23" s="2069">
        <v>0.11749999999999999</v>
      </c>
      <c r="BP23" s="560">
        <v>0.1125</v>
      </c>
      <c r="BQ23" s="560"/>
      <c r="BR23" s="560"/>
      <c r="BS23" s="256"/>
      <c r="BT23" s="256"/>
      <c r="BY23" s="256"/>
      <c r="BZ23" s="256"/>
      <c r="CA23" s="256"/>
      <c r="CB23" s="256"/>
      <c r="CC23" s="256"/>
      <c r="CD23" s="256"/>
      <c r="CE23" s="256"/>
      <c r="CF23" s="256"/>
      <c r="CG23" s="256"/>
      <c r="CH23" s="256"/>
      <c r="CI23" s="256"/>
      <c r="CJ23" s="256"/>
      <c r="CK23" s="256"/>
      <c r="CL23" s="256"/>
      <c r="CM23" s="256"/>
      <c r="CN23" s="256"/>
      <c r="CO23" s="256"/>
      <c r="CP23" s="256"/>
      <c r="CQ23" s="256"/>
      <c r="CR23" s="256"/>
      <c r="CS23" s="256"/>
      <c r="CT23" s="256"/>
      <c r="CU23" s="256"/>
      <c r="CV23" s="256"/>
      <c r="CW23" s="256"/>
      <c r="CX23" s="256"/>
      <c r="CY23" s="256"/>
      <c r="CZ23" s="256"/>
      <c r="DA23" s="256"/>
      <c r="DB23" s="256"/>
      <c r="DC23" s="256"/>
      <c r="DD23" s="256"/>
      <c r="DE23" s="256"/>
      <c r="DF23" s="256"/>
      <c r="DG23" s="256"/>
      <c r="DH23" s="256"/>
      <c r="DI23" s="256"/>
      <c r="EE23" s="256"/>
      <c r="EF23" s="256"/>
      <c r="EG23" s="256"/>
      <c r="EH23" s="256"/>
      <c r="EI23" s="256"/>
      <c r="EJ23" s="256"/>
      <c r="EK23" s="256"/>
      <c r="EL23" s="256"/>
      <c r="EM23" s="256"/>
      <c r="EN23" s="256"/>
      <c r="EO23" s="256"/>
      <c r="EP23" s="256"/>
      <c r="EQ23" s="256"/>
      <c r="ER23" s="256"/>
      <c r="ES23" s="256"/>
      <c r="ET23" s="256"/>
      <c r="EU23" s="256"/>
      <c r="EV23" s="256"/>
      <c r="EW23" s="256"/>
      <c r="EX23" s="256"/>
      <c r="EY23" s="256"/>
      <c r="EZ23" s="256"/>
      <c r="FA23" s="256"/>
      <c r="FB23" s="256"/>
      <c r="FC23" s="256"/>
      <c r="FD23" s="256"/>
      <c r="FE23" s="256"/>
      <c r="GB23" s="505"/>
      <c r="GC23" s="486"/>
      <c r="GD23" s="488"/>
      <c r="GH23" s="2066"/>
      <c r="GJ23" s="2081"/>
      <c r="GL23" s="136"/>
      <c r="GM23" s="136"/>
      <c r="HE23" s="179"/>
      <c r="HF23" s="179"/>
      <c r="HG23" s="179"/>
      <c r="HH23" s="179"/>
      <c r="HI23" s="179"/>
      <c r="HJ23" s="179"/>
      <c r="HK23" s="2098"/>
      <c r="HL23" s="1"/>
      <c r="HM23" s="1"/>
      <c r="HN23" s="2098"/>
      <c r="HO23" s="2098"/>
      <c r="HP23" s="1"/>
      <c r="HQ23" s="1"/>
      <c r="HR23" s="1"/>
      <c r="HS23" s="1"/>
      <c r="HT23" s="1"/>
      <c r="HU23" s="1"/>
      <c r="HV23" s="1"/>
      <c r="HW23" s="1"/>
      <c r="HX23" s="1"/>
      <c r="HY23" s="1"/>
      <c r="HZ23" s="1"/>
      <c r="IA23" s="1"/>
      <c r="IB23" s="1"/>
      <c r="IC23" s="1"/>
      <c r="ID23" s="1"/>
      <c r="IE23" s="1"/>
      <c r="IF23" s="1"/>
      <c r="IG23" s="1"/>
      <c r="IQ23" s="2122"/>
      <c r="IR23" s="2066"/>
      <c r="IS23" s="2066"/>
      <c r="IT23" s="2066"/>
      <c r="IU23" s="2066"/>
      <c r="IV23" s="2066"/>
      <c r="IX23" s="496"/>
      <c r="IY23" s="2066"/>
      <c r="IZ23" s="2066"/>
      <c r="JD23" s="256"/>
      <c r="JE23" s="256"/>
      <c r="JF23" s="256"/>
      <c r="JG23" s="256"/>
      <c r="JH23" s="256"/>
      <c r="JI23" s="256"/>
      <c r="JJ23" s="256"/>
      <c r="JK23" s="256"/>
      <c r="JL23" s="256"/>
      <c r="JM23" s="256"/>
      <c r="JN23" s="256"/>
      <c r="JO23" s="256"/>
      <c r="JP23" s="256"/>
      <c r="JQ23" s="256"/>
      <c r="JR23" s="256"/>
      <c r="JS23" s="256"/>
      <c r="JT23" s="256"/>
      <c r="JU23" s="256"/>
      <c r="JV23" s="256"/>
      <c r="JW23" s="256"/>
      <c r="JX23" s="256"/>
      <c r="JY23" s="256"/>
      <c r="JZ23" s="256"/>
      <c r="KA23" s="256"/>
      <c r="KB23" s="256"/>
      <c r="KC23" s="256"/>
      <c r="KD23" s="256"/>
      <c r="KE23" s="256"/>
      <c r="KF23" s="256"/>
      <c r="KG23" s="256"/>
      <c r="KH23" s="256"/>
      <c r="KI23" s="256"/>
      <c r="KJ23" s="256"/>
      <c r="KK23" s="256"/>
      <c r="KL23" s="256"/>
      <c r="KM23" s="256"/>
      <c r="KN23" s="256"/>
      <c r="KO23" s="256"/>
      <c r="KP23" s="256"/>
      <c r="KQ23" s="256"/>
      <c r="KR23" s="256"/>
      <c r="KS23" s="256"/>
      <c r="KT23" s="256"/>
      <c r="KU23" s="256"/>
      <c r="KV23" s="256"/>
      <c r="KW23" s="256"/>
      <c r="KX23" s="256"/>
      <c r="KY23" s="256"/>
      <c r="KZ23" s="256"/>
      <c r="LA23" s="256"/>
      <c r="LB23" s="256"/>
      <c r="LC23" s="256"/>
      <c r="LD23" s="256"/>
      <c r="LE23" s="256"/>
      <c r="LF23" s="256"/>
      <c r="LG23" s="256"/>
      <c r="LH23" s="256"/>
      <c r="LI23" s="256"/>
      <c r="LJ23" s="256"/>
      <c r="LK23" s="256"/>
      <c r="LL23" s="256"/>
      <c r="LM23" s="256"/>
      <c r="LN23" s="256"/>
      <c r="LO23" s="256"/>
    </row>
    <row r="24" spans="1:327">
      <c r="C24" s="2066"/>
      <c r="E24" s="2081"/>
      <c r="F24" s="2081"/>
      <c r="G24" s="601"/>
      <c r="W24" s="2066"/>
      <c r="AF24" s="152"/>
      <c r="AG24" s="590">
        <v>0.1159</v>
      </c>
      <c r="AH24" s="591">
        <v>10.28</v>
      </c>
      <c r="AI24" s="1956">
        <v>2.8000000000000001E-2</v>
      </c>
      <c r="AJ24" s="590">
        <v>0.1159</v>
      </c>
      <c r="AK24" s="591">
        <v>10.07</v>
      </c>
      <c r="AL24" s="1956">
        <v>1.23E-2</v>
      </c>
      <c r="AM24" s="580"/>
      <c r="AN24" s="580"/>
      <c r="AO24" s="580"/>
      <c r="AP24" s="125"/>
      <c r="BA24" s="557" t="s">
        <v>218</v>
      </c>
      <c r="BB24" s="521">
        <f>IF(AND(I4="Asalariado",OR(Adm!$B$4=Adm!$A$112,Adm!$B$4=Adm!$A$113,Adm!$B$4=Adm!$A$114)),"Asalariados",0)</f>
        <v>0</v>
      </c>
      <c r="BC24" s="527">
        <v>2</v>
      </c>
      <c r="BD24" s="2116">
        <f>BB24</f>
        <v>0</v>
      </c>
      <c r="BE24" s="520">
        <f t="shared" ref="BE24:BE28" si="5">IF(BD24=0,MAX($BC$23:$BC$28)+1,BC24)</f>
        <v>7</v>
      </c>
      <c r="BF24" s="2117" t="str">
        <f t="shared" ref="BF24:BF28" si="6">IFERROR(VLOOKUP(SMALL($BE$23:$BE$28,BC24),$BC$23:$BD$28,2,FALSE),"X")</f>
        <v>X</v>
      </c>
      <c r="BO24" s="2102">
        <v>0.11799999999999999</v>
      </c>
      <c r="BP24" s="1968">
        <v>0.1065</v>
      </c>
      <c r="BQ24" s="584">
        <v>0.115</v>
      </c>
      <c r="BR24" s="584"/>
      <c r="BS24" s="256"/>
      <c r="BT24" s="256"/>
      <c r="BY24" s="256"/>
      <c r="BZ24" s="256"/>
      <c r="CA24" s="256"/>
      <c r="CB24" s="256"/>
      <c r="CC24" s="256"/>
      <c r="CD24" s="256"/>
      <c r="CE24" s="256"/>
      <c r="CF24" s="256"/>
      <c r="CG24" s="256"/>
      <c r="CH24" s="256"/>
      <c r="CI24" s="256"/>
      <c r="CJ24" s="256"/>
      <c r="CK24" s="256"/>
      <c r="CL24" s="256"/>
      <c r="CM24" s="256"/>
      <c r="CN24" s="256"/>
      <c r="CO24" s="256"/>
      <c r="CP24" s="256"/>
      <c r="CQ24" s="256"/>
      <c r="CR24" s="256"/>
      <c r="CS24" s="256"/>
      <c r="CT24" s="256"/>
      <c r="CU24" s="256"/>
      <c r="CV24" s="256"/>
      <c r="CW24" s="256"/>
      <c r="CX24" s="256"/>
      <c r="CY24" s="256"/>
      <c r="CZ24" s="256"/>
      <c r="DA24" s="256"/>
      <c r="DB24" s="256"/>
      <c r="DC24" s="256"/>
      <c r="DD24" s="256"/>
      <c r="DE24" s="256"/>
      <c r="DF24" s="256"/>
      <c r="DG24" s="256"/>
      <c r="DH24" s="256"/>
      <c r="DI24" s="256"/>
      <c r="EE24" s="256"/>
      <c r="EF24" s="256"/>
      <c r="EG24" s="256"/>
      <c r="EH24" s="256"/>
      <c r="EI24" s="256"/>
      <c r="EJ24" s="256"/>
      <c r="EK24" s="256"/>
      <c r="EL24" s="256"/>
      <c r="EM24" s="256"/>
      <c r="EN24" s="256"/>
      <c r="EO24" s="256"/>
      <c r="EP24" s="256"/>
      <c r="EQ24" s="256"/>
      <c r="ER24" s="256"/>
      <c r="ES24" s="256"/>
      <c r="ET24" s="256"/>
      <c r="EU24" s="256"/>
      <c r="EV24" s="256"/>
      <c r="EW24" s="256"/>
      <c r="EX24" s="256"/>
      <c r="EY24" s="256"/>
      <c r="EZ24" s="256"/>
      <c r="FA24" s="256"/>
      <c r="FB24" s="256"/>
      <c r="FC24" s="256"/>
      <c r="FD24" s="256"/>
      <c r="FE24" s="256"/>
      <c r="GB24" s="505"/>
      <c r="GC24" s="486"/>
      <c r="GD24" s="488"/>
      <c r="GH24" s="2066"/>
      <c r="GJ24" s="601"/>
      <c r="GL24" s="136"/>
      <c r="GM24" s="136"/>
      <c r="HE24" s="152"/>
      <c r="HF24" s="152"/>
      <c r="HG24" s="152"/>
      <c r="HH24" s="152"/>
      <c r="HI24" s="152"/>
      <c r="HJ24" s="152"/>
      <c r="HK24" s="2098"/>
      <c r="HL24" s="1"/>
      <c r="HM24" s="1"/>
      <c r="HN24" s="2098"/>
      <c r="HO24" s="2098"/>
      <c r="HP24" s="1"/>
      <c r="HQ24" s="1"/>
      <c r="HR24" s="1"/>
      <c r="HS24" s="1"/>
      <c r="HT24" s="1"/>
      <c r="HU24" s="1"/>
      <c r="HV24" s="1"/>
      <c r="HW24" s="1"/>
      <c r="HX24" s="1"/>
      <c r="HY24" s="1"/>
      <c r="HZ24" s="1"/>
      <c r="IA24" s="1"/>
      <c r="IB24" s="1"/>
      <c r="IC24" s="1"/>
      <c r="ID24" s="1"/>
      <c r="IE24" s="1"/>
      <c r="IF24" s="1"/>
      <c r="IG24" s="1"/>
      <c r="IQ24" s="2122"/>
      <c r="IR24" s="2066"/>
      <c r="IS24" s="2066"/>
      <c r="IT24" s="2066"/>
      <c r="IU24" s="2066"/>
      <c r="IV24" s="2066"/>
      <c r="IX24" s="496"/>
      <c r="IY24" s="2066"/>
      <c r="IZ24" s="2066"/>
      <c r="JD24" s="256"/>
      <c r="JE24" s="256"/>
      <c r="JF24" s="256"/>
      <c r="JG24" s="256"/>
      <c r="JH24" s="256"/>
      <c r="JI24" s="256"/>
      <c r="JJ24" s="256"/>
      <c r="JK24" s="256"/>
      <c r="JL24" s="256"/>
      <c r="JM24" s="256"/>
      <c r="JN24" s="256"/>
      <c r="JO24" s="256"/>
      <c r="JP24" s="256"/>
      <c r="JQ24" s="256"/>
      <c r="JR24" s="256"/>
      <c r="JS24" s="256"/>
      <c r="JT24" s="256"/>
      <c r="JU24" s="256"/>
      <c r="JV24" s="256"/>
      <c r="JW24" s="256"/>
      <c r="JX24" s="256"/>
      <c r="JY24" s="256"/>
      <c r="JZ24" s="256"/>
      <c r="KA24" s="256"/>
      <c r="KB24" s="256"/>
      <c r="KC24" s="256"/>
      <c r="KD24" s="256"/>
      <c r="KE24" s="256"/>
      <c r="KF24" s="256"/>
      <c r="KG24" s="256"/>
      <c r="KH24" s="256"/>
      <c r="KI24" s="256"/>
      <c r="KJ24" s="256"/>
      <c r="KK24" s="256"/>
      <c r="KL24" s="256"/>
      <c r="KM24" s="256"/>
      <c r="KN24" s="256"/>
      <c r="KO24" s="256"/>
      <c r="KP24" s="256"/>
      <c r="KQ24" s="256"/>
      <c r="KR24" s="256"/>
      <c r="KS24" s="256"/>
      <c r="KT24" s="256"/>
      <c r="KU24" s="256"/>
      <c r="KV24" s="256"/>
      <c r="KW24" s="256"/>
      <c r="KX24" s="256"/>
      <c r="KY24" s="256"/>
      <c r="KZ24" s="256"/>
      <c r="LA24" s="256"/>
      <c r="LB24" s="256"/>
      <c r="LC24" s="256"/>
      <c r="LD24" s="256"/>
      <c r="LE24" s="256"/>
      <c r="LF24" s="256"/>
      <c r="LG24" s="256"/>
      <c r="LH24" s="256"/>
      <c r="LI24" s="256"/>
      <c r="LJ24" s="256"/>
      <c r="LK24" s="256"/>
      <c r="LL24" s="256"/>
      <c r="LM24" s="256"/>
      <c r="LN24" s="256"/>
      <c r="LO24" s="256"/>
    </row>
    <row r="25" spans="1:327" ht="13.5" customHeight="1">
      <c r="C25" s="2066"/>
      <c r="E25" s="2081"/>
      <c r="F25" s="2081"/>
      <c r="G25" s="2081"/>
      <c r="W25" s="2066"/>
      <c r="AF25" s="152"/>
      <c r="AG25" s="595">
        <v>0.11650000000000001</v>
      </c>
      <c r="AH25" s="596">
        <v>10.31</v>
      </c>
      <c r="AI25" s="1958">
        <v>2.8000000000000001E-2</v>
      </c>
      <c r="AJ25" s="595">
        <v>0.11650000000000001</v>
      </c>
      <c r="AK25" s="596">
        <v>10.11</v>
      </c>
      <c r="AL25" s="1958">
        <v>1.23E-2</v>
      </c>
      <c r="AM25" s="589"/>
      <c r="AN25" s="589"/>
      <c r="AO25" s="589"/>
      <c r="AP25" s="125"/>
      <c r="BA25" s="557" t="s">
        <v>86</v>
      </c>
      <c r="BB25" s="521">
        <f>IF(OR(Adm!$B$4=Adm!$A$112,Adm!$B$4=Adm!$A$113,Adm!$B$4=Adm!$A$114,Adm!$B$4=Adm!$A$116,Adm!$B$4=Adm!$A$121),"Embajadores",0)</f>
        <v>0</v>
      </c>
      <c r="BC25" s="527">
        <v>3</v>
      </c>
      <c r="BD25" s="2116">
        <f>BB25</f>
        <v>0</v>
      </c>
      <c r="BE25" s="520">
        <f t="shared" si="5"/>
        <v>7</v>
      </c>
      <c r="BF25" s="2117" t="str">
        <f t="shared" si="6"/>
        <v>X</v>
      </c>
      <c r="BN25" s="534"/>
      <c r="BO25" s="2083">
        <v>0.12</v>
      </c>
      <c r="BP25" s="567">
        <v>0.1125</v>
      </c>
      <c r="BQ25" s="567"/>
      <c r="BR25" s="567"/>
      <c r="BS25" s="256"/>
      <c r="BT25" s="256"/>
      <c r="BY25" s="256"/>
      <c r="BZ25" s="256"/>
      <c r="CA25" s="256"/>
      <c r="CB25" s="256"/>
      <c r="CC25" s="256"/>
      <c r="CD25" s="256"/>
      <c r="CE25" s="256"/>
      <c r="CF25" s="256"/>
      <c r="CG25" s="256"/>
      <c r="CH25" s="256"/>
      <c r="CI25" s="256"/>
      <c r="CJ25" s="256"/>
      <c r="CK25" s="256"/>
      <c r="CL25" s="256"/>
      <c r="CM25" s="256"/>
      <c r="CN25" s="256"/>
      <c r="CO25" s="256"/>
      <c r="CP25" s="256"/>
      <c r="CQ25" s="256"/>
      <c r="CR25" s="256"/>
      <c r="CS25" s="256"/>
      <c r="CT25" s="256"/>
      <c r="CU25" s="256"/>
      <c r="CV25" s="256"/>
      <c r="CW25" s="256"/>
      <c r="CX25" s="256"/>
      <c r="CY25" s="256"/>
      <c r="CZ25" s="256"/>
      <c r="DA25" s="256"/>
      <c r="DB25" s="256"/>
      <c r="DC25" s="256"/>
      <c r="DD25" s="256"/>
      <c r="DE25" s="256"/>
      <c r="DF25" s="256"/>
      <c r="DG25" s="256"/>
      <c r="DH25" s="256"/>
      <c r="DI25" s="753"/>
      <c r="EE25" s="256"/>
      <c r="EF25" s="256"/>
      <c r="EG25" s="256"/>
      <c r="EH25" s="256"/>
      <c r="EI25" s="256"/>
      <c r="EJ25" s="256"/>
      <c r="EK25" s="256"/>
      <c r="EL25" s="256"/>
      <c r="EM25" s="256"/>
      <c r="EN25" s="256"/>
      <c r="EO25" s="256"/>
      <c r="EP25" s="256"/>
      <c r="EQ25" s="256"/>
      <c r="ER25" s="256"/>
      <c r="ES25" s="256"/>
      <c r="ET25" s="256"/>
      <c r="EU25" s="256"/>
      <c r="EV25" s="256"/>
      <c r="EW25" s="256"/>
      <c r="EX25" s="256"/>
      <c r="EY25" s="256"/>
      <c r="EZ25" s="256"/>
      <c r="FA25" s="256"/>
      <c r="FB25" s="256"/>
      <c r="FC25" s="256"/>
      <c r="FD25" s="256"/>
      <c r="FE25" s="753"/>
      <c r="GB25" s="505"/>
      <c r="GC25" s="486"/>
      <c r="GD25" s="488"/>
      <c r="GH25" s="2066"/>
      <c r="GJ25" s="2081"/>
      <c r="GL25" s="136"/>
      <c r="GM25" s="136"/>
      <c r="HE25" s="152"/>
      <c r="HF25" s="152"/>
      <c r="HG25" s="152"/>
      <c r="HH25" s="152"/>
      <c r="HI25" s="152"/>
      <c r="HJ25" s="152"/>
      <c r="HK25" s="2098"/>
      <c r="HL25" s="1"/>
      <c r="HM25" s="1"/>
      <c r="HN25" s="2098"/>
      <c r="HO25" s="2098"/>
      <c r="HP25" s="1"/>
      <c r="HQ25" s="1"/>
      <c r="HR25" s="1"/>
      <c r="HS25" s="1"/>
      <c r="HT25" s="1"/>
      <c r="HU25" s="1"/>
      <c r="HV25" s="1"/>
      <c r="HW25" s="1"/>
      <c r="HX25" s="1"/>
      <c r="HY25" s="1"/>
      <c r="HZ25" s="1"/>
      <c r="IA25" s="1"/>
      <c r="IB25" s="1"/>
      <c r="IC25" s="1"/>
      <c r="ID25" s="1"/>
      <c r="IE25" s="1"/>
      <c r="IF25" s="1"/>
      <c r="IG25" s="1"/>
      <c r="IQ25" s="2122"/>
      <c r="IR25" s="2066"/>
      <c r="IS25" s="2066"/>
      <c r="IT25" s="2066"/>
      <c r="IU25" s="2066"/>
      <c r="IV25" s="2066"/>
      <c r="IX25" s="496"/>
      <c r="IY25" s="2066"/>
      <c r="IZ25" s="2066"/>
      <c r="JD25" s="256"/>
      <c r="JE25" s="256"/>
      <c r="JF25" s="256"/>
      <c r="JG25" s="256"/>
      <c r="JH25" s="256"/>
      <c r="JI25" s="256"/>
      <c r="JJ25" s="256"/>
      <c r="JK25" s="256"/>
      <c r="JL25" s="256"/>
      <c r="JM25" s="256"/>
      <c r="JN25" s="256"/>
      <c r="JO25" s="256"/>
      <c r="JP25" s="256"/>
      <c r="JQ25" s="256"/>
      <c r="JR25" s="256"/>
      <c r="JS25" s="256"/>
      <c r="JT25" s="256"/>
      <c r="JU25" s="256"/>
      <c r="JV25" s="256"/>
      <c r="JW25" s="256"/>
      <c r="JX25" s="256"/>
      <c r="JY25" s="256"/>
      <c r="JZ25" s="256"/>
      <c r="KA25" s="256"/>
      <c r="KB25" s="256"/>
      <c r="KC25" s="256"/>
      <c r="KD25" s="256"/>
      <c r="KE25" s="256"/>
      <c r="KF25" s="256"/>
      <c r="KG25" s="256"/>
      <c r="KH25" s="256"/>
      <c r="KI25" s="256"/>
      <c r="KJ25" s="256"/>
      <c r="KK25" s="256"/>
      <c r="KL25" s="256"/>
      <c r="KM25" s="256"/>
      <c r="KN25" s="256"/>
      <c r="KO25" s="256"/>
      <c r="KP25" s="256"/>
      <c r="KQ25" s="256"/>
      <c r="KR25" s="256"/>
      <c r="KS25" s="256"/>
      <c r="KT25" s="256"/>
      <c r="KU25" s="256"/>
      <c r="KV25" s="256"/>
      <c r="KW25" s="256"/>
      <c r="KX25" s="256"/>
      <c r="KY25" s="256"/>
      <c r="KZ25" s="256"/>
      <c r="LA25" s="256"/>
      <c r="LB25" s="256"/>
      <c r="LC25" s="256"/>
      <c r="LD25" s="256"/>
      <c r="LE25" s="256"/>
      <c r="LF25" s="256"/>
      <c r="LG25" s="256"/>
      <c r="LH25" s="256"/>
      <c r="LI25" s="256"/>
      <c r="LJ25" s="256"/>
      <c r="LK25" s="256"/>
      <c r="LL25" s="256"/>
      <c r="LM25" s="256"/>
      <c r="LN25" s="256"/>
      <c r="LO25" s="256"/>
    </row>
    <row r="26" spans="1:327">
      <c r="C26" s="372"/>
      <c r="E26" s="2081"/>
      <c r="F26" s="2081"/>
      <c r="G26" s="601"/>
      <c r="W26" s="2066"/>
      <c r="AF26" s="152"/>
      <c r="AG26" s="572">
        <v>0.11749999999999999</v>
      </c>
      <c r="AH26" s="573">
        <v>10.38</v>
      </c>
      <c r="AI26" s="1951">
        <v>2.8000000000000001E-2</v>
      </c>
      <c r="AJ26" s="572">
        <v>0.11749999999999999</v>
      </c>
      <c r="AK26" s="573">
        <v>10.18</v>
      </c>
      <c r="AL26" s="1951">
        <v>1.23E-2</v>
      </c>
      <c r="AM26" s="560"/>
      <c r="AN26" s="560"/>
      <c r="AO26" s="560"/>
      <c r="AP26" s="125"/>
      <c r="BA26" s="557" t="s">
        <v>164</v>
      </c>
      <c r="BB26" s="521">
        <f>IF(Adm!$B$4=Adm!$A$112,"Extranjeros",0)</f>
        <v>0</v>
      </c>
      <c r="BC26" s="527">
        <v>4</v>
      </c>
      <c r="BD26" s="2116">
        <f>BB26</f>
        <v>0</v>
      </c>
      <c r="BE26" s="520">
        <f t="shared" si="5"/>
        <v>7</v>
      </c>
      <c r="BF26" s="2117" t="str">
        <f t="shared" si="6"/>
        <v>X</v>
      </c>
      <c r="BN26" s="2066"/>
      <c r="BO26" s="2113">
        <v>0.121</v>
      </c>
      <c r="BP26" s="594">
        <v>0.1095</v>
      </c>
      <c r="BQ26" s="594"/>
      <c r="BR26" s="594">
        <v>0.08</v>
      </c>
      <c r="BS26" s="256"/>
      <c r="BT26" s="256"/>
      <c r="BY26" s="256"/>
      <c r="BZ26" s="256"/>
      <c r="CA26" s="256"/>
      <c r="CB26" s="256"/>
      <c r="CC26" s="256"/>
      <c r="CD26" s="256"/>
      <c r="CE26" s="256"/>
      <c r="CF26" s="256"/>
      <c r="CG26" s="256"/>
      <c r="CH26" s="256"/>
      <c r="CI26" s="256"/>
      <c r="CJ26" s="256"/>
      <c r="CK26" s="256"/>
      <c r="CL26" s="256"/>
      <c r="CM26" s="256"/>
      <c r="CN26" s="256"/>
      <c r="CO26" s="256"/>
      <c r="CP26" s="256"/>
      <c r="CQ26" s="256"/>
      <c r="CR26" s="256"/>
      <c r="CS26" s="256"/>
      <c r="CT26" s="256"/>
      <c r="CU26" s="256"/>
      <c r="CV26" s="256"/>
      <c r="CW26" s="256"/>
      <c r="CX26" s="256"/>
      <c r="CY26" s="256"/>
      <c r="CZ26" s="256"/>
      <c r="DA26" s="256"/>
      <c r="DB26" s="256"/>
      <c r="DC26" s="256"/>
      <c r="DD26" s="256"/>
      <c r="DE26" s="256"/>
      <c r="DF26" s="256"/>
      <c r="DG26" s="256"/>
      <c r="DH26" s="256"/>
      <c r="DI26" s="256"/>
      <c r="EE26" s="256"/>
      <c r="EF26" s="256"/>
      <c r="EG26" s="256"/>
      <c r="EH26" s="256"/>
      <c r="EI26" s="256"/>
      <c r="EJ26" s="256"/>
      <c r="EK26" s="256"/>
      <c r="EL26" s="256"/>
      <c r="EM26" s="256"/>
      <c r="EN26" s="256"/>
      <c r="EO26" s="256"/>
      <c r="EP26" s="256"/>
      <c r="EQ26" s="256"/>
      <c r="ER26" s="256"/>
      <c r="ES26" s="256"/>
      <c r="ET26" s="256"/>
      <c r="EU26" s="256"/>
      <c r="EV26" s="256"/>
      <c r="EW26" s="256"/>
      <c r="EX26" s="256"/>
      <c r="EY26" s="256"/>
      <c r="EZ26" s="256"/>
      <c r="FA26" s="256"/>
      <c r="FB26" s="256"/>
      <c r="FC26" s="256"/>
      <c r="FD26" s="256"/>
      <c r="FE26" s="256"/>
      <c r="GB26" s="505"/>
      <c r="GC26" s="486"/>
      <c r="GD26" s="488"/>
      <c r="GH26" s="2066"/>
      <c r="GJ26" s="601"/>
      <c r="GL26" s="136"/>
      <c r="GM26" s="136"/>
      <c r="HE26" s="152"/>
      <c r="HF26" s="152"/>
      <c r="HG26" s="152"/>
      <c r="HH26" s="152"/>
      <c r="HI26" s="152"/>
      <c r="HJ26" s="152"/>
      <c r="HK26" s="2098"/>
      <c r="HL26" s="1"/>
      <c r="HM26" s="1"/>
      <c r="HN26" s="2098"/>
      <c r="HO26" s="2098"/>
      <c r="HP26" s="1"/>
      <c r="HQ26" s="1"/>
      <c r="HR26" s="1"/>
      <c r="HS26" s="1"/>
      <c r="HT26" s="1"/>
      <c r="HU26" s="1"/>
      <c r="HV26" s="1"/>
      <c r="HW26" s="1"/>
      <c r="HX26" s="1"/>
      <c r="HY26" s="1"/>
      <c r="HZ26" s="1"/>
      <c r="IA26" s="1"/>
      <c r="IB26" s="1"/>
      <c r="IC26" s="1"/>
      <c r="ID26" s="1"/>
      <c r="IE26" s="1"/>
      <c r="IF26" s="1"/>
      <c r="IG26" s="1"/>
      <c r="IQ26" s="2122"/>
      <c r="IR26" s="2066"/>
      <c r="IS26" s="2066"/>
      <c r="IT26" s="2066"/>
      <c r="IU26" s="2066"/>
      <c r="IV26" s="2066"/>
      <c r="IX26" s="496"/>
      <c r="IY26" s="2066"/>
      <c r="IZ26" s="2066"/>
      <c r="JD26" s="256"/>
      <c r="JE26" s="256"/>
      <c r="JF26" s="256"/>
      <c r="JG26" s="256"/>
      <c r="JH26" s="256"/>
      <c r="JI26" s="256"/>
      <c r="JJ26" s="256"/>
      <c r="JK26" s="256"/>
      <c r="JL26" s="256"/>
      <c r="JM26" s="256"/>
      <c r="JN26" s="256"/>
      <c r="JO26" s="256"/>
      <c r="JP26" s="256"/>
      <c r="JQ26" s="256"/>
      <c r="JR26" s="256"/>
      <c r="JS26" s="256"/>
      <c r="JT26" s="256"/>
      <c r="JU26" s="256"/>
      <c r="JV26" s="256"/>
      <c r="JW26" s="256"/>
      <c r="JX26" s="256"/>
      <c r="JY26" s="256"/>
      <c r="JZ26" s="256"/>
      <c r="KA26" s="256"/>
      <c r="KB26" s="256"/>
      <c r="KC26" s="256"/>
      <c r="KD26" s="256"/>
      <c r="KE26" s="256"/>
      <c r="KF26" s="256"/>
      <c r="KG26" s="256"/>
      <c r="KH26" s="256"/>
      <c r="KI26" s="256"/>
      <c r="KJ26" s="256"/>
      <c r="KK26" s="256"/>
      <c r="KL26" s="256"/>
      <c r="KM26" s="256"/>
      <c r="KN26" s="256"/>
      <c r="KO26" s="256"/>
      <c r="KP26" s="256"/>
      <c r="KQ26" s="256"/>
      <c r="KR26" s="256"/>
      <c r="KS26" s="256"/>
      <c r="KT26" s="256"/>
      <c r="KU26" s="256"/>
      <c r="KV26" s="256"/>
      <c r="KW26" s="256"/>
      <c r="KX26" s="256"/>
      <c r="KY26" s="256"/>
      <c r="KZ26" s="256"/>
      <c r="LA26" s="256"/>
      <c r="LB26" s="256"/>
      <c r="LC26" s="256"/>
      <c r="LD26" s="256"/>
      <c r="LE26" s="256"/>
      <c r="LF26" s="256"/>
      <c r="LG26" s="256"/>
      <c r="LH26" s="256"/>
      <c r="LI26" s="256"/>
      <c r="LJ26" s="256"/>
      <c r="LK26" s="256"/>
      <c r="LL26" s="256"/>
      <c r="LM26" s="256"/>
      <c r="LN26" s="256"/>
      <c r="LO26" s="256"/>
    </row>
    <row r="27" spans="1:327">
      <c r="C27" s="2066"/>
      <c r="E27" s="2081"/>
      <c r="F27" s="2081"/>
      <c r="G27" s="2066"/>
      <c r="W27" s="2066"/>
      <c r="AF27" s="179"/>
      <c r="AG27" s="592">
        <v>0.11799999999999999</v>
      </c>
      <c r="AH27" s="593">
        <v>10.41</v>
      </c>
      <c r="AI27" s="1957">
        <v>2.8000000000000001E-2</v>
      </c>
      <c r="AJ27" s="592">
        <v>0.11799999999999999</v>
      </c>
      <c r="AK27" s="593">
        <v>10.210000000000001</v>
      </c>
      <c r="AL27" s="1957">
        <v>1.23E-2</v>
      </c>
      <c r="AM27" s="584"/>
      <c r="AN27" s="584"/>
      <c r="AO27" s="584"/>
      <c r="AP27" s="125"/>
      <c r="BA27" s="557" t="s">
        <v>35</v>
      </c>
      <c r="BB27" s="521">
        <f>IF(OR(Adm!$B$4=Adm!$A$112,Adm!$B$4=Adm!$A$113,Adm!$B$4=Adm!$A$114),"Mazda",0)</f>
        <v>0</v>
      </c>
      <c r="BC27" s="527">
        <v>5</v>
      </c>
      <c r="BD27" s="2116">
        <f>BB27</f>
        <v>0</v>
      </c>
      <c r="BE27" s="520">
        <f t="shared" si="5"/>
        <v>7</v>
      </c>
      <c r="BF27" s="2117" t="str">
        <f t="shared" si="6"/>
        <v>X</v>
      </c>
      <c r="BO27" s="2097">
        <v>0.1225</v>
      </c>
      <c r="BP27" s="574">
        <v>0.1125</v>
      </c>
      <c r="BQ27" s="574"/>
      <c r="BR27" s="574">
        <v>0.08</v>
      </c>
      <c r="BS27" s="256"/>
      <c r="BT27" s="256"/>
      <c r="BY27" s="256"/>
      <c r="BZ27" s="256"/>
      <c r="CA27" s="256"/>
      <c r="CB27" s="256"/>
      <c r="CC27" s="256"/>
      <c r="CD27" s="256"/>
      <c r="CE27" s="256"/>
      <c r="CF27" s="256"/>
      <c r="CG27" s="256"/>
      <c r="CH27" s="256"/>
      <c r="CI27" s="256"/>
      <c r="CJ27" s="256"/>
      <c r="CK27" s="256"/>
      <c r="CL27" s="256"/>
      <c r="CM27" s="256"/>
      <c r="CN27" s="256"/>
      <c r="CO27" s="256"/>
      <c r="CP27" s="256"/>
      <c r="CQ27" s="256"/>
      <c r="CR27" s="256"/>
      <c r="CS27" s="256"/>
      <c r="CT27" s="256"/>
      <c r="CU27" s="256"/>
      <c r="CV27" s="256"/>
      <c r="CW27" s="256"/>
      <c r="CX27" s="256"/>
      <c r="CY27" s="256"/>
      <c r="CZ27" s="256"/>
      <c r="DA27" s="256"/>
      <c r="DB27" s="256"/>
      <c r="DC27" s="256"/>
      <c r="DD27" s="256"/>
      <c r="DE27" s="256"/>
      <c r="DF27" s="256"/>
      <c r="DG27" s="256"/>
      <c r="DH27" s="256"/>
      <c r="DI27" s="256"/>
      <c r="EE27" s="256"/>
      <c r="EF27" s="256"/>
      <c r="EG27" s="256"/>
      <c r="EH27" s="256"/>
      <c r="EI27" s="256"/>
      <c r="EJ27" s="256"/>
      <c r="EK27" s="256"/>
      <c r="EL27" s="256"/>
      <c r="EM27" s="256"/>
      <c r="EN27" s="256"/>
      <c r="EO27" s="256"/>
      <c r="EP27" s="256"/>
      <c r="EQ27" s="256"/>
      <c r="ER27" s="256"/>
      <c r="ES27" s="256"/>
      <c r="ET27" s="256"/>
      <c r="EU27" s="256"/>
      <c r="EV27" s="256"/>
      <c r="EW27" s="256"/>
      <c r="EX27" s="256"/>
      <c r="EY27" s="256"/>
      <c r="EZ27" s="256"/>
      <c r="FA27" s="256"/>
      <c r="FB27" s="256"/>
      <c r="FC27" s="256"/>
      <c r="FD27" s="256"/>
      <c r="FE27" s="256"/>
      <c r="GB27" s="505"/>
      <c r="GC27" s="486"/>
      <c r="GD27" s="488"/>
      <c r="GH27" s="2066"/>
      <c r="GJ27" s="2066"/>
      <c r="GL27" s="136"/>
      <c r="GM27" s="136"/>
      <c r="HE27" s="179"/>
      <c r="HF27" s="179"/>
      <c r="HG27" s="179"/>
      <c r="HH27" s="179"/>
      <c r="HI27" s="179"/>
      <c r="HJ27" s="179"/>
      <c r="HK27" s="2098"/>
      <c r="HL27" s="1"/>
      <c r="HM27" s="1"/>
      <c r="HN27" s="2098"/>
      <c r="HO27" s="2098"/>
      <c r="HP27" s="1"/>
      <c r="HQ27" s="1"/>
      <c r="HR27" s="1"/>
      <c r="HS27" s="1"/>
      <c r="HT27" s="1"/>
      <c r="HU27" s="1"/>
      <c r="HV27" s="1"/>
      <c r="HW27" s="1"/>
      <c r="HX27" s="1"/>
      <c r="HY27" s="1"/>
      <c r="HZ27" s="1"/>
      <c r="IA27" s="1"/>
      <c r="IB27" s="1"/>
      <c r="IC27" s="1"/>
      <c r="ID27" s="1"/>
      <c r="IE27" s="1"/>
      <c r="IF27" s="1"/>
      <c r="IG27" s="1"/>
      <c r="IQ27" s="2122"/>
      <c r="IR27" s="2066"/>
      <c r="IS27" s="2066"/>
      <c r="IT27" s="2066"/>
      <c r="IU27" s="2066"/>
      <c r="IV27" s="2066"/>
      <c r="IX27" s="496"/>
      <c r="IY27" s="2066"/>
      <c r="IZ27" s="2066"/>
      <c r="JD27" s="256"/>
      <c r="JE27" s="256"/>
      <c r="JF27" s="256"/>
      <c r="JG27" s="256"/>
      <c r="JH27" s="256"/>
      <c r="JI27" s="256"/>
      <c r="JJ27" s="256"/>
      <c r="JK27" s="256"/>
      <c r="JL27" s="256"/>
      <c r="JM27" s="256"/>
      <c r="JN27" s="256"/>
      <c r="JO27" s="256"/>
      <c r="JP27" s="256"/>
      <c r="JQ27" s="256"/>
      <c r="JR27" s="256"/>
      <c r="JS27" s="256"/>
      <c r="JT27" s="256"/>
      <c r="JU27" s="256"/>
      <c r="JV27" s="256"/>
      <c r="JW27" s="256"/>
      <c r="JX27" s="256"/>
      <c r="JY27" s="256"/>
      <c r="JZ27" s="256"/>
      <c r="KA27" s="256"/>
      <c r="KB27" s="256"/>
      <c r="KC27" s="256"/>
      <c r="KD27" s="256"/>
      <c r="KE27" s="256"/>
      <c r="KF27" s="256"/>
      <c r="KG27" s="256"/>
      <c r="KH27" s="256"/>
      <c r="KI27" s="256"/>
      <c r="KJ27" s="256"/>
      <c r="KK27" s="256"/>
      <c r="KL27" s="256"/>
      <c r="KM27" s="256"/>
      <c r="KN27" s="256"/>
      <c r="KO27" s="256"/>
      <c r="KP27" s="256"/>
      <c r="KQ27" s="256"/>
      <c r="KR27" s="256"/>
      <c r="KS27" s="256"/>
      <c r="KT27" s="256"/>
      <c r="KU27" s="256"/>
      <c r="KV27" s="256"/>
      <c r="KW27" s="256"/>
      <c r="KX27" s="256"/>
      <c r="KY27" s="256"/>
      <c r="KZ27" s="256"/>
      <c r="LA27" s="256"/>
      <c r="LB27" s="256"/>
      <c r="LC27" s="256"/>
      <c r="LD27" s="256"/>
      <c r="LE27" s="256"/>
      <c r="LF27" s="256"/>
      <c r="LG27" s="256"/>
      <c r="LH27" s="256"/>
      <c r="LI27" s="256"/>
      <c r="LJ27" s="256"/>
      <c r="LK27" s="256"/>
      <c r="LL27" s="256"/>
      <c r="LM27" s="256"/>
      <c r="LN27" s="256"/>
      <c r="LO27" s="256"/>
    </row>
    <row r="28" spans="1:327">
      <c r="C28" s="2066"/>
      <c r="E28" s="2081"/>
      <c r="F28" s="2081"/>
      <c r="G28" s="2066"/>
      <c r="W28" s="2066"/>
      <c r="AF28" s="152"/>
      <c r="AG28" s="578">
        <v>0.12</v>
      </c>
      <c r="AH28" s="579">
        <v>10.53</v>
      </c>
      <c r="AI28" s="1953">
        <v>2.8000000000000001E-2</v>
      </c>
      <c r="AJ28" s="578">
        <v>0.12</v>
      </c>
      <c r="AK28" s="579">
        <v>10.49</v>
      </c>
      <c r="AL28" s="1953">
        <v>0.01</v>
      </c>
      <c r="AM28" s="567"/>
      <c r="AN28" s="567"/>
      <c r="AO28" s="567"/>
      <c r="AP28" s="125"/>
      <c r="BA28" s="531" t="s">
        <v>183</v>
      </c>
      <c r="BB28" s="524">
        <f>IF(OR(Adm!$B$4=Adm!$A$112,Adm!$B$4=Adm!$A$113,Adm!$B$4=Adm!$A$114),"Verde",0)</f>
        <v>0</v>
      </c>
      <c r="BC28" s="2123">
        <v>6</v>
      </c>
      <c r="BD28" s="2118">
        <f>BB28</f>
        <v>0</v>
      </c>
      <c r="BE28" s="523">
        <f t="shared" si="5"/>
        <v>7</v>
      </c>
      <c r="BF28" s="2119" t="str">
        <f t="shared" si="6"/>
        <v>X</v>
      </c>
      <c r="BO28" s="2102">
        <v>0.124</v>
      </c>
      <c r="BP28" s="584">
        <v>0.114</v>
      </c>
      <c r="BQ28" s="584"/>
      <c r="BR28" s="584"/>
      <c r="BS28" s="256"/>
      <c r="BT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GB28" s="505"/>
      <c r="GC28" s="486"/>
      <c r="GD28" s="488"/>
      <c r="GH28" s="2066"/>
      <c r="GJ28" s="2066"/>
      <c r="HE28" s="152"/>
      <c r="HF28" s="152"/>
      <c r="HG28" s="152"/>
      <c r="HH28" s="152"/>
      <c r="HI28" s="152"/>
      <c r="HJ28" s="152"/>
      <c r="HK28" s="2098"/>
      <c r="HL28" s="1"/>
      <c r="HM28" s="1"/>
      <c r="HN28" s="2098"/>
      <c r="HO28" s="2098"/>
      <c r="HP28" s="1"/>
      <c r="HQ28" s="1"/>
      <c r="HR28" s="1"/>
      <c r="HS28" s="1"/>
      <c r="HT28" s="1"/>
      <c r="HU28" s="1"/>
      <c r="HV28" s="1"/>
      <c r="HW28" s="1"/>
      <c r="HX28" s="1"/>
      <c r="HY28" s="1"/>
      <c r="HZ28" s="1"/>
      <c r="IA28" s="1"/>
      <c r="IB28" s="1"/>
      <c r="IC28" s="1"/>
      <c r="ID28" s="1"/>
      <c r="IE28" s="1"/>
      <c r="IF28" s="1"/>
      <c r="IG28" s="1"/>
      <c r="IQ28" s="2122"/>
      <c r="IR28" s="2066"/>
      <c r="IS28" s="2066"/>
      <c r="IT28" s="2066"/>
      <c r="IU28" s="2066"/>
      <c r="IV28" s="2066"/>
      <c r="IX28" s="496"/>
      <c r="IY28" s="2066"/>
      <c r="IZ28" s="206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row>
    <row r="29" spans="1:327">
      <c r="C29" s="2066"/>
      <c r="E29" s="2081"/>
      <c r="F29" s="2081"/>
      <c r="G29" s="2066"/>
      <c r="W29" s="2066"/>
      <c r="AG29" s="599">
        <v>0.121</v>
      </c>
      <c r="AH29" s="600">
        <v>10.59</v>
      </c>
      <c r="AI29" s="1959">
        <v>2.8000000000000001E-2</v>
      </c>
      <c r="AJ29" s="599">
        <v>0.121</v>
      </c>
      <c r="AK29" s="600">
        <v>10.56</v>
      </c>
      <c r="AL29" s="1959">
        <v>0.01</v>
      </c>
      <c r="AM29" s="594"/>
      <c r="AN29" s="594"/>
      <c r="AO29" s="594"/>
      <c r="AP29" s="125"/>
      <c r="BO29" s="2093">
        <v>0.1249</v>
      </c>
      <c r="BP29" s="559">
        <v>0.1225</v>
      </c>
      <c r="BQ29" s="559"/>
      <c r="BR29" s="559"/>
      <c r="GB29" s="505"/>
      <c r="GC29" s="486"/>
      <c r="GD29" s="488"/>
      <c r="GH29" s="2066"/>
      <c r="GJ29" s="2066"/>
      <c r="HK29" s="602"/>
      <c r="HL29" s="1"/>
      <c r="HM29" s="1"/>
      <c r="HN29" s="602"/>
      <c r="HO29" s="602"/>
      <c r="HP29" s="1"/>
      <c r="HQ29" s="1"/>
      <c r="HR29" s="1"/>
      <c r="HS29" s="1"/>
      <c r="HT29" s="1"/>
      <c r="HU29" s="1"/>
      <c r="HV29" s="1"/>
      <c r="HW29" s="1"/>
      <c r="HX29" s="1"/>
      <c r="HY29" s="1"/>
      <c r="HZ29" s="1"/>
      <c r="IA29" s="1"/>
      <c r="IB29" s="1"/>
      <c r="IC29" s="1"/>
      <c r="ID29" s="1"/>
      <c r="IE29" s="1"/>
      <c r="IF29" s="1"/>
      <c r="IG29" s="1"/>
      <c r="IQ29" s="2122"/>
      <c r="IR29" s="2066"/>
      <c r="IS29" s="2066"/>
      <c r="IT29" s="2066"/>
      <c r="IU29" s="2066"/>
      <c r="IV29" s="2066"/>
      <c r="IX29" s="496"/>
      <c r="IY29" s="2066"/>
      <c r="IZ29" s="2066"/>
    </row>
    <row r="30" spans="1:327">
      <c r="A30" s="1"/>
      <c r="C30" s="2066"/>
      <c r="E30" s="2081"/>
      <c r="F30" s="2081"/>
      <c r="G30" s="2066"/>
      <c r="W30" s="2066"/>
      <c r="AF30" s="152"/>
      <c r="AG30" s="582">
        <v>0.1225</v>
      </c>
      <c r="AH30" s="583">
        <v>10.68</v>
      </c>
      <c r="AI30" s="1954">
        <v>2.8000000000000001E-2</v>
      </c>
      <c r="AJ30" s="582">
        <v>0.1225</v>
      </c>
      <c r="AK30" s="583">
        <v>10.67</v>
      </c>
      <c r="AL30" s="1954">
        <v>0.01</v>
      </c>
      <c r="AM30" s="574"/>
      <c r="AN30" s="574"/>
      <c r="AO30" s="574"/>
      <c r="AP30" s="125"/>
      <c r="BO30" s="2073">
        <v>0.125</v>
      </c>
      <c r="BP30" s="603">
        <v>0.115</v>
      </c>
      <c r="BQ30" s="603"/>
      <c r="BR30" s="2081"/>
      <c r="GB30" s="505"/>
      <c r="GC30" s="486"/>
      <c r="GD30" s="488"/>
      <c r="GF30" s="1"/>
      <c r="GH30" s="2066"/>
      <c r="GJ30" s="2066"/>
      <c r="HE30" s="152"/>
      <c r="HF30" s="152"/>
      <c r="HG30" s="152"/>
      <c r="HH30" s="152"/>
      <c r="HI30" s="152"/>
      <c r="HJ30" s="152"/>
      <c r="HK30" s="602"/>
      <c r="HL30" s="1"/>
      <c r="HM30" s="1"/>
      <c r="HN30" s="602"/>
      <c r="HO30" s="602"/>
      <c r="HP30" s="1"/>
      <c r="HQ30" s="1"/>
      <c r="HR30" s="1"/>
      <c r="HS30" s="1"/>
      <c r="HT30" s="1"/>
      <c r="HU30" s="1"/>
      <c r="HV30" s="1"/>
      <c r="HW30" s="1"/>
      <c r="HX30" s="1"/>
      <c r="HY30" s="1"/>
      <c r="HZ30" s="1"/>
      <c r="IA30" s="1"/>
      <c r="IB30" s="1"/>
      <c r="IC30" s="1"/>
      <c r="ID30" s="1"/>
      <c r="IE30" s="1"/>
      <c r="IF30" s="1"/>
      <c r="IG30" s="1"/>
      <c r="IQ30" s="2122"/>
      <c r="IR30" s="2066"/>
      <c r="IS30" s="2066"/>
      <c r="IT30" s="2066"/>
      <c r="IU30" s="2066"/>
      <c r="IV30" s="2066"/>
      <c r="IX30" s="558"/>
      <c r="IY30" s="2066"/>
      <c r="IZ30" s="2066"/>
    </row>
    <row r="31" spans="1:327">
      <c r="C31" s="2066"/>
      <c r="E31" s="2081"/>
      <c r="F31" s="2081"/>
      <c r="G31" s="2066"/>
      <c r="W31" s="2066"/>
      <c r="AF31" s="179"/>
      <c r="AG31" s="592">
        <v>0.124</v>
      </c>
      <c r="AH31" s="593">
        <v>10.78</v>
      </c>
      <c r="AI31" s="1957">
        <v>2.8000000000000001E-2</v>
      </c>
      <c r="AJ31" s="592">
        <v>0.124</v>
      </c>
      <c r="AK31" s="593">
        <v>10.77</v>
      </c>
      <c r="AL31" s="1957">
        <v>0.01</v>
      </c>
      <c r="AM31" s="584"/>
      <c r="AN31" s="584"/>
      <c r="AO31" s="584"/>
      <c r="AP31" s="125"/>
      <c r="BO31" s="2069">
        <v>0.1275</v>
      </c>
      <c r="BP31" s="560">
        <v>0.1225</v>
      </c>
      <c r="BQ31" s="560"/>
      <c r="BR31" s="560"/>
      <c r="GB31" s="505"/>
      <c r="GC31" s="486"/>
      <c r="GD31" s="488"/>
      <c r="GH31" s="2066"/>
      <c r="GJ31" s="2066"/>
      <c r="HE31" s="179"/>
      <c r="HF31" s="179"/>
      <c r="HG31" s="179"/>
      <c r="HH31" s="179"/>
      <c r="HI31" s="179"/>
      <c r="HJ31" s="179"/>
      <c r="HK31" s="602"/>
      <c r="HL31" s="1"/>
      <c r="HM31" s="1"/>
      <c r="HN31" s="602"/>
      <c r="HO31" s="602"/>
      <c r="HP31" s="1"/>
      <c r="HQ31" s="1"/>
      <c r="HR31" s="1"/>
      <c r="HS31" s="1"/>
      <c r="HT31" s="1"/>
      <c r="HU31" s="1"/>
      <c r="HV31" s="1"/>
      <c r="HW31" s="1"/>
      <c r="HX31" s="1"/>
      <c r="HY31" s="1"/>
      <c r="HZ31" s="1"/>
      <c r="IA31" s="1"/>
      <c r="IB31" s="1"/>
      <c r="IC31" s="1"/>
      <c r="ID31" s="1"/>
      <c r="IE31" s="1"/>
      <c r="IF31" s="1"/>
      <c r="IG31" s="1"/>
      <c r="IQ31" s="2122"/>
      <c r="IR31" s="2066"/>
      <c r="IS31" s="2066"/>
      <c r="IT31" s="2066"/>
      <c r="IU31" s="2066"/>
      <c r="IV31" s="2066"/>
      <c r="IX31" s="496"/>
      <c r="IY31" s="2066"/>
      <c r="IZ31" s="2066"/>
    </row>
    <row r="32" spans="1:327" ht="12.75" customHeight="1">
      <c r="C32" s="2066"/>
      <c r="E32" s="2081"/>
      <c r="F32" s="2081"/>
      <c r="G32" s="2066"/>
      <c r="W32" s="2066"/>
      <c r="AF32" s="179"/>
      <c r="AG32" s="569">
        <v>0.1249</v>
      </c>
      <c r="AH32" s="570">
        <v>10.83</v>
      </c>
      <c r="AI32" s="1950">
        <v>2.8000000000000001E-2</v>
      </c>
      <c r="AJ32" s="569">
        <v>0.1249</v>
      </c>
      <c r="AK32" s="570">
        <v>10.84</v>
      </c>
      <c r="AL32" s="1950">
        <v>0.01</v>
      </c>
      <c r="AM32" s="559"/>
      <c r="AN32" s="559"/>
      <c r="AO32" s="559"/>
      <c r="AP32" s="125"/>
      <c r="BO32" s="2083">
        <v>0.13</v>
      </c>
      <c r="BP32" s="567">
        <v>0.1225</v>
      </c>
      <c r="BQ32" s="567"/>
      <c r="BR32" s="567"/>
      <c r="GB32" s="505"/>
      <c r="GC32" s="486"/>
      <c r="GD32" s="488"/>
      <c r="GH32" s="2066"/>
      <c r="GJ32" s="2066"/>
      <c r="HE32" s="179"/>
      <c r="HF32" s="179"/>
      <c r="HG32" s="179"/>
      <c r="HH32" s="179"/>
      <c r="HI32" s="179"/>
      <c r="HJ32" s="179"/>
      <c r="HK32" s="602"/>
      <c r="HL32" s="1"/>
      <c r="HM32" s="1"/>
      <c r="HN32" s="602"/>
      <c r="HO32" s="602"/>
      <c r="HP32" s="1"/>
      <c r="HQ32" s="1"/>
      <c r="HR32" s="1"/>
      <c r="HS32" s="1"/>
      <c r="HT32" s="1"/>
      <c r="HU32" s="1"/>
      <c r="HV32" s="1"/>
      <c r="HW32" s="1"/>
      <c r="HX32" s="1"/>
      <c r="HY32" s="1"/>
      <c r="HZ32" s="1"/>
      <c r="IA32" s="1"/>
      <c r="IB32" s="1"/>
      <c r="IC32" s="1"/>
      <c r="ID32" s="1"/>
      <c r="IE32" s="1"/>
      <c r="IF32" s="1"/>
      <c r="IG32" s="1"/>
      <c r="IX32" s="558"/>
      <c r="IY32" s="2124"/>
      <c r="IZ32" s="2124"/>
    </row>
    <row r="33" spans="1:260">
      <c r="C33" s="2066"/>
      <c r="E33" s="2081"/>
      <c r="F33" s="2081"/>
      <c r="G33" s="2066"/>
      <c r="W33" s="2066"/>
      <c r="AF33" s="179"/>
      <c r="AG33" s="572">
        <v>0.1275</v>
      </c>
      <c r="AH33" s="573">
        <v>11</v>
      </c>
      <c r="AI33" s="1951">
        <v>2.8000000000000001E-2</v>
      </c>
      <c r="AJ33" s="572">
        <v>0.1275</v>
      </c>
      <c r="AK33" s="573">
        <v>11.1</v>
      </c>
      <c r="AL33" s="1951">
        <v>8.8000000000000005E-3</v>
      </c>
      <c r="AM33" s="560"/>
      <c r="AN33" s="560"/>
      <c r="AO33" s="560"/>
      <c r="AP33" s="125"/>
      <c r="BC33" s="2066"/>
      <c r="BD33" s="2066"/>
      <c r="BE33" s="2066"/>
      <c r="BF33" s="2066"/>
      <c r="BO33" s="2125">
        <v>0.13250000000000001</v>
      </c>
      <c r="BP33" s="604">
        <v>0.1225</v>
      </c>
      <c r="BQ33" s="604"/>
      <c r="BR33" s="604">
        <v>0.08</v>
      </c>
      <c r="GB33" s="505"/>
      <c r="GC33" s="486"/>
      <c r="GD33" s="488"/>
      <c r="GH33" s="2066"/>
      <c r="GJ33" s="2066"/>
      <c r="HE33" s="179"/>
      <c r="HF33" s="179"/>
      <c r="HG33" s="179"/>
      <c r="HH33" s="179"/>
      <c r="HI33" s="179"/>
      <c r="HJ33" s="179"/>
      <c r="HK33" s="602"/>
      <c r="HL33" s="1"/>
      <c r="HM33" s="1"/>
      <c r="HN33" s="602"/>
      <c r="HO33" s="602"/>
      <c r="HP33" s="1"/>
      <c r="HQ33" s="1"/>
      <c r="HR33" s="1"/>
      <c r="HS33" s="1"/>
      <c r="HT33" s="1"/>
      <c r="HU33" s="1"/>
      <c r="HV33" s="1"/>
      <c r="HW33" s="1"/>
      <c r="HX33" s="1"/>
      <c r="HY33" s="1"/>
      <c r="HZ33" s="1"/>
      <c r="IA33" s="1"/>
      <c r="IB33" s="1"/>
      <c r="IC33" s="1"/>
      <c r="ID33" s="1"/>
      <c r="IE33" s="1"/>
      <c r="IF33" s="1"/>
      <c r="IG33" s="1"/>
      <c r="IW33" s="2066"/>
      <c r="IX33" s="2066"/>
      <c r="IY33" s="2066"/>
      <c r="IZ33" s="2066"/>
    </row>
    <row r="34" spans="1:260">
      <c r="C34" s="2066"/>
      <c r="E34" s="2081"/>
      <c r="F34" s="2081"/>
      <c r="G34" s="2066"/>
      <c r="W34" s="2066"/>
      <c r="AG34" s="578">
        <v>0.13</v>
      </c>
      <c r="AH34" s="579">
        <v>11.15</v>
      </c>
      <c r="AI34" s="1953">
        <v>2.8000000000000001E-2</v>
      </c>
      <c r="AJ34" s="578">
        <v>0.13</v>
      </c>
      <c r="AK34" s="579">
        <v>11.27</v>
      </c>
      <c r="AL34" s="1953">
        <v>8.8000000000000005E-3</v>
      </c>
      <c r="AM34" s="567"/>
      <c r="AN34" s="567"/>
      <c r="AO34" s="567"/>
      <c r="AP34" s="125"/>
      <c r="BC34" s="2066"/>
      <c r="BD34" s="2066"/>
      <c r="BE34" s="2066"/>
      <c r="BF34" s="2066"/>
      <c r="BO34" s="2126"/>
      <c r="BP34" s="2127"/>
      <c r="BQ34" s="2126"/>
      <c r="BR34" s="2126"/>
      <c r="GB34" s="505"/>
      <c r="GC34" s="486"/>
      <c r="GD34" s="488"/>
      <c r="GH34" s="2066"/>
      <c r="GJ34" s="2066"/>
      <c r="HK34" s="602"/>
      <c r="HL34" s="1"/>
      <c r="HM34" s="1"/>
      <c r="HN34" s="602"/>
      <c r="HO34" s="602"/>
      <c r="HP34" s="1"/>
      <c r="HQ34" s="1"/>
      <c r="HR34" s="1"/>
      <c r="HS34" s="1"/>
      <c r="HT34" s="1"/>
      <c r="HU34" s="1"/>
      <c r="HV34" s="1"/>
      <c r="HW34" s="1"/>
      <c r="HX34" s="1"/>
      <c r="HY34" s="1"/>
      <c r="HZ34" s="1"/>
      <c r="IA34" s="1"/>
      <c r="IB34" s="1"/>
      <c r="IC34" s="1"/>
      <c r="ID34" s="1"/>
      <c r="IE34" s="1"/>
      <c r="IF34" s="1"/>
      <c r="IG34" s="1"/>
      <c r="IW34" s="2066"/>
      <c r="IX34" s="2066"/>
      <c r="IY34" s="2066"/>
      <c r="IZ34" s="2066"/>
    </row>
    <row r="35" spans="1:260" ht="11.25" customHeight="1">
      <c r="A35" s="538"/>
      <c r="B35" s="538"/>
      <c r="C35" s="2128"/>
      <c r="D35" s="538"/>
      <c r="E35" s="2129"/>
      <c r="F35" s="2129"/>
      <c r="G35" s="2128"/>
      <c r="H35" s="538"/>
      <c r="I35" s="538"/>
      <c r="J35" s="538"/>
      <c r="K35" s="538"/>
      <c r="L35" s="538"/>
      <c r="M35" s="538"/>
      <c r="N35" s="538"/>
      <c r="O35" s="538"/>
      <c r="P35" s="538"/>
      <c r="Q35" s="538"/>
      <c r="R35" s="538"/>
      <c r="S35" s="538"/>
      <c r="T35" s="538"/>
      <c r="U35" s="538"/>
      <c r="V35" s="538"/>
      <c r="W35" s="2128"/>
      <c r="X35" s="538"/>
      <c r="Y35" s="538"/>
      <c r="Z35" s="538"/>
      <c r="AA35" s="538"/>
      <c r="AB35" s="538"/>
      <c r="AC35" s="538"/>
      <c r="AE35" s="538"/>
      <c r="AF35" s="463"/>
      <c r="AG35" s="582">
        <v>0.13250000000000001</v>
      </c>
      <c r="AH35" s="583">
        <v>11.31</v>
      </c>
      <c r="AI35" s="1954">
        <v>2.8000000000000001E-2</v>
      </c>
      <c r="AJ35" s="582">
        <v>0.13250000000000001</v>
      </c>
      <c r="AK35" s="583">
        <v>11.45</v>
      </c>
      <c r="AL35" s="1954">
        <v>8.8000000000000005E-3</v>
      </c>
      <c r="AM35" s="574"/>
      <c r="AN35" s="574"/>
      <c r="AO35" s="574"/>
      <c r="BC35" s="2066"/>
      <c r="BD35" s="2066"/>
      <c r="BE35" s="2066"/>
      <c r="BF35" s="2066"/>
      <c r="BO35" s="2126"/>
      <c r="BP35" s="2127"/>
      <c r="BQ35" s="2126"/>
      <c r="BR35" s="2126"/>
      <c r="GB35" s="505"/>
      <c r="GC35" s="486"/>
      <c r="GD35" s="488"/>
      <c r="GF35" s="538"/>
      <c r="GG35" s="538"/>
      <c r="GH35" s="2128"/>
      <c r="GI35" s="538"/>
      <c r="GJ35" s="2128"/>
      <c r="GK35" s="538"/>
      <c r="GL35" s="538"/>
      <c r="GM35" s="538"/>
      <c r="GN35" s="538"/>
      <c r="GO35" s="538"/>
      <c r="GP35" s="538"/>
      <c r="GQ35" s="538"/>
      <c r="GR35" s="538"/>
      <c r="GS35" s="538"/>
      <c r="GT35" s="538"/>
      <c r="GU35" s="538"/>
      <c r="GV35" s="538"/>
      <c r="GW35" s="538"/>
      <c r="GX35" s="538"/>
      <c r="GY35" s="538"/>
      <c r="GZ35" s="538"/>
      <c r="HA35" s="538"/>
      <c r="HB35" s="538"/>
      <c r="HD35" s="538"/>
      <c r="HE35" s="463"/>
      <c r="HF35" s="463"/>
      <c r="HG35" s="463"/>
      <c r="HH35" s="463"/>
      <c r="HI35" s="463"/>
      <c r="HJ35" s="463"/>
      <c r="HK35" s="125"/>
      <c r="HL35" s="1"/>
      <c r="HM35" s="1"/>
      <c r="HN35" s="125"/>
      <c r="HO35" s="125"/>
      <c r="HP35" s="1"/>
      <c r="HQ35" s="1"/>
      <c r="HR35" s="1"/>
      <c r="HS35" s="1"/>
      <c r="HT35" s="1"/>
      <c r="HU35" s="1"/>
      <c r="HV35" s="1"/>
      <c r="HW35" s="1"/>
      <c r="HX35" s="1"/>
      <c r="HY35" s="1"/>
      <c r="HZ35" s="1"/>
      <c r="IA35" s="1"/>
      <c r="IB35" s="1"/>
      <c r="IC35" s="1"/>
      <c r="ID35" s="1"/>
      <c r="IE35" s="1"/>
      <c r="IF35" s="1"/>
      <c r="IG35" s="1"/>
      <c r="IQ35" s="2204"/>
      <c r="IR35" s="616"/>
      <c r="IS35" s="617"/>
      <c r="IT35" s="617"/>
      <c r="IU35" s="617"/>
      <c r="IV35" s="617"/>
      <c r="IW35" s="2205"/>
      <c r="IX35" s="2205"/>
      <c r="IY35" s="2205"/>
      <c r="IZ35" s="2205"/>
    </row>
    <row r="36" spans="1:260">
      <c r="A36" s="538"/>
      <c r="B36" s="538"/>
      <c r="C36" s="2128"/>
      <c r="D36" s="538"/>
      <c r="E36" s="2129"/>
      <c r="F36" s="2129"/>
      <c r="G36" s="2128"/>
      <c r="H36" s="538"/>
      <c r="I36" s="538"/>
      <c r="J36" s="538"/>
      <c r="K36" s="538"/>
      <c r="L36" s="538"/>
      <c r="M36" s="538"/>
      <c r="N36" s="538"/>
      <c r="O36" s="538"/>
      <c r="P36" s="538"/>
      <c r="Q36" s="538"/>
      <c r="R36" s="538"/>
      <c r="S36" s="538"/>
      <c r="T36" s="538"/>
      <c r="U36" s="538"/>
      <c r="V36" s="538"/>
      <c r="W36" s="2128"/>
      <c r="X36" s="538"/>
      <c r="Y36" s="538"/>
      <c r="Z36" s="538"/>
      <c r="AA36" s="538"/>
      <c r="AB36" s="538"/>
      <c r="AC36" s="538"/>
      <c r="AE36" s="538"/>
      <c r="AF36" s="463"/>
      <c r="AG36" s="605"/>
      <c r="AH36" s="608"/>
      <c r="AI36" s="606"/>
      <c r="AJ36" s="605"/>
      <c r="AK36" s="609"/>
      <c r="AL36" s="606"/>
      <c r="AM36" s="606"/>
      <c r="AN36" s="606"/>
      <c r="AO36" s="606"/>
      <c r="BA36" s="2122"/>
      <c r="BB36" s="2066"/>
      <c r="BC36" s="2066"/>
      <c r="BD36" s="2066"/>
      <c r="BE36" s="2066"/>
      <c r="BF36" s="2066"/>
      <c r="BO36" s="2126"/>
      <c r="BP36" s="2127"/>
      <c r="BQ36" s="2126"/>
      <c r="BR36" s="2126"/>
      <c r="GB36" s="505"/>
      <c r="GC36" s="486"/>
      <c r="GD36" s="488"/>
      <c r="GF36" s="538"/>
      <c r="GG36" s="538"/>
      <c r="GH36" s="2128"/>
      <c r="GI36" s="538"/>
      <c r="GJ36" s="2128"/>
      <c r="GK36" s="538"/>
      <c r="GL36" s="538"/>
      <c r="GM36" s="538"/>
      <c r="GN36" s="538"/>
      <c r="GO36" s="538"/>
      <c r="GP36" s="538"/>
      <c r="GQ36" s="538"/>
      <c r="GR36" s="538"/>
      <c r="GS36" s="538"/>
      <c r="GT36" s="538"/>
      <c r="GU36" s="538"/>
      <c r="GV36" s="538"/>
      <c r="GW36" s="538"/>
      <c r="GX36" s="538"/>
      <c r="GY36" s="538"/>
      <c r="GZ36" s="538"/>
      <c r="HA36" s="538"/>
      <c r="HB36" s="538"/>
      <c r="HD36" s="538"/>
      <c r="HE36" s="463"/>
      <c r="HF36" s="463"/>
      <c r="HG36" s="463"/>
      <c r="HH36" s="463"/>
      <c r="HI36" s="463"/>
      <c r="HJ36" s="463"/>
      <c r="HK36" s="125"/>
      <c r="HL36" s="1"/>
      <c r="HM36" s="1"/>
      <c r="HN36" s="125"/>
      <c r="HO36" s="125"/>
      <c r="HP36" s="1"/>
      <c r="HQ36" s="1"/>
      <c r="HR36" s="1"/>
      <c r="HS36" s="1"/>
      <c r="HT36" s="1"/>
      <c r="HU36" s="1"/>
      <c r="HV36" s="1"/>
      <c r="HW36" s="1"/>
      <c r="HX36" s="1"/>
      <c r="HY36" s="1"/>
      <c r="HZ36" s="1"/>
      <c r="IA36" s="1"/>
      <c r="IB36" s="1"/>
      <c r="IC36" s="1"/>
      <c r="ID36" s="1"/>
      <c r="IE36" s="1"/>
      <c r="IF36" s="1"/>
      <c r="IG36" s="1"/>
      <c r="IQ36" s="2204"/>
      <c r="IR36" s="616"/>
      <c r="IS36" s="618"/>
      <c r="IT36" s="618"/>
      <c r="IU36" s="618"/>
      <c r="IV36" s="618"/>
      <c r="IW36" s="618"/>
      <c r="IX36" s="618"/>
      <c r="IY36" s="618"/>
      <c r="IZ36" s="618"/>
    </row>
    <row r="37" spans="1:260">
      <c r="A37" s="538"/>
      <c r="B37" s="538"/>
      <c r="C37" s="2128"/>
      <c r="D37" s="538"/>
      <c r="E37" s="2129"/>
      <c r="F37" s="2129"/>
      <c r="G37" s="2128"/>
      <c r="H37" s="538"/>
      <c r="I37" s="538"/>
      <c r="J37" s="538"/>
      <c r="K37" s="538"/>
      <c r="L37" s="538"/>
      <c r="M37" s="538"/>
      <c r="N37" s="538"/>
      <c r="O37" s="538"/>
      <c r="P37" s="538"/>
      <c r="Q37" s="538"/>
      <c r="R37" s="538"/>
      <c r="S37" s="538"/>
      <c r="T37" s="538"/>
      <c r="U37" s="538"/>
      <c r="V37" s="538"/>
      <c r="W37" s="2128"/>
      <c r="X37" s="538"/>
      <c r="Y37" s="538"/>
      <c r="Z37" s="538"/>
      <c r="AA37" s="538"/>
      <c r="AB37" s="538"/>
      <c r="AC37" s="538"/>
      <c r="AE37" s="538"/>
      <c r="AF37" s="538"/>
      <c r="AG37" s="605"/>
      <c r="AH37" s="608"/>
      <c r="AI37" s="606"/>
      <c r="AJ37" s="605"/>
      <c r="AK37" s="609"/>
      <c r="AL37" s="606"/>
      <c r="AM37" s="606"/>
      <c r="AN37" s="606"/>
      <c r="AO37" s="606"/>
      <c r="BO37" s="2126"/>
      <c r="BP37" s="2127"/>
      <c r="BQ37" s="2126"/>
      <c r="BR37" s="2126"/>
      <c r="GB37" s="505"/>
      <c r="GC37" s="486"/>
      <c r="GD37" s="488"/>
      <c r="GF37" s="538"/>
      <c r="GG37" s="538"/>
      <c r="GH37" s="2128"/>
      <c r="GI37" s="538"/>
      <c r="GJ37" s="2128"/>
      <c r="GK37" s="538"/>
      <c r="GL37" s="538"/>
      <c r="GM37" s="538"/>
      <c r="GN37" s="538"/>
      <c r="GO37" s="538"/>
      <c r="GP37" s="538"/>
      <c r="GQ37" s="538"/>
      <c r="GR37" s="538"/>
      <c r="GS37" s="538"/>
      <c r="GT37" s="538"/>
      <c r="GU37" s="538"/>
      <c r="GV37" s="538"/>
      <c r="GW37" s="538"/>
      <c r="GX37" s="538"/>
      <c r="GY37" s="538"/>
      <c r="GZ37" s="538"/>
      <c r="HA37" s="538"/>
      <c r="HB37" s="538"/>
      <c r="HD37" s="538"/>
      <c r="HE37" s="538"/>
      <c r="HF37" s="538"/>
      <c r="HG37" s="538"/>
      <c r="HH37" s="538"/>
      <c r="HI37" s="538"/>
      <c r="HJ37" s="538"/>
      <c r="IQ37" s="2206"/>
      <c r="IR37" s="619"/>
      <c r="IS37" s="620"/>
      <c r="IT37" s="620"/>
      <c r="IU37" s="620"/>
      <c r="IV37" s="620"/>
      <c r="IW37" s="620"/>
      <c r="IX37" s="620"/>
      <c r="IY37" s="620"/>
      <c r="IZ37" s="620"/>
    </row>
    <row r="38" spans="1:260">
      <c r="A38" s="538"/>
      <c r="B38" s="538"/>
      <c r="C38" s="2128"/>
      <c r="D38" s="538"/>
      <c r="E38" s="2129"/>
      <c r="F38" s="2129"/>
      <c r="G38" s="2128"/>
      <c r="H38" s="538"/>
      <c r="I38" s="538"/>
      <c r="J38" s="538"/>
      <c r="K38" s="538"/>
      <c r="L38" s="538"/>
      <c r="M38" s="538"/>
      <c r="N38" s="538"/>
      <c r="O38" s="538"/>
      <c r="P38" s="538"/>
      <c r="Q38" s="538"/>
      <c r="R38" s="538"/>
      <c r="S38" s="538"/>
      <c r="T38" s="538"/>
      <c r="U38" s="538"/>
      <c r="V38" s="538"/>
      <c r="W38" s="2128"/>
      <c r="X38" s="538"/>
      <c r="Y38" s="538"/>
      <c r="Z38" s="538"/>
      <c r="AA38" s="538"/>
      <c r="AB38" s="538"/>
      <c r="AC38" s="538"/>
      <c r="AE38" s="538"/>
      <c r="AF38" s="538"/>
      <c r="AG38" s="2126"/>
      <c r="AH38" s="610"/>
      <c r="AI38" s="2130"/>
      <c r="AJ38" s="2126"/>
      <c r="AK38" s="610"/>
      <c r="AL38" s="611"/>
      <c r="AM38" s="611"/>
      <c r="AN38" s="611"/>
      <c r="AO38" s="611"/>
      <c r="BO38" s="2126"/>
      <c r="BP38" s="2127"/>
      <c r="BQ38" s="2126"/>
      <c r="BR38" s="2126"/>
      <c r="GB38" s="505"/>
      <c r="GC38" s="486"/>
      <c r="GD38" s="488"/>
      <c r="GF38" s="538"/>
      <c r="GG38" s="538"/>
      <c r="GH38" s="2128"/>
      <c r="GI38" s="538"/>
      <c r="GJ38" s="2128"/>
      <c r="GK38" s="538"/>
      <c r="GL38" s="538"/>
      <c r="GM38" s="538"/>
      <c r="GN38" s="538"/>
      <c r="GO38" s="538"/>
      <c r="GP38" s="538"/>
      <c r="GQ38" s="538"/>
      <c r="GR38" s="538"/>
      <c r="GS38" s="538"/>
      <c r="GT38" s="538"/>
      <c r="GU38" s="538"/>
      <c r="GV38" s="538"/>
      <c r="GW38" s="538"/>
      <c r="GX38" s="538"/>
      <c r="GY38" s="538"/>
      <c r="GZ38" s="538"/>
      <c r="HA38" s="538"/>
      <c r="HB38" s="538"/>
      <c r="HD38" s="538"/>
      <c r="HE38" s="538"/>
      <c r="HF38" s="538"/>
      <c r="HG38" s="538"/>
      <c r="HH38" s="538"/>
      <c r="HI38" s="538"/>
      <c r="HJ38" s="538"/>
      <c r="IQ38" s="2206"/>
      <c r="IR38" s="619"/>
      <c r="IS38" s="620"/>
      <c r="IT38" s="620"/>
      <c r="IU38" s="620"/>
      <c r="IV38" s="620"/>
      <c r="IW38" s="620"/>
      <c r="IX38" s="620"/>
      <c r="IY38" s="620"/>
      <c r="IZ38" s="620"/>
    </row>
    <row r="39" spans="1:260">
      <c r="A39" s="538"/>
      <c r="B39" s="538"/>
      <c r="C39" s="2128"/>
      <c r="D39" s="538"/>
      <c r="E39" s="2129"/>
      <c r="F39" s="2129"/>
      <c r="G39" s="2128"/>
      <c r="H39" s="538"/>
      <c r="I39" s="538"/>
      <c r="J39" s="538"/>
      <c r="K39" s="538"/>
      <c r="L39" s="538"/>
      <c r="M39" s="538"/>
      <c r="N39" s="538"/>
      <c r="O39" s="538"/>
      <c r="P39" s="538"/>
      <c r="Q39" s="538"/>
      <c r="R39" s="538"/>
      <c r="S39" s="538"/>
      <c r="T39" s="538"/>
      <c r="U39" s="538"/>
      <c r="V39" s="538"/>
      <c r="W39" s="2128"/>
      <c r="X39" s="538"/>
      <c r="Y39" s="538"/>
      <c r="Z39" s="538"/>
      <c r="AA39" s="538"/>
      <c r="AB39" s="538"/>
      <c r="AC39" s="538"/>
      <c r="AE39" s="538"/>
      <c r="AF39" s="538"/>
      <c r="AG39" s="2130"/>
      <c r="AH39" s="608"/>
      <c r="AI39" s="606"/>
      <c r="AJ39" s="2130"/>
      <c r="AK39" s="612"/>
      <c r="AL39" s="607"/>
      <c r="AM39" s="607"/>
      <c r="AN39" s="607"/>
      <c r="AO39" s="607"/>
      <c r="BO39" s="2126"/>
      <c r="BP39" s="2127"/>
      <c r="BQ39" s="2126"/>
      <c r="BR39" s="2126"/>
      <c r="GB39" s="505"/>
      <c r="GC39" s="486"/>
      <c r="GD39" s="488"/>
      <c r="GF39" s="538"/>
      <c r="GG39" s="538"/>
      <c r="GH39" s="2128"/>
      <c r="GI39" s="538"/>
      <c r="GJ39" s="2128"/>
      <c r="GK39" s="538"/>
      <c r="GL39" s="538"/>
      <c r="GM39" s="538"/>
      <c r="GN39" s="538"/>
      <c r="GO39" s="538"/>
      <c r="GP39" s="538"/>
      <c r="GQ39" s="538"/>
      <c r="GR39" s="538"/>
      <c r="GS39" s="538"/>
      <c r="GT39" s="538"/>
      <c r="GU39" s="538"/>
      <c r="GV39" s="538"/>
      <c r="GW39" s="538"/>
      <c r="GX39" s="538"/>
      <c r="GY39" s="538"/>
      <c r="GZ39" s="538"/>
      <c r="HA39" s="538"/>
      <c r="HB39" s="538"/>
      <c r="HD39" s="538"/>
      <c r="HE39" s="538"/>
      <c r="HF39" s="538"/>
      <c r="HG39" s="538"/>
      <c r="HH39" s="538"/>
      <c r="HI39" s="538"/>
      <c r="HJ39" s="538"/>
      <c r="IQ39" s="2206"/>
      <c r="IR39" s="619"/>
      <c r="IS39" s="620"/>
      <c r="IT39" s="620"/>
      <c r="IU39" s="620"/>
      <c r="IV39" s="620"/>
      <c r="IW39" s="620"/>
      <c r="IX39" s="620"/>
      <c r="IY39" s="620"/>
      <c r="IZ39" s="620"/>
    </row>
    <row r="40" spans="1:260">
      <c r="A40" s="538"/>
      <c r="B40" s="538"/>
      <c r="C40" s="2128"/>
      <c r="D40" s="538"/>
      <c r="E40" s="2129"/>
      <c r="F40" s="2129"/>
      <c r="G40" s="2128"/>
      <c r="H40" s="538"/>
      <c r="I40" s="538"/>
      <c r="J40" s="538"/>
      <c r="K40" s="538"/>
      <c r="L40" s="538"/>
      <c r="M40" s="538"/>
      <c r="N40" s="538"/>
      <c r="O40" s="538"/>
      <c r="P40" s="538"/>
      <c r="Q40" s="538"/>
      <c r="R40" s="538"/>
      <c r="S40" s="538"/>
      <c r="T40" s="538"/>
      <c r="U40" s="538"/>
      <c r="V40" s="538"/>
      <c r="W40" s="2128"/>
      <c r="X40" s="538"/>
      <c r="Y40" s="538"/>
      <c r="Z40" s="538"/>
      <c r="AA40" s="538"/>
      <c r="AB40" s="538"/>
      <c r="AC40" s="538"/>
      <c r="AE40" s="538"/>
      <c r="AF40" s="538"/>
      <c r="AG40" s="2126"/>
      <c r="AH40" s="2129"/>
      <c r="AI40" s="2130"/>
      <c r="AJ40" s="2126"/>
      <c r="AK40" s="2129"/>
      <c r="AL40" s="2131"/>
      <c r="AM40" s="2131"/>
      <c r="AN40" s="2131"/>
      <c r="AO40" s="2131"/>
      <c r="BO40" s="2126"/>
      <c r="BP40" s="2127"/>
      <c r="BQ40" s="2126"/>
      <c r="BR40" s="2126"/>
      <c r="GB40" s="505"/>
      <c r="GC40" s="486"/>
      <c r="GD40" s="488"/>
      <c r="GF40" s="538"/>
      <c r="GG40" s="538"/>
      <c r="GH40" s="2128"/>
      <c r="GI40" s="538"/>
      <c r="GJ40" s="2128"/>
      <c r="GK40" s="538"/>
      <c r="GL40" s="538"/>
      <c r="GM40" s="538"/>
      <c r="GN40" s="538"/>
      <c r="GO40" s="538"/>
      <c r="GP40" s="538"/>
      <c r="GQ40" s="538"/>
      <c r="GR40" s="538"/>
      <c r="GS40" s="538"/>
      <c r="GT40" s="538"/>
      <c r="GU40" s="538"/>
      <c r="GV40" s="538"/>
      <c r="GW40" s="538"/>
      <c r="GX40" s="538"/>
      <c r="GY40" s="538"/>
      <c r="GZ40" s="538"/>
      <c r="HA40" s="538"/>
      <c r="HB40" s="538"/>
      <c r="HD40" s="538"/>
      <c r="HE40" s="538"/>
      <c r="HF40" s="538"/>
      <c r="HG40" s="538"/>
      <c r="HH40" s="538"/>
      <c r="HI40" s="538"/>
      <c r="HJ40" s="538"/>
      <c r="IQ40" s="2206"/>
      <c r="IR40" s="619"/>
      <c r="IS40" s="620"/>
      <c r="IT40" s="620"/>
      <c r="IU40" s="620"/>
      <c r="IV40" s="620"/>
      <c r="IW40" s="620"/>
      <c r="IX40" s="620"/>
      <c r="IY40" s="620"/>
      <c r="IZ40" s="620"/>
    </row>
    <row r="41" spans="1:260">
      <c r="A41" s="538"/>
      <c r="B41" s="538"/>
      <c r="C41" s="2128"/>
      <c r="D41" s="538"/>
      <c r="E41" s="2129"/>
      <c r="F41" s="2129"/>
      <c r="G41" s="2128"/>
      <c r="H41" s="538"/>
      <c r="I41" s="538"/>
      <c r="J41" s="538"/>
      <c r="K41" s="538"/>
      <c r="L41" s="538"/>
      <c r="M41" s="538"/>
      <c r="N41" s="538"/>
      <c r="O41" s="538"/>
      <c r="P41" s="538"/>
      <c r="Q41" s="538"/>
      <c r="R41" s="538"/>
      <c r="S41" s="538"/>
      <c r="T41" s="538"/>
      <c r="U41" s="538"/>
      <c r="V41" s="538"/>
      <c r="W41" s="2128"/>
      <c r="X41" s="538"/>
      <c r="Y41" s="538"/>
      <c r="Z41" s="538"/>
      <c r="AA41" s="538"/>
      <c r="AB41" s="538"/>
      <c r="AC41" s="538"/>
      <c r="AE41" s="538"/>
      <c r="AF41" s="538"/>
      <c r="AG41" s="2126"/>
      <c r="AH41" s="2129"/>
      <c r="AI41" s="2130"/>
      <c r="AJ41" s="2126"/>
      <c r="AK41" s="2129"/>
      <c r="AL41" s="2131"/>
      <c r="AM41" s="2131"/>
      <c r="AN41" s="2131"/>
      <c r="AO41" s="2131"/>
      <c r="BO41" s="2126"/>
      <c r="BP41" s="2127"/>
      <c r="BQ41" s="2126"/>
      <c r="BR41" s="2126"/>
      <c r="GB41" s="505"/>
      <c r="GC41" s="486"/>
      <c r="GD41" s="488"/>
      <c r="GF41" s="538"/>
      <c r="GG41" s="538"/>
      <c r="GH41" s="2128"/>
      <c r="GI41" s="538"/>
      <c r="GJ41" s="2128"/>
      <c r="GK41" s="538"/>
      <c r="GL41" s="538"/>
      <c r="GM41" s="538"/>
      <c r="GN41" s="538"/>
      <c r="GO41" s="538"/>
      <c r="GP41" s="538"/>
      <c r="GQ41" s="538"/>
      <c r="GR41" s="538"/>
      <c r="GS41" s="538"/>
      <c r="GT41" s="538"/>
      <c r="GU41" s="538"/>
      <c r="GV41" s="538"/>
      <c r="GW41" s="538"/>
      <c r="GX41" s="538"/>
      <c r="GY41" s="538"/>
      <c r="GZ41" s="538"/>
      <c r="HA41" s="538"/>
      <c r="HB41" s="538"/>
      <c r="HD41" s="538"/>
      <c r="HE41" s="538"/>
      <c r="HF41" s="538"/>
      <c r="HG41" s="538"/>
      <c r="HH41" s="538"/>
      <c r="HI41" s="538"/>
      <c r="HJ41" s="538"/>
      <c r="IQ41" s="2206"/>
      <c r="IR41" s="619"/>
      <c r="IS41" s="620"/>
      <c r="IT41" s="620"/>
      <c r="IU41" s="620"/>
      <c r="IV41" s="620"/>
      <c r="IW41" s="620"/>
      <c r="IX41" s="620"/>
      <c r="IY41" s="620"/>
      <c r="IZ41" s="620"/>
    </row>
    <row r="42" spans="1:260">
      <c r="A42" s="538"/>
      <c r="B42" s="538"/>
      <c r="C42" s="2128"/>
      <c r="D42" s="538"/>
      <c r="E42" s="2129"/>
      <c r="F42" s="2129"/>
      <c r="G42" s="2128"/>
      <c r="H42" s="538"/>
      <c r="I42" s="538"/>
      <c r="J42" s="538"/>
      <c r="K42" s="538"/>
      <c r="L42" s="538"/>
      <c r="M42" s="538"/>
      <c r="N42" s="538"/>
      <c r="O42" s="538"/>
      <c r="P42" s="538"/>
      <c r="Q42" s="538"/>
      <c r="R42" s="538"/>
      <c r="S42" s="538"/>
      <c r="T42" s="538"/>
      <c r="U42" s="538"/>
      <c r="V42" s="538"/>
      <c r="W42" s="2128"/>
      <c r="X42" s="538"/>
      <c r="Y42" s="538"/>
      <c r="Z42" s="538"/>
      <c r="AA42" s="538"/>
      <c r="AB42" s="538"/>
      <c r="AC42" s="538"/>
      <c r="AE42" s="538"/>
      <c r="AF42" s="538"/>
      <c r="AG42" s="2126"/>
      <c r="AH42" s="610"/>
      <c r="AI42" s="2130"/>
      <c r="AJ42" s="2126"/>
      <c r="AK42" s="613"/>
      <c r="AL42" s="611"/>
      <c r="AM42" s="611"/>
      <c r="AN42" s="611"/>
      <c r="AO42" s="611"/>
      <c r="BO42" s="2126"/>
      <c r="BP42" s="2127"/>
      <c r="BQ42" s="2126"/>
      <c r="BR42" s="2126"/>
      <c r="GB42" s="505"/>
      <c r="GC42" s="486"/>
      <c r="GD42" s="488"/>
      <c r="GF42" s="538"/>
      <c r="GG42" s="538"/>
      <c r="GH42" s="2128"/>
      <c r="GI42" s="538"/>
      <c r="GJ42" s="2128"/>
      <c r="GK42" s="538"/>
      <c r="GL42" s="538"/>
      <c r="GM42" s="538"/>
      <c r="GN42" s="538"/>
      <c r="GO42" s="538"/>
      <c r="GP42" s="538"/>
      <c r="GQ42" s="538"/>
      <c r="GR42" s="538"/>
      <c r="GS42" s="538"/>
      <c r="GT42" s="538"/>
      <c r="GU42" s="538"/>
      <c r="GV42" s="538"/>
      <c r="GW42" s="538"/>
      <c r="GX42" s="538"/>
      <c r="GY42" s="538"/>
      <c r="GZ42" s="538"/>
      <c r="HA42" s="538"/>
      <c r="HB42" s="538"/>
      <c r="HD42" s="538"/>
      <c r="HE42" s="538"/>
      <c r="HF42" s="538"/>
      <c r="HG42" s="538"/>
      <c r="HH42" s="538"/>
      <c r="HI42" s="538"/>
      <c r="HJ42" s="538"/>
      <c r="IQ42" s="2206"/>
      <c r="IR42" s="619"/>
      <c r="IS42" s="620"/>
      <c r="IT42" s="620"/>
      <c r="IU42" s="620"/>
      <c r="IV42" s="620"/>
      <c r="IW42" s="620"/>
      <c r="IX42" s="620"/>
      <c r="IY42" s="620"/>
      <c r="IZ42" s="620"/>
    </row>
    <row r="43" spans="1:260">
      <c r="A43" s="538"/>
      <c r="B43" s="538"/>
      <c r="C43" s="2128"/>
      <c r="D43" s="538"/>
      <c r="E43" s="2129"/>
      <c r="F43" s="2129"/>
      <c r="G43" s="2128"/>
      <c r="H43" s="538"/>
      <c r="I43" s="538"/>
      <c r="J43" s="538"/>
      <c r="K43" s="538"/>
      <c r="L43" s="538"/>
      <c r="M43" s="538"/>
      <c r="N43" s="538"/>
      <c r="O43" s="538"/>
      <c r="P43" s="538"/>
      <c r="Q43" s="538"/>
      <c r="R43" s="538"/>
      <c r="S43" s="538"/>
      <c r="T43" s="538"/>
      <c r="U43" s="538"/>
      <c r="V43" s="538"/>
      <c r="W43" s="2128"/>
      <c r="X43" s="538"/>
      <c r="Y43" s="538"/>
      <c r="Z43" s="538"/>
      <c r="AA43" s="538"/>
      <c r="AB43" s="538"/>
      <c r="AC43" s="538"/>
      <c r="AE43" s="538"/>
      <c r="AF43" s="538"/>
      <c r="AG43" s="2126"/>
      <c r="AH43" s="2129"/>
      <c r="AI43" s="2130"/>
      <c r="AJ43" s="2126"/>
      <c r="AK43" s="2129"/>
      <c r="AL43" s="2131"/>
      <c r="AM43" s="2131"/>
      <c r="AN43" s="2131"/>
      <c r="AO43" s="2131"/>
      <c r="BO43" s="2126"/>
      <c r="BP43" s="2127"/>
      <c r="BQ43" s="2126"/>
      <c r="BR43" s="2126"/>
      <c r="GB43" s="505"/>
      <c r="GC43" s="486"/>
      <c r="GD43" s="488"/>
      <c r="GF43" s="538"/>
      <c r="GG43" s="538"/>
      <c r="GH43" s="2128"/>
      <c r="GI43" s="538"/>
      <c r="GJ43" s="2128"/>
      <c r="GK43" s="538"/>
      <c r="GL43" s="538"/>
      <c r="GM43" s="538"/>
      <c r="GN43" s="538"/>
      <c r="GO43" s="538"/>
      <c r="GP43" s="538"/>
      <c r="GQ43" s="538"/>
      <c r="GR43" s="538"/>
      <c r="GS43" s="538"/>
      <c r="GT43" s="538"/>
      <c r="GU43" s="538"/>
      <c r="GV43" s="538"/>
      <c r="GW43" s="538"/>
      <c r="GX43" s="538"/>
      <c r="GY43" s="538"/>
      <c r="GZ43" s="538"/>
      <c r="HA43" s="538"/>
      <c r="HB43" s="538"/>
      <c r="HD43" s="538"/>
      <c r="HE43" s="538"/>
      <c r="HF43" s="538"/>
      <c r="HG43" s="538"/>
      <c r="HH43" s="538"/>
      <c r="HI43" s="538"/>
      <c r="HJ43" s="538"/>
      <c r="IQ43" s="2206"/>
      <c r="IR43" s="619"/>
      <c r="IS43" s="620"/>
      <c r="IT43" s="620"/>
      <c r="IU43" s="620"/>
      <c r="IV43" s="620"/>
      <c r="IW43" s="620"/>
      <c r="IX43" s="620"/>
      <c r="IY43" s="620"/>
      <c r="IZ43" s="620"/>
    </row>
    <row r="44" spans="1:260">
      <c r="A44" s="538"/>
      <c r="B44" s="538"/>
      <c r="C44" s="2128"/>
      <c r="D44" s="538"/>
      <c r="E44" s="2129"/>
      <c r="F44" s="2129"/>
      <c r="G44" s="2128"/>
      <c r="H44" s="538"/>
      <c r="I44" s="538"/>
      <c r="J44" s="538"/>
      <c r="K44" s="538"/>
      <c r="L44" s="538"/>
      <c r="M44" s="538"/>
      <c r="N44" s="538"/>
      <c r="O44" s="538"/>
      <c r="P44" s="538"/>
      <c r="Q44" s="538"/>
      <c r="R44" s="538"/>
      <c r="S44" s="538"/>
      <c r="T44" s="538"/>
      <c r="U44" s="538"/>
      <c r="V44" s="538"/>
      <c r="W44" s="2128"/>
      <c r="X44" s="538"/>
      <c r="Y44" s="538"/>
      <c r="Z44" s="538"/>
      <c r="AA44" s="538"/>
      <c r="AB44" s="538"/>
      <c r="AC44" s="538"/>
      <c r="AE44" s="538"/>
      <c r="AF44" s="538"/>
      <c r="AG44" s="2126"/>
      <c r="AH44" s="2129"/>
      <c r="AI44" s="2130"/>
      <c r="AJ44" s="2126"/>
      <c r="AK44" s="2129"/>
      <c r="AL44" s="2131"/>
      <c r="AM44" s="2131"/>
      <c r="AN44" s="2131"/>
      <c r="AO44" s="2131"/>
      <c r="BO44" s="614"/>
      <c r="BP44" s="2127"/>
      <c r="BQ44" s="2126"/>
      <c r="BR44" s="2126"/>
      <c r="GB44" s="505"/>
      <c r="GC44" s="486"/>
      <c r="GD44" s="488"/>
      <c r="GF44" s="538"/>
      <c r="GG44" s="538"/>
      <c r="GH44" s="2128"/>
      <c r="GI44" s="538"/>
      <c r="GJ44" s="2128"/>
      <c r="GK44" s="538"/>
      <c r="GL44" s="538"/>
      <c r="GM44" s="538"/>
      <c r="GN44" s="538"/>
      <c r="GO44" s="538"/>
      <c r="GP44" s="538"/>
      <c r="GQ44" s="538"/>
      <c r="GR44" s="538"/>
      <c r="GS44" s="538"/>
      <c r="GT44" s="538"/>
      <c r="GU44" s="538"/>
      <c r="GV44" s="538"/>
      <c r="GW44" s="538"/>
      <c r="GX44" s="538"/>
      <c r="GY44" s="538"/>
      <c r="GZ44" s="538"/>
      <c r="HA44" s="538"/>
      <c r="HB44" s="538"/>
      <c r="HD44" s="538"/>
      <c r="HE44" s="538"/>
      <c r="HF44" s="538"/>
      <c r="HG44" s="538"/>
      <c r="HH44" s="538"/>
      <c r="HI44" s="538"/>
      <c r="HJ44" s="538"/>
      <c r="IS44" s="2066"/>
      <c r="IU44" s="2081"/>
      <c r="IV44" s="2066"/>
      <c r="IX44" s="496"/>
      <c r="IY44" s="2066"/>
      <c r="IZ44" s="2066"/>
    </row>
    <row r="45" spans="1:260">
      <c r="A45" s="538"/>
      <c r="B45" s="538"/>
      <c r="C45" s="2128"/>
      <c r="D45" s="538"/>
      <c r="E45" s="2129"/>
      <c r="F45" s="2129"/>
      <c r="G45" s="2128"/>
      <c r="H45" s="538"/>
      <c r="I45" s="538"/>
      <c r="J45" s="538"/>
      <c r="K45" s="538"/>
      <c r="L45" s="538"/>
      <c r="M45" s="538"/>
      <c r="N45" s="538"/>
      <c r="O45" s="538"/>
      <c r="P45" s="538"/>
      <c r="Q45" s="538"/>
      <c r="R45" s="538"/>
      <c r="S45" s="538"/>
      <c r="T45" s="538"/>
      <c r="U45" s="538"/>
      <c r="V45" s="538"/>
      <c r="W45" s="2128"/>
      <c r="X45" s="538"/>
      <c r="Y45" s="538"/>
      <c r="Z45" s="538"/>
      <c r="AA45" s="538"/>
      <c r="AB45" s="538"/>
      <c r="AC45" s="538"/>
      <c r="AE45" s="538"/>
      <c r="AF45" s="538"/>
      <c r="AG45" s="2126"/>
      <c r="AH45" s="610"/>
      <c r="AI45" s="2130"/>
      <c r="AJ45" s="2126"/>
      <c r="AK45" s="610"/>
      <c r="AL45" s="611"/>
      <c r="AM45" s="611"/>
      <c r="AN45" s="611"/>
      <c r="AO45" s="611"/>
      <c r="BO45" s="2126"/>
      <c r="BP45" s="2127"/>
      <c r="BQ45" s="2126"/>
      <c r="BR45" s="2126"/>
      <c r="GB45" s="505"/>
      <c r="GC45" s="486"/>
      <c r="GD45" s="488"/>
      <c r="GF45" s="538"/>
      <c r="GG45" s="538"/>
      <c r="GH45" s="2128"/>
      <c r="GI45" s="538"/>
      <c r="GJ45" s="2128"/>
      <c r="GK45" s="538"/>
      <c r="GL45" s="538"/>
      <c r="GM45" s="538"/>
      <c r="GN45" s="538"/>
      <c r="GO45" s="538"/>
      <c r="GP45" s="538"/>
      <c r="GQ45" s="538"/>
      <c r="GR45" s="538"/>
      <c r="GS45" s="538"/>
      <c r="GT45" s="538"/>
      <c r="GU45" s="538"/>
      <c r="GV45" s="538"/>
      <c r="GW45" s="538"/>
      <c r="GX45" s="538"/>
      <c r="GY45" s="538"/>
      <c r="GZ45" s="538"/>
      <c r="HA45" s="538"/>
      <c r="HB45" s="538"/>
      <c r="HD45" s="538"/>
      <c r="HE45" s="538"/>
      <c r="HF45" s="538"/>
      <c r="HG45" s="538"/>
      <c r="HH45" s="538"/>
      <c r="HI45" s="538"/>
      <c r="HJ45" s="538"/>
      <c r="IS45" s="2095"/>
      <c r="IT45" s="2095"/>
      <c r="IU45" s="2095"/>
      <c r="IV45" s="2095"/>
      <c r="IW45" s="2211"/>
      <c r="IX45" s="2211"/>
      <c r="IY45" s="2211"/>
      <c r="IZ45" s="2211"/>
    </row>
    <row r="46" spans="1:260">
      <c r="A46" s="538"/>
      <c r="B46" s="538"/>
      <c r="C46" s="2128"/>
      <c r="D46" s="538"/>
      <c r="E46" s="2129"/>
      <c r="F46" s="2129"/>
      <c r="G46" s="2128"/>
      <c r="H46" s="538"/>
      <c r="I46" s="538"/>
      <c r="J46" s="538"/>
      <c r="K46" s="538"/>
      <c r="L46" s="538"/>
      <c r="M46" s="538"/>
      <c r="N46" s="538"/>
      <c r="O46" s="538"/>
      <c r="P46" s="538"/>
      <c r="Q46" s="538"/>
      <c r="R46" s="538"/>
      <c r="S46" s="538"/>
      <c r="T46" s="538"/>
      <c r="U46" s="538"/>
      <c r="V46" s="538"/>
      <c r="W46" s="2128"/>
      <c r="X46" s="538"/>
      <c r="Y46" s="538"/>
      <c r="Z46" s="538"/>
      <c r="AA46" s="538"/>
      <c r="AB46" s="538"/>
      <c r="AC46" s="538"/>
      <c r="AE46" s="538"/>
      <c r="AF46" s="538"/>
      <c r="AG46" s="2126"/>
      <c r="AH46" s="2129"/>
      <c r="AI46" s="2130"/>
      <c r="AJ46" s="2126"/>
      <c r="AK46" s="2129"/>
      <c r="AL46" s="2131"/>
      <c r="AM46" s="2131"/>
      <c r="AN46" s="2131"/>
      <c r="AO46" s="2131"/>
      <c r="BO46" s="2126"/>
      <c r="BP46" s="2127"/>
      <c r="BQ46" s="2126"/>
      <c r="BR46" s="2126"/>
      <c r="GB46" s="505"/>
      <c r="GC46" s="486"/>
      <c r="GD46" s="488"/>
      <c r="GF46" s="538"/>
      <c r="GG46" s="538"/>
      <c r="GH46" s="2128"/>
      <c r="GI46" s="538"/>
      <c r="GJ46" s="2128"/>
      <c r="GK46" s="538"/>
      <c r="GL46" s="538"/>
      <c r="GM46" s="538"/>
      <c r="GN46" s="538"/>
      <c r="GO46" s="538"/>
      <c r="GP46" s="538"/>
      <c r="GQ46" s="538"/>
      <c r="GR46" s="538"/>
      <c r="GS46" s="538"/>
      <c r="GT46" s="538"/>
      <c r="GU46" s="538"/>
      <c r="GV46" s="538"/>
      <c r="GW46" s="538"/>
      <c r="GX46" s="538"/>
      <c r="GY46" s="538"/>
      <c r="GZ46" s="538"/>
      <c r="HA46" s="538"/>
      <c r="HB46" s="538"/>
      <c r="HD46" s="538"/>
      <c r="HE46" s="538"/>
      <c r="HF46" s="538"/>
      <c r="HG46" s="538"/>
      <c r="HH46" s="538"/>
      <c r="HI46" s="538"/>
      <c r="HJ46" s="538"/>
      <c r="IS46" s="2066"/>
      <c r="IU46" s="2081"/>
      <c r="IV46" s="2066"/>
      <c r="IW46" s="468"/>
      <c r="IX46" s="468"/>
      <c r="IY46" s="468"/>
      <c r="IZ46" s="468"/>
    </row>
    <row r="47" spans="1:260">
      <c r="A47" s="538"/>
      <c r="B47" s="538"/>
      <c r="C47" s="2128"/>
      <c r="D47" s="538"/>
      <c r="E47" s="2129"/>
      <c r="F47" s="2129"/>
      <c r="G47" s="2128"/>
      <c r="H47" s="538"/>
      <c r="I47" s="538"/>
      <c r="J47" s="538"/>
      <c r="K47" s="538"/>
      <c r="L47" s="538"/>
      <c r="M47" s="538"/>
      <c r="N47" s="538"/>
      <c r="O47" s="538"/>
      <c r="P47" s="538"/>
      <c r="Q47" s="538"/>
      <c r="R47" s="538"/>
      <c r="S47" s="538"/>
      <c r="T47" s="538"/>
      <c r="U47" s="538"/>
      <c r="V47" s="538"/>
      <c r="W47" s="2128"/>
      <c r="X47" s="538"/>
      <c r="Y47" s="538"/>
      <c r="Z47" s="538"/>
      <c r="AA47" s="538"/>
      <c r="AB47" s="538"/>
      <c r="AC47" s="538"/>
      <c r="AE47" s="538"/>
      <c r="AF47" s="538"/>
      <c r="AG47" s="2126"/>
      <c r="AH47" s="610"/>
      <c r="AI47" s="2130"/>
      <c r="AJ47" s="2126"/>
      <c r="AK47" s="2129"/>
      <c r="AL47" s="2131"/>
      <c r="AM47" s="2131"/>
      <c r="AN47" s="2131"/>
      <c r="AO47" s="2131"/>
      <c r="BO47" s="2126"/>
      <c r="BP47" s="2127"/>
      <c r="BQ47" s="2126"/>
      <c r="BR47" s="2126"/>
      <c r="GB47" s="505"/>
      <c r="GC47" s="486"/>
      <c r="GD47" s="488"/>
      <c r="GF47" s="538"/>
      <c r="GG47" s="538"/>
      <c r="GH47" s="2128"/>
      <c r="GI47" s="538"/>
      <c r="GJ47" s="2128"/>
      <c r="GK47" s="538"/>
      <c r="GL47" s="538"/>
      <c r="GM47" s="538"/>
      <c r="GN47" s="538"/>
      <c r="GO47" s="538"/>
      <c r="GP47" s="538"/>
      <c r="GQ47" s="538"/>
      <c r="GR47" s="538"/>
      <c r="GS47" s="538"/>
      <c r="GT47" s="538"/>
      <c r="GU47" s="538"/>
      <c r="GV47" s="538"/>
      <c r="GW47" s="538"/>
      <c r="GX47" s="538"/>
      <c r="GY47" s="538"/>
      <c r="GZ47" s="538"/>
      <c r="HA47" s="538"/>
      <c r="HB47" s="538"/>
      <c r="HD47" s="538"/>
      <c r="HE47" s="538"/>
      <c r="HF47" s="538"/>
      <c r="HG47" s="538"/>
      <c r="HH47" s="538"/>
      <c r="HI47" s="538"/>
      <c r="HJ47" s="538"/>
      <c r="IR47" s="371"/>
      <c r="IS47" s="2132"/>
      <c r="IT47" s="371"/>
      <c r="IU47" s="2081"/>
      <c r="IV47" s="2066"/>
      <c r="IX47" s="373"/>
      <c r="IY47" s="373"/>
      <c r="IZ47" s="373"/>
    </row>
    <row r="48" spans="1:260">
      <c r="A48" s="538"/>
      <c r="B48" s="538"/>
      <c r="C48" s="2128"/>
      <c r="D48" s="538"/>
      <c r="E48" s="2129"/>
      <c r="F48" s="2129"/>
      <c r="G48" s="2128"/>
      <c r="H48" s="538"/>
      <c r="I48" s="538"/>
      <c r="J48" s="538"/>
      <c r="K48" s="538"/>
      <c r="L48" s="538"/>
      <c r="M48" s="538"/>
      <c r="N48" s="538"/>
      <c r="O48" s="538"/>
      <c r="P48" s="538"/>
      <c r="Q48" s="538"/>
      <c r="R48" s="538"/>
      <c r="S48" s="538"/>
      <c r="T48" s="538"/>
      <c r="U48" s="538"/>
      <c r="V48" s="538"/>
      <c r="W48" s="2128"/>
      <c r="X48" s="538"/>
      <c r="Y48" s="538"/>
      <c r="Z48" s="538"/>
      <c r="AA48" s="538"/>
      <c r="AB48" s="538"/>
      <c r="AC48" s="538"/>
      <c r="AE48" s="538"/>
      <c r="AF48" s="538"/>
      <c r="AG48" s="2130"/>
      <c r="AH48" s="613"/>
      <c r="AI48" s="615"/>
      <c r="AJ48" s="2130"/>
      <c r="AK48" s="613"/>
      <c r="AL48" s="615"/>
      <c r="AM48" s="615"/>
      <c r="AN48" s="615"/>
      <c r="AO48" s="615"/>
      <c r="BO48" s="2126"/>
      <c r="BP48" s="2127"/>
      <c r="BQ48" s="2126"/>
      <c r="BR48" s="2126"/>
      <c r="GB48" s="505"/>
      <c r="GC48" s="486"/>
      <c r="GD48" s="488"/>
      <c r="GF48" s="538"/>
      <c r="GG48" s="538"/>
      <c r="GH48" s="2128"/>
      <c r="GI48" s="538"/>
      <c r="GJ48" s="2128"/>
      <c r="GK48" s="538"/>
      <c r="GL48" s="538"/>
      <c r="GM48" s="538"/>
      <c r="GN48" s="538"/>
      <c r="GO48" s="538"/>
      <c r="GP48" s="538"/>
      <c r="GQ48" s="538"/>
      <c r="GR48" s="538"/>
      <c r="GS48" s="538"/>
      <c r="GT48" s="538"/>
      <c r="GU48" s="538"/>
      <c r="GV48" s="538"/>
      <c r="GW48" s="538"/>
      <c r="GX48" s="538"/>
      <c r="GY48" s="538"/>
      <c r="GZ48" s="538"/>
      <c r="HA48" s="538"/>
      <c r="HB48" s="538"/>
      <c r="HD48" s="538"/>
      <c r="HE48" s="538"/>
      <c r="HF48" s="538"/>
      <c r="HG48" s="538"/>
      <c r="HH48" s="538"/>
      <c r="HI48" s="538"/>
      <c r="HJ48" s="538"/>
      <c r="IR48" s="371"/>
      <c r="IS48" s="2132"/>
      <c r="IT48" s="371"/>
      <c r="IU48" s="2081"/>
      <c r="IV48" s="2066"/>
      <c r="IW48" s="1"/>
      <c r="IX48" s="374"/>
      <c r="IY48" s="2095"/>
      <c r="IZ48" s="2095"/>
    </row>
    <row r="49" spans="33:38">
      <c r="AG49" s="2126"/>
      <c r="AH49" s="2129"/>
      <c r="AI49" s="2130"/>
      <c r="AJ49" s="2126"/>
      <c r="AK49" s="2129"/>
      <c r="AL49" s="2131"/>
    </row>
    <row r="50" spans="33:38">
      <c r="AG50" s="2126"/>
      <c r="AH50" s="2129"/>
      <c r="AI50" s="2130"/>
      <c r="AJ50" s="2126"/>
      <c r="AK50" s="2129"/>
      <c r="AL50" s="2131"/>
    </row>
    <row r="51" spans="33:38">
      <c r="AG51" s="2126"/>
      <c r="AH51" s="2129"/>
      <c r="AI51" s="2130"/>
      <c r="AJ51" s="2126"/>
      <c r="AK51" s="2129"/>
      <c r="AL51" s="2131"/>
    </row>
    <row r="52" spans="33:38">
      <c r="AG52" s="538"/>
      <c r="AH52" s="538"/>
      <c r="AI52" s="538"/>
      <c r="AJ52" s="538"/>
      <c r="AK52" s="538"/>
      <c r="AL52" s="538"/>
    </row>
    <row r="53" spans="33:38">
      <c r="AG53" s="538"/>
      <c r="AH53" s="538"/>
      <c r="AI53" s="538"/>
      <c r="AJ53" s="538"/>
      <c r="AK53" s="538"/>
      <c r="AL53" s="538"/>
    </row>
    <row r="54" spans="33:38">
      <c r="AG54" s="538"/>
      <c r="AH54" s="538"/>
      <c r="AI54" s="538"/>
      <c r="AJ54" s="538"/>
      <c r="AK54" s="538"/>
      <c r="AL54" s="538"/>
    </row>
    <row r="55" spans="33:38">
      <c r="AG55" s="538"/>
      <c r="AH55" s="538"/>
      <c r="AI55" s="538"/>
      <c r="AJ55" s="538"/>
      <c r="AK55" s="538"/>
      <c r="AL55" s="538"/>
    </row>
    <row r="109" spans="1:196">
      <c r="A109" s="83">
        <v>1</v>
      </c>
      <c r="B109" s="83">
        <v>2</v>
      </c>
      <c r="C109" s="83">
        <v>3</v>
      </c>
      <c r="D109" s="83">
        <v>4</v>
      </c>
      <c r="E109" s="83">
        <v>5</v>
      </c>
      <c r="F109" s="83">
        <v>6</v>
      </c>
      <c r="G109" s="83">
        <v>7</v>
      </c>
      <c r="H109" s="83">
        <v>8</v>
      </c>
      <c r="I109" s="83">
        <v>9</v>
      </c>
      <c r="J109" s="83">
        <v>11</v>
      </c>
      <c r="K109" s="83">
        <v>12</v>
      </c>
      <c r="N109" s="83"/>
      <c r="O109" s="83"/>
      <c r="P109" s="83"/>
      <c r="Q109" s="83"/>
      <c r="R109" s="83"/>
      <c r="S109" s="83"/>
      <c r="T109" s="83"/>
      <c r="U109" s="83"/>
      <c r="V109" s="83"/>
      <c r="W109" s="83"/>
      <c r="X109" s="83"/>
      <c r="Y109" s="83"/>
      <c r="Z109" s="83"/>
      <c r="AA109" s="83"/>
      <c r="AB109" s="83"/>
      <c r="AC109" s="486"/>
      <c r="AD109" s="486"/>
      <c r="AE109" s="83"/>
      <c r="AF109" s="486"/>
      <c r="AG109" s="486"/>
      <c r="AH109" s="486"/>
      <c r="AI109" s="486"/>
      <c r="AJ109" s="486"/>
      <c r="AK109" s="486"/>
      <c r="AL109" s="486"/>
      <c r="AM109" s="486"/>
      <c r="AN109" s="486"/>
      <c r="AO109" s="486"/>
      <c r="AP109" s="486"/>
      <c r="AQ109" s="486"/>
      <c r="AR109" s="486"/>
      <c r="AS109" s="486"/>
      <c r="AT109" s="486"/>
      <c r="AU109" s="486"/>
      <c r="AV109" s="486"/>
      <c r="AW109" s="486"/>
      <c r="AX109" s="486"/>
      <c r="AY109" s="486"/>
      <c r="AZ109" s="486"/>
      <c r="BA109" s="486"/>
      <c r="BB109" s="486"/>
      <c r="BC109" s="486"/>
      <c r="BD109" s="486"/>
      <c r="BE109" s="486"/>
      <c r="BF109" s="486"/>
      <c r="BG109" s="486"/>
      <c r="BH109" s="486"/>
      <c r="BI109" s="486"/>
      <c r="BJ109" s="486"/>
      <c r="BK109" s="486"/>
      <c r="BL109" s="486"/>
      <c r="BM109" s="486"/>
      <c r="BN109" s="486"/>
      <c r="BO109" s="486"/>
      <c r="BP109" s="486"/>
      <c r="BQ109" s="487"/>
      <c r="BR109" s="487"/>
      <c r="BS109" s="486"/>
      <c r="BT109" s="486"/>
      <c r="BU109" s="486"/>
      <c r="BV109" s="486"/>
      <c r="BW109" s="486"/>
      <c r="BX109" s="486"/>
      <c r="BY109" s="486"/>
      <c r="BZ109" s="486"/>
      <c r="CA109" s="486"/>
      <c r="CB109" s="486"/>
      <c r="CC109" s="486"/>
      <c r="CD109" s="486"/>
      <c r="CE109" s="486"/>
      <c r="CF109" s="486"/>
      <c r="CG109" s="486"/>
      <c r="CH109" s="486"/>
      <c r="CI109" s="486"/>
      <c r="CJ109" s="486"/>
      <c r="CK109" s="486"/>
      <c r="CL109" s="486"/>
      <c r="CM109" s="486"/>
      <c r="CN109" s="486"/>
      <c r="CO109" s="486"/>
      <c r="CP109" s="486"/>
      <c r="CQ109" s="486"/>
      <c r="CR109" s="486"/>
      <c r="CS109" s="486"/>
      <c r="CT109" s="486"/>
      <c r="CU109" s="486"/>
      <c r="CV109" s="486"/>
      <c r="CW109" s="486"/>
      <c r="CX109" s="486"/>
      <c r="CY109" s="486"/>
      <c r="CZ109" s="486"/>
      <c r="DA109" s="486"/>
      <c r="DB109" s="486"/>
      <c r="DC109" s="486"/>
      <c r="DD109" s="486"/>
      <c r="DE109" s="486"/>
      <c r="DF109" s="486"/>
      <c r="DG109" s="486"/>
      <c r="DH109" s="486"/>
      <c r="DI109" s="486"/>
      <c r="DJ109" s="486"/>
      <c r="DK109" s="486"/>
      <c r="DL109" s="486"/>
      <c r="DM109" s="486"/>
      <c r="DN109" s="486"/>
      <c r="DO109" s="486"/>
      <c r="DP109" s="486"/>
      <c r="DQ109" s="486"/>
      <c r="DR109" s="486"/>
      <c r="DS109" s="486"/>
      <c r="DT109" s="486"/>
      <c r="DU109" s="486"/>
      <c r="DV109" s="486"/>
      <c r="DW109" s="486"/>
      <c r="DX109" s="486"/>
      <c r="DY109" s="486"/>
      <c r="DZ109" s="486"/>
      <c r="EA109" s="486"/>
      <c r="EB109" s="486"/>
      <c r="EC109" s="486"/>
      <c r="ED109" s="486"/>
      <c r="EE109" s="486"/>
      <c r="EF109" s="486"/>
      <c r="EG109" s="486"/>
      <c r="EH109" s="486"/>
      <c r="EI109" s="486"/>
      <c r="EJ109" s="486"/>
      <c r="EK109" s="486"/>
      <c r="EL109" s="486"/>
      <c r="EM109" s="486"/>
      <c r="EN109" s="486"/>
      <c r="EO109" s="486"/>
      <c r="EP109" s="486"/>
      <c r="EQ109" s="486"/>
      <c r="ER109" s="486"/>
      <c r="ES109" s="486"/>
      <c r="ET109" s="486"/>
      <c r="EU109" s="486"/>
      <c r="EV109" s="486"/>
      <c r="EW109" s="486"/>
      <c r="EX109" s="486"/>
      <c r="EY109" s="486"/>
      <c r="EZ109" s="486"/>
      <c r="FA109" s="486"/>
      <c r="FB109" s="486"/>
      <c r="FC109" s="486"/>
      <c r="FD109" s="486"/>
      <c r="FE109" s="486"/>
      <c r="FF109" s="486"/>
      <c r="FG109" s="486"/>
      <c r="FH109" s="486"/>
      <c r="FI109" s="486"/>
      <c r="FJ109" s="486"/>
      <c r="FK109" s="486"/>
      <c r="FL109" s="486"/>
      <c r="FM109" s="486"/>
      <c r="FN109" s="486"/>
      <c r="FO109" s="486"/>
      <c r="FP109" s="486"/>
      <c r="FQ109" s="486"/>
      <c r="GB109" s="505"/>
      <c r="GC109" s="486"/>
      <c r="GD109" s="488"/>
      <c r="GE109" s="488"/>
      <c r="GF109" s="867">
        <v>1</v>
      </c>
      <c r="GG109" s="867">
        <v>2</v>
      </c>
      <c r="GH109" s="867">
        <v>3</v>
      </c>
      <c r="GI109" s="867">
        <v>4</v>
      </c>
      <c r="GJ109" s="867">
        <v>5</v>
      </c>
      <c r="GK109" s="867">
        <v>6</v>
      </c>
      <c r="GL109" s="867">
        <v>7</v>
      </c>
      <c r="GM109" s="867">
        <v>8</v>
      </c>
      <c r="GN109" s="867">
        <v>9</v>
      </c>
    </row>
    <row r="110" spans="1:196" ht="39.6">
      <c r="A110" s="167" t="s">
        <v>277</v>
      </c>
      <c r="B110" s="539" t="s">
        <v>278</v>
      </c>
      <c r="C110" s="540" t="s">
        <v>279</v>
      </c>
      <c r="D110" s="541" t="s">
        <v>11</v>
      </c>
      <c r="E110" s="542" t="s">
        <v>280</v>
      </c>
      <c r="F110" s="543" t="s">
        <v>281</v>
      </c>
      <c r="G110" s="469" t="s">
        <v>282</v>
      </c>
      <c r="H110" s="739" t="s">
        <v>283</v>
      </c>
      <c r="I110" s="544" t="s">
        <v>284</v>
      </c>
      <c r="P110" s="545"/>
      <c r="Q110" s="545"/>
      <c r="R110" s="545"/>
      <c r="S110" s="545"/>
      <c r="W110" s="2066"/>
      <c r="GB110" s="505"/>
      <c r="GC110" s="486"/>
      <c r="GD110" s="488"/>
      <c r="GF110" s="868" t="s">
        <v>285</v>
      </c>
      <c r="GG110" s="539" t="s">
        <v>278</v>
      </c>
      <c r="GH110" s="540" t="s">
        <v>279</v>
      </c>
      <c r="GI110" s="541" t="s">
        <v>11</v>
      </c>
      <c r="GJ110" s="542" t="s">
        <v>280</v>
      </c>
      <c r="GK110" s="543" t="s">
        <v>281</v>
      </c>
      <c r="GL110" s="469" t="s">
        <v>282</v>
      </c>
      <c r="GM110" s="544" t="s">
        <v>283</v>
      </c>
      <c r="GN110" s="544" t="s">
        <v>284</v>
      </c>
    </row>
    <row r="111" spans="1:196">
      <c r="A111" s="84" t="s">
        <v>286</v>
      </c>
      <c r="B111" s="2066"/>
      <c r="C111" s="372"/>
      <c r="D111" s="496"/>
      <c r="E111" s="2066"/>
      <c r="F111" s="372"/>
      <c r="G111" s="372"/>
      <c r="H111" s="2081"/>
      <c r="I111" s="2066"/>
      <c r="W111" s="2066"/>
      <c r="GB111" s="505"/>
      <c r="GC111" s="486"/>
      <c r="GD111" s="488"/>
      <c r="GF111" s="84" t="s">
        <v>287</v>
      </c>
      <c r="GG111" s="2066"/>
      <c r="GH111" s="372"/>
      <c r="GI111" s="496"/>
      <c r="GJ111" s="2066"/>
      <c r="GM111" s="2081"/>
      <c r="GN111" s="2066"/>
    </row>
    <row r="112" spans="1:196">
      <c r="A112" s="734" t="s">
        <v>61</v>
      </c>
      <c r="B112" s="2133"/>
      <c r="C112" s="546">
        <v>350</v>
      </c>
      <c r="D112" s="547"/>
      <c r="E112" s="733" t="str">
        <f>IF(AND($AQ$3=$AQ$12,$H$4=300),"VERDADERO",IF(OR($H$4=84,$H$4=96,$H$4=108,$H$4=120,$H$4=132,$H$4=144,$H$4=156,$H$4=168,$H$4=180,$H$4=240),"VERDADERO","FALSO"))</f>
        <v>FALSO</v>
      </c>
      <c r="F112" s="547" t="s">
        <v>88</v>
      </c>
      <c r="G112" s="547" t="s">
        <v>88</v>
      </c>
      <c r="H112" s="2133">
        <v>0.9</v>
      </c>
      <c r="I112" s="2091"/>
      <c r="W112" s="2066"/>
      <c r="GB112" s="505"/>
      <c r="GC112" s="486"/>
      <c r="GD112" s="488"/>
      <c r="GF112" s="506" t="s">
        <v>61</v>
      </c>
      <c r="GG112" s="2133">
        <v>0</v>
      </c>
      <c r="GH112" s="547">
        <v>0</v>
      </c>
      <c r="GI112" s="547"/>
      <c r="GJ112" s="2091" t="str">
        <f>IF(OR($GK$4=120,$GK$4=180,$GK$4=240),"VERDADERO","FALSO")</f>
        <v>FALSO</v>
      </c>
      <c r="GK112" s="547" t="s">
        <v>89</v>
      </c>
      <c r="GL112" s="547" t="s">
        <v>88</v>
      </c>
      <c r="GM112" s="2133">
        <v>0.9</v>
      </c>
      <c r="GN112" s="2091"/>
    </row>
    <row r="113" spans="1:196">
      <c r="A113" s="735" t="s">
        <v>62</v>
      </c>
      <c r="B113" s="2133">
        <v>0</v>
      </c>
      <c r="C113" s="546">
        <v>350</v>
      </c>
      <c r="D113" s="547"/>
      <c r="E113" s="733" t="str">
        <f>IF(AND($AQ$3=$AQ$12,$H$4=300),"VERDADERO",IF(OR($H$4=84,$H$4=96,$H$4=108,$H$4=120,$H$4=132,$H$4=144,$H$4=156,$H$4=168,$H$4=180,$H$4=240),"VERDADERO","FALSO"))</f>
        <v>FALSO</v>
      </c>
      <c r="F113" s="547" t="s">
        <v>88</v>
      </c>
      <c r="G113" s="547" t="s">
        <v>88</v>
      </c>
      <c r="H113" s="2133">
        <v>0.95</v>
      </c>
      <c r="I113" s="2091"/>
      <c r="W113" s="2066"/>
      <c r="GB113" s="505"/>
      <c r="GC113" s="486"/>
      <c r="GD113" s="488"/>
      <c r="GF113" s="514" t="s">
        <v>62</v>
      </c>
      <c r="GG113" s="2133">
        <v>0</v>
      </c>
      <c r="GH113" s="547">
        <v>0</v>
      </c>
      <c r="GI113" s="547"/>
      <c r="GJ113" s="2091" t="str">
        <f t="shared" ref="GJ113:GJ115" si="7">IF(OR($GK$4=120,$GK$4=180,$GK$4=240),"VERDADERO","FALSO")</f>
        <v>FALSO</v>
      </c>
      <c r="GK113" s="547" t="s">
        <v>89</v>
      </c>
      <c r="GL113" s="547" t="s">
        <v>88</v>
      </c>
      <c r="GM113" s="2082">
        <v>0.9</v>
      </c>
      <c r="GN113" s="2091"/>
    </row>
    <row r="114" spans="1:196">
      <c r="A114" s="736" t="s">
        <v>194</v>
      </c>
      <c r="B114" s="2133"/>
      <c r="C114" s="546">
        <v>350</v>
      </c>
      <c r="D114" s="547">
        <v>0</v>
      </c>
      <c r="E114" s="733" t="str">
        <f>IF(AND($AQ$3=$AQ$12,$H$4=300),"VERDADERO",IF(OR($H$4=84,$H$4=96,$H$4=108,$H$4=120,$H$4=132,$H$4=144,$H$4=156,$H$4=168,$H$4=180,$H$4=240),"VERDADERO","FALSO"))</f>
        <v>FALSO</v>
      </c>
      <c r="F114" s="547" t="s">
        <v>88</v>
      </c>
      <c r="G114" s="547" t="s">
        <v>88</v>
      </c>
      <c r="H114" s="2133">
        <v>0.9</v>
      </c>
      <c r="I114" s="2074">
        <v>1</v>
      </c>
      <c r="W114" s="2066"/>
      <c r="GB114" s="505"/>
      <c r="GC114" s="486"/>
      <c r="GD114" s="488"/>
      <c r="GF114" s="521" t="s">
        <v>194</v>
      </c>
      <c r="GG114" s="2133"/>
      <c r="GH114" s="547">
        <v>0</v>
      </c>
      <c r="GI114" s="547"/>
      <c r="GJ114" s="2091" t="str">
        <f t="shared" si="7"/>
        <v>FALSO</v>
      </c>
      <c r="GK114" s="547" t="s">
        <v>89</v>
      </c>
      <c r="GL114" s="547" t="s">
        <v>88</v>
      </c>
      <c r="GM114" s="2082">
        <v>0.9</v>
      </c>
      <c r="GN114" s="2091"/>
    </row>
    <row r="115" spans="1:196">
      <c r="A115" s="737" t="s">
        <v>202</v>
      </c>
      <c r="B115" s="2133">
        <v>0</v>
      </c>
      <c r="C115" s="546">
        <v>350</v>
      </c>
      <c r="D115" s="547"/>
      <c r="E115" s="733" t="str">
        <f t="shared" ref="E115" si="8">IF(OR($H$4=84,$H$4=96,$H$4=108,$H$4=120,$H$4=132,$H$4=144,$H$4=156,$H$4=168,$H$4=180,$H$4=240),"VERDADERO","FALSO")</f>
        <v>FALSO</v>
      </c>
      <c r="F115" s="547" t="s">
        <v>88</v>
      </c>
      <c r="G115" s="547" t="s">
        <v>88</v>
      </c>
      <c r="H115" s="2133">
        <v>0.35</v>
      </c>
      <c r="I115" s="2133"/>
      <c r="W115" s="2066"/>
      <c r="GB115" s="505"/>
      <c r="GC115" s="486"/>
      <c r="GD115" s="488"/>
      <c r="GF115" s="372" t="s">
        <v>202</v>
      </c>
      <c r="GG115" s="2133">
        <v>0</v>
      </c>
      <c r="GH115" s="547">
        <v>0</v>
      </c>
      <c r="GI115" s="547"/>
      <c r="GJ115" s="2091" t="str">
        <f t="shared" si="7"/>
        <v>FALSO</v>
      </c>
      <c r="GK115" s="547" t="s">
        <v>89</v>
      </c>
      <c r="GL115" s="547" t="s">
        <v>88</v>
      </c>
      <c r="GM115" s="2133">
        <v>0.35</v>
      </c>
      <c r="GN115" s="2133"/>
    </row>
    <row r="116" spans="1:196">
      <c r="A116" s="735" t="s">
        <v>64</v>
      </c>
      <c r="B116" s="2133">
        <v>0</v>
      </c>
      <c r="C116" s="546">
        <v>350</v>
      </c>
      <c r="D116" s="547"/>
      <c r="E116" s="733" t="str">
        <f>IF(OR($H$4=84,$H$4=96,$H$4=108,$H$4=120,$H$4=132,$H$4=144,$H$4=156,$H$4=168,$H$4=180,$H$4=192,$H$4=204,$H$4=216,$H$4=228,$H$4=240),"VERDADERO","FALSO")</f>
        <v>FALSO</v>
      </c>
      <c r="F116" s="547" t="s">
        <v>88</v>
      </c>
      <c r="G116" s="547" t="s">
        <v>88</v>
      </c>
      <c r="H116" s="2133">
        <v>0.9</v>
      </c>
      <c r="I116" s="2091"/>
      <c r="W116" s="2066"/>
      <c r="GB116" s="505"/>
      <c r="GC116" s="486"/>
      <c r="GD116" s="488"/>
      <c r="GF116" s="514" t="s">
        <v>64</v>
      </c>
      <c r="GG116" s="2133">
        <v>0</v>
      </c>
      <c r="GH116" s="547">
        <v>0</v>
      </c>
      <c r="GI116" s="547"/>
      <c r="GJ116" s="2134" t="str">
        <f t="shared" ref="GJ116" si="9">IF(OR($GK$4=84,$GK$4=96,$GK$4=108,$GK$4=120,$GK$4=132,$GK$4=144,$GK$4=156,$GK$4=168,$GK$4=180,$GK$4=240),"VERDADERO","FALSO")</f>
        <v>FALSO</v>
      </c>
      <c r="GK116" s="547" t="s">
        <v>89</v>
      </c>
      <c r="GL116" s="547" t="s">
        <v>88</v>
      </c>
      <c r="GM116" s="2133">
        <f>IF(HB4=HB15,80%,IF(OR(HA4=HA16,HA4=HA18),70%,90%))</f>
        <v>0.7</v>
      </c>
      <c r="GN116" s="2074">
        <v>1</v>
      </c>
    </row>
    <row r="117" spans="1:196">
      <c r="A117" s="738" t="s">
        <v>65</v>
      </c>
      <c r="B117" s="2133">
        <v>0</v>
      </c>
      <c r="C117" s="546">
        <v>350</v>
      </c>
      <c r="D117" s="547"/>
      <c r="E117" s="733" t="str">
        <f>IF(OR($H$4&gt;=84,$H$4&lt;=240),"VERDADERO","FALSO")</f>
        <v>VERDADERO</v>
      </c>
      <c r="F117" s="547" t="s">
        <v>88</v>
      </c>
      <c r="G117" s="547" t="s">
        <v>88</v>
      </c>
      <c r="H117" s="2133">
        <v>0.9</v>
      </c>
      <c r="I117" s="2091"/>
      <c r="W117" s="2066"/>
      <c r="GB117" s="505"/>
      <c r="GC117" s="486"/>
      <c r="GD117" s="488"/>
      <c r="GF117" s="866" t="s">
        <v>66</v>
      </c>
      <c r="GG117" s="2133">
        <v>0</v>
      </c>
      <c r="GH117" s="547">
        <v>0</v>
      </c>
      <c r="GI117" s="547"/>
      <c r="GJ117" s="2091" t="str">
        <f>IF(OR($GK$4=120,$GK$4=180,$GK$4=240),"VERDADERO","FALSO")</f>
        <v>FALSO</v>
      </c>
      <c r="GK117" s="547" t="s">
        <v>89</v>
      </c>
      <c r="GL117" s="547" t="s">
        <v>88</v>
      </c>
      <c r="GM117" s="2082">
        <v>0.5</v>
      </c>
      <c r="GN117" s="2091"/>
    </row>
    <row r="118" spans="1:196">
      <c r="A118" s="2135" t="s">
        <v>67</v>
      </c>
      <c r="B118" s="2133">
        <v>0</v>
      </c>
      <c r="C118" s="546">
        <v>350</v>
      </c>
      <c r="D118" s="547"/>
      <c r="E118" s="733" t="str">
        <f t="shared" ref="E118" si="10">IF(OR($H$4=84,$H$4=96,$H$4=108,$H$4=120,$H$4=132,$H$4=144,$H$4=156,$H$4=168,$H$4=180,$H$4=240),"VERDADERO","FALSO")</f>
        <v>FALSO</v>
      </c>
      <c r="F118" s="547" t="s">
        <v>88</v>
      </c>
      <c r="G118" s="547" t="s">
        <v>89</v>
      </c>
      <c r="H118" s="2133">
        <f>IF(E4="Construcción en Terreno Propio",100%,80%)</f>
        <v>0.8</v>
      </c>
      <c r="I118" s="2091"/>
      <c r="W118" s="2066"/>
      <c r="GB118" s="505"/>
      <c r="GC118" s="486"/>
      <c r="GD118" s="488"/>
      <c r="GF118" s="548"/>
      <c r="GG118" s="2136"/>
      <c r="GH118" s="495"/>
      <c r="GI118" s="495"/>
      <c r="GJ118" s="2137"/>
      <c r="GK118" s="495"/>
      <c r="GL118" s="548"/>
      <c r="GM118" s="2136"/>
      <c r="GN118" s="2137"/>
    </row>
    <row r="119" spans="1:196">
      <c r="A119" s="2138" t="s">
        <v>68</v>
      </c>
      <c r="B119" s="2133">
        <v>0</v>
      </c>
      <c r="C119" s="546">
        <v>350</v>
      </c>
      <c r="D119" s="549"/>
      <c r="E119" s="733" t="str">
        <f>IF(OR($H$4=84,$H$4=120,$H$4=180),"VERDADERO","FALSO")</f>
        <v>FALSO</v>
      </c>
      <c r="F119" s="547" t="s">
        <v>88</v>
      </c>
      <c r="G119" s="547" t="s">
        <v>89</v>
      </c>
      <c r="H119" s="2133">
        <v>0.7</v>
      </c>
      <c r="I119" s="2091"/>
      <c r="W119" s="2066"/>
      <c r="GB119" s="505"/>
      <c r="GC119" s="486"/>
      <c r="GD119" s="488"/>
      <c r="GF119" s="548"/>
      <c r="GG119" s="2136"/>
      <c r="GH119" s="495">
        <v>0</v>
      </c>
      <c r="GI119" s="550"/>
      <c r="GJ119" s="2137"/>
      <c r="GK119" s="495"/>
      <c r="GL119" s="548"/>
      <c r="GM119" s="2136"/>
      <c r="GN119" s="2137"/>
    </row>
    <row r="120" spans="1:196">
      <c r="A120" s="2139" t="s">
        <v>69</v>
      </c>
      <c r="B120" s="2133">
        <v>0</v>
      </c>
      <c r="C120" s="546">
        <v>350</v>
      </c>
      <c r="D120" s="549">
        <v>0.16</v>
      </c>
      <c r="E120" s="733" t="str">
        <f>IF(OR($H$4=60,$H$4=120,$H$4=180),"VERDADERO","FALSO")</f>
        <v>FALSO</v>
      </c>
      <c r="F120" s="547" t="s">
        <v>88</v>
      </c>
      <c r="G120" s="547" t="s">
        <v>89</v>
      </c>
      <c r="H120" s="2133">
        <v>0.7</v>
      </c>
      <c r="I120" s="2091"/>
      <c r="W120" s="2066"/>
      <c r="GB120" s="505"/>
      <c r="GC120" s="486"/>
      <c r="GD120" s="488"/>
      <c r="GF120" s="548"/>
      <c r="GG120" s="2136"/>
      <c r="GH120" s="495"/>
      <c r="GI120" s="550"/>
      <c r="GJ120" s="2137"/>
      <c r="GK120" s="495"/>
      <c r="GL120" s="548"/>
      <c r="GM120" s="2136"/>
      <c r="GN120" s="2137"/>
    </row>
    <row r="121" spans="1:196">
      <c r="A121" s="734" t="s">
        <v>66</v>
      </c>
      <c r="B121" s="2133"/>
      <c r="C121" s="546">
        <v>350</v>
      </c>
      <c r="D121" s="547"/>
      <c r="E121" s="733" t="str">
        <f>IF(AND($AQ$3=$AQ$12,$H$4=300),"VERDADERO",IF(OR($H$4=84,$H$4=96,$H$4=108,$H$4=120,$H$4=132,$H$4=144,$H$4=156,$H$4=168,$H$4=180,$H$4=240),"VERDADERO","FALSO"))</f>
        <v>FALSO</v>
      </c>
      <c r="F121" s="547" t="s">
        <v>88</v>
      </c>
      <c r="G121" s="547" t="s">
        <v>88</v>
      </c>
      <c r="H121" s="2133">
        <v>0.5</v>
      </c>
      <c r="I121" s="2091"/>
      <c r="J121" s="2066"/>
      <c r="W121" s="2066"/>
      <c r="GB121" s="505"/>
      <c r="GC121" s="486"/>
      <c r="GD121" s="488"/>
      <c r="GG121" s="497"/>
      <c r="GH121" s="2066"/>
      <c r="GJ121" s="2066"/>
    </row>
    <row r="157" spans="1:1">
      <c r="A157" s="2204"/>
    </row>
    <row r="158" spans="1:1">
      <c r="A158" s="2204"/>
    </row>
    <row r="159" spans="1:1">
      <c r="A159" s="2206"/>
    </row>
    <row r="160" spans="1:1">
      <c r="A160" s="2206"/>
    </row>
    <row r="161" spans="1:1">
      <c r="A161" s="2206"/>
    </row>
    <row r="162" spans="1:1">
      <c r="A162" s="2206"/>
    </row>
    <row r="163" spans="1:1">
      <c r="A163" s="2206"/>
    </row>
    <row r="164" spans="1:1">
      <c r="A164" s="2206"/>
    </row>
    <row r="165" spans="1:1">
      <c r="A165" s="2206"/>
    </row>
  </sheetData>
  <sortState xmlns:xlrd2="http://schemas.microsoft.com/office/spreadsheetml/2017/richdata2" ref="AM8:AO9">
    <sortCondition ref="AO8:AO9"/>
  </sortState>
  <mergeCells count="36">
    <mergeCell ref="AG5:AH5"/>
    <mergeCell ref="AG2:AL2"/>
    <mergeCell ref="AJ5:AL5"/>
    <mergeCell ref="EE12:EE17"/>
    <mergeCell ref="EA4:EA9"/>
    <mergeCell ref="EA2:EC2"/>
    <mergeCell ref="AM5:AO5"/>
    <mergeCell ref="GG2:GH2"/>
    <mergeCell ref="BY4:BY9"/>
    <mergeCell ref="EE4:EE9"/>
    <mergeCell ref="GB7:GB8"/>
    <mergeCell ref="GB15:GB16"/>
    <mergeCell ref="IQ35:IQ36"/>
    <mergeCell ref="IW35:IZ35"/>
    <mergeCell ref="A159:A162"/>
    <mergeCell ref="A163:A165"/>
    <mergeCell ref="K2:N2"/>
    <mergeCell ref="L5:M5"/>
    <mergeCell ref="BU4:BU9"/>
    <mergeCell ref="A157:A158"/>
    <mergeCell ref="B2:C2"/>
    <mergeCell ref="J2:J3"/>
    <mergeCell ref="I2:I3"/>
    <mergeCell ref="IQ37:IQ40"/>
    <mergeCell ref="IQ41:IQ43"/>
    <mergeCell ref="IW45:IZ45"/>
    <mergeCell ref="BA20:BF20"/>
    <mergeCell ref="U2:Y2"/>
    <mergeCell ref="KK2:KM2"/>
    <mergeCell ref="KK4:KK9"/>
    <mergeCell ref="KO4:KO9"/>
    <mergeCell ref="KO12:KO17"/>
    <mergeCell ref="GL2:GL3"/>
    <mergeCell ref="GM2:GM3"/>
    <mergeCell ref="JE4:JE9"/>
    <mergeCell ref="JI4:JI9"/>
  </mergeCells>
  <conditionalFormatting sqref="BC4:BK11 IS4:JA9">
    <cfRule type="cellIs" dxfId="280" priority="11" operator="equal">
      <formula>"SI"</formula>
    </cfRule>
  </conditionalFormatting>
  <conditionalFormatting sqref="HT7:HY7">
    <cfRule type="containsBlanks" dxfId="279" priority="4">
      <formula>LEN(TRIM(HT7))=0</formula>
    </cfRule>
  </conditionalFormatting>
  <conditionalFormatting sqref="BC12">
    <cfRule type="cellIs" dxfId="278" priority="3" operator="equal">
      <formula>"SI"</formula>
    </cfRule>
  </conditionalFormatting>
  <conditionalFormatting sqref="BD12:BE12">
    <cfRule type="cellIs" dxfId="277" priority="2" operator="equal">
      <formula>"SI"</formula>
    </cfRule>
  </conditionalFormatting>
  <conditionalFormatting sqref="BF12:BK12">
    <cfRule type="cellIs" dxfId="276" priority="1" operator="equal">
      <formula>"SI"</formula>
    </cfRule>
  </conditionalFormatting>
  <pageMargins left="0.75" right="0.75" top="1" bottom="1" header="0" footer="0"/>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BQ132"/>
  <sheetViews>
    <sheetView showGridLines="0" topLeftCell="X107" zoomScale="90" zoomScaleNormal="90" workbookViewId="0">
      <selection activeCell="AO4" sqref="AO4"/>
    </sheetView>
  </sheetViews>
  <sheetFormatPr baseColWidth="10" defaultColWidth="11.44140625" defaultRowHeight="13.8"/>
  <cols>
    <col min="1" max="1" width="54" style="2" customWidth="1"/>
    <col min="2" max="2" width="49.5546875" style="2" customWidth="1"/>
    <col min="3" max="3" width="22.21875" style="2" customWidth="1"/>
    <col min="4" max="5" width="29" style="2" customWidth="1"/>
    <col min="6" max="6" width="20.21875" style="2" customWidth="1"/>
    <col min="7" max="7" width="35" style="2" customWidth="1"/>
    <col min="8" max="10" width="29" style="2" customWidth="1"/>
    <col min="11" max="11" width="24.21875" style="2" customWidth="1"/>
    <col min="12" max="13" width="21" style="2" customWidth="1"/>
    <col min="14" max="14" width="3.77734375" style="2" customWidth="1"/>
    <col min="15" max="16" width="16.21875" style="2" customWidth="1"/>
    <col min="17" max="17" width="19" style="2" customWidth="1"/>
    <col min="18" max="18" width="4.5546875" style="2" customWidth="1"/>
    <col min="19" max="20" width="16.21875" style="2" customWidth="1"/>
    <col min="21" max="21" width="18.77734375" style="2" customWidth="1"/>
    <col min="22" max="22" width="5.77734375" style="2" customWidth="1"/>
    <col min="23" max="24" width="16.21875" style="2" customWidth="1"/>
    <col min="25" max="35" width="20" style="2" customWidth="1"/>
    <col min="36" max="39" width="16.21875" style="2" customWidth="1"/>
    <col min="40" max="40" width="56.77734375" style="2" bestFit="1" customWidth="1"/>
    <col min="41" max="41" width="44.77734375" style="2" bestFit="1" customWidth="1"/>
    <col min="42" max="45" width="16.21875" style="2" customWidth="1"/>
    <col min="46" max="46" width="36.21875" style="2" bestFit="1" customWidth="1"/>
    <col min="47" max="53" width="16.21875" style="2" customWidth="1"/>
    <col min="54" max="54" width="19" style="2" customWidth="1"/>
    <col min="55" max="56" width="12.77734375" style="2" customWidth="1"/>
    <col min="57" max="57" width="16.5546875" style="2" customWidth="1"/>
    <col min="58" max="58" width="17" style="2" customWidth="1"/>
    <col min="59" max="59" width="14.77734375" style="2" customWidth="1"/>
    <col min="60" max="60" width="11.21875" style="2" customWidth="1"/>
    <col min="61" max="61" width="13.77734375" style="2" customWidth="1"/>
    <col min="62" max="62" width="14.44140625" style="2" customWidth="1"/>
    <col min="63" max="63" width="11.44140625" style="2"/>
    <col min="64" max="64" width="17.5546875" style="2" customWidth="1"/>
    <col min="65" max="65" width="20.21875" style="2" customWidth="1"/>
    <col min="66" max="66" width="19.77734375" style="2" customWidth="1"/>
    <col min="67" max="67" width="15.77734375" style="2" customWidth="1"/>
    <col min="68" max="68" width="17.44140625" style="2" customWidth="1"/>
    <col min="69" max="69" width="15.77734375" style="2" customWidth="1"/>
    <col min="70" max="16384" width="11.44140625" style="2"/>
  </cols>
  <sheetData>
    <row r="1" spans="1:46" s="814" customFormat="1" ht="30" customHeight="1">
      <c r="A1" s="919" t="s">
        <v>184</v>
      </c>
      <c r="B1" s="813"/>
      <c r="C1" s="813"/>
      <c r="D1" s="813"/>
      <c r="E1" s="813"/>
      <c r="F1" s="813"/>
      <c r="G1" s="813"/>
      <c r="H1" s="813"/>
      <c r="I1" s="813"/>
      <c r="J1" s="813"/>
      <c r="K1" s="813"/>
      <c r="L1" s="813"/>
      <c r="M1" s="813"/>
      <c r="N1" s="813"/>
      <c r="O1" s="813"/>
      <c r="P1" s="813"/>
      <c r="Q1" s="813"/>
      <c r="R1" s="813"/>
      <c r="S1" s="813"/>
      <c r="T1" s="813"/>
      <c r="U1" s="813"/>
      <c r="V1" s="813"/>
      <c r="W1" s="813"/>
      <c r="X1" s="813"/>
      <c r="Y1" s="813"/>
      <c r="Z1" s="813"/>
      <c r="AA1" s="813"/>
      <c r="AB1" s="813"/>
      <c r="AC1" s="813"/>
      <c r="AD1" s="813"/>
      <c r="AE1" s="813"/>
      <c r="AF1" s="813"/>
      <c r="AG1" s="813"/>
      <c r="AH1" s="813"/>
      <c r="AI1" s="813"/>
      <c r="AJ1" s="813"/>
      <c r="AK1" s="813"/>
      <c r="AL1" s="813"/>
      <c r="AM1" s="920" t="s">
        <v>45</v>
      </c>
      <c r="AN1" s="913"/>
      <c r="AO1" s="913"/>
      <c r="AP1" s="913"/>
      <c r="AQ1" s="913"/>
      <c r="AR1" s="913"/>
      <c r="AS1" s="913"/>
      <c r="AT1" s="913"/>
    </row>
    <row r="2" spans="1:46">
      <c r="A2" s="25"/>
      <c r="AL2" s="910"/>
      <c r="AM2" s="914"/>
      <c r="AN2" s="25"/>
    </row>
    <row r="3" spans="1:46">
      <c r="A3" s="25"/>
      <c r="AL3" s="910"/>
      <c r="AM3" s="914"/>
      <c r="AN3" s="25"/>
    </row>
    <row r="4" spans="1:46">
      <c r="B4" s="63" t="s">
        <v>288</v>
      </c>
      <c r="C4" s="4" t="s">
        <v>289</v>
      </c>
      <c r="D4" s="4" t="s">
        <v>290</v>
      </c>
      <c r="E4" s="4" t="s">
        <v>291</v>
      </c>
      <c r="F4" s="4" t="s">
        <v>292</v>
      </c>
      <c r="G4" s="4" t="s">
        <v>293</v>
      </c>
      <c r="AL4" s="910"/>
      <c r="AM4" s="914"/>
      <c r="AO4" s="917" t="s">
        <v>288</v>
      </c>
      <c r="AP4" s="918" t="s">
        <v>289</v>
      </c>
      <c r="AQ4" s="918" t="s">
        <v>290</v>
      </c>
      <c r="AR4" s="918" t="s">
        <v>291</v>
      </c>
      <c r="AS4" s="918" t="s">
        <v>292</v>
      </c>
      <c r="AT4" s="918" t="s">
        <v>293</v>
      </c>
    </row>
    <row r="5" spans="1:46">
      <c r="A5" s="3" t="s">
        <v>294</v>
      </c>
      <c r="B5" s="818">
        <f>Captura!F33</f>
        <v>0</v>
      </c>
      <c r="C5" s="6">
        <f>B5</f>
        <v>0</v>
      </c>
      <c r="D5" s="6">
        <f>C5</f>
        <v>0</v>
      </c>
      <c r="E5" s="6">
        <f>D5</f>
        <v>0</v>
      </c>
      <c r="F5" s="6">
        <f>E5</f>
        <v>0</v>
      </c>
      <c r="G5" s="6">
        <f>F5</f>
        <v>0</v>
      </c>
      <c r="AL5" s="910"/>
      <c r="AM5" s="914"/>
      <c r="AN5" s="3" t="s">
        <v>294</v>
      </c>
      <c r="AO5" s="818">
        <f>Free!F25</f>
        <v>0</v>
      </c>
      <c r="AP5" s="6">
        <f>AO5</f>
        <v>0</v>
      </c>
      <c r="AQ5" s="6">
        <f>AP5</f>
        <v>0</v>
      </c>
      <c r="AR5" s="6">
        <f>AQ5</f>
        <v>0</v>
      </c>
      <c r="AS5" s="6">
        <f>AR5</f>
        <v>0</v>
      </c>
      <c r="AT5" s="6">
        <f>AS5</f>
        <v>0</v>
      </c>
    </row>
    <row r="6" spans="1:46">
      <c r="A6" s="817" t="s">
        <v>295</v>
      </c>
      <c r="B6" s="819" t="e">
        <f>VLOOKUP(Adm!$B$4,lista,8,0)</f>
        <v>#N/A</v>
      </c>
      <c r="AL6" s="910"/>
      <c r="AM6" s="914"/>
      <c r="AN6" s="817" t="s">
        <v>295</v>
      </c>
      <c r="AO6" s="819" t="e">
        <f>VLOOKUP(Adm!$B$4,ListaFree,8,0)</f>
        <v>#N/A</v>
      </c>
    </row>
    <row r="7" spans="1:46">
      <c r="B7" s="829" t="s">
        <v>296</v>
      </c>
      <c r="C7" s="816" t="e">
        <f>Adm!$EC$9</f>
        <v>#N/A</v>
      </c>
      <c r="D7" s="816" t="e">
        <f>Adm!$EC$8</f>
        <v>#N/A</v>
      </c>
      <c r="E7" s="816" t="e">
        <f>Adm!$EC$7</f>
        <v>#N/A</v>
      </c>
      <c r="F7" s="816" t="e">
        <f>Adm!$EC$6</f>
        <v>#N/A</v>
      </c>
      <c r="G7" s="816" t="e">
        <f>Adm!$EC$5</f>
        <v>#N/A</v>
      </c>
      <c r="AL7" s="910"/>
      <c r="AM7" s="914"/>
      <c r="AO7" s="829" t="s">
        <v>296</v>
      </c>
      <c r="AP7" s="816" t="e">
        <f>Adm!$KM$9</f>
        <v>#N/A</v>
      </c>
      <c r="AQ7" s="816" t="e">
        <f>Adm!$KM$8</f>
        <v>#N/A</v>
      </c>
      <c r="AR7" s="816" t="e">
        <f>Adm!$KM$7</f>
        <v>#N/A</v>
      </c>
      <c r="AS7" s="816" t="e">
        <f>Adm!$KM$6</f>
        <v>#N/A</v>
      </c>
      <c r="AT7" s="816" t="e">
        <f>Adm!$KM$5</f>
        <v>#N/A</v>
      </c>
    </row>
    <row r="8" spans="1:46">
      <c r="B8" s="830" t="s">
        <v>297</v>
      </c>
      <c r="C8" s="815" t="e">
        <f>C5*C7</f>
        <v>#N/A</v>
      </c>
      <c r="D8" s="815" t="e">
        <f t="shared" ref="D8:G8" si="0">D5*D7</f>
        <v>#N/A</v>
      </c>
      <c r="E8" s="815" t="e">
        <f t="shared" si="0"/>
        <v>#N/A</v>
      </c>
      <c r="F8" s="815" t="e">
        <f t="shared" si="0"/>
        <v>#N/A</v>
      </c>
      <c r="G8" s="815" t="e">
        <f t="shared" si="0"/>
        <v>#N/A</v>
      </c>
      <c r="AL8" s="910"/>
      <c r="AM8" s="914"/>
      <c r="AO8" s="830" t="s">
        <v>297</v>
      </c>
      <c r="AP8" s="815" t="e">
        <f>AP5*AP7</f>
        <v>#N/A</v>
      </c>
      <c r="AQ8" s="815" t="e">
        <f t="shared" ref="AQ8:AT8" si="1">AQ5*AQ7</f>
        <v>#N/A</v>
      </c>
      <c r="AR8" s="815" t="e">
        <f t="shared" si="1"/>
        <v>#N/A</v>
      </c>
      <c r="AS8" s="815" t="e">
        <f t="shared" si="1"/>
        <v>#N/A</v>
      </c>
      <c r="AT8" s="815" t="e">
        <f t="shared" si="1"/>
        <v>#N/A</v>
      </c>
    </row>
    <row r="9" spans="1:46">
      <c r="A9" s="3" t="s">
        <v>298</v>
      </c>
      <c r="B9" s="818">
        <f>Captura!F35</f>
        <v>0</v>
      </c>
      <c r="C9" s="174" t="e">
        <f>IF($B$9&lt;C8,$B$9,C8)</f>
        <v>#N/A</v>
      </c>
      <c r="D9" s="174" t="e">
        <f t="shared" ref="D9:G9" si="2">IF($B$9&lt;D8,$B$9,D8)</f>
        <v>#N/A</v>
      </c>
      <c r="E9" s="174" t="e">
        <f t="shared" si="2"/>
        <v>#N/A</v>
      </c>
      <c r="F9" s="174" t="e">
        <f t="shared" si="2"/>
        <v>#N/A</v>
      </c>
      <c r="G9" s="174" t="e">
        <f t="shared" si="2"/>
        <v>#N/A</v>
      </c>
      <c r="AL9" s="910"/>
      <c r="AM9" s="914"/>
      <c r="AN9" s="3" t="s">
        <v>298</v>
      </c>
      <c r="AO9" s="818">
        <f>Free!F27</f>
        <v>0</v>
      </c>
      <c r="AP9" s="174" t="e">
        <f>IF($AO$9&lt;AP8,$AO$9,AP8)</f>
        <v>#N/A</v>
      </c>
      <c r="AQ9" s="174" t="e">
        <f t="shared" ref="AQ9:AT9" si="3">IF($AO$9&lt;AQ8,$AO$9,AQ8)</f>
        <v>#N/A</v>
      </c>
      <c r="AR9" s="174" t="e">
        <f t="shared" si="3"/>
        <v>#N/A</v>
      </c>
      <c r="AS9" s="174" t="e">
        <f t="shared" si="3"/>
        <v>#N/A</v>
      </c>
      <c r="AT9" s="174" t="e">
        <f t="shared" si="3"/>
        <v>#N/A</v>
      </c>
    </row>
    <row r="10" spans="1:46">
      <c r="B10" s="3" t="s">
        <v>299</v>
      </c>
      <c r="C10" s="22" t="e">
        <f>IF(C9&lt;Adm!$Z$3,0,C9)</f>
        <v>#N/A</v>
      </c>
      <c r="D10" s="22" t="e">
        <f>IF(D9&lt;Adm!$Z$3,0,D9)</f>
        <v>#N/A</v>
      </c>
      <c r="E10" s="22" t="e">
        <f>IF(E9&lt;Adm!$Z$3,0,E9)</f>
        <v>#N/A</v>
      </c>
      <c r="F10" s="22" t="e">
        <f>IF(F9&lt;Adm!$Z$3,0,F9)</f>
        <v>#N/A</v>
      </c>
      <c r="G10" s="22" t="e">
        <f>IF(G9&lt;Adm!$Z$3,0,G9)</f>
        <v>#N/A</v>
      </c>
      <c r="AL10" s="910"/>
      <c r="AM10" s="914"/>
      <c r="AO10" s="3" t="s">
        <v>299</v>
      </c>
      <c r="AP10" s="921" t="e">
        <f>IF(AP9&lt;Adm!$GY$3,0,AP9)</f>
        <v>#N/A</v>
      </c>
      <c r="AQ10" s="921" t="e">
        <f>IF(AQ9&lt;Adm!$GY$3,0,AQ9)</f>
        <v>#N/A</v>
      </c>
      <c r="AR10" s="921" t="e">
        <f>IF(AR9&lt;Adm!$GY$3,0,AR9)</f>
        <v>#N/A</v>
      </c>
      <c r="AS10" s="921" t="e">
        <f>IF(AS9&lt;Adm!$GY$3,0,AS9)</f>
        <v>#N/A</v>
      </c>
      <c r="AT10" s="921" t="e">
        <f>IF(AT9&lt;Adm!$GY$3,0,AT9)</f>
        <v>#N/A</v>
      </c>
    </row>
    <row r="11" spans="1:46">
      <c r="A11" s="25" t="s">
        <v>300</v>
      </c>
      <c r="B11" s="2" t="s">
        <v>301</v>
      </c>
      <c r="C11" s="844" t="e">
        <f>C10/C5</f>
        <v>#N/A</v>
      </c>
      <c r="D11" s="844" t="e">
        <f t="shared" ref="D11:G11" si="4">D10/D5</f>
        <v>#N/A</v>
      </c>
      <c r="E11" s="844" t="e">
        <f t="shared" si="4"/>
        <v>#N/A</v>
      </c>
      <c r="F11" s="844" t="e">
        <f t="shared" si="4"/>
        <v>#N/A</v>
      </c>
      <c r="G11" s="844" t="e">
        <f t="shared" si="4"/>
        <v>#N/A</v>
      </c>
      <c r="AL11" s="910"/>
      <c r="AM11" s="914"/>
      <c r="AN11" s="25"/>
      <c r="AO11" s="2" t="s">
        <v>301</v>
      </c>
      <c r="AP11" s="844" t="e">
        <f>AP10/AP5</f>
        <v>#N/A</v>
      </c>
      <c r="AQ11" s="844" t="e">
        <f t="shared" ref="AQ11:AT11" si="5">AQ10/AQ5</f>
        <v>#N/A</v>
      </c>
      <c r="AR11" s="844" t="e">
        <f t="shared" si="5"/>
        <v>#N/A</v>
      </c>
      <c r="AS11" s="844" t="e">
        <f t="shared" si="5"/>
        <v>#N/A</v>
      </c>
      <c r="AT11" s="844" t="e">
        <f t="shared" si="5"/>
        <v>#N/A</v>
      </c>
    </row>
    <row r="12" spans="1:46">
      <c r="A12" s="820">
        <f>Captura!F37</f>
        <v>0</v>
      </c>
      <c r="B12" s="23"/>
      <c r="C12" s="24"/>
      <c r="AL12" s="910"/>
      <c r="AM12" s="914"/>
      <c r="AN12" s="25"/>
      <c r="AO12" s="23"/>
      <c r="AP12" s="24"/>
    </row>
    <row r="13" spans="1:46">
      <c r="B13" s="2" t="s">
        <v>302</v>
      </c>
      <c r="K13" s="64"/>
      <c r="M13" s="233"/>
      <c r="N13" s="232"/>
      <c r="O13" s="86"/>
      <c r="P13" s="86"/>
      <c r="Q13" s="86"/>
      <c r="R13" s="86"/>
      <c r="S13" s="86"/>
      <c r="T13" s="86"/>
      <c r="U13" s="86"/>
      <c r="V13" s="86"/>
      <c r="W13" s="86"/>
      <c r="X13" s="86"/>
      <c r="Y13" s="86"/>
      <c r="Z13" s="86"/>
      <c r="AA13" s="86"/>
      <c r="AB13" s="86"/>
      <c r="AC13" s="86"/>
      <c r="AD13" s="86"/>
      <c r="AE13" s="86"/>
      <c r="AF13" s="86"/>
      <c r="AG13" s="86"/>
      <c r="AH13" s="86"/>
      <c r="AI13" s="86"/>
      <c r="AJ13" s="86"/>
      <c r="AK13" s="86"/>
      <c r="AL13" s="911"/>
      <c r="AM13" s="915"/>
    </row>
    <row r="18" spans="1:46" ht="15.6">
      <c r="A18" s="45" t="s">
        <v>303</v>
      </c>
      <c r="B18" s="45" t="s">
        <v>303</v>
      </c>
      <c r="C18" s="45" t="s">
        <v>303</v>
      </c>
      <c r="D18" s="45" t="s">
        <v>303</v>
      </c>
      <c r="E18" s="45" t="s">
        <v>303</v>
      </c>
      <c r="F18" s="45" t="s">
        <v>303</v>
      </c>
      <c r="G18" s="45" t="s">
        <v>303</v>
      </c>
      <c r="M18" s="86"/>
      <c r="N18" s="86"/>
      <c r="O18" s="86"/>
      <c r="P18" s="86"/>
      <c r="Q18" s="86"/>
      <c r="R18" s="86"/>
      <c r="S18" s="86"/>
      <c r="T18" s="86"/>
      <c r="U18" s="86"/>
      <c r="V18" s="86"/>
      <c r="W18" s="86"/>
      <c r="X18" s="86"/>
      <c r="Y18" s="86"/>
      <c r="Z18" s="86"/>
      <c r="AA18" s="86"/>
      <c r="AB18" s="86"/>
      <c r="AC18" s="86"/>
      <c r="AD18" s="86"/>
      <c r="AE18" s="86"/>
      <c r="AF18" s="86"/>
      <c r="AG18" s="86"/>
      <c r="AH18" s="86"/>
      <c r="AI18" s="86"/>
      <c r="AJ18" s="86"/>
      <c r="AK18" s="86"/>
      <c r="AL18" s="911"/>
      <c r="AM18" s="915"/>
      <c r="AN18" s="45" t="s">
        <v>303</v>
      </c>
      <c r="AO18" s="45" t="s">
        <v>303</v>
      </c>
      <c r="AP18" s="45" t="s">
        <v>303</v>
      </c>
      <c r="AQ18" s="45" t="s">
        <v>303</v>
      </c>
      <c r="AR18" s="45" t="s">
        <v>303</v>
      </c>
      <c r="AS18" s="45" t="s">
        <v>303</v>
      </c>
      <c r="AT18" s="45" t="s">
        <v>303</v>
      </c>
    </row>
    <row r="19" spans="1:46">
      <c r="B19" s="5"/>
      <c r="N19" s="229"/>
      <c r="O19" s="229"/>
      <c r="P19" s="229"/>
      <c r="Q19" s="229"/>
      <c r="R19" s="229"/>
      <c r="S19" s="229"/>
      <c r="T19" s="229"/>
      <c r="U19" s="229"/>
      <c r="V19" s="229"/>
      <c r="W19" s="229"/>
      <c r="X19" s="229"/>
      <c r="Y19" s="229"/>
      <c r="Z19" s="229"/>
      <c r="AA19" s="229"/>
      <c r="AB19" s="229"/>
      <c r="AC19" s="229"/>
      <c r="AD19" s="229"/>
      <c r="AE19" s="229"/>
      <c r="AF19" s="229"/>
      <c r="AG19" s="229"/>
      <c r="AH19" s="229"/>
      <c r="AI19" s="229"/>
      <c r="AJ19" s="229"/>
      <c r="AK19" s="229"/>
      <c r="AL19" s="912"/>
      <c r="AM19" s="916"/>
      <c r="AO19" s="5"/>
    </row>
    <row r="20" spans="1:46">
      <c r="A20" s="46" t="s">
        <v>304</v>
      </c>
      <c r="B20" s="48">
        <f>Captura!F33</f>
        <v>0</v>
      </c>
      <c r="AL20" s="910"/>
      <c r="AM20" s="914"/>
      <c r="AN20" s="46" t="s">
        <v>304</v>
      </c>
      <c r="AO20" s="48">
        <f>Free!F25</f>
        <v>0</v>
      </c>
    </row>
    <row r="21" spans="1:46">
      <c r="A21" s="46" t="s">
        <v>305</v>
      </c>
      <c r="B21" s="15">
        <f>IF(Adm!B4=Adm!A114,Captura!N13,0)</f>
        <v>0</v>
      </c>
      <c r="AL21" s="910"/>
      <c r="AM21" s="914"/>
      <c r="AN21" s="46" t="s">
        <v>305</v>
      </c>
      <c r="AO21" s="15">
        <f>IF(Adm!GG4=Adm!GF114,Free!K11,0)</f>
        <v>0</v>
      </c>
    </row>
    <row r="22" spans="1:46">
      <c r="A22" s="46" t="s">
        <v>306</v>
      </c>
      <c r="B22" s="15">
        <f>IF(Adm!B4=Adm!A114,Captura!N15,0)</f>
        <v>0</v>
      </c>
      <c r="N22" s="127"/>
      <c r="AL22" s="910"/>
      <c r="AM22" s="914"/>
      <c r="AN22" s="46" t="s">
        <v>306</v>
      </c>
      <c r="AO22" s="15">
        <f>IF(Adm!GG4=Adm!GF114,Free!K13,0)</f>
        <v>0</v>
      </c>
    </row>
    <row r="23" spans="1:46">
      <c r="B23" s="5"/>
      <c r="L23" s="86"/>
      <c r="AL23" s="910"/>
      <c r="AM23" s="914"/>
      <c r="AO23" s="5"/>
    </row>
    <row r="24" spans="1:46">
      <c r="B24" s="4" t="s">
        <v>288</v>
      </c>
      <c r="C24" s="4" t="s">
        <v>289</v>
      </c>
      <c r="D24" s="4" t="s">
        <v>290</v>
      </c>
      <c r="E24" s="4" t="s">
        <v>291</v>
      </c>
      <c r="F24" s="4" t="s">
        <v>292</v>
      </c>
      <c r="G24" s="4" t="s">
        <v>293</v>
      </c>
      <c r="AL24" s="910"/>
      <c r="AM24" s="914"/>
      <c r="AO24" s="918" t="s">
        <v>288</v>
      </c>
      <c r="AP24" s="918" t="s">
        <v>289</v>
      </c>
      <c r="AQ24" s="918" t="s">
        <v>290</v>
      </c>
      <c r="AR24" s="918" t="s">
        <v>291</v>
      </c>
      <c r="AS24" s="918" t="s">
        <v>292</v>
      </c>
      <c r="AT24" s="918" t="s">
        <v>293</v>
      </c>
    </row>
    <row r="25" spans="1:46">
      <c r="A25" s="47" t="s">
        <v>307</v>
      </c>
      <c r="B25" s="822">
        <v>1</v>
      </c>
      <c r="AL25" s="910"/>
      <c r="AM25" s="914"/>
      <c r="AN25" s="47" t="s">
        <v>307</v>
      </c>
      <c r="AO25" s="822">
        <v>1</v>
      </c>
    </row>
    <row r="26" spans="1:46">
      <c r="A26" s="821"/>
      <c r="B26" s="831" t="s">
        <v>296</v>
      </c>
      <c r="C26" s="816" t="e">
        <f>Adm!$EC$9</f>
        <v>#N/A</v>
      </c>
      <c r="D26" s="816" t="e">
        <f>Adm!$EC$8</f>
        <v>#N/A</v>
      </c>
      <c r="E26" s="816" t="e">
        <f>Adm!$EC$7</f>
        <v>#N/A</v>
      </c>
      <c r="F26" s="816" t="e">
        <f>Adm!$EC$6</f>
        <v>#N/A</v>
      </c>
      <c r="G26" s="816" t="e">
        <f>Adm!$EC$5</f>
        <v>#N/A</v>
      </c>
      <c r="AL26" s="910"/>
      <c r="AM26" s="914"/>
      <c r="AN26" s="821"/>
      <c r="AO26" s="831" t="s">
        <v>296</v>
      </c>
      <c r="AP26" s="816" t="e">
        <f>Adm!$KM$9</f>
        <v>#N/A</v>
      </c>
      <c r="AQ26" s="816" t="e">
        <f>Adm!$KM$8</f>
        <v>#N/A</v>
      </c>
      <c r="AR26" s="816" t="e">
        <f>Adm!$KM$7</f>
        <v>#N/A</v>
      </c>
      <c r="AS26" s="816" t="e">
        <f>Adm!$KM$6</f>
        <v>#N/A</v>
      </c>
      <c r="AT26" s="816" t="e">
        <f>Adm!$KM$5</f>
        <v>#N/A</v>
      </c>
    </row>
    <row r="27" spans="1:46">
      <c r="A27" s="3" t="s">
        <v>308</v>
      </c>
      <c r="B27" s="826">
        <f>Captura!F35</f>
        <v>0</v>
      </c>
      <c r="AL27" s="910"/>
      <c r="AM27" s="914"/>
      <c r="AN27" s="3" t="s">
        <v>308</v>
      </c>
      <c r="AO27" s="826">
        <f>Free!F27</f>
        <v>0</v>
      </c>
    </row>
    <row r="28" spans="1:46">
      <c r="B28" s="832" t="s">
        <v>309</v>
      </c>
      <c r="C28" s="6">
        <f>IF($B$27+$B$21+$B$22&lt;=$B$20,$B$27,$B$20-$B$21-$B$22)</f>
        <v>0</v>
      </c>
      <c r="D28" s="6">
        <f t="shared" ref="D28:G28" si="6">IF($B$27+$B$21+$B$22&lt;=$B$20,$B$27,$B$20-$B$21-$B$22)</f>
        <v>0</v>
      </c>
      <c r="E28" s="6">
        <f t="shared" si="6"/>
        <v>0</v>
      </c>
      <c r="F28" s="6">
        <f t="shared" si="6"/>
        <v>0</v>
      </c>
      <c r="G28" s="6">
        <f t="shared" si="6"/>
        <v>0</v>
      </c>
      <c r="AL28" s="910"/>
      <c r="AM28" s="914"/>
      <c r="AO28" s="832" t="s">
        <v>309</v>
      </c>
      <c r="AP28" s="6">
        <f>IF($AO$27+$AO$21+$AO$22&lt;=$AO$20,$AO$27,$AO$20-$AO$21-$AO$22)</f>
        <v>0</v>
      </c>
      <c r="AQ28" s="6">
        <f t="shared" ref="AQ28:AT28" si="7">IF($AO$27+$AO$21+$AO$22&lt;=$AO$20,$AO$27,$AO$20-$AO$21-$AO$22)</f>
        <v>0</v>
      </c>
      <c r="AR28" s="6">
        <f t="shared" si="7"/>
        <v>0</v>
      </c>
      <c r="AS28" s="6">
        <f t="shared" si="7"/>
        <v>0</v>
      </c>
      <c r="AT28" s="6">
        <f t="shared" si="7"/>
        <v>0</v>
      </c>
    </row>
    <row r="29" spans="1:46">
      <c r="B29" s="3" t="s">
        <v>299</v>
      </c>
      <c r="C29" s="49">
        <f>IF(C28&lt;Adm!$Z$3,0,C28)</f>
        <v>0</v>
      </c>
      <c r="D29" s="49">
        <f>IF(D28&lt;Adm!$Z$3,0,D28)</f>
        <v>0</v>
      </c>
      <c r="E29" s="49">
        <f>IF(E28&lt;Adm!$Z$3,0,E28)</f>
        <v>0</v>
      </c>
      <c r="F29" s="49">
        <f>IF(F28&lt;Adm!$Z$3,0,F28)</f>
        <v>0</v>
      </c>
      <c r="G29" s="49">
        <f>IF(G28&lt;Adm!$Z$3,0,G28)</f>
        <v>0</v>
      </c>
      <c r="AL29" s="910"/>
      <c r="AM29" s="914"/>
      <c r="AO29" s="3" t="s">
        <v>299</v>
      </c>
      <c r="AP29" s="922">
        <f>IF(AP28&lt;Adm!$Z$3,0,AP28)</f>
        <v>0</v>
      </c>
      <c r="AQ29" s="922">
        <f>IF(AQ28&lt;Adm!$Z$3,0,AQ28)</f>
        <v>0</v>
      </c>
      <c r="AR29" s="922">
        <f>IF(AR28&lt;Adm!$Z$3,0,AR28)</f>
        <v>0</v>
      </c>
      <c r="AS29" s="922">
        <f>IF(AS28&lt;Adm!$Z$3,0,AS28)</f>
        <v>0</v>
      </c>
      <c r="AT29" s="922">
        <f>IF(AT28&lt;Adm!$Z$3,0,AT28)</f>
        <v>0</v>
      </c>
    </row>
    <row r="30" spans="1:46">
      <c r="B30" s="85" t="s">
        <v>310</v>
      </c>
      <c r="C30" s="845" t="e">
        <f>C29/$B$20</f>
        <v>#DIV/0!</v>
      </c>
      <c r="D30" s="845" t="e">
        <f>D29/$B$20</f>
        <v>#DIV/0!</v>
      </c>
      <c r="E30" s="845" t="e">
        <f>E29/$B$20</f>
        <v>#DIV/0!</v>
      </c>
      <c r="F30" s="845" t="e">
        <f>F29/$B$20</f>
        <v>#DIV/0!</v>
      </c>
      <c r="G30" s="845" t="e">
        <f>G29/$B$20</f>
        <v>#DIV/0!</v>
      </c>
      <c r="AL30" s="910"/>
      <c r="AM30" s="914"/>
      <c r="AO30" s="85" t="s">
        <v>310</v>
      </c>
      <c r="AP30" s="845" t="e">
        <f>AP29/$AO$20</f>
        <v>#DIV/0!</v>
      </c>
      <c r="AQ30" s="845" t="e">
        <f t="shared" ref="AQ30:AT30" si="8">AQ29/$AO$20</f>
        <v>#DIV/0!</v>
      </c>
      <c r="AR30" s="845" t="e">
        <f t="shared" si="8"/>
        <v>#DIV/0!</v>
      </c>
      <c r="AS30" s="845" t="e">
        <f t="shared" si="8"/>
        <v>#DIV/0!</v>
      </c>
      <c r="AT30" s="845" t="e">
        <f t="shared" si="8"/>
        <v>#DIV/0!</v>
      </c>
    </row>
    <row r="35" spans="1:46" ht="15.6">
      <c r="A35" s="45" t="s">
        <v>311</v>
      </c>
      <c r="B35" s="45" t="s">
        <v>311</v>
      </c>
      <c r="C35" s="45" t="s">
        <v>311</v>
      </c>
      <c r="D35" s="45" t="s">
        <v>311</v>
      </c>
      <c r="E35" s="45" t="s">
        <v>311</v>
      </c>
      <c r="F35" s="45" t="s">
        <v>311</v>
      </c>
      <c r="G35" s="45" t="s">
        <v>311</v>
      </c>
      <c r="AL35" s="910"/>
      <c r="AM35" s="914"/>
      <c r="AN35" s="45" t="s">
        <v>311</v>
      </c>
      <c r="AO35" s="45" t="s">
        <v>311</v>
      </c>
      <c r="AP35" s="45" t="s">
        <v>311</v>
      </c>
      <c r="AQ35" s="45" t="s">
        <v>311</v>
      </c>
      <c r="AR35" s="45" t="s">
        <v>311</v>
      </c>
      <c r="AS35" s="45" t="s">
        <v>311</v>
      </c>
      <c r="AT35" s="45" t="s">
        <v>311</v>
      </c>
    </row>
    <row r="36" spans="1:46">
      <c r="AL36" s="910"/>
      <c r="AM36" s="914"/>
    </row>
    <row r="37" spans="1:46">
      <c r="AL37" s="910"/>
      <c r="AM37" s="914"/>
    </row>
    <row r="38" spans="1:46">
      <c r="B38" s="4" t="s">
        <v>288</v>
      </c>
      <c r="C38" s="4" t="s">
        <v>289</v>
      </c>
      <c r="D38" s="4" t="s">
        <v>290</v>
      </c>
      <c r="E38" s="4" t="s">
        <v>291</v>
      </c>
      <c r="F38" s="4" t="s">
        <v>292</v>
      </c>
      <c r="G38" s="4" t="s">
        <v>293</v>
      </c>
      <c r="AL38" s="910"/>
      <c r="AM38" s="914"/>
      <c r="AO38" s="918" t="s">
        <v>288</v>
      </c>
      <c r="AP38" s="918" t="s">
        <v>289</v>
      </c>
      <c r="AQ38" s="918" t="s">
        <v>290</v>
      </c>
      <c r="AR38" s="918" t="s">
        <v>291</v>
      </c>
      <c r="AS38" s="918" t="s">
        <v>292</v>
      </c>
      <c r="AT38" s="918" t="s">
        <v>293</v>
      </c>
    </row>
    <row r="39" spans="1:46">
      <c r="A39" s="3" t="s">
        <v>294</v>
      </c>
      <c r="B39" s="818">
        <f>Captura!F33</f>
        <v>0</v>
      </c>
      <c r="C39" s="93">
        <f>B39</f>
        <v>0</v>
      </c>
      <c r="D39" s="93">
        <f t="shared" ref="D39:G39" si="9">C39</f>
        <v>0</v>
      </c>
      <c r="E39" s="93">
        <f t="shared" si="9"/>
        <v>0</v>
      </c>
      <c r="F39" s="93">
        <f t="shared" si="9"/>
        <v>0</v>
      </c>
      <c r="G39" s="93">
        <f t="shared" si="9"/>
        <v>0</v>
      </c>
      <c r="AL39" s="910"/>
      <c r="AM39" s="914"/>
      <c r="AN39" s="3" t="s">
        <v>294</v>
      </c>
      <c r="AO39" s="818">
        <f>Free!F25</f>
        <v>0</v>
      </c>
      <c r="AP39" s="93">
        <f>AO39</f>
        <v>0</v>
      </c>
      <c r="AQ39" s="93">
        <f t="shared" ref="AQ39" si="10">AP39</f>
        <v>0</v>
      </c>
      <c r="AR39" s="93">
        <f t="shared" ref="AR39" si="11">AQ39</f>
        <v>0</v>
      </c>
      <c r="AS39" s="93">
        <f t="shared" ref="AS39" si="12">AR39</f>
        <v>0</v>
      </c>
      <c r="AT39" s="93">
        <f t="shared" ref="AT39" si="13">AS39</f>
        <v>0</v>
      </c>
    </row>
    <row r="40" spans="1:46">
      <c r="A40" s="817" t="s">
        <v>295</v>
      </c>
      <c r="B40" s="819" t="e">
        <f>VLOOKUP(Adm!$B$4,lista,8,0)</f>
        <v>#N/A</v>
      </c>
      <c r="AL40" s="910"/>
      <c r="AM40" s="914"/>
      <c r="AN40" s="817" t="s">
        <v>295</v>
      </c>
      <c r="AO40" s="819" t="e">
        <f>VLOOKUP(Adm!$GG$4,ListaFree,8,0)</f>
        <v>#N/A</v>
      </c>
    </row>
    <row r="41" spans="1:46">
      <c r="B41" s="829" t="s">
        <v>296</v>
      </c>
      <c r="C41" s="816" t="e">
        <f>IF(AND(OR(Adm!$B$4=Adm!$A$116,Adm!$B$4=Adm!$B$117),OR(Adm!$AB$4=Adm!$AB$16,Adm!$AB$4=Adm!$AB$18)),70%,Adm!$EC$9)</f>
        <v>#N/A</v>
      </c>
      <c r="D41" s="816" t="e">
        <f>IF(AND(OR(Adm!$B$4=Adm!$A$116,Adm!$B$4=Adm!$B$117),OR(Adm!$AB$4=Adm!$AB$16,Adm!$AB$4=Adm!$AB$18)),70%,Adm!$EC$8)</f>
        <v>#N/A</v>
      </c>
      <c r="E41" s="816" t="e">
        <f>IF(AND(OR(Adm!$B$4=Adm!$A$116,Adm!$B$4=Adm!$B$117),OR(Adm!$AB$4=Adm!$AB$16,Adm!$AB$4=Adm!$AB$18)),70%,Adm!$EC$7)</f>
        <v>#N/A</v>
      </c>
      <c r="F41" s="816" t="e">
        <f>IF(AND(OR(Adm!$B$4=Adm!$A$116,Adm!$B$4=Adm!$B$117),OR(Adm!$AB$4=Adm!$AB$16,Adm!$AB$4=Adm!$AB$18)),70%,Adm!$EC$6)</f>
        <v>#N/A</v>
      </c>
      <c r="G41" s="816" t="e">
        <f>IF(AND(OR(Adm!$B$4=Adm!$A$116,Adm!$B$4=Adm!$B$117),OR(Adm!$AB$4=Adm!$AB$16,Adm!$AB$4=Adm!$AB$18)),70%,Adm!$EC$5)</f>
        <v>#N/A</v>
      </c>
      <c r="AL41" s="910"/>
      <c r="AM41" s="914"/>
      <c r="AO41" s="829" t="s">
        <v>296</v>
      </c>
      <c r="AP41" s="816" t="e">
        <f>IF(AND(Adm!$GG$4=Adm!$GF$116,OR(Adm!HA4=Adm!HA16,Adm!HA4=Adm!HA18)),70%,Adm!$KM$9)</f>
        <v>#N/A</v>
      </c>
      <c r="AQ41" s="816" t="e">
        <f>IF(AND(Adm!$GG$4=Adm!$GF$116,OR(Adm!HA4=Adm!HA16,Adm!HA4=Adm!HA18)),70%,Adm!$KM$8)</f>
        <v>#N/A</v>
      </c>
      <c r="AR41" s="816" t="e">
        <f>IF(AND(Adm!$GG$4=Adm!$GF$116,OR(Adm!HA4=Adm!HA16,Adm!HA4=Adm!HA18)),70%,Adm!$KM$7)</f>
        <v>#N/A</v>
      </c>
      <c r="AS41" s="816" t="e">
        <f>IF(AND(Adm!$GG$4=Adm!$GF$116,OR(Adm!HA4=Adm!HA16,Adm!HA4=Adm!HA18)),70%,Adm!$KM$6)</f>
        <v>#N/A</v>
      </c>
      <c r="AT41" s="816" t="e">
        <f>IF(AND(Adm!$GG$4=Adm!$GF$116,OR(Adm!HA4=Adm!HA16,Adm!HA4=Adm!HA18)),70%,Adm!$KM$5)</f>
        <v>#N/A</v>
      </c>
    </row>
    <row r="42" spans="1:46">
      <c r="B42" s="830" t="s">
        <v>297</v>
      </c>
      <c r="C42" s="815" t="e">
        <f>C39*C41</f>
        <v>#N/A</v>
      </c>
      <c r="D42" s="815" t="e">
        <f t="shared" ref="D42" si="14">D39*D41</f>
        <v>#N/A</v>
      </c>
      <c r="E42" s="815" t="e">
        <f t="shared" ref="E42" si="15">E39*E41</f>
        <v>#N/A</v>
      </c>
      <c r="F42" s="815" t="e">
        <f t="shared" ref="F42" si="16">F39*F41</f>
        <v>#N/A</v>
      </c>
      <c r="G42" s="815" t="e">
        <f t="shared" ref="G42" si="17">G39*G41</f>
        <v>#N/A</v>
      </c>
      <c r="AL42" s="910"/>
      <c r="AM42" s="914"/>
      <c r="AO42" s="830" t="s">
        <v>297</v>
      </c>
      <c r="AP42" s="815" t="e">
        <f>AP39*AP41</f>
        <v>#N/A</v>
      </c>
      <c r="AQ42" s="815" t="e">
        <f t="shared" ref="AQ42:AT42" si="18">AQ39*AQ41</f>
        <v>#N/A</v>
      </c>
      <c r="AR42" s="815" t="e">
        <f t="shared" si="18"/>
        <v>#N/A</v>
      </c>
      <c r="AS42" s="815" t="e">
        <f t="shared" si="18"/>
        <v>#N/A</v>
      </c>
      <c r="AT42" s="815" t="e">
        <f t="shared" si="18"/>
        <v>#N/A</v>
      </c>
    </row>
    <row r="43" spans="1:46" ht="14.4" thickBot="1">
      <c r="B43" s="818">
        <f>IF(Adm!C22="si",Captura!F35+Captura!F37,Captura!F35)</f>
        <v>0</v>
      </c>
      <c r="C43" s="174" t="e">
        <f>IF($B$43&lt;C42,$B$43,C42)</f>
        <v>#N/A</v>
      </c>
      <c r="D43" s="174" t="e">
        <f t="shared" ref="D43:G43" si="19">IF($B$43&lt;D42,$B$43,D42)</f>
        <v>#N/A</v>
      </c>
      <c r="E43" s="174" t="e">
        <f t="shared" si="19"/>
        <v>#N/A</v>
      </c>
      <c r="F43" s="174" t="e">
        <f t="shared" si="19"/>
        <v>#N/A</v>
      </c>
      <c r="G43" s="174" t="e">
        <f t="shared" si="19"/>
        <v>#N/A</v>
      </c>
      <c r="AL43" s="910"/>
      <c r="AM43" s="914"/>
      <c r="AO43" s="448">
        <f>Free!F27</f>
        <v>0</v>
      </c>
      <c r="AP43" s="174" t="e">
        <f>IF($AO$43&lt;AP42,$AO$43,AP42)</f>
        <v>#N/A</v>
      </c>
      <c r="AQ43" s="174" t="e">
        <f t="shared" ref="AQ43:AT43" si="20">IF($AO$43&lt;AQ42,$AO$43,AQ42)</f>
        <v>#N/A</v>
      </c>
      <c r="AR43" s="174" t="e">
        <f t="shared" si="20"/>
        <v>#N/A</v>
      </c>
      <c r="AS43" s="174" t="e">
        <f t="shared" si="20"/>
        <v>#N/A</v>
      </c>
      <c r="AT43" s="174" t="e">
        <f t="shared" si="20"/>
        <v>#N/A</v>
      </c>
    </row>
    <row r="44" spans="1:46">
      <c r="B44" s="3" t="s">
        <v>312</v>
      </c>
      <c r="C44" s="22" t="e">
        <f>IF(C43&lt;Adm!$Z$3,0,C43)</f>
        <v>#N/A</v>
      </c>
      <c r="D44" s="22" t="e">
        <f>IF(D43&lt;Adm!$Z$3,0,D43)</f>
        <v>#N/A</v>
      </c>
      <c r="E44" s="22" t="e">
        <f>IF(E43&lt;Adm!$Z$3,0,E43)</f>
        <v>#N/A</v>
      </c>
      <c r="F44" s="22" t="e">
        <f>IF(F43&lt;Adm!$Z$3,0,F43)</f>
        <v>#N/A</v>
      </c>
      <c r="G44" s="22" t="e">
        <f>IF(G43&lt;Adm!$Z$3,0,G43)</f>
        <v>#N/A</v>
      </c>
      <c r="AL44" s="910"/>
      <c r="AM44" s="914"/>
      <c r="AO44" s="3" t="s">
        <v>312</v>
      </c>
      <c r="AP44" s="921" t="e">
        <f>IF(AP43&lt;Adm!$GY$3,0,AP43)</f>
        <v>#N/A</v>
      </c>
      <c r="AQ44" s="921" t="e">
        <f>IF(AQ43&lt;Adm!$GY$3,0,AQ43)</f>
        <v>#N/A</v>
      </c>
      <c r="AR44" s="921" t="e">
        <f>IF(AR43&lt;Adm!$GY$3,0,AR43)</f>
        <v>#N/A</v>
      </c>
      <c r="AS44" s="921" t="e">
        <f>IF(AS43&lt;Adm!$GY$3,0,AS43)</f>
        <v>#N/A</v>
      </c>
      <c r="AT44" s="921" t="e">
        <f>IF(AT43&lt;Adm!$GY$3,0,AT43)</f>
        <v>#N/A</v>
      </c>
    </row>
    <row r="45" spans="1:46">
      <c r="AL45" s="910"/>
      <c r="AM45" s="914"/>
    </row>
    <row r="46" spans="1:46">
      <c r="AL46" s="910"/>
      <c r="AM46" s="914"/>
    </row>
    <row r="47" spans="1:46" ht="14.4">
      <c r="A47" s="2">
        <f>IF(AND(OR(Adm!$B$4=Adm!$A$116,Adm!$B$4=Adm!$A$117),Adm!$AC$4=Adm!$AC$15),1,0)</f>
        <v>0</v>
      </c>
      <c r="B47" s="65" t="s">
        <v>313</v>
      </c>
      <c r="C47" s="6">
        <f>IF(OR(Adm!$AB$4=0,Adm!$AB$4=""),0,IF(OR(Adm!$AB$4=Adm!$AB$14,Adm!$AB$4=Adm!$AB$16,Adm!$AB$4=Adm!$AB$18),0,IF(C44*7%&lt;=0,0,IF((C44+(C44*7%))/$B$39&gt;C41,0,C44*7%))))</f>
        <v>0</v>
      </c>
      <c r="D47" s="6">
        <f>IF(OR(Adm!$AB$4=0,Adm!$AB$4=""),0,IF(OR(Adm!$AB$4=Adm!$AB$14,Adm!$AB$4=Adm!$AB$16,Adm!$AB$4=Adm!$AB$18),0,IF(D44*7%&lt;=0,0,IF((D44+(D44*7%))/$B$39&gt;D41,0,D44*7%))))</f>
        <v>0</v>
      </c>
      <c r="E47" s="6">
        <f>IF(OR(Adm!$AB$4=0,Adm!$AB$4=""),0,IF(OR(Adm!$AB$4=Adm!$AB$14,Adm!$AB$4=Adm!$AB$16,Adm!$AB$4=Adm!$AB$18),0,IF(E44*7%&lt;=0,0,IF((E44+(E44*7%))/$B$39&gt;E41,0,E44*7%))))</f>
        <v>0</v>
      </c>
      <c r="F47" s="6">
        <f>IF(OR(Adm!$AB$4=0,Adm!$AB$4=""),0,IF(OR(Adm!$AB$4=Adm!$AB$14,Adm!$AB$4=Adm!$AB$16,Adm!$AB$4=Adm!$AB$18),0,IF(F44*7%&lt;=0,0,IF((F44+(F44*7%))/$B$39&gt;F41,0,F44*7%))))</f>
        <v>0</v>
      </c>
      <c r="G47" s="6">
        <f>IF(OR(Adm!$AB$4=0,Adm!$AB$4=""),0,IF(OR(Adm!$AB$4=Adm!$AB$14,Adm!$AB$4=Adm!$AB$16,Adm!$AB$4=Adm!$AB$18),0,IF(G44*7%&lt;=0,0,IF((G44+(G44*7%))/$B$39&gt;G41,0,G44*7%))))</f>
        <v>0</v>
      </c>
      <c r="AL47" s="910"/>
      <c r="AM47" s="914"/>
      <c r="AN47" s="2">
        <f>IF(AND(OR(Adm!$B$4=Adm!$A$116,Adm!$B$4=Adm!$A$117),Adm!$AC$4=Adm!$AC$15),1,0)</f>
        <v>0</v>
      </c>
      <c r="AO47" s="65" t="s">
        <v>313</v>
      </c>
      <c r="AP47" s="6">
        <f>IF(OR(Adm!$HA$4=0,Adm!$HA$4="",Adm!$HA4=Adm!$HA$14,Adm!$HA4=Adm!$HA$16),0,IF(AP44*7%&lt;=0,0,IF((AP44+(AP44*7%))/$AO$39&gt;AP41,0,AP44*7%)))</f>
        <v>0</v>
      </c>
      <c r="AQ47" s="6">
        <f>IF(OR(Adm!$HA$4=0,Adm!$HA$4="",Adm!$HA4=Adm!$HA$14,Adm!$HA4=Adm!$HA$16),0,IF(AQ44*7%&lt;=0,0,IF((AQ44+(AQ44*7%))/$AO$39&gt;AQ41,0,AQ44*7%)))</f>
        <v>0</v>
      </c>
      <c r="AR47" s="6">
        <f>IF(OR(Adm!$HA$4=0,Adm!$HA$4="",Adm!$HA4=Adm!$HA$14,Adm!$HA4=Adm!$HA$16),0,IF(AR44*7%&lt;=0,0,IF((AR44+(AR44*7%))/$AO$39&gt;AR41,0,AR44*7%)))</f>
        <v>0</v>
      </c>
      <c r="AS47" s="6">
        <f>IF(OR(Adm!$HA$4=0,Adm!$HA$4="",Adm!$HA4=Adm!$HA$14,Adm!$HA4=Adm!$HA$16),0,IF(AS44*7%&lt;=0,0,IF((AS44+(AS44*7%))/$AO$39&gt;AS41,0,AS44*7%)))</f>
        <v>0</v>
      </c>
      <c r="AT47" s="6">
        <f>IF(OR(Adm!$HA$4=0,Adm!$HA$4="",Adm!$HA4=Adm!$HA$14,Adm!$HA4=Adm!$HA$16),0,IF(AT44*7%&lt;=0,0,IF((AT44+(AT44*7%))/$AO$39&gt;AT41,0,AT44*7%)))</f>
        <v>0</v>
      </c>
    </row>
    <row r="48" spans="1:46" ht="14.4">
      <c r="B48" s="66" t="s">
        <v>314</v>
      </c>
      <c r="C48" s="6">
        <f>IF(OR(Adm!$AB$4=0,Adm!$AB$4="",Adm!$AB$4=Adm!$AB$14,Adm!$AB$4=Adm!$AB$15,Adm!$AB$4=Adm!$AB$17),0,IF(C39*0.7-C44&lt;0,0,C39*0.7-C44))</f>
        <v>0</v>
      </c>
      <c r="D48" s="6">
        <f>IF(OR(Adm!$AB$4=0,Adm!$AB$4="",Adm!$AB$4=Adm!$AB$14,Adm!$AB$4=Adm!$AB$15,Adm!$AB$4=Adm!$AB$17),0,IF(D39*0.7-D44&lt;0,0,D39*0.7-D44))</f>
        <v>0</v>
      </c>
      <c r="E48" s="6">
        <f>IF(OR(Adm!$AB$4=0,Adm!$AB$4="",Adm!$AB$4=Adm!$AB$14,Adm!$AB$4=Adm!$AB$15,Adm!$AB$4=Adm!$AB$17),0,IF(E39*0.7-E44&lt;0,0,E39*0.7-E44))</f>
        <v>0</v>
      </c>
      <c r="F48" s="6">
        <f>IF(OR(Adm!$AB$4=0,Adm!$AB$4="",Adm!$AB$4=Adm!$AB$14,Adm!$AB$4=Adm!$AB$15,Adm!$AB$4=Adm!$AB$17),0,IF(F39*0.7-F44&lt;0,0,F39*0.7-F44))</f>
        <v>0</v>
      </c>
      <c r="G48" s="6">
        <f>IF(OR(Adm!$AB$4=0,Adm!$AB$4="",Adm!$AB$4=Adm!$AB$14,Adm!$AB$4=Adm!$AB$15,Adm!$AB$4=Adm!$AB$17),0,IF(G39*0.7-G44&lt;0,0,G39*0.7-G44))</f>
        <v>0</v>
      </c>
      <c r="AL48" s="910"/>
      <c r="AM48" s="914"/>
      <c r="AO48" s="66" t="s">
        <v>314</v>
      </c>
      <c r="AP48" s="6">
        <f>IF(OR(Adm!$HA$4=0,Adm!$HA$4="",Adm!$HA$4=Adm!$HA$14,Adm!$HA$4=Adm!$HA$15),0,IF(AND(Adm!$GG$4=Adm!$GF$116,Adm!$HB$4=Adm!$HB$15),0,IF(AP39*0.7-AP44&lt;0,0,AP39*0.7-AP44)))</f>
        <v>0</v>
      </c>
      <c r="AQ48" s="6">
        <f>IF(OR(Adm!$HA$4=0,Adm!$HA$4="",Adm!$HA$4=Adm!$HA$14,Adm!$HA$4=Adm!$HA$15),0,IF(AND(Adm!$GG$4=Adm!$GF$116,Adm!$HB$4=Adm!$HB$15),0,IF(AQ39*0.7-AQ44&lt;0,0,AQ39*0.7-AQ44)))</f>
        <v>0</v>
      </c>
      <c r="AR48" s="6">
        <f>IF(OR(Adm!$HA$4=0,Adm!$HA$4="",Adm!$HA$4=Adm!$HA$14,Adm!$HA$4=Adm!$HA$15),0,IF(AND(Adm!$GG$4=Adm!$GF$116,Adm!$HB$4=Adm!$HB$15),0,IF(AR39*0.7-AR44&lt;0,0,AR39*0.7-AR44)))</f>
        <v>0</v>
      </c>
      <c r="AS48" s="6">
        <f>IF(OR(Adm!$HA$4=0,Adm!$HA$4="",Adm!$HA$4=Adm!$HA$14,Adm!$HA$4=Adm!$HA$15),0,IF(AND(Adm!$GG$4=Adm!$GF$116,Adm!$HB$4=Adm!$HB$15),0,IF(AS39*0.7-AS44&lt;0,0,AS39*0.7-AS44)))</f>
        <v>0</v>
      </c>
      <c r="AT48" s="6">
        <f>IF(OR(Adm!$HA$4=0,Adm!$HA$4="",Adm!$HA$4=Adm!$HA$14,Adm!$HA$4=Adm!$HA$15),0,IF(AND(Adm!$GG$4=Adm!$GF$116,Adm!$HB$4=Adm!$HB$15),0,IF(AT39*0.7-AT44&lt;0,0,AT39*0.7-AT44)))</f>
        <v>0</v>
      </c>
    </row>
    <row r="49" spans="1:46">
      <c r="B49" s="3" t="s">
        <v>315</v>
      </c>
      <c r="C49" s="22">
        <f>MAX(C47:C48)</f>
        <v>0</v>
      </c>
      <c r="D49" s="22">
        <f>MAX(D47:D48)</f>
        <v>0</v>
      </c>
      <c r="E49" s="22">
        <f>MAX(E47:E48)</f>
        <v>0</v>
      </c>
      <c r="F49" s="22">
        <f>MAX(F47:F48)</f>
        <v>0</v>
      </c>
      <c r="G49" s="22">
        <f>MAX(G47:G48)</f>
        <v>0</v>
      </c>
      <c r="AL49" s="910"/>
      <c r="AM49" s="914"/>
      <c r="AO49" s="3" t="s">
        <v>315</v>
      </c>
      <c r="AP49" s="22">
        <f>MAX(AP47:AP48)</f>
        <v>0</v>
      </c>
      <c r="AQ49" s="22">
        <f>MAX(AQ47:AQ48)</f>
        <v>0</v>
      </c>
      <c r="AR49" s="22">
        <f>MAX(AR47:AR48)</f>
        <v>0</v>
      </c>
      <c r="AS49" s="22">
        <f>MAX(AS47:AS48)</f>
        <v>0</v>
      </c>
      <c r="AT49" s="22">
        <f>MAX(AT47:AT48)</f>
        <v>0</v>
      </c>
    </row>
    <row r="50" spans="1:46">
      <c r="B50" s="1033" t="s">
        <v>316</v>
      </c>
      <c r="C50" s="1032" t="e">
        <f>IF(Adm!$AB$4=Adm!$AB$15,(C44+C47)/C39,(C44+C48)/C39)</f>
        <v>#N/A</v>
      </c>
      <c r="D50" s="1032" t="e">
        <f>IF(Adm!$AB$4=Adm!$AB$15,(D44+D47)/D39,(D44+D48)/D39)</f>
        <v>#N/A</v>
      </c>
      <c r="E50" s="1032" t="e">
        <f>IF(Adm!$AB$4=Adm!$AB$15,(E44+E47)/E39,(E44+E48)/E39)</f>
        <v>#N/A</v>
      </c>
      <c r="F50" s="1032" t="e">
        <f>IF(Adm!$AB$4=Adm!$AB$15,(F44+F47)/F39,(F44+F48)/F39)</f>
        <v>#N/A</v>
      </c>
      <c r="G50" s="1032" t="e">
        <f>IF(Adm!$AB$4=Adm!$AB$15,(G44+G47)/G39,(G44+G48)/G39)</f>
        <v>#N/A</v>
      </c>
      <c r="AL50" s="910"/>
      <c r="AM50" s="914"/>
      <c r="AO50" s="3"/>
    </row>
    <row r="51" spans="1:46">
      <c r="A51" s="95" t="s">
        <v>317</v>
      </c>
      <c r="B51" s="828">
        <f>Captura!N23</f>
        <v>0</v>
      </c>
      <c r="C51" s="823">
        <f>IF(AND($B$51&gt;0,$B$51&lt;=C49),$B$51,C49)</f>
        <v>0</v>
      </c>
      <c r="D51" s="823">
        <f>IF(AND($B$51&gt;0,$B$51&lt;=D49),$B$51,D49)</f>
        <v>0</v>
      </c>
      <c r="E51" s="823">
        <f>IF(AND($B$51&gt;0,$B$51&lt;=E49),$B$51,E49)</f>
        <v>0</v>
      </c>
      <c r="F51" s="823">
        <f>IF(AND($B$51&gt;0,$B$51&lt;=F49),$B$51,F49)</f>
        <v>0</v>
      </c>
      <c r="G51" s="823">
        <f>IF(AND($B$51&gt;0,$B$51&lt;=G49),$B$51,G49)</f>
        <v>0</v>
      </c>
      <c r="AL51" s="910"/>
      <c r="AM51" s="914"/>
      <c r="AN51" s="95" t="s">
        <v>317</v>
      </c>
      <c r="AO51" s="828">
        <f>Free!K27</f>
        <v>0</v>
      </c>
      <c r="AP51" s="823">
        <f>IF(AND($AO$51&gt;0,$AO$51&lt;=AP49),$AO$51,AP49)</f>
        <v>0</v>
      </c>
      <c r="AQ51" s="823">
        <f t="shared" ref="AQ51:AT51" si="21">IF(AND($AO$51&gt;0,$AO$51&lt;=AQ49),$AO$51,AQ49)</f>
        <v>0</v>
      </c>
      <c r="AR51" s="823">
        <f t="shared" si="21"/>
        <v>0</v>
      </c>
      <c r="AS51" s="823">
        <f t="shared" si="21"/>
        <v>0</v>
      </c>
      <c r="AT51" s="823">
        <f t="shared" si="21"/>
        <v>0</v>
      </c>
    </row>
    <row r="52" spans="1:46">
      <c r="C52" s="844" t="e">
        <f>(C44+C51)/C39</f>
        <v>#N/A</v>
      </c>
      <c r="D52" s="844" t="e">
        <f t="shared" ref="D52:G52" si="22">(D44+D51)/D39</f>
        <v>#N/A</v>
      </c>
      <c r="E52" s="844" t="e">
        <f t="shared" si="22"/>
        <v>#N/A</v>
      </c>
      <c r="F52" s="844" t="e">
        <f t="shared" si="22"/>
        <v>#N/A</v>
      </c>
      <c r="G52" s="844" t="e">
        <f t="shared" si="22"/>
        <v>#N/A</v>
      </c>
      <c r="AL52" s="910"/>
      <c r="AM52" s="914"/>
      <c r="AO52" s="132" t="s">
        <v>318</v>
      </c>
      <c r="AP52" s="844" t="e">
        <f>(AP44+AP51)/AP39</f>
        <v>#N/A</v>
      </c>
      <c r="AQ52" s="844" t="e">
        <f t="shared" ref="AQ52:AT52" si="23">(AQ44+AQ51)/AQ39</f>
        <v>#N/A</v>
      </c>
      <c r="AR52" s="844" t="e">
        <f t="shared" si="23"/>
        <v>#N/A</v>
      </c>
      <c r="AS52" s="844" t="e">
        <f t="shared" si="23"/>
        <v>#N/A</v>
      </c>
      <c r="AT52" s="844" t="e">
        <f t="shared" si="23"/>
        <v>#N/A</v>
      </c>
    </row>
    <row r="53" spans="1:46">
      <c r="AL53" s="910"/>
      <c r="AM53" s="914"/>
    </row>
    <row r="54" spans="1:46">
      <c r="B54" s="132"/>
      <c r="C54" s="86"/>
      <c r="AL54" s="910"/>
      <c r="AM54" s="914"/>
      <c r="AP54" s="127"/>
      <c r="AQ54" s="1034"/>
      <c r="AR54" s="1034"/>
      <c r="AS54" s="1034"/>
      <c r="AT54" s="1034"/>
    </row>
    <row r="55" spans="1:46">
      <c r="C55" s="93"/>
      <c r="L55" s="94"/>
      <c r="M55" s="94"/>
      <c r="AL55" s="910"/>
      <c r="AM55" s="914"/>
      <c r="AT55" s="1034"/>
    </row>
    <row r="56" spans="1:46">
      <c r="AL56" s="910"/>
      <c r="AM56" s="914"/>
      <c r="AT56" s="1034"/>
    </row>
    <row r="57" spans="1:46">
      <c r="B57" s="5"/>
      <c r="AL57" s="910"/>
      <c r="AM57" s="914"/>
      <c r="AO57" s="5"/>
    </row>
    <row r="58" spans="1:46" ht="15.6">
      <c r="A58" s="45" t="s">
        <v>319</v>
      </c>
      <c r="B58" s="45" t="s">
        <v>319</v>
      </c>
      <c r="C58" s="45" t="s">
        <v>319</v>
      </c>
      <c r="D58" s="45" t="s">
        <v>319</v>
      </c>
      <c r="E58" s="45" t="s">
        <v>319</v>
      </c>
      <c r="F58" s="45" t="s">
        <v>319</v>
      </c>
      <c r="G58" s="45" t="s">
        <v>319</v>
      </c>
      <c r="AL58" s="910"/>
      <c r="AM58" s="914"/>
      <c r="AO58" s="5"/>
    </row>
    <row r="59" spans="1:46">
      <c r="B59" s="5"/>
      <c r="AL59" s="910"/>
      <c r="AM59" s="914"/>
      <c r="AO59" s="5"/>
    </row>
    <row r="60" spans="1:46">
      <c r="A60" s="51" t="s">
        <v>320</v>
      </c>
      <c r="B60" s="15" t="str">
        <f>IF(Adm!B4=Adm!A118,Captura!N31,"")</f>
        <v/>
      </c>
      <c r="AL60" s="910"/>
      <c r="AM60" s="914"/>
      <c r="AO60" s="5"/>
    </row>
    <row r="61" spans="1:46">
      <c r="A61" s="251" t="s">
        <v>203</v>
      </c>
      <c r="B61" s="57">
        <f>Adm!E10</f>
        <v>0</v>
      </c>
      <c r="AL61" s="910"/>
      <c r="AM61" s="914"/>
      <c r="AO61" s="5"/>
    </row>
    <row r="62" spans="1:46">
      <c r="A62" s="251" t="s">
        <v>321</v>
      </c>
      <c r="B62" s="834">
        <f>IF(B61&lt;=500,4,5)</f>
        <v>4</v>
      </c>
      <c r="AL62" s="910"/>
      <c r="AM62" s="914"/>
      <c r="AO62" s="5"/>
    </row>
    <row r="65" spans="1:7">
      <c r="B65" s="4" t="s">
        <v>288</v>
      </c>
      <c r="C65" s="4" t="s">
        <v>289</v>
      </c>
      <c r="D65" s="4" t="s">
        <v>290</v>
      </c>
      <c r="E65" s="4" t="s">
        <v>291</v>
      </c>
      <c r="F65" s="4" t="s">
        <v>292</v>
      </c>
      <c r="G65" s="4" t="s">
        <v>293</v>
      </c>
    </row>
    <row r="66" spans="1:7" s="824" customFormat="1">
      <c r="A66" s="52" t="s">
        <v>322</v>
      </c>
      <c r="B66" s="15">
        <f>IF(Adm!B4=Adm!A118,B5,0)</f>
        <v>0</v>
      </c>
      <c r="C66" s="825"/>
      <c r="D66" s="825"/>
      <c r="E66" s="825"/>
      <c r="F66" s="825"/>
      <c r="G66" s="825"/>
    </row>
    <row r="67" spans="1:7" s="824" customFormat="1">
      <c r="A67" s="53" t="s">
        <v>323</v>
      </c>
      <c r="B67" s="15">
        <f>IF(Adm!B4=Adm!A118,B9,0)</f>
        <v>0</v>
      </c>
      <c r="C67" s="825"/>
      <c r="D67" s="825"/>
      <c r="E67" s="825"/>
      <c r="F67" s="825"/>
      <c r="G67" s="825"/>
    </row>
    <row r="68" spans="1:7">
      <c r="A68" s="54" t="s">
        <v>324</v>
      </c>
      <c r="B68" s="50">
        <f>B66+B67</f>
        <v>0</v>
      </c>
      <c r="C68" s="48">
        <f>B68</f>
        <v>0</v>
      </c>
      <c r="D68" s="48">
        <f t="shared" ref="D68" si="24">C68</f>
        <v>0</v>
      </c>
      <c r="E68" s="48">
        <f t="shared" ref="E68" si="25">D68</f>
        <v>0</v>
      </c>
      <c r="F68" s="48">
        <f t="shared" ref="F68" si="26">E68</f>
        <v>0</v>
      </c>
      <c r="G68" s="48">
        <f t="shared" ref="G68" si="27">F68</f>
        <v>0</v>
      </c>
    </row>
    <row r="69" spans="1:7">
      <c r="A69" s="817" t="s">
        <v>295</v>
      </c>
      <c r="B69" s="819" t="e">
        <f>VLOOKUP(Adm!$B$4,lista,8,0)</f>
        <v>#N/A</v>
      </c>
    </row>
    <row r="70" spans="1:7">
      <c r="A70" s="1044" t="s">
        <v>325</v>
      </c>
      <c r="B70" s="829" t="s">
        <v>296</v>
      </c>
      <c r="C70" s="816" t="e">
        <f>Adm!$EC$9</f>
        <v>#N/A</v>
      </c>
      <c r="D70" s="816" t="e">
        <f>Adm!$EC$8</f>
        <v>#N/A</v>
      </c>
      <c r="E70" s="816" t="e">
        <f>Adm!$EC$7</f>
        <v>#N/A</v>
      </c>
      <c r="F70" s="816" t="e">
        <f>Adm!$EC$6</f>
        <v>#N/A</v>
      </c>
      <c r="G70" s="816" t="e">
        <f>Adm!$EC$5</f>
        <v>#N/A</v>
      </c>
    </row>
    <row r="71" spans="1:7">
      <c r="A71" s="1045" t="e">
        <f>B66/B68</f>
        <v>#DIV/0!</v>
      </c>
      <c r="B71" s="1037" t="s">
        <v>297</v>
      </c>
      <c r="C71" s="175" t="e">
        <f>C68*C70</f>
        <v>#N/A</v>
      </c>
      <c r="D71" s="175" t="e">
        <f t="shared" ref="D71:G71" si="28">D68*D70</f>
        <v>#N/A</v>
      </c>
      <c r="E71" s="175" t="e">
        <f t="shared" si="28"/>
        <v>#N/A</v>
      </c>
      <c r="F71" s="175" t="e">
        <f t="shared" si="28"/>
        <v>#N/A</v>
      </c>
      <c r="G71" s="175" t="e">
        <f t="shared" si="28"/>
        <v>#N/A</v>
      </c>
    </row>
    <row r="72" spans="1:7">
      <c r="B72" s="1039" t="s">
        <v>326</v>
      </c>
      <c r="C72" s="1040" t="e">
        <f>IF(AND(Adm!$B$4=Adm!$A$118,Adm!$E$4=Adm!$E$7),0,IF($B$67&lt;C71,$B$67,C71))</f>
        <v>#N/A</v>
      </c>
      <c r="D72" s="1040" t="e">
        <f>IF(AND(Adm!$B$4=$A$120,Adm!$E$4=Adm!$E$7),0,IF($B$67&lt;D71,$B$67,D71))</f>
        <v>#N/A</v>
      </c>
      <c r="E72" s="1040" t="e">
        <f>IF(AND(Adm!$B$4=$A$120,Adm!$E$4=Adm!$E$7),0,IF($B$67&lt;E71,$B$67,E71))</f>
        <v>#N/A</v>
      </c>
      <c r="F72" s="1040" t="e">
        <f>IF(AND(Adm!$B$4=$A$120,Adm!$E$4=Adm!$E$7),0,IF($B$67&lt;F71,$B$67,F71))</f>
        <v>#N/A</v>
      </c>
      <c r="G72" s="1040" t="e">
        <f>IF(AND(Adm!$B$4=$A$120,Adm!$E$4=Adm!$E$7),0,IF($B$67&lt;G71,$B$67,G71))</f>
        <v>#N/A</v>
      </c>
    </row>
    <row r="73" spans="1:7">
      <c r="B73" s="1041" t="s">
        <v>327</v>
      </c>
      <c r="C73" s="1042" t="e">
        <f>IF(AND(Adm!$B$4=Adm!$A$118,Adm!$E$4=Adm!$E$6),0,IF($B$68*$B$69&lt;C71,$B$68*$B$69,C71))</f>
        <v>#N/A</v>
      </c>
      <c r="D73" s="1042" t="e">
        <f>IF(AND(Adm!$B$4=Adm!$A$118,Adm!$E$4=Adm!$E$6),0,IF($B$68*$B$69&lt;D71,$B$68*$B$69,D71))</f>
        <v>#N/A</v>
      </c>
      <c r="E73" s="1042" t="e">
        <f>IF(AND(Adm!$B$4=Adm!$A$118,Adm!$E$4=Adm!$E$6),0,IF($B$68*$B$69&lt;E71,$B$68*$B$69,E71))</f>
        <v>#N/A</v>
      </c>
      <c r="F73" s="1042" t="e">
        <f>IF(AND(Adm!$B$4=Adm!$A$118,Adm!$E$4=Adm!$E$6),0,IF($B$68*$B$69&lt;F71,$B$68*$B$69,F71))</f>
        <v>#N/A</v>
      </c>
      <c r="G73" s="1042" t="e">
        <f>IF(AND(Adm!$B$4=Adm!$A$118,Adm!$E$4=Adm!$E$6),0,IF($B$68*$B$69&lt;G71,$B$68*$B$69,G71))</f>
        <v>#N/A</v>
      </c>
    </row>
    <row r="74" spans="1:7">
      <c r="B74" s="1038"/>
      <c r="C74" s="22" t="e">
        <f>MAX(C72:C73)</f>
        <v>#N/A</v>
      </c>
      <c r="D74" s="22" t="e">
        <f t="shared" ref="D74:G74" si="29">MAX(D72:D73)</f>
        <v>#N/A</v>
      </c>
      <c r="E74" s="22" t="e">
        <f t="shared" si="29"/>
        <v>#N/A</v>
      </c>
      <c r="F74" s="22" t="e">
        <f t="shared" si="29"/>
        <v>#N/A</v>
      </c>
      <c r="G74" s="22" t="e">
        <f t="shared" si="29"/>
        <v>#N/A</v>
      </c>
    </row>
    <row r="75" spans="1:7" ht="12" customHeight="1">
      <c r="B75" s="3" t="s">
        <v>328</v>
      </c>
      <c r="C75" s="1036"/>
      <c r="D75" s="1036"/>
      <c r="E75" s="1036"/>
      <c r="F75" s="1036"/>
      <c r="G75" s="1036"/>
    </row>
    <row r="76" spans="1:7">
      <c r="A76" s="827" t="s">
        <v>329</v>
      </c>
      <c r="B76" s="1043">
        <f>IF(Captura!N35&gt;0,Captura!N35,0)</f>
        <v>0</v>
      </c>
      <c r="C76" s="1046" t="e">
        <f>IF(AND($B$76&gt;0,$B$76&lt;=C74),$B$76,C74)</f>
        <v>#N/A</v>
      </c>
      <c r="D76" s="1046" t="e">
        <f t="shared" ref="D76:G76" si="30">IF(AND($B$76&gt;0,$B$76&lt;=D74),$B$76,D74)</f>
        <v>#N/A</v>
      </c>
      <c r="E76" s="1046" t="e">
        <f t="shared" si="30"/>
        <v>#N/A</v>
      </c>
      <c r="F76" s="1046" t="e">
        <f t="shared" si="30"/>
        <v>#N/A</v>
      </c>
      <c r="G76" s="1046" t="e">
        <f t="shared" si="30"/>
        <v>#N/A</v>
      </c>
    </row>
    <row r="77" spans="1:7">
      <c r="C77" s="844" t="e">
        <f>C76/$B$68</f>
        <v>#N/A</v>
      </c>
      <c r="D77" s="844" t="e">
        <f>D76/$B$68</f>
        <v>#N/A</v>
      </c>
      <c r="E77" s="844" t="e">
        <f>E76/$B$68</f>
        <v>#N/A</v>
      </c>
      <c r="F77" s="844" t="e">
        <f>F76/$B$68</f>
        <v>#N/A</v>
      </c>
      <c r="G77" s="844" t="e">
        <f>G76/$B$68</f>
        <v>#N/A</v>
      </c>
    </row>
    <row r="78" spans="1:7">
      <c r="A78" s="1048" t="s">
        <v>330</v>
      </c>
      <c r="B78" s="5"/>
    </row>
    <row r="79" spans="1:7">
      <c r="A79" s="1049" t="s">
        <v>331</v>
      </c>
      <c r="B79" s="1050">
        <f>IF(B76&gt;0,B66+C76,B68)</f>
        <v>0</v>
      </c>
      <c r="C79" s="1051">
        <f>B79*0.25</f>
        <v>0</v>
      </c>
    </row>
    <row r="80" spans="1:7">
      <c r="A80" s="1052" t="s">
        <v>332</v>
      </c>
      <c r="B80" s="1053">
        <f>B66</f>
        <v>0</v>
      </c>
      <c r="C80" s="1054">
        <f>B80*0.7</f>
        <v>0</v>
      </c>
    </row>
    <row r="82" spans="1:5">
      <c r="A82" s="55" t="s">
        <v>333</v>
      </c>
      <c r="B82" s="5"/>
    </row>
    <row r="83" spans="1:5">
      <c r="A83" s="2223" t="s">
        <v>334</v>
      </c>
      <c r="B83" s="2224"/>
      <c r="D83" s="833" t="s">
        <v>335</v>
      </c>
    </row>
    <row r="84" spans="1:5">
      <c r="A84" s="52" t="s">
        <v>336</v>
      </c>
      <c r="B84" s="836">
        <f>IF($B$68*0.25&lt;=($B$66*0.7),$B$68*0.25,$B$66*0.7)</f>
        <v>0</v>
      </c>
      <c r="D84" s="56" t="s">
        <v>336</v>
      </c>
      <c r="E84" s="840" t="e">
        <f>IF($B$62=4,$C$76*0.25,$C$76*0.25)</f>
        <v>#N/A</v>
      </c>
    </row>
    <row r="85" spans="1:5">
      <c r="A85" s="53" t="s">
        <v>337</v>
      </c>
      <c r="B85" s="836" t="e">
        <f>IF(Adm!$E$10&lt;=500,((C76-B84)/3),IF(Adm!$E$10&gt;500,((C76-B84)/4)))</f>
        <v>#N/A</v>
      </c>
      <c r="D85" s="56" t="s">
        <v>338</v>
      </c>
      <c r="E85" s="840" t="e">
        <f>IF($B$62=4,$C$76*0.25,$C$76*0.2)</f>
        <v>#N/A</v>
      </c>
    </row>
    <row r="86" spans="1:5">
      <c r="A86" s="1047"/>
      <c r="D86" s="56" t="s">
        <v>339</v>
      </c>
      <c r="E86" s="840" t="e">
        <f>IF($B$62=4,$C$76*0.25,$C$76*0.2)</f>
        <v>#N/A</v>
      </c>
    </row>
    <row r="87" spans="1:5">
      <c r="A87" s="835"/>
      <c r="B87" s="837"/>
      <c r="D87" s="56" t="s">
        <v>340</v>
      </c>
      <c r="E87" s="840" t="e">
        <f>IF($B$62=4,$C$76*0.25,$C$76*0.2)</f>
        <v>#N/A</v>
      </c>
    </row>
    <row r="88" spans="1:5">
      <c r="A88" s="835"/>
      <c r="B88" s="837"/>
      <c r="D88" s="56" t="s">
        <v>341</v>
      </c>
      <c r="E88" s="840">
        <f>IF($B$62=5,C76*0.15,0)</f>
        <v>0</v>
      </c>
    </row>
    <row r="89" spans="1:5">
      <c r="A89" s="835"/>
      <c r="B89" s="837"/>
      <c r="D89" s="841" t="s">
        <v>342</v>
      </c>
      <c r="E89" s="1055" t="e">
        <f>SUM(E84:E88)</f>
        <v>#N/A</v>
      </c>
    </row>
    <row r="90" spans="1:5">
      <c r="A90" s="1056" t="s">
        <v>343</v>
      </c>
      <c r="B90" s="838"/>
      <c r="D90" s="86"/>
      <c r="E90" s="86"/>
    </row>
    <row r="91" spans="1:5">
      <c r="A91" s="56" t="s">
        <v>336</v>
      </c>
      <c r="B91" s="839">
        <f>IF($B$60="Construcción en Terreno Propio",E84,B84)</f>
        <v>0</v>
      </c>
      <c r="D91" s="86"/>
      <c r="E91" s="86"/>
    </row>
    <row r="92" spans="1:5">
      <c r="A92" s="56" t="s">
        <v>338</v>
      </c>
      <c r="B92" s="839" t="e">
        <f>IF($B$60="Construcción en Terreno Propio",E85,$B$85)</f>
        <v>#N/A</v>
      </c>
      <c r="D92" s="86"/>
      <c r="E92" s="86"/>
    </row>
    <row r="93" spans="1:5">
      <c r="A93" s="56" t="s">
        <v>339</v>
      </c>
      <c r="B93" s="839" t="e">
        <f>IF($B$60="Construcción en Terreno Propio",E86,$B$85)</f>
        <v>#N/A</v>
      </c>
      <c r="D93" s="86"/>
      <c r="E93" s="86"/>
    </row>
    <row r="94" spans="1:5">
      <c r="A94" s="56" t="s">
        <v>340</v>
      </c>
      <c r="B94" s="839" t="e">
        <f>IF($B$60="Construcción en Terreno Propio",E87,$B$85)</f>
        <v>#N/A</v>
      </c>
      <c r="D94" s="86"/>
      <c r="E94" s="86"/>
    </row>
    <row r="95" spans="1:5">
      <c r="A95" s="56" t="s">
        <v>341</v>
      </c>
      <c r="B95" s="839">
        <f>IF(Adm!$E$10&lt;=500,0,IF($B$60="Construcción en Terreno Propio",E88,B85))</f>
        <v>0</v>
      </c>
      <c r="D95" s="86"/>
      <c r="E95" s="86"/>
    </row>
    <row r="96" spans="1:5">
      <c r="A96" s="841" t="s">
        <v>342</v>
      </c>
      <c r="B96" s="842" t="e">
        <f>SUM(B91:B95)</f>
        <v>#N/A</v>
      </c>
      <c r="D96" s="86"/>
      <c r="E96" s="86"/>
    </row>
    <row r="103" spans="1:69" ht="24.6">
      <c r="A103" s="12" t="s">
        <v>344</v>
      </c>
      <c r="B103" s="11"/>
      <c r="C103" s="11"/>
      <c r="D103" s="11"/>
      <c r="E103" s="11"/>
      <c r="F103" s="11"/>
      <c r="G103" s="11"/>
      <c r="H103" s="11"/>
      <c r="I103" s="11"/>
      <c r="J103" s="11"/>
      <c r="K103" s="11"/>
      <c r="AA103" s="944" t="s">
        <v>345</v>
      </c>
      <c r="AB103" s="2222" t="s">
        <v>346</v>
      </c>
      <c r="AC103" s="2222"/>
      <c r="AD103" s="2222"/>
      <c r="AL103" s="910"/>
      <c r="AM103" s="914"/>
      <c r="AN103" s="931" t="s">
        <v>344</v>
      </c>
      <c r="AO103" s="932"/>
      <c r="AP103" s="932"/>
      <c r="AQ103" s="932"/>
      <c r="AR103" s="932"/>
      <c r="AS103" s="932"/>
      <c r="AT103" s="932"/>
      <c r="AU103" s="932"/>
      <c r="AV103" s="932"/>
      <c r="AW103" s="932"/>
      <c r="AX103" s="932"/>
      <c r="BN103" s="930" t="s">
        <v>345</v>
      </c>
      <c r="BO103" s="2222" t="s">
        <v>346</v>
      </c>
      <c r="BP103" s="2222"/>
      <c r="BQ103" s="2222"/>
    </row>
    <row r="104" spans="1:69" ht="18">
      <c r="G104" s="929" t="s">
        <v>347</v>
      </c>
      <c r="H104" s="859" t="str">
        <f>Captura!E51</f>
        <v>Selecciona</v>
      </c>
      <c r="K104" s="86"/>
      <c r="AA104" s="934" t="s">
        <v>230</v>
      </c>
      <c r="AB104" s="949"/>
      <c r="AC104" s="949"/>
      <c r="AD104" s="949"/>
      <c r="AL104" s="910"/>
      <c r="AM104" s="914"/>
      <c r="AT104" s="929" t="s">
        <v>347</v>
      </c>
      <c r="AU104" s="859">
        <f>Free!E40</f>
        <v>0</v>
      </c>
      <c r="BN104" s="934" t="s">
        <v>230</v>
      </c>
      <c r="BO104" s="949"/>
      <c r="BP104" s="949"/>
      <c r="BQ104" s="949"/>
    </row>
    <row r="105" spans="1:69" ht="21.6" thickBot="1">
      <c r="A105" s="843">
        <f>Adm!B4</f>
        <v>0</v>
      </c>
      <c r="C105" s="128"/>
      <c r="D105" s="863" t="str">
        <f>IF(AND(OR(Adm!$B$4=Adm!$A$116,Adm!$B$4=Adm!$A$117),Adm!$AB$4=Adm!$AB$14),"NO",IF(C51=0,"NO",IF(OR(Adm!$B$4=Adm!$A$116,Adm!$B$4=Adm!$A$117),"SI","NO")))</f>
        <v>NO</v>
      </c>
      <c r="E105" s="863" t="str">
        <f>IF(AND(OR(Adm!$B$4=Adm!$A$116,Adm!$B$4=Adm!$A$117),Adm!$AC$4=Adm!$AC$16),"SI","NO")</f>
        <v>NO</v>
      </c>
      <c r="G105" s="864"/>
      <c r="H105" s="865">
        <f>IF($H$104="Perfil 4",L105,IF($H$104="perfil 3",P105,IF($H$104="perfil 2",T105,IF($H$104="perfil 1",X105,0))))</f>
        <v>0</v>
      </c>
      <c r="I105" s="865">
        <f>IF($H$104="Perfil 4",M105,IF($H$104="perfil 3",Q105,IF($H$104="perfil 2",U105,IF($H$104="perfil 1",Y105,0))))</f>
        <v>0</v>
      </c>
      <c r="L105" s="1028" t="str">
        <f>IF(AND(OR(Adm!$B$4=Adm!$A$116,Adm!$B$4=Adm!$A$117),Adm!$AB$4=Adm!$AB$14),"NO",IF(D51=0,"NO",IF(OR(Adm!$B$4=Adm!$A$116,Adm!$B$4=Adm!$A$117),"SI","NO")))</f>
        <v>NO</v>
      </c>
      <c r="M105" s="1028" t="str">
        <f>IF(AND(OR(Adm!$B$4=Adm!$A$116,Adm!$B$4=Adm!$A$117),Adm!$AC$4=Adm!$AC$16),"SI","NO")</f>
        <v>NO</v>
      </c>
      <c r="P105" s="1028" t="str">
        <f>IF(AND(OR(Adm!$B$4=Adm!$A$116,Adm!$B$4=Adm!$A$117),Adm!$AB$4=Adm!$AB$14),"NO",IF(E51=0,"NO",IF(OR(Adm!$B$4=Adm!$A$116,Adm!$B$4=Adm!$A$117),"SI","NO")))</f>
        <v>NO</v>
      </c>
      <c r="Q105" s="1028" t="str">
        <f>IF(AND(OR(Adm!$B$4=Adm!$A$116,Adm!$B$4=Adm!$A$117),Adm!$AC$4=Adm!$AC$16),"SI","NO")</f>
        <v>NO</v>
      </c>
      <c r="T105" s="1028" t="str">
        <f>IF(AND(OR(Adm!$B$4=Adm!$A$116,Adm!$B$4=Adm!$A$117),Adm!$AB$4=Adm!$AB$14),"NO",IF(F51=0,"NO",IF(OR(Adm!$B$4=Adm!$A$116,Adm!$B$4=Adm!$A$117),"SI","NO")))</f>
        <v>NO</v>
      </c>
      <c r="U105" s="1028" t="str">
        <f>IF(AND(OR(Adm!$B$4=Adm!$A$116,Adm!$B$4=Adm!$A$117),Adm!$AC$4=Adm!$AC$16),"SI","NO")</f>
        <v>NO</v>
      </c>
      <c r="X105" s="1028" t="str">
        <f>IF(AND(OR(Adm!$B$4=Adm!$A$116,Adm!$B$4=Adm!$A$117),Adm!$AB$4=Adm!$AB$14),"NO",IF(G51=0,"NO",IF(OR(Adm!$B$4=Adm!$A$116,Adm!$B$4=Adm!$A$117),"SI","NO")))</f>
        <v>NO</v>
      </c>
      <c r="Y105" s="1028" t="str">
        <f>IF(AND(OR(Adm!$B$4=Adm!$A$116,Adm!$B$4=Adm!$A$117),Adm!$AC$4=Adm!$AC$16),"SI","NO")</f>
        <v>NO</v>
      </c>
      <c r="AA105" s="935" t="s">
        <v>239</v>
      </c>
      <c r="AC105" s="1029">
        <f>IF($AB$106="Perfil 5",D105,IF($AB$106="Perfil 4",L105,IF($AB$106="perfil 3",P105,IF($AB$106="perfil 2",T105,IF($AB$106="perfil 1",X105,0)))))</f>
        <v>0</v>
      </c>
      <c r="AD105" s="1029">
        <f>IF($AB$106="Perfil 5",E105,IF($AB$106="Perfil 4",M105,IF($AB$106="perfil 3",Q105,IF($AB$106="perfil 2",U105,IF($AB$106="perfil 1",Y105,0)))))</f>
        <v>0</v>
      </c>
      <c r="AL105" s="910"/>
      <c r="AM105" s="914"/>
      <c r="AN105" s="923">
        <f>Adm!GG4</f>
        <v>0</v>
      </c>
      <c r="AP105" s="128"/>
      <c r="AQ105" s="863" t="str">
        <f>IF(AND(Adm!GG4=Adm!GF116,AP51&gt;0),"SI","NO")</f>
        <v>NO</v>
      </c>
      <c r="AR105" s="863"/>
      <c r="AU105" s="863">
        <f>IF($AU$104="Perfil 4",AY105,IF($AU$104="perfil 3",BC105,IF($AU$104="perfil 2",BG105,IF($AU$104="perfil 1",BK105,0))))</f>
        <v>0</v>
      </c>
      <c r="AY105" s="863" t="str">
        <f>IF(AND(Adm!$GG$4=Adm!$GF$116,AQ51&gt;0),"SI","NO")</f>
        <v>NO</v>
      </c>
      <c r="BC105" s="863" t="str">
        <f>IF(AND(Adm!$GG$4=Adm!$GF$116,AR51&gt;0),"SI","NO")</f>
        <v>NO</v>
      </c>
      <c r="BD105" s="2221"/>
      <c r="BE105" s="2221"/>
      <c r="BG105" s="863" t="str">
        <f>IF(AND(Adm!$GG$4=Adm!$GF$116,AS51&gt;0),"SI","NO")</f>
        <v>NO</v>
      </c>
      <c r="BK105" s="863" t="str">
        <f>IF(AND(Adm!$GG$4=Adm!$GF$116,AT51&gt;0),"SI","NO")</f>
        <v>NO</v>
      </c>
      <c r="BN105" s="935" t="s">
        <v>239</v>
      </c>
      <c r="BP105" s="1031">
        <f>IF($BO$106="Perfil 5",AQ105,IF($BO$106="Perfil 4",AY105,IF($BO$106="perfil 3",BC105,IF($BO$106="perfil 2",BG105,IF($BO$106="perfil 1",BK105,0)))))</f>
        <v>0</v>
      </c>
      <c r="BQ105" s="1024"/>
    </row>
    <row r="106" spans="1:69" ht="28.2">
      <c r="A106"/>
      <c r="B106" s="13">
        <v>1</v>
      </c>
      <c r="C106" s="969" t="s">
        <v>289</v>
      </c>
      <c r="D106" s="375" t="s">
        <v>348</v>
      </c>
      <c r="E106" s="198" t="s">
        <v>349</v>
      </c>
      <c r="G106" s="1057" t="str">
        <f>H104</f>
        <v>Selecciona</v>
      </c>
      <c r="H106" s="1058" t="str">
        <f>CONCATENATE("liquidez",H104)</f>
        <v>liquidezSelecciona</v>
      </c>
      <c r="I106" s="1059" t="str">
        <f>CONCATENATE("Sustitución",H104)</f>
        <v>SustituciónSelecciona</v>
      </c>
      <c r="K106" s="4">
        <v>4</v>
      </c>
      <c r="L106" s="375" t="s">
        <v>350</v>
      </c>
      <c r="M106" s="198" t="s">
        <v>351</v>
      </c>
      <c r="O106" s="4" t="s">
        <v>291</v>
      </c>
      <c r="P106" s="375" t="s">
        <v>352</v>
      </c>
      <c r="Q106" s="198" t="s">
        <v>353</v>
      </c>
      <c r="R106" s="2">
        <v>1</v>
      </c>
      <c r="S106" s="4" t="s">
        <v>292</v>
      </c>
      <c r="T106" s="375" t="s">
        <v>354</v>
      </c>
      <c r="U106" s="198" t="s">
        <v>355</v>
      </c>
      <c r="W106" s="4" t="s">
        <v>293</v>
      </c>
      <c r="X106" s="375" t="s">
        <v>356</v>
      </c>
      <c r="Y106" s="198" t="s">
        <v>357</v>
      </c>
      <c r="AA106" s="935" t="s">
        <v>248</v>
      </c>
      <c r="AB106" s="943">
        <f>Captura!G76</f>
        <v>0</v>
      </c>
      <c r="AC106" s="375" t="str">
        <f>CONCATENATE("liquidez",AC103)</f>
        <v>liquidez</v>
      </c>
      <c r="AD106" s="198" t="s">
        <v>64</v>
      </c>
      <c r="AL106" s="910"/>
      <c r="AM106" s="914"/>
      <c r="AN106"/>
      <c r="AO106" s="13">
        <v>1</v>
      </c>
      <c r="AP106" s="4" t="s">
        <v>289</v>
      </c>
      <c r="AQ106" s="375" t="s">
        <v>348</v>
      </c>
      <c r="AR106" s="67"/>
      <c r="AT106" s="4">
        <f>AU104</f>
        <v>0</v>
      </c>
      <c r="AU106" s="375" t="str">
        <f>CONCATENATE("liquidez",AU104)</f>
        <v>liquidez0</v>
      </c>
      <c r="AV106" s="67"/>
      <c r="AX106" s="4">
        <v>4</v>
      </c>
      <c r="AY106" s="375" t="s">
        <v>350</v>
      </c>
      <c r="AZ106" s="67"/>
      <c r="BB106" s="4" t="s">
        <v>291</v>
      </c>
      <c r="BC106" s="375" t="s">
        <v>352</v>
      </c>
      <c r="BD106" s="67"/>
      <c r="BF106" s="4" t="s">
        <v>292</v>
      </c>
      <c r="BG106" s="375" t="s">
        <v>354</v>
      </c>
      <c r="BH106" s="67"/>
      <c r="BJ106" s="4" t="s">
        <v>293</v>
      </c>
      <c r="BK106" s="375" t="s">
        <v>356</v>
      </c>
      <c r="BL106" s="67"/>
      <c r="BN106" s="935" t="s">
        <v>248</v>
      </c>
      <c r="BO106" s="933">
        <f>Free!F59</f>
        <v>0</v>
      </c>
      <c r="BP106" s="375" t="str">
        <f>CONCATENATE("liquidez",BP103)</f>
        <v>liquidez</v>
      </c>
      <c r="BQ106" s="67"/>
    </row>
    <row r="107" spans="1:69" ht="14.4">
      <c r="A107" s="851" t="s">
        <v>358</v>
      </c>
      <c r="B107" s="13">
        <v>2</v>
      </c>
      <c r="C107" s="847">
        <f>IF(Adm!$B$4=Adm!$A$118,$B$68,$C$5)</f>
        <v>0</v>
      </c>
      <c r="D107" s="67"/>
      <c r="E107" s="67"/>
      <c r="G107" s="1060">
        <f>IF($H$104="Perfil 4",K107,IF($H$104="perfil 3",O107,IF($H$104="perfil 2",S107,IF($H$104="perfil 1",W107,0))))</f>
        <v>0</v>
      </c>
      <c r="H107" s="67"/>
      <c r="I107" s="1061"/>
      <c r="K107" s="847">
        <f>IF(Adm!$B$4=Adm!$A$118,$B$68,$C$5)</f>
        <v>0</v>
      </c>
      <c r="L107" s="67"/>
      <c r="M107" s="67"/>
      <c r="O107" s="847">
        <f>IF(Adm!$B$4=Adm!$A$118,$B$68,$C$5)</f>
        <v>0</v>
      </c>
      <c r="P107" s="67"/>
      <c r="Q107" s="67"/>
      <c r="S107" s="847">
        <f>IF(Adm!$B$4=Adm!$A$118,$B$68,$C$5)</f>
        <v>0</v>
      </c>
      <c r="T107" s="67"/>
      <c r="U107" s="67"/>
      <c r="W107" s="847">
        <f>IF(Adm!$B$4=Adm!$A$118,$B$68,$C$5)</f>
        <v>0</v>
      </c>
      <c r="X107" s="67"/>
      <c r="Y107" s="67"/>
      <c r="AA107" s="935" t="s">
        <v>256</v>
      </c>
      <c r="AB107" s="847">
        <f>IF($AB$106="Perfil 5",C107,IF($AB$106="Perfil 4",K107,IF($AB$106="perfil 3",O107,IF($AB$106="perfil 2",S107,IF($AB$106="perfil 1",W107,0)))))</f>
        <v>0</v>
      </c>
      <c r="AC107" s="67"/>
      <c r="AD107" s="67"/>
      <c r="AL107" s="910"/>
      <c r="AM107" s="914"/>
      <c r="AN107" s="851" t="s">
        <v>358</v>
      </c>
      <c r="AO107" s="13">
        <v>2</v>
      </c>
      <c r="AP107" s="924">
        <f>$AO$5</f>
        <v>0</v>
      </c>
      <c r="AQ107" s="67"/>
      <c r="AR107" s="67"/>
      <c r="AT107" s="924">
        <f>IF($AU$104="Perfil 4",AX107,IF($AU$104="perfil 3",BB107,IF($AU$104="perfil 2",BF107,IF($AU$104="perfil 1",BJ107,0))))</f>
        <v>0</v>
      </c>
      <c r="AU107" s="67">
        <f>IF($AU$104="Perfil 4",AY107,IF($AU$104="perfil 3",BC107,IF($AU$104="perfil 2",BG107,IF($AU$104="perfil 1",BK107,0))))</f>
        <v>0</v>
      </c>
      <c r="AV107" s="67"/>
      <c r="AX107" s="924">
        <f>$AO$5</f>
        <v>0</v>
      </c>
      <c r="AY107" s="67"/>
      <c r="AZ107" s="67"/>
      <c r="BB107" s="924">
        <f>$AO$5</f>
        <v>0</v>
      </c>
      <c r="BC107" s="67"/>
      <c r="BD107" s="67"/>
      <c r="BF107" s="924">
        <f>$AO$5</f>
        <v>0</v>
      </c>
      <c r="BG107" s="67"/>
      <c r="BH107" s="67"/>
      <c r="BJ107" s="924">
        <f>$AO$5</f>
        <v>0</v>
      </c>
      <c r="BK107" s="67"/>
      <c r="BL107" s="67"/>
      <c r="BN107" s="935" t="s">
        <v>256</v>
      </c>
      <c r="BO107" s="924">
        <f>IF($BO$106="Perfil 5",AP107,IF($BO$106="Perfil 4",AX107,IF($BO$106="perfil 3",BB107,IF($BO$106="perfil 2",BF107,IF($BO$106="perfil 1",BJ107,0)))))</f>
        <v>0</v>
      </c>
      <c r="BP107" s="67">
        <f>IF($BO$106="Perfil 5",AQ107,IF($BO$106="Perfil 4",AY107,IF($BO$106="perfil 3",BC107,IF($BO$106="perfil 2",BG107,IF($BO$106="perfil 1",BK107,0)))))</f>
        <v>0</v>
      </c>
      <c r="BQ107" s="67"/>
    </row>
    <row r="108" spans="1:69" ht="14.4">
      <c r="A108" s="851" t="s">
        <v>359</v>
      </c>
      <c r="B108" s="13">
        <v>3</v>
      </c>
      <c r="C108" s="847">
        <f>C107*Adm!$Y$4</f>
        <v>0</v>
      </c>
      <c r="D108" s="67"/>
      <c r="E108" s="67"/>
      <c r="G108" s="1060">
        <f t="shared" ref="G108:G131" si="31">IF($H$104="Perfil 4",K108,IF($H$104="perfil 3",O108,IF($H$104="perfil 2",S108,IF($H$104="perfil 1",W108,0))))</f>
        <v>0</v>
      </c>
      <c r="H108" s="67"/>
      <c r="I108" s="1061"/>
      <c r="K108" s="847">
        <f>K107*Adm!$Y$4</f>
        <v>0</v>
      </c>
      <c r="L108" s="67"/>
      <c r="M108" s="67"/>
      <c r="O108" s="847">
        <f>O107*Adm!$Y$4</f>
        <v>0</v>
      </c>
      <c r="P108" s="67"/>
      <c r="Q108" s="67"/>
      <c r="S108" s="847">
        <f>S107*Adm!$Y$4</f>
        <v>0</v>
      </c>
      <c r="T108" s="67"/>
      <c r="U108" s="67"/>
      <c r="W108" s="847">
        <f>W107*Adm!$Y$4</f>
        <v>0</v>
      </c>
      <c r="X108" s="67"/>
      <c r="Y108" s="67"/>
      <c r="AA108" s="936" t="s">
        <v>360</v>
      </c>
      <c r="AB108" s="847">
        <f>IF($AB$106="Perfil 5",C108,IF($AB$106="Perfil 4",K108,IF($AB$106="perfil 3",O108,IF($AB$106="perfil 2",S108,IF($AB$106="perfil 1",W108,0)))))</f>
        <v>0</v>
      </c>
      <c r="AC108" s="67"/>
      <c r="AD108" s="67"/>
      <c r="AL108" s="910"/>
      <c r="AM108" s="914"/>
      <c r="AN108" s="851" t="s">
        <v>359</v>
      </c>
      <c r="AO108" s="13">
        <v>3</v>
      </c>
      <c r="AP108" s="847">
        <f>AP107*Adm!$GX$4</f>
        <v>0</v>
      </c>
      <c r="AQ108" s="67"/>
      <c r="AR108" s="67"/>
      <c r="AT108" s="847">
        <f t="shared" ref="AT108:AT131" si="32">IF($AU$104="Perfil 4",AX108,IF($AU$104="perfil 3",BB108,IF($AU$104="perfil 2",BF108,IF($AU$104="perfil 1",BJ108,0))))</f>
        <v>0</v>
      </c>
      <c r="AU108" s="67">
        <f t="shared" ref="AU108:AU119" si="33">IF($AU$104="Perfil 4",AY108,IF($AU$104="perfil 3",BC108,IF($AU$104="perfil 2",BG108,IF($AU$104="perfil 1",BK108,0))))</f>
        <v>0</v>
      </c>
      <c r="AV108" s="67"/>
      <c r="AX108" s="847">
        <f>AX107*Adm!$GX$4</f>
        <v>0</v>
      </c>
      <c r="AY108" s="67"/>
      <c r="AZ108" s="67"/>
      <c r="BB108" s="847">
        <f>BB107*Adm!$GX$4</f>
        <v>0</v>
      </c>
      <c r="BC108" s="67"/>
      <c r="BD108" s="67"/>
      <c r="BF108" s="847">
        <f>BF107*Adm!$GX$4</f>
        <v>0</v>
      </c>
      <c r="BG108" s="67"/>
      <c r="BH108" s="67"/>
      <c r="BJ108" s="847">
        <f>BJ107*Adm!$GX$4</f>
        <v>0</v>
      </c>
      <c r="BK108" s="67"/>
      <c r="BL108" s="67"/>
      <c r="BN108" s="936" t="s">
        <v>360</v>
      </c>
      <c r="BO108" s="847">
        <f>IF($BO$106="Perfil 5",AP108,IF($BO$106="Perfil 4",AX108,IF($BO$106="perfil 3",BB108,IF($BO$106="perfil 2",BF108,IF($BO$106="perfil 1",BJ108,0)))))</f>
        <v>0</v>
      </c>
      <c r="BP108" s="67">
        <f t="shared" ref="BP108:BP131" si="34">IF($BO$106="Perfil 5",AQ108,IF($BO$106="Perfil 4",AY108,IF($BO$106="perfil 3",BC108,IF($BO$106="perfil 2",BG108,IF($BO$106="perfil 1",BK108,0)))))</f>
        <v>0</v>
      </c>
      <c r="BQ108" s="67"/>
    </row>
    <row r="109" spans="1:69" ht="14.4">
      <c r="A109" s="851" t="s">
        <v>7</v>
      </c>
      <c r="B109" s="13">
        <v>4</v>
      </c>
      <c r="C109" s="848">
        <f>Adm!$H$4</f>
        <v>0</v>
      </c>
      <c r="D109" s="7"/>
      <c r="E109" s="7"/>
      <c r="G109" s="1062">
        <f t="shared" si="31"/>
        <v>0</v>
      </c>
      <c r="H109" s="7"/>
      <c r="I109" s="1063"/>
      <c r="K109" s="848">
        <f>Adm!$H$4</f>
        <v>0</v>
      </c>
      <c r="L109" s="7"/>
      <c r="M109" s="7"/>
      <c r="O109" s="848">
        <f>Adm!$H$4</f>
        <v>0</v>
      </c>
      <c r="P109" s="7"/>
      <c r="Q109" s="7"/>
      <c r="S109" s="848">
        <f>Adm!$H$4</f>
        <v>0</v>
      </c>
      <c r="T109" s="7"/>
      <c r="U109" s="7"/>
      <c r="W109" s="848">
        <f>Adm!$H$4</f>
        <v>0</v>
      </c>
      <c r="X109" s="7"/>
      <c r="Y109" s="7"/>
      <c r="AB109" s="848">
        <f t="shared" ref="AB109:AB131" si="35">IF($AB$106="Perfil 5",C109,IF($AB$106="Perfil 4",K109,IF($AB$106="perfil 3",O109,IF($AB$106="perfil 2",S109,IF($AB$106="perfil 1",W109,0)))))</f>
        <v>0</v>
      </c>
      <c r="AC109" s="848">
        <f>AB109</f>
        <v>0</v>
      </c>
      <c r="AD109" s="848">
        <f>AB109</f>
        <v>0</v>
      </c>
      <c r="AL109" s="910"/>
      <c r="AM109" s="914"/>
      <c r="AN109" s="851" t="s">
        <v>7</v>
      </c>
      <c r="AO109" s="13">
        <v>4</v>
      </c>
      <c r="AP109" s="848">
        <f>Adm!$GK$4</f>
        <v>0</v>
      </c>
      <c r="AQ109" s="7"/>
      <c r="AR109" s="67"/>
      <c r="AT109" s="848">
        <f t="shared" si="32"/>
        <v>0</v>
      </c>
      <c r="AU109" s="7">
        <f t="shared" si="33"/>
        <v>0</v>
      </c>
      <c r="AV109" s="7"/>
      <c r="AX109" s="848">
        <f>Adm!$GK$4</f>
        <v>0</v>
      </c>
      <c r="AY109" s="7"/>
      <c r="AZ109" s="67"/>
      <c r="BB109" s="848">
        <f>Adm!$GK$4</f>
        <v>0</v>
      </c>
      <c r="BC109" s="7"/>
      <c r="BD109" s="67"/>
      <c r="BF109" s="848">
        <f>Adm!$GK$4</f>
        <v>0</v>
      </c>
      <c r="BG109" s="7"/>
      <c r="BH109" s="67"/>
      <c r="BJ109" s="848">
        <f>Adm!$GK$4</f>
        <v>0</v>
      </c>
      <c r="BK109" s="7"/>
      <c r="BL109" s="67"/>
      <c r="BO109" s="848">
        <f t="shared" ref="BO109:BO131" si="36">IF($BO$106="Perfil 5",AP109,IF($BO$106="Perfil 4",AX109,IF($BO$106="perfil 3",BB109,IF($BO$106="perfil 2",BF109,IF($BO$106="perfil 1",BJ109,0)))))</f>
        <v>0</v>
      </c>
      <c r="BP109" s="848">
        <f>BO109</f>
        <v>0</v>
      </c>
      <c r="BQ109" s="848">
        <f>BO109</f>
        <v>0</v>
      </c>
    </row>
    <row r="110" spans="1:69" ht="14.4">
      <c r="A110" s="851" t="s">
        <v>361</v>
      </c>
      <c r="B110" s="13">
        <v>5</v>
      </c>
      <c r="C110" s="849" t="e">
        <f>C119*Adm!$P$4</f>
        <v>#N/A</v>
      </c>
      <c r="D110" s="849">
        <f>IF($D$105="no",0,D119*Adm!$P$4)</f>
        <v>0</v>
      </c>
      <c r="E110" s="849">
        <f>IF($E$105="NO",0,E119*Adm!$P$4)</f>
        <v>0</v>
      </c>
      <c r="G110" s="1064">
        <f t="shared" si="31"/>
        <v>0</v>
      </c>
      <c r="H110" s="849">
        <f>IF($H$105="no",0,IF($H$104="Perfil 4",L110,IF($H$104="perfil 3",P110,IF($H$104="perfil 2",T110,IF($H$104="perfil 1",X110,0)))))</f>
        <v>0</v>
      </c>
      <c r="I110" s="1065">
        <f>IF($I$105="no",0,IF($H$104="Perfil 4",M110,IF($H$104="perfil 3",Q110,IF($H$104="perfil 2",U110,IF($H$104="perfil 1",Y110,0)))))</f>
        <v>0</v>
      </c>
      <c r="K110" s="849" t="e">
        <f>K119*Adm!$P$4</f>
        <v>#N/A</v>
      </c>
      <c r="L110" s="849">
        <f>L119*Adm!$P$4</f>
        <v>0</v>
      </c>
      <c r="M110" s="849">
        <f>M119*Adm!$P$4</f>
        <v>0</v>
      </c>
      <c r="O110" s="849" t="e">
        <f>O119*Adm!$P$4</f>
        <v>#N/A</v>
      </c>
      <c r="P110" s="849">
        <f>P119*Adm!$P$4</f>
        <v>0</v>
      </c>
      <c r="Q110" s="849">
        <f>Q119*Adm!$P$4</f>
        <v>0</v>
      </c>
      <c r="S110" s="849" t="e">
        <f>S119*Adm!$P$4</f>
        <v>#N/A</v>
      </c>
      <c r="T110" s="849">
        <f>T119*Adm!$P$4</f>
        <v>0</v>
      </c>
      <c r="U110" s="849">
        <f>U119*Adm!$P$4</f>
        <v>0</v>
      </c>
      <c r="W110" s="849" t="e">
        <f>W119*Adm!$P$4</f>
        <v>#N/A</v>
      </c>
      <c r="X110" s="849">
        <f>X119*Adm!$P$4</f>
        <v>0</v>
      </c>
      <c r="Y110" s="849">
        <f>Y119*Adm!$P$4</f>
        <v>0</v>
      </c>
      <c r="AB110" s="849">
        <f>IF($AB$106="Perfil 5",C110,IF($AB$106="Perfil 4",K110,IF($AB$106="perfil 3",O110,IF($AB$106="perfil 2",S110,IF($AB$106="perfil 1",W110,0)))))</f>
        <v>0</v>
      </c>
      <c r="AC110" s="849">
        <f>IF($AB$106="Perfil 5",D110,IF($AB$106="Perfil 4",L110,IF($AB$106="perfil 3",P110,IF($AB$106="perfil 2",T110,IF($AB$106="perfil 1",X110,0)))))</f>
        <v>0</v>
      </c>
      <c r="AD110" s="849">
        <f>IF($AB$106="Perfil 5",E110,IF($AB$106="Perfil 4",M110,IF($AB$106="perfil 3",Q110,IF($AB$106="perfil 2",U110,IF($AB$106="perfil 1",Y110,0)))))</f>
        <v>0</v>
      </c>
      <c r="AL110" s="910"/>
      <c r="AM110" s="914"/>
      <c r="AN110" s="851" t="s">
        <v>361</v>
      </c>
      <c r="AO110" s="13">
        <v>5</v>
      </c>
      <c r="AP110" s="941" t="e">
        <f>AP119*Adm!$GP$4</f>
        <v>#N/A</v>
      </c>
      <c r="AQ110" s="942">
        <f>AQ119*Adm!$GP$4</f>
        <v>0</v>
      </c>
      <c r="AR110" s="67"/>
      <c r="AT110" s="941">
        <f t="shared" si="32"/>
        <v>0</v>
      </c>
      <c r="AU110" s="942">
        <f t="shared" si="33"/>
        <v>0</v>
      </c>
      <c r="AV110" s="926"/>
      <c r="AX110" s="941" t="e">
        <f>AX119*Adm!$GP$4</f>
        <v>#N/A</v>
      </c>
      <c r="AY110" s="942">
        <f>AY119*Adm!$GP$4</f>
        <v>0</v>
      </c>
      <c r="AZ110" s="67"/>
      <c r="BB110" s="941" t="e">
        <f>BB119*Adm!$GP$4</f>
        <v>#N/A</v>
      </c>
      <c r="BC110" s="942">
        <f>BC119*Adm!$GP$4</f>
        <v>0</v>
      </c>
      <c r="BD110" s="67"/>
      <c r="BF110" s="941" t="e">
        <f>BF119*Adm!$GP$4</f>
        <v>#N/A</v>
      </c>
      <c r="BG110" s="942">
        <f>BG119*Adm!$GP$4</f>
        <v>0</v>
      </c>
      <c r="BH110" s="67"/>
      <c r="BJ110" s="941" t="e">
        <f>BJ119*Adm!$GP$4</f>
        <v>#N/A</v>
      </c>
      <c r="BK110" s="942">
        <f>BK119*Adm!$GP$4</f>
        <v>0</v>
      </c>
      <c r="BL110" s="67"/>
      <c r="BO110" s="941">
        <f t="shared" si="36"/>
        <v>0</v>
      </c>
      <c r="BP110" s="941">
        <f t="shared" si="34"/>
        <v>0</v>
      </c>
      <c r="BQ110" s="941"/>
    </row>
    <row r="111" spans="1:69" ht="14.4">
      <c r="A111" s="851" t="s">
        <v>10</v>
      </c>
      <c r="B111" s="13">
        <v>6</v>
      </c>
      <c r="C111" s="849">
        <f>IF(OR(Adm!$B$4=Adm!$A$117,Adm!$B$4=Adm!$A$116),Adm!$K$9*1.16,Adm!$K$4)</f>
        <v>2000</v>
      </c>
      <c r="D111" s="7"/>
      <c r="E111" s="7"/>
      <c r="G111" s="1064">
        <f t="shared" si="31"/>
        <v>0</v>
      </c>
      <c r="H111" s="7"/>
      <c r="I111" s="1063"/>
      <c r="K111" s="849">
        <f>IF(OR(Adm!$B$4=Adm!$A$117,Adm!$B$4=Adm!$A$116),Adm!$K$9*1.16,Adm!$K$4)</f>
        <v>2000</v>
      </c>
      <c r="L111" s="7"/>
      <c r="M111" s="7"/>
      <c r="O111" s="849">
        <f>IF(OR(Adm!$B$4=Adm!$A$117,Adm!$B$4=Adm!$A$116),Adm!$K$9*1.16,Adm!$K$4)</f>
        <v>2000</v>
      </c>
      <c r="P111" s="7"/>
      <c r="Q111" s="7"/>
      <c r="S111" s="849">
        <f>IF(OR(Adm!$B$4=Adm!$A$117,Adm!$B$4=Adm!$A$116),Adm!$K$9*1.16,Adm!$K$4)</f>
        <v>2000</v>
      </c>
      <c r="T111" s="7"/>
      <c r="U111" s="7"/>
      <c r="W111" s="849">
        <f>IF(OR(Adm!$B$4=Adm!$A$117,Adm!$B$4=Adm!$A$116),Adm!$K$9*1.16,Adm!$K$4)</f>
        <v>2000</v>
      </c>
      <c r="X111" s="7"/>
      <c r="Y111" s="7"/>
      <c r="AB111" s="849">
        <f t="shared" si="35"/>
        <v>0</v>
      </c>
      <c r="AC111" s="7"/>
      <c r="AD111" s="7"/>
      <c r="AL111" s="910"/>
      <c r="AM111" s="914"/>
      <c r="AN111" s="851" t="s">
        <v>10</v>
      </c>
      <c r="AO111" s="13">
        <v>6</v>
      </c>
      <c r="AP111" s="849">
        <f>Adm!$GN$4</f>
        <v>2.7499999999999998E-3</v>
      </c>
      <c r="AQ111" s="7"/>
      <c r="AR111" s="67"/>
      <c r="AT111" s="849">
        <f t="shared" si="32"/>
        <v>0</v>
      </c>
      <c r="AU111" s="7">
        <f t="shared" si="33"/>
        <v>0</v>
      </c>
      <c r="AV111" s="7"/>
      <c r="AX111" s="849">
        <f>Adm!$GN$4</f>
        <v>2.7499999999999998E-3</v>
      </c>
      <c r="AY111" s="7"/>
      <c r="AZ111" s="67"/>
      <c r="BB111" s="849">
        <f>Adm!$GN$4</f>
        <v>2.7499999999999998E-3</v>
      </c>
      <c r="BC111" s="7"/>
      <c r="BD111" s="67"/>
      <c r="BF111" s="849">
        <f>Adm!$GN$4</f>
        <v>2.7499999999999998E-3</v>
      </c>
      <c r="BG111" s="7"/>
      <c r="BH111" s="67"/>
      <c r="BJ111" s="849">
        <f>Adm!$GN$4</f>
        <v>2.7499999999999998E-3</v>
      </c>
      <c r="BK111" s="7"/>
      <c r="BL111" s="67"/>
      <c r="BO111" s="849">
        <f t="shared" si="36"/>
        <v>0</v>
      </c>
      <c r="BP111" s="7">
        <f t="shared" si="34"/>
        <v>0</v>
      </c>
      <c r="BQ111" s="67"/>
    </row>
    <row r="112" spans="1:69" ht="14.4">
      <c r="A112" s="851" t="s">
        <v>362</v>
      </c>
      <c r="B112" s="13">
        <v>7</v>
      </c>
      <c r="C112" s="849">
        <f>C107*Adm!$R$4</f>
        <v>0</v>
      </c>
      <c r="D112" s="7"/>
      <c r="E112" s="7"/>
      <c r="G112" s="1064">
        <f t="shared" si="31"/>
        <v>0</v>
      </c>
      <c r="H112" s="7"/>
      <c r="I112" s="1063"/>
      <c r="K112" s="849">
        <f>K107*Adm!$R$4</f>
        <v>0</v>
      </c>
      <c r="L112" s="7"/>
      <c r="M112" s="7"/>
      <c r="O112" s="849">
        <f>O107*Adm!$R$4</f>
        <v>0</v>
      </c>
      <c r="P112" s="7"/>
      <c r="Q112" s="7"/>
      <c r="S112" s="849">
        <f>S107*Adm!$R$4</f>
        <v>0</v>
      </c>
      <c r="T112" s="7"/>
      <c r="U112" s="7"/>
      <c r="W112" s="849">
        <f>W107*Adm!$R$4</f>
        <v>0</v>
      </c>
      <c r="X112" s="7"/>
      <c r="Y112" s="7"/>
      <c r="AB112" s="849">
        <f t="shared" si="35"/>
        <v>0</v>
      </c>
      <c r="AC112" s="7"/>
      <c r="AD112" s="7"/>
      <c r="AL112" s="910"/>
      <c r="AM112" s="914"/>
      <c r="AN112" s="851" t="s">
        <v>362</v>
      </c>
      <c r="AO112" s="13">
        <v>7</v>
      </c>
      <c r="AP112" s="849">
        <f>AP107*Adm!$GR$4</f>
        <v>0</v>
      </c>
      <c r="AQ112" s="7"/>
      <c r="AR112" s="67"/>
      <c r="AT112" s="849">
        <f t="shared" si="32"/>
        <v>0</v>
      </c>
      <c r="AU112" s="7">
        <f t="shared" si="33"/>
        <v>0</v>
      </c>
      <c r="AV112" s="7"/>
      <c r="AX112" s="849">
        <f>AX107*Adm!$GR$4</f>
        <v>0</v>
      </c>
      <c r="AY112" s="7"/>
      <c r="AZ112" s="67"/>
      <c r="BB112" s="849">
        <f>BB107*Adm!$GR$4</f>
        <v>0</v>
      </c>
      <c r="BC112" s="7"/>
      <c r="BD112" s="67"/>
      <c r="BF112" s="849">
        <f>BF107*Adm!$GR$4</f>
        <v>0</v>
      </c>
      <c r="BG112" s="7"/>
      <c r="BH112" s="67"/>
      <c r="BJ112" s="849">
        <f>BJ107*Adm!$GR$4</f>
        <v>0</v>
      </c>
      <c r="BK112" s="7"/>
      <c r="BL112" s="67"/>
      <c r="BO112" s="849">
        <f t="shared" si="36"/>
        <v>0</v>
      </c>
      <c r="BP112" s="7">
        <f t="shared" si="34"/>
        <v>0</v>
      </c>
      <c r="BQ112" s="67"/>
    </row>
    <row r="113" spans="1:69" ht="14.4">
      <c r="A113" s="851" t="s">
        <v>363</v>
      </c>
      <c r="B113" s="13">
        <v>8</v>
      </c>
      <c r="C113" s="849">
        <f>IF(Adm!$B$4=Adm!$A$118,Adm!$F$4*1.16,0)</f>
        <v>0</v>
      </c>
      <c r="D113" s="67"/>
      <c r="E113" s="7"/>
      <c r="G113" s="1064">
        <f t="shared" si="31"/>
        <v>0</v>
      </c>
      <c r="H113" s="67"/>
      <c r="I113" s="1063"/>
      <c r="K113" s="849">
        <f>IF(Adm!$B$4=Adm!$A$118,Adm!$F$4*1.16,0)</f>
        <v>0</v>
      </c>
      <c r="L113" s="67"/>
      <c r="M113" s="7"/>
      <c r="O113" s="849">
        <f>IF(Adm!$B$4=Adm!$A$118,Adm!$F$4*1.16,0)</f>
        <v>0</v>
      </c>
      <c r="P113" s="67"/>
      <c r="Q113" s="7"/>
      <c r="S113" s="849">
        <f>IF(Adm!$B$4=Adm!$A$118,Adm!$F$4*1.16,0)</f>
        <v>0</v>
      </c>
      <c r="T113" s="67"/>
      <c r="U113" s="7"/>
      <c r="W113" s="849">
        <f>IF(Adm!$B$4=Adm!$A$118,Adm!$F$4*1.16,0)</f>
        <v>0</v>
      </c>
      <c r="X113" s="67"/>
      <c r="Y113" s="7"/>
      <c r="AB113" s="849">
        <f t="shared" si="35"/>
        <v>0</v>
      </c>
      <c r="AC113" s="67"/>
      <c r="AD113" s="7"/>
      <c r="AL113" s="910"/>
      <c r="AM113" s="914"/>
      <c r="AN113" s="851" t="s">
        <v>363</v>
      </c>
      <c r="AO113" s="13">
        <v>8</v>
      </c>
      <c r="AP113" s="67"/>
      <c r="AQ113" s="67"/>
      <c r="AR113" s="67"/>
      <c r="AT113" s="67">
        <f t="shared" si="32"/>
        <v>0</v>
      </c>
      <c r="AU113" s="67">
        <f t="shared" si="33"/>
        <v>0</v>
      </c>
      <c r="AV113" s="7"/>
      <c r="AX113" s="67"/>
      <c r="AY113" s="67"/>
      <c r="AZ113" s="67"/>
      <c r="BB113" s="67"/>
      <c r="BC113" s="67"/>
      <c r="BD113" s="67"/>
      <c r="BF113" s="67"/>
      <c r="BG113" s="67"/>
      <c r="BH113" s="67"/>
      <c r="BJ113" s="67"/>
      <c r="BK113" s="67"/>
      <c r="BL113" s="67"/>
      <c r="BO113" s="67">
        <f t="shared" si="36"/>
        <v>0</v>
      </c>
      <c r="BP113" s="67">
        <f t="shared" si="34"/>
        <v>0</v>
      </c>
      <c r="BQ113" s="67"/>
    </row>
    <row r="114" spans="1:69" ht="14.4">
      <c r="A114" s="852" t="s">
        <v>364</v>
      </c>
      <c r="B114" s="13">
        <v>9</v>
      </c>
      <c r="C114" s="849">
        <f>IF(Adm!$B$4=Adm!$A$114,C130*3%,0)</f>
        <v>0</v>
      </c>
      <c r="D114" s="7"/>
      <c r="E114" s="7"/>
      <c r="G114" s="1064">
        <f t="shared" si="31"/>
        <v>0</v>
      </c>
      <c r="H114" s="7"/>
      <c r="I114" s="1063"/>
      <c r="K114" s="849">
        <f>IF(Adm!$B$4=Adm!$A$114,K130*3%,0)</f>
        <v>0</v>
      </c>
      <c r="L114" s="7"/>
      <c r="M114" s="7"/>
      <c r="O114" s="849">
        <f>IF(Adm!$B$4=Adm!$A$114,O130*3%,0)</f>
        <v>0</v>
      </c>
      <c r="P114" s="67"/>
      <c r="Q114" s="7"/>
      <c r="S114" s="849">
        <f>IF(Adm!$B$4=Adm!$A$114,S130*3%,0)</f>
        <v>0</v>
      </c>
      <c r="T114" s="67"/>
      <c r="U114" s="7"/>
      <c r="W114" s="849">
        <f>IF(Adm!$B$4=Adm!$A$114,W130*3%,0)</f>
        <v>0</v>
      </c>
      <c r="X114" s="67"/>
      <c r="Y114" s="7"/>
      <c r="AB114" s="849">
        <f t="shared" si="35"/>
        <v>0</v>
      </c>
      <c r="AC114" s="67"/>
      <c r="AD114" s="7"/>
      <c r="AL114" s="910"/>
      <c r="AM114" s="914"/>
      <c r="AN114" s="852" t="s">
        <v>364</v>
      </c>
      <c r="AO114" s="13">
        <v>9</v>
      </c>
      <c r="AP114" s="941">
        <f>IF(Adm!$GG$4=Adm!$GF$114,AP130*3%,0)</f>
        <v>0</v>
      </c>
      <c r="AQ114" s="7"/>
      <c r="AR114" s="67"/>
      <c r="AT114" s="941">
        <f t="shared" si="32"/>
        <v>0</v>
      </c>
      <c r="AU114" s="7">
        <f t="shared" si="33"/>
        <v>0</v>
      </c>
      <c r="AV114" s="7"/>
      <c r="AX114" s="941">
        <f>IF(Adm!$GG$4=Adm!$GF$114,AX130*3%,0)</f>
        <v>0</v>
      </c>
      <c r="AY114" s="7"/>
      <c r="AZ114" s="67"/>
      <c r="BB114" s="941">
        <f>IF(Adm!$GG$4=Adm!$GF$114,BB130*3%,0)</f>
        <v>0</v>
      </c>
      <c r="BC114" s="7"/>
      <c r="BD114" s="67"/>
      <c r="BF114" s="941">
        <f>IF(Adm!$GG$4=Adm!$GF$114,BF130*3%,0)</f>
        <v>0</v>
      </c>
      <c r="BG114" s="7"/>
      <c r="BH114" s="67"/>
      <c r="BJ114" s="941">
        <f>IF(Adm!$GG$4=Adm!$GF$114,BJ130*3%,0)</f>
        <v>0</v>
      </c>
      <c r="BK114" s="7"/>
      <c r="BL114" s="67"/>
      <c r="BO114" s="941">
        <f t="shared" si="36"/>
        <v>0</v>
      </c>
      <c r="BP114" s="7">
        <f t="shared" si="34"/>
        <v>0</v>
      </c>
      <c r="BQ114" s="67"/>
    </row>
    <row r="115" spans="1:69" ht="14.4">
      <c r="A115" s="852" t="s">
        <v>365</v>
      </c>
      <c r="B115" s="13">
        <v>10</v>
      </c>
      <c r="C115" s="849" t="e">
        <f>IF(OR(Adm!$B$4=Adm!$A$116,Adm!$B$4=Adm!$A$117),0,IF(Adm!$B$4=Adm!$A$118,0,IF(Adm!$B$4=Adm!$A$120,0,IF(Adm!$B$4=Adm!$A$114,C107-C119-C130-C131,C107-C119))))</f>
        <v>#N/A</v>
      </c>
      <c r="D115" s="7"/>
      <c r="E115" s="7"/>
      <c r="F115" s="130"/>
      <c r="G115" s="1064">
        <f t="shared" si="31"/>
        <v>0</v>
      </c>
      <c r="H115" s="7"/>
      <c r="I115" s="1063"/>
      <c r="K115" s="849" t="e">
        <f>IF(OR(Adm!$B$4=Adm!$A$116,Adm!$B$4=Adm!$A$117),0,IF(Adm!$B$4=Adm!$A$118,0,IF(Adm!$B$4=Adm!$A$120,0,IF(Adm!$B$4=Adm!$A$114,K107-K119-K130-K131,K107-K119))))</f>
        <v>#N/A</v>
      </c>
      <c r="L115" s="7"/>
      <c r="M115" s="7"/>
      <c r="O115" s="849" t="e">
        <f>IF(OR(Adm!$B$4=Adm!$A$116,Adm!$B$4=Adm!$A$117),0,IF(Adm!$B$4=Adm!$A$118,0,IF(Adm!$B$4=Adm!$A$120,0,IF(Adm!$B$4=Adm!$A$114,O107-O119-O130-O131,O107-O119))))</f>
        <v>#N/A</v>
      </c>
      <c r="P115" s="67"/>
      <c r="Q115" s="7"/>
      <c r="S115" s="849" t="e">
        <f>IF(OR(Adm!$B$4=Adm!$A$116,Adm!$B$4=Adm!$A$117),0,IF(Adm!$B$4=Adm!$A$118,0,IF(Adm!$B$4=Adm!$A$120,0,IF(Adm!$B$4=Adm!$A$114,S107-S119-S130-S131,S107-S119))))</f>
        <v>#N/A</v>
      </c>
      <c r="T115" s="67"/>
      <c r="U115" s="7"/>
      <c r="W115" s="849" t="e">
        <f>IF(OR(Adm!$B$4=Adm!$A$116,Adm!$B$4=Adm!$A$117),0,IF(Adm!$B$4=Adm!$A$118,0,IF(Adm!$B$4=Adm!$A$120,0,IF(Adm!$B$4=Adm!$A$114,W107-W119-W130-W131,W107-W119))))</f>
        <v>#N/A</v>
      </c>
      <c r="X115" s="67"/>
      <c r="Y115" s="7"/>
      <c r="AB115" s="849">
        <f t="shared" si="35"/>
        <v>0</v>
      </c>
      <c r="AC115" s="67"/>
      <c r="AD115" s="7"/>
      <c r="AL115" s="910"/>
      <c r="AM115" s="914"/>
      <c r="AN115" s="852" t="s">
        <v>365</v>
      </c>
      <c r="AO115" s="13">
        <v>10</v>
      </c>
      <c r="AP115" s="850" t="e">
        <f>IF(Adm!$GG$4=Adm!$GF$116,0,IF(Adm!$GG$4=Adm!$GF$114,AP107-AP119-AP130-AP131,AP107-AP119))</f>
        <v>#N/A</v>
      </c>
      <c r="AQ115" s="7"/>
      <c r="AR115" s="67"/>
      <c r="AT115" s="850">
        <f t="shared" si="32"/>
        <v>0</v>
      </c>
      <c r="AU115" s="7">
        <f t="shared" si="33"/>
        <v>0</v>
      </c>
      <c r="AV115" s="7"/>
      <c r="AX115" s="850" t="e">
        <f>IF(Adm!$GG$4=Adm!$GF$116,0,IF(Adm!$GG$4=Adm!$GF$114,AX107-AX119-AX130-AX131,AX107-AX119))</f>
        <v>#N/A</v>
      </c>
      <c r="AY115" s="7"/>
      <c r="AZ115" s="67"/>
      <c r="BB115" s="850" t="e">
        <f>IF(Adm!$GG$4=Adm!$GF$116,0,IF(Adm!$GG$4=Adm!$GF$114,BB107-BB119-BB130-BB131,BB107-BB119))</f>
        <v>#N/A</v>
      </c>
      <c r="BC115" s="7"/>
      <c r="BD115" s="67"/>
      <c r="BF115" s="850" t="e">
        <f>IF(Adm!$GG$4=Adm!$GF$116,0,IF(Adm!$GG$4=Adm!$GF$114,BF107-BF119-BF130-BF131,BF107-BF119))</f>
        <v>#N/A</v>
      </c>
      <c r="BG115" s="7"/>
      <c r="BH115" s="67"/>
      <c r="BJ115" s="850" t="e">
        <f>IF(Adm!$GG$4=Adm!$GF$116,0,IF(Adm!$GG$4=Adm!$GF$114,BJ107-BJ119-BJ130-BJ131,BJ107-BJ119))</f>
        <v>#N/A</v>
      </c>
      <c r="BK115" s="7"/>
      <c r="BL115" s="67"/>
      <c r="BO115" s="850">
        <f t="shared" si="36"/>
        <v>0</v>
      </c>
      <c r="BP115" s="7">
        <f t="shared" si="34"/>
        <v>0</v>
      </c>
      <c r="BQ115" s="67"/>
    </row>
    <row r="116" spans="1:69" ht="14.4">
      <c r="A116" s="851" t="s">
        <v>366</v>
      </c>
      <c r="B116" s="13">
        <v>11</v>
      </c>
      <c r="C116" s="14" t="e">
        <f>IF(C106="",0,Adm!$BW$9)</f>
        <v>#N/A</v>
      </c>
      <c r="D116" s="14">
        <f>IF($D$105="no",0,C116)</f>
        <v>0</v>
      </c>
      <c r="E116" s="14">
        <f>IF($E$105="NO",0,C116)</f>
        <v>0</v>
      </c>
      <c r="G116" s="1066">
        <f t="shared" si="31"/>
        <v>0</v>
      </c>
      <c r="H116" s="14">
        <f>IF($H$105="no",0,IF($H$104="Perfil 4",L116,IF($H$104="perfil 3",P116,IF($H$104="perfil 2",T116,IF($H$104="perfil 1",X116,0)))))</f>
        <v>0</v>
      </c>
      <c r="I116" s="1067">
        <f>IF($I$105="no",0,IF($H$104="Perfil 4",M116,IF($H$104="perfil 3",Q116,IF($H$104="perfil 2",U116,IF($H$104="perfil 1",Y116,0)))))</f>
        <v>0</v>
      </c>
      <c r="K116" s="14" t="e">
        <f>IF(K106="",0,Adm!$BW$8)</f>
        <v>#N/A</v>
      </c>
      <c r="L116" s="14" t="e">
        <f>IF(L106="",0,K116)</f>
        <v>#N/A</v>
      </c>
      <c r="M116" s="14" t="e">
        <f>IF(M106="",0,K116)</f>
        <v>#N/A</v>
      </c>
      <c r="O116" s="14" t="e">
        <f>IF(O106="",0,Adm!$BW$7)</f>
        <v>#N/A</v>
      </c>
      <c r="P116" s="14" t="e">
        <f>IF(P106="",0,O116)</f>
        <v>#N/A</v>
      </c>
      <c r="Q116" s="14" t="e">
        <f>IF(Q106="",0,O116)</f>
        <v>#N/A</v>
      </c>
      <c r="S116" s="14" t="e">
        <f>IF(S106="",0,Adm!$BW$6)</f>
        <v>#N/A</v>
      </c>
      <c r="T116" s="14" t="e">
        <f>IF(T106="",0,S116)</f>
        <v>#N/A</v>
      </c>
      <c r="U116" s="14" t="e">
        <f>IF(U106="",0,S116)</f>
        <v>#N/A</v>
      </c>
      <c r="W116" s="14" t="e">
        <f>IF(W106="",0,Adm!$BW$5)</f>
        <v>#N/A</v>
      </c>
      <c r="X116" s="14" t="e">
        <f>IF(X106="",0,W116)</f>
        <v>#N/A</v>
      </c>
      <c r="Y116" s="14" t="e">
        <f>IF(Y106="",0,W116)</f>
        <v>#N/A</v>
      </c>
      <c r="AB116" s="14">
        <f t="shared" si="35"/>
        <v>0</v>
      </c>
      <c r="AC116" s="14">
        <f t="shared" ref="AC116:AC129" si="37">IF($AB$106="Perfil 5",D116,IF($AB$106="Perfil 4",L116,IF($AB$106="perfil 3",P116,IF($AB$106="perfil 2",T116,IF($AB$106="perfil 1",X116,0)))))</f>
        <v>0</v>
      </c>
      <c r="AD116" s="14">
        <f t="shared" ref="AD116:AD128" si="38">IF($AB$106="Perfil 5",E116,IF($AB$106="Perfil 4",M116,IF($AB$106="perfil 3",Q116,IF($AB$106="perfil 2",U116,IF($AB$106="perfil 1",Y116,0)))))</f>
        <v>0</v>
      </c>
      <c r="AL116" s="910"/>
      <c r="AM116" s="914"/>
      <c r="AN116" s="851" t="s">
        <v>366</v>
      </c>
      <c r="AO116" s="13">
        <v>11</v>
      </c>
      <c r="AP116" s="14" t="e">
        <f>IF(AP106="",0,Adm!$JG$9)</f>
        <v>#N/A</v>
      </c>
      <c r="AQ116" s="14" t="e">
        <f>IF(AQ106="",0,AP116)</f>
        <v>#N/A</v>
      </c>
      <c r="AR116" s="67"/>
      <c r="AT116" s="14">
        <f t="shared" si="32"/>
        <v>0</v>
      </c>
      <c r="AU116" s="14">
        <f t="shared" si="33"/>
        <v>0</v>
      </c>
      <c r="AV116" s="927"/>
      <c r="AX116" s="14" t="e">
        <f>IF(AX106="",0,Adm!$JG$8)</f>
        <v>#N/A</v>
      </c>
      <c r="AY116" s="14" t="e">
        <f>IF(AY106="",0,AX116)</f>
        <v>#N/A</v>
      </c>
      <c r="AZ116" s="67"/>
      <c r="BB116" s="14" t="e">
        <f>IF(BB106="",0,Adm!$JG$9)</f>
        <v>#N/A</v>
      </c>
      <c r="BC116" s="14" t="e">
        <f>IF(BC106="",0,BB116)</f>
        <v>#N/A</v>
      </c>
      <c r="BD116" s="67"/>
      <c r="BF116" s="14" t="e">
        <f>IF(BF106="",0,Adm!$JG$9)</f>
        <v>#N/A</v>
      </c>
      <c r="BG116" s="14" t="e">
        <f>IF(BG106="",0,BF116)</f>
        <v>#N/A</v>
      </c>
      <c r="BH116" s="67"/>
      <c r="BJ116" s="14" t="e">
        <f>IF(BJ106="",0,Adm!$JG$9)</f>
        <v>#N/A</v>
      </c>
      <c r="BK116" s="14" t="e">
        <f>IF(BK106="",0,BJ116)</f>
        <v>#N/A</v>
      </c>
      <c r="BL116" s="67"/>
      <c r="BO116" s="14">
        <f t="shared" si="36"/>
        <v>0</v>
      </c>
      <c r="BP116" s="14">
        <f t="shared" si="34"/>
        <v>0</v>
      </c>
      <c r="BQ116" s="67"/>
    </row>
    <row r="117" spans="1:69" ht="14.4">
      <c r="A117" s="851" t="s">
        <v>367</v>
      </c>
      <c r="B117" s="13">
        <v>12</v>
      </c>
      <c r="C117" s="244" t="e">
        <f>IF(Adm!$B$4=Adm!$A$118,PMT(((C116/360)*(365/12)),Adm!$H$4-12,-1000),IF(AND(Adm!$H$4=180,Adm!$D$4=Adm!$D$7),VLOOKUP(C116,mil_15,2,0),IF(AND(Adm!$H$4=240,Adm!$D$4=Adm!$D$7),VLOOKUP(C116,mil_20,2,0),PMT(((C116/360)*(365/12)),Adm!$H$4,-1000))))</f>
        <v>#N/A</v>
      </c>
      <c r="D117" s="244">
        <f>IF($D$105="no",0,C117)</f>
        <v>0</v>
      </c>
      <c r="E117" s="244">
        <f>IF($E$105="NO",0,C117)</f>
        <v>0</v>
      </c>
      <c r="G117" s="1068">
        <f t="shared" si="31"/>
        <v>0</v>
      </c>
      <c r="H117" s="244">
        <f>IF($H$105="no",0,IF($H$104="Perfil 4",L117,IF($H$104="perfil 3",P117,IF($H$104="perfil 2",T117,IF($H$104="perfil 1",X117,0)))))</f>
        <v>0</v>
      </c>
      <c r="I117" s="1069">
        <f>IF($I$105="no",0,IF($H$104="Perfil 4",M117,IF($H$104="perfil 3",Q117,IF($H$104="perfil 2",U117,IF($H$104="perfil 1",Y117,0)))))</f>
        <v>0</v>
      </c>
      <c r="K117" s="244" t="e">
        <f>IF(Adm!$B$4=Adm!$A$118,PMT(((K116/360)*(365/12)),Adm!$H$4-12,-1000),IF(AND(Adm!$H$4=180,Adm!$D$4=Adm!$D$7),VLOOKUP(K116,mil_15,2,0),IF(AND(Adm!$H$4=240,Adm!$D$4=Adm!$D$7),VLOOKUP(K116,mil_20,2,0),PMT(((K116/360)*(365/12)),Adm!$H$4,-1000))))</f>
        <v>#N/A</v>
      </c>
      <c r="L117" s="244" t="e">
        <f>K117</f>
        <v>#N/A</v>
      </c>
      <c r="M117" s="244" t="e">
        <f>K117</f>
        <v>#N/A</v>
      </c>
      <c r="O117" s="244" t="e">
        <f>IF(Adm!$B$4=Adm!$A$118,PMT(((O116/360)*(365/12)),Adm!$H$4-12,-1000),IF(AND(Adm!$H$4=180,Adm!$D$4=Adm!$D$7),VLOOKUP(O116,mil_15,2,0),IF(AND(Adm!$H$4=240,Adm!$D$4=Adm!$D$7),VLOOKUP(O116,mil_20,2,0),PMT(((O116/360)*(365/12)),Adm!$H$4,-1000))))</f>
        <v>#N/A</v>
      </c>
      <c r="P117" s="244" t="e">
        <f>O117</f>
        <v>#N/A</v>
      </c>
      <c r="Q117" s="244" t="e">
        <f>O117</f>
        <v>#N/A</v>
      </c>
      <c r="S117" s="244" t="e">
        <f>IF(Adm!$B$4=Adm!$A$118,PMT(((S116/360)*(365/12)),Adm!$H$4-12,-1000),IF(AND(Adm!$H$4=180,Adm!$D$4=Adm!$D$7),VLOOKUP(S116,mil_15,2,0),IF(AND(Adm!$H$4=240,Adm!$D$4=Adm!$D$7),VLOOKUP(S116,mil_20,2,0),PMT(((S116/360)*(365/12)),Adm!$H$4,-1000))))</f>
        <v>#N/A</v>
      </c>
      <c r="T117" s="244" t="e">
        <f>S117</f>
        <v>#N/A</v>
      </c>
      <c r="U117" s="244" t="e">
        <f>S117</f>
        <v>#N/A</v>
      </c>
      <c r="W117" s="244" t="e">
        <f>IF(Adm!$B$4=Adm!$A$118,PMT(((W116/360)*(365/12)),Adm!$H$4-12,-1000),IF(AND(Adm!$H$4=180,Adm!$D$4=Adm!$D$7),VLOOKUP(W116,mil_15,2,0),IF(AND(Adm!$H$4=240,Adm!$D$4=Adm!$D$7),VLOOKUP(W116,mil_20,2,0),PMT(((W116/360)*(365/12)),Adm!$H$4,-1000))))</f>
        <v>#N/A</v>
      </c>
      <c r="X117" s="244" t="e">
        <f>W117</f>
        <v>#N/A</v>
      </c>
      <c r="Y117" s="244" t="e">
        <f>W117</f>
        <v>#N/A</v>
      </c>
      <c r="AB117" s="244">
        <f t="shared" si="35"/>
        <v>0</v>
      </c>
      <c r="AC117" s="244">
        <f t="shared" si="37"/>
        <v>0</v>
      </c>
      <c r="AD117" s="244">
        <f t="shared" si="38"/>
        <v>0</v>
      </c>
      <c r="AL117" s="910"/>
      <c r="AM117" s="914"/>
      <c r="AN117" s="851" t="s">
        <v>367</v>
      </c>
      <c r="AO117" s="13">
        <v>12</v>
      </c>
      <c r="AP117" s="244" t="b">
        <f>IF(Adm!$GI$4="Fijos",VLOOKUP(Adm!$JG$9,freeConge,MATCH(Adm!$GK$4,Adm!$HK$5:'Adm'!$HQ$5,0)),IF(Adm!$GI$4="Crecientes",VLOOKUP(Adm!$JG$9,freeProgra,MATCH(Adm!$GK$4,Adm!$HS$5:'Adm'!$HY$5,0))))</f>
        <v>0</v>
      </c>
      <c r="AQ117" s="244" t="b">
        <f>AP117</f>
        <v>0</v>
      </c>
      <c r="AR117" s="67"/>
      <c r="AT117" s="244">
        <f t="shared" si="32"/>
        <v>0</v>
      </c>
      <c r="AU117" s="244">
        <f t="shared" si="33"/>
        <v>0</v>
      </c>
      <c r="AV117" s="177"/>
      <c r="AX117" s="244" t="b">
        <f>IF(Adm!$GI$4="Fijos",VLOOKUP(Adm!$JG$8,freeConge,MATCH(Adm!$GK$4,Adm!$HK$5:'Adm'!$HQ$5,0)),IF(Adm!$GI$4="Crecientes",VLOOKUP(Adm!$JG$8,freeProgra,MATCH(Adm!$GK$4,Adm!$HS$5:'Adm'!$HY$5,0))))</f>
        <v>0</v>
      </c>
      <c r="AY117" s="244" t="b">
        <f>AX117</f>
        <v>0</v>
      </c>
      <c r="AZ117" s="67"/>
      <c r="BB117" s="244" t="b">
        <f>IF(Adm!$GI$4="Fijos",VLOOKUP(Adm!$JG$7,freeConge,MATCH(Adm!$GK$4,Adm!$HK$5:'Adm'!$HQ$5,0)),IF(Adm!$GI$4="Crecientes",VLOOKUP(Adm!$JG$7,freeProgra,MATCH(Adm!$GK$4,Adm!$HS$5:'Adm'!$HY$5,0))))</f>
        <v>0</v>
      </c>
      <c r="BC117" s="244" t="b">
        <f>BB117</f>
        <v>0</v>
      </c>
      <c r="BD117" s="67"/>
      <c r="BF117" s="244" t="b">
        <f>IF(Adm!$GI$4="Fijos",VLOOKUP(Adm!$JG$6,freeConge,MATCH(Adm!$GK$4,Adm!$HK$5:'Adm'!$HQ$5,0)),IF(Adm!$GI$4="Crecientes",VLOOKUP(Adm!$JG$6,freeProgra,MATCH(Adm!$GK$4,Adm!$HS$5:'Adm'!$HY$5,0))))</f>
        <v>0</v>
      </c>
      <c r="BG117" s="244" t="b">
        <f>BF117</f>
        <v>0</v>
      </c>
      <c r="BH117" s="67"/>
      <c r="BJ117" s="244" t="b">
        <f>IF(Adm!$GI$4="Fijos",VLOOKUP(Adm!$JG$5,freeConge,MATCH(Adm!$GK$4,Adm!$HK$5:'Adm'!$HQ$5,0)),IF(Adm!$GI$4="Crecientes",VLOOKUP(Adm!$JG$5,freeProgra,MATCH(Adm!$GK$4,Adm!$HS$5:'Adm'!$HY$5,0))))</f>
        <v>0</v>
      </c>
      <c r="BK117" s="244" t="b">
        <f>BJ117</f>
        <v>0</v>
      </c>
      <c r="BL117" s="67"/>
      <c r="BO117" s="244">
        <f t="shared" si="36"/>
        <v>0</v>
      </c>
      <c r="BP117" s="244">
        <f t="shared" si="34"/>
        <v>0</v>
      </c>
      <c r="BQ117" s="67"/>
    </row>
    <row r="118" spans="1:69" ht="14.4">
      <c r="A118" s="851" t="s">
        <v>368</v>
      </c>
      <c r="B118" s="13"/>
      <c r="C118" s="10" t="e">
        <f>IF(Cal!$A$105=Adm!$A$118,$C$77,IF(OR(Cal!$A$105=Adm!$A$116,Cal!$A$105=Adm!$A$117),Cal!$C$52,IF(Cal!$A$105=Adm!$A$114,Cal!$C$30,Cal!$C$11)))</f>
        <v>#N/A</v>
      </c>
      <c r="D118" s="67"/>
      <c r="E118" s="67"/>
      <c r="G118" s="1070">
        <f t="shared" si="31"/>
        <v>0</v>
      </c>
      <c r="H118" s="67"/>
      <c r="I118" s="1061"/>
      <c r="K118" s="10" t="e">
        <f>IF(Cal!$A$105=Adm!$A$118,$D$77,IF(OR(Cal!$A$105=Adm!$A$116,Cal!$A$105=Adm!$A$117),Cal!$D$52,IF(Cal!$A$105=Adm!$A$114,Cal!$D$30,Cal!$D$11)))</f>
        <v>#N/A</v>
      </c>
      <c r="L118" s="67"/>
      <c r="M118" s="67"/>
      <c r="O118" s="10" t="e">
        <f>IF(Cal!$A$105=Adm!$A$118,$E$77,IF(OR(Cal!$A$105=Adm!$A$116,Cal!$A$105=Adm!$A$117),Cal!$E$52,IF(Cal!$A$105=Adm!$A$114,Cal!$E$30,Cal!$E$11)))</f>
        <v>#N/A</v>
      </c>
      <c r="P118" s="67"/>
      <c r="Q118" s="67"/>
      <c r="S118" s="10" t="e">
        <f>IF(Cal!$A$105=Adm!$A$118,$F$77,IF(OR(Cal!$A$105=Adm!$A$116,Cal!$A$105=Adm!$A$117),Cal!$F$52,IF(Cal!$A$105=Adm!$A$114,Cal!$F$30,Cal!$F$11)))</f>
        <v>#N/A</v>
      </c>
      <c r="T118" s="67"/>
      <c r="U118" s="67"/>
      <c r="W118" s="10" t="e">
        <f>IF(Cal!$A$105=Adm!$A$118,$G$77,IF(OR(Cal!$A$105=Adm!$A$116,Cal!$A$105=Adm!$A$117),Cal!$G$52,IF(Cal!$A$105=Adm!$A$114,Cal!$G$30,Cal!$G$11)))</f>
        <v>#N/A</v>
      </c>
      <c r="X118" s="67"/>
      <c r="Y118" s="67"/>
      <c r="AB118" s="10">
        <f t="shared" si="35"/>
        <v>0</v>
      </c>
      <c r="AC118" s="67"/>
      <c r="AD118" s="67"/>
      <c r="AL118" s="910"/>
      <c r="AM118" s="914"/>
      <c r="AN118" s="851" t="s">
        <v>368</v>
      </c>
      <c r="AO118" s="13">
        <v>13</v>
      </c>
      <c r="AP118" s="10" t="e">
        <f>IF($AN$105=Adm!$GF$116,$AP$52,IF(Cal!$AN$105=Adm!$GF$114,$AP$30,$AP$11))</f>
        <v>#N/A</v>
      </c>
      <c r="AQ118" s="67"/>
      <c r="AR118" s="67"/>
      <c r="AT118" s="10">
        <f t="shared" si="32"/>
        <v>0</v>
      </c>
      <c r="AU118" s="67">
        <f t="shared" si="33"/>
        <v>0</v>
      </c>
      <c r="AV118" s="67"/>
      <c r="AX118" s="10" t="e">
        <f>IF($AN$105=Adm!$GF$116,$AQ$52,IF(Cal!$AN$105=Adm!$GF$114,$AQ$30,$AQ$11))</f>
        <v>#N/A</v>
      </c>
      <c r="AY118" s="67"/>
      <c r="AZ118" s="67"/>
      <c r="BB118" s="10" t="e">
        <f>IF($AN$105=Adm!$GF$116,$AR$52,IF(Cal!$AN$105=Adm!$GF$114,$AR$30,$AR$11))</f>
        <v>#N/A</v>
      </c>
      <c r="BC118" s="67"/>
      <c r="BD118" s="67"/>
      <c r="BF118" s="10" t="e">
        <f>IF($AN$105=Adm!$GF$116,$AS$52,IF(Cal!$AN$105=Adm!$GF$114,$AS$30,$AS$11))</f>
        <v>#N/A</v>
      </c>
      <c r="BG118" s="67"/>
      <c r="BH118" s="67"/>
      <c r="BJ118" s="10" t="e">
        <f>IF($AN$105=Adm!$GF$116,$AT$52,IF(Cal!$AN$105=Adm!$GF$114,$AT$30,$AT$11))</f>
        <v>#N/A</v>
      </c>
      <c r="BK118" s="67"/>
      <c r="BL118" s="67"/>
      <c r="BO118" s="10">
        <f t="shared" si="36"/>
        <v>0</v>
      </c>
      <c r="BP118" s="67">
        <f t="shared" si="34"/>
        <v>0</v>
      </c>
      <c r="BQ118" s="67"/>
    </row>
    <row r="119" spans="1:69" ht="14.4">
      <c r="A119" s="853" t="s">
        <v>369</v>
      </c>
      <c r="B119" s="13">
        <v>14</v>
      </c>
      <c r="C119" s="9" t="e">
        <f>IF(Adm!$B$4=Adm!$A$118,C76,IF(Adm!$B$4=Adm!$A$114,$C$29,IF(Adm!$C$22="si",C44-$A$12,$C$10)))</f>
        <v>#N/A</v>
      </c>
      <c r="D119" s="9">
        <f>$C$51</f>
        <v>0</v>
      </c>
      <c r="E119" s="9">
        <f>IF(E106="",0,$A$12)</f>
        <v>0</v>
      </c>
      <c r="G119" s="1071">
        <f t="shared" si="31"/>
        <v>0</v>
      </c>
      <c r="H119" s="9">
        <f>IF($H$105="no",0,IF($H$104="Perfil 4",L119,IF($H$104="perfil 3",P119,IF($H$104="perfil 2",T119,IF($H$104="perfil 1",X119,0)))))</f>
        <v>0</v>
      </c>
      <c r="I119" s="1072">
        <f>IF($I$105="no",0,IF($H$104="Perfil 4",M119,IF($H$104="perfil 3",Q119,IF($H$104="perfil 2",U119,IF($H$104="perfil 1",Y119,0)))))</f>
        <v>0</v>
      </c>
      <c r="K119" s="9" t="e">
        <f>IF(Adm!$B$4=Adm!$A$118,$D$76,IF(Adm!$B$4=Adm!$A$114,$D$29,IF(Adm!$C$22="si",$D$44-$A$12,$D$10)))</f>
        <v>#N/A</v>
      </c>
      <c r="L119" s="9">
        <f>$D$51</f>
        <v>0</v>
      </c>
      <c r="M119" s="9">
        <f>IF(M106="",0,$A$12)</f>
        <v>0</v>
      </c>
      <c r="O119" s="9" t="e">
        <f>IF(Adm!$B$4=Adm!$A$118,$E$76,IF(Adm!$B$4=Adm!$A$114,$E$29,IF(Adm!$C$22="si",$E$44-$A$12,$E$10)))</f>
        <v>#N/A</v>
      </c>
      <c r="P119" s="9">
        <f>$E$51</f>
        <v>0</v>
      </c>
      <c r="Q119" s="9">
        <f>IF(Q106="",0,$A$12)</f>
        <v>0</v>
      </c>
      <c r="S119" s="9" t="e">
        <f>IF(Adm!$B$4=Adm!$A$118,$F$76,IF(Adm!$B$4=Adm!$A$114,$F$29,IF(Adm!$C$22="si",$F$44-$A$12,$F$10)))</f>
        <v>#N/A</v>
      </c>
      <c r="T119" s="9">
        <f>$F$51</f>
        <v>0</v>
      </c>
      <c r="U119" s="9">
        <f>IF(U106="",0,$A$12)</f>
        <v>0</v>
      </c>
      <c r="W119" s="9" t="e">
        <f>IF(Adm!$B$4=Adm!$A$118,$G$76,IF(Adm!$B$4=Adm!$A$114,$G$29,IF(Adm!$C$22="si",$G$44-$A$12,$G$10)))</f>
        <v>#N/A</v>
      </c>
      <c r="X119" s="9">
        <f>$G$51</f>
        <v>0</v>
      </c>
      <c r="Y119" s="9">
        <f>IF(Y106="",0,$A$12)</f>
        <v>0</v>
      </c>
      <c r="AB119" s="9">
        <f t="shared" si="35"/>
        <v>0</v>
      </c>
      <c r="AC119" s="9">
        <f t="shared" si="37"/>
        <v>0</v>
      </c>
      <c r="AD119" s="9">
        <f t="shared" si="38"/>
        <v>0</v>
      </c>
      <c r="AL119" s="910"/>
      <c r="AM119" s="914"/>
      <c r="AN119" s="853" t="s">
        <v>369</v>
      </c>
      <c r="AO119" s="13">
        <v>14</v>
      </c>
      <c r="AP119" s="9" t="e">
        <f>IF($AN$105=Adm!$GF$116,$AP$44,IF(Cal!$AN$105=Adm!$GF$114,$AP$29,$AP$10))</f>
        <v>#N/A</v>
      </c>
      <c r="AQ119" s="9">
        <f>$AP$51</f>
        <v>0</v>
      </c>
      <c r="AR119" s="67"/>
      <c r="AT119" s="9">
        <f t="shared" si="32"/>
        <v>0</v>
      </c>
      <c r="AU119" s="9">
        <f t="shared" si="33"/>
        <v>0</v>
      </c>
      <c r="AV119" s="928"/>
      <c r="AX119" s="9" t="e">
        <f>IF($AN$105=Adm!$GF$116,$AQ$44,IF(Cal!$AN$105=Adm!$GF$114,$AQ$29,$AQ$10))</f>
        <v>#N/A</v>
      </c>
      <c r="AY119" s="9">
        <f>$AQ$51</f>
        <v>0</v>
      </c>
      <c r="AZ119" s="67"/>
      <c r="BB119" s="9" t="e">
        <f>IF($AN$105=Adm!$GF$116,$AR$44,IF(Cal!$AN$105=Adm!$GF$114,$AR$29,$AR$10))</f>
        <v>#N/A</v>
      </c>
      <c r="BC119" s="9">
        <f>$AR$51</f>
        <v>0</v>
      </c>
      <c r="BD119" s="67"/>
      <c r="BF119" s="9" t="e">
        <f>IF($AN$105=Adm!$GF$116,$AS$44,IF(Cal!$AN$105=Adm!$GF$114,$AS$29,$AS$10))</f>
        <v>#N/A</v>
      </c>
      <c r="BG119" s="9">
        <f>$AS$51</f>
        <v>0</v>
      </c>
      <c r="BH119" s="67"/>
      <c r="BJ119" s="9" t="e">
        <f>IF($AN$105=Adm!$GF$116,$AT$44,IF(Cal!$AN$105=Adm!$GF$114,$AT$29,$AT$10))</f>
        <v>#N/A</v>
      </c>
      <c r="BK119" s="9">
        <f>$AT$51</f>
        <v>0</v>
      </c>
      <c r="BL119" s="67"/>
      <c r="BO119" s="9">
        <f t="shared" si="36"/>
        <v>0</v>
      </c>
      <c r="BP119" s="9">
        <f t="shared" si="34"/>
        <v>0</v>
      </c>
      <c r="BQ119" s="67"/>
    </row>
    <row r="120" spans="1:69" ht="14.4">
      <c r="A120" s="854" t="s">
        <v>370</v>
      </c>
      <c r="B120" s="13">
        <v>15</v>
      </c>
      <c r="C120" s="846">
        <f>IF(Adm!$B$4=Adm!$A$118,$B$91,0)</f>
        <v>0</v>
      </c>
      <c r="D120" s="67"/>
      <c r="E120" s="7"/>
      <c r="G120" s="1073">
        <f t="shared" si="31"/>
        <v>0</v>
      </c>
      <c r="H120" s="67"/>
      <c r="I120" s="1063"/>
      <c r="K120" s="846">
        <f>IF(Adm!$B$4=Adm!$A$118,$B$91,0)</f>
        <v>0</v>
      </c>
      <c r="L120" s="67"/>
      <c r="M120" s="7"/>
      <c r="O120" s="846">
        <f>IF(Adm!$B$4=Adm!$A$118,$B$91,0)</f>
        <v>0</v>
      </c>
      <c r="P120" s="67"/>
      <c r="Q120" s="7"/>
      <c r="S120" s="846">
        <f>IF(Adm!$B$4=Adm!$A$118,$B$91,0)</f>
        <v>0</v>
      </c>
      <c r="T120" s="67"/>
      <c r="U120" s="7"/>
      <c r="W120" s="846">
        <f>IF(Adm!$B$4=Adm!$A$118,$B$91,0)</f>
        <v>0</v>
      </c>
      <c r="X120" s="67"/>
      <c r="Y120" s="7"/>
      <c r="AB120" s="846">
        <f t="shared" si="35"/>
        <v>0</v>
      </c>
      <c r="AC120" s="67"/>
      <c r="AD120" s="7"/>
      <c r="AL120" s="910"/>
      <c r="AM120" s="914"/>
      <c r="AN120" s="854" t="s">
        <v>370</v>
      </c>
      <c r="AO120" s="13">
        <v>15</v>
      </c>
      <c r="AP120" s="67"/>
      <c r="AQ120" s="67"/>
      <c r="AR120" s="67"/>
      <c r="AT120" s="67">
        <f t="shared" si="32"/>
        <v>0</v>
      </c>
      <c r="AU120" s="7"/>
      <c r="AV120" s="7"/>
      <c r="AX120" s="67"/>
      <c r="AY120" s="67"/>
      <c r="AZ120" s="67"/>
      <c r="BB120" s="67"/>
      <c r="BC120" s="67"/>
      <c r="BD120" s="67"/>
      <c r="BF120" s="67"/>
      <c r="BG120" s="67"/>
      <c r="BH120" s="67"/>
      <c r="BJ120" s="67"/>
      <c r="BK120" s="67"/>
      <c r="BL120" s="67"/>
      <c r="BO120" s="67">
        <f t="shared" si="36"/>
        <v>0</v>
      </c>
      <c r="BP120" s="67">
        <f t="shared" si="34"/>
        <v>0</v>
      </c>
      <c r="BQ120" s="67"/>
    </row>
    <row r="121" spans="1:69" ht="14.4">
      <c r="A121" s="854" t="s">
        <v>371</v>
      </c>
      <c r="B121" s="13">
        <v>16</v>
      </c>
      <c r="C121" s="846">
        <f>IF(Adm!$B$4=Adm!$A$118,$B$92,0)</f>
        <v>0</v>
      </c>
      <c r="D121" s="67"/>
      <c r="E121" s="7"/>
      <c r="G121" s="1073">
        <f t="shared" si="31"/>
        <v>0</v>
      </c>
      <c r="H121" s="67"/>
      <c r="I121" s="1063"/>
      <c r="K121" s="846">
        <f>IF(Adm!$B$4=Adm!$A$118,$B$92,0)</f>
        <v>0</v>
      </c>
      <c r="L121" s="67"/>
      <c r="M121" s="7"/>
      <c r="O121" s="846">
        <f>IF(Adm!$B$4=Adm!$A$118,$B$92,0)</f>
        <v>0</v>
      </c>
      <c r="P121" s="67"/>
      <c r="Q121" s="7"/>
      <c r="S121" s="846">
        <f>IF(Adm!$B$4=Adm!$A$118,$B$92,0)</f>
        <v>0</v>
      </c>
      <c r="T121" s="67"/>
      <c r="U121" s="7"/>
      <c r="W121" s="846">
        <f>IF(Adm!$B$4=Adm!$A$118,$B$92,0)</f>
        <v>0</v>
      </c>
      <c r="X121" s="67"/>
      <c r="Y121" s="7"/>
      <c r="AB121" s="846">
        <f t="shared" si="35"/>
        <v>0</v>
      </c>
      <c r="AC121" s="67"/>
      <c r="AD121" s="7"/>
      <c r="AL121" s="910"/>
      <c r="AM121" s="914"/>
      <c r="AN121" s="854" t="s">
        <v>371</v>
      </c>
      <c r="AO121" s="13">
        <v>16</v>
      </c>
      <c r="AP121" s="67"/>
      <c r="AQ121" s="67"/>
      <c r="AR121" s="67"/>
      <c r="AT121" s="67">
        <f t="shared" si="32"/>
        <v>0</v>
      </c>
      <c r="AU121" s="7"/>
      <c r="AV121" s="7"/>
      <c r="AX121" s="67"/>
      <c r="AY121" s="67"/>
      <c r="AZ121" s="67"/>
      <c r="BB121" s="67"/>
      <c r="BC121" s="67"/>
      <c r="BD121" s="67"/>
      <c r="BF121" s="67"/>
      <c r="BG121" s="67"/>
      <c r="BH121" s="67"/>
      <c r="BJ121" s="67"/>
      <c r="BK121" s="67"/>
      <c r="BL121" s="67"/>
      <c r="BO121" s="67">
        <f t="shared" si="36"/>
        <v>0</v>
      </c>
      <c r="BP121" s="67">
        <f t="shared" si="34"/>
        <v>0</v>
      </c>
      <c r="BQ121" s="67"/>
    </row>
    <row r="122" spans="1:69" ht="14.4">
      <c r="A122" s="854" t="s">
        <v>372</v>
      </c>
      <c r="B122" s="13">
        <v>17</v>
      </c>
      <c r="C122" s="846">
        <f>IF(Adm!$B$4=Adm!$A$118,$B$95,0)</f>
        <v>0</v>
      </c>
      <c r="D122" s="68"/>
      <c r="E122" s="7"/>
      <c r="G122" s="1073">
        <f t="shared" si="31"/>
        <v>0</v>
      </c>
      <c r="H122" s="68"/>
      <c r="I122" s="1063"/>
      <c r="K122" s="846">
        <f>IF(Adm!$B$4=Adm!$A$118,$B$95,0)</f>
        <v>0</v>
      </c>
      <c r="L122" s="68"/>
      <c r="M122" s="7"/>
      <c r="O122" s="846">
        <f>IF(Adm!$B$4=Adm!$A$118,$B$95,0)</f>
        <v>0</v>
      </c>
      <c r="P122" s="68"/>
      <c r="Q122" s="7"/>
      <c r="S122" s="846">
        <f>IF(Adm!$B$4=Adm!$A$118,$B$95,0)</f>
        <v>0</v>
      </c>
      <c r="T122" s="68"/>
      <c r="U122" s="7"/>
      <c r="W122" s="846">
        <f>IF(Adm!$B$4=Adm!$A$118,$B$95,0)</f>
        <v>0</v>
      </c>
      <c r="X122" s="68"/>
      <c r="Y122" s="7"/>
      <c r="AB122" s="846">
        <f t="shared" si="35"/>
        <v>0</v>
      </c>
      <c r="AC122" s="68"/>
      <c r="AD122" s="7"/>
      <c r="AL122" s="910"/>
      <c r="AM122" s="914"/>
      <c r="AN122" s="854" t="s">
        <v>372</v>
      </c>
      <c r="AO122" s="13">
        <v>17</v>
      </c>
      <c r="AP122" s="68"/>
      <c r="AQ122" s="68"/>
      <c r="AR122" s="67"/>
      <c r="AT122" s="68">
        <f t="shared" si="32"/>
        <v>0</v>
      </c>
      <c r="AU122" s="7"/>
      <c r="AV122" s="7"/>
      <c r="AX122" s="68"/>
      <c r="AY122" s="68"/>
      <c r="AZ122" s="67"/>
      <c r="BB122" s="68"/>
      <c r="BC122" s="68"/>
      <c r="BD122" s="67"/>
      <c r="BF122" s="68"/>
      <c r="BG122" s="68"/>
      <c r="BH122" s="67"/>
      <c r="BJ122" s="68"/>
      <c r="BK122" s="68"/>
      <c r="BL122" s="67"/>
      <c r="BO122" s="68">
        <f t="shared" si="36"/>
        <v>0</v>
      </c>
      <c r="BP122" s="68">
        <f t="shared" si="34"/>
        <v>0</v>
      </c>
      <c r="BQ122" s="67"/>
    </row>
    <row r="123" spans="1:69" ht="14.4">
      <c r="A123" s="851" t="s">
        <v>373</v>
      </c>
      <c r="B123" s="13">
        <v>18</v>
      </c>
      <c r="C123" s="6" t="e">
        <f>IF(Adm!$B$4=Adm!$A$118,C120*C116/360*30.4166,C119*C117/1000)</f>
        <v>#N/A</v>
      </c>
      <c r="D123" s="6">
        <f>IF($D$105="no",0,D119*D117/1000)</f>
        <v>0</v>
      </c>
      <c r="E123" s="6">
        <f>IF($E$105="NO",0,E119*E117/1000)</f>
        <v>0</v>
      </c>
      <c r="G123" s="1074">
        <f t="shared" si="31"/>
        <v>0</v>
      </c>
      <c r="H123" s="6">
        <f>IF($H$105="no",0,IF($H$104="Perfil 4",L123,IF($H$104="perfil 3",P123,IF($H$104="perfil 2",T123,IF($H$104="perfil 1",X123,0)))))</f>
        <v>0</v>
      </c>
      <c r="I123" s="1075">
        <f>IF($I$105="no",0,IF($H$104="Perfil 4",M123,IF($H$104="perfil 3",Q123,IF($H$104="perfil 2",U123,IF($H$104="perfil 1",Y123,0)))))</f>
        <v>0</v>
      </c>
      <c r="K123" s="6" t="e">
        <f>IF(Adm!$B$4=Adm!$A$118,K120*K116/360*30.4166,K119*K117/1000)</f>
        <v>#N/A</v>
      </c>
      <c r="L123" s="6" t="e">
        <f>L119*L117/1000</f>
        <v>#N/A</v>
      </c>
      <c r="M123" s="6" t="e">
        <f>M119*M117/1000</f>
        <v>#N/A</v>
      </c>
      <c r="O123" s="6" t="e">
        <f>IF(Adm!$B$4=Adm!$A$118,O120*O116/360*30.4166,O119*O117/1000)</f>
        <v>#N/A</v>
      </c>
      <c r="P123" s="6" t="e">
        <f>P119*P117/1000</f>
        <v>#N/A</v>
      </c>
      <c r="Q123" s="6" t="e">
        <f>Q119*Q117/1000</f>
        <v>#N/A</v>
      </c>
      <c r="S123" s="6" t="e">
        <f>IF(Adm!$B$4=Adm!$A$118,S120*S116/360*30.4166,S119*S117/1000)</f>
        <v>#N/A</v>
      </c>
      <c r="T123" s="6" t="e">
        <f>T119*T117/1000</f>
        <v>#N/A</v>
      </c>
      <c r="U123" s="6" t="e">
        <f>U119*U117/1000</f>
        <v>#N/A</v>
      </c>
      <c r="W123" s="6" t="e">
        <f>IF(Adm!$B$4=Adm!$A$118,W120*W116/360*30.4166,W119*W117/1000)</f>
        <v>#N/A</v>
      </c>
      <c r="X123" s="6" t="e">
        <f>X119*X117/1000</f>
        <v>#N/A</v>
      </c>
      <c r="Y123" s="6" t="e">
        <f>Y119*Y117/1000</f>
        <v>#N/A</v>
      </c>
      <c r="AB123" s="6">
        <f t="shared" si="35"/>
        <v>0</v>
      </c>
      <c r="AC123" s="6">
        <f t="shared" si="37"/>
        <v>0</v>
      </c>
      <c r="AD123" s="6">
        <f t="shared" si="38"/>
        <v>0</v>
      </c>
      <c r="AL123" s="910"/>
      <c r="AM123" s="914"/>
      <c r="AN123" s="851" t="s">
        <v>373</v>
      </c>
      <c r="AO123" s="13">
        <v>18</v>
      </c>
      <c r="AP123" s="6" t="e">
        <f>AP119*AP117/1000</f>
        <v>#N/A</v>
      </c>
      <c r="AQ123" s="6">
        <f>AQ119*AQ117/1000</f>
        <v>0</v>
      </c>
      <c r="AR123" s="67"/>
      <c r="AT123" s="6">
        <f t="shared" si="32"/>
        <v>0</v>
      </c>
      <c r="AU123" s="6">
        <f t="shared" ref="AU123:AU131" si="39">IF($AU$104="Perfil 4",AY123,IF($AU$104="perfil 3",BC123,IF($AU$104="perfil 2",BG123,IF($AU$104="perfil 1",BK123,0))))</f>
        <v>0</v>
      </c>
      <c r="AV123" s="7"/>
      <c r="AX123" s="6" t="e">
        <f>AX119*AX117/1000</f>
        <v>#N/A</v>
      </c>
      <c r="AY123" s="6">
        <f>AY119*AY117/1000</f>
        <v>0</v>
      </c>
      <c r="AZ123" s="67"/>
      <c r="BB123" s="6" t="e">
        <f>BB119*BB117/1000</f>
        <v>#N/A</v>
      </c>
      <c r="BC123" s="6">
        <f>BC119*BC117/1000</f>
        <v>0</v>
      </c>
      <c r="BD123" s="67"/>
      <c r="BF123" s="6" t="e">
        <f>BF119*BF117/1000</f>
        <v>#N/A</v>
      </c>
      <c r="BG123" s="6">
        <f>BG119*BG117/1000</f>
        <v>0</v>
      </c>
      <c r="BH123" s="67"/>
      <c r="BJ123" s="6" t="e">
        <f>BJ119*BJ117/1000</f>
        <v>#N/A</v>
      </c>
      <c r="BK123" s="6">
        <f>BK119*BK117/1000</f>
        <v>0</v>
      </c>
      <c r="BL123" s="67"/>
      <c r="BO123" s="6">
        <f t="shared" si="36"/>
        <v>0</v>
      </c>
      <c r="BP123" s="6">
        <f t="shared" si="34"/>
        <v>0</v>
      </c>
      <c r="BQ123" s="67"/>
    </row>
    <row r="124" spans="1:69" ht="14.4">
      <c r="A124" s="851" t="s">
        <v>374</v>
      </c>
      <c r="B124" s="13">
        <v>19</v>
      </c>
      <c r="C124" s="6" t="e">
        <f>IF(Adm!$S$4=Adm!$S$8,0,IF(Adm!$B$4=Adm!$A$118,C120*Adm!$V$4,C119*Adm!$V$4))</f>
        <v>#N/A</v>
      </c>
      <c r="D124" s="6">
        <f>IF($D$105="no",0,D119*Adm!$V$4)</f>
        <v>0</v>
      </c>
      <c r="E124" s="6">
        <f>IF($E$105="NO",0,E119*Adm!$V$4)</f>
        <v>0</v>
      </c>
      <c r="G124" s="1074">
        <f t="shared" si="31"/>
        <v>0</v>
      </c>
      <c r="H124" s="6">
        <f>IF($H$105="no",0,IF($H$104="Perfil 4",L124,IF($H$104="perfil 3",P124,IF($H$104="perfil 2",T124,IF($H$104="perfil 1",X124,0)))))</f>
        <v>0</v>
      </c>
      <c r="I124" s="1075">
        <f>IF($I$105="no",0,IF($H$104="Perfil 4",M124,IF($H$104="perfil 3",Q124,IF($H$104="perfil 2",U124,IF($H$104="perfil 1",Y124,0)))))</f>
        <v>0</v>
      </c>
      <c r="K124" s="6" t="e">
        <f>IF(Adm!$S$4=Adm!$S$8,0,IF(Adm!$B$4=Adm!$A$118,K120*Adm!$V$4,K119*Adm!$V$4))</f>
        <v>#N/A</v>
      </c>
      <c r="L124" s="6">
        <f>L119*Adm!$V$4</f>
        <v>0</v>
      </c>
      <c r="M124" s="6">
        <f>M119*Adm!$V$4</f>
        <v>0</v>
      </c>
      <c r="O124" s="6" t="e">
        <f>IF(Adm!$S$4=Adm!$S$8,0,IF(Adm!$B$4=Adm!$A$118,O120*Adm!$V$4,O119*Adm!$V$4))</f>
        <v>#N/A</v>
      </c>
      <c r="P124" s="6">
        <f>P119*Adm!$V$4</f>
        <v>0</v>
      </c>
      <c r="Q124" s="6">
        <f>Q119*Adm!$V$4</f>
        <v>0</v>
      </c>
      <c r="S124" s="6" t="e">
        <f>IF(Adm!$S$4=Adm!$S$8,0,IF(Adm!$B$4=Adm!$A$118,S120*Adm!$V$4,S119*Adm!$V$4))</f>
        <v>#N/A</v>
      </c>
      <c r="T124" s="6">
        <f>T119*Adm!$V$4</f>
        <v>0</v>
      </c>
      <c r="U124" s="6">
        <f>U119*Adm!$V$4</f>
        <v>0</v>
      </c>
      <c r="W124" s="6" t="e">
        <f>IF(Adm!$S$4=Adm!$S$8,0,IF(Adm!$B$4=Adm!$A$118,W120*Adm!$V$4,W119*Adm!$V$4))</f>
        <v>#N/A</v>
      </c>
      <c r="X124" s="6">
        <f>X119*Adm!$V$4</f>
        <v>0</v>
      </c>
      <c r="Y124" s="6">
        <f>Y119*Adm!$V$4</f>
        <v>0</v>
      </c>
      <c r="AB124" s="6">
        <f t="shared" si="35"/>
        <v>0</v>
      </c>
      <c r="AC124" s="6">
        <f t="shared" si="37"/>
        <v>0</v>
      </c>
      <c r="AD124" s="6">
        <f t="shared" si="38"/>
        <v>0</v>
      </c>
      <c r="AL124" s="910"/>
      <c r="AM124" s="914"/>
      <c r="AN124" s="851" t="s">
        <v>374</v>
      </c>
      <c r="AO124" s="13">
        <v>19</v>
      </c>
      <c r="AP124" s="6" t="e">
        <f>AP119*Adm!$GV$4</f>
        <v>#N/A</v>
      </c>
      <c r="AQ124" s="6">
        <f>AQ119*Adm!$GV$4</f>
        <v>0</v>
      </c>
      <c r="AR124" s="67"/>
      <c r="AT124" s="6">
        <f t="shared" si="32"/>
        <v>0</v>
      </c>
      <c r="AU124" s="6">
        <f t="shared" si="39"/>
        <v>0</v>
      </c>
      <c r="AV124" s="7"/>
      <c r="AX124" s="6" t="e">
        <f>AX119*Adm!$GV$4</f>
        <v>#N/A</v>
      </c>
      <c r="AY124" s="6">
        <f>AY119*Adm!$GV$4</f>
        <v>0</v>
      </c>
      <c r="AZ124" s="67"/>
      <c r="BB124" s="6" t="e">
        <f>BB119*Adm!$GV$4</f>
        <v>#N/A</v>
      </c>
      <c r="BC124" s="6">
        <f>BC119*Adm!$GV$4</f>
        <v>0</v>
      </c>
      <c r="BD124" s="67"/>
      <c r="BF124" s="6" t="e">
        <f>BF119*Adm!$GV$4</f>
        <v>#N/A</v>
      </c>
      <c r="BG124" s="6">
        <f>BG119*Adm!$GV$4</f>
        <v>0</v>
      </c>
      <c r="BH124" s="67"/>
      <c r="BJ124" s="6" t="e">
        <f>BJ119*Adm!$GV$4</f>
        <v>#N/A</v>
      </c>
      <c r="BK124" s="6">
        <f>BK119*Adm!$GV$4</f>
        <v>0</v>
      </c>
      <c r="BL124" s="67"/>
      <c r="BO124" s="6">
        <f t="shared" si="36"/>
        <v>0</v>
      </c>
      <c r="BP124" s="6">
        <f t="shared" si="34"/>
        <v>0</v>
      </c>
      <c r="BQ124" s="67"/>
    </row>
    <row r="125" spans="1:69" ht="14.4">
      <c r="A125" s="851" t="s">
        <v>375</v>
      </c>
      <c r="B125" s="13">
        <v>20</v>
      </c>
      <c r="C125" s="6">
        <f>IF(Adm!$S$5=Adm!$S$8,0,IF(Adm!$B$4=Adm!$A$118,Adm!$AA$11*Adm!$W$4,IF(Adm!$B$4=Adm!$A$119,0,Adm!$AA$11*Adm!$X$4)))</f>
        <v>0</v>
      </c>
      <c r="D125" s="7"/>
      <c r="E125" s="7"/>
      <c r="G125" s="1074">
        <f t="shared" si="31"/>
        <v>0</v>
      </c>
      <c r="H125" s="7"/>
      <c r="I125" s="1063"/>
      <c r="K125" s="6">
        <f>IF(Adm!$S$5=Adm!$S$8,0,IF(Adm!$B$4=Adm!$A$118,Adm!$AA$11*Adm!$W$4,IF(Adm!$B$4=Adm!$A$119,0,Adm!$AA$11*Adm!$X$4)))</f>
        <v>0</v>
      </c>
      <c r="L125" s="7"/>
      <c r="M125" s="7"/>
      <c r="O125" s="6">
        <f>IF(Adm!$S$5=Adm!$S$8,0,IF(Adm!$B$4=Adm!$A$118,Adm!$AA$11*Adm!$W$4,IF(Adm!$B$4=Adm!$A$119,0,Adm!$AA$11*Adm!$X$4)))</f>
        <v>0</v>
      </c>
      <c r="P125" s="7"/>
      <c r="Q125" s="7"/>
      <c r="S125" s="6">
        <f>IF(Adm!$S$5=Adm!$S$8,0,IF(Adm!$B$4=Adm!$A$118,Adm!$AA$11*Adm!$W$4,IF(Adm!$B$4=Adm!$A$119,0,Adm!$AA$11*Adm!$X$4)))</f>
        <v>0</v>
      </c>
      <c r="T125" s="7"/>
      <c r="U125" s="7"/>
      <c r="W125" s="6">
        <f>IF(Adm!$S$5=Adm!$S$8,0,IF(Adm!$B$4=Adm!$A$118,Adm!$AA$11*Adm!$W$4,IF(Adm!$B$4=Adm!$A$119,0,Adm!$AA$11*Adm!$X$4)))</f>
        <v>0</v>
      </c>
      <c r="X125" s="7"/>
      <c r="Y125" s="7"/>
      <c r="AB125" s="6">
        <f t="shared" si="35"/>
        <v>0</v>
      </c>
      <c r="AC125" s="7"/>
      <c r="AD125" s="7"/>
      <c r="AL125" s="910"/>
      <c r="AM125" s="914"/>
      <c r="AN125" s="851" t="s">
        <v>375</v>
      </c>
      <c r="AO125" s="13">
        <v>20</v>
      </c>
      <c r="AP125" s="6">
        <f>Adm!$AA$11*Adm!$GW$4</f>
        <v>0</v>
      </c>
      <c r="AQ125" s="7"/>
      <c r="AR125" s="67"/>
      <c r="AT125" s="6">
        <f t="shared" si="32"/>
        <v>0</v>
      </c>
      <c r="AU125" s="7">
        <f t="shared" si="39"/>
        <v>0</v>
      </c>
      <c r="AV125" s="7"/>
      <c r="AX125" s="6">
        <f>Adm!$AA$11*Adm!$GW$4</f>
        <v>0</v>
      </c>
      <c r="AY125" s="7"/>
      <c r="AZ125" s="67"/>
      <c r="BB125" s="6">
        <f>Adm!$AA$11*Adm!$GW$4</f>
        <v>0</v>
      </c>
      <c r="BC125" s="7"/>
      <c r="BD125" s="67"/>
      <c r="BF125" s="6">
        <f>Adm!$AA$11*Adm!$GW$4</f>
        <v>0</v>
      </c>
      <c r="BG125" s="7"/>
      <c r="BH125" s="67"/>
      <c r="BJ125" s="6">
        <f>Adm!$AA$11*Adm!$GW$4</f>
        <v>0</v>
      </c>
      <c r="BK125" s="7"/>
      <c r="BL125" s="67"/>
      <c r="BO125" s="6">
        <f t="shared" si="36"/>
        <v>0</v>
      </c>
      <c r="BP125" s="7">
        <f t="shared" si="34"/>
        <v>0</v>
      </c>
      <c r="BQ125" s="67"/>
    </row>
    <row r="126" spans="1:69" ht="14.4">
      <c r="A126" s="851" t="s">
        <v>376</v>
      </c>
      <c r="B126" s="13">
        <v>21</v>
      </c>
      <c r="C126" s="6">
        <f>Adm!$Q$4*1.16</f>
        <v>0</v>
      </c>
      <c r="D126" s="7"/>
      <c r="E126" s="6">
        <f>IF($E$105="NO",0,Adm!$Q$4*1.16)</f>
        <v>0</v>
      </c>
      <c r="G126" s="1074">
        <f t="shared" si="31"/>
        <v>0</v>
      </c>
      <c r="H126" s="7"/>
      <c r="I126" s="1075">
        <f>IF($I$105="no",0,IF($H$104="Perfil 4",M126,IF($H$104="perfil 3",Q126,IF($H$104="perfil 2",U126,IF($H$104="perfil 1",Y126,0)))))</f>
        <v>0</v>
      </c>
      <c r="K126" s="6">
        <f>Adm!$Q$4*1.16</f>
        <v>0</v>
      </c>
      <c r="L126" s="7"/>
      <c r="M126" s="6">
        <f>Adm!$Q$4*1.16</f>
        <v>0</v>
      </c>
      <c r="O126" s="6">
        <f>Adm!$Q$4*1.16</f>
        <v>0</v>
      </c>
      <c r="P126" s="7"/>
      <c r="Q126" s="6">
        <f>Adm!$Q$4*1.16</f>
        <v>0</v>
      </c>
      <c r="S126" s="6">
        <f>Adm!$Q$4*1.16</f>
        <v>0</v>
      </c>
      <c r="T126" s="7"/>
      <c r="U126" s="6">
        <f>Adm!$Q$4*1.16</f>
        <v>0</v>
      </c>
      <c r="W126" s="6">
        <f>Adm!$Q$4*1.16</f>
        <v>0</v>
      </c>
      <c r="X126" s="7"/>
      <c r="Y126" s="6">
        <f>Adm!$Q$4*1.16</f>
        <v>0</v>
      </c>
      <c r="AB126" s="6">
        <f t="shared" si="35"/>
        <v>0</v>
      </c>
      <c r="AC126" s="7"/>
      <c r="AD126" s="6">
        <f t="shared" si="38"/>
        <v>0</v>
      </c>
      <c r="AL126" s="910"/>
      <c r="AM126" s="914"/>
      <c r="AN126" s="851" t="s">
        <v>376</v>
      </c>
      <c r="AO126" s="13">
        <v>21</v>
      </c>
      <c r="AP126" s="6">
        <f>Adm!$GQ$4*1.16</f>
        <v>0</v>
      </c>
      <c r="AQ126" s="7"/>
      <c r="AR126" s="67"/>
      <c r="AT126" s="6">
        <f t="shared" si="32"/>
        <v>0</v>
      </c>
      <c r="AU126" s="7">
        <f t="shared" si="39"/>
        <v>0</v>
      </c>
      <c r="AV126" s="7"/>
      <c r="AX126" s="6">
        <f>Adm!$GQ$4*1.16</f>
        <v>0</v>
      </c>
      <c r="AY126" s="7"/>
      <c r="AZ126" s="67"/>
      <c r="BB126" s="6">
        <f>Adm!$GQ$4*1.16</f>
        <v>0</v>
      </c>
      <c r="BC126" s="7"/>
      <c r="BD126" s="67"/>
      <c r="BF126" s="6">
        <f>Adm!$GQ$4*1.16</f>
        <v>0</v>
      </c>
      <c r="BG126" s="7"/>
      <c r="BH126" s="67"/>
      <c r="BJ126" s="6">
        <f>Adm!$GQ$4*1.16</f>
        <v>0</v>
      </c>
      <c r="BK126" s="7"/>
      <c r="BL126" s="67"/>
      <c r="BO126" s="6">
        <f t="shared" si="36"/>
        <v>0</v>
      </c>
      <c r="BP126" s="7">
        <f t="shared" si="34"/>
        <v>0</v>
      </c>
      <c r="BQ126" s="67"/>
    </row>
    <row r="127" spans="1:69" ht="14.4">
      <c r="A127" s="1085" t="s">
        <v>377</v>
      </c>
      <c r="B127" s="13"/>
      <c r="C127" s="1961">
        <f>IF(Adm!$D$4=Adm!$D$6,0,IF(Adm!$H$4=180,VLOOKUP(C116,mil_15,3,0),IF(Adm!$H$4=240,VLOOKUP(C116,mil_20,3,0),IF(Adm!$H$4=300,VLOOKUP(C116,mil_30,3,0),0))))</f>
        <v>0</v>
      </c>
      <c r="D127" s="14">
        <f>IF($D$105="no",0,C127)</f>
        <v>0</v>
      </c>
      <c r="E127" s="14">
        <f>IF($E$105="NO",0,C127)</f>
        <v>0</v>
      </c>
      <c r="G127" s="1066">
        <f t="shared" si="31"/>
        <v>0</v>
      </c>
      <c r="H127" s="14">
        <f>IF($H$105="no",0,IF($H$104="Perfil 4",L127,IF($H$104="perfil 3",P127,IF($H$104="perfil 2",T127,IF($H$104="perfil 1",X127,0)))))</f>
        <v>0</v>
      </c>
      <c r="I127" s="1067">
        <f>IF($I$105="no",0,IF($H$104="Perfil 4",M127,IF($H$104="perfil 3",Q127,IF($H$104="perfil 2",U127,IF($H$104="perfil 1",Y127,0)))))</f>
        <v>0</v>
      </c>
      <c r="K127" s="1961">
        <f>IF(Adm!$D$4=Adm!$D$6,0,IF(Adm!$H$4=180,VLOOKUP(K116,mil_15,3,0),IF(Adm!$H$4=240,VLOOKUP(K116,mil_20,3,0),IF(Adm!$H$4=300,VLOOKUP(K116,mil_30,3,0),0))))</f>
        <v>0</v>
      </c>
      <c r="L127" s="14">
        <f>K127</f>
        <v>0</v>
      </c>
      <c r="M127" s="14">
        <f>K127</f>
        <v>0</v>
      </c>
      <c r="O127" s="1961">
        <f>IF(Adm!$D$4=Adm!$D$6,0,IF(Adm!$H$4=180,VLOOKUP(O116,mil_15,3,0),IF(Adm!$H$4=240,VLOOKUP(O116,mil_20,3,0),IF(Adm!$H$4=300,VLOOKUP(O116,mil_30,3,0),0))))</f>
        <v>0</v>
      </c>
      <c r="P127" s="14">
        <f>O127</f>
        <v>0</v>
      </c>
      <c r="Q127" s="14">
        <f>P127</f>
        <v>0</v>
      </c>
      <c r="S127" s="1961" t="b">
        <f>IF(Adm!$D$4=Adm!$D$6,0,IF(Adm!$H$4=180,VLOOKUP(S116,mil_15,3,0),IF(Adm!$H$4=240,VLOOKUP(S116,mil_20,3,0),IF(Adm!$H$4=300,VLOOKUP(S116,mil_30,3,0)))))</f>
        <v>0</v>
      </c>
      <c r="T127" s="14" t="b">
        <f>S127</f>
        <v>0</v>
      </c>
      <c r="U127" s="14" t="b">
        <f>T127</f>
        <v>0</v>
      </c>
      <c r="W127" s="1961" t="b">
        <f>IF(Adm!$D$4=Adm!$D$6,0,IF(Adm!$H$4=180,VLOOKUP(W116,mil_15,3,0),IF(Adm!$H$4=240,VLOOKUP(W116,mil_20,3,0),IF(Adm!$H$4=300,VLOOKUP(W116,mil_30,3,0)))))</f>
        <v>0</v>
      </c>
      <c r="X127" s="14" t="b">
        <f>W127</f>
        <v>0</v>
      </c>
      <c r="Y127" s="14" t="b">
        <f>X127</f>
        <v>0</v>
      </c>
      <c r="AB127" s="14">
        <f t="shared" si="35"/>
        <v>0</v>
      </c>
      <c r="AC127" s="14">
        <f t="shared" si="37"/>
        <v>0</v>
      </c>
      <c r="AD127" s="14">
        <f t="shared" si="38"/>
        <v>0</v>
      </c>
      <c r="AL127" s="910"/>
      <c r="AM127" s="914"/>
      <c r="AN127" s="851" t="s">
        <v>377</v>
      </c>
      <c r="AO127" s="13"/>
      <c r="AP127" s="14" t="e">
        <f>IF(Adm!$GI$4="Fijos",0,VLOOKUP(Adm!$JG$9,freeajuste,MATCH(Adm!$GK$4,Adm!$IA$5:'Adm'!$IG$5,0)))</f>
        <v>#N/A</v>
      </c>
      <c r="AQ127" s="14" t="e">
        <f>AP127</f>
        <v>#N/A</v>
      </c>
      <c r="AR127" s="67"/>
      <c r="AT127" s="14">
        <f t="shared" si="32"/>
        <v>0</v>
      </c>
      <c r="AU127" s="14">
        <f t="shared" si="39"/>
        <v>0</v>
      </c>
      <c r="AV127" s="927"/>
      <c r="AX127" s="14" t="e">
        <f>IF(Adm!$GI$4="Fijos",0,VLOOKUP(Adm!$JG$8,freeajuste,MATCH(Adm!$GK$4,Adm!$IA$5:'Adm'!$IG$5,0)))</f>
        <v>#N/A</v>
      </c>
      <c r="AY127" s="14" t="e">
        <f>AX127</f>
        <v>#N/A</v>
      </c>
      <c r="AZ127" s="67"/>
      <c r="BB127" s="14" t="e">
        <f>IF(Adm!$GI$4="Fijos",0,VLOOKUP(Adm!$JG$7,freeajuste,MATCH(Adm!$GK$4,Adm!$IA$5:'Adm'!$IG$5,0)))</f>
        <v>#N/A</v>
      </c>
      <c r="BC127" s="14" t="e">
        <f>BB127</f>
        <v>#N/A</v>
      </c>
      <c r="BD127" s="67"/>
      <c r="BF127" s="14" t="e">
        <f>IF(Adm!$GI$4="Fijos",0,VLOOKUP(Adm!$JG$6,freeajuste,MATCH(Adm!$GK$4,Adm!$IA$5:'Adm'!$IG$5,0)))</f>
        <v>#N/A</v>
      </c>
      <c r="BG127" s="14" t="e">
        <f>BF127</f>
        <v>#N/A</v>
      </c>
      <c r="BH127" s="67"/>
      <c r="BJ127" s="14" t="e">
        <f>IF(Adm!$GI$4="Fijos",0,VLOOKUP(Adm!$JG$5,freeajuste,MATCH(Adm!$GK$4,Adm!$IA$5:'Adm'!$IG$5,0)))</f>
        <v>#N/A</v>
      </c>
      <c r="BK127" s="14" t="e">
        <f>BJ127</f>
        <v>#N/A</v>
      </c>
      <c r="BL127" s="67"/>
      <c r="BO127" s="14">
        <f t="shared" si="36"/>
        <v>0</v>
      </c>
      <c r="BP127" s="14">
        <f t="shared" si="34"/>
        <v>0</v>
      </c>
      <c r="BQ127" s="67"/>
    </row>
    <row r="128" spans="1:69" ht="14.4">
      <c r="A128" s="851" t="s">
        <v>378</v>
      </c>
      <c r="B128" s="13"/>
      <c r="C128" s="243" t="e">
        <f>(SUM(C123:E126))/Adm!$J$5</f>
        <v>#N/A</v>
      </c>
      <c r="D128" s="7"/>
      <c r="E128" s="7"/>
      <c r="F128" s="127"/>
      <c r="G128" s="1076">
        <f t="shared" si="31"/>
        <v>0</v>
      </c>
      <c r="H128" s="7"/>
      <c r="I128" s="1063"/>
      <c r="K128" s="243" t="e">
        <f>(SUM(K123:M126))/Adm!$J$7</f>
        <v>#N/A</v>
      </c>
      <c r="L128" s="7"/>
      <c r="M128" s="6"/>
      <c r="O128" s="243" t="e">
        <f>(SUM(O123:Q126))/Adm!$J$9</f>
        <v>#N/A</v>
      </c>
      <c r="P128" s="7"/>
      <c r="Q128" s="6"/>
      <c r="S128" s="243" t="e">
        <f>(SUM(S123:U126))/Adm!$J$11</f>
        <v>#N/A</v>
      </c>
      <c r="T128" s="7"/>
      <c r="U128" s="6"/>
      <c r="W128" s="243" t="e">
        <f>(SUM(W123:Y126))/Adm!$J$13</f>
        <v>#N/A</v>
      </c>
      <c r="X128" s="7"/>
      <c r="Y128" s="6"/>
      <c r="AB128" s="243">
        <f t="shared" si="35"/>
        <v>0</v>
      </c>
      <c r="AC128" s="7"/>
      <c r="AD128" s="6">
        <f t="shared" si="38"/>
        <v>0</v>
      </c>
      <c r="AL128" s="910"/>
      <c r="AM128" s="914"/>
      <c r="AN128" s="851" t="s">
        <v>378</v>
      </c>
      <c r="AO128" s="13"/>
      <c r="AP128" s="243" t="e">
        <f>(SUM(AP123:AR126))/Adm!$GM$5</f>
        <v>#N/A</v>
      </c>
      <c r="AQ128" s="7"/>
      <c r="AR128" s="67"/>
      <c r="AT128" s="243">
        <f t="shared" si="32"/>
        <v>0</v>
      </c>
      <c r="AU128" s="7">
        <f t="shared" si="39"/>
        <v>0</v>
      </c>
      <c r="AV128" s="7"/>
      <c r="AX128" s="243" t="e">
        <f>(SUM(AX123:AZ126))/Adm!$GM$7</f>
        <v>#N/A</v>
      </c>
      <c r="AY128" s="7"/>
      <c r="AZ128" s="67"/>
      <c r="BB128" s="243" t="e">
        <f>(SUM(BB123:BD126))/Adm!$GM$9</f>
        <v>#N/A</v>
      </c>
      <c r="BC128" s="7"/>
      <c r="BD128" s="67"/>
      <c r="BF128" s="243" t="e">
        <f>(SUM(BF123:BH126))/Adm!$GM$11</f>
        <v>#N/A</v>
      </c>
      <c r="BG128" s="7"/>
      <c r="BH128" s="67"/>
      <c r="BJ128" s="243" t="e">
        <f>(SUM(BJ123:BL126))/Adm!$GM$13</f>
        <v>#N/A</v>
      </c>
      <c r="BK128" s="7"/>
      <c r="BL128" s="67"/>
      <c r="BO128" s="243">
        <f t="shared" si="36"/>
        <v>0</v>
      </c>
      <c r="BP128" s="7">
        <f t="shared" si="34"/>
        <v>0</v>
      </c>
      <c r="BQ128" s="67"/>
    </row>
    <row r="129" spans="1:69" ht="14.4">
      <c r="A129" s="851" t="s">
        <v>379</v>
      </c>
      <c r="B129" s="13">
        <v>24</v>
      </c>
      <c r="C129" s="6">
        <f>IF(AND(Adm!$B$4=Adm!$A$116,OR(Adm!$AC$4=Adm!$AC$15,Adm!$AC$4=Adm!$AC$18)),(C119*C116*30.4166/360)*0.16,IF(Adm!$B$4=Adm!$A$120,(C119*C116*30.4166/360)*0.16,0))</f>
        <v>0</v>
      </c>
      <c r="D129" s="451">
        <f>IF($D$105="no",0,IF(OR(Adm!$AB$4=Adm!$AB$17,Adm!$AB$4=Adm!$AB$18),0,(D119*D116*30.4166/360)*0.16))</f>
        <v>0</v>
      </c>
      <c r="E129" s="7"/>
      <c r="G129" s="1074">
        <f t="shared" si="31"/>
        <v>0</v>
      </c>
      <c r="H129" s="451">
        <f>IF($H$105="no",0,IF($H$104="Perfil 4",L129,IF($H$104="perfil 3",P129,IF($H$104="perfil 2",T129,IF($H$104="perfil 1",X129,0)))))</f>
        <v>0</v>
      </c>
      <c r="I129" s="1063"/>
      <c r="K129" s="6">
        <f>IF(AND(Adm!$B$4=Adm!$A$116,OR(Adm!$AC$4=Adm!$AC$15,Adm!$AC$4=Adm!$AC$18)),(K119*K116*30.4166/360)*0.16,IF(Adm!$B$4=Adm!$A$120,(K119*K116*30.4166/360)*0.16,0))</f>
        <v>0</v>
      </c>
      <c r="L129" s="451" t="e">
        <f>IF(OR(Adm!$AB$4=Adm!$AB$17,Adm!$AB$4=Adm!$AB$18),0,(L119*L116*30.4166/360)*0.16)</f>
        <v>#N/A</v>
      </c>
      <c r="M129" s="7"/>
      <c r="O129" s="6">
        <f>IF(AND(Adm!$B$4=Adm!$A$116,OR(Adm!$AC$4=Adm!$AC$15,Adm!$AC$4=Adm!$AC$18)),(O119*O116*30.4166/360)*0.16,IF(Adm!$B$4=Adm!$A$120,(O119*O116*30.4166/360)*0.16,0))</f>
        <v>0</v>
      </c>
      <c r="P129" s="451" t="e">
        <f>IF(OR(Adm!$AB$4=Adm!$AB$17,Adm!$AB$4=Adm!$AB$18),0,(P119*P116*30.4166/360)*0.16)</f>
        <v>#N/A</v>
      </c>
      <c r="Q129" s="7"/>
      <c r="S129" s="6">
        <f>IF(AND(Adm!$B$4=Adm!$A$116,OR(Adm!$AC$4=Adm!$AC$15,Adm!$AC$4=Adm!$AC$18)),(S119*S116*30.4166/360)*0.16,IF(Adm!$B$4=Adm!$A$120,(S119*S116*30.4166/360)*0.16,0))</f>
        <v>0</v>
      </c>
      <c r="T129" s="451" t="e">
        <f>IF(OR(Adm!$AB$4=Adm!$AB$17,Adm!$AB$4=Adm!$AB$18),0,(T119*T116*30.4166/360)*0.16)</f>
        <v>#N/A</v>
      </c>
      <c r="U129" s="7"/>
      <c r="W129" s="6">
        <f>IF(AND(Adm!$B$4=Adm!$A$116,OR(Adm!$AC$4=Adm!$AC$15,Adm!$AC$4=Adm!$AC$18)),(W119*W116*30.4166/360)*0.16,IF(Adm!$B$4=Adm!$A$120,(W119*W116*30.4166/360)*0.16,0))</f>
        <v>0</v>
      </c>
      <c r="X129" s="451" t="e">
        <f>IF(OR(Adm!$AB$4=Adm!$AB$17,Adm!$AB$4=Adm!$AB$18),0,(X119*X116*30.4166/360)*0.16)</f>
        <v>#N/A</v>
      </c>
      <c r="Y129" s="7"/>
      <c r="AB129" s="6">
        <f t="shared" si="35"/>
        <v>0</v>
      </c>
      <c r="AC129" s="451">
        <f t="shared" si="37"/>
        <v>0</v>
      </c>
      <c r="AD129" s="7"/>
      <c r="AL129" s="910"/>
      <c r="AM129" s="914"/>
      <c r="AN129" s="851" t="s">
        <v>379</v>
      </c>
      <c r="AO129" s="13">
        <v>24</v>
      </c>
      <c r="AP129" s="6" t="e">
        <f>IF(Adm!$B$4=Adm!$A$116,OR(Adm!$AC$4=Adm!$AC$15,Adm!$AC$4=Adm!$AC$18))*(AP119*AP116*30.4166/360)*0.16</f>
        <v>#N/A</v>
      </c>
      <c r="AQ129" s="451" t="e">
        <f>IF(OR(Adm!$AB$4=Adm!$AB$17,Adm!$AB$4=Adm!$AB$18),0,(AQ119*AQ116*30.4166/360)*0.16)</f>
        <v>#N/A</v>
      </c>
      <c r="AR129" s="67"/>
      <c r="AT129" s="6">
        <f t="shared" si="32"/>
        <v>0</v>
      </c>
      <c r="AU129" s="451">
        <f t="shared" si="39"/>
        <v>0</v>
      </c>
      <c r="AV129" s="7"/>
      <c r="AX129" s="6" t="e">
        <f>IF(Adm!$B$4=Adm!$A$116,OR(Adm!$AC$4=Adm!$AC$15,Adm!$AC$4=Adm!$AC$18))*(AX119*AX116*30.4166/360)*0.16</f>
        <v>#N/A</v>
      </c>
      <c r="AY129" s="451" t="e">
        <f>IF(OR(Adm!$AB$4=Adm!$AB$17,Adm!$AB$4=Adm!$AB$18),0,(AY119*AY116*30.4166/360)*0.16)</f>
        <v>#N/A</v>
      </c>
      <c r="AZ129" s="67"/>
      <c r="BB129" s="6" t="e">
        <f>IF(Adm!$B$4=Adm!$A$116,OR(Adm!$AC$4=Adm!$AC$15,Adm!$AC$4=Adm!$AC$18))*(BB119*BB116*30.4166/360)*0.16</f>
        <v>#N/A</v>
      </c>
      <c r="BC129" s="451" t="e">
        <f>IF(OR(Adm!$AB$4=Adm!$AB$17,Adm!$AB$4=Adm!$AB$18),0,(BC119*BC116*30.4166/360)*0.16)</f>
        <v>#N/A</v>
      </c>
      <c r="BD129" s="67"/>
      <c r="BF129" s="6" t="e">
        <f>IF(Adm!$B$4=Adm!$A$116,OR(Adm!$AC$4=Adm!$AC$15,Adm!$AC$4=Adm!$AC$18))*(BF119*BF116*30.4166/360)*0.16</f>
        <v>#N/A</v>
      </c>
      <c r="BG129" s="451" t="e">
        <f>IF(OR(Adm!$AB$4=Adm!$AB$17,Adm!$AB$4=Adm!$AB$18),0,(BG119*BG116*30.4166/360)*0.16)</f>
        <v>#N/A</v>
      </c>
      <c r="BH129" s="67"/>
      <c r="BJ129" s="6" t="e">
        <f>IF(Adm!$B$4=Adm!$A$116,OR(Adm!$AC$4=Adm!$AC$15,Adm!$AC$4=Adm!$AC$18))*(BJ119*BJ116*30.4166/360)*0.16</f>
        <v>#N/A</v>
      </c>
      <c r="BK129" s="451" t="e">
        <f>IF(OR(Adm!$AB$4=Adm!$AB$17,Adm!$AB$4=Adm!$AB$18),0,(BK119*BK116*30.4166/360)*0.16)</f>
        <v>#N/A</v>
      </c>
      <c r="BL129" s="67"/>
      <c r="BO129" s="6">
        <f t="shared" si="36"/>
        <v>0</v>
      </c>
      <c r="BP129" s="451">
        <f t="shared" si="34"/>
        <v>0</v>
      </c>
      <c r="BQ129" s="67"/>
    </row>
    <row r="130" spans="1:69" ht="14.4">
      <c r="A130" s="851" t="s">
        <v>380</v>
      </c>
      <c r="B130" s="13">
        <v>25</v>
      </c>
      <c r="C130" s="243">
        <f>IF(Adm!$B$4=Adm!$A$114,$B$21,0)</f>
        <v>0</v>
      </c>
      <c r="D130" s="7"/>
      <c r="E130" s="7"/>
      <c r="G130" s="1077">
        <f t="shared" si="31"/>
        <v>0</v>
      </c>
      <c r="H130" s="7"/>
      <c r="I130" s="1063"/>
      <c r="K130" s="243">
        <f>IF(Adm!$B$4=Adm!$A$114,$B$21,0)</f>
        <v>0</v>
      </c>
      <c r="L130" s="67"/>
      <c r="M130" s="7"/>
      <c r="O130" s="243">
        <f>IF(Adm!$B$4=Adm!$A$114,$B$21,0)</f>
        <v>0</v>
      </c>
      <c r="P130" s="67"/>
      <c r="Q130" s="7"/>
      <c r="S130" s="243">
        <f>IF(Adm!$B$4=Adm!$A$114,$B$21,0)</f>
        <v>0</v>
      </c>
      <c r="T130" s="67"/>
      <c r="U130" s="7"/>
      <c r="W130" s="243">
        <f>IF(Adm!$B$4=Adm!$A$114,$B$21,0)</f>
        <v>0</v>
      </c>
      <c r="X130" s="67"/>
      <c r="Y130" s="7"/>
      <c r="AB130" s="243">
        <f t="shared" si="35"/>
        <v>0</v>
      </c>
      <c r="AC130" s="67"/>
      <c r="AD130" s="7"/>
      <c r="AL130" s="910"/>
      <c r="AM130" s="914"/>
      <c r="AN130" s="851" t="s">
        <v>380</v>
      </c>
      <c r="AO130" s="13">
        <v>25</v>
      </c>
      <c r="AP130" s="1928">
        <f>IF(Adm!$GG$4=Adm!$GF$114,$AO$21,0)</f>
        <v>0</v>
      </c>
      <c r="AQ130" s="7"/>
      <c r="AR130" s="67"/>
      <c r="AT130" s="8">
        <f t="shared" si="32"/>
        <v>0</v>
      </c>
      <c r="AU130" s="7">
        <f t="shared" si="39"/>
        <v>0</v>
      </c>
      <c r="AV130" s="7"/>
      <c r="AX130" s="1928">
        <f>IF(Adm!$GG$4=Adm!$GF$114,$AO$21,0)</f>
        <v>0</v>
      </c>
      <c r="AY130" s="7"/>
      <c r="AZ130" s="67"/>
      <c r="BB130" s="1928">
        <f>IF(Adm!$GG$4=Adm!$GF$114,$AO$21,0)</f>
        <v>0</v>
      </c>
      <c r="BC130" s="7"/>
      <c r="BD130" s="67"/>
      <c r="BF130" s="1928">
        <f>IF(Adm!$GG$4=Adm!$GF$114,$AO$21,0)</f>
        <v>0</v>
      </c>
      <c r="BG130" s="7"/>
      <c r="BH130" s="67"/>
      <c r="BJ130" s="1928">
        <f>IF(Adm!$GG$4=Adm!$GF$114,$AO$21,0)</f>
        <v>0</v>
      </c>
      <c r="BK130" s="7"/>
      <c r="BL130" s="67"/>
      <c r="BO130" s="1929">
        <f t="shared" si="36"/>
        <v>0</v>
      </c>
      <c r="BP130" s="7">
        <f t="shared" si="34"/>
        <v>0</v>
      </c>
      <c r="BQ130" s="67"/>
    </row>
    <row r="131" spans="1:69" ht="15" thickBot="1">
      <c r="A131" s="851" t="s">
        <v>381</v>
      </c>
      <c r="B131" s="13">
        <v>26</v>
      </c>
      <c r="C131" s="243">
        <f>IF(Adm!$B$4=Adm!$A$114,$B$22,0)</f>
        <v>0</v>
      </c>
      <c r="D131" s="7"/>
      <c r="E131" s="7"/>
      <c r="G131" s="1078">
        <f t="shared" si="31"/>
        <v>0</v>
      </c>
      <c r="H131" s="1079"/>
      <c r="I131" s="1080"/>
      <c r="K131" s="243">
        <f>IF(Adm!$B$4=Adm!$A$114,$B$22,0)</f>
        <v>0</v>
      </c>
      <c r="L131" s="67"/>
      <c r="M131" s="7"/>
      <c r="O131" s="243">
        <f>IF(Adm!$B$4=Adm!$A$114,$B$22,0)</f>
        <v>0</v>
      </c>
      <c r="P131" s="67"/>
      <c r="Q131" s="7"/>
      <c r="S131" s="243">
        <f>IF(Adm!$B$4=Adm!$A$114,$B$22,0)</f>
        <v>0</v>
      </c>
      <c r="T131" s="67"/>
      <c r="U131" s="7"/>
      <c r="W131" s="243">
        <f>IF(Adm!$B$4=Adm!$A$114,$B$22,0)</f>
        <v>0</v>
      </c>
      <c r="X131" s="67"/>
      <c r="Y131" s="7"/>
      <c r="AB131" s="243">
        <f t="shared" si="35"/>
        <v>0</v>
      </c>
      <c r="AC131" s="67"/>
      <c r="AD131" s="7"/>
      <c r="AL131" s="910"/>
      <c r="AM131" s="914"/>
      <c r="AN131" s="851" t="s">
        <v>381</v>
      </c>
      <c r="AO131" s="13">
        <v>26</v>
      </c>
      <c r="AP131" s="1928">
        <f>IF(Adm!$GG$4=Adm!$GF$114,$AO$22,0)</f>
        <v>0</v>
      </c>
      <c r="AQ131" s="7"/>
      <c r="AR131" s="67"/>
      <c r="AT131" s="8">
        <f t="shared" si="32"/>
        <v>0</v>
      </c>
      <c r="AU131" s="7">
        <f t="shared" si="39"/>
        <v>0</v>
      </c>
      <c r="AV131" s="7"/>
      <c r="AX131" s="1928">
        <f>IF(Adm!$GG$4=Adm!$GF$114,$AO$22,0)</f>
        <v>0</v>
      </c>
      <c r="AY131" s="7"/>
      <c r="AZ131" s="67"/>
      <c r="BB131" s="1928">
        <f>IF(Adm!$GG$4=Adm!$GF$114,$AO$22,0)</f>
        <v>0</v>
      </c>
      <c r="BC131" s="7"/>
      <c r="BD131" s="67"/>
      <c r="BF131" s="1928">
        <f>IF(Adm!$GG$4=Adm!$GF$114,$AO$22,0)</f>
        <v>0</v>
      </c>
      <c r="BG131" s="7"/>
      <c r="BH131" s="67"/>
      <c r="BJ131" s="1928">
        <f>IF(Adm!$GG$4=Adm!$GF$114,$AO$22,0)</f>
        <v>0</v>
      </c>
      <c r="BK131" s="7"/>
      <c r="BL131" s="67"/>
      <c r="BO131" s="1929">
        <f t="shared" si="36"/>
        <v>0</v>
      </c>
      <c r="BP131" s="7">
        <f t="shared" si="34"/>
        <v>0</v>
      </c>
      <c r="BQ131" s="67"/>
    </row>
    <row r="132" spans="1:69" ht="18.600000000000001" thickBot="1">
      <c r="C132" s="2225" t="s">
        <v>382</v>
      </c>
      <c r="D132" s="2226"/>
      <c r="E132" s="2227"/>
      <c r="G132" s="2225" t="s">
        <v>383</v>
      </c>
      <c r="H132" s="2226"/>
      <c r="I132" s="2227"/>
      <c r="AB132" s="2228" t="s">
        <v>384</v>
      </c>
      <c r="AC132" s="2229"/>
      <c r="AD132" s="2230"/>
      <c r="AL132" s="910"/>
      <c r="AM132" s="914"/>
      <c r="AP132" s="2225" t="s">
        <v>382</v>
      </c>
      <c r="AQ132" s="2226"/>
      <c r="AR132" s="2227"/>
      <c r="AT132" s="2225" t="s">
        <v>383</v>
      </c>
      <c r="AU132" s="2226"/>
      <c r="AV132" s="2227"/>
      <c r="AX132" s="86"/>
      <c r="BB132" s="86"/>
      <c r="BF132" s="86"/>
      <c r="BJ132" s="86"/>
      <c r="BO132" s="2228" t="s">
        <v>384</v>
      </c>
      <c r="BP132" s="2229"/>
      <c r="BQ132" s="2230"/>
    </row>
  </sheetData>
  <mergeCells count="10">
    <mergeCell ref="BD105:BE105"/>
    <mergeCell ref="AB103:AD103"/>
    <mergeCell ref="BO103:BQ103"/>
    <mergeCell ref="A83:B83"/>
    <mergeCell ref="G132:I132"/>
    <mergeCell ref="C132:E132"/>
    <mergeCell ref="AB132:AD132"/>
    <mergeCell ref="AP132:AR132"/>
    <mergeCell ref="AT132:AV132"/>
    <mergeCell ref="BO132:BQ132"/>
  </mergeCells>
  <pageMargins left="0.7" right="0.7" top="0.75" bottom="0.75" header="0.3" footer="0.3"/>
  <pageSetup orientation="portrait" horizontalDpi="4294967294" verticalDpi="4294967294"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1">
    <tabColor rgb="FFFFFF00"/>
  </sheetPr>
  <dimension ref="C22:L22"/>
  <sheetViews>
    <sheetView showGridLines="0" showRowColHeaders="0" tabSelected="1" zoomScale="115" zoomScaleNormal="115" workbookViewId="0">
      <selection activeCell="H17" sqref="H17"/>
    </sheetView>
  </sheetViews>
  <sheetFormatPr baseColWidth="10" defaultColWidth="11.44140625" defaultRowHeight="13.8"/>
  <cols>
    <col min="1" max="1" width="2.5546875" style="1098" customWidth="1"/>
    <col min="2" max="2" width="9.5546875" style="1098" customWidth="1"/>
    <col min="3" max="3" width="11.44140625" style="1098" customWidth="1"/>
    <col min="4" max="12" width="11.44140625" style="1098"/>
    <col min="13" max="13" width="1.21875" style="1098" customWidth="1"/>
    <col min="14" max="16384" width="11.44140625" style="1098"/>
  </cols>
  <sheetData>
    <row r="22" spans="3:12">
      <c r="C22" s="1099" t="s">
        <v>385</v>
      </c>
      <c r="L22" s="1100" t="s">
        <v>386</v>
      </c>
    </row>
  </sheetData>
  <sheetProtection algorithmName="SHA-512" hashValue="VHZLCpecvRI96rpfMByzUqaj6xfUObH4dtUyYJxASJxDSgHnCQ7nhZ0ASmjSq9u+5Coream36DpQv2kXIgDVRA==" saltValue="ktzTng3qsl8+ewyFP+DQKQ==" spinCount="100000" sheet="1" objects="1" scenarios="1"/>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
    <tabColor rgb="FF00B050"/>
  </sheetPr>
  <dimension ref="A1:EF404"/>
  <sheetViews>
    <sheetView showGridLines="0" showRowColHeaders="0" showZeros="0" topLeftCell="C1" zoomScale="80" zoomScaleNormal="80" workbookViewId="0">
      <selection activeCell="F6" sqref="F6:I6"/>
    </sheetView>
  </sheetViews>
  <sheetFormatPr baseColWidth="10" defaultColWidth="11.44140625" defaultRowHeight="13.2"/>
  <cols>
    <col min="1" max="1" width="8.44140625" style="1101" hidden="1" customWidth="1"/>
    <col min="2" max="2" width="13.77734375" style="1102" hidden="1" customWidth="1"/>
    <col min="3" max="3" width="9.77734375" style="1102" customWidth="1"/>
    <col min="4" max="4" width="19.77734375" style="1102" customWidth="1"/>
    <col min="5" max="5" width="22.21875" style="1102" customWidth="1"/>
    <col min="6" max="6" width="18.21875" style="1102" customWidth="1"/>
    <col min="7" max="7" width="28.5546875" style="1102" customWidth="1"/>
    <col min="8" max="8" width="22.21875" style="1102" customWidth="1"/>
    <col min="9" max="9" width="24.21875" style="1102" customWidth="1"/>
    <col min="10" max="10" width="21.44140625" style="1102" customWidth="1"/>
    <col min="11" max="11" width="17.44140625" style="1102" customWidth="1"/>
    <col min="12" max="12" width="22" style="1102" customWidth="1"/>
    <col min="13" max="13" width="19.5546875" style="1102" customWidth="1"/>
    <col min="14" max="14" width="21.5546875" style="1102" customWidth="1"/>
    <col min="15" max="15" width="20.5546875" style="1102" customWidth="1"/>
    <col min="16" max="16" width="15.77734375" style="1102" hidden="1" customWidth="1"/>
    <col min="17" max="20" width="14.21875" style="1102" hidden="1" customWidth="1"/>
    <col min="21" max="21" width="11.44140625" style="1102" hidden="1" customWidth="1"/>
    <col min="22" max="22" width="12.21875" style="1102" hidden="1" customWidth="1"/>
    <col min="23" max="23" width="53.77734375" style="1102" hidden="1" customWidth="1"/>
    <col min="24" max="24" width="19.77734375" style="1102" hidden="1" customWidth="1"/>
    <col min="25" max="26" width="13.77734375" style="1102" hidden="1" customWidth="1"/>
    <col min="27" max="27" width="11.44140625" style="1102" hidden="1" customWidth="1"/>
    <col min="28" max="28" width="24.21875" style="1102" hidden="1" customWidth="1"/>
    <col min="29" max="29" width="11.44140625" style="1102" hidden="1" customWidth="1"/>
    <col min="30" max="30" width="17.77734375" style="1102" hidden="1" customWidth="1"/>
    <col min="31" max="31" width="18.44140625" style="1102" hidden="1" customWidth="1"/>
    <col min="32" max="32" width="19.21875" style="1102" hidden="1" customWidth="1"/>
    <col min="33" max="33" width="22" style="1102" hidden="1" customWidth="1"/>
    <col min="34" max="34" width="11.44140625" style="1102" hidden="1" customWidth="1"/>
    <col min="35" max="35" width="14.21875" style="1107" hidden="1" customWidth="1"/>
    <col min="36" max="36" width="14.77734375" style="1107" hidden="1" customWidth="1"/>
    <col min="37" max="37" width="18.44140625" style="1107" hidden="1" customWidth="1"/>
    <col min="38" max="39" width="14.21875" style="1107" hidden="1" customWidth="1"/>
    <col min="40" max="40" width="18.21875" style="1107" hidden="1" customWidth="1"/>
    <col min="41" max="42" width="14.21875" style="1107" hidden="1" customWidth="1"/>
    <col min="43" max="43" width="17.5546875" style="1107" hidden="1" customWidth="1"/>
    <col min="44" max="46" width="14.21875" style="1107" hidden="1" customWidth="1"/>
    <col min="47" max="47" width="17.5546875" style="1107" hidden="1" customWidth="1"/>
    <col min="48" max="64" width="14.21875" style="1107" hidden="1" customWidth="1"/>
    <col min="65" max="75" width="11.44140625" style="1108" hidden="1" customWidth="1"/>
    <col min="76" max="109" width="14.21875" style="1107" hidden="1" customWidth="1"/>
    <col min="110" max="136" width="11.44140625" style="1102" hidden="1" customWidth="1"/>
    <col min="137" max="163" width="11.44140625" style="1102" customWidth="1"/>
    <col min="164" max="16384" width="11.44140625" style="1102"/>
  </cols>
  <sheetData>
    <row r="1" spans="3:24" ht="33.75" customHeight="1" thickBot="1">
      <c r="E1" s="1103" t="s">
        <v>387</v>
      </c>
      <c r="F1" s="1104"/>
      <c r="G1" s="1104"/>
      <c r="H1" s="1104"/>
      <c r="I1" s="1104"/>
      <c r="J1" s="1104"/>
      <c r="K1" s="1104"/>
      <c r="L1" s="1104"/>
      <c r="M1" s="1104"/>
      <c r="N1" s="2241">
        <f ca="1">TODAY()</f>
        <v>46098</v>
      </c>
      <c r="O1" s="2241"/>
      <c r="S1" s="1102" t="str">
        <f>""</f>
        <v/>
      </c>
      <c r="W1" s="1105" t="e">
        <f>IF(AND(Adm!I4="No asalariado",OR(Adm!C6="Si",Adm!C16="SI")),"No aplican programas del INFONAVIT para no asalariados",IF(AND(Adm!B4&gt;"",F21=0),"Captura plazo",IF(AND(Adm!B4&gt;"",Adm!H9="FALSO"),"Corrige Plazo",IF(AND(F15&gt;"",F33=0),"Captura valor de vivvienda",IF(AND(F15&gt;"",F29=0),"Captura intervinientes",IF(AND(F21&gt;0,F31=""),"Indica esquema de pago",IF(AND(F21&gt;0,F31="Crecientes",Adm!D7=""),"Corrige esquema de pago",IF(AND(F15&gt;"",F35=0),"Captura monto de crédito",IF(AND(Adm!B4=Adm!A119,F33&gt;Adm!AA7),"El valor máximo del terreno es $20,000,000",IF(AND(Adm!B4=Adm!A118,F33&lt;Adm!AA5),"El valor mínimo del Terreno es de $250,000",IF(AND(Adm!B4=Adm!A118,F35&lt;Adm!Z5),"El valor mínimo del proyecto es de $700,000",IF(AND(Adm!B4=Adm!A118,N31=""),"Indica el esquema para Construcción",IF(AND(Adm!B4=Adm!A118,N33=""),"Indica el tamaño de la Construcción",IF(AND(F15&gt;"",Adm!B4=Adm!A119,F33&lt;Adm!AA3),"El valor mínimo del terreno son $250,000",IF(AND(F15&gt;"",F33&lt;Adm!AA3),"El valor mínimo de la vivienda son $250,000",IF(AND(F15&gt;"",Adm!B4=Adm!A117,F35&lt;Adm!Z9),"El monto mínimo de crédito son $200,000",IF(AND(F15&gt;"",F35&lt;Adm!Z3),"El monto mínimo de crédito son $100,000",IF(AND(Adm!B4=Adm!A118,F31="crecientes"),"Sólo pagos fijos. Corrige esquema",IF(AND(Adm!B4=Adm!A119,F21&gt;180),"El  plazo máximo es 180 meses",IF(AND(Adm!B4=Adm!A118,Adm!E4=Adm!E6,(F33/(Captura!F33+Captura!F35))&lt;25%),"El valor del Terreno debe ser mayor al 25% del valor del inmueble",IF(AND(OR(Adm!B4=Adm!A116,Adm!B4=Adm!A117),N19=""),"Indica origen del crédito",IF(AND(Adm!B4=Adm!A117,Adm!AB4=""),"Selecciona programa para la liquidez",IF(AND(Adm!B4=Adm!A116,K21&lt;&gt;"",N21=""),"Indica Programa para Liquidez adicional",IF(AND(Adm!C22="SI",F37=0),"Captura el crédito del Instituto",""))))))))))))))))))))))))</f>
        <v>#N/A</v>
      </c>
      <c r="X1" s="1106" t="e">
        <f>IF(Adm!AQ5="FALSO","Corrige oferta",IF(Adm!H9="VERDADERO","",IF(Adm!H9="FALSO","Corrige plazo")))</f>
        <v>#N/A</v>
      </c>
    </row>
    <row r="2" spans="3:24" ht="18" customHeight="1" thickBot="1">
      <c r="F2" s="1104"/>
      <c r="G2" s="1104"/>
      <c r="H2" s="1104"/>
      <c r="I2" s="1104"/>
      <c r="J2" s="1104"/>
      <c r="K2" s="1104"/>
      <c r="L2" s="1104"/>
      <c r="M2" s="1104"/>
      <c r="N2" s="1109" t="s">
        <v>388</v>
      </c>
      <c r="O2" s="1110" t="str">
        <f ca="1">TEXT(N1,N2)</f>
        <v>17 mar 2026</v>
      </c>
      <c r="W2" s="1111" t="e">
        <f>IF(X1&lt;&gt;"",X1,W1)</f>
        <v>#N/A</v>
      </c>
    </row>
    <row r="3" spans="3:24" ht="8.25" customHeight="1"/>
    <row r="4" spans="3:24" ht="15.6">
      <c r="C4" s="1403" t="s">
        <v>389</v>
      </c>
      <c r="D4" s="1112"/>
      <c r="E4" s="1113"/>
      <c r="F4" s="1114"/>
      <c r="G4" s="1114"/>
      <c r="H4" s="1114"/>
      <c r="I4" s="1114"/>
      <c r="J4" s="1114"/>
      <c r="K4" s="1115"/>
      <c r="L4" s="1115"/>
      <c r="M4" s="1115"/>
      <c r="N4" s="1115"/>
      <c r="O4" s="1115"/>
    </row>
    <row r="5" spans="3:24" ht="5.0999999999999996" customHeight="1">
      <c r="C5" s="1117"/>
      <c r="D5" s="1117"/>
      <c r="E5" s="1107"/>
      <c r="F5" s="1107"/>
      <c r="G5" s="1107"/>
      <c r="H5" s="1107"/>
      <c r="I5" s="1107"/>
      <c r="J5" s="1107"/>
      <c r="K5" s="1118"/>
      <c r="L5" s="1118"/>
      <c r="M5" s="1118"/>
      <c r="N5" s="1118"/>
    </row>
    <row r="6" spans="3:24">
      <c r="C6" s="1119" t="s">
        <v>390</v>
      </c>
      <c r="D6" s="1119"/>
      <c r="F6" s="2242"/>
      <c r="G6" s="2243"/>
      <c r="H6" s="2243"/>
      <c r="I6" s="2244"/>
      <c r="J6" s="1120"/>
      <c r="K6" s="1120"/>
      <c r="L6" s="1120"/>
      <c r="M6" s="1120"/>
      <c r="N6" s="1120"/>
    </row>
    <row r="7" spans="3:24" ht="5.0999999999999996" customHeight="1">
      <c r="C7" s="1107"/>
      <c r="D7" s="1107"/>
      <c r="F7" s="1107"/>
      <c r="G7" s="1107"/>
      <c r="H7" s="1107"/>
      <c r="I7" s="1107"/>
      <c r="J7" s="1107"/>
      <c r="K7" s="1118"/>
      <c r="L7" s="1118"/>
      <c r="M7" s="1118"/>
      <c r="N7" s="1118"/>
    </row>
    <row r="8" spans="3:24">
      <c r="C8" s="1119" t="s">
        <v>391</v>
      </c>
      <c r="D8" s="1119"/>
      <c r="F8" s="2242"/>
      <c r="G8" s="2243"/>
      <c r="H8" s="2243"/>
      <c r="I8" s="2244"/>
      <c r="K8" s="1121" t="s">
        <v>392</v>
      </c>
      <c r="N8" s="2245"/>
      <c r="O8" s="2246"/>
      <c r="S8" s="1122" t="s">
        <v>393</v>
      </c>
      <c r="T8" s="1123" t="s">
        <v>62</v>
      </c>
    </row>
    <row r="9" spans="3:24" ht="4.5" customHeight="1">
      <c r="C9" s="1117"/>
      <c r="D9" s="1117"/>
      <c r="E9" s="1107"/>
      <c r="F9" s="1124"/>
      <c r="G9" s="1124"/>
      <c r="H9" s="1124"/>
      <c r="I9" s="1124"/>
      <c r="J9" s="1124"/>
      <c r="K9" s="1124"/>
      <c r="L9" s="1124"/>
      <c r="M9" s="1124"/>
      <c r="N9" s="1118"/>
      <c r="S9" s="1122" t="s">
        <v>394</v>
      </c>
      <c r="T9" s="1125" t="s">
        <v>63</v>
      </c>
      <c r="U9" s="1126"/>
    </row>
    <row r="10" spans="3:24" ht="3" customHeight="1" thickBot="1">
      <c r="C10" s="1117"/>
      <c r="D10" s="1117"/>
      <c r="E10" s="1107"/>
      <c r="F10" s="1124"/>
      <c r="G10" s="1124"/>
      <c r="H10" s="1124"/>
      <c r="I10" s="1124"/>
      <c r="J10" s="1124"/>
      <c r="K10" s="1124"/>
      <c r="L10" s="1124"/>
      <c r="M10" s="1124"/>
      <c r="S10" s="1122" t="s">
        <v>395</v>
      </c>
      <c r="T10" s="1127" t="s">
        <v>202</v>
      </c>
    </row>
    <row r="11" spans="3:24" ht="16.2" thickBot="1">
      <c r="C11" s="1404" t="s">
        <v>396</v>
      </c>
      <c r="D11" s="1128"/>
      <c r="E11" s="1129"/>
      <c r="F11" s="1130"/>
      <c r="G11" s="1130"/>
      <c r="H11" s="1130"/>
      <c r="I11" s="1130"/>
      <c r="J11" s="1129"/>
      <c r="K11" s="1131"/>
      <c r="L11" s="1131"/>
      <c r="M11" s="1131"/>
      <c r="N11" s="1131"/>
      <c r="O11" s="1131"/>
      <c r="S11" s="1122" t="s">
        <v>397</v>
      </c>
      <c r="T11" s="1123" t="s">
        <v>64</v>
      </c>
    </row>
    <row r="12" spans="3:24" ht="6" customHeight="1">
      <c r="C12" s="1119"/>
      <c r="D12" s="1119"/>
      <c r="L12" s="1132"/>
      <c r="M12" s="1133" t="s">
        <v>398</v>
      </c>
      <c r="N12" s="1132"/>
      <c r="O12" s="1132"/>
      <c r="S12" s="1122" t="s">
        <v>399</v>
      </c>
      <c r="T12" s="1127" t="s">
        <v>65</v>
      </c>
      <c r="U12" s="1134"/>
    </row>
    <row r="13" spans="3:24">
      <c r="C13" s="1119" t="s">
        <v>400</v>
      </c>
      <c r="D13" s="1119"/>
      <c r="F13" s="2235" t="s">
        <v>187</v>
      </c>
      <c r="G13" s="2235"/>
      <c r="K13" s="1135" t="str">
        <f>IF(Adm!$B$4="Cofinavit","Monto de Crédito que otorga el INFONAVIT","")</f>
        <v/>
      </c>
      <c r="L13" s="1135"/>
      <c r="M13" s="1135"/>
      <c r="N13" s="2247"/>
      <c r="O13" s="2247"/>
      <c r="S13" s="1122" t="s">
        <v>401</v>
      </c>
      <c r="T13" s="1136" t="s">
        <v>67</v>
      </c>
    </row>
    <row r="14" spans="3:24" ht="6" customHeight="1">
      <c r="C14" s="1119"/>
      <c r="D14" s="1119"/>
      <c r="K14" s="1137"/>
      <c r="L14" s="1135"/>
      <c r="M14" s="1135"/>
      <c r="N14" s="1135"/>
      <c r="O14" s="1135"/>
      <c r="S14" s="1122" t="s">
        <v>402</v>
      </c>
      <c r="T14" s="1138" t="s">
        <v>68</v>
      </c>
    </row>
    <row r="15" spans="3:24">
      <c r="C15" s="1119" t="s">
        <v>2</v>
      </c>
      <c r="D15" s="1119"/>
      <c r="F15" s="2235"/>
      <c r="G15" s="2235"/>
      <c r="K15" s="1135" t="str">
        <f>IF(Adm!$B$4="Cofinavit","Saldo de la Subcuenta de Vivienda","")</f>
        <v/>
      </c>
      <c r="N15" s="2240"/>
      <c r="O15" s="2240"/>
      <c r="S15" s="1139" t="s">
        <v>403</v>
      </c>
      <c r="T15" s="1140" t="s">
        <v>69</v>
      </c>
    </row>
    <row r="16" spans="3:24" ht="9" customHeight="1">
      <c r="I16" s="1141"/>
    </row>
    <row r="17" spans="3:19">
      <c r="E17" s="1142" t="s">
        <v>404</v>
      </c>
      <c r="F17" s="2236" t="s">
        <v>233</v>
      </c>
      <c r="G17" s="2237"/>
      <c r="H17" s="1117"/>
      <c r="I17" s="1141"/>
      <c r="L17" s="1143" t="str">
        <f>IF(Adm!$B$4="Cofinavit","* Para créditos conyugales deberás capturar la suma de los dos créditos","")</f>
        <v/>
      </c>
    </row>
    <row r="18" spans="3:19" ht="5.0999999999999996" customHeight="1">
      <c r="H18" s="1144"/>
      <c r="I18" s="1141"/>
      <c r="K18" s="1137"/>
      <c r="L18" s="1135"/>
      <c r="M18" s="1135"/>
      <c r="N18" s="1135"/>
      <c r="O18" s="1135"/>
    </row>
    <row r="19" spans="3:19">
      <c r="C19" s="1143" t="str">
        <f>IF(Adm!$AS$3="SI","¿Con referencias crediticias en México?","")</f>
        <v/>
      </c>
      <c r="E19" s="1142"/>
      <c r="F19" s="2234"/>
      <c r="G19" s="2234"/>
      <c r="H19" s="1144"/>
      <c r="I19" s="1141"/>
      <c r="J19" s="1142" t="str">
        <f>IF(Adm!B4=Adm!A116,"SUSTITUCION",IF(Adm!B4=Adm!A117,"Mejora de Condiciones",""))</f>
        <v/>
      </c>
      <c r="K19" s="1135" t="str">
        <f>IF(OR(Adm!B4=Adm!A116,Adm!B4=Adm!A117),"Origen del crédito","")</f>
        <v/>
      </c>
      <c r="L19" s="1119"/>
      <c r="M19" s="1119"/>
      <c r="N19" s="2238"/>
      <c r="O19" s="2238"/>
    </row>
    <row r="20" spans="3:19" ht="5.0999999999999996" customHeight="1">
      <c r="C20" s="1143"/>
      <c r="H20" s="1144"/>
      <c r="I20" s="1141"/>
      <c r="K20" s="1145"/>
      <c r="L20" s="1145"/>
      <c r="M20" s="1145"/>
      <c r="N20" s="1145"/>
      <c r="O20" s="1145"/>
    </row>
    <row r="21" spans="3:19">
      <c r="C21" s="1135" t="str">
        <f>IF(Adm!B4=Adm!A119,"Plazos únicos 84,120 y 180 meses",IF(Adm!B4=Adm!A120,"Plazos únicos 60,120 y 180 meses",IF(Adm!$AQ$3=Adm!$AQ$12,"Plazo en meses (mínimo 84 y máximo 300","Plazo en meses (mínimo 84 y máximo 240)")))</f>
        <v>Plazo en meses (mínimo 84 y máximo 240)</v>
      </c>
      <c r="D21" s="1135"/>
      <c r="F21" s="2233"/>
      <c r="G21" s="2233"/>
      <c r="K21" s="1135" t="str">
        <f>IF(OR(Adm!B4=Adm!A116,Adm!B4=Adm!A117),"Indique Programa para crédito adicional","")</f>
        <v/>
      </c>
      <c r="N21" s="2239"/>
      <c r="O21" s="2239"/>
      <c r="S21" s="1102" t="str">
        <f>IF(AND(Adm!B4&gt;"",F21=0),"Captura plazo","")</f>
        <v/>
      </c>
    </row>
    <row r="22" spans="3:19" ht="5.0999999999999996" customHeight="1">
      <c r="J22" s="1145"/>
    </row>
    <row r="23" spans="3:19" ht="15" customHeight="1">
      <c r="C23" s="1146" t="s">
        <v>405</v>
      </c>
      <c r="D23" s="1146"/>
      <c r="F23" s="2258" t="s">
        <v>88</v>
      </c>
      <c r="G23" s="2259"/>
      <c r="H23" s="1147"/>
      <c r="I23" s="1141" t="s">
        <v>406</v>
      </c>
      <c r="J23" s="1148" t="str">
        <f>IF(OR(Adm!$AB$4=Adm!$AB$14,Adm!$AB$4=Adm!$AB$15,Adm!$AB$4=Adm!$AB$17),"",IF(AND(Adm!$B$4=Adm!$A$116,Adm!$AB$4=Adm!$AB$18),"¿Deseas menor monto de Remodelación? Captura importe",IF(OR(Adm!$B$4=Adm!$A$116,Adm!$B$4=Adm!$A$117),"¿Deseas menor monto del crédito de liquidez adicional? Captura importe","")))</f>
        <v/>
      </c>
      <c r="N23" s="2249"/>
      <c r="O23" s="2249"/>
    </row>
    <row r="24" spans="3:19" ht="5.0999999999999996" customHeight="1">
      <c r="C24" s="1150"/>
      <c r="D24" s="1150"/>
      <c r="Q24" s="1149"/>
      <c r="R24" s="1149"/>
    </row>
    <row r="25" spans="3:19" ht="15" customHeight="1">
      <c r="C25" s="1146" t="str">
        <f>IF(F15=Adm!A119,"","¿Contratará seguro de Daños con el Banco?")</f>
        <v>¿Contratará seguro de Daños con el Banco?</v>
      </c>
      <c r="D25" s="1146"/>
      <c r="F25" s="2258" t="s">
        <v>88</v>
      </c>
      <c r="G25" s="2259"/>
      <c r="H25" s="1151"/>
      <c r="I25" s="1151"/>
      <c r="M25" s="1121" t="str">
        <f>IF(Adm!B4=Adm!A118,"¿Desea Apoyo INFONAVIT?",IF(AND(Adm!B4=Adm!A116,Adm!AC4=Adm!AC14),"¿Desea Apoyo INFONAVIT?",""))</f>
        <v/>
      </c>
      <c r="N25" s="2238"/>
      <c r="O25" s="2238"/>
      <c r="Q25" s="1120"/>
      <c r="R25" s="1120"/>
    </row>
    <row r="26" spans="3:19" ht="5.0999999999999996" customHeight="1"/>
    <row r="27" spans="3:19" ht="15" customHeight="1">
      <c r="C27" s="1152" t="s">
        <v>407</v>
      </c>
      <c r="D27" s="1152"/>
      <c r="F27" s="2257"/>
      <c r="G27" s="2257"/>
      <c r="I27" s="1151"/>
      <c r="K27" s="2260" t="str">
        <f>IF(OR(Adm!AB4="",Adm!AB4=Adm!AB14),"",IF(AND(OR(Adm!B4=Adm!A116,Adm!B4=Adm!A117),OR(Adm!AB4=Adm!AB17,Adm!AB4=Adm!AB18)),"",IF(OR(Adm!B4=Adm!A116,Adm!B4=Adm!A117),"Si el aforo lo permite, le financiamos los gastos para evitarle desembolsos.","")))</f>
        <v/>
      </c>
      <c r="L27" s="2260"/>
      <c r="M27" s="2260"/>
      <c r="N27" s="2260"/>
      <c r="O27" s="2260"/>
      <c r="R27" s="1153"/>
    </row>
    <row r="28" spans="3:19" ht="5.0999999999999996" customHeight="1">
      <c r="C28" s="1150"/>
      <c r="D28" s="1150"/>
    </row>
    <row r="29" spans="3:19">
      <c r="C29" s="1154" t="s">
        <v>408</v>
      </c>
      <c r="D29" s="1154"/>
      <c r="F29" s="2263">
        <v>1</v>
      </c>
      <c r="G29" s="2264"/>
      <c r="K29" s="2260" t="str">
        <f>IF(AND(OR(Adm!B4=Adm!A116,Adm!B4=Adm!A117),OR(Adm!AB4=Adm!AB15,Adm!AB4=Adm!AB16)),"Al crédito de Liquidez le aplicarán las mismas condiciones que elija para su crédito principal.",IF(AND(OR(Adm!B4=Adm!A116,Adm!B4=Adm!A117),OR(Adm!AB4=Adm!AB17,Adm!AB4=Adm!AB18)),"ESTA OFERTA SOLO APLICA PARA EL ESTADO DE COAHUILA.",""))</f>
        <v/>
      </c>
      <c r="L29" s="2260"/>
      <c r="M29" s="2260"/>
      <c r="N29" s="2260"/>
      <c r="O29" s="2260"/>
    </row>
    <row r="30" spans="3:19" ht="5.0999999999999996" customHeight="1">
      <c r="C30" s="1150"/>
      <c r="D30" s="1150"/>
    </row>
    <row r="31" spans="3:19">
      <c r="C31" s="1135" t="s">
        <v>409</v>
      </c>
      <c r="D31" s="1135"/>
      <c r="F31" s="2233"/>
      <c r="G31" s="2233"/>
      <c r="J31" s="1155" t="str">
        <f>IF(Adm!B4=Adm!A118,"CONSTRUCCION","")</f>
        <v/>
      </c>
      <c r="K31" s="1135" t="str">
        <f>IF(Adm!B4=Adm!A118,"Selecciona Esquema","")</f>
        <v/>
      </c>
      <c r="N31" s="2238"/>
      <c r="O31" s="2238"/>
    </row>
    <row r="32" spans="3:19" ht="5.0999999999999996" customHeight="1">
      <c r="C32" s="1119"/>
      <c r="D32" s="1119"/>
      <c r="F32" s="1156"/>
      <c r="G32" s="1156"/>
    </row>
    <row r="33" spans="3:15">
      <c r="C33" s="1119" t="str">
        <f>IF(Adm!B4=Adm!A118,"Valor del Terreno",IF(Adm!B4=Adm!A119,"Valor del Terreno","Valor de la vivienda"))</f>
        <v>Valor de la vivienda</v>
      </c>
      <c r="D33" s="1119"/>
      <c r="F33" s="2252"/>
      <c r="G33" s="2252"/>
      <c r="K33" s="1135" t="str">
        <f>IF(Adm!B4=Adm!A118,"Indica el tamaño de la construcción en M2","")</f>
        <v/>
      </c>
      <c r="N33" s="2238"/>
      <c r="O33" s="2238"/>
    </row>
    <row r="34" spans="3:15" ht="5.0999999999999996" customHeight="1"/>
    <row r="35" spans="3:15">
      <c r="C35" s="1119" t="str">
        <f>IF(Adm!B4=Adm!A116,"Saldo crédito actual",IF(Adm!B4=Adm!A118,"Valor del Proyecto","Monto de Crédito solicitado"))</f>
        <v>Monto de Crédito solicitado</v>
      </c>
      <c r="D35" s="1119"/>
      <c r="E35" s="1143"/>
      <c r="F35" s="2247"/>
      <c r="G35" s="2247"/>
      <c r="H35" s="1157" t="str">
        <f>IF(AND(Adm!B4=Adm!A116,Adm!AC4=Adm!AC14),"Si es cofinanciado debes sumarle el crédito INFONAVIT","")</f>
        <v/>
      </c>
      <c r="I35" s="1158"/>
      <c r="K35" s="1135" t="str">
        <f>IF(Adm!B4=Adm!A118,"Si desea un monto menor al propuesto capture nuevo Importe","")</f>
        <v/>
      </c>
      <c r="N35" s="2240"/>
      <c r="O35" s="2240"/>
    </row>
    <row r="36" spans="3:15" ht="5.0999999999999996" customHeight="1"/>
    <row r="37" spans="3:15">
      <c r="C37" s="1135" t="str">
        <f>IF(Adm!C22="si","Monto del crédito del INFONAVIT/ FOVISSSTE","")</f>
        <v/>
      </c>
      <c r="F37" s="2251"/>
      <c r="G37" s="2251"/>
    </row>
    <row r="38" spans="3:15" ht="19.5" customHeight="1">
      <c r="C38" s="1119"/>
      <c r="D38" s="1119"/>
      <c r="G38" s="1156"/>
      <c r="H38" s="1156"/>
    </row>
    <row r="39" spans="3:15" ht="13.8" thickBot="1">
      <c r="C39" s="2250" t="str">
        <f>IF(Adm!B4=0,"",W2)</f>
        <v/>
      </c>
      <c r="D39" s="2250"/>
      <c r="E39" s="2250"/>
      <c r="F39" s="2250"/>
      <c r="G39" s="2250"/>
      <c r="H39" s="2250"/>
      <c r="I39" s="2250"/>
      <c r="J39" s="2250"/>
      <c r="K39" s="2250"/>
      <c r="L39" s="2250"/>
      <c r="M39" s="2250"/>
      <c r="N39" s="2250"/>
      <c r="O39" s="2250"/>
    </row>
    <row r="40" spans="3:15" s="1126" customFormat="1" ht="16.2" thickBot="1">
      <c r="C40" s="1405" t="s">
        <v>410</v>
      </c>
      <c r="D40" s="1160"/>
      <c r="E40" s="1161"/>
      <c r="F40" s="1162"/>
      <c r="G40" s="1162"/>
      <c r="H40" s="1162"/>
      <c r="I40" s="1162"/>
      <c r="J40" s="1161"/>
      <c r="K40" s="1163"/>
      <c r="L40" s="1163"/>
      <c r="M40" s="1163"/>
      <c r="N40" s="1163"/>
      <c r="O40" s="1163"/>
    </row>
    <row r="41" spans="3:15" s="1126" customFormat="1" ht="0.75" customHeight="1">
      <c r="C41" s="1164"/>
      <c r="D41" s="1165"/>
      <c r="E41" s="1166"/>
      <c r="F41" s="1167"/>
      <c r="G41" s="1167"/>
      <c r="H41" s="1167"/>
      <c r="I41" s="1167"/>
      <c r="J41" s="1166"/>
      <c r="K41" s="1168"/>
      <c r="L41" s="1168"/>
      <c r="M41" s="1168"/>
      <c r="N41" s="1168"/>
      <c r="O41" s="1168"/>
    </row>
    <row r="42" spans="3:15" ht="22.5" customHeight="1">
      <c r="C42" s="1169" t="str">
        <f>IF(OR(Adm!$B$4=Adm!$A$119,Adm!$B$4=Adm!$A$120),"El aforo final estará en función de la Evaluación de Crédito","Te mostramos las tasas a las que podrías acceder de acuerdo al Perfil de Riesgo y condiciones indicadas. La tasa y el aforo final estarán en función de la Evaluación de Crédito")</f>
        <v>Te mostramos las tasas a las que podrías acceder de acuerdo al Perfil de Riesgo y condiciones indicadas. La tasa y el aforo final estarán en función de la Evaluación de Crédito</v>
      </c>
      <c r="D42" s="1170"/>
      <c r="E42" s="1170"/>
      <c r="F42" s="1170"/>
      <c r="G42" s="1170"/>
      <c r="H42" s="1170"/>
      <c r="I42" s="1170"/>
      <c r="J42" s="1170"/>
      <c r="K42" s="1170"/>
      <c r="L42" s="1170"/>
      <c r="M42" s="1170"/>
      <c r="N42" s="1170"/>
      <c r="O42" s="1171"/>
    </row>
    <row r="43" spans="3:15" s="1102" customFormat="1" ht="9" customHeight="1">
      <c r="C43" s="1172"/>
      <c r="E43" s="1173"/>
      <c r="F43" s="1173"/>
      <c r="O43" s="1174"/>
    </row>
    <row r="44" spans="3:15" s="1134" customFormat="1" ht="21.75" customHeight="1">
      <c r="C44" s="2261" t="s">
        <v>411</v>
      </c>
      <c r="D44" s="2261"/>
      <c r="E44" s="2261"/>
      <c r="F44" s="1175"/>
      <c r="G44" s="1176"/>
      <c r="H44" s="1176" t="str">
        <f>IF(Adm!$B$4=0,"",IF($C$39&lt;&gt;"","",IF(Cal!C106="","","Tasa Perfil 5")))</f>
        <v/>
      </c>
      <c r="I44" s="1176"/>
      <c r="J44" s="1177"/>
      <c r="L44" s="1176" t="str">
        <f>IF(Adm!$B$4=0,"",IF($C$39&lt;&gt;"","",IF(OR(E51="Selecciona",E51=""),"",IF(Cal!S106="","",CONCATENATE("Tasa"," ",E51)))))</f>
        <v/>
      </c>
      <c r="M44" s="1176"/>
      <c r="N44" s="1176"/>
      <c r="O44" s="1178"/>
    </row>
    <row r="45" spans="3:15" s="1102" customFormat="1" ht="18" customHeight="1">
      <c r="C45" s="1179" t="s">
        <v>412</v>
      </c>
      <c r="D45" s="1152"/>
      <c r="E45" s="1180">
        <f>IF($C$39&lt;&gt;"","",Cal!C107)</f>
        <v>0</v>
      </c>
      <c r="F45" s="1181"/>
      <c r="G45" s="1182"/>
      <c r="H45" s="1183" t="str">
        <f>IF(Adm!$B$4=0,"",IF($C$39&lt;&gt;"","",IF(Cal!C106="","","Crédito Principal")))</f>
        <v/>
      </c>
      <c r="I45" s="1184" t="str">
        <f>IF(Adm!$B$4=0,"",IF($C$39&lt;&gt;"","",IF(Cal!D105="NO","",IF(OR(Adm!$AB$4=Adm!$AB$10,Adm!$AB$4=Adm!$AB$11),"Remodelación","Crédito Liquidez"))))</f>
        <v/>
      </c>
      <c r="J45" s="1185" t="str">
        <f>IF(Adm!$B$4=0,"",IF($C$39&lt;&gt;"","",IF(Cal!E105="NO","","Crédito Sustitución")))</f>
        <v/>
      </c>
      <c r="L45" s="1186" t="str">
        <f>IF(Adm!$B$4=0,"",IF($C$39&lt;&gt;"","",IF(OR(E51="Selecciona",E51=""),"",IF(Cal!G106="","","Crédito Principal"))))</f>
        <v/>
      </c>
      <c r="M45" s="1187" t="str">
        <f>IF(Adm!$B$4=0,"",IF($C$39&lt;&gt;"","",IF(OR(E51="Selecciona",E51=""),"",IF(Cal!H105="NO","",IF(OR(Adm!$AB$4=Adm!$AB$10,Adm!$AB$4=Adm!$AB$11),"Remodelación","Crédito Liquidez")))))</f>
        <v/>
      </c>
      <c r="N45" s="1188" t="str">
        <f>IF(Adm!$B$4=0,"",IF($C$39&lt;&gt;"","",IF(OR(E51="Selecciona",E51=""),"",IF(Cal!I105="NO","","Crédito Sustitución"))))</f>
        <v/>
      </c>
      <c r="O45" s="1178"/>
    </row>
    <row r="46" spans="3:15" s="1102" customFormat="1">
      <c r="C46" s="1179" t="s">
        <v>413</v>
      </c>
      <c r="D46" s="1152"/>
      <c r="E46" s="1180">
        <f>IF($C$39&lt;&gt;"","",Cal!C108)</f>
        <v>0</v>
      </c>
      <c r="F46" s="1181"/>
      <c r="G46" s="1119" t="str">
        <f>IF($H$45="","",IF(Adm!B4=Adm!A118,"Aforo máximo","Financiamiento máximo"))</f>
        <v/>
      </c>
      <c r="H46" s="1189">
        <f>IF($H$45="",0,Cal!C118)</f>
        <v>0</v>
      </c>
      <c r="I46" s="1101"/>
      <c r="J46" s="1190"/>
      <c r="L46" s="1189">
        <f>IF($L$45="",0,Cal!G118)</f>
        <v>0</v>
      </c>
      <c r="M46" s="1191">
        <f>IF($M$45="",0,Cal!H118)</f>
        <v>0</v>
      </c>
      <c r="N46" s="1192">
        <f>IF($N$45="",0,Cal!I118)</f>
        <v>0</v>
      </c>
      <c r="O46" s="1178"/>
    </row>
    <row r="47" spans="3:15" s="1102" customFormat="1">
      <c r="C47" s="1179" t="s">
        <v>414</v>
      </c>
      <c r="D47" s="1152"/>
      <c r="E47" s="1193">
        <f>IF($C$39&lt;&gt;"","",Cal!C109)</f>
        <v>0</v>
      </c>
      <c r="F47" s="1181"/>
      <c r="G47" s="1119" t="str">
        <f>IF($H$45="","","Tasa de Interés")</f>
        <v/>
      </c>
      <c r="H47" s="1194">
        <f>IF($H$45="",0,Cal!C116)</f>
        <v>0</v>
      </c>
      <c r="I47" s="1195">
        <f>IF($I$45="",0,Cal!D116)</f>
        <v>0</v>
      </c>
      <c r="J47" s="1196">
        <f>IF($J$45="",0,Cal!E116)</f>
        <v>0</v>
      </c>
      <c r="L47" s="1194">
        <f>IF($L$45="",0,Cal!G116)</f>
        <v>0</v>
      </c>
      <c r="M47" s="1195">
        <f>IF($M$45="",0,Cal!H116)</f>
        <v>0</v>
      </c>
      <c r="N47" s="1197">
        <f>IF($N$45="",0,Cal!I116)</f>
        <v>0</v>
      </c>
      <c r="O47" s="1178"/>
    </row>
    <row r="48" spans="3:15" s="1102" customFormat="1">
      <c r="C48" s="1198"/>
      <c r="D48" s="1199"/>
      <c r="E48" s="1200"/>
      <c r="F48" s="1181"/>
      <c r="G48" s="1143" t="str">
        <f>IF($H$45="","","Total Crédito")</f>
        <v/>
      </c>
      <c r="H48" s="1201">
        <f>IF($H$45="",0,Cal!C119)</f>
        <v>0</v>
      </c>
      <c r="I48" s="1202">
        <f>IF($I$45="",0,Cal!D119)</f>
        <v>0</v>
      </c>
      <c r="J48" s="1203">
        <f>IF($J$45="",0,Cal!E119)</f>
        <v>0</v>
      </c>
      <c r="L48" s="1204">
        <f>IF($L$45="",0,Cal!G119)</f>
        <v>0</v>
      </c>
      <c r="M48" s="1202">
        <f>IF($M$45="",0,Cal!H119)</f>
        <v>0</v>
      </c>
      <c r="N48" s="1205">
        <f>IF($N$45="",0,Cal!I119)</f>
        <v>0</v>
      </c>
      <c r="O48" s="1178"/>
    </row>
    <row r="49" spans="3:15" s="1102" customFormat="1">
      <c r="D49" s="1119"/>
      <c r="G49" s="1119" t="str">
        <f>IF($H$45="","",IF(Adm!B4=Adm!A118,"Primer Disposición",""))</f>
        <v/>
      </c>
      <c r="H49" s="1206">
        <f>IF($H$45="",0,Cal!C120)</f>
        <v>0</v>
      </c>
      <c r="I49" s="1207">
        <f>IF($I$45="",0,Cal!D120)</f>
        <v>0</v>
      </c>
      <c r="J49" s="1208"/>
      <c r="L49" s="1206">
        <f>IF($L$45="",0,Cal!G120)</f>
        <v>0</v>
      </c>
      <c r="M49" s="1207">
        <f>IF($M$45="",0,Cal!H120)</f>
        <v>0</v>
      </c>
      <c r="N49" s="1209">
        <f>IF($N$45="",0,Cal!I120)</f>
        <v>0</v>
      </c>
      <c r="O49" s="1178"/>
    </row>
    <row r="50" spans="3:15" s="1102" customFormat="1">
      <c r="C50" s="2262" t="s">
        <v>415</v>
      </c>
      <c r="D50" s="2262"/>
      <c r="G50" s="1119" t="str">
        <f>IF($H$45="","",IF(Adm!B4=Adm!A118,"3 disposiciones de",""))</f>
        <v/>
      </c>
      <c r="H50" s="1206">
        <f>IF($H$45="",0,Cal!C121)</f>
        <v>0</v>
      </c>
      <c r="I50" s="1207">
        <f>IF($I$45="",0,Cal!D121)</f>
        <v>0</v>
      </c>
      <c r="J50" s="1208"/>
      <c r="L50" s="1206">
        <f>IF($L$45="",0,Cal!G121)</f>
        <v>0</v>
      </c>
      <c r="M50" s="1207">
        <f>IF($M$45="",0,Cal!H121)</f>
        <v>0</v>
      </c>
      <c r="N50" s="1209">
        <f>IF($N$45="",0,Cal!I121)</f>
        <v>0</v>
      </c>
      <c r="O50" s="1178"/>
    </row>
    <row r="51" spans="3:15" s="1102" customFormat="1">
      <c r="C51" s="2262"/>
      <c r="D51" s="2262"/>
      <c r="E51" s="2140" t="s">
        <v>223</v>
      </c>
      <c r="G51" s="1119" t="str">
        <f>IF($H$45="","",IF(AND(Adm!B4=Adm!A118,Cal!B62=5),"Ultima disposición de",""))</f>
        <v/>
      </c>
      <c r="H51" s="1206">
        <f>IF($H$45="",0,Cal!C122)</f>
        <v>0</v>
      </c>
      <c r="I51" s="1207">
        <f>IF($I$45="",0,Cal!D122)</f>
        <v>0</v>
      </c>
      <c r="J51" s="1208"/>
      <c r="L51" s="1206">
        <f>IF($L$45="",0,Cal!G122)</f>
        <v>0</v>
      </c>
      <c r="M51" s="1207">
        <f>IF($M$45="",0,Cal!H122)</f>
        <v>0</v>
      </c>
      <c r="N51" s="1209">
        <f>IF($N$45="",0,Cal!I122)</f>
        <v>0</v>
      </c>
      <c r="O51" s="1178"/>
    </row>
    <row r="52" spans="3:15" s="1110" customFormat="1">
      <c r="D52" s="1210"/>
      <c r="G52" s="1210" t="str">
        <f>IF($H$45="","",IF(Adm!B4=Adm!A116,"","Ingresos mín. requeridos"))</f>
        <v/>
      </c>
      <c r="H52" s="1211">
        <f>IF($H$45="",0,IF(Adm!$B$4=Adm!$A$116,0,Cal!C128))</f>
        <v>0</v>
      </c>
      <c r="I52" s="1212">
        <f>IF($I$45="",0,IF(Adm!$B$4=Adm!$A$116,0,Cal!D128))</f>
        <v>0</v>
      </c>
      <c r="J52" s="1213"/>
      <c r="L52" s="1211">
        <f>IF($L$45="",0,IF(Adm!$B$4=Adm!$A$116,0,Cal!G128))</f>
        <v>0</v>
      </c>
      <c r="M52" s="1212">
        <f>IF($M$45="",0,IF(Adm!$B$4=Adm!$A$116,0,Cal!H128))</f>
        <v>0</v>
      </c>
      <c r="N52" s="1214">
        <f>IF($N$45="",0,IF(Adm!$B$4=Adm!$A$116,0,Cal!I128))</f>
        <v>0</v>
      </c>
      <c r="O52" s="1178"/>
    </row>
    <row r="53" spans="3:15" s="1102" customFormat="1" ht="7.2" customHeight="1">
      <c r="D53" s="1107"/>
      <c r="G53" s="1107"/>
      <c r="H53" s="1215"/>
      <c r="I53" s="1101"/>
      <c r="J53" s="1213"/>
      <c r="L53" s="1215"/>
      <c r="M53" s="1101"/>
      <c r="N53" s="1216"/>
      <c r="O53" s="1178"/>
    </row>
    <row r="54" spans="3:15" s="1102" customFormat="1">
      <c r="D54" s="1217"/>
      <c r="G54" s="1217" t="str">
        <f>IF($H$45="","","GASTOS MENSUALES")</f>
        <v/>
      </c>
      <c r="H54" s="1215"/>
      <c r="I54" s="1101"/>
      <c r="J54" s="1213"/>
      <c r="L54" s="1215"/>
      <c r="M54" s="1101"/>
      <c r="N54" s="1216"/>
      <c r="O54" s="1178"/>
    </row>
    <row r="55" spans="3:15" s="1102" customFormat="1">
      <c r="G55" s="2024" t="str">
        <f>IF($H$45="","",IF(Adm!B4=Adm!A118,"Pago Inicial sólo intereses","Pago Mensual inicial (k+ i)"))</f>
        <v/>
      </c>
      <c r="H55" s="1206">
        <f>IF($H$45="",0,Cal!C123)</f>
        <v>0</v>
      </c>
      <c r="I55" s="1207">
        <f>IF($I$45="",0,Cal!D123)</f>
        <v>0</v>
      </c>
      <c r="J55" s="1213">
        <f>IF($J$45="",0,Cal!E123)</f>
        <v>0</v>
      </c>
      <c r="L55" s="1206">
        <f>IF($L$45="",0,Cal!G123)</f>
        <v>0</v>
      </c>
      <c r="M55" s="1207">
        <f>IF($M$45="",0,Cal!H123)</f>
        <v>0</v>
      </c>
      <c r="N55" s="1209">
        <f>IF($N$45="",0,Cal!I123)</f>
        <v>0</v>
      </c>
      <c r="O55" s="1178"/>
    </row>
    <row r="56" spans="3:15" s="1102" customFormat="1">
      <c r="G56" s="2024" t="str">
        <f>IF($H$45="","","Seguro de Vida")</f>
        <v/>
      </c>
      <c r="H56" s="1206">
        <f>IF($H$45="",0,Cal!C124)</f>
        <v>0</v>
      </c>
      <c r="I56" s="1207">
        <f>IF($I$45="",0,Cal!D124)</f>
        <v>0</v>
      </c>
      <c r="J56" s="1213">
        <f>IF($J$45="",0,Cal!E124)</f>
        <v>0</v>
      </c>
      <c r="L56" s="1206">
        <f>IF($L$45="",0,Cal!G124)</f>
        <v>0</v>
      </c>
      <c r="M56" s="1207">
        <f>IF($M$45="",0,Cal!H124)</f>
        <v>0</v>
      </c>
      <c r="N56" s="1209">
        <f>IF($N$45="",0,Cal!I124)</f>
        <v>0</v>
      </c>
      <c r="O56" s="1178"/>
    </row>
    <row r="57" spans="3:15" s="1102" customFormat="1">
      <c r="G57" s="2024" t="str">
        <f>IF($H$45="","",IF(Adm!B4=Adm!A119,"",IF(Adm!B4=Adm!A118,"Seguro de Obra","Seguro de Daños")))</f>
        <v/>
      </c>
      <c r="H57" s="1206">
        <f>IF($H$45="",0,Cal!C125)</f>
        <v>0</v>
      </c>
      <c r="I57" s="1207">
        <f>IF($I$45="",0,Cal!D125)</f>
        <v>0</v>
      </c>
      <c r="J57" s="1213"/>
      <c r="L57" s="1206">
        <f>IF($L$45="",0,Cal!G125)</f>
        <v>0</v>
      </c>
      <c r="M57" s="1207">
        <f>IF($M$45="",0,Cal!H125)</f>
        <v>0</v>
      </c>
      <c r="N57" s="1209">
        <f>IF($N$45="",0,Cal!I125)</f>
        <v>0</v>
      </c>
      <c r="O57" s="1178"/>
    </row>
    <row r="58" spans="3:15" s="1126" customFormat="1" ht="28.5" customHeight="1">
      <c r="D58" s="1242"/>
      <c r="G58" s="2025" t="str">
        <f>IF($H$45="","","Administración autorización de crédito diferido (+ IVA)")</f>
        <v/>
      </c>
      <c r="H58" s="2006">
        <f>IF($H$45="",0,Cal!C126)</f>
        <v>0</v>
      </c>
      <c r="I58" s="2007">
        <f>IF($I$45="",0,Cal!D126)</f>
        <v>0</v>
      </c>
      <c r="J58" s="2008">
        <f>IF($J$45="",0,Cal!E126)</f>
        <v>0</v>
      </c>
      <c r="L58" s="2006">
        <f>IF($L$45="",0,Cal!G126)</f>
        <v>0</v>
      </c>
      <c r="M58" s="2007">
        <f>IF($M$45="",0,Cal!H126)</f>
        <v>0</v>
      </c>
      <c r="N58" s="2009">
        <f>IF($N$45="",0,Cal!I126)</f>
        <v>0</v>
      </c>
      <c r="O58" s="2010"/>
    </row>
    <row r="59" spans="3:15" s="1102" customFormat="1">
      <c r="D59" s="1107"/>
      <c r="G59" s="2026" t="str">
        <f>IF($H$45="","",IF(OR(Adm!B4=Adm!A116,Adm!B4=Adm!A117),"IVA de Intereses",IF(Adm!B4=Adm!A120,"IVA de Intereses","")))</f>
        <v/>
      </c>
      <c r="H59" s="1206">
        <f>IF($H$45="",0,Cal!C129)</f>
        <v>0</v>
      </c>
      <c r="I59" s="1207">
        <f>IF($I$45="",0,Cal!D129)</f>
        <v>0</v>
      </c>
      <c r="J59" s="1213"/>
      <c r="L59" s="1206">
        <f>IF($L$45="",0,Cal!G129)</f>
        <v>0</v>
      </c>
      <c r="M59" s="1207">
        <f>IF($M$45="",0,Cal!H129)</f>
        <v>0</v>
      </c>
      <c r="N59" s="1209">
        <f>IF($N$45="",0,Cal!I129)</f>
        <v>0</v>
      </c>
      <c r="O59" s="1178"/>
    </row>
    <row r="60" spans="3:15" s="1102" customFormat="1">
      <c r="D60" s="1143"/>
      <c r="G60" s="2027" t="str">
        <f>IF($H$45="","","Total mensualidad Inicial")</f>
        <v/>
      </c>
      <c r="H60" s="1218">
        <f>IF($H$45="",0,SUM(H55:H59))</f>
        <v>0</v>
      </c>
      <c r="I60" s="1219">
        <f>IF($I$45="",0,SUM(I55:I59))</f>
        <v>0</v>
      </c>
      <c r="J60" s="1220">
        <f>IF($J$45="",0,SUM(J55:J59))</f>
        <v>0</v>
      </c>
      <c r="L60" s="1218">
        <f>IF($L$45="",0,SUM(L55:L59))</f>
        <v>0</v>
      </c>
      <c r="M60" s="1219">
        <f>IF($M$45="",0,SUM(M55:M59))</f>
        <v>0</v>
      </c>
      <c r="N60" s="1221">
        <f>IF($N$45="",0,SUM(N55:N59))</f>
        <v>0</v>
      </c>
      <c r="O60" s="1178"/>
    </row>
    <row r="61" spans="3:15" s="1102" customFormat="1" ht="18.75" customHeight="1">
      <c r="D61" s="1222"/>
      <c r="G61" s="2026" t="str">
        <f>IF($H$45="","",IF(Adm!D4=Adm!D7,"Incremento anual en el pago",""))</f>
        <v/>
      </c>
      <c r="H61" s="1223">
        <f>IF($H$45="",0,Cal!C127)</f>
        <v>0</v>
      </c>
      <c r="I61" s="1224">
        <f>IF($I$45="",0,Cal!D127)</f>
        <v>0</v>
      </c>
      <c r="J61" s="1225">
        <f>IF($J$45="",0,Cal!E127)</f>
        <v>0</v>
      </c>
      <c r="L61" s="1223">
        <f>IF($L$45="",0,Cal!G127)</f>
        <v>0</v>
      </c>
      <c r="M61" s="1224">
        <f>IF($M$45="",0,Cal!H127)</f>
        <v>0</v>
      </c>
      <c r="N61" s="1226">
        <f>IF($N$45="",0,Cal!I127)</f>
        <v>0</v>
      </c>
      <c r="O61" s="1178"/>
    </row>
    <row r="62" spans="3:15" s="1102" customFormat="1" ht="18.75" customHeight="1">
      <c r="D62" s="1222"/>
      <c r="G62" s="2028" t="str">
        <f>IF($H$45="","","GASTOS INICIALES")</f>
        <v/>
      </c>
      <c r="H62" s="1223"/>
      <c r="I62" s="1224"/>
      <c r="J62" s="1228"/>
      <c r="L62" s="1223"/>
      <c r="M62" s="1224"/>
      <c r="N62" s="1226"/>
      <c r="O62" s="1178"/>
    </row>
    <row r="63" spans="3:15" s="1102" customFormat="1" ht="4.5" customHeight="1">
      <c r="D63" s="1222"/>
      <c r="G63" s="2024"/>
      <c r="H63" s="1223"/>
      <c r="I63" s="1224"/>
      <c r="J63" s="1228"/>
      <c r="L63" s="1223"/>
      <c r="M63" s="1224"/>
      <c r="N63" s="1226"/>
      <c r="O63" s="1178"/>
    </row>
    <row r="64" spans="3:15" s="1126" customFormat="1" ht="18.75" customHeight="1">
      <c r="D64" s="2011"/>
      <c r="G64" s="2029" t="str">
        <f>IF($H$45="","","Contratación crédito")</f>
        <v/>
      </c>
      <c r="H64" s="2006">
        <f>IF($H$45="",0,Cal!C110)</f>
        <v>0</v>
      </c>
      <c r="I64" s="2007">
        <f>IF($I$45="",0,Cal!D110)</f>
        <v>0</v>
      </c>
      <c r="J64" s="2008">
        <f>IF($I$45="",0,Cal!E110)</f>
        <v>0</v>
      </c>
      <c r="L64" s="2006">
        <f>IF($L$45="",0,Cal!G110)</f>
        <v>0</v>
      </c>
      <c r="M64" s="2007"/>
      <c r="N64" s="2009"/>
      <c r="O64" s="2010"/>
    </row>
    <row r="65" spans="3:44" s="1126" customFormat="1" ht="27" customHeight="1">
      <c r="D65" s="2011"/>
      <c r="G65" s="2025" t="str">
        <f>IF($H$45="","","Gastos de preoriginación avalúo hipotecario")</f>
        <v/>
      </c>
      <c r="H65" s="2006">
        <f>IF($H$45="",0,Cal!C111)</f>
        <v>0</v>
      </c>
      <c r="I65" s="2007"/>
      <c r="J65" s="2012">
        <f>Cal!E110</f>
        <v>0</v>
      </c>
      <c r="L65" s="2006">
        <f>IF($L$45="",0,Cal!G111)</f>
        <v>0</v>
      </c>
      <c r="M65" s="2007">
        <f>IF($M$45="",0,Cal!H110)</f>
        <v>0</v>
      </c>
      <c r="N65" s="2009">
        <f>Cal!I110</f>
        <v>0</v>
      </c>
      <c r="O65" s="2010"/>
      <c r="AI65" s="1242"/>
      <c r="AJ65" s="1242"/>
      <c r="AK65" s="1242"/>
      <c r="AL65" s="1242"/>
      <c r="AM65" s="1242"/>
      <c r="AN65" s="1242"/>
      <c r="AO65" s="1242"/>
      <c r="AP65" s="1242"/>
      <c r="AQ65" s="1242"/>
      <c r="AR65" s="1242"/>
    </row>
    <row r="66" spans="3:44" s="1102" customFormat="1" ht="18.75" customHeight="1">
      <c r="D66" s="1222"/>
      <c r="G66" s="2026" t="str">
        <f>IF($H$45="","","Gastos Notariales")</f>
        <v/>
      </c>
      <c r="H66" s="1206">
        <f>IF($H$45="",0,Cal!C112)</f>
        <v>0</v>
      </c>
      <c r="I66" s="1207"/>
      <c r="J66" s="1228"/>
      <c r="L66" s="1206">
        <f>IF($L$45="",0,Cal!G112)</f>
        <v>0</v>
      </c>
      <c r="M66" s="1207"/>
      <c r="N66" s="1209"/>
      <c r="O66" s="1178"/>
      <c r="AI66" s="1107"/>
      <c r="AJ66" s="1107"/>
      <c r="AK66" s="1107"/>
      <c r="AL66" s="1107"/>
      <c r="AM66" s="1107"/>
      <c r="AN66" s="1107"/>
      <c r="AO66" s="1107"/>
      <c r="AP66" s="1107"/>
      <c r="AQ66" s="1107"/>
      <c r="AR66" s="1107"/>
    </row>
    <row r="67" spans="3:44" s="1102" customFormat="1" ht="18.75" customHeight="1">
      <c r="D67" s="1222"/>
      <c r="G67" s="2026" t="str">
        <f>IF($H$45="","","Enganche")</f>
        <v/>
      </c>
      <c r="H67" s="1206">
        <f>IF($H$45="",0,Cal!C115)</f>
        <v>0</v>
      </c>
      <c r="I67" s="1207"/>
      <c r="J67" s="1228"/>
      <c r="L67" s="1206">
        <f>IF($L$45="",0,Cal!G115)</f>
        <v>0</v>
      </c>
      <c r="M67" s="1207"/>
      <c r="N67" s="1209"/>
      <c r="O67" s="1178"/>
      <c r="AI67" s="1107"/>
      <c r="AJ67" s="1107"/>
      <c r="AK67" s="1107"/>
      <c r="AL67" s="1107"/>
      <c r="AM67" s="1107"/>
      <c r="AN67" s="1107"/>
      <c r="AO67" s="1107"/>
      <c r="AP67" s="1107"/>
      <c r="AQ67" s="1107"/>
      <c r="AR67" s="1107"/>
    </row>
    <row r="68" spans="3:44" s="1102" customFormat="1" ht="18.75" customHeight="1">
      <c r="D68" s="1222"/>
      <c r="G68" s="2026" t="str">
        <f>IF($H$45="","",IF(Adm!$B$4=Adm!$A$114,"Gastos INFONAVIT",""))</f>
        <v/>
      </c>
      <c r="H68" s="1206">
        <f>IF($H$45="",0,Cal!C114)</f>
        <v>0</v>
      </c>
      <c r="I68" s="1207"/>
      <c r="J68" s="1228"/>
      <c r="L68" s="1206">
        <f>IF($L$45="",0,Cal!G114)</f>
        <v>0</v>
      </c>
      <c r="M68" s="1207"/>
      <c r="N68" s="1209"/>
      <c r="O68" s="1178"/>
      <c r="AI68" s="1107"/>
      <c r="AJ68" s="1107"/>
      <c r="AK68" s="1107"/>
      <c r="AL68" s="1107"/>
      <c r="AM68" s="1107"/>
      <c r="AN68" s="1107"/>
      <c r="AO68" s="1107"/>
      <c r="AP68" s="1107"/>
      <c r="AQ68" s="1107"/>
      <c r="AR68" s="1107"/>
    </row>
    <row r="69" spans="3:44" s="1126" customFormat="1" ht="38.25" customHeight="1">
      <c r="D69" s="2011"/>
      <c r="G69" s="2023" t="str">
        <f>IF($H$45="","",IF(Adm!$B$4=Adm!$A$118,"Gastos de preoriginación dictamen de obra (análisis técnico del proyecto o construcción)",""))</f>
        <v/>
      </c>
      <c r="H69" s="2006">
        <f>IF($H$45="",0,Cal!C113)</f>
        <v>0</v>
      </c>
      <c r="J69" s="2013"/>
      <c r="L69" s="2006">
        <f>IF($L$45="",0,Cal!G113)</f>
        <v>0</v>
      </c>
      <c r="M69" s="2007"/>
      <c r="N69" s="2009"/>
      <c r="O69" s="2010"/>
      <c r="AI69" s="1242"/>
      <c r="AJ69" s="1242"/>
      <c r="AK69" s="1242"/>
      <c r="AL69" s="1242"/>
      <c r="AM69" s="1242"/>
      <c r="AN69" s="1242"/>
      <c r="AO69" s="1242"/>
      <c r="AP69" s="1242"/>
      <c r="AQ69" s="1242"/>
      <c r="AR69" s="1242"/>
    </row>
    <row r="70" spans="3:44" s="1102" customFormat="1" ht="18.75" customHeight="1">
      <c r="D70" s="1222"/>
      <c r="G70" s="1146" t="str">
        <f>IF($H$45="","","Subtotal Gastos")</f>
        <v/>
      </c>
      <c r="H70" s="1218">
        <f>IF($H$45="",0,SUM(H64:H69))</f>
        <v>0</v>
      </c>
      <c r="I70" s="1219">
        <f>SUM(I64:I69)</f>
        <v>0</v>
      </c>
      <c r="J70" s="1221">
        <f>SUM(J64:J69)</f>
        <v>0</v>
      </c>
      <c r="L70" s="1218">
        <f>IF($L$45="",0,SUM(L64:L69))</f>
        <v>0</v>
      </c>
      <c r="M70" s="1219">
        <f>SUM(M64:M69)</f>
        <v>0</v>
      </c>
      <c r="N70" s="1221">
        <f>SUM(N64:N69)</f>
        <v>0</v>
      </c>
      <c r="O70" s="1178"/>
      <c r="AI70" s="1107"/>
      <c r="AJ70" s="1107"/>
      <c r="AK70" s="1107"/>
      <c r="AL70" s="1107"/>
      <c r="AM70" s="1107"/>
      <c r="AN70" s="1107"/>
      <c r="AO70" s="1107"/>
      <c r="AP70" s="1107"/>
      <c r="AQ70" s="1107"/>
      <c r="AR70" s="1107"/>
    </row>
    <row r="71" spans="3:44" s="1102" customFormat="1" ht="18.75" customHeight="1">
      <c r="D71" s="1222"/>
      <c r="G71" s="1107"/>
      <c r="H71" s="1229"/>
      <c r="I71" s="1230">
        <f>SUM(I65:I70)</f>
        <v>0</v>
      </c>
      <c r="J71" s="1231"/>
      <c r="L71" s="1229"/>
      <c r="M71" s="1232"/>
      <c r="N71" s="1233"/>
      <c r="O71" s="1178"/>
      <c r="AI71" s="1107"/>
      <c r="AJ71" s="1107"/>
      <c r="AK71" s="1107"/>
      <c r="AL71" s="1107"/>
      <c r="AM71" s="1107"/>
      <c r="AN71" s="1107"/>
      <c r="AO71" s="1107"/>
      <c r="AP71" s="1107"/>
      <c r="AQ71" s="1107"/>
      <c r="AR71" s="1107"/>
    </row>
    <row r="72" spans="3:44" s="1102" customFormat="1" ht="9" customHeight="1" thickBot="1">
      <c r="C72" s="1234"/>
      <c r="D72" s="1235"/>
      <c r="E72" s="1236"/>
      <c r="F72" s="1237"/>
      <c r="O72" s="1238"/>
      <c r="AI72" s="1107"/>
      <c r="AJ72" s="1107"/>
      <c r="AK72" s="1107"/>
      <c r="AL72" s="1107"/>
      <c r="AM72" s="1107"/>
      <c r="AN72" s="1107"/>
      <c r="AO72" s="1107"/>
      <c r="AP72" s="1107"/>
      <c r="AQ72" s="1107"/>
      <c r="AR72" s="1107"/>
    </row>
    <row r="73" spans="3:44" s="1126" customFormat="1" ht="20.25" customHeight="1">
      <c r="C73" s="1405" t="s">
        <v>416</v>
      </c>
      <c r="D73" s="1239"/>
      <c r="E73" s="1240"/>
      <c r="F73" s="1240"/>
      <c r="G73" s="1241"/>
      <c r="H73" s="1241"/>
      <c r="I73" s="1241"/>
      <c r="J73" s="1241"/>
      <c r="K73" s="1241"/>
      <c r="L73" s="1241"/>
      <c r="M73" s="1241"/>
      <c r="N73" s="1241"/>
      <c r="O73" s="1241"/>
      <c r="AI73" s="1242"/>
      <c r="AJ73" s="1242"/>
      <c r="AK73" s="1242"/>
      <c r="AL73" s="1242"/>
      <c r="AM73" s="1242"/>
      <c r="AN73" s="1242"/>
      <c r="AO73" s="1242"/>
      <c r="AP73" s="1242"/>
      <c r="AQ73" s="1242"/>
      <c r="AR73" s="1242"/>
    </row>
    <row r="74" spans="3:44" s="1107" customFormat="1">
      <c r="C74" s="1152"/>
      <c r="D74" s="1152"/>
      <c r="E74" s="1119"/>
      <c r="F74" s="1119"/>
      <c r="I74" s="2232" t="s">
        <v>417</v>
      </c>
      <c r="J74" s="2231"/>
      <c r="K74" s="1244"/>
      <c r="L74" s="2231" t="s">
        <v>418</v>
      </c>
      <c r="M74" s="2231"/>
      <c r="N74" s="1245"/>
      <c r="O74" s="1246"/>
    </row>
    <row r="75" spans="3:44" s="1107" customFormat="1">
      <c r="I75" s="1248" t="s">
        <v>412</v>
      </c>
      <c r="J75" s="1249">
        <f>IF($C$39&lt;&gt;"",0,Cal!C107)</f>
        <v>0</v>
      </c>
      <c r="K75" s="1244"/>
      <c r="L75" s="2020" t="s">
        <v>419</v>
      </c>
      <c r="M75" s="1250">
        <f>IF($C$39&lt;&gt;"",0,Cal!AB110)</f>
        <v>0</v>
      </c>
      <c r="N75" s="1245"/>
      <c r="O75" s="1246"/>
    </row>
    <row r="76" spans="3:44" s="1107" customFormat="1" ht="26.4">
      <c r="C76" s="1406" t="s">
        <v>420</v>
      </c>
      <c r="D76" s="1251"/>
      <c r="E76" s="1126"/>
      <c r="F76" s="1126"/>
      <c r="G76" s="1252"/>
      <c r="I76" s="1248" t="s">
        <v>413</v>
      </c>
      <c r="J76" s="1249">
        <f>IF($C$39&lt;&gt;"",0,Cal!C108)</f>
        <v>0</v>
      </c>
      <c r="K76" s="1244"/>
      <c r="L76" s="2021" t="s">
        <v>421</v>
      </c>
      <c r="M76" s="2014">
        <f>IF($C$39&lt;&gt;"",0,Cal!AB111)</f>
        <v>0</v>
      </c>
      <c r="N76" s="1245"/>
      <c r="O76" s="1246"/>
    </row>
    <row r="77" spans="3:44" s="1107" customFormat="1">
      <c r="I77" s="1248" t="s">
        <v>414</v>
      </c>
      <c r="J77" s="1245">
        <f>IF($C$39&lt;&gt;"",0,Cal!C109)</f>
        <v>0</v>
      </c>
      <c r="K77" s="1245"/>
      <c r="L77" s="2022" t="s">
        <v>422</v>
      </c>
      <c r="M77" s="1250">
        <f>IF($C$39&lt;&gt;"",0,Cal!AB112)</f>
        <v>0</v>
      </c>
      <c r="N77" s="1245"/>
      <c r="O77" s="1246"/>
    </row>
    <row r="78" spans="3:44" s="1107" customFormat="1">
      <c r="C78" s="1154" t="str">
        <f>IF(Adm!BN5="no","","Selecciona el plan de Hipoteca Plus")</f>
        <v>Selecciona el plan de Hipoteca Plus</v>
      </c>
      <c r="D78" s="1152"/>
      <c r="E78" s="1119"/>
      <c r="F78" s="2249"/>
      <c r="G78" s="2249"/>
      <c r="I78" s="1248"/>
      <c r="J78" s="1244"/>
      <c r="K78" s="1244"/>
      <c r="L78" s="2022" t="s">
        <v>365</v>
      </c>
      <c r="M78" s="1250">
        <f>IF($C$39&lt;&gt;"",0,Cal!AB115)</f>
        <v>0</v>
      </c>
      <c r="N78" s="1245"/>
      <c r="O78" s="1246"/>
    </row>
    <row r="79" spans="3:44">
      <c r="G79" s="1207"/>
      <c r="I79" s="1253" t="s">
        <v>423</v>
      </c>
      <c r="J79" s="1254">
        <f>Cal!AB118</f>
        <v>0</v>
      </c>
      <c r="K79" s="1244"/>
      <c r="L79" s="2022" t="str">
        <f>IF(Adm!B4=Adm!A114,"Gastos INFONAVIT","")</f>
        <v/>
      </c>
      <c r="M79" s="1255">
        <f>IF($C$39&lt;&gt;"",0,Cal!AB114)</f>
        <v>0</v>
      </c>
      <c r="N79" s="1256"/>
      <c r="O79" s="1257"/>
    </row>
    <row r="80" spans="3:44" s="1126" customFormat="1" ht="25.5" customHeight="1">
      <c r="D80" s="1258" t="str">
        <f>IF(Cal!AC105="SI","Ver tabla liquidez adicional","")</f>
        <v/>
      </c>
      <c r="F80" s="1259" t="str">
        <f>IF(Cal!AD105="SI","Ver tabla Sustitución","")</f>
        <v/>
      </c>
      <c r="H80" s="1260"/>
      <c r="I80" s="1261" t="s">
        <v>366</v>
      </c>
      <c r="J80" s="1262">
        <f>Cal!AB116</f>
        <v>0</v>
      </c>
      <c r="K80" s="1245"/>
      <c r="L80" s="2015" t="str">
        <f>IF(Adm!B4=Adm!A118,"Gastos de preoriginación dictamen de obra","")</f>
        <v/>
      </c>
      <c r="M80" s="1255">
        <f>IF($C$39&lt;&gt;"",0,Cal!AB113)</f>
        <v>0</v>
      </c>
      <c r="N80" s="1263"/>
      <c r="O80" s="1264"/>
      <c r="V80" s="1265"/>
      <c r="Y80" s="1266" t="s">
        <v>424</v>
      </c>
      <c r="AB80" s="1267" t="s">
        <v>425</v>
      </c>
      <c r="AC80" s="1268"/>
      <c r="AD80" s="1269" t="s">
        <v>426</v>
      </c>
      <c r="AE80" s="1268"/>
      <c r="AF80" s="1268"/>
      <c r="AG80" s="1270"/>
      <c r="AJ80" s="1271" t="s">
        <v>427</v>
      </c>
      <c r="AK80" s="1272">
        <v>1000000</v>
      </c>
      <c r="AQ80" s="1273" t="s">
        <v>427</v>
      </c>
      <c r="AR80" s="1272">
        <v>1000000</v>
      </c>
    </row>
    <row r="81" spans="1:109" ht="13.8" thickBot="1">
      <c r="I81" s="1274" t="s">
        <v>428</v>
      </c>
      <c r="J81" s="1275">
        <f>Cal!AB119</f>
        <v>0</v>
      </c>
      <c r="K81" s="1276"/>
      <c r="L81" s="1277" t="s">
        <v>429</v>
      </c>
      <c r="M81" s="1278">
        <f>SUM(M76:M80)</f>
        <v>0</v>
      </c>
      <c r="N81" s="1279"/>
      <c r="O81" s="1280"/>
      <c r="V81" s="1281"/>
      <c r="Y81" s="1282">
        <f>MAXA(C87:C387)</f>
        <v>0</v>
      </c>
      <c r="AB81" s="1122" t="s">
        <v>430</v>
      </c>
      <c r="AG81" s="1283"/>
      <c r="AJ81" s="1284" t="s">
        <v>74</v>
      </c>
      <c r="AK81" s="1285">
        <f>Adm!AE6</f>
        <v>0</v>
      </c>
      <c r="AQ81" s="1286" t="s">
        <v>74</v>
      </c>
      <c r="AR81" s="1285">
        <f>Adm!AE6</f>
        <v>0</v>
      </c>
    </row>
    <row r="82" spans="1:109" ht="15.75" customHeight="1" thickBot="1">
      <c r="H82" s="1101"/>
      <c r="L82" s="1101"/>
      <c r="V82" s="1287" t="s">
        <v>431</v>
      </c>
      <c r="W82" s="1287"/>
      <c r="Y82" s="1288"/>
      <c r="AB82" s="1289">
        <f>IF(O83=AB80,1,IF(O83=AB81,2,1))</f>
        <v>1</v>
      </c>
      <c r="AC82" s="1290" t="s">
        <v>432</v>
      </c>
      <c r="AD82" s="1291">
        <f>IF(Adm!D4="Fijos",1,2)</f>
        <v>2</v>
      </c>
      <c r="AG82" s="1292" t="s">
        <v>433</v>
      </c>
      <c r="AJ82" s="1293" t="s">
        <v>434</v>
      </c>
      <c r="AK82" s="1294">
        <f>Adm!AF4</f>
        <v>0</v>
      </c>
      <c r="AQ82" s="1295" t="s">
        <v>434</v>
      </c>
      <c r="AR82" s="1294">
        <v>8.5432677227072418</v>
      </c>
      <c r="AT82" s="1296">
        <f>AR82+0.000001</f>
        <v>8.543268722707241</v>
      </c>
    </row>
    <row r="83" spans="1:109" s="1126" customFormat="1" ht="23.25" customHeight="1">
      <c r="A83" s="1159"/>
      <c r="C83" s="1297" t="s">
        <v>435</v>
      </c>
      <c r="D83" s="1297"/>
      <c r="E83" s="1298" t="e">
        <f>CAT!E20</f>
        <v>#NUM!</v>
      </c>
      <c r="F83" s="1299" t="s">
        <v>436</v>
      </c>
      <c r="G83" s="1300"/>
      <c r="H83" s="1159"/>
      <c r="K83" s="1301"/>
      <c r="L83" s="1159"/>
      <c r="N83" s="1302" t="s">
        <v>437</v>
      </c>
      <c r="O83" s="1303"/>
      <c r="V83" s="1304"/>
      <c r="W83" s="1305"/>
      <c r="AB83" s="1306"/>
      <c r="AG83" s="1289">
        <f>IF(Adm!D4="Crecientes",1,0)</f>
        <v>0</v>
      </c>
      <c r="AI83" s="1242"/>
      <c r="AJ83" s="1307" t="s">
        <v>438</v>
      </c>
      <c r="AK83" s="1308">
        <f>Adm!AP3</f>
        <v>0</v>
      </c>
      <c r="AL83" s="1242"/>
      <c r="AM83" s="1242"/>
      <c r="AN83" s="1242"/>
      <c r="AO83" s="1242"/>
      <c r="AP83" s="1242"/>
      <c r="AQ83" s="1309" t="s">
        <v>438</v>
      </c>
      <c r="AR83" s="1308">
        <f>Adm!AP3</f>
        <v>0</v>
      </c>
      <c r="AS83" s="1242"/>
      <c r="AT83" s="1242"/>
      <c r="AU83" s="1242"/>
      <c r="AV83" s="1242"/>
      <c r="AW83" s="1242"/>
      <c r="AX83" s="1242"/>
      <c r="AY83" s="1242"/>
      <c r="AZ83" s="1242"/>
      <c r="BA83" s="1242"/>
      <c r="BB83" s="1242"/>
      <c r="BC83" s="1242"/>
      <c r="BD83" s="1242"/>
      <c r="BE83" s="1242"/>
      <c r="BF83" s="1242"/>
      <c r="BG83" s="1242"/>
      <c r="BH83" s="1242"/>
      <c r="BI83" s="1242"/>
      <c r="BJ83" s="1242"/>
      <c r="BK83" s="1242"/>
      <c r="BL83" s="1242"/>
      <c r="BM83" s="1243"/>
      <c r="BN83" s="1243"/>
      <c r="BO83" s="1243"/>
      <c r="BP83" s="1243"/>
      <c r="BQ83" s="1243"/>
      <c r="BR83" s="1243"/>
      <c r="BS83" s="1243"/>
      <c r="BT83" s="1243"/>
      <c r="BU83" s="1243"/>
      <c r="BV83" s="1243"/>
      <c r="BW83" s="1243"/>
      <c r="BX83" s="1242"/>
      <c r="BY83" s="1242"/>
      <c r="BZ83" s="1242"/>
      <c r="CA83" s="1242"/>
      <c r="CB83" s="1242"/>
      <c r="CC83" s="1242"/>
      <c r="CD83" s="1242"/>
      <c r="CE83" s="1242"/>
      <c r="CF83" s="1242"/>
      <c r="CG83" s="1242"/>
      <c r="CH83" s="1242"/>
      <c r="CI83" s="1242"/>
      <c r="CJ83" s="1242"/>
      <c r="CK83" s="1242"/>
      <c r="CL83" s="1242"/>
      <c r="CM83" s="1242"/>
      <c r="CN83" s="1242"/>
      <c r="CO83" s="1242"/>
      <c r="CP83" s="1242"/>
      <c r="CQ83" s="1242"/>
      <c r="CR83" s="1242"/>
      <c r="CS83" s="1242"/>
      <c r="CT83" s="1242"/>
      <c r="CU83" s="1242"/>
      <c r="CV83" s="1242"/>
      <c r="CW83" s="1242"/>
      <c r="CX83" s="1242"/>
      <c r="CY83" s="1242"/>
      <c r="CZ83" s="1242"/>
      <c r="DA83" s="1242"/>
      <c r="DB83" s="1242"/>
      <c r="DC83" s="1242"/>
      <c r="DD83" s="1242"/>
      <c r="DE83" s="1242"/>
    </row>
    <row r="84" spans="1:109" ht="22.5" customHeight="1">
      <c r="C84" s="1120" t="str">
        <f ca="1">CONCATENATE("Calculado al"," ",O2," ",".Para fines informativos y de comparación.")</f>
        <v>Calculado al 17 mar 2026 .Para fines informativos y de comparación.</v>
      </c>
      <c r="D84" s="1120"/>
      <c r="E84" s="1310"/>
      <c r="F84" s="1311"/>
      <c r="J84" s="1301"/>
      <c r="K84" s="1312" t="str">
        <f>IF(AND(Adm!B4=Adm!A118,Adm!G4=Adm!G15),"El salario es mayor? Sólo para ver las Aportaciones Patronales captura el salario",IF(Adm!B4=Adm!A113,"¿El salario es mayor? Sólo para ver las Aportaciones Patronales captura el salario",IF(AND(Adm!B4=Adm!A116,Adm!AC4=Adm!AC7),"El salario es mayor? Sólo para ver las Aportaciones Patronales captura el salario","")))</f>
        <v/>
      </c>
      <c r="L84" s="1313"/>
      <c r="N84" s="1121" t="s">
        <v>439</v>
      </c>
      <c r="O84" s="1151" t="str">
        <f>CONCATENATE(Y81," ","meses","")</f>
        <v>0 meses</v>
      </c>
      <c r="Q84" s="1153"/>
      <c r="Y84" s="1314" t="s">
        <v>440</v>
      </c>
      <c r="Z84" s="1314" t="s">
        <v>441</v>
      </c>
      <c r="AB84" s="1315" t="s">
        <v>442</v>
      </c>
      <c r="AC84" s="1316" t="s">
        <v>443</v>
      </c>
      <c r="AD84" s="1317">
        <f>D88</f>
        <v>0</v>
      </c>
      <c r="AJ84" s="1284" t="s">
        <v>7</v>
      </c>
      <c r="AK84" s="1318">
        <f>Cal!AB109</f>
        <v>0</v>
      </c>
      <c r="AQ84" s="1286" t="s">
        <v>7</v>
      </c>
      <c r="AR84" s="1318">
        <f>Cal!AB109</f>
        <v>0</v>
      </c>
    </row>
    <row r="85" spans="1:109" ht="9.75" customHeight="1">
      <c r="L85" s="1316"/>
      <c r="M85" s="1316"/>
      <c r="Y85" s="1319"/>
      <c r="Z85" s="1320"/>
    </row>
    <row r="86" spans="1:109" ht="39.6">
      <c r="A86" s="1321" t="s">
        <v>444</v>
      </c>
      <c r="B86" s="1322" t="s">
        <v>445</v>
      </c>
      <c r="C86" s="1323" t="s">
        <v>446</v>
      </c>
      <c r="D86" s="1323" t="s">
        <v>447</v>
      </c>
      <c r="E86" s="1323" t="s">
        <v>448</v>
      </c>
      <c r="F86" s="1323" t="s">
        <v>449</v>
      </c>
      <c r="G86" s="1323" t="s">
        <v>450</v>
      </c>
      <c r="H86" s="1323" t="str">
        <f>IF(H389&gt;0,"Seguro Vida","")</f>
        <v/>
      </c>
      <c r="I86" s="1323" t="str">
        <f>IF(I389&gt;0,"Seguro Daños","")</f>
        <v/>
      </c>
      <c r="J86" s="1323" t="s">
        <v>451</v>
      </c>
      <c r="K86" s="1323" t="str">
        <f>IF(Adm!O4&gt;0,"IVA de Intereses","")</f>
        <v/>
      </c>
      <c r="L86" s="1323" t="s">
        <v>452</v>
      </c>
      <c r="M86" s="1323" t="str">
        <f>IF(Adm!G4="si","Aportaciones Patronales","")</f>
        <v/>
      </c>
      <c r="N86" s="1323" t="s">
        <v>453</v>
      </c>
      <c r="O86" s="1324" t="s">
        <v>442</v>
      </c>
      <c r="P86" s="1325" t="str">
        <f>IF(Adm!B4=Adm!A118,"Disposiciones de Crédito para Construcción","")</f>
        <v/>
      </c>
      <c r="Q86" s="1325"/>
      <c r="R86" s="1325"/>
      <c r="S86" s="1325"/>
      <c r="T86" s="1325"/>
      <c r="V86" s="1326" t="s">
        <v>444</v>
      </c>
      <c r="W86" s="1327" t="s">
        <v>454</v>
      </c>
      <c r="Y86" s="1328">
        <f>Cal!AB128</f>
        <v>0</v>
      </c>
      <c r="Z86" s="1329"/>
      <c r="AB86" s="1330" t="s">
        <v>455</v>
      </c>
      <c r="AC86" s="1331" t="s">
        <v>456</v>
      </c>
      <c r="AD86" s="1332" t="s">
        <v>457</v>
      </c>
      <c r="AE86" s="1333" t="s">
        <v>458</v>
      </c>
      <c r="AF86" s="1334" t="s">
        <v>459</v>
      </c>
      <c r="AG86" s="1335" t="s">
        <v>460</v>
      </c>
      <c r="AI86" s="1293"/>
      <c r="AJ86" s="1336" t="s">
        <v>444</v>
      </c>
      <c r="AK86" s="1336" t="s">
        <v>448</v>
      </c>
      <c r="AL86" s="1336" t="s">
        <v>449</v>
      </c>
      <c r="AM86" s="1336" t="s">
        <v>461</v>
      </c>
      <c r="AN86" s="1336" t="s">
        <v>462</v>
      </c>
      <c r="AQ86" s="1337" t="s">
        <v>444</v>
      </c>
      <c r="AR86" s="1337" t="s">
        <v>448</v>
      </c>
      <c r="AS86" s="1337" t="s">
        <v>449</v>
      </c>
      <c r="AT86" s="1337" t="s">
        <v>461</v>
      </c>
      <c r="AU86" s="1337" t="s">
        <v>462</v>
      </c>
    </row>
    <row r="87" spans="1:109">
      <c r="A87" s="1101">
        <f ca="1">MONTH(N1)</f>
        <v>3</v>
      </c>
      <c r="B87" s="1338">
        <f>Adm!H4</f>
        <v>0</v>
      </c>
      <c r="C87" s="2141">
        <v>0</v>
      </c>
      <c r="D87" s="2141"/>
      <c r="E87" s="2141"/>
      <c r="F87" s="2141"/>
      <c r="G87" s="2141"/>
      <c r="H87" s="2141"/>
      <c r="I87" s="2141"/>
      <c r="J87" s="2141"/>
      <c r="K87" s="2141"/>
      <c r="L87" s="2141"/>
      <c r="M87" s="2141"/>
      <c r="N87" s="2142">
        <f>IF($C$39&lt;&gt;"",0,IF(Adm!B4=0,0,IF(G76=0,0,IF(Adm!B4=Adm!A118,Cal!AB120,Cal!AB119))))</f>
        <v>0</v>
      </c>
      <c r="O87" s="1339"/>
      <c r="V87" s="1340">
        <v>12</v>
      </c>
      <c r="W87" s="1341" t="s">
        <v>463</v>
      </c>
      <c r="Y87" s="1342"/>
      <c r="Z87" s="1343"/>
      <c r="AB87" s="1122"/>
      <c r="AG87" s="1344" t="s">
        <v>464</v>
      </c>
      <c r="AI87" s="1345">
        <v>1</v>
      </c>
      <c r="AJ87" s="1346"/>
      <c r="AK87" s="1347"/>
      <c r="AL87" s="1347"/>
      <c r="AM87" s="1347"/>
      <c r="AN87" s="1348">
        <f>AK80</f>
        <v>1000000</v>
      </c>
      <c r="AO87" s="1349"/>
      <c r="AP87" s="1349"/>
      <c r="AQ87" s="1346"/>
      <c r="AR87" s="1347">
        <v>-4.2534788807143958E+27</v>
      </c>
      <c r="AS87" s="1347"/>
      <c r="AT87" s="1347"/>
      <c r="AU87" s="1350">
        <f>AK80</f>
        <v>1000000</v>
      </c>
      <c r="AV87" s="1349"/>
      <c r="AW87" s="1349"/>
      <c r="AX87" s="1349"/>
      <c r="AY87" s="1349"/>
      <c r="AZ87" s="1349"/>
      <c r="BA87" s="1349"/>
      <c r="BB87" s="1349"/>
      <c r="BC87" s="1349"/>
      <c r="BD87" s="1349"/>
      <c r="BE87" s="1349"/>
      <c r="BF87" s="1349"/>
      <c r="BG87" s="1349"/>
      <c r="BH87" s="1349"/>
      <c r="BI87" s="1349"/>
      <c r="BJ87" s="1349"/>
      <c r="BK87" s="1349"/>
      <c r="BL87" s="1349"/>
      <c r="BM87" s="1349"/>
      <c r="BN87" s="1349"/>
      <c r="BO87" s="1349"/>
      <c r="BP87" s="1349"/>
      <c r="BQ87" s="1349"/>
      <c r="BR87" s="1349"/>
      <c r="BS87" s="1349"/>
      <c r="BT87" s="1349"/>
      <c r="BU87" s="1349"/>
      <c r="BV87" s="1349"/>
      <c r="BW87" s="1349"/>
      <c r="BX87" s="1349"/>
      <c r="BY87" s="1349"/>
      <c r="BZ87" s="1349"/>
      <c r="CA87" s="1349"/>
      <c r="CB87" s="1349"/>
      <c r="CC87" s="1349"/>
      <c r="CD87" s="1349"/>
      <c r="CE87" s="1349"/>
      <c r="CF87" s="1349"/>
      <c r="CG87" s="1349"/>
      <c r="CH87" s="1349"/>
      <c r="CI87" s="1349"/>
      <c r="CJ87" s="1349"/>
      <c r="CK87" s="1349"/>
      <c r="CL87" s="1349"/>
      <c r="CM87" s="1349"/>
      <c r="CN87" s="1349"/>
      <c r="CO87" s="1349"/>
      <c r="CP87" s="1349"/>
      <c r="CQ87" s="1349"/>
      <c r="CR87" s="1349"/>
      <c r="CS87" s="1349"/>
      <c r="CT87" s="1349"/>
      <c r="CU87" s="1349"/>
      <c r="CV87" s="1349"/>
      <c r="CW87" s="1349"/>
      <c r="CX87" s="1349"/>
      <c r="CY87" s="1349"/>
      <c r="CZ87" s="1349"/>
      <c r="DA87" s="1349"/>
      <c r="DB87" s="1349"/>
      <c r="DC87" s="1349"/>
      <c r="DD87" s="1349"/>
      <c r="DE87" s="1349"/>
    </row>
    <row r="88" spans="1:109">
      <c r="A88" s="1118">
        <f t="shared" ref="A88:A151" ca="1" si="0">IF(A87=12,1,A87+1)</f>
        <v>4</v>
      </c>
      <c r="B88" s="1351">
        <f>IF(N87&gt;0,B87-1,0)</f>
        <v>0</v>
      </c>
      <c r="C88" s="2143">
        <f>IF(N87&gt;0,C87+1,0)</f>
        <v>0</v>
      </c>
      <c r="D88" s="2144">
        <f>IF(N87&gt;0,Adm!AE6,0)</f>
        <v>0</v>
      </c>
      <c r="E88" s="2145">
        <f>IF(N87&lt;0.01,0,N87*D88*30.4166/360)</f>
        <v>0</v>
      </c>
      <c r="F88" s="2145">
        <f>IF(N87&lt;0.01,0,IF(Adm!$B$4=Adm!$A$118,0,G88-E88))</f>
        <v>0</v>
      </c>
      <c r="G88" s="2145">
        <f>IF(N87&lt;0.1,0,IF(Adm!$B$4=Adm!$A$118,E88,IF(Adm!D4=Adm!D7,Captura!N87*Adm!AF4/1000,PMT(((Adm!AE6/360)*(365/12)),Cal!AB109,-Captura!N87))))</f>
        <v>0</v>
      </c>
      <c r="H88" s="2145">
        <f>IF(N87&lt;0.01,0,IF(Adm!$S$4=Adm!$S$8,0,N87*Adm!$V$4))</f>
        <v>0</v>
      </c>
      <c r="I88" s="2145">
        <f>IF(N87&lt;0.01,0,IF(Adm!$S$5=Adm!$S$8,0,IF(Adm!$B$4=Adm!$A$118,Adm!$AA$11*Adm!$W$4,Adm!$AA$11*Adm!$X$4)))</f>
        <v>0</v>
      </c>
      <c r="J88" s="2145">
        <f>IF(N87&lt;0.01,0,Adm!$Q$4*1.16)</f>
        <v>0</v>
      </c>
      <c r="K88" s="2145">
        <f>IF(N87&lt;0.01,0,IF(Adm!$O$4&gt;0,E88*Adm!$O$4,0))</f>
        <v>0</v>
      </c>
      <c r="L88" s="2145">
        <f>G88+H88+I88+J88+K88</f>
        <v>0</v>
      </c>
      <c r="M88" s="2145">
        <f>IF(Adm!$G$4="si",MIN(N87+E88+H88+I88+J88-L88,Z88),0)</f>
        <v>0</v>
      </c>
      <c r="N88" s="2145">
        <f>IF(N87&lt;0.001,0,+N87-F88-M88-O88)</f>
        <v>0</v>
      </c>
      <c r="O88" s="2146"/>
      <c r="P88" s="1101"/>
      <c r="Q88" s="1153"/>
      <c r="V88" s="1352">
        <f>IF(V87=12,1,V87+1)</f>
        <v>1</v>
      </c>
      <c r="W88" s="1353"/>
      <c r="X88" s="1354"/>
      <c r="Y88" s="1355">
        <f>IF(AND(Adm!G4="si",L84&gt;0,L84&lt;Adm!G9),Captura!L84,IF(AND(Adm!G4="si",Captura!L84&gt;0,Captura!L84&gt;Adm!G9),Adm!G9,IF(AND(Adm!G4="si",Captura!L84=0,Captura!Y86&lt;Adm!G9),Captura!Y86,IF(AND(Adm!G4="si",Captura!L84=0,Captura!Y86&gt;Adm!G9),Adm!G9,0))))</f>
        <v>0</v>
      </c>
      <c r="Z88" s="1356">
        <v>0</v>
      </c>
      <c r="AA88" s="1354"/>
      <c r="AB88" s="1357"/>
      <c r="AC88" s="1358"/>
      <c r="AD88" s="1358"/>
      <c r="AE88" s="1358"/>
      <c r="AF88" s="1358"/>
      <c r="AG88" s="1359" t="e">
        <f>HLOOKUP($AG$83,anticipado,2,0)</f>
        <v>#N/A</v>
      </c>
      <c r="AI88" s="1360">
        <f>AL88/AN87</f>
        <v>0</v>
      </c>
      <c r="AJ88" s="1361">
        <v>1</v>
      </c>
      <c r="AK88" s="1362">
        <f>AN87*$AK$81*30.4166/360</f>
        <v>0</v>
      </c>
      <c r="AL88" s="1362">
        <f t="shared" ref="AL88:AL89" si="1">AM88-AK88</f>
        <v>0</v>
      </c>
      <c r="AM88" s="1362">
        <f>AN87*AK82/1000</f>
        <v>0</v>
      </c>
      <c r="AN88" s="1363">
        <f>IF(AN87&lt;0.001,0,AN87-AL88-AO88)</f>
        <v>1000000</v>
      </c>
      <c r="AO88" s="1364"/>
      <c r="AP88" s="1364"/>
      <c r="AQ88" s="1361">
        <v>1</v>
      </c>
      <c r="AR88" s="1362">
        <f>AU87*$AR$81*30.4166/360</f>
        <v>0</v>
      </c>
      <c r="AS88" s="1362">
        <f t="shared" ref="AS88:AS151" si="2">AT88-AR88</f>
        <v>8543.2677227072418</v>
      </c>
      <c r="AT88" s="1362">
        <f>AU87*AR82/1000</f>
        <v>8543.2677227072418</v>
      </c>
      <c r="AU88" s="1363">
        <f>IF(AU87&lt;0.001,0,AU87-AS88-AV88)</f>
        <v>991456.73227729276</v>
      </c>
      <c r="AV88" s="1364"/>
      <c r="AW88" s="1365"/>
      <c r="AX88" s="1365"/>
      <c r="AY88" s="1365"/>
      <c r="AZ88" s="1365"/>
      <c r="BA88" s="1365"/>
      <c r="BB88" s="1365"/>
      <c r="BC88" s="1365"/>
      <c r="BD88" s="1365"/>
      <c r="BE88" s="1365"/>
      <c r="BF88" s="1365"/>
      <c r="BG88" s="1365"/>
      <c r="BH88" s="1365"/>
      <c r="BI88" s="1365"/>
      <c r="BJ88" s="1365"/>
      <c r="BK88" s="1365"/>
      <c r="BL88" s="1365"/>
      <c r="BM88" s="1366"/>
      <c r="BN88" s="1366"/>
      <c r="BO88" s="1366"/>
      <c r="BP88" s="1366"/>
      <c r="BQ88" s="1366"/>
      <c r="BR88" s="1366"/>
      <c r="BS88" s="1366"/>
      <c r="BT88" s="1366"/>
      <c r="BU88" s="1366"/>
      <c r="BV88" s="1366"/>
      <c r="BW88" s="1366"/>
      <c r="BX88" s="1366"/>
      <c r="BY88" s="1366"/>
      <c r="BZ88" s="1366"/>
      <c r="CA88" s="1365"/>
      <c r="CB88" s="1365"/>
      <c r="CC88" s="1365"/>
      <c r="CD88" s="1365"/>
      <c r="CE88" s="1365"/>
      <c r="CF88" s="1365"/>
      <c r="CG88" s="1365"/>
      <c r="CH88" s="1365"/>
      <c r="CI88" s="1365"/>
      <c r="CJ88" s="1365"/>
      <c r="CK88" s="1365"/>
      <c r="CL88" s="1365"/>
      <c r="CM88" s="1365"/>
      <c r="CN88" s="1365"/>
      <c r="CO88" s="1365"/>
      <c r="CP88" s="1365"/>
      <c r="CQ88" s="1365"/>
      <c r="CR88" s="1365"/>
      <c r="CS88" s="1365"/>
      <c r="CT88" s="1365"/>
      <c r="CU88" s="1365"/>
      <c r="CV88" s="1365"/>
      <c r="CW88" s="1365"/>
      <c r="CX88" s="1365"/>
      <c r="CY88" s="1365"/>
      <c r="CZ88" s="1365"/>
      <c r="DA88" s="1365"/>
      <c r="DB88" s="1365"/>
      <c r="DC88" s="1365"/>
      <c r="DD88" s="1365"/>
      <c r="DE88" s="1365"/>
    </row>
    <row r="89" spans="1:109">
      <c r="A89" s="1118">
        <f t="shared" ca="1" si="0"/>
        <v>5</v>
      </c>
      <c r="B89" s="1351">
        <f t="shared" ref="B89:B152" si="3">IF(N88&gt;0,B88-1,0)</f>
        <v>0</v>
      </c>
      <c r="C89" s="2143">
        <f>IF(N88&lt;0.01,0,C88+1)</f>
        <v>0</v>
      </c>
      <c r="D89" s="2144">
        <f>IF(N88&lt;0.01,0,D88)</f>
        <v>0</v>
      </c>
      <c r="E89" s="2145">
        <f t="shared" ref="E89:E152" si="4">IF(N88&lt;0.01,0,N88*D89*30.4166/360)</f>
        <v>0</v>
      </c>
      <c r="F89" s="2145">
        <f>IF(N88&lt;0.01,0,IF(Adm!$B$4=Adm!$A$118,0,G89-E89))</f>
        <v>0</v>
      </c>
      <c r="G89" s="2145">
        <f>IF(N88&lt;0.1,0,MIN(N88+E89,IF(AB89&gt;0,AB89,IF(Adm!$B$4=Adm!$A$118,E89,G88*(1+W89)))))</f>
        <v>0</v>
      </c>
      <c r="H89" s="2145">
        <f>IF(N88&lt;0.01,0,IF(Adm!$S$4=Adm!$S$8,0,N88*Adm!$V$4))</f>
        <v>0</v>
      </c>
      <c r="I89" s="2145">
        <f>IF(N88&lt;0.01,0,IF(Adm!$S$5=Adm!$S$8,0,IF(Adm!$B$4=Adm!$A$118,Adm!$AA$11*Adm!$W$4,Adm!$AA$11*Adm!$X$4)))</f>
        <v>0</v>
      </c>
      <c r="J89" s="2145">
        <f>IF(N88&lt;0.01,0,Adm!$Q$4*1.16)</f>
        <v>0</v>
      </c>
      <c r="K89" s="2145">
        <f>IF(N88&lt;0.01,0,IF(Adm!$O$4&gt;0,E89*Adm!$O$4,0))</f>
        <v>0</v>
      </c>
      <c r="L89" s="2145">
        <f t="shared" ref="L89:L152" si="5">G89+H89+I89+J89+K89</f>
        <v>0</v>
      </c>
      <c r="M89" s="2145">
        <f>IF(Adm!$G$4="si",MIN(N88+E89+H89+I89+J89-L89,Z89),0)</f>
        <v>0</v>
      </c>
      <c r="N89" s="2145">
        <f t="shared" ref="N89:N152" si="6">IF(N88&lt;0.001,0,+N88-F89-M89-O89)</f>
        <v>0</v>
      </c>
      <c r="O89" s="2146"/>
      <c r="P89" s="1101"/>
      <c r="V89" s="1352">
        <f t="shared" ref="V89:V152" si="7">IF(V88=12,1,V88+1)</f>
        <v>2</v>
      </c>
      <c r="W89" s="1367">
        <f>IF(V89=1,Cal!$AB$127,0)</f>
        <v>0</v>
      </c>
      <c r="Y89" s="1368">
        <f>Y88</f>
        <v>0</v>
      </c>
      <c r="Z89" s="1369">
        <f t="shared" ref="Z89:Z152" ca="1" si="8">IF(MOD(A89,2)=0,Y89*0.05*2,0)</f>
        <v>0</v>
      </c>
      <c r="AB89" s="1370">
        <f>IF(AC89&gt;1,AC89,IF(AE89&gt;1,AE89,0))</f>
        <v>0</v>
      </c>
      <c r="AC89" s="1371">
        <f>IF(AND($AD$82=1,O88&gt;0.1),AD89,0)</f>
        <v>0</v>
      </c>
      <c r="AD89" s="1372">
        <f>IF(AND($AD$82=1,$AB$82=2),PMT((($D$88/360)*(365/12)),B88,-N88),0)</f>
        <v>0</v>
      </c>
      <c r="AE89" s="1373">
        <f>IF(AND(AF89&gt;0.01,$AB$82=2),AF89,0)</f>
        <v>0</v>
      </c>
      <c r="AF89" s="1371">
        <f>IF(AND($AD$82=2,O88&lt;0.01),0,IF($AD$82=2,(N88*AG89)+E89,0))</f>
        <v>0</v>
      </c>
      <c r="AG89" s="1359" t="e">
        <f>HLOOKUP($AG$83,anticipado,3,0)</f>
        <v>#N/A</v>
      </c>
      <c r="AI89" s="1360">
        <f t="shared" ref="AI89:AI152" si="9">AL89/AN88</f>
        <v>0</v>
      </c>
      <c r="AJ89" s="1361">
        <f>IF(AN88&lt;=0,"",AJ88+1)</f>
        <v>2</v>
      </c>
      <c r="AK89" s="1362">
        <f t="shared" ref="AK89:AK152" si="10">AN88*$AK$81*30.4166/360</f>
        <v>0</v>
      </c>
      <c r="AL89" s="1362">
        <f t="shared" si="1"/>
        <v>0</v>
      </c>
      <c r="AM89" s="1362">
        <f>MIN(AN88+AK89,AM88)</f>
        <v>0</v>
      </c>
      <c r="AN89" s="1363">
        <f t="shared" ref="AN89:AN152" si="11">IF(AN88&lt;0.001,0,AN88-AL89-AO89)</f>
        <v>1000000</v>
      </c>
      <c r="AO89" s="1364"/>
      <c r="AP89" s="1364"/>
      <c r="AQ89" s="1361">
        <f>IF(AU88&lt;=0,"",AQ88+1)</f>
        <v>2</v>
      </c>
      <c r="AR89" s="1362">
        <f t="shared" ref="AR89:AR152" si="12">AU88*$AR$81*30.4166/360</f>
        <v>0</v>
      </c>
      <c r="AS89" s="1362">
        <f t="shared" si="2"/>
        <v>8543.2677227072418</v>
      </c>
      <c r="AT89" s="1362">
        <f>MIN(AU88+AR89,AT88)</f>
        <v>8543.2677227072418</v>
      </c>
      <c r="AU89" s="1363">
        <f>IF(AU88&lt;0.001,0,AU88-AS89)</f>
        <v>982913.46455458552</v>
      </c>
      <c r="AV89" s="1364"/>
      <c r="AW89" s="1365"/>
      <c r="AX89" s="1365"/>
      <c r="AY89" s="1365"/>
      <c r="AZ89" s="1365"/>
      <c r="BA89" s="1365"/>
      <c r="BB89" s="1365"/>
      <c r="BC89" s="1365"/>
      <c r="BD89" s="1365"/>
      <c r="BE89" s="1365"/>
      <c r="BF89" s="1365"/>
      <c r="BG89" s="1365"/>
      <c r="BH89" s="1365"/>
      <c r="BI89" s="1365"/>
      <c r="BJ89" s="1365"/>
      <c r="BK89" s="1365"/>
      <c r="BL89" s="1365"/>
      <c r="BM89" s="1366"/>
      <c r="BN89" s="1366"/>
      <c r="BO89" s="1366"/>
      <c r="BP89" s="1366"/>
      <c r="BQ89" s="1366"/>
      <c r="BR89" s="1366"/>
      <c r="BS89" s="1366"/>
      <c r="BT89" s="1366"/>
      <c r="BU89" s="1366"/>
      <c r="BV89" s="1366"/>
      <c r="BW89" s="1366"/>
      <c r="BX89" s="1366"/>
      <c r="BY89" s="1366"/>
      <c r="BZ89" s="1366"/>
      <c r="CA89" s="1365"/>
      <c r="CB89" s="1365"/>
      <c r="CC89" s="1365"/>
      <c r="CD89" s="1365"/>
      <c r="CE89" s="1365"/>
      <c r="CF89" s="1365"/>
      <c r="CG89" s="1365"/>
      <c r="CH89" s="1365"/>
      <c r="CI89" s="1365"/>
      <c r="CJ89" s="1365"/>
      <c r="CK89" s="1365"/>
      <c r="CL89" s="1365"/>
      <c r="CM89" s="1365"/>
      <c r="CN89" s="1365"/>
      <c r="CO89" s="1365"/>
      <c r="CP89" s="1365"/>
      <c r="CQ89" s="1365"/>
      <c r="CR89" s="1365"/>
      <c r="CS89" s="1365"/>
      <c r="CT89" s="1365"/>
      <c r="CU89" s="1365"/>
      <c r="CV89" s="1365"/>
      <c r="CW89" s="1365"/>
      <c r="CX89" s="1365"/>
      <c r="CY89" s="1365"/>
      <c r="CZ89" s="1365"/>
      <c r="DA89" s="1365"/>
      <c r="DB89" s="1365"/>
      <c r="DC89" s="1365"/>
      <c r="DD89" s="1365"/>
      <c r="DE89" s="1365"/>
    </row>
    <row r="90" spans="1:109">
      <c r="A90" s="1118">
        <f t="shared" ca="1" si="0"/>
        <v>6</v>
      </c>
      <c r="B90" s="1351">
        <f t="shared" si="3"/>
        <v>0</v>
      </c>
      <c r="C90" s="2143">
        <f t="shared" ref="C90:C153" si="13">IF(N89&lt;0.01,0,C89+1)</f>
        <v>0</v>
      </c>
      <c r="D90" s="2144">
        <f t="shared" ref="D90:D153" si="14">IF(N89&lt;0.01,0,D89)</f>
        <v>0</v>
      </c>
      <c r="E90" s="2145">
        <f t="shared" si="4"/>
        <v>0</v>
      </c>
      <c r="F90" s="2145">
        <f>IF(N89&lt;0.01,0,IF(Adm!$B$4=Adm!$A$118,0,G90-E90))</f>
        <v>0</v>
      </c>
      <c r="G90" s="2145">
        <f>IF(N89&lt;0.1,0,MIN(N89+E90,IF(AB90&gt;0,AB90,IF(Adm!$B$4=Adm!$A$118,E90,G89*(1+W90)))))</f>
        <v>0</v>
      </c>
      <c r="H90" s="2145">
        <f>IF(N89&lt;0.01,0,IF(Adm!$S$4=Adm!$S$8,0,N89*Adm!$V$4))</f>
        <v>0</v>
      </c>
      <c r="I90" s="2145">
        <f>IF(N89&lt;0.01,0,IF(Adm!$S$5=Adm!$S$8,0,IF(Adm!$B$4=Adm!$A$118,Adm!$AA$11*Adm!$W$4,Adm!$AA$11*Adm!$X$4)))</f>
        <v>0</v>
      </c>
      <c r="J90" s="2145">
        <f>IF(N89&lt;0.01,0,Adm!$Q$4*1.16)</f>
        <v>0</v>
      </c>
      <c r="K90" s="2145">
        <f>IF(N89&lt;0.01,0,IF(Adm!$O$4&gt;0,E90*Adm!$O$4,0))</f>
        <v>0</v>
      </c>
      <c r="L90" s="2145">
        <f t="shared" si="5"/>
        <v>0</v>
      </c>
      <c r="M90" s="2145">
        <f>IF(Adm!$G$4="si",MIN(N89+E90+H90+I90+J90-L90,Z90),0)</f>
        <v>0</v>
      </c>
      <c r="N90" s="2145">
        <f>IF(N89&lt;0.001,0,+N89-F90-M90-O90+P90)</f>
        <v>0</v>
      </c>
      <c r="O90" s="2146"/>
      <c r="P90" s="1374">
        <f>IF(G76=0,0,IF(AND(Adm!$B$4=Adm!$A$118,Adm!$E$13=12),Cal!$C$121,0))</f>
        <v>0</v>
      </c>
      <c r="V90" s="1352">
        <f t="shared" si="7"/>
        <v>3</v>
      </c>
      <c r="W90" s="1367">
        <f>IF(V90=1,Cal!$AB$127,0)</f>
        <v>0</v>
      </c>
      <c r="Y90" s="1368">
        <f t="shared" ref="Y90:Y153" si="15">Y89</f>
        <v>0</v>
      </c>
      <c r="Z90" s="1369">
        <f t="shared" ca="1" si="8"/>
        <v>0</v>
      </c>
      <c r="AB90" s="1375">
        <f t="shared" ref="AB90:AB153" si="16">IF(AC90&gt;1,AC90,IF(AE90&gt;1,AE90,0))</f>
        <v>0</v>
      </c>
      <c r="AC90" s="1373">
        <f t="shared" ref="AC90:AC153" si="17">IF(AND($AD$82=1,O89&gt;0.1),AD90,0)</f>
        <v>0</v>
      </c>
      <c r="AD90" s="1373">
        <f>IF(AND($AD$82=1,$AB$82=2),PMT((($D$88/360)*(365/12)),B89,-N89),0)</f>
        <v>0</v>
      </c>
      <c r="AE90" s="1373">
        <f t="shared" ref="AE90:AE153" si="18">IF(AND(AF90&gt;0.01,$AB$82=2),AF90,0)</f>
        <v>0</v>
      </c>
      <c r="AF90" s="1371">
        <f t="shared" ref="AF90:AF151" si="19">IF(AND($AD$82=2,O89&lt;0.01),0,IF($AD$82=2,(N89*AG90)+E90,0))</f>
        <v>0</v>
      </c>
      <c r="AG90" s="1359" t="e">
        <f>HLOOKUP($AG$83,anticipado,4,0)</f>
        <v>#N/A</v>
      </c>
      <c r="AI90" s="1360">
        <f t="shared" si="9"/>
        <v>0</v>
      </c>
      <c r="AJ90" s="1361">
        <f>IF(AN89&lt;=0,"",AJ89+1)</f>
        <v>3</v>
      </c>
      <c r="AK90" s="1362">
        <f t="shared" si="10"/>
        <v>0</v>
      </c>
      <c r="AL90" s="1362">
        <f t="shared" ref="AL90" si="20">AM90-AK90</f>
        <v>0</v>
      </c>
      <c r="AM90" s="1362">
        <f t="shared" ref="AM90:AM153" si="21">MIN(AN89+AK90,AM89)</f>
        <v>0</v>
      </c>
      <c r="AN90" s="1363">
        <f t="shared" si="11"/>
        <v>1000000</v>
      </c>
      <c r="AO90" s="1364"/>
      <c r="AP90" s="1364"/>
      <c r="AQ90" s="1361">
        <f>IF(AU89&lt;=0,"",AQ89+1)</f>
        <v>3</v>
      </c>
      <c r="AR90" s="1362">
        <f t="shared" si="12"/>
        <v>0</v>
      </c>
      <c r="AS90" s="1362">
        <f t="shared" si="2"/>
        <v>8543.2677227072418</v>
      </c>
      <c r="AT90" s="1362">
        <f t="shared" ref="AT90:AT99" si="22">MIN(AU89+AR90,AT89)</f>
        <v>8543.2677227072418</v>
      </c>
      <c r="AU90" s="1363">
        <f t="shared" ref="AU90:AU153" si="23">IF(AU89&lt;0.001,0,AU89-AS90)</f>
        <v>974370.19683187827</v>
      </c>
      <c r="AV90" s="1364"/>
      <c r="AW90" s="1365"/>
      <c r="AX90" s="1365"/>
      <c r="AY90" s="1365"/>
      <c r="AZ90" s="1365"/>
      <c r="BA90" s="1365"/>
      <c r="BB90" s="1365"/>
      <c r="BC90" s="1365"/>
      <c r="BD90" s="1365"/>
      <c r="BE90" s="1365"/>
      <c r="BF90" s="1365"/>
      <c r="BG90" s="1365"/>
      <c r="BH90" s="1365"/>
      <c r="BI90" s="1365"/>
      <c r="BJ90" s="1365"/>
      <c r="BK90" s="1365"/>
      <c r="BL90" s="1365"/>
      <c r="BM90" s="1366"/>
      <c r="BN90" s="1366"/>
      <c r="BO90" s="1366"/>
      <c r="BP90" s="1366"/>
      <c r="BQ90" s="1366"/>
      <c r="BR90" s="1366"/>
      <c r="BS90" s="1366"/>
      <c r="BT90" s="1366"/>
      <c r="BU90" s="1366"/>
      <c r="BV90" s="1366"/>
      <c r="BW90" s="1366"/>
      <c r="BX90" s="1366"/>
      <c r="BY90" s="1366"/>
      <c r="BZ90" s="1366"/>
      <c r="CA90" s="1365"/>
      <c r="CB90" s="1365"/>
      <c r="CC90" s="1365"/>
      <c r="CD90" s="1365"/>
      <c r="CE90" s="1365"/>
      <c r="CF90" s="1365"/>
      <c r="CG90" s="1365"/>
      <c r="CH90" s="1365"/>
      <c r="CI90" s="1365"/>
      <c r="CJ90" s="1365"/>
      <c r="CK90" s="1365"/>
      <c r="CL90" s="1365"/>
      <c r="CM90" s="1365"/>
      <c r="CN90" s="1365"/>
      <c r="CO90" s="1365"/>
      <c r="CP90" s="1365"/>
      <c r="CQ90" s="1365"/>
      <c r="CR90" s="1365"/>
      <c r="CS90" s="1365"/>
      <c r="CT90" s="1365"/>
      <c r="CU90" s="1365"/>
      <c r="CV90" s="1365"/>
      <c r="CW90" s="1365"/>
      <c r="CX90" s="1365"/>
      <c r="CY90" s="1365"/>
      <c r="CZ90" s="1365"/>
      <c r="DA90" s="1365"/>
      <c r="DB90" s="1365"/>
      <c r="DC90" s="1365"/>
      <c r="DD90" s="1365"/>
      <c r="DE90" s="1365"/>
    </row>
    <row r="91" spans="1:109">
      <c r="A91" s="1118">
        <f t="shared" ca="1" si="0"/>
        <v>7</v>
      </c>
      <c r="B91" s="1351">
        <f t="shared" si="3"/>
        <v>0</v>
      </c>
      <c r="C91" s="2143">
        <f t="shared" si="13"/>
        <v>0</v>
      </c>
      <c r="D91" s="2144">
        <f t="shared" si="14"/>
        <v>0</v>
      </c>
      <c r="E91" s="2145">
        <f t="shared" si="4"/>
        <v>0</v>
      </c>
      <c r="F91" s="2145">
        <f>IF(N90&lt;0.01,0,IF(Adm!$B$4=Adm!$A$118,0,G91-E91))</f>
        <v>0</v>
      </c>
      <c r="G91" s="2145">
        <f>IF(N90&lt;0.1,0,MIN(N90+E91,IF(AB91&gt;0,AB91,IF(Adm!$B$4=Adm!$A$118,E91,G90*(1+W91)))))</f>
        <v>0</v>
      </c>
      <c r="H91" s="2145">
        <f>IF(N90&lt;0.01,0,IF(Adm!$S$4=Adm!$S$8,0,N90*Adm!$V$4))</f>
        <v>0</v>
      </c>
      <c r="I91" s="2145">
        <f>IF(N90&lt;0.01,0,IF(Adm!$S$5=Adm!$S$8,0,IF(Adm!$B$4=Adm!$A$118,Adm!$AA$11*Adm!$W$4,Adm!$AA$11*Adm!$X$4)))</f>
        <v>0</v>
      </c>
      <c r="J91" s="2145">
        <f>IF(N90&lt;0.01,0,Adm!$Q$4*1.16)</f>
        <v>0</v>
      </c>
      <c r="K91" s="2145">
        <f>IF(N90&lt;0.01,0,IF(Adm!$O$4&gt;0,E91*Adm!$O$4,0))</f>
        <v>0</v>
      </c>
      <c r="L91" s="2145">
        <f t="shared" si="5"/>
        <v>0</v>
      </c>
      <c r="M91" s="2145">
        <f>IF(Adm!$G$4="si",MIN(N90+E91+H91+I91+J91-L91,Z91),0)</f>
        <v>0</v>
      </c>
      <c r="N91" s="2145">
        <f>IF(N90&lt;0.001,0,+N90-F91-M91-O91+P91)</f>
        <v>0</v>
      </c>
      <c r="O91" s="2146"/>
      <c r="P91" s="1374">
        <f>IF(G76=0,0,IF(AND(Adm!$B$4=Adm!$A$118,Adm!$E$13=18),Cal!$C$121,0))</f>
        <v>0</v>
      </c>
      <c r="V91" s="1352">
        <f t="shared" si="7"/>
        <v>4</v>
      </c>
      <c r="W91" s="1367">
        <f>IF(V91=1,Cal!$AB$127,0)</f>
        <v>0</v>
      </c>
      <c r="Y91" s="1368">
        <f t="shared" si="15"/>
        <v>0</v>
      </c>
      <c r="Z91" s="1369">
        <f t="shared" ca="1" si="8"/>
        <v>0</v>
      </c>
      <c r="AB91" s="1375">
        <f t="shared" si="16"/>
        <v>0</v>
      </c>
      <c r="AC91" s="1373">
        <f t="shared" si="17"/>
        <v>0</v>
      </c>
      <c r="AD91" s="1373">
        <f t="shared" ref="AD91:AD154" si="24">IF(AND($AD$82=1,$AB$82=2),PMT((($D$88/360)*(365/12)),B90,-N90),0)</f>
        <v>0</v>
      </c>
      <c r="AE91" s="1373">
        <f t="shared" si="18"/>
        <v>0</v>
      </c>
      <c r="AF91" s="1371">
        <f t="shared" si="19"/>
        <v>0</v>
      </c>
      <c r="AG91" s="1359" t="e">
        <f>HLOOKUP($AG$83,anticipado,5,0)</f>
        <v>#N/A</v>
      </c>
      <c r="AI91" s="1360">
        <f t="shared" si="9"/>
        <v>0</v>
      </c>
      <c r="AJ91" s="1361">
        <f t="shared" ref="AJ91:AJ154" si="25">IF(AN90&lt;=0,"",AJ90+1)</f>
        <v>4</v>
      </c>
      <c r="AK91" s="1362">
        <f t="shared" si="10"/>
        <v>0</v>
      </c>
      <c r="AL91" s="1362">
        <f t="shared" ref="AL91:AL154" si="26">AM91-AK91</f>
        <v>0</v>
      </c>
      <c r="AM91" s="1362">
        <f t="shared" si="21"/>
        <v>0</v>
      </c>
      <c r="AN91" s="1363">
        <f t="shared" si="11"/>
        <v>1000000</v>
      </c>
      <c r="AO91" s="1364"/>
      <c r="AP91" s="1364"/>
      <c r="AQ91" s="1361">
        <f t="shared" ref="AQ91:AQ154" si="27">IF(AU90&lt;=0,"",AQ90+1)</f>
        <v>4</v>
      </c>
      <c r="AR91" s="1362">
        <f t="shared" si="12"/>
        <v>0</v>
      </c>
      <c r="AS91" s="1362">
        <f t="shared" si="2"/>
        <v>8543.2677227072418</v>
      </c>
      <c r="AT91" s="1362">
        <f t="shared" si="22"/>
        <v>8543.2677227072418</v>
      </c>
      <c r="AU91" s="1363">
        <f t="shared" si="23"/>
        <v>965826.92910917103</v>
      </c>
      <c r="AV91" s="1364"/>
      <c r="AW91" s="1365"/>
      <c r="AX91" s="1365"/>
      <c r="AY91" s="1365"/>
      <c r="AZ91" s="1365"/>
      <c r="BA91" s="1365"/>
      <c r="BB91" s="1365"/>
      <c r="BC91" s="1365"/>
      <c r="BD91" s="1365"/>
      <c r="BE91" s="1365"/>
      <c r="BF91" s="1365"/>
      <c r="BG91" s="1365"/>
      <c r="BH91" s="1365"/>
      <c r="BI91" s="1365"/>
      <c r="BJ91" s="1365"/>
      <c r="BK91" s="1365"/>
      <c r="BL91" s="1365"/>
      <c r="BM91" s="1366"/>
      <c r="BN91" s="1366"/>
      <c r="BO91" s="1366"/>
      <c r="BP91" s="1366"/>
      <c r="BQ91" s="1366"/>
      <c r="BR91" s="1366"/>
      <c r="BS91" s="1366"/>
      <c r="BT91" s="1366"/>
      <c r="BU91" s="1366"/>
      <c r="BV91" s="1366"/>
      <c r="BW91" s="1366"/>
      <c r="BX91" s="1366"/>
      <c r="BY91" s="1366"/>
      <c r="BZ91" s="1366"/>
      <c r="CA91" s="1365"/>
      <c r="CB91" s="1365"/>
      <c r="CC91" s="1365"/>
      <c r="CD91" s="1365"/>
      <c r="CE91" s="1365"/>
      <c r="CF91" s="1365"/>
      <c r="CG91" s="1365"/>
      <c r="CH91" s="1365"/>
      <c r="CI91" s="1365"/>
      <c r="CJ91" s="1365"/>
      <c r="CK91" s="1365"/>
      <c r="CL91" s="1365"/>
      <c r="CM91" s="1365"/>
      <c r="CN91" s="1365"/>
      <c r="CO91" s="1365"/>
      <c r="CP91" s="1365"/>
      <c r="CQ91" s="1365"/>
      <c r="CR91" s="1365"/>
      <c r="CS91" s="1365"/>
      <c r="CT91" s="1365"/>
      <c r="CU91" s="1365"/>
      <c r="CV91" s="1365"/>
      <c r="CW91" s="1365"/>
      <c r="CX91" s="1365"/>
      <c r="CY91" s="1365"/>
      <c r="CZ91" s="1365"/>
      <c r="DA91" s="1365"/>
      <c r="DB91" s="1365"/>
      <c r="DC91" s="1365"/>
      <c r="DD91" s="1365"/>
      <c r="DE91" s="1365"/>
    </row>
    <row r="92" spans="1:109">
      <c r="A92" s="1118">
        <f t="shared" ca="1" si="0"/>
        <v>8</v>
      </c>
      <c r="B92" s="1351">
        <f t="shared" si="3"/>
        <v>0</v>
      </c>
      <c r="C92" s="2143">
        <f t="shared" si="13"/>
        <v>0</v>
      </c>
      <c r="D92" s="2144">
        <f t="shared" si="14"/>
        <v>0</v>
      </c>
      <c r="E92" s="2145">
        <f t="shared" si="4"/>
        <v>0</v>
      </c>
      <c r="F92" s="2145">
        <f>IF(N91&lt;0.01,0,IF(Adm!$B$4=Adm!$A$118,0,G92-E92))</f>
        <v>0</v>
      </c>
      <c r="G92" s="2145">
        <f>IF(N91&lt;0.1,0,MIN(N91+E92,IF(AB92&gt;0,AB92,IF(Adm!$B$4=Adm!$A$118,E92,G91*(1+W92)))))</f>
        <v>0</v>
      </c>
      <c r="H92" s="2145">
        <f>IF(N91&lt;0.01,0,IF(Adm!$S$4=Adm!$S$8,0,N91*Adm!$V$4))</f>
        <v>0</v>
      </c>
      <c r="I92" s="2145">
        <f>IF(N91&lt;0.01,0,IF(Adm!$S$5=Adm!$S$8,0,IF(Adm!$B$4=Adm!$A$118,Adm!$AA$11*Adm!$W$4,Adm!$AA$11*Adm!$X$4)))</f>
        <v>0</v>
      </c>
      <c r="J92" s="2145">
        <f>IF(N91&lt;0.01,0,Adm!$Q$4*1.16)</f>
        <v>0</v>
      </c>
      <c r="K92" s="2145">
        <f>IF(N91&lt;0.01,0,IF(Adm!$O$4&gt;0,E92*Adm!$O$4,0))</f>
        <v>0</v>
      </c>
      <c r="L92" s="2145">
        <f t="shared" si="5"/>
        <v>0</v>
      </c>
      <c r="M92" s="2145">
        <f>IF(Adm!$G$4="si",MIN(N91+E92+H92+I92+J92-L92,Z92),0)</f>
        <v>0</v>
      </c>
      <c r="N92" s="2145">
        <f>IF(N91&lt;0.001,0,+N91-F92-M92-O92)</f>
        <v>0</v>
      </c>
      <c r="O92" s="2146"/>
      <c r="V92" s="1352">
        <f t="shared" si="7"/>
        <v>5</v>
      </c>
      <c r="W92" s="1367">
        <f>IF(V92=1,Cal!$AB$127,0)</f>
        <v>0</v>
      </c>
      <c r="Y92" s="1368">
        <f t="shared" si="15"/>
        <v>0</v>
      </c>
      <c r="Z92" s="1369">
        <f t="shared" ca="1" si="8"/>
        <v>0</v>
      </c>
      <c r="AB92" s="1375">
        <f t="shared" si="16"/>
        <v>0</v>
      </c>
      <c r="AC92" s="1373">
        <f t="shared" si="17"/>
        <v>0</v>
      </c>
      <c r="AD92" s="1373">
        <f t="shared" si="24"/>
        <v>0</v>
      </c>
      <c r="AE92" s="1373">
        <f t="shared" si="18"/>
        <v>0</v>
      </c>
      <c r="AF92" s="1371">
        <f t="shared" si="19"/>
        <v>0</v>
      </c>
      <c r="AG92" s="1359" t="e">
        <f>HLOOKUP($AG$83,anticipado,6,0)</f>
        <v>#N/A</v>
      </c>
      <c r="AI92" s="1360">
        <f t="shared" si="9"/>
        <v>0</v>
      </c>
      <c r="AJ92" s="1361">
        <f t="shared" si="25"/>
        <v>5</v>
      </c>
      <c r="AK92" s="1362">
        <f t="shared" si="10"/>
        <v>0</v>
      </c>
      <c r="AL92" s="1362">
        <f t="shared" si="26"/>
        <v>0</v>
      </c>
      <c r="AM92" s="1362">
        <f t="shared" si="21"/>
        <v>0</v>
      </c>
      <c r="AN92" s="1363">
        <f t="shared" si="11"/>
        <v>1000000</v>
      </c>
      <c r="AO92" s="1364"/>
      <c r="AP92" s="1364"/>
      <c r="AQ92" s="1361">
        <f t="shared" si="27"/>
        <v>5</v>
      </c>
      <c r="AR92" s="1362">
        <f t="shared" si="12"/>
        <v>0</v>
      </c>
      <c r="AS92" s="1362">
        <f t="shared" si="2"/>
        <v>8543.2677227072418</v>
      </c>
      <c r="AT92" s="1362">
        <f t="shared" si="22"/>
        <v>8543.2677227072418</v>
      </c>
      <c r="AU92" s="1363">
        <f t="shared" si="23"/>
        <v>957283.66138646379</v>
      </c>
      <c r="AV92" s="1364"/>
      <c r="AW92" s="1365"/>
      <c r="AX92" s="1365"/>
      <c r="AY92" s="1365"/>
      <c r="AZ92" s="1365"/>
      <c r="BA92" s="1365"/>
      <c r="BB92" s="1365"/>
      <c r="BC92" s="1365"/>
      <c r="BD92" s="1365"/>
      <c r="BE92" s="1365"/>
      <c r="BF92" s="1365"/>
      <c r="BG92" s="1365"/>
      <c r="BH92" s="1365"/>
      <c r="BI92" s="1365"/>
      <c r="BJ92" s="1365"/>
      <c r="BK92" s="1365"/>
      <c r="BL92" s="1365"/>
      <c r="BM92" s="1366"/>
      <c r="BN92" s="1366"/>
      <c r="BO92" s="1366"/>
      <c r="BP92" s="1366"/>
      <c r="BQ92" s="1366"/>
      <c r="BR92" s="1366"/>
      <c r="BS92" s="1366"/>
      <c r="BT92" s="1366"/>
      <c r="BU92" s="1366"/>
      <c r="BV92" s="1366"/>
      <c r="BW92" s="1366"/>
      <c r="BX92" s="1366"/>
      <c r="BY92" s="1366"/>
      <c r="BZ92" s="1366"/>
      <c r="CA92" s="1365"/>
      <c r="CB92" s="1365"/>
      <c r="CC92" s="1365"/>
      <c r="CD92" s="1365"/>
      <c r="CE92" s="1365"/>
      <c r="CF92" s="1365"/>
      <c r="CG92" s="1365"/>
      <c r="CH92" s="1365"/>
      <c r="CI92" s="1365"/>
      <c r="CJ92" s="1365"/>
      <c r="CK92" s="1365"/>
      <c r="CL92" s="1365"/>
      <c r="CM92" s="1365"/>
      <c r="CN92" s="1365"/>
      <c r="CO92" s="1365"/>
      <c r="CP92" s="1365"/>
      <c r="CQ92" s="1365"/>
      <c r="CR92" s="1365"/>
      <c r="CS92" s="1365"/>
      <c r="CT92" s="1365"/>
      <c r="CU92" s="1365"/>
      <c r="CV92" s="1365"/>
      <c r="CW92" s="1365"/>
      <c r="CX92" s="1365"/>
      <c r="CY92" s="1365"/>
      <c r="CZ92" s="1365"/>
      <c r="DA92" s="1365"/>
      <c r="DB92" s="1365"/>
      <c r="DC92" s="1365"/>
      <c r="DD92" s="1365"/>
      <c r="DE92" s="1365"/>
    </row>
    <row r="93" spans="1:109">
      <c r="A93" s="1118">
        <f t="shared" ca="1" si="0"/>
        <v>9</v>
      </c>
      <c r="B93" s="1351">
        <f t="shared" si="3"/>
        <v>0</v>
      </c>
      <c r="C93" s="2143">
        <f t="shared" si="13"/>
        <v>0</v>
      </c>
      <c r="D93" s="2144">
        <f t="shared" si="14"/>
        <v>0</v>
      </c>
      <c r="E93" s="2145">
        <f t="shared" si="4"/>
        <v>0</v>
      </c>
      <c r="F93" s="2145">
        <f>IF(N92&lt;0.01,0,IF(Adm!$B$4=Adm!$A$118,0,G93-E93))</f>
        <v>0</v>
      </c>
      <c r="G93" s="2145">
        <f>IF(N92&lt;0.1,0,MIN(N92+E93,IF(AB93&gt;0,AB93,IF(Adm!$B$4=Adm!$A$118,E93,G92*(1+W93)))))</f>
        <v>0</v>
      </c>
      <c r="H93" s="2145">
        <f>IF(N92&lt;0.01,0,IF(Adm!$S$4=Adm!$S$8,0,N92*Adm!$V$4))</f>
        <v>0</v>
      </c>
      <c r="I93" s="2145">
        <f>IF(N92&lt;0.01,0,IF(Adm!$S$5=Adm!$S$8,0,IF(Adm!$B$4=Adm!$A$118,Adm!$AA$11*Adm!$W$4,Adm!$AA$11*Adm!$X$4)))</f>
        <v>0</v>
      </c>
      <c r="J93" s="2145">
        <f>IF(N92&lt;0.01,0,Adm!$Q$4*1.16)</f>
        <v>0</v>
      </c>
      <c r="K93" s="2145">
        <f>IF(N92&lt;0.01,0,IF(Adm!$O$4&gt;0,E93*Adm!$O$4,0))</f>
        <v>0</v>
      </c>
      <c r="L93" s="2145">
        <f t="shared" si="5"/>
        <v>0</v>
      </c>
      <c r="M93" s="2145">
        <f>IF(Adm!$G$4="si",MIN(N92+E93+H93+I93+J93-L93,Z93),0)</f>
        <v>0</v>
      </c>
      <c r="N93" s="2145">
        <f>IF(N92&lt;0.001,0,+N92-F93-M93-O93+P93)</f>
        <v>0</v>
      </c>
      <c r="O93" s="2146"/>
      <c r="P93" s="1374">
        <f>IF(G76=0,0,IF(AND(Adm!$B$4=Adm!$A$118,Adm!$E$13=12),Cal!$C$121,0))</f>
        <v>0</v>
      </c>
      <c r="V93" s="1352">
        <f t="shared" si="7"/>
        <v>6</v>
      </c>
      <c r="W93" s="1367">
        <f>IF(V93=1,Cal!$AB$127,0)</f>
        <v>0</v>
      </c>
      <c r="Y93" s="1368">
        <f t="shared" si="15"/>
        <v>0</v>
      </c>
      <c r="Z93" s="1369">
        <f t="shared" ca="1" si="8"/>
        <v>0</v>
      </c>
      <c r="AB93" s="1375">
        <f t="shared" si="16"/>
        <v>0</v>
      </c>
      <c r="AC93" s="1373">
        <f t="shared" si="17"/>
        <v>0</v>
      </c>
      <c r="AD93" s="1373">
        <f t="shared" si="24"/>
        <v>0</v>
      </c>
      <c r="AE93" s="1373">
        <f t="shared" si="18"/>
        <v>0</v>
      </c>
      <c r="AF93" s="1371">
        <f t="shared" si="19"/>
        <v>0</v>
      </c>
      <c r="AG93" s="1359" t="e">
        <f>HLOOKUP($AG$83,anticipado,7,0)</f>
        <v>#N/A</v>
      </c>
      <c r="AI93" s="1360">
        <f t="shared" si="9"/>
        <v>0</v>
      </c>
      <c r="AJ93" s="1361">
        <f t="shared" si="25"/>
        <v>6</v>
      </c>
      <c r="AK93" s="1362">
        <f t="shared" si="10"/>
        <v>0</v>
      </c>
      <c r="AL93" s="1362">
        <f t="shared" si="26"/>
        <v>0</v>
      </c>
      <c r="AM93" s="1362">
        <f t="shared" si="21"/>
        <v>0</v>
      </c>
      <c r="AN93" s="1363">
        <f t="shared" si="11"/>
        <v>1000000</v>
      </c>
      <c r="AO93" s="1364"/>
      <c r="AP93" s="1364"/>
      <c r="AQ93" s="1361">
        <f t="shared" si="27"/>
        <v>6</v>
      </c>
      <c r="AR93" s="1362">
        <f t="shared" si="12"/>
        <v>0</v>
      </c>
      <c r="AS93" s="1362">
        <f t="shared" si="2"/>
        <v>8543.2677227072418</v>
      </c>
      <c r="AT93" s="1362">
        <f t="shared" si="22"/>
        <v>8543.2677227072418</v>
      </c>
      <c r="AU93" s="1363">
        <f t="shared" si="23"/>
        <v>948740.39366375655</v>
      </c>
      <c r="AV93" s="1364"/>
      <c r="AW93" s="1365"/>
      <c r="AX93" s="1365"/>
      <c r="AY93" s="1365"/>
      <c r="AZ93" s="1365"/>
      <c r="BA93" s="1365"/>
      <c r="BB93" s="1365"/>
      <c r="BC93" s="1365"/>
      <c r="BD93" s="1365"/>
      <c r="BE93" s="1365"/>
      <c r="BF93" s="1365"/>
      <c r="BG93" s="1365"/>
      <c r="BH93" s="1365"/>
      <c r="BI93" s="1365"/>
      <c r="BJ93" s="1365"/>
      <c r="BK93" s="1365"/>
      <c r="BL93" s="1365"/>
      <c r="BM93" s="1366"/>
      <c r="BN93" s="1366"/>
      <c r="BO93" s="1366"/>
      <c r="BP93" s="1366"/>
      <c r="BQ93" s="1366"/>
      <c r="BR93" s="1366"/>
      <c r="BS93" s="1366"/>
      <c r="BT93" s="1366"/>
      <c r="BU93" s="1366"/>
      <c r="BV93" s="1366"/>
      <c r="BW93" s="1366"/>
      <c r="BX93" s="1366"/>
      <c r="BY93" s="1366"/>
      <c r="BZ93" s="1366"/>
      <c r="CA93" s="1365"/>
      <c r="CB93" s="1365"/>
      <c r="CC93" s="1365"/>
      <c r="CD93" s="1365"/>
      <c r="CE93" s="1365"/>
      <c r="CF93" s="1365"/>
      <c r="CG93" s="1365"/>
      <c r="CH93" s="1365"/>
      <c r="CI93" s="1365"/>
      <c r="CJ93" s="1365"/>
      <c r="CK93" s="1365"/>
      <c r="CL93" s="1365"/>
      <c r="CM93" s="1365"/>
      <c r="CN93" s="1365"/>
      <c r="CO93" s="1365"/>
      <c r="CP93" s="1365"/>
      <c r="CQ93" s="1365"/>
      <c r="CR93" s="1365"/>
      <c r="CS93" s="1365"/>
      <c r="CT93" s="1365"/>
      <c r="CU93" s="1365"/>
      <c r="CV93" s="1365"/>
      <c r="CW93" s="1365"/>
      <c r="CX93" s="1365"/>
      <c r="CY93" s="1365"/>
      <c r="CZ93" s="1365"/>
      <c r="DA93" s="1365"/>
      <c r="DB93" s="1365"/>
      <c r="DC93" s="1365"/>
      <c r="DD93" s="1365"/>
      <c r="DE93" s="1365"/>
    </row>
    <row r="94" spans="1:109">
      <c r="A94" s="1118">
        <f t="shared" ca="1" si="0"/>
        <v>10</v>
      </c>
      <c r="B94" s="1351">
        <f t="shared" si="3"/>
        <v>0</v>
      </c>
      <c r="C94" s="2143">
        <f t="shared" si="13"/>
        <v>0</v>
      </c>
      <c r="D94" s="2144">
        <f t="shared" si="14"/>
        <v>0</v>
      </c>
      <c r="E94" s="2145">
        <f t="shared" si="4"/>
        <v>0</v>
      </c>
      <c r="F94" s="2145">
        <f>IF(N93&lt;0.01,0,IF(Adm!$B$4=Adm!$A$118,0,G94-E94))</f>
        <v>0</v>
      </c>
      <c r="G94" s="2145">
        <f>IF(N93&lt;0.1,0,MIN(N93+E94,IF(AB94&gt;0,AB94,IF(Adm!$B$4=Adm!$A$118,E94,G93*(1+W94)))))</f>
        <v>0</v>
      </c>
      <c r="H94" s="2145">
        <f>IF(N93&lt;0.01,0,IF(Adm!$S$4=Adm!$S$8,0,N93*Adm!$V$4))</f>
        <v>0</v>
      </c>
      <c r="I94" s="2145">
        <f>IF(N93&lt;0.01,0,IF(Adm!$S$5=Adm!$S$8,0,IF(Adm!$B$4=Adm!$A$118,Adm!$AA$11*Adm!$W$4,Adm!$AA$11*Adm!$X$4)))</f>
        <v>0</v>
      </c>
      <c r="J94" s="2145">
        <f>IF(N93&lt;0.01,0,Adm!$Q$4*1.16)</f>
        <v>0</v>
      </c>
      <c r="K94" s="2145">
        <f>IF(N93&lt;0.01,0,IF(Adm!$O$4&gt;0,E94*Adm!$O$4,0))</f>
        <v>0</v>
      </c>
      <c r="L94" s="2145">
        <f t="shared" si="5"/>
        <v>0</v>
      </c>
      <c r="M94" s="2145">
        <f>IF(Adm!$G$4="si",MIN(N93+E94+H94+I94+J94-L94,Z94),0)</f>
        <v>0</v>
      </c>
      <c r="N94" s="2145">
        <f>IF(N93&lt;0.001,0,+N93-F94-M94-O94)</f>
        <v>0</v>
      </c>
      <c r="O94" s="2146"/>
      <c r="V94" s="1352">
        <f t="shared" si="7"/>
        <v>7</v>
      </c>
      <c r="W94" s="1367">
        <f>IF(V94=1,Cal!$AB$127,0)</f>
        <v>0</v>
      </c>
      <c r="Y94" s="1368">
        <f t="shared" si="15"/>
        <v>0</v>
      </c>
      <c r="Z94" s="1369">
        <f t="shared" ca="1" si="8"/>
        <v>0</v>
      </c>
      <c r="AB94" s="1375">
        <f t="shared" si="16"/>
        <v>0</v>
      </c>
      <c r="AC94" s="1373">
        <f t="shared" si="17"/>
        <v>0</v>
      </c>
      <c r="AD94" s="1373">
        <f t="shared" si="24"/>
        <v>0</v>
      </c>
      <c r="AE94" s="1373">
        <f t="shared" si="18"/>
        <v>0</v>
      </c>
      <c r="AF94" s="1371">
        <f t="shared" si="19"/>
        <v>0</v>
      </c>
      <c r="AG94" s="1359" t="e">
        <f>HLOOKUP($AG$83,anticipado,8,0)</f>
        <v>#N/A</v>
      </c>
      <c r="AI94" s="1360">
        <f t="shared" si="9"/>
        <v>0</v>
      </c>
      <c r="AJ94" s="1361">
        <f t="shared" si="25"/>
        <v>7</v>
      </c>
      <c r="AK94" s="1362">
        <f t="shared" si="10"/>
        <v>0</v>
      </c>
      <c r="AL94" s="1362">
        <f t="shared" si="26"/>
        <v>0</v>
      </c>
      <c r="AM94" s="1362">
        <f t="shared" si="21"/>
        <v>0</v>
      </c>
      <c r="AN94" s="1363">
        <f t="shared" si="11"/>
        <v>1000000</v>
      </c>
      <c r="AO94" s="1364"/>
      <c r="AP94" s="1364"/>
      <c r="AQ94" s="1361">
        <f t="shared" si="27"/>
        <v>7</v>
      </c>
      <c r="AR94" s="1362">
        <f t="shared" si="12"/>
        <v>0</v>
      </c>
      <c r="AS94" s="1362">
        <f t="shared" si="2"/>
        <v>8543.2677227072418</v>
      </c>
      <c r="AT94" s="1362">
        <f t="shared" si="22"/>
        <v>8543.2677227072418</v>
      </c>
      <c r="AU94" s="1363">
        <f t="shared" si="23"/>
        <v>940197.12594104931</v>
      </c>
      <c r="AV94" s="1364"/>
      <c r="AW94" s="1365"/>
      <c r="AX94" s="1365"/>
      <c r="AY94" s="1365"/>
      <c r="AZ94" s="1365"/>
      <c r="BA94" s="1365"/>
      <c r="BB94" s="1365"/>
      <c r="BC94" s="1365"/>
      <c r="BD94" s="1365"/>
      <c r="BE94" s="1365"/>
      <c r="BF94" s="1365"/>
      <c r="BG94" s="1365"/>
      <c r="BH94" s="1365"/>
      <c r="BI94" s="1365"/>
      <c r="BJ94" s="1365"/>
      <c r="BK94" s="1365"/>
      <c r="BL94" s="1365"/>
      <c r="BM94" s="1366"/>
      <c r="BN94" s="1366"/>
      <c r="BO94" s="1366"/>
      <c r="BP94" s="1366"/>
      <c r="BQ94" s="1366"/>
      <c r="BR94" s="1366"/>
      <c r="BS94" s="1366"/>
      <c r="BT94" s="1366"/>
      <c r="BU94" s="1366"/>
      <c r="BV94" s="1366"/>
      <c r="BW94" s="1366"/>
      <c r="BX94" s="1366"/>
      <c r="BY94" s="1366"/>
      <c r="BZ94" s="1366"/>
      <c r="CA94" s="1365"/>
      <c r="CB94" s="1365"/>
      <c r="CC94" s="1365"/>
      <c r="CD94" s="1365"/>
      <c r="CE94" s="1365"/>
      <c r="CF94" s="1365"/>
      <c r="CG94" s="1365"/>
      <c r="CH94" s="1365"/>
      <c r="CI94" s="1365"/>
      <c r="CJ94" s="1365"/>
      <c r="CK94" s="1365"/>
      <c r="CL94" s="1365"/>
      <c r="CM94" s="1365"/>
      <c r="CN94" s="1365"/>
      <c r="CO94" s="1365"/>
      <c r="CP94" s="1365"/>
      <c r="CQ94" s="1365"/>
      <c r="CR94" s="1365"/>
      <c r="CS94" s="1365"/>
      <c r="CT94" s="1365"/>
      <c r="CU94" s="1365"/>
      <c r="CV94" s="1365"/>
      <c r="CW94" s="1365"/>
      <c r="CX94" s="1365"/>
      <c r="CY94" s="1365"/>
      <c r="CZ94" s="1365"/>
      <c r="DA94" s="1365"/>
      <c r="DB94" s="1365"/>
      <c r="DC94" s="1365"/>
      <c r="DD94" s="1365"/>
      <c r="DE94" s="1365"/>
    </row>
    <row r="95" spans="1:109">
      <c r="A95" s="1118">
        <f t="shared" ca="1" si="0"/>
        <v>11</v>
      </c>
      <c r="B95" s="1351">
        <f t="shared" si="3"/>
        <v>0</v>
      </c>
      <c r="C95" s="2143">
        <f t="shared" si="13"/>
        <v>0</v>
      </c>
      <c r="D95" s="2144">
        <f t="shared" si="14"/>
        <v>0</v>
      </c>
      <c r="E95" s="2145">
        <f t="shared" si="4"/>
        <v>0</v>
      </c>
      <c r="F95" s="2145">
        <f>IF(N94&lt;0.01,0,IF(Adm!$B$4=Adm!$A$118,0,G95-E95))</f>
        <v>0</v>
      </c>
      <c r="G95" s="2145">
        <f>IF(N94&lt;0.1,0,MIN(N94+E95,IF(AB95&gt;0,AB95,IF(Adm!$B$4=Adm!$A$118,E95,G94*(1+W95)))))</f>
        <v>0</v>
      </c>
      <c r="H95" s="2145">
        <f>IF(N94&lt;0.01,0,IF(Adm!$S$4=Adm!$S$8,0,N94*Adm!$V$4))</f>
        <v>0</v>
      </c>
      <c r="I95" s="2145">
        <f>IF(N94&lt;0.01,0,IF(Adm!$S$5=Adm!$S$8,0,IF(Adm!$B$4=Adm!$A$118,Adm!$AA$11*Adm!$W$4,Adm!$AA$11*Adm!$X$4)))</f>
        <v>0</v>
      </c>
      <c r="J95" s="2145">
        <f>IF(N94&lt;0.01,0,Adm!$Q$4*1.16)</f>
        <v>0</v>
      </c>
      <c r="K95" s="2145">
        <f>IF(N94&lt;0.01,0,IF(Adm!$O$4&gt;0,E95*Adm!$O$4,0))</f>
        <v>0</v>
      </c>
      <c r="L95" s="2145">
        <f t="shared" si="5"/>
        <v>0</v>
      </c>
      <c r="M95" s="2145">
        <f>IF(Adm!$G$4="si",MIN(N94+E95+H95+I95+J95-L95,Z95),0)</f>
        <v>0</v>
      </c>
      <c r="N95" s="2145">
        <f>IF(N94&lt;0.001,0,+N94-F95-M95-O95+P95)</f>
        <v>0</v>
      </c>
      <c r="O95" s="2146"/>
      <c r="P95" s="1374">
        <f>IF(G76=0,0,IF(AND(Adm!$B$4=Adm!$A$118,Adm!$E$13=18),Cal!$C$121,0))</f>
        <v>0</v>
      </c>
      <c r="V95" s="1352">
        <f t="shared" si="7"/>
        <v>8</v>
      </c>
      <c r="W95" s="1367">
        <f>IF(V95=1,Cal!$AB$127,0)</f>
        <v>0</v>
      </c>
      <c r="Y95" s="1368">
        <f t="shared" si="15"/>
        <v>0</v>
      </c>
      <c r="Z95" s="1369">
        <f t="shared" ca="1" si="8"/>
        <v>0</v>
      </c>
      <c r="AB95" s="1375">
        <f t="shared" si="16"/>
        <v>0</v>
      </c>
      <c r="AC95" s="1373">
        <f t="shared" si="17"/>
        <v>0</v>
      </c>
      <c r="AD95" s="1373">
        <f t="shared" si="24"/>
        <v>0</v>
      </c>
      <c r="AE95" s="1373">
        <f t="shared" si="18"/>
        <v>0</v>
      </c>
      <c r="AF95" s="1371">
        <f t="shared" si="19"/>
        <v>0</v>
      </c>
      <c r="AG95" s="1359" t="e">
        <f>HLOOKUP($AG$83,anticipado,9,0)</f>
        <v>#N/A</v>
      </c>
      <c r="AI95" s="1360">
        <f t="shared" si="9"/>
        <v>0</v>
      </c>
      <c r="AJ95" s="1361">
        <f t="shared" si="25"/>
        <v>8</v>
      </c>
      <c r="AK95" s="1362">
        <f t="shared" si="10"/>
        <v>0</v>
      </c>
      <c r="AL95" s="1362">
        <f t="shared" si="26"/>
        <v>0</v>
      </c>
      <c r="AM95" s="1362">
        <f t="shared" si="21"/>
        <v>0</v>
      </c>
      <c r="AN95" s="1363">
        <f t="shared" si="11"/>
        <v>1000000</v>
      </c>
      <c r="AO95" s="1364"/>
      <c r="AP95" s="1364"/>
      <c r="AQ95" s="1361">
        <f t="shared" si="27"/>
        <v>8</v>
      </c>
      <c r="AR95" s="1362">
        <f t="shared" si="12"/>
        <v>0</v>
      </c>
      <c r="AS95" s="1362">
        <f t="shared" si="2"/>
        <v>8543.2677227072418</v>
      </c>
      <c r="AT95" s="1362">
        <f t="shared" si="22"/>
        <v>8543.2677227072418</v>
      </c>
      <c r="AU95" s="1363">
        <f t="shared" si="23"/>
        <v>931653.85821834207</v>
      </c>
      <c r="AV95" s="1364"/>
      <c r="AW95" s="1365"/>
      <c r="AX95" s="1365"/>
      <c r="AY95" s="1365"/>
      <c r="AZ95" s="1365"/>
      <c r="BA95" s="1365"/>
      <c r="BB95" s="1365"/>
      <c r="BC95" s="1365"/>
      <c r="BD95" s="1365"/>
      <c r="BE95" s="1365"/>
      <c r="BF95" s="1365"/>
      <c r="BG95" s="1365"/>
      <c r="BH95" s="1365"/>
      <c r="BI95" s="1365"/>
      <c r="BJ95" s="1365"/>
      <c r="BK95" s="1365"/>
      <c r="BL95" s="1365"/>
      <c r="BM95" s="1366"/>
      <c r="BN95" s="1366"/>
      <c r="BO95" s="1366"/>
      <c r="BP95" s="1366"/>
      <c r="BQ95" s="1366"/>
      <c r="BR95" s="1366"/>
      <c r="BS95" s="1366"/>
      <c r="BT95" s="1366"/>
      <c r="BU95" s="1366"/>
      <c r="BV95" s="1366"/>
      <c r="BW95" s="1366"/>
      <c r="BX95" s="1366"/>
      <c r="BY95" s="1366"/>
      <c r="BZ95" s="1366"/>
      <c r="CA95" s="1365"/>
      <c r="CB95" s="1365"/>
      <c r="CC95" s="1365"/>
      <c r="CD95" s="1365"/>
      <c r="CE95" s="1365"/>
      <c r="CF95" s="1365"/>
      <c r="CG95" s="1365"/>
      <c r="CH95" s="1365"/>
      <c r="CI95" s="1365"/>
      <c r="CJ95" s="1365"/>
      <c r="CK95" s="1365"/>
      <c r="CL95" s="1365"/>
      <c r="CM95" s="1365"/>
      <c r="CN95" s="1365"/>
      <c r="CO95" s="1365"/>
      <c r="CP95" s="1365"/>
      <c r="CQ95" s="1365"/>
      <c r="CR95" s="1365"/>
      <c r="CS95" s="1365"/>
      <c r="CT95" s="1365"/>
      <c r="CU95" s="1365"/>
      <c r="CV95" s="1365"/>
      <c r="CW95" s="1365"/>
      <c r="CX95" s="1365"/>
      <c r="CY95" s="1365"/>
      <c r="CZ95" s="1365"/>
      <c r="DA95" s="1365"/>
      <c r="DB95" s="1365"/>
      <c r="DC95" s="1365"/>
      <c r="DD95" s="1365"/>
      <c r="DE95" s="1365"/>
    </row>
    <row r="96" spans="1:109">
      <c r="A96" s="1118">
        <f t="shared" ca="1" si="0"/>
        <v>12</v>
      </c>
      <c r="B96" s="1351">
        <f t="shared" si="3"/>
        <v>0</v>
      </c>
      <c r="C96" s="2143">
        <f t="shared" si="13"/>
        <v>0</v>
      </c>
      <c r="D96" s="2144">
        <f t="shared" si="14"/>
        <v>0</v>
      </c>
      <c r="E96" s="2145">
        <f t="shared" si="4"/>
        <v>0</v>
      </c>
      <c r="F96" s="2145">
        <f>IF(N95&lt;0.01,0,IF(Adm!$B$4=Adm!$A$118,0,G96-E96))</f>
        <v>0</v>
      </c>
      <c r="G96" s="2145">
        <f>IF(N95&lt;0.1,0,MIN(N95+E96,IF(AB96&gt;0,AB96,IF(Adm!$B$4=Adm!$A$118,E96,G95*(1+W96)))))</f>
        <v>0</v>
      </c>
      <c r="H96" s="2145">
        <f>IF(N95&lt;0.01,0,IF(Adm!$S$4=Adm!$S$8,0,N95*Adm!$V$4))</f>
        <v>0</v>
      </c>
      <c r="I96" s="2145">
        <f>IF(N95&lt;0.01,0,IF(Adm!$S$5=Adm!$S$8,0,IF(Adm!$B$4=Adm!$A$118,Adm!$AA$11*Adm!$W$4,Adm!$AA$11*Adm!$X$4)))</f>
        <v>0</v>
      </c>
      <c r="J96" s="2145">
        <f>IF(N95&lt;0.01,0,Adm!$Q$4*1.16)</f>
        <v>0</v>
      </c>
      <c r="K96" s="2145">
        <f>IF(N95&lt;0.01,0,IF(Adm!$O$4&gt;0,E96*Adm!$O$4,0))</f>
        <v>0</v>
      </c>
      <c r="L96" s="2145">
        <f t="shared" si="5"/>
        <v>0</v>
      </c>
      <c r="M96" s="2145">
        <f>IF(Adm!$G$4="si",MIN(N95+E96+H96+I96+J96-L96,Z96),0)</f>
        <v>0</v>
      </c>
      <c r="N96" s="2145">
        <f>IF(N95&lt;0.001,0,+N95-F96-M96-O96+P96)</f>
        <v>0</v>
      </c>
      <c r="O96" s="2146"/>
      <c r="P96" s="1374">
        <f>IF(G76=0,0,IF(AND(Adm!$B$4=Adm!$A$118,Adm!$E$13=12),Cal!$C$121,0))</f>
        <v>0</v>
      </c>
      <c r="V96" s="1352">
        <f t="shared" si="7"/>
        <v>9</v>
      </c>
      <c r="W96" s="1367">
        <f>IF(V96=1,Cal!$AB$127,0)</f>
        <v>0</v>
      </c>
      <c r="Y96" s="1368">
        <f t="shared" si="15"/>
        <v>0</v>
      </c>
      <c r="Z96" s="1369">
        <f t="shared" ca="1" si="8"/>
        <v>0</v>
      </c>
      <c r="AB96" s="1375">
        <f t="shared" si="16"/>
        <v>0</v>
      </c>
      <c r="AC96" s="1373">
        <f t="shared" si="17"/>
        <v>0</v>
      </c>
      <c r="AD96" s="1373">
        <f t="shared" si="24"/>
        <v>0</v>
      </c>
      <c r="AE96" s="1373">
        <f t="shared" si="18"/>
        <v>0</v>
      </c>
      <c r="AF96" s="1371">
        <f t="shared" si="19"/>
        <v>0</v>
      </c>
      <c r="AG96" s="1359" t="e">
        <f>HLOOKUP($AG$83,anticipado,10,0)</f>
        <v>#N/A</v>
      </c>
      <c r="AI96" s="1360">
        <f t="shared" si="9"/>
        <v>0</v>
      </c>
      <c r="AJ96" s="1361">
        <f t="shared" si="25"/>
        <v>9</v>
      </c>
      <c r="AK96" s="1362">
        <f t="shared" si="10"/>
        <v>0</v>
      </c>
      <c r="AL96" s="1362">
        <f t="shared" si="26"/>
        <v>0</v>
      </c>
      <c r="AM96" s="1362">
        <f t="shared" si="21"/>
        <v>0</v>
      </c>
      <c r="AN96" s="1363">
        <f t="shared" si="11"/>
        <v>1000000</v>
      </c>
      <c r="AO96" s="1364"/>
      <c r="AP96" s="1364"/>
      <c r="AQ96" s="1361">
        <f t="shared" si="27"/>
        <v>9</v>
      </c>
      <c r="AR96" s="1362">
        <f t="shared" si="12"/>
        <v>0</v>
      </c>
      <c r="AS96" s="1362">
        <f t="shared" si="2"/>
        <v>8543.2677227072418</v>
      </c>
      <c r="AT96" s="1362">
        <f t="shared" si="22"/>
        <v>8543.2677227072418</v>
      </c>
      <c r="AU96" s="1363">
        <f t="shared" si="23"/>
        <v>923110.59049563482</v>
      </c>
      <c r="AV96" s="1364"/>
      <c r="AW96" s="1365"/>
      <c r="AX96" s="1365"/>
      <c r="AY96" s="1365"/>
      <c r="AZ96" s="1365"/>
      <c r="BA96" s="1365"/>
      <c r="BB96" s="1365"/>
      <c r="BC96" s="1365"/>
      <c r="BD96" s="1365"/>
      <c r="BE96" s="1365"/>
      <c r="BF96" s="1365"/>
      <c r="BG96" s="1365"/>
      <c r="BH96" s="1365"/>
      <c r="BI96" s="1365"/>
      <c r="BJ96" s="1365"/>
      <c r="BK96" s="1365"/>
      <c r="BL96" s="1365"/>
      <c r="BM96" s="1366"/>
      <c r="BN96" s="1366"/>
      <c r="BO96" s="1366"/>
      <c r="BP96" s="1366"/>
      <c r="BQ96" s="1366"/>
      <c r="BR96" s="1366"/>
      <c r="BS96" s="1366"/>
      <c r="BT96" s="1366"/>
      <c r="BU96" s="1366"/>
      <c r="BV96" s="1366"/>
      <c r="BW96" s="1366"/>
      <c r="BX96" s="1366"/>
      <c r="BY96" s="1366"/>
      <c r="BZ96" s="1366"/>
      <c r="CA96" s="1365"/>
      <c r="CB96" s="1365"/>
      <c r="CC96" s="1365"/>
      <c r="CD96" s="1365"/>
      <c r="CE96" s="1365"/>
      <c r="CF96" s="1365"/>
      <c r="CG96" s="1365"/>
      <c r="CH96" s="1365"/>
      <c r="CI96" s="1365"/>
      <c r="CJ96" s="1365"/>
      <c r="CK96" s="1365"/>
      <c r="CL96" s="1365"/>
      <c r="CM96" s="1365"/>
      <c r="CN96" s="1365"/>
      <c r="CO96" s="1365"/>
      <c r="CP96" s="1365"/>
      <c r="CQ96" s="1365"/>
      <c r="CR96" s="1365"/>
      <c r="CS96" s="1365"/>
      <c r="CT96" s="1365"/>
      <c r="CU96" s="1365"/>
      <c r="CV96" s="1365"/>
      <c r="CW96" s="1365"/>
      <c r="CX96" s="1365"/>
      <c r="CY96" s="1365"/>
      <c r="CZ96" s="1365"/>
      <c r="DA96" s="1365"/>
      <c r="DB96" s="1365"/>
      <c r="DC96" s="1365"/>
      <c r="DD96" s="1365"/>
      <c r="DE96" s="1365"/>
    </row>
    <row r="97" spans="1:47">
      <c r="A97" s="1118">
        <f t="shared" ca="1" si="0"/>
        <v>1</v>
      </c>
      <c r="B97" s="1351">
        <f t="shared" si="3"/>
        <v>0</v>
      </c>
      <c r="C97" s="2143">
        <f t="shared" si="13"/>
        <v>0</v>
      </c>
      <c r="D97" s="2144">
        <f t="shared" si="14"/>
        <v>0</v>
      </c>
      <c r="E97" s="2145">
        <f t="shared" si="4"/>
        <v>0</v>
      </c>
      <c r="F97" s="2145">
        <f>IF(N96&lt;0.01,0,IF(Adm!$B$4=Adm!$A$118,0,G97-E97))</f>
        <v>0</v>
      </c>
      <c r="G97" s="2145">
        <f>IF(N96&lt;0.1,0,MIN(N96+E97,IF(AB97&gt;0,AB97,IF(Adm!$B$4=Adm!$A$118,E97,G96*(1+W97)))))</f>
        <v>0</v>
      </c>
      <c r="H97" s="2145">
        <f>IF(N96&lt;0.01,0,IF(Adm!$S$4=Adm!$S$8,0,N96*Adm!$V$4))</f>
        <v>0</v>
      </c>
      <c r="I97" s="2145">
        <f>IF(N96&lt;0.01,0,IF(Adm!$S$5=Adm!$S$8,0,IF(Adm!$B$4=Adm!$A$118,Adm!$AA$11*Adm!$W$4,Adm!$AA$11*Adm!$X$4)))</f>
        <v>0</v>
      </c>
      <c r="J97" s="2145">
        <f>IF(N96&lt;0.01,0,Adm!$Q$4*1.16)</f>
        <v>0</v>
      </c>
      <c r="K97" s="2145">
        <f>IF(N96&lt;0.01,0,IF(Adm!$O$4&gt;0,E97*Adm!$O$4,0))</f>
        <v>0</v>
      </c>
      <c r="L97" s="2145">
        <f t="shared" si="5"/>
        <v>0</v>
      </c>
      <c r="M97" s="2145">
        <f>IF(Adm!$G$4="si",MIN(N96+E97+H97+I97+J97-L97,Z97),0)</f>
        <v>0</v>
      </c>
      <c r="N97" s="2145">
        <f t="shared" si="6"/>
        <v>0</v>
      </c>
      <c r="O97" s="2146"/>
      <c r="P97" s="1101"/>
      <c r="V97" s="1352">
        <f t="shared" si="7"/>
        <v>10</v>
      </c>
      <c r="W97" s="1367">
        <f>IF(V97=1,Cal!$AB$127,0)</f>
        <v>0</v>
      </c>
      <c r="Y97" s="1368">
        <f t="shared" si="15"/>
        <v>0</v>
      </c>
      <c r="Z97" s="1369">
        <f t="shared" ca="1" si="8"/>
        <v>0</v>
      </c>
      <c r="AB97" s="1375">
        <f t="shared" si="16"/>
        <v>0</v>
      </c>
      <c r="AC97" s="1373">
        <f t="shared" si="17"/>
        <v>0</v>
      </c>
      <c r="AD97" s="1373">
        <f t="shared" si="24"/>
        <v>0</v>
      </c>
      <c r="AE97" s="1373">
        <f t="shared" si="18"/>
        <v>0</v>
      </c>
      <c r="AF97" s="1371">
        <f t="shared" si="19"/>
        <v>0</v>
      </c>
      <c r="AG97" s="1359" t="e">
        <f>HLOOKUP($AG$83,anticipado,11,0)</f>
        <v>#N/A</v>
      </c>
      <c r="AI97" s="1360">
        <f t="shared" si="9"/>
        <v>0</v>
      </c>
      <c r="AJ97" s="1361">
        <f t="shared" si="25"/>
        <v>10</v>
      </c>
      <c r="AK97" s="1362">
        <f t="shared" si="10"/>
        <v>0</v>
      </c>
      <c r="AL97" s="1362">
        <f t="shared" si="26"/>
        <v>0</v>
      </c>
      <c r="AM97" s="1362">
        <f t="shared" si="21"/>
        <v>0</v>
      </c>
      <c r="AN97" s="1363">
        <f t="shared" si="11"/>
        <v>1000000</v>
      </c>
      <c r="AO97" s="1364"/>
      <c r="AP97" s="1364"/>
      <c r="AQ97" s="1361">
        <f t="shared" si="27"/>
        <v>10</v>
      </c>
      <c r="AR97" s="1362">
        <f t="shared" si="12"/>
        <v>0</v>
      </c>
      <c r="AS97" s="1362">
        <f t="shared" si="2"/>
        <v>8543.2677227072418</v>
      </c>
      <c r="AT97" s="1362">
        <f t="shared" si="22"/>
        <v>8543.2677227072418</v>
      </c>
      <c r="AU97" s="1363">
        <f t="shared" si="23"/>
        <v>914567.32277292758</v>
      </c>
    </row>
    <row r="98" spans="1:47">
      <c r="A98" s="1118">
        <f t="shared" ca="1" si="0"/>
        <v>2</v>
      </c>
      <c r="B98" s="1351">
        <f t="shared" si="3"/>
        <v>0</v>
      </c>
      <c r="C98" s="2143">
        <f t="shared" si="13"/>
        <v>0</v>
      </c>
      <c r="D98" s="2144">
        <f t="shared" si="14"/>
        <v>0</v>
      </c>
      <c r="E98" s="2145">
        <f t="shared" si="4"/>
        <v>0</v>
      </c>
      <c r="F98" s="2145">
        <f>IF(N97&lt;0.01,0,IF(Adm!$B$4=Adm!$A$118,0,G98-E98))</f>
        <v>0</v>
      </c>
      <c r="G98" s="2145">
        <f>IF(N97&lt;0.1,0,MIN(N97+E98,IF(AB98&gt;0,AB98,IF(Adm!$B$4=Adm!$A$118,E98,G97*(1+W98)))))</f>
        <v>0</v>
      </c>
      <c r="H98" s="2145">
        <f>IF(N97&lt;0.01,0,IF(Adm!$S$4=Adm!$S$8,0,N97*Adm!$V$4))</f>
        <v>0</v>
      </c>
      <c r="I98" s="2145">
        <f>IF(N97&lt;0.01,0,IF(Adm!$S$5=Adm!$S$8,0,IF(Adm!$B$4=Adm!$A$118,Adm!$AA$11*Adm!$W$4,Adm!$AA$11*Adm!$X$4)))</f>
        <v>0</v>
      </c>
      <c r="J98" s="2145">
        <f>IF(N97&lt;0.01,0,Adm!$Q$4*1.16)</f>
        <v>0</v>
      </c>
      <c r="K98" s="2145">
        <f>IF(N97&lt;0.01,0,IF(Adm!$O$4&gt;0,E98*Adm!$O$4,0))</f>
        <v>0</v>
      </c>
      <c r="L98" s="2145">
        <f t="shared" si="5"/>
        <v>0</v>
      </c>
      <c r="M98" s="2145">
        <f>IF(Adm!$G$4="si",MIN(N97+E98+H98+I98+J98-L98,Z98),0)</f>
        <v>0</v>
      </c>
      <c r="N98" s="2145">
        <f t="shared" si="6"/>
        <v>0</v>
      </c>
      <c r="O98" s="2146"/>
      <c r="P98" s="1101"/>
      <c r="V98" s="1352">
        <f t="shared" si="7"/>
        <v>11</v>
      </c>
      <c r="W98" s="1367">
        <f>IF(V98=1,Cal!$AB$127,0)</f>
        <v>0</v>
      </c>
      <c r="Y98" s="1368">
        <f t="shared" si="15"/>
        <v>0</v>
      </c>
      <c r="Z98" s="1369">
        <f t="shared" ca="1" si="8"/>
        <v>0</v>
      </c>
      <c r="AB98" s="1375">
        <f t="shared" si="16"/>
        <v>0</v>
      </c>
      <c r="AC98" s="1373">
        <f t="shared" si="17"/>
        <v>0</v>
      </c>
      <c r="AD98" s="1373">
        <f t="shared" si="24"/>
        <v>0</v>
      </c>
      <c r="AE98" s="1373">
        <f t="shared" si="18"/>
        <v>0</v>
      </c>
      <c r="AF98" s="1371">
        <f t="shared" si="19"/>
        <v>0</v>
      </c>
      <c r="AG98" s="1359" t="e">
        <f>HLOOKUP($AG$83,anticipado,12,0)</f>
        <v>#N/A</v>
      </c>
      <c r="AI98" s="1360">
        <f t="shared" si="9"/>
        <v>0</v>
      </c>
      <c r="AJ98" s="1361">
        <f t="shared" si="25"/>
        <v>11</v>
      </c>
      <c r="AK98" s="1362">
        <f t="shared" si="10"/>
        <v>0</v>
      </c>
      <c r="AL98" s="1362">
        <f t="shared" si="26"/>
        <v>0</v>
      </c>
      <c r="AM98" s="1362">
        <f t="shared" si="21"/>
        <v>0</v>
      </c>
      <c r="AN98" s="1363">
        <f t="shared" si="11"/>
        <v>1000000</v>
      </c>
      <c r="AO98" s="1364"/>
      <c r="AP98" s="1364"/>
      <c r="AQ98" s="1361">
        <f t="shared" si="27"/>
        <v>11</v>
      </c>
      <c r="AR98" s="1362">
        <f t="shared" si="12"/>
        <v>0</v>
      </c>
      <c r="AS98" s="1362">
        <f t="shared" si="2"/>
        <v>8543.2677227072418</v>
      </c>
      <c r="AT98" s="1362">
        <f t="shared" si="22"/>
        <v>8543.2677227072418</v>
      </c>
      <c r="AU98" s="1363">
        <f t="shared" si="23"/>
        <v>906024.05505022034</v>
      </c>
    </row>
    <row r="99" spans="1:47">
      <c r="A99" s="1118">
        <f t="shared" ca="1" si="0"/>
        <v>3</v>
      </c>
      <c r="B99" s="1351">
        <f t="shared" si="3"/>
        <v>0</v>
      </c>
      <c r="C99" s="2143">
        <f t="shared" si="13"/>
        <v>0</v>
      </c>
      <c r="D99" s="2144">
        <f t="shared" si="14"/>
        <v>0</v>
      </c>
      <c r="E99" s="2145">
        <f t="shared" si="4"/>
        <v>0</v>
      </c>
      <c r="F99" s="2145">
        <f>IF(N98&lt;0.01,0,IF(Adm!$B$4=Adm!$A$118,0,G99-E99))</f>
        <v>0</v>
      </c>
      <c r="G99" s="2145">
        <f>IF(N98&lt;0.1,0,MIN(N98+E99,IF(AB99&gt;0,AB99,IF(Adm!$B$4=Adm!$A$118,E99,G98*(1+W99)))))</f>
        <v>0</v>
      </c>
      <c r="H99" s="2145">
        <f>IF(N98&lt;0.01,0,IF(Adm!$S$4=Adm!$S$8,0,N98*Adm!$V$4))</f>
        <v>0</v>
      </c>
      <c r="I99" s="2145">
        <f>IF(N98&lt;0.01,0,IF(Adm!$S$5=Adm!$S$8,0,IF(Adm!$B$4=Adm!$A$118,Adm!$AA$11*Adm!$W$4,Adm!$AA$11*Adm!$X$4)))</f>
        <v>0</v>
      </c>
      <c r="J99" s="2145">
        <f>IF(N98&lt;0.01,0,Adm!$Q$4*1.16)</f>
        <v>0</v>
      </c>
      <c r="K99" s="2145">
        <f>IF(N98&lt;0.01,0,IF(Adm!$O$4&gt;0,E99*Adm!$O$4,0))</f>
        <v>0</v>
      </c>
      <c r="L99" s="2145">
        <f t="shared" si="5"/>
        <v>0</v>
      </c>
      <c r="M99" s="2145">
        <f>IF(Adm!$G$4="si",MIN(N98+E99+H99+I99+J99-L99,Z99),0)</f>
        <v>0</v>
      </c>
      <c r="N99" s="2145">
        <f>IF(N98&lt;0.001,0,+N98-F99-M99-O99+P99)</f>
        <v>0</v>
      </c>
      <c r="O99" s="2146"/>
      <c r="P99" s="1374">
        <f>IF(G76=0,0,IF(AND(Adm!$B$4=Adm!$A$118,Adm!$E$13=18),Cal!$C$121,0))</f>
        <v>0</v>
      </c>
      <c r="U99" s="1107" t="s">
        <v>465</v>
      </c>
      <c r="V99" s="1352">
        <f t="shared" si="7"/>
        <v>12</v>
      </c>
      <c r="W99" s="1367">
        <f>IF(V99=1,Cal!$AB$127,0)</f>
        <v>0</v>
      </c>
      <c r="Y99" s="1368">
        <f t="shared" si="15"/>
        <v>0</v>
      </c>
      <c r="Z99" s="1369">
        <f t="shared" ca="1" si="8"/>
        <v>0</v>
      </c>
      <c r="AB99" s="1375">
        <f t="shared" si="16"/>
        <v>0</v>
      </c>
      <c r="AC99" s="1373">
        <f t="shared" si="17"/>
        <v>0</v>
      </c>
      <c r="AD99" s="1373">
        <f t="shared" si="24"/>
        <v>0</v>
      </c>
      <c r="AE99" s="1373">
        <f t="shared" si="18"/>
        <v>0</v>
      </c>
      <c r="AF99" s="1371">
        <f t="shared" si="19"/>
        <v>0</v>
      </c>
      <c r="AG99" s="1359" t="e">
        <f>HLOOKUP($AG$83,anticipado,13,0)</f>
        <v>#N/A</v>
      </c>
      <c r="AI99" s="1360">
        <f t="shared" si="9"/>
        <v>0</v>
      </c>
      <c r="AJ99" s="1361">
        <f t="shared" si="25"/>
        <v>12</v>
      </c>
      <c r="AK99" s="1362">
        <f t="shared" si="10"/>
        <v>0</v>
      </c>
      <c r="AL99" s="1362">
        <f t="shared" si="26"/>
        <v>0</v>
      </c>
      <c r="AM99" s="1362">
        <f t="shared" si="21"/>
        <v>0</v>
      </c>
      <c r="AN99" s="1363">
        <f t="shared" si="11"/>
        <v>1000000</v>
      </c>
      <c r="AO99" s="1364"/>
      <c r="AP99" s="1364"/>
      <c r="AQ99" s="1361">
        <f t="shared" si="27"/>
        <v>12</v>
      </c>
      <c r="AR99" s="1362">
        <f t="shared" si="12"/>
        <v>0</v>
      </c>
      <c r="AS99" s="1362">
        <f t="shared" si="2"/>
        <v>8543.2677227072418</v>
      </c>
      <c r="AT99" s="1362">
        <f t="shared" si="22"/>
        <v>8543.2677227072418</v>
      </c>
      <c r="AU99" s="1363">
        <f t="shared" si="23"/>
        <v>897480.7873275131</v>
      </c>
    </row>
    <row r="100" spans="1:47">
      <c r="A100" s="1118">
        <f t="shared" ca="1" si="0"/>
        <v>4</v>
      </c>
      <c r="B100" s="1351">
        <f t="shared" si="3"/>
        <v>0</v>
      </c>
      <c r="C100" s="2143">
        <f t="shared" si="13"/>
        <v>0</v>
      </c>
      <c r="D100" s="2144">
        <f t="shared" si="14"/>
        <v>0</v>
      </c>
      <c r="E100" s="2145">
        <f t="shared" si="4"/>
        <v>0</v>
      </c>
      <c r="F100" s="2145">
        <f>IF(N99&lt;0.01,0,IF(AND(Adm!$B$4=Adm!$A$118,Adm!$E$13=18),0,G100-E100))</f>
        <v>0</v>
      </c>
      <c r="G100" s="2145">
        <f>IF(N99&lt;0.1,0,MIN(N99+E100,IF(AB100&gt;0,AB100,IF(AND(Adm!$B$4=Adm!$A$118,Adm!$E$13=12),U100,IF(AND(Adm!$B$4=Adm!$A$118,Adm!$E$13=18),E100,G99*(1+W100))))))</f>
        <v>0</v>
      </c>
      <c r="H100" s="2145">
        <f>IF(N99&lt;0.01,0,IF(Adm!$S$4=Adm!$S$8,0,N99*Adm!$V$4))</f>
        <v>0</v>
      </c>
      <c r="I100" s="2145">
        <f>IF(N99&lt;0.01,0,IF(Adm!$S$5=Adm!$S$8,0,Adm!$AA$11*Adm!$X$4))</f>
        <v>0</v>
      </c>
      <c r="J100" s="2145">
        <f>IF(N99&lt;0.01,0,Adm!$Q$4*1.16)</f>
        <v>0</v>
      </c>
      <c r="K100" s="2145">
        <f>IF(N99&lt;0.01,0,IF(Adm!$O$4&gt;0,E100*Adm!$O$4,0))</f>
        <v>0</v>
      </c>
      <c r="L100" s="2145">
        <f t="shared" si="5"/>
        <v>0</v>
      </c>
      <c r="M100" s="2145">
        <f>IF(Adm!$G$4="si",MIN(N99+E100+H100+I100+J100-L100,Z100),0)</f>
        <v>0</v>
      </c>
      <c r="N100" s="2145">
        <f t="shared" si="6"/>
        <v>0</v>
      </c>
      <c r="O100" s="2146"/>
      <c r="P100" s="1101"/>
      <c r="U100" s="1376">
        <f>IF(AND(Adm!B4=Adm!A118,Adm!$E$13=12),PMT(((Adm!AE6/360)*(365/12)),Adm!H4-12,-N99),0)</f>
        <v>0</v>
      </c>
      <c r="V100" s="1352">
        <f t="shared" si="7"/>
        <v>1</v>
      </c>
      <c r="W100" s="1367">
        <f>IF(V100=1,Cal!$AB$127,0)</f>
        <v>0</v>
      </c>
      <c r="Y100" s="1368">
        <f t="shared" si="15"/>
        <v>0</v>
      </c>
      <c r="Z100" s="1369">
        <f t="shared" ca="1" si="8"/>
        <v>0</v>
      </c>
      <c r="AB100" s="1375">
        <f t="shared" si="16"/>
        <v>0</v>
      </c>
      <c r="AC100" s="1373">
        <f t="shared" si="17"/>
        <v>0</v>
      </c>
      <c r="AD100" s="1373">
        <f t="shared" si="24"/>
        <v>0</v>
      </c>
      <c r="AE100" s="1373">
        <f t="shared" si="18"/>
        <v>0</v>
      </c>
      <c r="AF100" s="1371">
        <f t="shared" si="19"/>
        <v>0</v>
      </c>
      <c r="AG100" s="1359" t="e">
        <f>HLOOKUP($AG$83,anticipado,14,0)</f>
        <v>#N/A</v>
      </c>
      <c r="AI100" s="1360">
        <f t="shared" si="9"/>
        <v>0</v>
      </c>
      <c r="AJ100" s="1377">
        <f t="shared" si="25"/>
        <v>13</v>
      </c>
      <c r="AK100" s="1378">
        <f t="shared" si="10"/>
        <v>0</v>
      </c>
      <c r="AL100" s="1378">
        <f t="shared" si="26"/>
        <v>0</v>
      </c>
      <c r="AM100" s="1378">
        <f>MIN(AN99+AK100,AM99*(1+$AK$83))</f>
        <v>0</v>
      </c>
      <c r="AN100" s="1363">
        <f t="shared" si="11"/>
        <v>1000000</v>
      </c>
      <c r="AO100" s="1364"/>
      <c r="AP100" s="1364"/>
      <c r="AQ100" s="1379">
        <f t="shared" si="27"/>
        <v>13</v>
      </c>
      <c r="AR100" s="1380">
        <f t="shared" si="12"/>
        <v>0</v>
      </c>
      <c r="AS100" s="1380">
        <f t="shared" si="2"/>
        <v>8543.2677227072418</v>
      </c>
      <c r="AT100" s="1380">
        <f>MIN(AU99+AR100,AT99*(1+$AR$83))</f>
        <v>8543.2677227072418</v>
      </c>
      <c r="AU100" s="1363">
        <f t="shared" si="23"/>
        <v>888937.51960480586</v>
      </c>
    </row>
    <row r="101" spans="1:47">
      <c r="A101" s="1118">
        <f t="shared" ca="1" si="0"/>
        <v>5</v>
      </c>
      <c r="B101" s="1351">
        <f t="shared" si="3"/>
        <v>0</v>
      </c>
      <c r="C101" s="2143">
        <f t="shared" si="13"/>
        <v>0</v>
      </c>
      <c r="D101" s="2144">
        <f t="shared" si="14"/>
        <v>0</v>
      </c>
      <c r="E101" s="2145">
        <f t="shared" si="4"/>
        <v>0</v>
      </c>
      <c r="F101" s="2145">
        <f>IF(N100&lt;0.01,0,IF(AND(Adm!$B$4=Adm!$A$118,Adm!$E$13=18),0,G101-E101))</f>
        <v>0</v>
      </c>
      <c r="G101" s="2145">
        <f>IF(N100&lt;0.1,0,MIN(N100+E101,IF(AB101&gt;0,AB101,IF(AND(Adm!$B$4=Adm!$A$118,Adm!$E$13=18),E101,G100*(1+W101)))))</f>
        <v>0</v>
      </c>
      <c r="H101" s="2145">
        <f>IF(N100&lt;0.01,0,IF(Adm!$S$4=Adm!$S$8,0,N100*Adm!$V$4))</f>
        <v>0</v>
      </c>
      <c r="I101" s="2145">
        <f>IF(N100&lt;0.01,0,IF(Adm!$S$5=Adm!$S$8,0,Adm!$AA$11*Adm!$X$4))</f>
        <v>0</v>
      </c>
      <c r="J101" s="2145">
        <f>IF(N100&lt;0.01,0,Adm!$Q$4*1.16)</f>
        <v>0</v>
      </c>
      <c r="K101" s="2145">
        <f>IF(N100&lt;0.01,0,IF(Adm!$O$4&gt;0,E101*Adm!$O$4,0))</f>
        <v>0</v>
      </c>
      <c r="L101" s="2145">
        <f t="shared" si="5"/>
        <v>0</v>
      </c>
      <c r="M101" s="2145">
        <f>IF(Adm!$G$4="si",MIN(N100+E101+H101+I101+J101-L101,Z101),0)</f>
        <v>0</v>
      </c>
      <c r="N101" s="2145">
        <f t="shared" si="6"/>
        <v>0</v>
      </c>
      <c r="O101" s="2146"/>
      <c r="P101" s="1101"/>
      <c r="V101" s="1352">
        <f t="shared" si="7"/>
        <v>2</v>
      </c>
      <c r="W101" s="1367">
        <f>IF(V101=1,Cal!$AB$127,0)</f>
        <v>0</v>
      </c>
      <c r="Y101" s="1368">
        <f t="shared" si="15"/>
        <v>0</v>
      </c>
      <c r="Z101" s="1369">
        <f t="shared" ca="1" si="8"/>
        <v>0</v>
      </c>
      <c r="AB101" s="1375">
        <f t="shared" si="16"/>
        <v>0</v>
      </c>
      <c r="AC101" s="1373">
        <f t="shared" si="17"/>
        <v>0</v>
      </c>
      <c r="AD101" s="1373">
        <f t="shared" si="24"/>
        <v>0</v>
      </c>
      <c r="AE101" s="1373">
        <f t="shared" si="18"/>
        <v>0</v>
      </c>
      <c r="AF101" s="1371">
        <f t="shared" si="19"/>
        <v>0</v>
      </c>
      <c r="AG101" s="1359" t="e">
        <f>HLOOKUP($AG$83,anticipado,15,0)</f>
        <v>#N/A</v>
      </c>
      <c r="AI101" s="1360">
        <f t="shared" si="9"/>
        <v>0</v>
      </c>
      <c r="AJ101" s="1361">
        <f t="shared" si="25"/>
        <v>14</v>
      </c>
      <c r="AK101" s="1362">
        <f t="shared" si="10"/>
        <v>0</v>
      </c>
      <c r="AL101" s="1362">
        <f t="shared" si="26"/>
        <v>0</v>
      </c>
      <c r="AM101" s="1362">
        <f t="shared" si="21"/>
        <v>0</v>
      </c>
      <c r="AN101" s="1363">
        <f t="shared" si="11"/>
        <v>1000000</v>
      </c>
      <c r="AO101" s="1364"/>
      <c r="AP101" s="1364"/>
      <c r="AQ101" s="1361">
        <f t="shared" si="27"/>
        <v>14</v>
      </c>
      <c r="AR101" s="1362">
        <f t="shared" si="12"/>
        <v>0</v>
      </c>
      <c r="AS101" s="1362">
        <f t="shared" si="2"/>
        <v>8543.2677227072418</v>
      </c>
      <c r="AT101" s="1362">
        <f t="shared" ref="AT101:AT111" si="28">MIN(AU100+AR101,AT100)</f>
        <v>8543.2677227072418</v>
      </c>
      <c r="AU101" s="1363">
        <f t="shared" si="23"/>
        <v>880394.25188209862</v>
      </c>
    </row>
    <row r="102" spans="1:47">
      <c r="A102" s="1118">
        <f t="shared" ca="1" si="0"/>
        <v>6</v>
      </c>
      <c r="B102" s="1351">
        <f t="shared" si="3"/>
        <v>0</v>
      </c>
      <c r="C102" s="2143">
        <f t="shared" si="13"/>
        <v>0</v>
      </c>
      <c r="D102" s="2144">
        <f t="shared" si="14"/>
        <v>0</v>
      </c>
      <c r="E102" s="2145">
        <f t="shared" si="4"/>
        <v>0</v>
      </c>
      <c r="F102" s="2145">
        <f>IF(N101&lt;0.01,0,IF(AND(Adm!$B$4=Adm!$A$118,Adm!$E$13=18),0,G102-E102))</f>
        <v>0</v>
      </c>
      <c r="G102" s="2145">
        <f>IF(N101&lt;0.1,0,MIN(N101+E102,IF(AB102&gt;0,AB102,IF(AND(Adm!$B$4=Adm!$A$118,Adm!$E$13=18),E102,G101*(1+W102)))))</f>
        <v>0</v>
      </c>
      <c r="H102" s="2145">
        <f>IF(N101&lt;0.01,0,IF(Adm!$S$4=Adm!$S$8,0,N101*Adm!$V$4))</f>
        <v>0</v>
      </c>
      <c r="I102" s="2145">
        <f>IF(N101&lt;0.01,0,IF(Adm!$S$5=Adm!$S$8,0,Adm!$AA$11*Adm!$X$4))</f>
        <v>0</v>
      </c>
      <c r="J102" s="2145">
        <f>IF(N101&lt;0.01,0,Adm!$Q$4*1.16)</f>
        <v>0</v>
      </c>
      <c r="K102" s="2145">
        <f>IF(N101&lt;0.01,0,IF(Adm!$O$4&gt;0,E102*Adm!$O$4,0))</f>
        <v>0</v>
      </c>
      <c r="L102" s="2145">
        <f t="shared" si="5"/>
        <v>0</v>
      </c>
      <c r="M102" s="2145">
        <f>IF(Adm!$G$4="si",MIN(N101+E102+H102+I102+J102-L102,Z102),0)</f>
        <v>0</v>
      </c>
      <c r="N102" s="2145">
        <f t="shared" si="6"/>
        <v>0</v>
      </c>
      <c r="O102" s="2146"/>
      <c r="P102" s="1101"/>
      <c r="V102" s="1352">
        <f t="shared" si="7"/>
        <v>3</v>
      </c>
      <c r="W102" s="1367">
        <f>IF(V102=1,Cal!$AB$127,0)</f>
        <v>0</v>
      </c>
      <c r="Y102" s="1368">
        <f t="shared" si="15"/>
        <v>0</v>
      </c>
      <c r="Z102" s="1369">
        <f t="shared" ca="1" si="8"/>
        <v>0</v>
      </c>
      <c r="AB102" s="1375">
        <f t="shared" si="16"/>
        <v>0</v>
      </c>
      <c r="AC102" s="1373">
        <f t="shared" si="17"/>
        <v>0</v>
      </c>
      <c r="AD102" s="1373">
        <f t="shared" si="24"/>
        <v>0</v>
      </c>
      <c r="AE102" s="1373">
        <f t="shared" si="18"/>
        <v>0</v>
      </c>
      <c r="AF102" s="1371">
        <f t="shared" si="19"/>
        <v>0</v>
      </c>
      <c r="AG102" s="1359" t="e">
        <f>HLOOKUP($AG$83,anticipado,16,0)</f>
        <v>#N/A</v>
      </c>
      <c r="AI102" s="1360">
        <f t="shared" si="9"/>
        <v>0</v>
      </c>
      <c r="AJ102" s="1361">
        <f t="shared" si="25"/>
        <v>15</v>
      </c>
      <c r="AK102" s="1362">
        <f t="shared" si="10"/>
        <v>0</v>
      </c>
      <c r="AL102" s="1362">
        <f t="shared" si="26"/>
        <v>0</v>
      </c>
      <c r="AM102" s="1362">
        <f t="shared" si="21"/>
        <v>0</v>
      </c>
      <c r="AN102" s="1363">
        <f t="shared" si="11"/>
        <v>1000000</v>
      </c>
      <c r="AO102" s="1364"/>
      <c r="AP102" s="1364"/>
      <c r="AQ102" s="1361">
        <f t="shared" si="27"/>
        <v>15</v>
      </c>
      <c r="AR102" s="1362">
        <f t="shared" si="12"/>
        <v>0</v>
      </c>
      <c r="AS102" s="1362">
        <f t="shared" si="2"/>
        <v>8543.2677227072418</v>
      </c>
      <c r="AT102" s="1362">
        <f t="shared" si="28"/>
        <v>8543.2677227072418</v>
      </c>
      <c r="AU102" s="1363">
        <f t="shared" si="23"/>
        <v>871850.98415939137</v>
      </c>
    </row>
    <row r="103" spans="1:47">
      <c r="A103" s="1118">
        <f t="shared" ca="1" si="0"/>
        <v>7</v>
      </c>
      <c r="B103" s="1351">
        <f t="shared" si="3"/>
        <v>0</v>
      </c>
      <c r="C103" s="2143">
        <f t="shared" si="13"/>
        <v>0</v>
      </c>
      <c r="D103" s="2144">
        <f t="shared" si="14"/>
        <v>0</v>
      </c>
      <c r="E103" s="2145">
        <f t="shared" si="4"/>
        <v>0</v>
      </c>
      <c r="F103" s="2145">
        <f>IF(N102&lt;0.01,0,IF(AND(Adm!$B$4=Adm!$A$118,Adm!$E$13=18),0,G103-E103))</f>
        <v>0</v>
      </c>
      <c r="G103" s="2145">
        <f>IF(N102&lt;0.1,0,MIN(N102+E103,IF(AB103&gt;0,AB103,IF(AND(Adm!$B$4=Adm!$A$118,Adm!$E$13=18),E103,G102*(1+W103)))))</f>
        <v>0</v>
      </c>
      <c r="H103" s="2145">
        <f>IF(N102&lt;0.01,0,IF(Adm!$S$4=Adm!$S$8,0,N102*Adm!$V$4))</f>
        <v>0</v>
      </c>
      <c r="I103" s="2145">
        <f>IF(N102&lt;0.01,0,IF(Adm!$S$5=Adm!$S$8,0,Adm!$AA$11*Adm!$X$4))</f>
        <v>0</v>
      </c>
      <c r="J103" s="2145">
        <f>IF(N102&lt;0.01,0,Adm!$Q$4*1.16)</f>
        <v>0</v>
      </c>
      <c r="K103" s="2145">
        <f>IF(N102&lt;0.01,0,IF(Adm!$O$4&gt;0,E103*Adm!$O$4,0))</f>
        <v>0</v>
      </c>
      <c r="L103" s="2145">
        <f t="shared" si="5"/>
        <v>0</v>
      </c>
      <c r="M103" s="2145">
        <f>IF(Adm!$G$4="si",MIN(N102+E103+H103+I103+J103-L103,Z103),0)</f>
        <v>0</v>
      </c>
      <c r="N103" s="2145">
        <f>IF(N102&lt;0.001,0,+N102-F103-M103-O103+P103)</f>
        <v>0</v>
      </c>
      <c r="O103" s="2146"/>
      <c r="P103" s="1374">
        <f>IF(G76=0,0,IF(AND(Adm!$B$4=Adm!$A$118,Adm!$E$13=18),Cal!$C$122,0))</f>
        <v>0</v>
      </c>
      <c r="V103" s="1352">
        <f t="shared" si="7"/>
        <v>4</v>
      </c>
      <c r="W103" s="1367">
        <f>IF(V103=1,Cal!$AB$127,0)</f>
        <v>0</v>
      </c>
      <c r="Y103" s="1368">
        <f t="shared" si="15"/>
        <v>0</v>
      </c>
      <c r="Z103" s="1369">
        <f t="shared" ca="1" si="8"/>
        <v>0</v>
      </c>
      <c r="AB103" s="1375">
        <f t="shared" si="16"/>
        <v>0</v>
      </c>
      <c r="AC103" s="1373">
        <f t="shared" si="17"/>
        <v>0</v>
      </c>
      <c r="AD103" s="1373">
        <f t="shared" si="24"/>
        <v>0</v>
      </c>
      <c r="AE103" s="1373">
        <f t="shared" si="18"/>
        <v>0</v>
      </c>
      <c r="AF103" s="1371">
        <f t="shared" si="19"/>
        <v>0</v>
      </c>
      <c r="AG103" s="1359" t="e">
        <f>HLOOKUP($AG$83,anticipado,17,0)</f>
        <v>#N/A</v>
      </c>
      <c r="AI103" s="1360">
        <f t="shared" si="9"/>
        <v>0</v>
      </c>
      <c r="AJ103" s="1361">
        <f t="shared" si="25"/>
        <v>16</v>
      </c>
      <c r="AK103" s="1362">
        <f t="shared" si="10"/>
        <v>0</v>
      </c>
      <c r="AL103" s="1362">
        <f t="shared" si="26"/>
        <v>0</v>
      </c>
      <c r="AM103" s="1362">
        <f t="shared" si="21"/>
        <v>0</v>
      </c>
      <c r="AN103" s="1363">
        <f t="shared" si="11"/>
        <v>1000000</v>
      </c>
      <c r="AO103" s="1364"/>
      <c r="AP103" s="1364"/>
      <c r="AQ103" s="1361">
        <f t="shared" si="27"/>
        <v>16</v>
      </c>
      <c r="AR103" s="1362">
        <f t="shared" si="12"/>
        <v>0</v>
      </c>
      <c r="AS103" s="1362">
        <f t="shared" si="2"/>
        <v>8543.2677227072418</v>
      </c>
      <c r="AT103" s="1362">
        <f t="shared" si="28"/>
        <v>8543.2677227072418</v>
      </c>
      <c r="AU103" s="1363">
        <f t="shared" si="23"/>
        <v>863307.71643668413</v>
      </c>
    </row>
    <row r="104" spans="1:47">
      <c r="A104" s="1118">
        <f t="shared" ca="1" si="0"/>
        <v>8</v>
      </c>
      <c r="B104" s="1351">
        <f t="shared" si="3"/>
        <v>0</v>
      </c>
      <c r="C104" s="2143">
        <f t="shared" si="13"/>
        <v>0</v>
      </c>
      <c r="D104" s="2144">
        <f t="shared" si="14"/>
        <v>0</v>
      </c>
      <c r="E104" s="2145">
        <f t="shared" si="4"/>
        <v>0</v>
      </c>
      <c r="F104" s="2145">
        <f>IF(N103&lt;0.01,0,IF(AND(Adm!$B$4=Adm!$A$118,Adm!$E$13=18),0,G104-E104))</f>
        <v>0</v>
      </c>
      <c r="G104" s="2145">
        <f>IF(N103&lt;0.1,0,MIN(N103+E104,IF(AB104&gt;0,AB104,IF(AND(Adm!$B$4=Adm!$A$118,Adm!$E$13=18),E104,G103*(1+W104)))))</f>
        <v>0</v>
      </c>
      <c r="H104" s="2145">
        <f>IF(N103&lt;0.01,0,IF(Adm!$S$4=Adm!$S$8,0,N103*Adm!$V$4))</f>
        <v>0</v>
      </c>
      <c r="I104" s="2145">
        <f>IF(N103&lt;0.01,0,IF(Adm!$S$5=Adm!$S$8,0,Adm!$AA$11*Adm!$X$4))</f>
        <v>0</v>
      </c>
      <c r="J104" s="2145">
        <f>IF(N103&lt;0.01,0,Adm!$Q$4*1.16)</f>
        <v>0</v>
      </c>
      <c r="K104" s="2145">
        <f>IF(N103&lt;0.01,0,IF(Adm!$O$4&gt;0,E104*Adm!$O$4,0))</f>
        <v>0</v>
      </c>
      <c r="L104" s="2145">
        <f t="shared" si="5"/>
        <v>0</v>
      </c>
      <c r="M104" s="2145">
        <f>IF(Adm!$G$4="si",MIN(N103+E104+H104+I104+J104-L104,Z104),0)</f>
        <v>0</v>
      </c>
      <c r="N104" s="2145">
        <f t="shared" si="6"/>
        <v>0</v>
      </c>
      <c r="O104" s="2146"/>
      <c r="P104" s="1101"/>
      <c r="V104" s="1352">
        <f t="shared" si="7"/>
        <v>5</v>
      </c>
      <c r="W104" s="1367">
        <f>IF(V104=1,Cal!$AB$127,0)</f>
        <v>0</v>
      </c>
      <c r="Y104" s="1368">
        <f t="shared" si="15"/>
        <v>0</v>
      </c>
      <c r="Z104" s="1369">
        <f t="shared" ca="1" si="8"/>
        <v>0</v>
      </c>
      <c r="AB104" s="1375">
        <f t="shared" si="16"/>
        <v>0</v>
      </c>
      <c r="AC104" s="1373">
        <f t="shared" si="17"/>
        <v>0</v>
      </c>
      <c r="AD104" s="1373">
        <f t="shared" si="24"/>
        <v>0</v>
      </c>
      <c r="AE104" s="1373">
        <f t="shared" si="18"/>
        <v>0</v>
      </c>
      <c r="AF104" s="1371">
        <f t="shared" si="19"/>
        <v>0</v>
      </c>
      <c r="AG104" s="1359" t="e">
        <f>HLOOKUP($AG$83,anticipado,18,0)</f>
        <v>#N/A</v>
      </c>
      <c r="AI104" s="1360">
        <f t="shared" si="9"/>
        <v>0</v>
      </c>
      <c r="AJ104" s="1361">
        <f t="shared" si="25"/>
        <v>17</v>
      </c>
      <c r="AK104" s="1362">
        <f t="shared" si="10"/>
        <v>0</v>
      </c>
      <c r="AL104" s="1362">
        <f t="shared" si="26"/>
        <v>0</v>
      </c>
      <c r="AM104" s="1362">
        <f t="shared" si="21"/>
        <v>0</v>
      </c>
      <c r="AN104" s="1363">
        <f t="shared" si="11"/>
        <v>1000000</v>
      </c>
      <c r="AO104" s="1364"/>
      <c r="AP104" s="1364"/>
      <c r="AQ104" s="1361">
        <f t="shared" si="27"/>
        <v>17</v>
      </c>
      <c r="AR104" s="1362">
        <f t="shared" si="12"/>
        <v>0</v>
      </c>
      <c r="AS104" s="1362">
        <f t="shared" si="2"/>
        <v>8543.2677227072418</v>
      </c>
      <c r="AT104" s="1362">
        <f t="shared" si="28"/>
        <v>8543.2677227072418</v>
      </c>
      <c r="AU104" s="1363">
        <f t="shared" si="23"/>
        <v>854764.44871397689</v>
      </c>
    </row>
    <row r="105" spans="1:47">
      <c r="A105" s="1118">
        <f t="shared" ca="1" si="0"/>
        <v>9</v>
      </c>
      <c r="B105" s="1351">
        <f t="shared" si="3"/>
        <v>0</v>
      </c>
      <c r="C105" s="2143">
        <f t="shared" si="13"/>
        <v>0</v>
      </c>
      <c r="D105" s="2144">
        <f t="shared" si="14"/>
        <v>0</v>
      </c>
      <c r="E105" s="2145">
        <f t="shared" si="4"/>
        <v>0</v>
      </c>
      <c r="F105" s="2145">
        <f>IF(N104&lt;0.01,0,IF(AND(Adm!$B$4=Adm!$A$118,Adm!$E$13=18),0,G105-E105))</f>
        <v>0</v>
      </c>
      <c r="G105" s="2145">
        <f>IF(N104&lt;0.1,0,MIN(N104+E105,IF(AB105&gt;0,AB105,IF(AND(Adm!$B$4=Adm!$A$118,Adm!$E$13=18),E105,G104*(1+W105)))))</f>
        <v>0</v>
      </c>
      <c r="H105" s="2145">
        <f>IF(N104&lt;0.01,0,IF(Adm!$S$4=Adm!$S$8,0,N104*Adm!$V$4))</f>
        <v>0</v>
      </c>
      <c r="I105" s="2145">
        <f>IF(N104&lt;0.01,0,IF(Adm!$S$5=Adm!$S$8,0,Adm!$AA$11*Adm!$X$4))</f>
        <v>0</v>
      </c>
      <c r="J105" s="2145">
        <f>IF(N104&lt;0.01,0,Adm!$Q$4*1.16)</f>
        <v>0</v>
      </c>
      <c r="K105" s="2145">
        <f>IF(N104&lt;0.01,0,IF(Adm!$O$4&gt;0,E105*Adm!$O$4,0))</f>
        <v>0</v>
      </c>
      <c r="L105" s="2145">
        <f t="shared" si="5"/>
        <v>0</v>
      </c>
      <c r="M105" s="2145">
        <f>IF(Adm!$G$4="si",MIN(N104+E105+H105+I105+J105-L105,Z105),0)</f>
        <v>0</v>
      </c>
      <c r="N105" s="2145">
        <f t="shared" si="6"/>
        <v>0</v>
      </c>
      <c r="O105" s="2146"/>
      <c r="P105" s="1101"/>
      <c r="U105" s="1107" t="s">
        <v>465</v>
      </c>
      <c r="V105" s="1352">
        <f t="shared" si="7"/>
        <v>6</v>
      </c>
      <c r="W105" s="1367">
        <f>IF(V105=1,Cal!$AB$127,0)</f>
        <v>0</v>
      </c>
      <c r="Y105" s="1368">
        <f t="shared" si="15"/>
        <v>0</v>
      </c>
      <c r="Z105" s="1369">
        <f t="shared" ca="1" si="8"/>
        <v>0</v>
      </c>
      <c r="AB105" s="1375">
        <f t="shared" si="16"/>
        <v>0</v>
      </c>
      <c r="AC105" s="1373">
        <f t="shared" si="17"/>
        <v>0</v>
      </c>
      <c r="AD105" s="1373">
        <f t="shared" si="24"/>
        <v>0</v>
      </c>
      <c r="AE105" s="1373">
        <f t="shared" si="18"/>
        <v>0</v>
      </c>
      <c r="AF105" s="1371">
        <f t="shared" si="19"/>
        <v>0</v>
      </c>
      <c r="AG105" s="1359" t="e">
        <f>HLOOKUP($AG$83,anticipado,19,0)</f>
        <v>#N/A</v>
      </c>
      <c r="AI105" s="1360">
        <f t="shared" si="9"/>
        <v>0</v>
      </c>
      <c r="AJ105" s="1361">
        <f t="shared" si="25"/>
        <v>18</v>
      </c>
      <c r="AK105" s="1362">
        <f t="shared" si="10"/>
        <v>0</v>
      </c>
      <c r="AL105" s="1362">
        <f t="shared" si="26"/>
        <v>0</v>
      </c>
      <c r="AM105" s="1362">
        <f t="shared" si="21"/>
        <v>0</v>
      </c>
      <c r="AN105" s="1363">
        <f t="shared" si="11"/>
        <v>1000000</v>
      </c>
      <c r="AO105" s="1364"/>
      <c r="AP105" s="1364"/>
      <c r="AQ105" s="1361">
        <f t="shared" si="27"/>
        <v>18</v>
      </c>
      <c r="AR105" s="1362">
        <f t="shared" si="12"/>
        <v>0</v>
      </c>
      <c r="AS105" s="1362">
        <f t="shared" si="2"/>
        <v>8543.2677227072418</v>
      </c>
      <c r="AT105" s="1362">
        <f t="shared" si="28"/>
        <v>8543.2677227072418</v>
      </c>
      <c r="AU105" s="1363">
        <f t="shared" si="23"/>
        <v>846221.18099126965</v>
      </c>
    </row>
    <row r="106" spans="1:47">
      <c r="A106" s="1118">
        <f t="shared" ca="1" si="0"/>
        <v>10</v>
      </c>
      <c r="B106" s="1351">
        <f t="shared" si="3"/>
        <v>0</v>
      </c>
      <c r="C106" s="2143">
        <f t="shared" si="13"/>
        <v>0</v>
      </c>
      <c r="D106" s="2144">
        <f t="shared" si="14"/>
        <v>0</v>
      </c>
      <c r="E106" s="2145">
        <f t="shared" si="4"/>
        <v>0</v>
      </c>
      <c r="F106" s="2145">
        <f t="shared" ref="F106:F164" si="29">IF(N105&lt;0.01,0,G106-E106)</f>
        <v>0</v>
      </c>
      <c r="G106" s="2145">
        <f>IF(N105&lt;0.1,0,MIN(N105+E106,IF(AB106&gt;0,AB106,IF(AND(Adm!$B$4=Adm!$A$118,Adm!$E$13=18),U106,G105*(1+W106)))))</f>
        <v>0</v>
      </c>
      <c r="H106" s="2145">
        <f>IF(N105&lt;0.01,0,IF(Adm!$S$4=Adm!$S$8,0,N105*Adm!$V$4))</f>
        <v>0</v>
      </c>
      <c r="I106" s="2145">
        <f>IF(N105&lt;0.01,0,IF(Adm!$S$5=Adm!$S$8,0,Adm!$AA$11*Adm!$X$4))</f>
        <v>0</v>
      </c>
      <c r="J106" s="2145">
        <f>IF(N105&lt;0.01,0,Adm!$Q$4*1.16)</f>
        <v>0</v>
      </c>
      <c r="K106" s="2145">
        <f>IF(N105&lt;0.01,0,IF(Adm!$O$4&gt;0,E106*Adm!$O$4,0))</f>
        <v>0</v>
      </c>
      <c r="L106" s="2145">
        <f t="shared" si="5"/>
        <v>0</v>
      </c>
      <c r="M106" s="2145">
        <f>IF(Adm!$G$4="si",MIN(N105+E106+H106+I106+J106-L106,Z106),0)</f>
        <v>0</v>
      </c>
      <c r="N106" s="2145">
        <f t="shared" si="6"/>
        <v>0</v>
      </c>
      <c r="O106" s="2146"/>
      <c r="P106" s="1101"/>
      <c r="U106" s="1376">
        <f>IF(AND(Adm!$B$4=Adm!$A$118,Adm!$E$13=18),PMT(((Adm!AE6/360)*(365/12)),Adm!H4-18,-N105),0)</f>
        <v>0</v>
      </c>
      <c r="V106" s="1352">
        <f t="shared" si="7"/>
        <v>7</v>
      </c>
      <c r="W106" s="1367">
        <f>IF(V106=1,Cal!$AB$127,0)</f>
        <v>0</v>
      </c>
      <c r="Y106" s="1368">
        <f t="shared" si="15"/>
        <v>0</v>
      </c>
      <c r="Z106" s="1369">
        <f t="shared" ca="1" si="8"/>
        <v>0</v>
      </c>
      <c r="AB106" s="1375">
        <f t="shared" si="16"/>
        <v>0</v>
      </c>
      <c r="AC106" s="1373">
        <f t="shared" si="17"/>
        <v>0</v>
      </c>
      <c r="AD106" s="1373">
        <f t="shared" si="24"/>
        <v>0</v>
      </c>
      <c r="AE106" s="1373">
        <f t="shared" si="18"/>
        <v>0</v>
      </c>
      <c r="AF106" s="1371">
        <f t="shared" si="19"/>
        <v>0</v>
      </c>
      <c r="AG106" s="1359" t="e">
        <f>HLOOKUP($AG$83,anticipado,20,0)</f>
        <v>#N/A</v>
      </c>
      <c r="AI106" s="1360">
        <f t="shared" si="9"/>
        <v>0</v>
      </c>
      <c r="AJ106" s="1361">
        <f t="shared" si="25"/>
        <v>19</v>
      </c>
      <c r="AK106" s="1362">
        <f t="shared" si="10"/>
        <v>0</v>
      </c>
      <c r="AL106" s="1362">
        <f t="shared" si="26"/>
        <v>0</v>
      </c>
      <c r="AM106" s="1362">
        <f t="shared" si="21"/>
        <v>0</v>
      </c>
      <c r="AN106" s="1363">
        <f t="shared" si="11"/>
        <v>1000000</v>
      </c>
      <c r="AO106" s="1364"/>
      <c r="AP106" s="1364"/>
      <c r="AQ106" s="1361">
        <f t="shared" si="27"/>
        <v>19</v>
      </c>
      <c r="AR106" s="1362">
        <f t="shared" si="12"/>
        <v>0</v>
      </c>
      <c r="AS106" s="1362">
        <f t="shared" si="2"/>
        <v>8543.2677227072418</v>
      </c>
      <c r="AT106" s="1362">
        <f t="shared" si="28"/>
        <v>8543.2677227072418</v>
      </c>
      <c r="AU106" s="1363">
        <f t="shared" si="23"/>
        <v>837677.91326856241</v>
      </c>
    </row>
    <row r="107" spans="1:47">
      <c r="A107" s="1118">
        <f t="shared" ca="1" si="0"/>
        <v>11</v>
      </c>
      <c r="B107" s="1351">
        <f t="shared" si="3"/>
        <v>0</v>
      </c>
      <c r="C107" s="2143">
        <f t="shared" si="13"/>
        <v>0</v>
      </c>
      <c r="D107" s="2144">
        <f t="shared" si="14"/>
        <v>0</v>
      </c>
      <c r="E107" s="2145">
        <f t="shared" si="4"/>
        <v>0</v>
      </c>
      <c r="F107" s="2145">
        <f t="shared" si="29"/>
        <v>0</v>
      </c>
      <c r="G107" s="2145">
        <f t="shared" ref="G107:G165" si="30">IF(N106&lt;0.1,0,MIN(N106+E107,IF(AB107&gt;0,AB107,G106*(1+W107))))</f>
        <v>0</v>
      </c>
      <c r="H107" s="2145">
        <f>IF(N106&lt;0.01,0,IF(Adm!$S$4=Adm!$S$8,0,N106*Adm!$V$4))</f>
        <v>0</v>
      </c>
      <c r="I107" s="2145">
        <f>IF(N106&lt;0.01,0,IF(Adm!$S$5=Adm!$S$8,0,Adm!$AA$11*Adm!$X$4))</f>
        <v>0</v>
      </c>
      <c r="J107" s="2145">
        <f>IF(N106&lt;0.01,0,Adm!$Q$4*1.16)</f>
        <v>0</v>
      </c>
      <c r="K107" s="2145">
        <f>IF(N106&lt;0.01,0,IF(Adm!$O$4&gt;0,E107*Adm!$O$4,0))</f>
        <v>0</v>
      </c>
      <c r="L107" s="2145">
        <f t="shared" si="5"/>
        <v>0</v>
      </c>
      <c r="M107" s="2145">
        <f>IF(Adm!$G$4="si",MIN(N106+E107+H107+I107+J107-L107,Z107),0)</f>
        <v>0</v>
      </c>
      <c r="N107" s="2145">
        <f t="shared" si="6"/>
        <v>0</v>
      </c>
      <c r="O107" s="2146"/>
      <c r="P107" s="1101"/>
      <c r="V107" s="1352">
        <f t="shared" si="7"/>
        <v>8</v>
      </c>
      <c r="W107" s="1367">
        <f>IF(V107=1,Cal!$AB$127,0)</f>
        <v>0</v>
      </c>
      <c r="Y107" s="1368">
        <f t="shared" si="15"/>
        <v>0</v>
      </c>
      <c r="Z107" s="1369">
        <f t="shared" ca="1" si="8"/>
        <v>0</v>
      </c>
      <c r="AB107" s="1375">
        <f t="shared" si="16"/>
        <v>0</v>
      </c>
      <c r="AC107" s="1373">
        <f t="shared" si="17"/>
        <v>0</v>
      </c>
      <c r="AD107" s="1373">
        <f t="shared" si="24"/>
        <v>0</v>
      </c>
      <c r="AE107" s="1373">
        <f t="shared" si="18"/>
        <v>0</v>
      </c>
      <c r="AF107" s="1371">
        <f t="shared" si="19"/>
        <v>0</v>
      </c>
      <c r="AG107" s="1359" t="e">
        <f>HLOOKUP($AG$83,anticipado,21,0)</f>
        <v>#N/A</v>
      </c>
      <c r="AI107" s="1360">
        <f t="shared" si="9"/>
        <v>0</v>
      </c>
      <c r="AJ107" s="1361">
        <f t="shared" si="25"/>
        <v>20</v>
      </c>
      <c r="AK107" s="1362">
        <f t="shared" si="10"/>
        <v>0</v>
      </c>
      <c r="AL107" s="1362">
        <f t="shared" si="26"/>
        <v>0</v>
      </c>
      <c r="AM107" s="1362">
        <f t="shared" si="21"/>
        <v>0</v>
      </c>
      <c r="AN107" s="1363">
        <f t="shared" si="11"/>
        <v>1000000</v>
      </c>
      <c r="AO107" s="1364"/>
      <c r="AP107" s="1364"/>
      <c r="AQ107" s="1361">
        <f t="shared" si="27"/>
        <v>20</v>
      </c>
      <c r="AR107" s="1362">
        <f t="shared" si="12"/>
        <v>0</v>
      </c>
      <c r="AS107" s="1362">
        <f t="shared" si="2"/>
        <v>8543.2677227072418</v>
      </c>
      <c r="AT107" s="1362">
        <f t="shared" si="28"/>
        <v>8543.2677227072418</v>
      </c>
      <c r="AU107" s="1363">
        <f t="shared" si="23"/>
        <v>829134.64554585516</v>
      </c>
    </row>
    <row r="108" spans="1:47">
      <c r="A108" s="1118">
        <f t="shared" ca="1" si="0"/>
        <v>12</v>
      </c>
      <c r="B108" s="1351">
        <f t="shared" si="3"/>
        <v>0</v>
      </c>
      <c r="C108" s="2143">
        <f t="shared" si="13"/>
        <v>0</v>
      </c>
      <c r="D108" s="2144">
        <f t="shared" si="14"/>
        <v>0</v>
      </c>
      <c r="E108" s="2145">
        <f t="shared" si="4"/>
        <v>0</v>
      </c>
      <c r="F108" s="2145">
        <f t="shared" si="29"/>
        <v>0</v>
      </c>
      <c r="G108" s="2145">
        <f t="shared" si="30"/>
        <v>0</v>
      </c>
      <c r="H108" s="2145">
        <f>IF(N107&lt;0.01,0,IF(Adm!$S$4=Adm!$S$8,0,N107*Adm!$V$4))</f>
        <v>0</v>
      </c>
      <c r="I108" s="2145">
        <f>IF(N107&lt;0.01,0,IF(Adm!$S$5=Adm!$S$8,0,Adm!$AA$11*Adm!$X$4))</f>
        <v>0</v>
      </c>
      <c r="J108" s="2145">
        <f>IF(N107&lt;0.01,0,Adm!$Q$4*1.16)</f>
        <v>0</v>
      </c>
      <c r="K108" s="2145">
        <f>IF(N107&lt;0.01,0,IF(Adm!$O$4&gt;0,E108*Adm!$O$4,0))</f>
        <v>0</v>
      </c>
      <c r="L108" s="2145">
        <f t="shared" si="5"/>
        <v>0</v>
      </c>
      <c r="M108" s="2145">
        <f>IF(Adm!$G$4="si",MIN(N107+E108+H108+I108+J108-L108,Z108),0)</f>
        <v>0</v>
      </c>
      <c r="N108" s="2145">
        <f t="shared" si="6"/>
        <v>0</v>
      </c>
      <c r="O108" s="2146"/>
      <c r="P108" s="1101"/>
      <c r="V108" s="1352">
        <f t="shared" si="7"/>
        <v>9</v>
      </c>
      <c r="W108" s="1367">
        <f>IF(V108=1,Cal!$AB$127,0)</f>
        <v>0</v>
      </c>
      <c r="Y108" s="1368">
        <f t="shared" si="15"/>
        <v>0</v>
      </c>
      <c r="Z108" s="1369">
        <f t="shared" ca="1" si="8"/>
        <v>0</v>
      </c>
      <c r="AB108" s="1375">
        <f t="shared" si="16"/>
        <v>0</v>
      </c>
      <c r="AC108" s="1373">
        <f t="shared" si="17"/>
        <v>0</v>
      </c>
      <c r="AD108" s="1373">
        <f t="shared" si="24"/>
        <v>0</v>
      </c>
      <c r="AE108" s="1373">
        <f t="shared" si="18"/>
        <v>0</v>
      </c>
      <c r="AF108" s="1371">
        <f t="shared" si="19"/>
        <v>0</v>
      </c>
      <c r="AG108" s="1359" t="e">
        <f>HLOOKUP($AG$83,anticipado,22,0)</f>
        <v>#N/A</v>
      </c>
      <c r="AI108" s="1360">
        <f t="shared" si="9"/>
        <v>0</v>
      </c>
      <c r="AJ108" s="1361">
        <f t="shared" si="25"/>
        <v>21</v>
      </c>
      <c r="AK108" s="1362">
        <f t="shared" si="10"/>
        <v>0</v>
      </c>
      <c r="AL108" s="1362">
        <f t="shared" si="26"/>
        <v>0</v>
      </c>
      <c r="AM108" s="1362">
        <f t="shared" si="21"/>
        <v>0</v>
      </c>
      <c r="AN108" s="1363">
        <f t="shared" si="11"/>
        <v>1000000</v>
      </c>
      <c r="AO108" s="1364"/>
      <c r="AP108" s="1364"/>
      <c r="AQ108" s="1361">
        <f t="shared" si="27"/>
        <v>21</v>
      </c>
      <c r="AR108" s="1362">
        <f t="shared" si="12"/>
        <v>0</v>
      </c>
      <c r="AS108" s="1362">
        <f t="shared" si="2"/>
        <v>8543.2677227072418</v>
      </c>
      <c r="AT108" s="1362">
        <f t="shared" si="28"/>
        <v>8543.2677227072418</v>
      </c>
      <c r="AU108" s="1363">
        <f t="shared" si="23"/>
        <v>820591.37782314792</v>
      </c>
    </row>
    <row r="109" spans="1:47">
      <c r="A109" s="1118">
        <f t="shared" ca="1" si="0"/>
        <v>1</v>
      </c>
      <c r="B109" s="1351">
        <f t="shared" si="3"/>
        <v>0</v>
      </c>
      <c r="C109" s="2143">
        <f t="shared" si="13"/>
        <v>0</v>
      </c>
      <c r="D109" s="2144">
        <f t="shared" si="14"/>
        <v>0</v>
      </c>
      <c r="E109" s="2145">
        <f t="shared" si="4"/>
        <v>0</v>
      </c>
      <c r="F109" s="2145">
        <f t="shared" si="29"/>
        <v>0</v>
      </c>
      <c r="G109" s="2145">
        <f t="shared" si="30"/>
        <v>0</v>
      </c>
      <c r="H109" s="2145">
        <f>IF(N108&lt;0.01,0,IF(Adm!$S$4=Adm!$S$8,0,N108*Adm!$V$4))</f>
        <v>0</v>
      </c>
      <c r="I109" s="2145">
        <f>IF(N108&lt;0.01,0,IF(Adm!$S$5=Adm!$S$8,0,Adm!$AA$11*Adm!$X$4))</f>
        <v>0</v>
      </c>
      <c r="J109" s="2145">
        <f>IF(N108&lt;0.01,0,Adm!$Q$4*1.16)</f>
        <v>0</v>
      </c>
      <c r="K109" s="2145">
        <f>IF(N108&lt;0.01,0,IF(Adm!$O$4&gt;0,E109*Adm!$O$4,0))</f>
        <v>0</v>
      </c>
      <c r="L109" s="2145">
        <f t="shared" si="5"/>
        <v>0</v>
      </c>
      <c r="M109" s="2145">
        <f>IF(Adm!$G$4="si",MIN(N108+E109+H109+I109+J109-L109,Z109),0)</f>
        <v>0</v>
      </c>
      <c r="N109" s="2145">
        <f t="shared" si="6"/>
        <v>0</v>
      </c>
      <c r="O109" s="2146"/>
      <c r="P109" s="1101"/>
      <c r="V109" s="1352">
        <f t="shared" si="7"/>
        <v>10</v>
      </c>
      <c r="W109" s="1367">
        <f>IF(V109=1,Cal!$AB$127,0)</f>
        <v>0</v>
      </c>
      <c r="Y109" s="1368">
        <f t="shared" si="15"/>
        <v>0</v>
      </c>
      <c r="Z109" s="1369">
        <f t="shared" ca="1" si="8"/>
        <v>0</v>
      </c>
      <c r="AB109" s="1375">
        <f t="shared" si="16"/>
        <v>0</v>
      </c>
      <c r="AC109" s="1373">
        <f t="shared" si="17"/>
        <v>0</v>
      </c>
      <c r="AD109" s="1373">
        <f t="shared" si="24"/>
        <v>0</v>
      </c>
      <c r="AE109" s="1373">
        <f t="shared" si="18"/>
        <v>0</v>
      </c>
      <c r="AF109" s="1371">
        <f t="shared" si="19"/>
        <v>0</v>
      </c>
      <c r="AG109" s="1359" t="e">
        <f>HLOOKUP($AG$83,anticipado,23,0)</f>
        <v>#N/A</v>
      </c>
      <c r="AI109" s="1360">
        <f t="shared" si="9"/>
        <v>0</v>
      </c>
      <c r="AJ109" s="1361">
        <f t="shared" si="25"/>
        <v>22</v>
      </c>
      <c r="AK109" s="1362">
        <f t="shared" si="10"/>
        <v>0</v>
      </c>
      <c r="AL109" s="1362">
        <f t="shared" si="26"/>
        <v>0</v>
      </c>
      <c r="AM109" s="1362">
        <f t="shared" si="21"/>
        <v>0</v>
      </c>
      <c r="AN109" s="1363">
        <f t="shared" si="11"/>
        <v>1000000</v>
      </c>
      <c r="AO109" s="1364"/>
      <c r="AP109" s="1364"/>
      <c r="AQ109" s="1361">
        <f t="shared" si="27"/>
        <v>22</v>
      </c>
      <c r="AR109" s="1362">
        <f t="shared" si="12"/>
        <v>0</v>
      </c>
      <c r="AS109" s="1362">
        <f t="shared" si="2"/>
        <v>8543.2677227072418</v>
      </c>
      <c r="AT109" s="1362">
        <f t="shared" si="28"/>
        <v>8543.2677227072418</v>
      </c>
      <c r="AU109" s="1363">
        <f t="shared" si="23"/>
        <v>812048.11010044068</v>
      </c>
    </row>
    <row r="110" spans="1:47">
      <c r="A110" s="1118">
        <f t="shared" ca="1" si="0"/>
        <v>2</v>
      </c>
      <c r="B110" s="1351">
        <f t="shared" si="3"/>
        <v>0</v>
      </c>
      <c r="C110" s="2143">
        <f t="shared" si="13"/>
        <v>0</v>
      </c>
      <c r="D110" s="2144">
        <f t="shared" si="14"/>
        <v>0</v>
      </c>
      <c r="E110" s="2145">
        <f t="shared" si="4"/>
        <v>0</v>
      </c>
      <c r="F110" s="2145">
        <f t="shared" si="29"/>
        <v>0</v>
      </c>
      <c r="G110" s="2145">
        <f t="shared" si="30"/>
        <v>0</v>
      </c>
      <c r="H110" s="2145">
        <f>IF(N109&lt;0.01,0,IF(Adm!$S$4=Adm!$S$8,0,N109*Adm!$V$4))</f>
        <v>0</v>
      </c>
      <c r="I110" s="2145">
        <f>IF(N109&lt;0.01,0,IF(Adm!$S$5=Adm!$S$8,0,Adm!$AA$11*Adm!$X$4))</f>
        <v>0</v>
      </c>
      <c r="J110" s="2145">
        <f>IF(N109&lt;0.01,0,Adm!$Q$4*1.16)</f>
        <v>0</v>
      </c>
      <c r="K110" s="2145">
        <f>IF(N109&lt;0.01,0,IF(Adm!$O$4&gt;0,E110*Adm!$O$4,0))</f>
        <v>0</v>
      </c>
      <c r="L110" s="2145">
        <f t="shared" si="5"/>
        <v>0</v>
      </c>
      <c r="M110" s="2145">
        <f>IF(Adm!$G$4="si",MIN(N109+E110+H110+I110+J110-L110,Z110),0)</f>
        <v>0</v>
      </c>
      <c r="N110" s="2145">
        <f t="shared" si="6"/>
        <v>0</v>
      </c>
      <c r="O110" s="2146"/>
      <c r="P110" s="1101"/>
      <c r="V110" s="1352">
        <f t="shared" si="7"/>
        <v>11</v>
      </c>
      <c r="W110" s="1367">
        <f>IF(V110=1,Cal!$AB$127,0)</f>
        <v>0</v>
      </c>
      <c r="Y110" s="1368">
        <f t="shared" si="15"/>
        <v>0</v>
      </c>
      <c r="Z110" s="1369">
        <f t="shared" ca="1" si="8"/>
        <v>0</v>
      </c>
      <c r="AB110" s="1375">
        <f t="shared" si="16"/>
        <v>0</v>
      </c>
      <c r="AC110" s="1373">
        <f t="shared" si="17"/>
        <v>0</v>
      </c>
      <c r="AD110" s="1373">
        <f t="shared" si="24"/>
        <v>0</v>
      </c>
      <c r="AE110" s="1373">
        <f t="shared" si="18"/>
        <v>0</v>
      </c>
      <c r="AF110" s="1371">
        <f t="shared" si="19"/>
        <v>0</v>
      </c>
      <c r="AG110" s="1359" t="e">
        <f>HLOOKUP($AG$83,anticipado,24,0)</f>
        <v>#N/A</v>
      </c>
      <c r="AI110" s="1360">
        <f t="shared" si="9"/>
        <v>0</v>
      </c>
      <c r="AJ110" s="1361">
        <f t="shared" si="25"/>
        <v>23</v>
      </c>
      <c r="AK110" s="1362">
        <f t="shared" si="10"/>
        <v>0</v>
      </c>
      <c r="AL110" s="1362">
        <f t="shared" si="26"/>
        <v>0</v>
      </c>
      <c r="AM110" s="1362">
        <f t="shared" si="21"/>
        <v>0</v>
      </c>
      <c r="AN110" s="1363">
        <f t="shared" si="11"/>
        <v>1000000</v>
      </c>
      <c r="AO110" s="1364"/>
      <c r="AP110" s="1364"/>
      <c r="AQ110" s="1361">
        <f t="shared" si="27"/>
        <v>23</v>
      </c>
      <c r="AR110" s="1362">
        <f t="shared" si="12"/>
        <v>0</v>
      </c>
      <c r="AS110" s="1362">
        <f t="shared" si="2"/>
        <v>8543.2677227072418</v>
      </c>
      <c r="AT110" s="1362">
        <f t="shared" si="28"/>
        <v>8543.2677227072418</v>
      </c>
      <c r="AU110" s="1363">
        <f t="shared" si="23"/>
        <v>803504.84237773344</v>
      </c>
    </row>
    <row r="111" spans="1:47">
      <c r="A111" s="1118">
        <f t="shared" ca="1" si="0"/>
        <v>3</v>
      </c>
      <c r="B111" s="1351">
        <f t="shared" si="3"/>
        <v>0</v>
      </c>
      <c r="C111" s="2143">
        <f t="shared" si="13"/>
        <v>0</v>
      </c>
      <c r="D111" s="2144">
        <f t="shared" si="14"/>
        <v>0</v>
      </c>
      <c r="E111" s="2145">
        <f t="shared" si="4"/>
        <v>0</v>
      </c>
      <c r="F111" s="2145">
        <f t="shared" si="29"/>
        <v>0</v>
      </c>
      <c r="G111" s="2145">
        <f t="shared" si="30"/>
        <v>0</v>
      </c>
      <c r="H111" s="2145">
        <f>IF(N110&lt;0.01,0,IF(Adm!$S$4=Adm!$S$8,0,N110*Adm!$V$4))</f>
        <v>0</v>
      </c>
      <c r="I111" s="2145">
        <f>IF(N110&lt;0.01,0,IF(Adm!$S$5=Adm!$S$8,0,Adm!$AA$11*Adm!$X$4))</f>
        <v>0</v>
      </c>
      <c r="J111" s="2145">
        <f>IF(N110&lt;0.01,0,Adm!$Q$4*1.16)</f>
        <v>0</v>
      </c>
      <c r="K111" s="2145">
        <f>IF(N110&lt;0.01,0,IF(Adm!$O$4&gt;0,E111*Adm!$O$4,0))</f>
        <v>0</v>
      </c>
      <c r="L111" s="2145">
        <f t="shared" si="5"/>
        <v>0</v>
      </c>
      <c r="M111" s="2145">
        <f>IF(Adm!$G$4="si",MIN(N110+E111+H111+I111+J111-L111,Z111),0)</f>
        <v>0</v>
      </c>
      <c r="N111" s="2145">
        <f t="shared" si="6"/>
        <v>0</v>
      </c>
      <c r="O111" s="2146"/>
      <c r="P111" s="1101"/>
      <c r="V111" s="1352">
        <f t="shared" si="7"/>
        <v>12</v>
      </c>
      <c r="W111" s="1367">
        <f>IF(V111=1,Cal!$AB$127,0)</f>
        <v>0</v>
      </c>
      <c r="Y111" s="1368">
        <f t="shared" si="15"/>
        <v>0</v>
      </c>
      <c r="Z111" s="1369">
        <f t="shared" ca="1" si="8"/>
        <v>0</v>
      </c>
      <c r="AB111" s="1375">
        <f t="shared" si="16"/>
        <v>0</v>
      </c>
      <c r="AC111" s="1373">
        <f t="shared" si="17"/>
        <v>0</v>
      </c>
      <c r="AD111" s="1373">
        <f t="shared" si="24"/>
        <v>0</v>
      </c>
      <c r="AE111" s="1373">
        <f t="shared" si="18"/>
        <v>0</v>
      </c>
      <c r="AF111" s="1371">
        <f t="shared" si="19"/>
        <v>0</v>
      </c>
      <c r="AG111" s="1359" t="e">
        <f>HLOOKUP($AG$83,anticipado,25,0)</f>
        <v>#N/A</v>
      </c>
      <c r="AI111" s="1360">
        <f t="shared" si="9"/>
        <v>0</v>
      </c>
      <c r="AJ111" s="1361">
        <f t="shared" si="25"/>
        <v>24</v>
      </c>
      <c r="AK111" s="1362">
        <f t="shared" si="10"/>
        <v>0</v>
      </c>
      <c r="AL111" s="1362">
        <f t="shared" si="26"/>
        <v>0</v>
      </c>
      <c r="AM111" s="1362">
        <f t="shared" si="21"/>
        <v>0</v>
      </c>
      <c r="AN111" s="1363">
        <f t="shared" si="11"/>
        <v>1000000</v>
      </c>
      <c r="AO111" s="1364"/>
      <c r="AP111" s="1364"/>
      <c r="AQ111" s="1361">
        <f t="shared" si="27"/>
        <v>24</v>
      </c>
      <c r="AR111" s="1362">
        <f t="shared" si="12"/>
        <v>0</v>
      </c>
      <c r="AS111" s="1362">
        <f t="shared" si="2"/>
        <v>8543.2677227072418</v>
      </c>
      <c r="AT111" s="1362">
        <f t="shared" si="28"/>
        <v>8543.2677227072418</v>
      </c>
      <c r="AU111" s="1363">
        <f t="shared" si="23"/>
        <v>794961.5746550262</v>
      </c>
    </row>
    <row r="112" spans="1:47">
      <c r="A112" s="1118">
        <f t="shared" ca="1" si="0"/>
        <v>4</v>
      </c>
      <c r="B112" s="1351">
        <f t="shared" si="3"/>
        <v>0</v>
      </c>
      <c r="C112" s="2143">
        <f t="shared" si="13"/>
        <v>0</v>
      </c>
      <c r="D112" s="2144">
        <f t="shared" si="14"/>
        <v>0</v>
      </c>
      <c r="E112" s="2145">
        <f t="shared" si="4"/>
        <v>0</v>
      </c>
      <c r="F112" s="2145">
        <f t="shared" si="29"/>
        <v>0</v>
      </c>
      <c r="G112" s="2145">
        <f t="shared" si="30"/>
        <v>0</v>
      </c>
      <c r="H112" s="2145">
        <f>IF(N111&lt;0.01,0,IF(Adm!$S$4=Adm!$S$8,0,N111*Adm!$V$4))</f>
        <v>0</v>
      </c>
      <c r="I112" s="2145">
        <f>IF(N111&lt;0.01,0,IF(Adm!$S$5=Adm!$S$8,0,Adm!$AA$11*Adm!$X$4))</f>
        <v>0</v>
      </c>
      <c r="J112" s="2145">
        <f>IF(N111&lt;0.01,0,Adm!$Q$4*1.16)</f>
        <v>0</v>
      </c>
      <c r="K112" s="2145">
        <f>IF(N111&lt;0.01,0,IF(Adm!$O$4&gt;0,E112*Adm!$O$4,0))</f>
        <v>0</v>
      </c>
      <c r="L112" s="2145">
        <f t="shared" si="5"/>
        <v>0</v>
      </c>
      <c r="M112" s="2145">
        <f>IF(Adm!$G$4="si",MIN(N111+E112+H112+I112+J112-L112,Z112),0)</f>
        <v>0</v>
      </c>
      <c r="N112" s="2145">
        <f t="shared" si="6"/>
        <v>0</v>
      </c>
      <c r="O112" s="2146"/>
      <c r="P112" s="1101"/>
      <c r="V112" s="1352">
        <f t="shared" si="7"/>
        <v>1</v>
      </c>
      <c r="W112" s="1367">
        <f>IF(V112=1,Cal!$AB$127,0)</f>
        <v>0</v>
      </c>
      <c r="Y112" s="1368">
        <f t="shared" si="15"/>
        <v>0</v>
      </c>
      <c r="Z112" s="1369">
        <f t="shared" ca="1" si="8"/>
        <v>0</v>
      </c>
      <c r="AB112" s="1375">
        <f t="shared" si="16"/>
        <v>0</v>
      </c>
      <c r="AC112" s="1373">
        <f t="shared" si="17"/>
        <v>0</v>
      </c>
      <c r="AD112" s="1373">
        <f t="shared" si="24"/>
        <v>0</v>
      </c>
      <c r="AE112" s="1373">
        <f t="shared" si="18"/>
        <v>0</v>
      </c>
      <c r="AF112" s="1371">
        <f t="shared" si="19"/>
        <v>0</v>
      </c>
      <c r="AG112" s="1359" t="e">
        <f>HLOOKUP($AG$83,anticipado,26,0)</f>
        <v>#N/A</v>
      </c>
      <c r="AI112" s="1360">
        <f t="shared" si="9"/>
        <v>0</v>
      </c>
      <c r="AJ112" s="1377">
        <f t="shared" si="25"/>
        <v>25</v>
      </c>
      <c r="AK112" s="1378">
        <f t="shared" si="10"/>
        <v>0</v>
      </c>
      <c r="AL112" s="1378">
        <f t="shared" si="26"/>
        <v>0</v>
      </c>
      <c r="AM112" s="1378">
        <f>MIN(AN111+AK112,AM111*(1+$AK$83))</f>
        <v>0</v>
      </c>
      <c r="AN112" s="1363">
        <f t="shared" si="11"/>
        <v>1000000</v>
      </c>
      <c r="AO112" s="1364"/>
      <c r="AP112" s="1364"/>
      <c r="AQ112" s="1379">
        <f t="shared" si="27"/>
        <v>25</v>
      </c>
      <c r="AR112" s="1380">
        <f t="shared" si="12"/>
        <v>0</v>
      </c>
      <c r="AS112" s="1380">
        <f t="shared" si="2"/>
        <v>8543.2677227072418</v>
      </c>
      <c r="AT112" s="1380">
        <f>MIN(AU111+AR112,AT111*(1+$AR$83))</f>
        <v>8543.2677227072418</v>
      </c>
      <c r="AU112" s="1363">
        <f t="shared" si="23"/>
        <v>786418.30693231896</v>
      </c>
    </row>
    <row r="113" spans="1:47">
      <c r="A113" s="1118">
        <f t="shared" ca="1" si="0"/>
        <v>5</v>
      </c>
      <c r="B113" s="1351">
        <f t="shared" si="3"/>
        <v>0</v>
      </c>
      <c r="C113" s="2143">
        <f t="shared" si="13"/>
        <v>0</v>
      </c>
      <c r="D113" s="2144">
        <f t="shared" si="14"/>
        <v>0</v>
      </c>
      <c r="E113" s="2145">
        <f t="shared" si="4"/>
        <v>0</v>
      </c>
      <c r="F113" s="2145">
        <f t="shared" si="29"/>
        <v>0</v>
      </c>
      <c r="G113" s="2145">
        <f t="shared" si="30"/>
        <v>0</v>
      </c>
      <c r="H113" s="2145">
        <f>IF(N112&lt;0.01,0,IF(Adm!$S$4=Adm!$S$8,0,N112*Adm!$V$4))</f>
        <v>0</v>
      </c>
      <c r="I113" s="2145">
        <f>IF(N112&lt;0.01,0,IF(Adm!$S$5=Adm!$S$8,0,Adm!$AA$11*Adm!$X$4))</f>
        <v>0</v>
      </c>
      <c r="J113" s="2145">
        <f>IF(N112&lt;0.01,0,Adm!$Q$4*1.16)</f>
        <v>0</v>
      </c>
      <c r="K113" s="2145">
        <f>IF(N112&lt;0.01,0,IF(Adm!$O$4&gt;0,E113*Adm!$O$4,0))</f>
        <v>0</v>
      </c>
      <c r="L113" s="2145">
        <f t="shared" si="5"/>
        <v>0</v>
      </c>
      <c r="M113" s="2145">
        <f>IF(Adm!$G$4="si",MIN(N112+E113+H113+I113+J113-L113,Z113),0)</f>
        <v>0</v>
      </c>
      <c r="N113" s="2145">
        <f t="shared" si="6"/>
        <v>0</v>
      </c>
      <c r="O113" s="2146"/>
      <c r="P113" s="1101"/>
      <c r="V113" s="1352">
        <f t="shared" si="7"/>
        <v>2</v>
      </c>
      <c r="W113" s="1367">
        <f>IF(V113=1,Cal!$AB$127,0)</f>
        <v>0</v>
      </c>
      <c r="Y113" s="1368">
        <f t="shared" si="15"/>
        <v>0</v>
      </c>
      <c r="Z113" s="1369">
        <f t="shared" ca="1" si="8"/>
        <v>0</v>
      </c>
      <c r="AB113" s="1375">
        <f t="shared" si="16"/>
        <v>0</v>
      </c>
      <c r="AC113" s="1373">
        <f t="shared" si="17"/>
        <v>0</v>
      </c>
      <c r="AD113" s="1373">
        <f t="shared" si="24"/>
        <v>0</v>
      </c>
      <c r="AE113" s="1373">
        <f t="shared" si="18"/>
        <v>0</v>
      </c>
      <c r="AF113" s="1371">
        <f t="shared" si="19"/>
        <v>0</v>
      </c>
      <c r="AG113" s="1359" t="e">
        <f>HLOOKUP($AG$83,anticipado,27,0)</f>
        <v>#N/A</v>
      </c>
      <c r="AI113" s="1360">
        <f t="shared" si="9"/>
        <v>0</v>
      </c>
      <c r="AJ113" s="1361">
        <f t="shared" si="25"/>
        <v>26</v>
      </c>
      <c r="AK113" s="1362">
        <f t="shared" si="10"/>
        <v>0</v>
      </c>
      <c r="AL113" s="1362">
        <f t="shared" si="26"/>
        <v>0</v>
      </c>
      <c r="AM113" s="1362">
        <f t="shared" si="21"/>
        <v>0</v>
      </c>
      <c r="AN113" s="1363">
        <f t="shared" si="11"/>
        <v>1000000</v>
      </c>
      <c r="AO113" s="1364"/>
      <c r="AP113" s="1364"/>
      <c r="AQ113" s="1361">
        <f t="shared" si="27"/>
        <v>26</v>
      </c>
      <c r="AR113" s="1362">
        <f t="shared" si="12"/>
        <v>0</v>
      </c>
      <c r="AS113" s="1362">
        <f t="shared" si="2"/>
        <v>8543.2677227072418</v>
      </c>
      <c r="AT113" s="1362">
        <f t="shared" ref="AT113:AT123" si="31">MIN(AU112+AR113,AT112)</f>
        <v>8543.2677227072418</v>
      </c>
      <c r="AU113" s="1363">
        <f t="shared" si="23"/>
        <v>777875.03920961171</v>
      </c>
    </row>
    <row r="114" spans="1:47">
      <c r="A114" s="1118">
        <f t="shared" ca="1" si="0"/>
        <v>6</v>
      </c>
      <c r="B114" s="1351">
        <f t="shared" si="3"/>
        <v>0</v>
      </c>
      <c r="C114" s="2143">
        <f t="shared" si="13"/>
        <v>0</v>
      </c>
      <c r="D114" s="2144">
        <f t="shared" si="14"/>
        <v>0</v>
      </c>
      <c r="E114" s="2145">
        <f t="shared" si="4"/>
        <v>0</v>
      </c>
      <c r="F114" s="2145">
        <f t="shared" si="29"/>
        <v>0</v>
      </c>
      <c r="G114" s="2145">
        <f t="shared" si="30"/>
        <v>0</v>
      </c>
      <c r="H114" s="2145">
        <f>IF(N113&lt;0.01,0,IF(Adm!$S$4=Adm!$S$8,0,N113*Adm!$V$4))</f>
        <v>0</v>
      </c>
      <c r="I114" s="2145">
        <f>IF(N113&lt;0.01,0,IF(Adm!$S$5=Adm!$S$8,0,Adm!$AA$11*Adm!$X$4))</f>
        <v>0</v>
      </c>
      <c r="J114" s="2145">
        <f>IF(N113&lt;0.01,0,Adm!$Q$4*1.16)</f>
        <v>0</v>
      </c>
      <c r="K114" s="2145">
        <f>IF(N113&lt;0.01,0,IF(Adm!$O$4&gt;0,E114*Adm!$O$4,0))</f>
        <v>0</v>
      </c>
      <c r="L114" s="2145">
        <f t="shared" si="5"/>
        <v>0</v>
      </c>
      <c r="M114" s="2145">
        <f>IF(Adm!$G$4="si",MIN(N113+E114+H114+I114+J114-L114,Z114),0)</f>
        <v>0</v>
      </c>
      <c r="N114" s="2145">
        <f t="shared" si="6"/>
        <v>0</v>
      </c>
      <c r="O114" s="2146"/>
      <c r="P114" s="1101"/>
      <c r="V114" s="1352">
        <f t="shared" si="7"/>
        <v>3</v>
      </c>
      <c r="W114" s="1367">
        <f>IF(V114=1,Cal!$AB$127,0)</f>
        <v>0</v>
      </c>
      <c r="Y114" s="1368">
        <f t="shared" si="15"/>
        <v>0</v>
      </c>
      <c r="Z114" s="1369">
        <f t="shared" ca="1" si="8"/>
        <v>0</v>
      </c>
      <c r="AB114" s="1375">
        <f t="shared" si="16"/>
        <v>0</v>
      </c>
      <c r="AC114" s="1373">
        <f t="shared" si="17"/>
        <v>0</v>
      </c>
      <c r="AD114" s="1373">
        <f t="shared" si="24"/>
        <v>0</v>
      </c>
      <c r="AE114" s="1373">
        <f t="shared" si="18"/>
        <v>0</v>
      </c>
      <c r="AF114" s="1371">
        <f t="shared" si="19"/>
        <v>0</v>
      </c>
      <c r="AG114" s="1359" t="e">
        <f>HLOOKUP($AG$83,anticipado,28,0)</f>
        <v>#N/A</v>
      </c>
      <c r="AI114" s="1360">
        <f t="shared" si="9"/>
        <v>0</v>
      </c>
      <c r="AJ114" s="1361">
        <f t="shared" si="25"/>
        <v>27</v>
      </c>
      <c r="AK114" s="1362">
        <f t="shared" si="10"/>
        <v>0</v>
      </c>
      <c r="AL114" s="1362">
        <f t="shared" si="26"/>
        <v>0</v>
      </c>
      <c r="AM114" s="1362">
        <f t="shared" si="21"/>
        <v>0</v>
      </c>
      <c r="AN114" s="1363">
        <f t="shared" si="11"/>
        <v>1000000</v>
      </c>
      <c r="AO114" s="1364"/>
      <c r="AP114" s="1364"/>
      <c r="AQ114" s="1361">
        <f t="shared" si="27"/>
        <v>27</v>
      </c>
      <c r="AR114" s="1362">
        <f t="shared" si="12"/>
        <v>0</v>
      </c>
      <c r="AS114" s="1362">
        <f t="shared" si="2"/>
        <v>8543.2677227072418</v>
      </c>
      <c r="AT114" s="1362">
        <f t="shared" si="31"/>
        <v>8543.2677227072418</v>
      </c>
      <c r="AU114" s="1363">
        <f t="shared" si="23"/>
        <v>769331.77148690447</v>
      </c>
    </row>
    <row r="115" spans="1:47">
      <c r="A115" s="1118">
        <f t="shared" ca="1" si="0"/>
        <v>7</v>
      </c>
      <c r="B115" s="1351">
        <f t="shared" si="3"/>
        <v>0</v>
      </c>
      <c r="C115" s="2143">
        <f t="shared" si="13"/>
        <v>0</v>
      </c>
      <c r="D115" s="2144">
        <f t="shared" si="14"/>
        <v>0</v>
      </c>
      <c r="E115" s="2145">
        <f t="shared" si="4"/>
        <v>0</v>
      </c>
      <c r="F115" s="2145">
        <f t="shared" si="29"/>
        <v>0</v>
      </c>
      <c r="G115" s="2145">
        <f t="shared" si="30"/>
        <v>0</v>
      </c>
      <c r="H115" s="2145">
        <f>IF(N114&lt;0.01,0,IF(Adm!$S$4=Adm!$S$8,0,N114*Adm!$V$4))</f>
        <v>0</v>
      </c>
      <c r="I115" s="2145">
        <f>IF(N114&lt;0.01,0,IF(Adm!$S$5=Adm!$S$8,0,Adm!$AA$11*Adm!$X$4))</f>
        <v>0</v>
      </c>
      <c r="J115" s="2145">
        <f>IF(N114&lt;0.01,0,Adm!$Q$4*1.16)</f>
        <v>0</v>
      </c>
      <c r="K115" s="2145">
        <f>IF(N114&lt;0.01,0,IF(Adm!$O$4&gt;0,E115*Adm!$O$4,0))</f>
        <v>0</v>
      </c>
      <c r="L115" s="2145">
        <f t="shared" si="5"/>
        <v>0</v>
      </c>
      <c r="M115" s="2145">
        <f>IF(Adm!$G$4="si",MIN(N114+E115+H115+I115+J115-L115,Z115),0)</f>
        <v>0</v>
      </c>
      <c r="N115" s="2145">
        <f t="shared" si="6"/>
        <v>0</v>
      </c>
      <c r="O115" s="2146"/>
      <c r="P115" s="1101"/>
      <c r="V115" s="1352">
        <f t="shared" si="7"/>
        <v>4</v>
      </c>
      <c r="W115" s="1367">
        <f>IF(V115=1,Cal!$AB$127,0)</f>
        <v>0</v>
      </c>
      <c r="Y115" s="1368">
        <f t="shared" si="15"/>
        <v>0</v>
      </c>
      <c r="Z115" s="1369">
        <f t="shared" ca="1" si="8"/>
        <v>0</v>
      </c>
      <c r="AB115" s="1375">
        <f t="shared" si="16"/>
        <v>0</v>
      </c>
      <c r="AC115" s="1373">
        <f t="shared" si="17"/>
        <v>0</v>
      </c>
      <c r="AD115" s="1373">
        <f t="shared" si="24"/>
        <v>0</v>
      </c>
      <c r="AE115" s="1373">
        <f t="shared" si="18"/>
        <v>0</v>
      </c>
      <c r="AF115" s="1371">
        <f t="shared" si="19"/>
        <v>0</v>
      </c>
      <c r="AG115" s="1359" t="e">
        <f>HLOOKUP($AG$83,anticipado,29,0)</f>
        <v>#N/A</v>
      </c>
      <c r="AI115" s="1360">
        <f t="shared" si="9"/>
        <v>0</v>
      </c>
      <c r="AJ115" s="1361">
        <f t="shared" si="25"/>
        <v>28</v>
      </c>
      <c r="AK115" s="1362">
        <f t="shared" si="10"/>
        <v>0</v>
      </c>
      <c r="AL115" s="1362">
        <f t="shared" si="26"/>
        <v>0</v>
      </c>
      <c r="AM115" s="1362">
        <f t="shared" si="21"/>
        <v>0</v>
      </c>
      <c r="AN115" s="1363">
        <f t="shared" si="11"/>
        <v>1000000</v>
      </c>
      <c r="AO115" s="1364"/>
      <c r="AP115" s="1364"/>
      <c r="AQ115" s="1361">
        <f t="shared" si="27"/>
        <v>28</v>
      </c>
      <c r="AR115" s="1362">
        <f t="shared" si="12"/>
        <v>0</v>
      </c>
      <c r="AS115" s="1362">
        <f t="shared" si="2"/>
        <v>8543.2677227072418</v>
      </c>
      <c r="AT115" s="1362">
        <f t="shared" si="31"/>
        <v>8543.2677227072418</v>
      </c>
      <c r="AU115" s="1363">
        <f t="shared" si="23"/>
        <v>760788.50376419723</v>
      </c>
    </row>
    <row r="116" spans="1:47">
      <c r="A116" s="1118">
        <f t="shared" ca="1" si="0"/>
        <v>8</v>
      </c>
      <c r="B116" s="1351">
        <f t="shared" si="3"/>
        <v>0</v>
      </c>
      <c r="C116" s="2143">
        <f t="shared" si="13"/>
        <v>0</v>
      </c>
      <c r="D116" s="2144">
        <f t="shared" si="14"/>
        <v>0</v>
      </c>
      <c r="E116" s="2145">
        <f t="shared" si="4"/>
        <v>0</v>
      </c>
      <c r="F116" s="2145">
        <f t="shared" si="29"/>
        <v>0</v>
      </c>
      <c r="G116" s="2145">
        <f t="shared" si="30"/>
        <v>0</v>
      </c>
      <c r="H116" s="2145">
        <f>IF(N115&lt;0.01,0,IF(Adm!$S$4=Adm!$S$8,0,N115*Adm!$V$4))</f>
        <v>0</v>
      </c>
      <c r="I116" s="2145">
        <f>IF(N115&lt;0.01,0,IF(Adm!$S$5=Adm!$S$8,0,Adm!$AA$11*Adm!$X$4))</f>
        <v>0</v>
      </c>
      <c r="J116" s="2145">
        <f>IF(N115&lt;0.01,0,Adm!$Q$4*1.16)</f>
        <v>0</v>
      </c>
      <c r="K116" s="2145">
        <f>IF(N115&lt;0.01,0,IF(Adm!$O$4&gt;0,E116*Adm!$O$4,0))</f>
        <v>0</v>
      </c>
      <c r="L116" s="2145">
        <f t="shared" si="5"/>
        <v>0</v>
      </c>
      <c r="M116" s="2145">
        <f>IF(Adm!$G$4="si",MIN(N115+E116+H116+I116+J116-L116,Z116),0)</f>
        <v>0</v>
      </c>
      <c r="N116" s="2145">
        <f t="shared" si="6"/>
        <v>0</v>
      </c>
      <c r="O116" s="2146"/>
      <c r="P116" s="1101"/>
      <c r="V116" s="1352">
        <f t="shared" si="7"/>
        <v>5</v>
      </c>
      <c r="W116" s="1367">
        <f>IF(V116=1,Cal!$AB$127,0)</f>
        <v>0</v>
      </c>
      <c r="Y116" s="1368">
        <f t="shared" si="15"/>
        <v>0</v>
      </c>
      <c r="Z116" s="1369">
        <f t="shared" ca="1" si="8"/>
        <v>0</v>
      </c>
      <c r="AB116" s="1375">
        <f t="shared" si="16"/>
        <v>0</v>
      </c>
      <c r="AC116" s="1373">
        <f t="shared" si="17"/>
        <v>0</v>
      </c>
      <c r="AD116" s="1373">
        <f t="shared" si="24"/>
        <v>0</v>
      </c>
      <c r="AE116" s="1373">
        <f t="shared" si="18"/>
        <v>0</v>
      </c>
      <c r="AF116" s="1371">
        <f t="shared" si="19"/>
        <v>0</v>
      </c>
      <c r="AG116" s="1359" t="e">
        <f>HLOOKUP($AG$83,anticipado,30,0)</f>
        <v>#N/A</v>
      </c>
      <c r="AI116" s="1360">
        <f t="shared" si="9"/>
        <v>0</v>
      </c>
      <c r="AJ116" s="1361">
        <f t="shared" si="25"/>
        <v>29</v>
      </c>
      <c r="AK116" s="1362">
        <f t="shared" si="10"/>
        <v>0</v>
      </c>
      <c r="AL116" s="1362">
        <f t="shared" si="26"/>
        <v>0</v>
      </c>
      <c r="AM116" s="1362">
        <f t="shared" si="21"/>
        <v>0</v>
      </c>
      <c r="AN116" s="1363">
        <f t="shared" si="11"/>
        <v>1000000</v>
      </c>
      <c r="AO116" s="1364"/>
      <c r="AP116" s="1364"/>
      <c r="AQ116" s="1361">
        <f t="shared" si="27"/>
        <v>29</v>
      </c>
      <c r="AR116" s="1362">
        <f t="shared" si="12"/>
        <v>0</v>
      </c>
      <c r="AS116" s="1362">
        <f t="shared" si="2"/>
        <v>8543.2677227072418</v>
      </c>
      <c r="AT116" s="1362">
        <f t="shared" si="31"/>
        <v>8543.2677227072418</v>
      </c>
      <c r="AU116" s="1363">
        <f t="shared" si="23"/>
        <v>752245.23604148999</v>
      </c>
    </row>
    <row r="117" spans="1:47">
      <c r="A117" s="1118">
        <f t="shared" ca="1" si="0"/>
        <v>9</v>
      </c>
      <c r="B117" s="1351">
        <f t="shared" si="3"/>
        <v>0</v>
      </c>
      <c r="C117" s="2143">
        <f t="shared" si="13"/>
        <v>0</v>
      </c>
      <c r="D117" s="2144">
        <f t="shared" si="14"/>
        <v>0</v>
      </c>
      <c r="E117" s="2145">
        <f t="shared" si="4"/>
        <v>0</v>
      </c>
      <c r="F117" s="2145">
        <f t="shared" si="29"/>
        <v>0</v>
      </c>
      <c r="G117" s="2145">
        <f t="shared" si="30"/>
        <v>0</v>
      </c>
      <c r="H117" s="2145">
        <f>IF(N116&lt;0.01,0,IF(Adm!$S$4=Adm!$S$8,0,N116*Adm!$V$4))</f>
        <v>0</v>
      </c>
      <c r="I117" s="2145">
        <f>IF(N116&lt;0.01,0,IF(Adm!$S$5=Adm!$S$8,0,Adm!$AA$11*Adm!$X$4))</f>
        <v>0</v>
      </c>
      <c r="J117" s="2145">
        <f>IF(N116&lt;0.01,0,Adm!$Q$4*1.16)</f>
        <v>0</v>
      </c>
      <c r="K117" s="2145">
        <f>IF(N116&lt;0.01,0,IF(Adm!$O$4&gt;0,E117*Adm!$O$4,0))</f>
        <v>0</v>
      </c>
      <c r="L117" s="2145">
        <f t="shared" si="5"/>
        <v>0</v>
      </c>
      <c r="M117" s="2145">
        <f>IF(Adm!$G$4="si",MIN(N116+E117+H117+I117+J117-L117,Z117),0)</f>
        <v>0</v>
      </c>
      <c r="N117" s="2145">
        <f t="shared" si="6"/>
        <v>0</v>
      </c>
      <c r="O117" s="2146"/>
      <c r="P117" s="1101"/>
      <c r="V117" s="1352">
        <f t="shared" si="7"/>
        <v>6</v>
      </c>
      <c r="W117" s="1367">
        <f>IF(V117=1,Cal!$AB$127,0)</f>
        <v>0</v>
      </c>
      <c r="Y117" s="1368">
        <f t="shared" si="15"/>
        <v>0</v>
      </c>
      <c r="Z117" s="1369">
        <f t="shared" ca="1" si="8"/>
        <v>0</v>
      </c>
      <c r="AB117" s="1375">
        <f t="shared" si="16"/>
        <v>0</v>
      </c>
      <c r="AC117" s="1373">
        <f t="shared" si="17"/>
        <v>0</v>
      </c>
      <c r="AD117" s="1373">
        <f t="shared" si="24"/>
        <v>0</v>
      </c>
      <c r="AE117" s="1373">
        <f t="shared" si="18"/>
        <v>0</v>
      </c>
      <c r="AF117" s="1371">
        <f t="shared" si="19"/>
        <v>0</v>
      </c>
      <c r="AG117" s="1359" t="e">
        <f>HLOOKUP($AG$83,anticipado,31,0)</f>
        <v>#N/A</v>
      </c>
      <c r="AI117" s="1360">
        <f t="shared" si="9"/>
        <v>0</v>
      </c>
      <c r="AJ117" s="1361">
        <f t="shared" si="25"/>
        <v>30</v>
      </c>
      <c r="AK117" s="1362">
        <f t="shared" si="10"/>
        <v>0</v>
      </c>
      <c r="AL117" s="1362">
        <f t="shared" si="26"/>
        <v>0</v>
      </c>
      <c r="AM117" s="1362">
        <f t="shared" si="21"/>
        <v>0</v>
      </c>
      <c r="AN117" s="1363">
        <f t="shared" si="11"/>
        <v>1000000</v>
      </c>
      <c r="AO117" s="1364"/>
      <c r="AP117" s="1364"/>
      <c r="AQ117" s="1361">
        <f t="shared" si="27"/>
        <v>30</v>
      </c>
      <c r="AR117" s="1362">
        <f t="shared" si="12"/>
        <v>0</v>
      </c>
      <c r="AS117" s="1362">
        <f t="shared" si="2"/>
        <v>8543.2677227072418</v>
      </c>
      <c r="AT117" s="1362">
        <f t="shared" si="31"/>
        <v>8543.2677227072418</v>
      </c>
      <c r="AU117" s="1363">
        <f t="shared" si="23"/>
        <v>743701.96831878275</v>
      </c>
    </row>
    <row r="118" spans="1:47">
      <c r="A118" s="1118">
        <f t="shared" ca="1" si="0"/>
        <v>10</v>
      </c>
      <c r="B118" s="1351">
        <f t="shared" si="3"/>
        <v>0</v>
      </c>
      <c r="C118" s="2143">
        <f t="shared" si="13"/>
        <v>0</v>
      </c>
      <c r="D118" s="2144">
        <f t="shared" si="14"/>
        <v>0</v>
      </c>
      <c r="E118" s="2145">
        <f t="shared" si="4"/>
        <v>0</v>
      </c>
      <c r="F118" s="2145">
        <f t="shared" si="29"/>
        <v>0</v>
      </c>
      <c r="G118" s="2145">
        <f t="shared" si="30"/>
        <v>0</v>
      </c>
      <c r="H118" s="2145">
        <f>IF(N117&lt;0.01,0,IF(Adm!$S$4=Adm!$S$8,0,N117*Adm!$V$4))</f>
        <v>0</v>
      </c>
      <c r="I118" s="2145">
        <f>IF(N117&lt;0.01,0,IF(Adm!$S$5=Adm!$S$8,0,Adm!$AA$11*Adm!$X$4))</f>
        <v>0</v>
      </c>
      <c r="J118" s="2145">
        <f>IF(N117&lt;0.01,0,Adm!$Q$4*1.16)</f>
        <v>0</v>
      </c>
      <c r="K118" s="2145">
        <f>IF(N117&lt;0.01,0,IF(Adm!$O$4&gt;0,E118*Adm!$O$4,0))</f>
        <v>0</v>
      </c>
      <c r="L118" s="2145">
        <f t="shared" si="5"/>
        <v>0</v>
      </c>
      <c r="M118" s="2145">
        <f>IF(Adm!$G$4="si",MIN(N117+E118+H118+I118+J118-L118,Z118),0)</f>
        <v>0</v>
      </c>
      <c r="N118" s="2145">
        <f t="shared" si="6"/>
        <v>0</v>
      </c>
      <c r="O118" s="2146"/>
      <c r="P118" s="1101"/>
      <c r="V118" s="1352">
        <f t="shared" si="7"/>
        <v>7</v>
      </c>
      <c r="W118" s="1367">
        <f>IF(V118=1,Cal!$AB$127,0)</f>
        <v>0</v>
      </c>
      <c r="Y118" s="1368">
        <f t="shared" si="15"/>
        <v>0</v>
      </c>
      <c r="Z118" s="1369">
        <f t="shared" ca="1" si="8"/>
        <v>0</v>
      </c>
      <c r="AB118" s="1375">
        <f t="shared" si="16"/>
        <v>0</v>
      </c>
      <c r="AC118" s="1373">
        <f t="shared" si="17"/>
        <v>0</v>
      </c>
      <c r="AD118" s="1373">
        <f t="shared" si="24"/>
        <v>0</v>
      </c>
      <c r="AE118" s="1373">
        <f t="shared" si="18"/>
        <v>0</v>
      </c>
      <c r="AF118" s="1371">
        <f t="shared" si="19"/>
        <v>0</v>
      </c>
      <c r="AG118" s="1359" t="e">
        <f>HLOOKUP($AG$83,anticipado,32,0)</f>
        <v>#N/A</v>
      </c>
      <c r="AI118" s="1360">
        <f t="shared" si="9"/>
        <v>0</v>
      </c>
      <c r="AJ118" s="1361">
        <f t="shared" si="25"/>
        <v>31</v>
      </c>
      <c r="AK118" s="1362">
        <f t="shared" si="10"/>
        <v>0</v>
      </c>
      <c r="AL118" s="1362">
        <f t="shared" si="26"/>
        <v>0</v>
      </c>
      <c r="AM118" s="1362">
        <f t="shared" si="21"/>
        <v>0</v>
      </c>
      <c r="AN118" s="1363">
        <f t="shared" si="11"/>
        <v>1000000</v>
      </c>
      <c r="AO118" s="1364"/>
      <c r="AP118" s="1364"/>
      <c r="AQ118" s="1361">
        <f t="shared" si="27"/>
        <v>31</v>
      </c>
      <c r="AR118" s="1362">
        <f t="shared" si="12"/>
        <v>0</v>
      </c>
      <c r="AS118" s="1362">
        <f t="shared" si="2"/>
        <v>8543.2677227072418</v>
      </c>
      <c r="AT118" s="1362">
        <f t="shared" si="31"/>
        <v>8543.2677227072418</v>
      </c>
      <c r="AU118" s="1363">
        <f t="shared" si="23"/>
        <v>735158.70059607551</v>
      </c>
    </row>
    <row r="119" spans="1:47">
      <c r="A119" s="1118">
        <f t="shared" ca="1" si="0"/>
        <v>11</v>
      </c>
      <c r="B119" s="1351">
        <f t="shared" si="3"/>
        <v>0</v>
      </c>
      <c r="C119" s="2143">
        <f t="shared" si="13"/>
        <v>0</v>
      </c>
      <c r="D119" s="2144">
        <f t="shared" si="14"/>
        <v>0</v>
      </c>
      <c r="E119" s="2145">
        <f t="shared" si="4"/>
        <v>0</v>
      </c>
      <c r="F119" s="2145">
        <f t="shared" si="29"/>
        <v>0</v>
      </c>
      <c r="G119" s="2145">
        <f t="shared" si="30"/>
        <v>0</v>
      </c>
      <c r="H119" s="2145">
        <f>IF(N118&lt;0.01,0,IF(Adm!$S$4=Adm!$S$8,0,N118*Adm!$V$4))</f>
        <v>0</v>
      </c>
      <c r="I119" s="2145">
        <f>IF(N118&lt;0.01,0,IF(Adm!$S$5=Adm!$S$8,0,Adm!$AA$11*Adm!$X$4))</f>
        <v>0</v>
      </c>
      <c r="J119" s="2145">
        <f>IF(N118&lt;0.01,0,Adm!$Q$4*1.16)</f>
        <v>0</v>
      </c>
      <c r="K119" s="2145">
        <f>IF(N118&lt;0.01,0,IF(Adm!$O$4&gt;0,E119*Adm!$O$4,0))</f>
        <v>0</v>
      </c>
      <c r="L119" s="2145">
        <f t="shared" si="5"/>
        <v>0</v>
      </c>
      <c r="M119" s="2145">
        <f>IF(Adm!$G$4="si",MIN(N118+E119+H119+I119+J119-L119,Z119),0)</f>
        <v>0</v>
      </c>
      <c r="N119" s="2145">
        <f t="shared" si="6"/>
        <v>0</v>
      </c>
      <c r="O119" s="2146"/>
      <c r="P119" s="1101"/>
      <c r="V119" s="1352">
        <f t="shared" si="7"/>
        <v>8</v>
      </c>
      <c r="W119" s="1367">
        <f>IF(V119=1,Cal!$AB$127,0)</f>
        <v>0</v>
      </c>
      <c r="Y119" s="1368">
        <f t="shared" si="15"/>
        <v>0</v>
      </c>
      <c r="Z119" s="1369">
        <f t="shared" ca="1" si="8"/>
        <v>0</v>
      </c>
      <c r="AB119" s="1375">
        <f t="shared" si="16"/>
        <v>0</v>
      </c>
      <c r="AC119" s="1373">
        <f t="shared" si="17"/>
        <v>0</v>
      </c>
      <c r="AD119" s="1373">
        <f t="shared" si="24"/>
        <v>0</v>
      </c>
      <c r="AE119" s="1373">
        <f t="shared" si="18"/>
        <v>0</v>
      </c>
      <c r="AF119" s="1371">
        <f t="shared" si="19"/>
        <v>0</v>
      </c>
      <c r="AG119" s="1359" t="e">
        <f>HLOOKUP($AG$83,anticipado,33,0)</f>
        <v>#N/A</v>
      </c>
      <c r="AI119" s="1360">
        <f t="shared" si="9"/>
        <v>0</v>
      </c>
      <c r="AJ119" s="1361">
        <f t="shared" si="25"/>
        <v>32</v>
      </c>
      <c r="AK119" s="1362">
        <f t="shared" si="10"/>
        <v>0</v>
      </c>
      <c r="AL119" s="1362">
        <f t="shared" si="26"/>
        <v>0</v>
      </c>
      <c r="AM119" s="1362">
        <f t="shared" si="21"/>
        <v>0</v>
      </c>
      <c r="AN119" s="1363">
        <f t="shared" si="11"/>
        <v>1000000</v>
      </c>
      <c r="AO119" s="1364"/>
      <c r="AP119" s="1364"/>
      <c r="AQ119" s="1361">
        <f t="shared" si="27"/>
        <v>32</v>
      </c>
      <c r="AR119" s="1362">
        <f t="shared" si="12"/>
        <v>0</v>
      </c>
      <c r="AS119" s="1362">
        <f t="shared" si="2"/>
        <v>8543.2677227072418</v>
      </c>
      <c r="AT119" s="1362">
        <f t="shared" si="31"/>
        <v>8543.2677227072418</v>
      </c>
      <c r="AU119" s="1363">
        <f t="shared" si="23"/>
        <v>726615.43287336826</v>
      </c>
    </row>
    <row r="120" spans="1:47">
      <c r="A120" s="1118">
        <f t="shared" ca="1" si="0"/>
        <v>12</v>
      </c>
      <c r="B120" s="1351">
        <f t="shared" si="3"/>
        <v>0</v>
      </c>
      <c r="C120" s="2143">
        <f t="shared" si="13"/>
        <v>0</v>
      </c>
      <c r="D120" s="2144">
        <f t="shared" si="14"/>
        <v>0</v>
      </c>
      <c r="E120" s="2145">
        <f t="shared" si="4"/>
        <v>0</v>
      </c>
      <c r="F120" s="2145">
        <f t="shared" si="29"/>
        <v>0</v>
      </c>
      <c r="G120" s="2145">
        <f t="shared" si="30"/>
        <v>0</v>
      </c>
      <c r="H120" s="2145">
        <f>IF(N119&lt;0.01,0,IF(Adm!$S$4=Adm!$S$8,0,N119*Adm!$V$4))</f>
        <v>0</v>
      </c>
      <c r="I120" s="2145">
        <f>IF(N119&lt;0.01,0,IF(Adm!$S$5=Adm!$S$8,0,Adm!$AA$11*Adm!$X$4))</f>
        <v>0</v>
      </c>
      <c r="J120" s="2145">
        <f>IF(N119&lt;0.01,0,Adm!$Q$4*1.16)</f>
        <v>0</v>
      </c>
      <c r="K120" s="2145">
        <f>IF(N119&lt;0.01,0,IF(Adm!$O$4&gt;0,E120*Adm!$O$4,0))</f>
        <v>0</v>
      </c>
      <c r="L120" s="2145">
        <f t="shared" si="5"/>
        <v>0</v>
      </c>
      <c r="M120" s="2145">
        <f>IF(Adm!$G$4="si",MIN(N119+E120+H120+I120+J120-L120,Z120),0)</f>
        <v>0</v>
      </c>
      <c r="N120" s="2145">
        <f t="shared" si="6"/>
        <v>0</v>
      </c>
      <c r="O120" s="2146"/>
      <c r="P120" s="1101"/>
      <c r="V120" s="1352">
        <f t="shared" si="7"/>
        <v>9</v>
      </c>
      <c r="W120" s="1367">
        <f>IF(V120=1,Cal!$AB$127,0)</f>
        <v>0</v>
      </c>
      <c r="Y120" s="1368">
        <f t="shared" si="15"/>
        <v>0</v>
      </c>
      <c r="Z120" s="1369">
        <f t="shared" ca="1" si="8"/>
        <v>0</v>
      </c>
      <c r="AB120" s="1375">
        <f t="shared" si="16"/>
        <v>0</v>
      </c>
      <c r="AC120" s="1373">
        <f t="shared" si="17"/>
        <v>0</v>
      </c>
      <c r="AD120" s="1373">
        <f t="shared" si="24"/>
        <v>0</v>
      </c>
      <c r="AE120" s="1373">
        <f t="shared" si="18"/>
        <v>0</v>
      </c>
      <c r="AF120" s="1371">
        <f t="shared" si="19"/>
        <v>0</v>
      </c>
      <c r="AG120" s="1359" t="e">
        <f>HLOOKUP($AG$83,anticipado,34,0)</f>
        <v>#N/A</v>
      </c>
      <c r="AI120" s="1360">
        <f t="shared" si="9"/>
        <v>0</v>
      </c>
      <c r="AJ120" s="1361">
        <f t="shared" si="25"/>
        <v>33</v>
      </c>
      <c r="AK120" s="1362">
        <f t="shared" si="10"/>
        <v>0</v>
      </c>
      <c r="AL120" s="1362">
        <f t="shared" si="26"/>
        <v>0</v>
      </c>
      <c r="AM120" s="1362">
        <f t="shared" si="21"/>
        <v>0</v>
      </c>
      <c r="AN120" s="1363">
        <f t="shared" si="11"/>
        <v>1000000</v>
      </c>
      <c r="AO120" s="1364"/>
      <c r="AP120" s="1364"/>
      <c r="AQ120" s="1361">
        <f t="shared" si="27"/>
        <v>33</v>
      </c>
      <c r="AR120" s="1362">
        <f t="shared" si="12"/>
        <v>0</v>
      </c>
      <c r="AS120" s="1362">
        <f t="shared" si="2"/>
        <v>8543.2677227072418</v>
      </c>
      <c r="AT120" s="1362">
        <f t="shared" si="31"/>
        <v>8543.2677227072418</v>
      </c>
      <c r="AU120" s="1363">
        <f t="shared" si="23"/>
        <v>718072.16515066102</v>
      </c>
    </row>
    <row r="121" spans="1:47">
      <c r="A121" s="1118">
        <f t="shared" ca="1" si="0"/>
        <v>1</v>
      </c>
      <c r="B121" s="1351">
        <f t="shared" si="3"/>
        <v>0</v>
      </c>
      <c r="C121" s="2143">
        <f t="shared" si="13"/>
        <v>0</v>
      </c>
      <c r="D121" s="2144">
        <f t="shared" si="14"/>
        <v>0</v>
      </c>
      <c r="E121" s="2145">
        <f t="shared" si="4"/>
        <v>0</v>
      </c>
      <c r="F121" s="2145">
        <f t="shared" si="29"/>
        <v>0</v>
      </c>
      <c r="G121" s="2145">
        <f t="shared" si="30"/>
        <v>0</v>
      </c>
      <c r="H121" s="2145">
        <f>IF(N120&lt;0.01,0,IF(Adm!$S$4=Adm!$S$8,0,N120*Adm!$V$4))</f>
        <v>0</v>
      </c>
      <c r="I121" s="2145">
        <f>IF(N120&lt;0.01,0,IF(Adm!$S$5=Adm!$S$8,0,Adm!$AA$11*Adm!$X$4))</f>
        <v>0</v>
      </c>
      <c r="J121" s="2145">
        <f>IF(N120&lt;0.01,0,Adm!$Q$4*1.16)</f>
        <v>0</v>
      </c>
      <c r="K121" s="2145">
        <f>IF(N120&lt;0.01,0,IF(Adm!$O$4&gt;0,E121*Adm!$O$4,0))</f>
        <v>0</v>
      </c>
      <c r="L121" s="2145">
        <f t="shared" si="5"/>
        <v>0</v>
      </c>
      <c r="M121" s="2145">
        <f>IF(Adm!$G$4="si",MIN(N120+E121+H121+I121+J121-L121,Z121),0)</f>
        <v>0</v>
      </c>
      <c r="N121" s="2145">
        <f t="shared" si="6"/>
        <v>0</v>
      </c>
      <c r="O121" s="2146"/>
      <c r="P121" s="1101"/>
      <c r="V121" s="1352">
        <f t="shared" si="7"/>
        <v>10</v>
      </c>
      <c r="W121" s="1367">
        <f>IF(V121=1,Cal!$AB$127,0)</f>
        <v>0</v>
      </c>
      <c r="Y121" s="1368">
        <f t="shared" si="15"/>
        <v>0</v>
      </c>
      <c r="Z121" s="1369">
        <f t="shared" ca="1" si="8"/>
        <v>0</v>
      </c>
      <c r="AB121" s="1375">
        <f t="shared" si="16"/>
        <v>0</v>
      </c>
      <c r="AC121" s="1373">
        <f t="shared" si="17"/>
        <v>0</v>
      </c>
      <c r="AD121" s="1373">
        <f t="shared" si="24"/>
        <v>0</v>
      </c>
      <c r="AE121" s="1373">
        <f t="shared" si="18"/>
        <v>0</v>
      </c>
      <c r="AF121" s="1371">
        <f t="shared" si="19"/>
        <v>0</v>
      </c>
      <c r="AG121" s="1359" t="e">
        <f>HLOOKUP($AG$83,anticipado,35,0)</f>
        <v>#N/A</v>
      </c>
      <c r="AI121" s="1360">
        <f t="shared" si="9"/>
        <v>0</v>
      </c>
      <c r="AJ121" s="1361">
        <f t="shared" si="25"/>
        <v>34</v>
      </c>
      <c r="AK121" s="1362">
        <f t="shared" si="10"/>
        <v>0</v>
      </c>
      <c r="AL121" s="1362">
        <f t="shared" si="26"/>
        <v>0</v>
      </c>
      <c r="AM121" s="1362">
        <f t="shared" si="21"/>
        <v>0</v>
      </c>
      <c r="AN121" s="1363">
        <f t="shared" si="11"/>
        <v>1000000</v>
      </c>
      <c r="AO121" s="1364"/>
      <c r="AP121" s="1364"/>
      <c r="AQ121" s="1361">
        <f t="shared" si="27"/>
        <v>34</v>
      </c>
      <c r="AR121" s="1362">
        <f t="shared" si="12"/>
        <v>0</v>
      </c>
      <c r="AS121" s="1362">
        <f t="shared" si="2"/>
        <v>8543.2677227072418</v>
      </c>
      <c r="AT121" s="1362">
        <f t="shared" si="31"/>
        <v>8543.2677227072418</v>
      </c>
      <c r="AU121" s="1363">
        <f t="shared" si="23"/>
        <v>709528.89742795378</v>
      </c>
    </row>
    <row r="122" spans="1:47">
      <c r="A122" s="1118">
        <f t="shared" ca="1" si="0"/>
        <v>2</v>
      </c>
      <c r="B122" s="1351">
        <f t="shared" si="3"/>
        <v>0</v>
      </c>
      <c r="C122" s="2143">
        <f t="shared" si="13"/>
        <v>0</v>
      </c>
      <c r="D122" s="2144">
        <f t="shared" si="14"/>
        <v>0</v>
      </c>
      <c r="E122" s="2145">
        <f t="shared" si="4"/>
        <v>0</v>
      </c>
      <c r="F122" s="2145">
        <f t="shared" si="29"/>
        <v>0</v>
      </c>
      <c r="G122" s="2145">
        <f t="shared" si="30"/>
        <v>0</v>
      </c>
      <c r="H122" s="2145">
        <f>IF(N121&lt;0.01,0,IF(Adm!$S$4=Adm!$S$8,0,N121*Adm!$V$4))</f>
        <v>0</v>
      </c>
      <c r="I122" s="2145">
        <f>IF(N121&lt;0.01,0,IF(Adm!$S$5=Adm!$S$8,0,Adm!$AA$11*Adm!$X$4))</f>
        <v>0</v>
      </c>
      <c r="J122" s="2145">
        <f>IF(N121&lt;0.01,0,Adm!$Q$4*1.16)</f>
        <v>0</v>
      </c>
      <c r="K122" s="2145">
        <f>IF(N121&lt;0.01,0,IF(Adm!$O$4&gt;0,E122*Adm!$O$4,0))</f>
        <v>0</v>
      </c>
      <c r="L122" s="2145">
        <f t="shared" si="5"/>
        <v>0</v>
      </c>
      <c r="M122" s="2145">
        <f>IF(Adm!$G$4="si",MIN(N121+E122+H122+I122+J122-L122,Z122),0)</f>
        <v>0</v>
      </c>
      <c r="N122" s="2145">
        <f t="shared" si="6"/>
        <v>0</v>
      </c>
      <c r="O122" s="2146"/>
      <c r="P122" s="1101"/>
      <c r="V122" s="1352">
        <f t="shared" si="7"/>
        <v>11</v>
      </c>
      <c r="W122" s="1367">
        <f>IF(V122=1,Cal!$AB$127,0)</f>
        <v>0</v>
      </c>
      <c r="Y122" s="1368">
        <f t="shared" si="15"/>
        <v>0</v>
      </c>
      <c r="Z122" s="1369">
        <f t="shared" ca="1" si="8"/>
        <v>0</v>
      </c>
      <c r="AB122" s="1375">
        <f t="shared" si="16"/>
        <v>0</v>
      </c>
      <c r="AC122" s="1373">
        <f t="shared" si="17"/>
        <v>0</v>
      </c>
      <c r="AD122" s="1373">
        <f t="shared" si="24"/>
        <v>0</v>
      </c>
      <c r="AE122" s="1373">
        <f t="shared" si="18"/>
        <v>0</v>
      </c>
      <c r="AF122" s="1371">
        <f t="shared" si="19"/>
        <v>0</v>
      </c>
      <c r="AG122" s="1359" t="e">
        <f>HLOOKUP($AG$83,anticipado,36,0)</f>
        <v>#N/A</v>
      </c>
      <c r="AI122" s="1360">
        <f t="shared" si="9"/>
        <v>0</v>
      </c>
      <c r="AJ122" s="1361">
        <f t="shared" si="25"/>
        <v>35</v>
      </c>
      <c r="AK122" s="1362">
        <f t="shared" si="10"/>
        <v>0</v>
      </c>
      <c r="AL122" s="1362">
        <f t="shared" si="26"/>
        <v>0</v>
      </c>
      <c r="AM122" s="1362">
        <f t="shared" si="21"/>
        <v>0</v>
      </c>
      <c r="AN122" s="1363">
        <f t="shared" si="11"/>
        <v>1000000</v>
      </c>
      <c r="AO122" s="1364"/>
      <c r="AP122" s="1364"/>
      <c r="AQ122" s="1361">
        <f t="shared" si="27"/>
        <v>35</v>
      </c>
      <c r="AR122" s="1362">
        <f t="shared" si="12"/>
        <v>0</v>
      </c>
      <c r="AS122" s="1362">
        <f t="shared" si="2"/>
        <v>8543.2677227072418</v>
      </c>
      <c r="AT122" s="1362">
        <f t="shared" si="31"/>
        <v>8543.2677227072418</v>
      </c>
      <c r="AU122" s="1363">
        <f t="shared" si="23"/>
        <v>700985.62970524654</v>
      </c>
    </row>
    <row r="123" spans="1:47">
      <c r="A123" s="1118">
        <f t="shared" ca="1" si="0"/>
        <v>3</v>
      </c>
      <c r="B123" s="1351">
        <f t="shared" si="3"/>
        <v>0</v>
      </c>
      <c r="C123" s="2143">
        <f t="shared" si="13"/>
        <v>0</v>
      </c>
      <c r="D123" s="2144">
        <f t="shared" si="14"/>
        <v>0</v>
      </c>
      <c r="E123" s="2145">
        <f t="shared" si="4"/>
        <v>0</v>
      </c>
      <c r="F123" s="2145">
        <f t="shared" si="29"/>
        <v>0</v>
      </c>
      <c r="G123" s="2145">
        <f t="shared" si="30"/>
        <v>0</v>
      </c>
      <c r="H123" s="2145">
        <f>IF(N122&lt;0.01,0,IF(Adm!$S$4=Adm!$S$8,0,N122*Adm!$V$4))</f>
        <v>0</v>
      </c>
      <c r="I123" s="2145">
        <f>IF(N122&lt;0.01,0,IF(Adm!$S$5=Adm!$S$8,0,Adm!$AA$11*Adm!$X$4))</f>
        <v>0</v>
      </c>
      <c r="J123" s="2145">
        <f>IF(N122&lt;0.01,0,Adm!$Q$4*1.16)</f>
        <v>0</v>
      </c>
      <c r="K123" s="2145">
        <f>IF(N122&lt;0.01,0,IF(Adm!$O$4&gt;0,E123*Adm!$O$4,0))</f>
        <v>0</v>
      </c>
      <c r="L123" s="2145">
        <f t="shared" si="5"/>
        <v>0</v>
      </c>
      <c r="M123" s="2145">
        <f>IF(Adm!$G$4="si",MIN(N122+E123+H123+I123+J123-L123,Z123),0)</f>
        <v>0</v>
      </c>
      <c r="N123" s="2145">
        <f t="shared" si="6"/>
        <v>0</v>
      </c>
      <c r="O123" s="2146"/>
      <c r="P123" s="1101"/>
      <c r="V123" s="1352">
        <f t="shared" si="7"/>
        <v>12</v>
      </c>
      <c r="W123" s="1367">
        <f>IF(V123=1,Cal!$AB$127,0)</f>
        <v>0</v>
      </c>
      <c r="Y123" s="1368">
        <f t="shared" si="15"/>
        <v>0</v>
      </c>
      <c r="Z123" s="1369">
        <f t="shared" ca="1" si="8"/>
        <v>0</v>
      </c>
      <c r="AB123" s="1375">
        <f t="shared" si="16"/>
        <v>0</v>
      </c>
      <c r="AC123" s="1373">
        <f t="shared" si="17"/>
        <v>0</v>
      </c>
      <c r="AD123" s="1373">
        <f t="shared" si="24"/>
        <v>0</v>
      </c>
      <c r="AE123" s="1373">
        <f t="shared" si="18"/>
        <v>0</v>
      </c>
      <c r="AF123" s="1371">
        <f t="shared" si="19"/>
        <v>0</v>
      </c>
      <c r="AG123" s="1359" t="e">
        <f>HLOOKUP($AG$83,anticipado,37,0)</f>
        <v>#N/A</v>
      </c>
      <c r="AI123" s="1360">
        <f t="shared" si="9"/>
        <v>0</v>
      </c>
      <c r="AJ123" s="1361">
        <f t="shared" si="25"/>
        <v>36</v>
      </c>
      <c r="AK123" s="1362">
        <f t="shared" si="10"/>
        <v>0</v>
      </c>
      <c r="AL123" s="1362">
        <f t="shared" si="26"/>
        <v>0</v>
      </c>
      <c r="AM123" s="1362">
        <f t="shared" si="21"/>
        <v>0</v>
      </c>
      <c r="AN123" s="1363">
        <f t="shared" si="11"/>
        <v>1000000</v>
      </c>
      <c r="AO123" s="1364"/>
      <c r="AP123" s="1364"/>
      <c r="AQ123" s="1361">
        <f t="shared" si="27"/>
        <v>36</v>
      </c>
      <c r="AR123" s="1362">
        <f t="shared" si="12"/>
        <v>0</v>
      </c>
      <c r="AS123" s="1362">
        <f t="shared" si="2"/>
        <v>8543.2677227072418</v>
      </c>
      <c r="AT123" s="1362">
        <f t="shared" si="31"/>
        <v>8543.2677227072418</v>
      </c>
      <c r="AU123" s="1363">
        <f t="shared" si="23"/>
        <v>692442.3619825393</v>
      </c>
    </row>
    <row r="124" spans="1:47">
      <c r="A124" s="1118">
        <f t="shared" ca="1" si="0"/>
        <v>4</v>
      </c>
      <c r="B124" s="1351">
        <f t="shared" si="3"/>
        <v>0</v>
      </c>
      <c r="C124" s="2143">
        <f t="shared" si="13"/>
        <v>0</v>
      </c>
      <c r="D124" s="2144">
        <f t="shared" si="14"/>
        <v>0</v>
      </c>
      <c r="E124" s="2145">
        <f t="shared" si="4"/>
        <v>0</v>
      </c>
      <c r="F124" s="2145">
        <f t="shared" si="29"/>
        <v>0</v>
      </c>
      <c r="G124" s="2145">
        <f t="shared" si="30"/>
        <v>0</v>
      </c>
      <c r="H124" s="2145">
        <f>IF(N123&lt;0.01,0,IF(Adm!$S$4=Adm!$S$8,0,N123*Adm!$V$4))</f>
        <v>0</v>
      </c>
      <c r="I124" s="2145">
        <f>IF(N123&lt;0.01,0,IF(Adm!$S$5=Adm!$S$8,0,Adm!$AA$11*Adm!$X$4))</f>
        <v>0</v>
      </c>
      <c r="J124" s="2145">
        <f>IF(N123&lt;0.01,0,Adm!$Q$4*1.16)</f>
        <v>0</v>
      </c>
      <c r="K124" s="2145">
        <f>IF(N123&lt;0.01,0,IF(Adm!$O$4&gt;0,E124*Adm!$O$4,0))</f>
        <v>0</v>
      </c>
      <c r="L124" s="2145">
        <f t="shared" si="5"/>
        <v>0</v>
      </c>
      <c r="M124" s="2145">
        <f>IF(Adm!$G$4="si",MIN(N123+E124+H124+I124+J124-L124,Z124),0)</f>
        <v>0</v>
      </c>
      <c r="N124" s="2145">
        <f t="shared" si="6"/>
        <v>0</v>
      </c>
      <c r="O124" s="2146"/>
      <c r="P124" s="1101"/>
      <c r="V124" s="1352">
        <f t="shared" si="7"/>
        <v>1</v>
      </c>
      <c r="W124" s="1367">
        <f>IF(V124=1,Cal!$AB$127,0)</f>
        <v>0</v>
      </c>
      <c r="Y124" s="1368">
        <f t="shared" si="15"/>
        <v>0</v>
      </c>
      <c r="Z124" s="1369">
        <f t="shared" ca="1" si="8"/>
        <v>0</v>
      </c>
      <c r="AB124" s="1375">
        <f t="shared" si="16"/>
        <v>0</v>
      </c>
      <c r="AC124" s="1373">
        <f t="shared" si="17"/>
        <v>0</v>
      </c>
      <c r="AD124" s="1373">
        <f t="shared" si="24"/>
        <v>0</v>
      </c>
      <c r="AE124" s="1373">
        <f t="shared" si="18"/>
        <v>0</v>
      </c>
      <c r="AF124" s="1371">
        <f t="shared" si="19"/>
        <v>0</v>
      </c>
      <c r="AG124" s="1359" t="e">
        <f>HLOOKUP($AG$83,anticipado,38,0)</f>
        <v>#N/A</v>
      </c>
      <c r="AI124" s="1360">
        <f t="shared" si="9"/>
        <v>0</v>
      </c>
      <c r="AJ124" s="1377">
        <f t="shared" si="25"/>
        <v>37</v>
      </c>
      <c r="AK124" s="1378">
        <f t="shared" si="10"/>
        <v>0</v>
      </c>
      <c r="AL124" s="1378">
        <f t="shared" si="26"/>
        <v>0</v>
      </c>
      <c r="AM124" s="1378">
        <f>MIN(AN123+AK124,AM123*(1+$AK$83))</f>
        <v>0</v>
      </c>
      <c r="AN124" s="1363">
        <f t="shared" si="11"/>
        <v>1000000</v>
      </c>
      <c r="AO124" s="1364"/>
      <c r="AP124" s="1364"/>
      <c r="AQ124" s="1379">
        <f t="shared" si="27"/>
        <v>37</v>
      </c>
      <c r="AR124" s="1380">
        <f t="shared" si="12"/>
        <v>0</v>
      </c>
      <c r="AS124" s="1380">
        <f t="shared" si="2"/>
        <v>8543.2677227072418</v>
      </c>
      <c r="AT124" s="1380">
        <f>MIN(AU123+AR124,AT123*(1+$AR$83))</f>
        <v>8543.2677227072418</v>
      </c>
      <c r="AU124" s="1363">
        <f t="shared" si="23"/>
        <v>683899.09425983205</v>
      </c>
    </row>
    <row r="125" spans="1:47">
      <c r="A125" s="1118">
        <f t="shared" ca="1" si="0"/>
        <v>5</v>
      </c>
      <c r="B125" s="1351">
        <f t="shared" si="3"/>
        <v>0</v>
      </c>
      <c r="C125" s="2143">
        <f t="shared" si="13"/>
        <v>0</v>
      </c>
      <c r="D125" s="2144">
        <f t="shared" si="14"/>
        <v>0</v>
      </c>
      <c r="E125" s="2145">
        <f t="shared" si="4"/>
        <v>0</v>
      </c>
      <c r="F125" s="2145">
        <f t="shared" si="29"/>
        <v>0</v>
      </c>
      <c r="G125" s="2145">
        <f t="shared" si="30"/>
        <v>0</v>
      </c>
      <c r="H125" s="2145">
        <f>IF(N124&lt;0.01,0,IF(Adm!$S$4=Adm!$S$8,0,N124*Adm!$V$4))</f>
        <v>0</v>
      </c>
      <c r="I125" s="2145">
        <f>IF(N124&lt;0.01,0,IF(Adm!$S$5=Adm!$S$8,0,Adm!$AA$11*Adm!$X$4))</f>
        <v>0</v>
      </c>
      <c r="J125" s="2145">
        <f>IF(N124&lt;0.01,0,Adm!$Q$4*1.16)</f>
        <v>0</v>
      </c>
      <c r="K125" s="2145">
        <f>IF(N124&lt;0.01,0,IF(Adm!$O$4&gt;0,E125*Adm!$O$4,0))</f>
        <v>0</v>
      </c>
      <c r="L125" s="2145">
        <f t="shared" si="5"/>
        <v>0</v>
      </c>
      <c r="M125" s="2145">
        <f>IF(Adm!$G$4="si",MIN(N124+E125+H125+I125+J125-L125,Z125),0)</f>
        <v>0</v>
      </c>
      <c r="N125" s="2145">
        <f t="shared" si="6"/>
        <v>0</v>
      </c>
      <c r="O125" s="2146"/>
      <c r="P125" s="1101"/>
      <c r="V125" s="1352">
        <f t="shared" si="7"/>
        <v>2</v>
      </c>
      <c r="W125" s="1367">
        <f>IF(V125=1,Cal!$AB$127,0)</f>
        <v>0</v>
      </c>
      <c r="Y125" s="1368">
        <f t="shared" si="15"/>
        <v>0</v>
      </c>
      <c r="Z125" s="1369">
        <f t="shared" ca="1" si="8"/>
        <v>0</v>
      </c>
      <c r="AB125" s="1375">
        <f t="shared" si="16"/>
        <v>0</v>
      </c>
      <c r="AC125" s="1373">
        <f t="shared" si="17"/>
        <v>0</v>
      </c>
      <c r="AD125" s="1373">
        <f t="shared" si="24"/>
        <v>0</v>
      </c>
      <c r="AE125" s="1373">
        <f t="shared" si="18"/>
        <v>0</v>
      </c>
      <c r="AF125" s="1371">
        <f t="shared" si="19"/>
        <v>0</v>
      </c>
      <c r="AG125" s="1359" t="e">
        <f>HLOOKUP($AG$83,anticipado,39,0)</f>
        <v>#N/A</v>
      </c>
      <c r="AI125" s="1360">
        <f t="shared" si="9"/>
        <v>0</v>
      </c>
      <c r="AJ125" s="1361">
        <f t="shared" si="25"/>
        <v>38</v>
      </c>
      <c r="AK125" s="1362">
        <f t="shared" si="10"/>
        <v>0</v>
      </c>
      <c r="AL125" s="1362">
        <f t="shared" si="26"/>
        <v>0</v>
      </c>
      <c r="AM125" s="1362">
        <f t="shared" si="21"/>
        <v>0</v>
      </c>
      <c r="AN125" s="1363">
        <f t="shared" si="11"/>
        <v>1000000</v>
      </c>
      <c r="AO125" s="1364"/>
      <c r="AP125" s="1364"/>
      <c r="AQ125" s="1361">
        <f t="shared" si="27"/>
        <v>38</v>
      </c>
      <c r="AR125" s="1362">
        <f t="shared" si="12"/>
        <v>0</v>
      </c>
      <c r="AS125" s="1362">
        <f t="shared" si="2"/>
        <v>8543.2677227072418</v>
      </c>
      <c r="AT125" s="1362">
        <f t="shared" ref="AT125:AT135" si="32">MIN(AU124+AR125,AT124)</f>
        <v>8543.2677227072418</v>
      </c>
      <c r="AU125" s="1363">
        <f t="shared" si="23"/>
        <v>675355.82653712481</v>
      </c>
    </row>
    <row r="126" spans="1:47">
      <c r="A126" s="1118">
        <f t="shared" ca="1" si="0"/>
        <v>6</v>
      </c>
      <c r="B126" s="1351">
        <f t="shared" si="3"/>
        <v>0</v>
      </c>
      <c r="C126" s="2143">
        <f t="shared" si="13"/>
        <v>0</v>
      </c>
      <c r="D126" s="2144">
        <f t="shared" si="14"/>
        <v>0</v>
      </c>
      <c r="E126" s="2145">
        <f t="shared" si="4"/>
        <v>0</v>
      </c>
      <c r="F126" s="2145">
        <f t="shared" si="29"/>
        <v>0</v>
      </c>
      <c r="G126" s="2145">
        <f t="shared" si="30"/>
        <v>0</v>
      </c>
      <c r="H126" s="2145">
        <f>IF(N125&lt;0.01,0,IF(Adm!$S$4=Adm!$S$8,0,N125*Adm!$V$4))</f>
        <v>0</v>
      </c>
      <c r="I126" s="2145">
        <f>IF(N125&lt;0.01,0,IF(Adm!$S$5=Adm!$S$8,0,Adm!$AA$11*Adm!$X$4))</f>
        <v>0</v>
      </c>
      <c r="J126" s="2145">
        <f>IF(N125&lt;0.01,0,Adm!$Q$4*1.16)</f>
        <v>0</v>
      </c>
      <c r="K126" s="2145">
        <f>IF(N125&lt;0.01,0,IF(Adm!$O$4&gt;0,E126*Adm!$O$4,0))</f>
        <v>0</v>
      </c>
      <c r="L126" s="2145">
        <f t="shared" si="5"/>
        <v>0</v>
      </c>
      <c r="M126" s="2145">
        <f>IF(Adm!$G$4="si",MIN(N125+E126+H126+I126+J126-L126,Z126),0)</f>
        <v>0</v>
      </c>
      <c r="N126" s="2145">
        <f t="shared" si="6"/>
        <v>0</v>
      </c>
      <c r="O126" s="2146"/>
      <c r="P126" s="1101"/>
      <c r="V126" s="1352">
        <f t="shared" si="7"/>
        <v>3</v>
      </c>
      <c r="W126" s="1367">
        <f>IF(V126=1,Cal!$AB$127,0)</f>
        <v>0</v>
      </c>
      <c r="Y126" s="1368">
        <f t="shared" si="15"/>
        <v>0</v>
      </c>
      <c r="Z126" s="1369">
        <f t="shared" ca="1" si="8"/>
        <v>0</v>
      </c>
      <c r="AB126" s="1375">
        <f t="shared" si="16"/>
        <v>0</v>
      </c>
      <c r="AC126" s="1373">
        <f t="shared" si="17"/>
        <v>0</v>
      </c>
      <c r="AD126" s="1373">
        <f t="shared" si="24"/>
        <v>0</v>
      </c>
      <c r="AE126" s="1373">
        <f t="shared" si="18"/>
        <v>0</v>
      </c>
      <c r="AF126" s="1371">
        <f t="shared" si="19"/>
        <v>0</v>
      </c>
      <c r="AG126" s="1359" t="e">
        <f>HLOOKUP($AG$83,anticipado,40,0)</f>
        <v>#N/A</v>
      </c>
      <c r="AI126" s="1360">
        <f t="shared" si="9"/>
        <v>0</v>
      </c>
      <c r="AJ126" s="1361">
        <f t="shared" si="25"/>
        <v>39</v>
      </c>
      <c r="AK126" s="1362">
        <f t="shared" si="10"/>
        <v>0</v>
      </c>
      <c r="AL126" s="1362">
        <f t="shared" si="26"/>
        <v>0</v>
      </c>
      <c r="AM126" s="1362">
        <f t="shared" si="21"/>
        <v>0</v>
      </c>
      <c r="AN126" s="1363">
        <f t="shared" si="11"/>
        <v>1000000</v>
      </c>
      <c r="AO126" s="1364"/>
      <c r="AP126" s="1364"/>
      <c r="AQ126" s="1361">
        <f t="shared" si="27"/>
        <v>39</v>
      </c>
      <c r="AR126" s="1362">
        <f t="shared" si="12"/>
        <v>0</v>
      </c>
      <c r="AS126" s="1362">
        <f t="shared" si="2"/>
        <v>8543.2677227072418</v>
      </c>
      <c r="AT126" s="1362">
        <f t="shared" si="32"/>
        <v>8543.2677227072418</v>
      </c>
      <c r="AU126" s="1363">
        <f t="shared" si="23"/>
        <v>666812.55881441757</v>
      </c>
    </row>
    <row r="127" spans="1:47">
      <c r="A127" s="1118">
        <f t="shared" ca="1" si="0"/>
        <v>7</v>
      </c>
      <c r="B127" s="1351">
        <f t="shared" si="3"/>
        <v>0</v>
      </c>
      <c r="C127" s="2143">
        <f t="shared" si="13"/>
        <v>0</v>
      </c>
      <c r="D127" s="2144">
        <f t="shared" si="14"/>
        <v>0</v>
      </c>
      <c r="E127" s="2145">
        <f t="shared" si="4"/>
        <v>0</v>
      </c>
      <c r="F127" s="2145">
        <f t="shared" si="29"/>
        <v>0</v>
      </c>
      <c r="G127" s="2145">
        <f t="shared" si="30"/>
        <v>0</v>
      </c>
      <c r="H127" s="2145">
        <f>IF(N126&lt;0.01,0,IF(Adm!$S$4=Adm!$S$8,0,N126*Adm!$V$4))</f>
        <v>0</v>
      </c>
      <c r="I127" s="2145">
        <f>IF(N126&lt;0.01,0,IF(Adm!$S$5=Adm!$S$8,0,Adm!$AA$11*Adm!$X$4))</f>
        <v>0</v>
      </c>
      <c r="J127" s="2145">
        <f>IF(N126&lt;0.01,0,Adm!$Q$4*1.16)</f>
        <v>0</v>
      </c>
      <c r="K127" s="2145">
        <f>IF(N126&lt;0.01,0,IF(Adm!$O$4&gt;0,E127*Adm!$O$4,0))</f>
        <v>0</v>
      </c>
      <c r="L127" s="2145">
        <f t="shared" si="5"/>
        <v>0</v>
      </c>
      <c r="M127" s="2145">
        <f>IF(Adm!$G$4="si",MIN(N126+E127+H127+I127+J127-L127,Z127),0)</f>
        <v>0</v>
      </c>
      <c r="N127" s="2145">
        <f t="shared" si="6"/>
        <v>0</v>
      </c>
      <c r="O127" s="2146"/>
      <c r="P127" s="1101"/>
      <c r="V127" s="1352">
        <f t="shared" si="7"/>
        <v>4</v>
      </c>
      <c r="W127" s="1367">
        <f>IF(V127=1,Cal!$AB$127,0)</f>
        <v>0</v>
      </c>
      <c r="Y127" s="1368">
        <f t="shared" si="15"/>
        <v>0</v>
      </c>
      <c r="Z127" s="1369">
        <f t="shared" ca="1" si="8"/>
        <v>0</v>
      </c>
      <c r="AB127" s="1375">
        <f t="shared" si="16"/>
        <v>0</v>
      </c>
      <c r="AC127" s="1373">
        <f t="shared" si="17"/>
        <v>0</v>
      </c>
      <c r="AD127" s="1373">
        <f t="shared" si="24"/>
        <v>0</v>
      </c>
      <c r="AE127" s="1373">
        <f t="shared" si="18"/>
        <v>0</v>
      </c>
      <c r="AF127" s="1371">
        <f t="shared" si="19"/>
        <v>0</v>
      </c>
      <c r="AG127" s="1359" t="e">
        <f>HLOOKUP($AG$83,anticipado,41,0)</f>
        <v>#N/A</v>
      </c>
      <c r="AI127" s="1360">
        <f t="shared" si="9"/>
        <v>0</v>
      </c>
      <c r="AJ127" s="1361">
        <f t="shared" si="25"/>
        <v>40</v>
      </c>
      <c r="AK127" s="1362">
        <f t="shared" si="10"/>
        <v>0</v>
      </c>
      <c r="AL127" s="1362">
        <f t="shared" si="26"/>
        <v>0</v>
      </c>
      <c r="AM127" s="1362">
        <f t="shared" si="21"/>
        <v>0</v>
      </c>
      <c r="AN127" s="1363">
        <f t="shared" si="11"/>
        <v>1000000</v>
      </c>
      <c r="AO127" s="1364"/>
      <c r="AP127" s="1364"/>
      <c r="AQ127" s="1361">
        <f t="shared" si="27"/>
        <v>40</v>
      </c>
      <c r="AR127" s="1362">
        <f t="shared" si="12"/>
        <v>0</v>
      </c>
      <c r="AS127" s="1362">
        <f t="shared" si="2"/>
        <v>8543.2677227072418</v>
      </c>
      <c r="AT127" s="1362">
        <f t="shared" si="32"/>
        <v>8543.2677227072418</v>
      </c>
      <c r="AU127" s="1363">
        <f t="shared" si="23"/>
        <v>658269.29109171033</v>
      </c>
    </row>
    <row r="128" spans="1:47">
      <c r="A128" s="1118">
        <f t="shared" ca="1" si="0"/>
        <v>8</v>
      </c>
      <c r="B128" s="1351">
        <f t="shared" si="3"/>
        <v>0</v>
      </c>
      <c r="C128" s="2143">
        <f t="shared" si="13"/>
        <v>0</v>
      </c>
      <c r="D128" s="2144">
        <f t="shared" si="14"/>
        <v>0</v>
      </c>
      <c r="E128" s="2145">
        <f t="shared" si="4"/>
        <v>0</v>
      </c>
      <c r="F128" s="2145">
        <f t="shared" si="29"/>
        <v>0</v>
      </c>
      <c r="G128" s="2145">
        <f t="shared" si="30"/>
        <v>0</v>
      </c>
      <c r="H128" s="2145">
        <f>IF(N127&lt;0.01,0,IF(Adm!$S$4=Adm!$S$8,0,N127*Adm!$V$4))</f>
        <v>0</v>
      </c>
      <c r="I128" s="2145">
        <f>IF(N127&lt;0.01,0,IF(Adm!$S$5=Adm!$S$8,0,Adm!$AA$11*Adm!$X$4))</f>
        <v>0</v>
      </c>
      <c r="J128" s="2145">
        <f>IF(N127&lt;0.01,0,Adm!$Q$4*1.16)</f>
        <v>0</v>
      </c>
      <c r="K128" s="2145">
        <f>IF(N127&lt;0.01,0,IF(Adm!$O$4&gt;0,E128*Adm!$O$4,0))</f>
        <v>0</v>
      </c>
      <c r="L128" s="2145">
        <f t="shared" si="5"/>
        <v>0</v>
      </c>
      <c r="M128" s="2145">
        <f>IF(Adm!$G$4="si",MIN(N127+E128+H128+I128+J128-L128,Z128),0)</f>
        <v>0</v>
      </c>
      <c r="N128" s="2145">
        <f t="shared" si="6"/>
        <v>0</v>
      </c>
      <c r="O128" s="2146"/>
      <c r="P128" s="1101"/>
      <c r="V128" s="1352">
        <f t="shared" si="7"/>
        <v>5</v>
      </c>
      <c r="W128" s="1367">
        <f>IF(V128=1,Cal!$AB$127,0)</f>
        <v>0</v>
      </c>
      <c r="Y128" s="1368">
        <f t="shared" si="15"/>
        <v>0</v>
      </c>
      <c r="Z128" s="1369">
        <f t="shared" ca="1" si="8"/>
        <v>0</v>
      </c>
      <c r="AB128" s="1375">
        <f t="shared" si="16"/>
        <v>0</v>
      </c>
      <c r="AC128" s="1373">
        <f t="shared" si="17"/>
        <v>0</v>
      </c>
      <c r="AD128" s="1373">
        <f t="shared" si="24"/>
        <v>0</v>
      </c>
      <c r="AE128" s="1373">
        <f t="shared" si="18"/>
        <v>0</v>
      </c>
      <c r="AF128" s="1371">
        <f t="shared" si="19"/>
        <v>0</v>
      </c>
      <c r="AG128" s="1359" t="e">
        <f>HLOOKUP($AG$83,anticipado,42,0)</f>
        <v>#N/A</v>
      </c>
      <c r="AI128" s="1360">
        <f t="shared" si="9"/>
        <v>0</v>
      </c>
      <c r="AJ128" s="1361">
        <f t="shared" si="25"/>
        <v>41</v>
      </c>
      <c r="AK128" s="1362">
        <f t="shared" si="10"/>
        <v>0</v>
      </c>
      <c r="AL128" s="1362">
        <f t="shared" si="26"/>
        <v>0</v>
      </c>
      <c r="AM128" s="1362">
        <f t="shared" si="21"/>
        <v>0</v>
      </c>
      <c r="AN128" s="1363">
        <f t="shared" si="11"/>
        <v>1000000</v>
      </c>
      <c r="AO128" s="1364"/>
      <c r="AP128" s="1364"/>
      <c r="AQ128" s="1361">
        <f t="shared" si="27"/>
        <v>41</v>
      </c>
      <c r="AR128" s="1362">
        <f t="shared" si="12"/>
        <v>0</v>
      </c>
      <c r="AS128" s="1362">
        <f t="shared" si="2"/>
        <v>8543.2677227072418</v>
      </c>
      <c r="AT128" s="1362">
        <f t="shared" si="32"/>
        <v>8543.2677227072418</v>
      </c>
      <c r="AU128" s="1363">
        <f t="shared" si="23"/>
        <v>649726.02336900309</v>
      </c>
    </row>
    <row r="129" spans="1:47">
      <c r="A129" s="1118">
        <f t="shared" ca="1" si="0"/>
        <v>9</v>
      </c>
      <c r="B129" s="1351">
        <f t="shared" si="3"/>
        <v>0</v>
      </c>
      <c r="C129" s="2143">
        <f t="shared" si="13"/>
        <v>0</v>
      </c>
      <c r="D129" s="2144">
        <f t="shared" si="14"/>
        <v>0</v>
      </c>
      <c r="E129" s="2145">
        <f t="shared" si="4"/>
        <v>0</v>
      </c>
      <c r="F129" s="2145">
        <f t="shared" si="29"/>
        <v>0</v>
      </c>
      <c r="G129" s="2145">
        <f t="shared" si="30"/>
        <v>0</v>
      </c>
      <c r="H129" s="2145">
        <f>IF(N128&lt;0.01,0,IF(Adm!$S$4=Adm!$S$8,0,N128*Adm!$V$4))</f>
        <v>0</v>
      </c>
      <c r="I129" s="2145">
        <f>IF(N128&lt;0.01,0,IF(Adm!$S$5=Adm!$S$8,0,Adm!$AA$11*Adm!$X$4))</f>
        <v>0</v>
      </c>
      <c r="J129" s="2145">
        <f>IF(N128&lt;0.01,0,Adm!$Q$4*1.16)</f>
        <v>0</v>
      </c>
      <c r="K129" s="2145">
        <f>IF(N128&lt;0.01,0,IF(Adm!$O$4&gt;0,E129*Adm!$O$4,0))</f>
        <v>0</v>
      </c>
      <c r="L129" s="2145">
        <f t="shared" si="5"/>
        <v>0</v>
      </c>
      <c r="M129" s="2145">
        <f>IF(Adm!$G$4="si",MIN(N128+E129+H129+I129+J129-L129,Z129),0)</f>
        <v>0</v>
      </c>
      <c r="N129" s="2145">
        <f t="shared" si="6"/>
        <v>0</v>
      </c>
      <c r="O129" s="2146"/>
      <c r="P129" s="1101"/>
      <c r="V129" s="1352">
        <f t="shared" si="7"/>
        <v>6</v>
      </c>
      <c r="W129" s="1367">
        <f>IF(V129=1,Cal!$AB$127,0)</f>
        <v>0</v>
      </c>
      <c r="Y129" s="1368">
        <f t="shared" si="15"/>
        <v>0</v>
      </c>
      <c r="Z129" s="1369">
        <f t="shared" ca="1" si="8"/>
        <v>0</v>
      </c>
      <c r="AB129" s="1375">
        <f t="shared" si="16"/>
        <v>0</v>
      </c>
      <c r="AC129" s="1373">
        <f t="shared" si="17"/>
        <v>0</v>
      </c>
      <c r="AD129" s="1373">
        <f t="shared" si="24"/>
        <v>0</v>
      </c>
      <c r="AE129" s="1373">
        <f t="shared" si="18"/>
        <v>0</v>
      </c>
      <c r="AF129" s="1371">
        <f t="shared" si="19"/>
        <v>0</v>
      </c>
      <c r="AG129" s="1359" t="e">
        <f>HLOOKUP($AG$83,anticipado,43,0)</f>
        <v>#N/A</v>
      </c>
      <c r="AI129" s="1360">
        <f t="shared" si="9"/>
        <v>0</v>
      </c>
      <c r="AJ129" s="1361">
        <f t="shared" si="25"/>
        <v>42</v>
      </c>
      <c r="AK129" s="1362">
        <f t="shared" si="10"/>
        <v>0</v>
      </c>
      <c r="AL129" s="1362">
        <f t="shared" si="26"/>
        <v>0</v>
      </c>
      <c r="AM129" s="1362">
        <f t="shared" si="21"/>
        <v>0</v>
      </c>
      <c r="AN129" s="1363">
        <f t="shared" si="11"/>
        <v>1000000</v>
      </c>
      <c r="AO129" s="1364"/>
      <c r="AP129" s="1364"/>
      <c r="AQ129" s="1361">
        <f t="shared" si="27"/>
        <v>42</v>
      </c>
      <c r="AR129" s="1362">
        <f t="shared" si="12"/>
        <v>0</v>
      </c>
      <c r="AS129" s="1362">
        <f t="shared" si="2"/>
        <v>8543.2677227072418</v>
      </c>
      <c r="AT129" s="1362">
        <f t="shared" si="32"/>
        <v>8543.2677227072418</v>
      </c>
      <c r="AU129" s="1363">
        <f t="shared" si="23"/>
        <v>641182.75564629585</v>
      </c>
    </row>
    <row r="130" spans="1:47">
      <c r="A130" s="1118">
        <f t="shared" ca="1" si="0"/>
        <v>10</v>
      </c>
      <c r="B130" s="1351">
        <f t="shared" si="3"/>
        <v>0</v>
      </c>
      <c r="C130" s="2143">
        <f t="shared" si="13"/>
        <v>0</v>
      </c>
      <c r="D130" s="2144">
        <f t="shared" si="14"/>
        <v>0</v>
      </c>
      <c r="E130" s="2145">
        <f t="shared" si="4"/>
        <v>0</v>
      </c>
      <c r="F130" s="2145">
        <f t="shared" si="29"/>
        <v>0</v>
      </c>
      <c r="G130" s="2145">
        <f t="shared" si="30"/>
        <v>0</v>
      </c>
      <c r="H130" s="2145">
        <f>IF(N129&lt;0.01,0,IF(Adm!$S$4=Adm!$S$8,0,N129*Adm!$V$4))</f>
        <v>0</v>
      </c>
      <c r="I130" s="2145">
        <f>IF(N129&lt;0.01,0,IF(Adm!$S$5=Adm!$S$8,0,Adm!$AA$11*Adm!$X$4))</f>
        <v>0</v>
      </c>
      <c r="J130" s="2145">
        <f>IF(N129&lt;0.01,0,Adm!$Q$4*1.16)</f>
        <v>0</v>
      </c>
      <c r="K130" s="2145">
        <f>IF(N129&lt;0.01,0,IF(Adm!$O$4&gt;0,E130*Adm!$O$4,0))</f>
        <v>0</v>
      </c>
      <c r="L130" s="2145">
        <f t="shared" si="5"/>
        <v>0</v>
      </c>
      <c r="M130" s="2145">
        <f>IF(Adm!$G$4="si",MIN(N129+E130+H130+I130+J130-L130,Z130),0)</f>
        <v>0</v>
      </c>
      <c r="N130" s="2145">
        <f t="shared" si="6"/>
        <v>0</v>
      </c>
      <c r="O130" s="2146"/>
      <c r="P130" s="1101"/>
      <c r="V130" s="1352">
        <f t="shared" si="7"/>
        <v>7</v>
      </c>
      <c r="W130" s="1367">
        <f>IF(V130=1,Cal!$AB$127,0)</f>
        <v>0</v>
      </c>
      <c r="Y130" s="1368">
        <f t="shared" si="15"/>
        <v>0</v>
      </c>
      <c r="Z130" s="1369">
        <f t="shared" ca="1" si="8"/>
        <v>0</v>
      </c>
      <c r="AB130" s="1375">
        <f t="shared" si="16"/>
        <v>0</v>
      </c>
      <c r="AC130" s="1373">
        <f t="shared" si="17"/>
        <v>0</v>
      </c>
      <c r="AD130" s="1373">
        <f t="shared" si="24"/>
        <v>0</v>
      </c>
      <c r="AE130" s="1373">
        <f t="shared" si="18"/>
        <v>0</v>
      </c>
      <c r="AF130" s="1371">
        <f t="shared" si="19"/>
        <v>0</v>
      </c>
      <c r="AG130" s="1359" t="e">
        <f>HLOOKUP($AG$83,anticipado,44,0)</f>
        <v>#N/A</v>
      </c>
      <c r="AI130" s="1360">
        <f t="shared" si="9"/>
        <v>0</v>
      </c>
      <c r="AJ130" s="1361">
        <f t="shared" si="25"/>
        <v>43</v>
      </c>
      <c r="AK130" s="1362">
        <f t="shared" si="10"/>
        <v>0</v>
      </c>
      <c r="AL130" s="1362">
        <f t="shared" si="26"/>
        <v>0</v>
      </c>
      <c r="AM130" s="1362">
        <f t="shared" si="21"/>
        <v>0</v>
      </c>
      <c r="AN130" s="1363">
        <f t="shared" si="11"/>
        <v>1000000</v>
      </c>
      <c r="AO130" s="1364"/>
      <c r="AP130" s="1364"/>
      <c r="AQ130" s="1361">
        <f t="shared" si="27"/>
        <v>43</v>
      </c>
      <c r="AR130" s="1362">
        <f t="shared" si="12"/>
        <v>0</v>
      </c>
      <c r="AS130" s="1362">
        <f t="shared" si="2"/>
        <v>8543.2677227072418</v>
      </c>
      <c r="AT130" s="1362">
        <f t="shared" si="32"/>
        <v>8543.2677227072418</v>
      </c>
      <c r="AU130" s="1363">
        <f t="shared" si="23"/>
        <v>632639.4879235886</v>
      </c>
    </row>
    <row r="131" spans="1:47">
      <c r="A131" s="1118">
        <f t="shared" ca="1" si="0"/>
        <v>11</v>
      </c>
      <c r="B131" s="1351">
        <f t="shared" si="3"/>
        <v>0</v>
      </c>
      <c r="C131" s="2143">
        <f t="shared" si="13"/>
        <v>0</v>
      </c>
      <c r="D131" s="2144">
        <f t="shared" si="14"/>
        <v>0</v>
      </c>
      <c r="E131" s="2145">
        <f t="shared" si="4"/>
        <v>0</v>
      </c>
      <c r="F131" s="2145">
        <f t="shared" si="29"/>
        <v>0</v>
      </c>
      <c r="G131" s="2145">
        <f t="shared" si="30"/>
        <v>0</v>
      </c>
      <c r="H131" s="2145">
        <f>IF(N130&lt;0.01,0,IF(Adm!$S$4=Adm!$S$8,0,N130*Adm!$V$4))</f>
        <v>0</v>
      </c>
      <c r="I131" s="2145">
        <f>IF(N130&lt;0.01,0,IF(Adm!$S$5=Adm!$S$8,0,Adm!$AA$11*Adm!$X$4))</f>
        <v>0</v>
      </c>
      <c r="J131" s="2145">
        <f>IF(N130&lt;0.01,0,Adm!$Q$4*1.16)</f>
        <v>0</v>
      </c>
      <c r="K131" s="2145">
        <f>IF(N130&lt;0.01,0,IF(Adm!$O$4&gt;0,E131*Adm!$O$4,0))</f>
        <v>0</v>
      </c>
      <c r="L131" s="2145">
        <f t="shared" si="5"/>
        <v>0</v>
      </c>
      <c r="M131" s="2145">
        <f>IF(Adm!$G$4="si",MIN(N130+E131+H131+I131+J131-L131,Z131),0)</f>
        <v>0</v>
      </c>
      <c r="N131" s="2145">
        <f t="shared" si="6"/>
        <v>0</v>
      </c>
      <c r="O131" s="2146"/>
      <c r="P131" s="1101"/>
      <c r="V131" s="1352">
        <f t="shared" si="7"/>
        <v>8</v>
      </c>
      <c r="W131" s="1367">
        <f>IF(V131=1,Cal!$AB$127,0)</f>
        <v>0</v>
      </c>
      <c r="Y131" s="1368">
        <f t="shared" si="15"/>
        <v>0</v>
      </c>
      <c r="Z131" s="1369">
        <f t="shared" ca="1" si="8"/>
        <v>0</v>
      </c>
      <c r="AB131" s="1375">
        <f t="shared" si="16"/>
        <v>0</v>
      </c>
      <c r="AC131" s="1373">
        <f t="shared" si="17"/>
        <v>0</v>
      </c>
      <c r="AD131" s="1373">
        <f t="shared" si="24"/>
        <v>0</v>
      </c>
      <c r="AE131" s="1373">
        <f t="shared" si="18"/>
        <v>0</v>
      </c>
      <c r="AF131" s="1371">
        <f t="shared" si="19"/>
        <v>0</v>
      </c>
      <c r="AG131" s="1359" t="e">
        <f>HLOOKUP($AG$83,anticipado,45,0)</f>
        <v>#N/A</v>
      </c>
      <c r="AI131" s="1360">
        <f t="shared" si="9"/>
        <v>0</v>
      </c>
      <c r="AJ131" s="1361">
        <f t="shared" si="25"/>
        <v>44</v>
      </c>
      <c r="AK131" s="1362">
        <f t="shared" si="10"/>
        <v>0</v>
      </c>
      <c r="AL131" s="1362">
        <f t="shared" si="26"/>
        <v>0</v>
      </c>
      <c r="AM131" s="1362">
        <f t="shared" si="21"/>
        <v>0</v>
      </c>
      <c r="AN131" s="1363">
        <f t="shared" si="11"/>
        <v>1000000</v>
      </c>
      <c r="AO131" s="1364"/>
      <c r="AP131" s="1364"/>
      <c r="AQ131" s="1361">
        <f t="shared" si="27"/>
        <v>44</v>
      </c>
      <c r="AR131" s="1362">
        <f t="shared" si="12"/>
        <v>0</v>
      </c>
      <c r="AS131" s="1362">
        <f t="shared" si="2"/>
        <v>8543.2677227072418</v>
      </c>
      <c r="AT131" s="1362">
        <f t="shared" si="32"/>
        <v>8543.2677227072418</v>
      </c>
      <c r="AU131" s="1363">
        <f t="shared" si="23"/>
        <v>624096.22020088136</v>
      </c>
    </row>
    <row r="132" spans="1:47">
      <c r="A132" s="1118">
        <f t="shared" ca="1" si="0"/>
        <v>12</v>
      </c>
      <c r="B132" s="1351">
        <f t="shared" si="3"/>
        <v>0</v>
      </c>
      <c r="C132" s="2143">
        <f t="shared" si="13"/>
        <v>0</v>
      </c>
      <c r="D132" s="2144">
        <f t="shared" si="14"/>
        <v>0</v>
      </c>
      <c r="E132" s="2145">
        <f t="shared" si="4"/>
        <v>0</v>
      </c>
      <c r="F132" s="2145">
        <f t="shared" si="29"/>
        <v>0</v>
      </c>
      <c r="G132" s="2145">
        <f t="shared" si="30"/>
        <v>0</v>
      </c>
      <c r="H132" s="2145">
        <f>IF(N131&lt;0.01,0,IF(Adm!$S$4=Adm!$S$8,0,N131*Adm!$V$4))</f>
        <v>0</v>
      </c>
      <c r="I132" s="2145">
        <f>IF(N131&lt;0.01,0,IF(Adm!$S$5=Adm!$S$8,0,Adm!$AA$11*Adm!$X$4))</f>
        <v>0</v>
      </c>
      <c r="J132" s="2145">
        <f>IF(N131&lt;0.01,0,Adm!$Q$4*1.16)</f>
        <v>0</v>
      </c>
      <c r="K132" s="2145">
        <f>IF(N131&lt;0.01,0,IF(Adm!$O$4&gt;0,E132*Adm!$O$4,0))</f>
        <v>0</v>
      </c>
      <c r="L132" s="2145">
        <f t="shared" si="5"/>
        <v>0</v>
      </c>
      <c r="M132" s="2145">
        <f>IF(Adm!$G$4="si",MIN(N131+E132+H132+I132+J132-L132,Z132),0)</f>
        <v>0</v>
      </c>
      <c r="N132" s="2145">
        <f t="shared" si="6"/>
        <v>0</v>
      </c>
      <c r="O132" s="2146"/>
      <c r="P132" s="1101"/>
      <c r="V132" s="1352">
        <f t="shared" si="7"/>
        <v>9</v>
      </c>
      <c r="W132" s="1367">
        <f>IF(V132=1,Cal!$AB$127,0)</f>
        <v>0</v>
      </c>
      <c r="Y132" s="1368">
        <f t="shared" si="15"/>
        <v>0</v>
      </c>
      <c r="Z132" s="1369">
        <f t="shared" ca="1" si="8"/>
        <v>0</v>
      </c>
      <c r="AB132" s="1375">
        <f t="shared" si="16"/>
        <v>0</v>
      </c>
      <c r="AC132" s="1373">
        <f t="shared" si="17"/>
        <v>0</v>
      </c>
      <c r="AD132" s="1373">
        <f t="shared" si="24"/>
        <v>0</v>
      </c>
      <c r="AE132" s="1373">
        <f t="shared" si="18"/>
        <v>0</v>
      </c>
      <c r="AF132" s="1371">
        <f t="shared" si="19"/>
        <v>0</v>
      </c>
      <c r="AG132" s="1359" t="e">
        <f>HLOOKUP($AG$83,anticipado,46,0)</f>
        <v>#N/A</v>
      </c>
      <c r="AI132" s="1360">
        <f t="shared" si="9"/>
        <v>0</v>
      </c>
      <c r="AJ132" s="1361">
        <f t="shared" si="25"/>
        <v>45</v>
      </c>
      <c r="AK132" s="1362">
        <f t="shared" si="10"/>
        <v>0</v>
      </c>
      <c r="AL132" s="1362">
        <f t="shared" si="26"/>
        <v>0</v>
      </c>
      <c r="AM132" s="1362">
        <f t="shared" si="21"/>
        <v>0</v>
      </c>
      <c r="AN132" s="1363">
        <f t="shared" si="11"/>
        <v>1000000</v>
      </c>
      <c r="AO132" s="1364"/>
      <c r="AP132" s="1364"/>
      <c r="AQ132" s="1361">
        <f t="shared" si="27"/>
        <v>45</v>
      </c>
      <c r="AR132" s="1362">
        <f t="shared" si="12"/>
        <v>0</v>
      </c>
      <c r="AS132" s="1362">
        <f t="shared" si="2"/>
        <v>8543.2677227072418</v>
      </c>
      <c r="AT132" s="1362">
        <f t="shared" si="32"/>
        <v>8543.2677227072418</v>
      </c>
      <c r="AU132" s="1363">
        <f t="shared" si="23"/>
        <v>615552.95247817412</v>
      </c>
    </row>
    <row r="133" spans="1:47">
      <c r="A133" s="1118">
        <f t="shared" ca="1" si="0"/>
        <v>1</v>
      </c>
      <c r="B133" s="1351">
        <f t="shared" si="3"/>
        <v>0</v>
      </c>
      <c r="C133" s="2143">
        <f t="shared" si="13"/>
        <v>0</v>
      </c>
      <c r="D133" s="2144">
        <f t="shared" si="14"/>
        <v>0</v>
      </c>
      <c r="E133" s="2145">
        <f t="shared" si="4"/>
        <v>0</v>
      </c>
      <c r="F133" s="2145">
        <f t="shared" si="29"/>
        <v>0</v>
      </c>
      <c r="G133" s="2145">
        <f t="shared" si="30"/>
        <v>0</v>
      </c>
      <c r="H133" s="2145">
        <f>IF(N132&lt;0.01,0,IF(Adm!$S$4=Adm!$S$8,0,N132*Adm!$V$4))</f>
        <v>0</v>
      </c>
      <c r="I133" s="2145">
        <f>IF(N132&lt;0.01,0,IF(Adm!$S$5=Adm!$S$8,0,Adm!$AA$11*Adm!$X$4))</f>
        <v>0</v>
      </c>
      <c r="J133" s="2145">
        <f>IF(N132&lt;0.01,0,Adm!$Q$4*1.16)</f>
        <v>0</v>
      </c>
      <c r="K133" s="2145">
        <f>IF(N132&lt;0.01,0,IF(Adm!$O$4&gt;0,E133*Adm!$O$4,0))</f>
        <v>0</v>
      </c>
      <c r="L133" s="2145">
        <f t="shared" si="5"/>
        <v>0</v>
      </c>
      <c r="M133" s="2145">
        <f>IF(Adm!$G$4="si",MIN(N132+E133+H133+I133+J133-L133,Z133),0)</f>
        <v>0</v>
      </c>
      <c r="N133" s="2145">
        <f t="shared" si="6"/>
        <v>0</v>
      </c>
      <c r="O133" s="2146"/>
      <c r="P133" s="1101"/>
      <c r="V133" s="1352">
        <f t="shared" si="7"/>
        <v>10</v>
      </c>
      <c r="W133" s="1367">
        <f>IF(V133=1,Cal!$AB$127,0)</f>
        <v>0</v>
      </c>
      <c r="Y133" s="1368">
        <f t="shared" si="15"/>
        <v>0</v>
      </c>
      <c r="Z133" s="1369">
        <f t="shared" ca="1" si="8"/>
        <v>0</v>
      </c>
      <c r="AB133" s="1375">
        <f t="shared" si="16"/>
        <v>0</v>
      </c>
      <c r="AC133" s="1373">
        <f t="shared" si="17"/>
        <v>0</v>
      </c>
      <c r="AD133" s="1373">
        <f t="shared" si="24"/>
        <v>0</v>
      </c>
      <c r="AE133" s="1373">
        <f t="shared" si="18"/>
        <v>0</v>
      </c>
      <c r="AF133" s="1371">
        <f t="shared" si="19"/>
        <v>0</v>
      </c>
      <c r="AG133" s="1359" t="e">
        <f>HLOOKUP($AG$83,anticipado,47,0)</f>
        <v>#N/A</v>
      </c>
      <c r="AI133" s="1360">
        <f t="shared" si="9"/>
        <v>0</v>
      </c>
      <c r="AJ133" s="1361">
        <f t="shared" si="25"/>
        <v>46</v>
      </c>
      <c r="AK133" s="1362">
        <f t="shared" si="10"/>
        <v>0</v>
      </c>
      <c r="AL133" s="1362">
        <f t="shared" si="26"/>
        <v>0</v>
      </c>
      <c r="AM133" s="1362">
        <f t="shared" si="21"/>
        <v>0</v>
      </c>
      <c r="AN133" s="1363">
        <f t="shared" si="11"/>
        <v>1000000</v>
      </c>
      <c r="AO133" s="1364"/>
      <c r="AP133" s="1364"/>
      <c r="AQ133" s="1361">
        <f t="shared" si="27"/>
        <v>46</v>
      </c>
      <c r="AR133" s="1362">
        <f t="shared" si="12"/>
        <v>0</v>
      </c>
      <c r="AS133" s="1362">
        <f t="shared" si="2"/>
        <v>8543.2677227072418</v>
      </c>
      <c r="AT133" s="1362">
        <f t="shared" si="32"/>
        <v>8543.2677227072418</v>
      </c>
      <c r="AU133" s="1363">
        <f t="shared" si="23"/>
        <v>607009.68475546688</v>
      </c>
    </row>
    <row r="134" spans="1:47">
      <c r="A134" s="1118">
        <f t="shared" ca="1" si="0"/>
        <v>2</v>
      </c>
      <c r="B134" s="1351">
        <f t="shared" si="3"/>
        <v>0</v>
      </c>
      <c r="C134" s="2143">
        <f t="shared" si="13"/>
        <v>0</v>
      </c>
      <c r="D134" s="2144">
        <f t="shared" si="14"/>
        <v>0</v>
      </c>
      <c r="E134" s="2145">
        <f t="shared" si="4"/>
        <v>0</v>
      </c>
      <c r="F134" s="2145">
        <f t="shared" si="29"/>
        <v>0</v>
      </c>
      <c r="G134" s="2145">
        <f t="shared" si="30"/>
        <v>0</v>
      </c>
      <c r="H134" s="2145">
        <f>IF(N133&lt;0.01,0,IF(Adm!$S$4=Adm!$S$8,0,N133*Adm!$V$4))</f>
        <v>0</v>
      </c>
      <c r="I134" s="2145">
        <f>IF(N133&lt;0.01,0,IF(Adm!$S$5=Adm!$S$8,0,Adm!$AA$11*Adm!$X$4))</f>
        <v>0</v>
      </c>
      <c r="J134" s="2145">
        <f>IF(N133&lt;0.01,0,Adm!$Q$4*1.16)</f>
        <v>0</v>
      </c>
      <c r="K134" s="2145">
        <f>IF(N133&lt;0.01,0,IF(Adm!$O$4&gt;0,E134*Adm!$O$4,0))</f>
        <v>0</v>
      </c>
      <c r="L134" s="2145">
        <f t="shared" si="5"/>
        <v>0</v>
      </c>
      <c r="M134" s="2145">
        <f>IF(Adm!$G$4="si",MIN(N133+E134+H134+I134+J134-L134,Z134),0)</f>
        <v>0</v>
      </c>
      <c r="N134" s="2145">
        <f t="shared" si="6"/>
        <v>0</v>
      </c>
      <c r="O134" s="2146"/>
      <c r="P134" s="1101"/>
      <c r="V134" s="1352">
        <f t="shared" si="7"/>
        <v>11</v>
      </c>
      <c r="W134" s="1367">
        <f>IF(V134=1,Cal!$AB$127,0)</f>
        <v>0</v>
      </c>
      <c r="Y134" s="1368">
        <f t="shared" si="15"/>
        <v>0</v>
      </c>
      <c r="Z134" s="1369">
        <f t="shared" ca="1" si="8"/>
        <v>0</v>
      </c>
      <c r="AB134" s="1375">
        <f t="shared" si="16"/>
        <v>0</v>
      </c>
      <c r="AC134" s="1373">
        <f t="shared" si="17"/>
        <v>0</v>
      </c>
      <c r="AD134" s="1373">
        <f t="shared" si="24"/>
        <v>0</v>
      </c>
      <c r="AE134" s="1373">
        <f t="shared" si="18"/>
        <v>0</v>
      </c>
      <c r="AF134" s="1371">
        <f t="shared" si="19"/>
        <v>0</v>
      </c>
      <c r="AG134" s="1359" t="e">
        <f>HLOOKUP($AG$83,anticipado,48,0)</f>
        <v>#N/A</v>
      </c>
      <c r="AI134" s="1360">
        <f t="shared" si="9"/>
        <v>0</v>
      </c>
      <c r="AJ134" s="1361">
        <f t="shared" si="25"/>
        <v>47</v>
      </c>
      <c r="AK134" s="1362">
        <f t="shared" si="10"/>
        <v>0</v>
      </c>
      <c r="AL134" s="1362">
        <f t="shared" si="26"/>
        <v>0</v>
      </c>
      <c r="AM134" s="1362">
        <f t="shared" si="21"/>
        <v>0</v>
      </c>
      <c r="AN134" s="1363">
        <f t="shared" si="11"/>
        <v>1000000</v>
      </c>
      <c r="AO134" s="1364"/>
      <c r="AP134" s="1364"/>
      <c r="AQ134" s="1361">
        <f t="shared" si="27"/>
        <v>47</v>
      </c>
      <c r="AR134" s="1362">
        <f t="shared" si="12"/>
        <v>0</v>
      </c>
      <c r="AS134" s="1362">
        <f t="shared" si="2"/>
        <v>8543.2677227072418</v>
      </c>
      <c r="AT134" s="1362">
        <f t="shared" si="32"/>
        <v>8543.2677227072418</v>
      </c>
      <c r="AU134" s="1363">
        <f t="shared" si="23"/>
        <v>598466.41703275964</v>
      </c>
    </row>
    <row r="135" spans="1:47">
      <c r="A135" s="1118">
        <f t="shared" ca="1" si="0"/>
        <v>3</v>
      </c>
      <c r="B135" s="1351">
        <f t="shared" si="3"/>
        <v>0</v>
      </c>
      <c r="C135" s="2143">
        <f t="shared" si="13"/>
        <v>0</v>
      </c>
      <c r="D135" s="2144">
        <f t="shared" si="14"/>
        <v>0</v>
      </c>
      <c r="E135" s="2145">
        <f t="shared" si="4"/>
        <v>0</v>
      </c>
      <c r="F135" s="2145">
        <f t="shared" si="29"/>
        <v>0</v>
      </c>
      <c r="G135" s="2145">
        <f t="shared" si="30"/>
        <v>0</v>
      </c>
      <c r="H135" s="2145">
        <f>IF(N134&lt;0.01,0,IF(Adm!$S$4=Adm!$S$8,0,N134*Adm!$V$4))</f>
        <v>0</v>
      </c>
      <c r="I135" s="2145">
        <f>IF(N134&lt;0.01,0,IF(Adm!$S$5=Adm!$S$8,0,Adm!$AA$11*Adm!$X$4))</f>
        <v>0</v>
      </c>
      <c r="J135" s="2145">
        <f>IF(N134&lt;0.01,0,Adm!$Q$4*1.16)</f>
        <v>0</v>
      </c>
      <c r="K135" s="2145">
        <f>IF(N134&lt;0.01,0,IF(Adm!$O$4&gt;0,E135*Adm!$O$4,0))</f>
        <v>0</v>
      </c>
      <c r="L135" s="2145">
        <f t="shared" si="5"/>
        <v>0</v>
      </c>
      <c r="M135" s="2145">
        <f>IF(Adm!$G$4="si",MIN(N134+E135+H135+I135+J135-L135,Z135),0)</f>
        <v>0</v>
      </c>
      <c r="N135" s="2145">
        <f t="shared" si="6"/>
        <v>0</v>
      </c>
      <c r="O135" s="2146"/>
      <c r="P135" s="1101"/>
      <c r="V135" s="1352">
        <f t="shared" si="7"/>
        <v>12</v>
      </c>
      <c r="W135" s="1367">
        <f>IF(V135=1,Cal!$AB$127,0)</f>
        <v>0</v>
      </c>
      <c r="Y135" s="1368">
        <f t="shared" si="15"/>
        <v>0</v>
      </c>
      <c r="Z135" s="1369">
        <f t="shared" ca="1" si="8"/>
        <v>0</v>
      </c>
      <c r="AB135" s="1375">
        <f t="shared" si="16"/>
        <v>0</v>
      </c>
      <c r="AC135" s="1373">
        <f t="shared" si="17"/>
        <v>0</v>
      </c>
      <c r="AD135" s="1373">
        <f t="shared" si="24"/>
        <v>0</v>
      </c>
      <c r="AE135" s="1373">
        <f t="shared" si="18"/>
        <v>0</v>
      </c>
      <c r="AF135" s="1371">
        <f t="shared" si="19"/>
        <v>0</v>
      </c>
      <c r="AG135" s="1359" t="e">
        <f>HLOOKUP($AG$83,anticipado,49,0)</f>
        <v>#N/A</v>
      </c>
      <c r="AI135" s="1360">
        <f t="shared" si="9"/>
        <v>0</v>
      </c>
      <c r="AJ135" s="1361">
        <f t="shared" si="25"/>
        <v>48</v>
      </c>
      <c r="AK135" s="1362">
        <f t="shared" si="10"/>
        <v>0</v>
      </c>
      <c r="AL135" s="1362">
        <f t="shared" si="26"/>
        <v>0</v>
      </c>
      <c r="AM135" s="1362">
        <f t="shared" si="21"/>
        <v>0</v>
      </c>
      <c r="AN135" s="1363">
        <f t="shared" si="11"/>
        <v>1000000</v>
      </c>
      <c r="AO135" s="1364"/>
      <c r="AP135" s="1364"/>
      <c r="AQ135" s="1361">
        <f t="shared" si="27"/>
        <v>48</v>
      </c>
      <c r="AR135" s="1362">
        <f t="shared" si="12"/>
        <v>0</v>
      </c>
      <c r="AS135" s="1362">
        <f t="shared" si="2"/>
        <v>8543.2677227072418</v>
      </c>
      <c r="AT135" s="1362">
        <f t="shared" si="32"/>
        <v>8543.2677227072418</v>
      </c>
      <c r="AU135" s="1363">
        <f t="shared" si="23"/>
        <v>589923.14931005239</v>
      </c>
    </row>
    <row r="136" spans="1:47">
      <c r="A136" s="1118">
        <f t="shared" ca="1" si="0"/>
        <v>4</v>
      </c>
      <c r="B136" s="1351">
        <f t="shared" si="3"/>
        <v>0</v>
      </c>
      <c r="C136" s="2143">
        <f t="shared" si="13"/>
        <v>0</v>
      </c>
      <c r="D136" s="2144">
        <f t="shared" si="14"/>
        <v>0</v>
      </c>
      <c r="E136" s="2145">
        <f t="shared" si="4"/>
        <v>0</v>
      </c>
      <c r="F136" s="2145">
        <f t="shared" si="29"/>
        <v>0</v>
      </c>
      <c r="G136" s="2145">
        <f t="shared" si="30"/>
        <v>0</v>
      </c>
      <c r="H136" s="2145">
        <f>IF(N135&lt;0.01,0,IF(Adm!$S$4=Adm!$S$8,0,N135*Adm!$V$4))</f>
        <v>0</v>
      </c>
      <c r="I136" s="2145">
        <f>IF(N135&lt;0.01,0,IF(Adm!$S$5=Adm!$S$8,0,Adm!$AA$11*Adm!$X$4))</f>
        <v>0</v>
      </c>
      <c r="J136" s="2145">
        <f>IF(N135&lt;0.01,0,Adm!$Q$4*1.16)</f>
        <v>0</v>
      </c>
      <c r="K136" s="2145">
        <f>IF(N135&lt;0.01,0,IF(Adm!$O$4&gt;0,E136*Adm!$O$4,0))</f>
        <v>0</v>
      </c>
      <c r="L136" s="2145">
        <f t="shared" si="5"/>
        <v>0</v>
      </c>
      <c r="M136" s="2145">
        <f>IF(Adm!$G$4="si",MIN(N135+E136+H136+I136+J136-L136,Z136),0)</f>
        <v>0</v>
      </c>
      <c r="N136" s="2145">
        <f t="shared" si="6"/>
        <v>0</v>
      </c>
      <c r="O136" s="2146"/>
      <c r="P136" s="1101"/>
      <c r="V136" s="1352">
        <f t="shared" si="7"/>
        <v>1</v>
      </c>
      <c r="W136" s="1367">
        <f>IF(V136=1,Cal!$AB$127,0)</f>
        <v>0</v>
      </c>
      <c r="Y136" s="1368">
        <f t="shared" si="15"/>
        <v>0</v>
      </c>
      <c r="Z136" s="1369">
        <f t="shared" ca="1" si="8"/>
        <v>0</v>
      </c>
      <c r="AB136" s="1375">
        <f t="shared" si="16"/>
        <v>0</v>
      </c>
      <c r="AC136" s="1373">
        <f t="shared" si="17"/>
        <v>0</v>
      </c>
      <c r="AD136" s="1373">
        <f t="shared" si="24"/>
        <v>0</v>
      </c>
      <c r="AE136" s="1373">
        <f t="shared" si="18"/>
        <v>0</v>
      </c>
      <c r="AF136" s="1371">
        <f t="shared" si="19"/>
        <v>0</v>
      </c>
      <c r="AG136" s="1359" t="e">
        <f>HLOOKUP($AG$83,anticipado,50,0)</f>
        <v>#N/A</v>
      </c>
      <c r="AI136" s="1360">
        <f t="shared" si="9"/>
        <v>0</v>
      </c>
      <c r="AJ136" s="1377">
        <f t="shared" si="25"/>
        <v>49</v>
      </c>
      <c r="AK136" s="1378">
        <f t="shared" si="10"/>
        <v>0</v>
      </c>
      <c r="AL136" s="1378">
        <f t="shared" si="26"/>
        <v>0</v>
      </c>
      <c r="AM136" s="1378">
        <f>MIN(AN135+AK136,AM135*(1+$AK$83))</f>
        <v>0</v>
      </c>
      <c r="AN136" s="1363">
        <f t="shared" si="11"/>
        <v>1000000</v>
      </c>
      <c r="AO136" s="1364"/>
      <c r="AP136" s="1364"/>
      <c r="AQ136" s="1379">
        <f t="shared" si="27"/>
        <v>49</v>
      </c>
      <c r="AR136" s="1380">
        <f t="shared" si="12"/>
        <v>0</v>
      </c>
      <c r="AS136" s="1380">
        <f t="shared" si="2"/>
        <v>8543.2677227072418</v>
      </c>
      <c r="AT136" s="1380">
        <f>MIN(AU135+AR136,AT135*(1+$AR$83))</f>
        <v>8543.2677227072418</v>
      </c>
      <c r="AU136" s="1363">
        <f t="shared" si="23"/>
        <v>581379.88158734515</v>
      </c>
    </row>
    <row r="137" spans="1:47">
      <c r="A137" s="1118">
        <f t="shared" ca="1" si="0"/>
        <v>5</v>
      </c>
      <c r="B137" s="1351">
        <f t="shared" si="3"/>
        <v>0</v>
      </c>
      <c r="C137" s="2143">
        <f t="shared" si="13"/>
        <v>0</v>
      </c>
      <c r="D137" s="2144">
        <f t="shared" si="14"/>
        <v>0</v>
      </c>
      <c r="E137" s="2145">
        <f t="shared" si="4"/>
        <v>0</v>
      </c>
      <c r="F137" s="2145">
        <f t="shared" si="29"/>
        <v>0</v>
      </c>
      <c r="G137" s="2145">
        <f t="shared" si="30"/>
        <v>0</v>
      </c>
      <c r="H137" s="2145">
        <f>IF(N136&lt;0.01,0,IF(Adm!$S$4=Adm!$S$8,0,N136*Adm!$V$4))</f>
        <v>0</v>
      </c>
      <c r="I137" s="2145">
        <f>IF(N136&lt;0.01,0,IF(Adm!$S$5=Adm!$S$8,0,Adm!$AA$11*Adm!$X$4))</f>
        <v>0</v>
      </c>
      <c r="J137" s="2145">
        <f>IF(N136&lt;0.01,0,Adm!$Q$4*1.16)</f>
        <v>0</v>
      </c>
      <c r="K137" s="2145">
        <f>IF(N136&lt;0.01,0,IF(Adm!$O$4&gt;0,E137*Adm!$O$4,0))</f>
        <v>0</v>
      </c>
      <c r="L137" s="2145">
        <f t="shared" si="5"/>
        <v>0</v>
      </c>
      <c r="M137" s="2145">
        <f>IF(Adm!$G$4="si",MIN(N136+E137+H137+I137+J137-L137,Z137),0)</f>
        <v>0</v>
      </c>
      <c r="N137" s="2145">
        <f t="shared" si="6"/>
        <v>0</v>
      </c>
      <c r="O137" s="2146"/>
      <c r="P137" s="1101"/>
      <c r="V137" s="1352">
        <f t="shared" si="7"/>
        <v>2</v>
      </c>
      <c r="W137" s="1367">
        <f>IF(V137=1,Cal!$AB$127,0)</f>
        <v>0</v>
      </c>
      <c r="Y137" s="1368">
        <f t="shared" si="15"/>
        <v>0</v>
      </c>
      <c r="Z137" s="1369">
        <f t="shared" ca="1" si="8"/>
        <v>0</v>
      </c>
      <c r="AB137" s="1375">
        <f t="shared" si="16"/>
        <v>0</v>
      </c>
      <c r="AC137" s="1373">
        <f t="shared" si="17"/>
        <v>0</v>
      </c>
      <c r="AD137" s="1373">
        <f t="shared" si="24"/>
        <v>0</v>
      </c>
      <c r="AE137" s="1373">
        <f t="shared" si="18"/>
        <v>0</v>
      </c>
      <c r="AF137" s="1371">
        <f t="shared" si="19"/>
        <v>0</v>
      </c>
      <c r="AG137" s="1359" t="e">
        <f>HLOOKUP($AG$83,anticipado,51,0)</f>
        <v>#N/A</v>
      </c>
      <c r="AI137" s="1360">
        <f t="shared" si="9"/>
        <v>0</v>
      </c>
      <c r="AJ137" s="1361">
        <f t="shared" si="25"/>
        <v>50</v>
      </c>
      <c r="AK137" s="1362">
        <f t="shared" si="10"/>
        <v>0</v>
      </c>
      <c r="AL137" s="1362">
        <f t="shared" si="26"/>
        <v>0</v>
      </c>
      <c r="AM137" s="1362">
        <f t="shared" si="21"/>
        <v>0</v>
      </c>
      <c r="AN137" s="1363">
        <f t="shared" si="11"/>
        <v>1000000</v>
      </c>
      <c r="AO137" s="1364"/>
      <c r="AP137" s="1364"/>
      <c r="AQ137" s="1361">
        <f t="shared" si="27"/>
        <v>50</v>
      </c>
      <c r="AR137" s="1362">
        <f t="shared" si="12"/>
        <v>0</v>
      </c>
      <c r="AS137" s="1362">
        <f t="shared" si="2"/>
        <v>8543.2677227072418</v>
      </c>
      <c r="AT137" s="1362">
        <f t="shared" ref="AT137:AT147" si="33">MIN(AU136+AR137,AT136)</f>
        <v>8543.2677227072418</v>
      </c>
      <c r="AU137" s="1363">
        <f t="shared" si="23"/>
        <v>572836.61386463791</v>
      </c>
    </row>
    <row r="138" spans="1:47">
      <c r="A138" s="1118">
        <f t="shared" ca="1" si="0"/>
        <v>6</v>
      </c>
      <c r="B138" s="1351">
        <f t="shared" si="3"/>
        <v>0</v>
      </c>
      <c r="C138" s="2143">
        <f t="shared" si="13"/>
        <v>0</v>
      </c>
      <c r="D138" s="2144">
        <f t="shared" si="14"/>
        <v>0</v>
      </c>
      <c r="E138" s="2145">
        <f t="shared" si="4"/>
        <v>0</v>
      </c>
      <c r="F138" s="2145">
        <f t="shared" si="29"/>
        <v>0</v>
      </c>
      <c r="G138" s="2145">
        <f t="shared" si="30"/>
        <v>0</v>
      </c>
      <c r="H138" s="2145">
        <f>IF(N137&lt;0.01,0,IF(Adm!$S$4=Adm!$S$8,0,N137*Adm!$V$4))</f>
        <v>0</v>
      </c>
      <c r="I138" s="2145">
        <f>IF(N137&lt;0.01,0,IF(Adm!$S$5=Adm!$S$8,0,Adm!$AA$11*Adm!$X$4))</f>
        <v>0</v>
      </c>
      <c r="J138" s="2145">
        <f>IF(N137&lt;0.01,0,Adm!$Q$4*1.16)</f>
        <v>0</v>
      </c>
      <c r="K138" s="2145">
        <f>IF(N137&lt;0.01,0,IF(Adm!$O$4&gt;0,E138*Adm!$O$4,0))</f>
        <v>0</v>
      </c>
      <c r="L138" s="2145">
        <f t="shared" si="5"/>
        <v>0</v>
      </c>
      <c r="M138" s="2145">
        <f>IF(Adm!$G$4="si",MIN(N137+E138+H138+I138+J138-L138,Z138),0)</f>
        <v>0</v>
      </c>
      <c r="N138" s="2145">
        <f t="shared" si="6"/>
        <v>0</v>
      </c>
      <c r="O138" s="2146"/>
      <c r="P138" s="1101"/>
      <c r="V138" s="1352">
        <f t="shared" si="7"/>
        <v>3</v>
      </c>
      <c r="W138" s="1367">
        <f>IF(V138=1,Cal!$AB$127,0)</f>
        <v>0</v>
      </c>
      <c r="Y138" s="1368">
        <f t="shared" si="15"/>
        <v>0</v>
      </c>
      <c r="Z138" s="1369">
        <f t="shared" ca="1" si="8"/>
        <v>0</v>
      </c>
      <c r="AB138" s="1375">
        <f t="shared" si="16"/>
        <v>0</v>
      </c>
      <c r="AC138" s="1373">
        <f t="shared" si="17"/>
        <v>0</v>
      </c>
      <c r="AD138" s="1373">
        <f t="shared" si="24"/>
        <v>0</v>
      </c>
      <c r="AE138" s="1373">
        <f t="shared" si="18"/>
        <v>0</v>
      </c>
      <c r="AF138" s="1371">
        <f t="shared" si="19"/>
        <v>0</v>
      </c>
      <c r="AG138" s="1359" t="e">
        <f>HLOOKUP($AG$83,anticipado,52,0)</f>
        <v>#N/A</v>
      </c>
      <c r="AI138" s="1360">
        <f t="shared" si="9"/>
        <v>0</v>
      </c>
      <c r="AJ138" s="1361">
        <f t="shared" si="25"/>
        <v>51</v>
      </c>
      <c r="AK138" s="1362">
        <f t="shared" si="10"/>
        <v>0</v>
      </c>
      <c r="AL138" s="1362">
        <f t="shared" si="26"/>
        <v>0</v>
      </c>
      <c r="AM138" s="1362">
        <f t="shared" si="21"/>
        <v>0</v>
      </c>
      <c r="AN138" s="1363">
        <f t="shared" si="11"/>
        <v>1000000</v>
      </c>
      <c r="AO138" s="1364"/>
      <c r="AP138" s="1364"/>
      <c r="AQ138" s="1361">
        <f t="shared" si="27"/>
        <v>51</v>
      </c>
      <c r="AR138" s="1362">
        <f t="shared" si="12"/>
        <v>0</v>
      </c>
      <c r="AS138" s="1362">
        <f t="shared" si="2"/>
        <v>8543.2677227072418</v>
      </c>
      <c r="AT138" s="1362">
        <f t="shared" si="33"/>
        <v>8543.2677227072418</v>
      </c>
      <c r="AU138" s="1363">
        <f t="shared" si="23"/>
        <v>564293.34614193067</v>
      </c>
    </row>
    <row r="139" spans="1:47">
      <c r="A139" s="1118">
        <f t="shared" ca="1" si="0"/>
        <v>7</v>
      </c>
      <c r="B139" s="1351">
        <f t="shared" si="3"/>
        <v>0</v>
      </c>
      <c r="C139" s="2143">
        <f t="shared" si="13"/>
        <v>0</v>
      </c>
      <c r="D139" s="2144">
        <f t="shared" si="14"/>
        <v>0</v>
      </c>
      <c r="E139" s="2145">
        <f t="shared" si="4"/>
        <v>0</v>
      </c>
      <c r="F139" s="2145">
        <f t="shared" si="29"/>
        <v>0</v>
      </c>
      <c r="G139" s="2145">
        <f t="shared" si="30"/>
        <v>0</v>
      </c>
      <c r="H139" s="2145">
        <f>IF(N138&lt;0.01,0,IF(Adm!$S$4=Adm!$S$8,0,N138*Adm!$V$4))</f>
        <v>0</v>
      </c>
      <c r="I139" s="2145">
        <f>IF(N138&lt;0.01,0,IF(Adm!$S$5=Adm!$S$8,0,Adm!$AA$11*Adm!$X$4))</f>
        <v>0</v>
      </c>
      <c r="J139" s="2145">
        <f>IF(N138&lt;0.01,0,Adm!$Q$4*1.16)</f>
        <v>0</v>
      </c>
      <c r="K139" s="2145">
        <f>IF(N138&lt;0.01,0,IF(Adm!$O$4&gt;0,E139*Adm!$O$4,0))</f>
        <v>0</v>
      </c>
      <c r="L139" s="2145">
        <f t="shared" si="5"/>
        <v>0</v>
      </c>
      <c r="M139" s="2145">
        <f>IF(Adm!$G$4="si",MIN(N138+E139+H139+I139+J139-L139,Z139),0)</f>
        <v>0</v>
      </c>
      <c r="N139" s="2145">
        <f t="shared" si="6"/>
        <v>0</v>
      </c>
      <c r="O139" s="2146"/>
      <c r="P139" s="1101"/>
      <c r="V139" s="1352">
        <f t="shared" si="7"/>
        <v>4</v>
      </c>
      <c r="W139" s="1367">
        <f>IF(V139=1,Cal!$AB$127,0)</f>
        <v>0</v>
      </c>
      <c r="Y139" s="1368">
        <f t="shared" si="15"/>
        <v>0</v>
      </c>
      <c r="Z139" s="1369">
        <f t="shared" ca="1" si="8"/>
        <v>0</v>
      </c>
      <c r="AB139" s="1375">
        <f t="shared" si="16"/>
        <v>0</v>
      </c>
      <c r="AC139" s="1373">
        <f t="shared" si="17"/>
        <v>0</v>
      </c>
      <c r="AD139" s="1373">
        <f t="shared" si="24"/>
        <v>0</v>
      </c>
      <c r="AE139" s="1373">
        <f t="shared" si="18"/>
        <v>0</v>
      </c>
      <c r="AF139" s="1371">
        <f t="shared" si="19"/>
        <v>0</v>
      </c>
      <c r="AG139" s="1359" t="e">
        <f>HLOOKUP($AG$83,anticipado,53,0)</f>
        <v>#N/A</v>
      </c>
      <c r="AI139" s="1360">
        <f t="shared" si="9"/>
        <v>0</v>
      </c>
      <c r="AJ139" s="1361">
        <f t="shared" si="25"/>
        <v>52</v>
      </c>
      <c r="AK139" s="1362">
        <f t="shared" si="10"/>
        <v>0</v>
      </c>
      <c r="AL139" s="1362">
        <f t="shared" si="26"/>
        <v>0</v>
      </c>
      <c r="AM139" s="1362">
        <f t="shared" si="21"/>
        <v>0</v>
      </c>
      <c r="AN139" s="1363">
        <f t="shared" si="11"/>
        <v>1000000</v>
      </c>
      <c r="AO139" s="1364"/>
      <c r="AP139" s="1364"/>
      <c r="AQ139" s="1361">
        <f t="shared" si="27"/>
        <v>52</v>
      </c>
      <c r="AR139" s="1362">
        <f t="shared" si="12"/>
        <v>0</v>
      </c>
      <c r="AS139" s="1362">
        <f t="shared" si="2"/>
        <v>8543.2677227072418</v>
      </c>
      <c r="AT139" s="1362">
        <f t="shared" si="33"/>
        <v>8543.2677227072418</v>
      </c>
      <c r="AU139" s="1363">
        <f t="shared" si="23"/>
        <v>555750.07841922343</v>
      </c>
    </row>
    <row r="140" spans="1:47">
      <c r="A140" s="1118">
        <f t="shared" ca="1" si="0"/>
        <v>8</v>
      </c>
      <c r="B140" s="1351">
        <f t="shared" si="3"/>
        <v>0</v>
      </c>
      <c r="C140" s="2143">
        <f t="shared" si="13"/>
        <v>0</v>
      </c>
      <c r="D140" s="2144">
        <f t="shared" si="14"/>
        <v>0</v>
      </c>
      <c r="E140" s="2145">
        <f t="shared" si="4"/>
        <v>0</v>
      </c>
      <c r="F140" s="2145">
        <f t="shared" si="29"/>
        <v>0</v>
      </c>
      <c r="G140" s="2145">
        <f t="shared" si="30"/>
        <v>0</v>
      </c>
      <c r="H140" s="2145">
        <f>IF(N139&lt;0.01,0,IF(Adm!$S$4=Adm!$S$8,0,N139*Adm!$V$4))</f>
        <v>0</v>
      </c>
      <c r="I140" s="2145">
        <f>IF(N139&lt;0.01,0,IF(Adm!$S$5=Adm!$S$8,0,Adm!$AA$11*Adm!$X$4))</f>
        <v>0</v>
      </c>
      <c r="J140" s="2145">
        <f>IF(N139&lt;0.01,0,Adm!$Q$4*1.16)</f>
        <v>0</v>
      </c>
      <c r="K140" s="2145">
        <f>IF(N139&lt;0.01,0,IF(Adm!$O$4&gt;0,E140*Adm!$O$4,0))</f>
        <v>0</v>
      </c>
      <c r="L140" s="2145">
        <f t="shared" si="5"/>
        <v>0</v>
      </c>
      <c r="M140" s="2145">
        <f>IF(Adm!$G$4="si",MIN(N139+E140+H140+I140+J140-L140,Z140),0)</f>
        <v>0</v>
      </c>
      <c r="N140" s="2145">
        <f t="shared" si="6"/>
        <v>0</v>
      </c>
      <c r="O140" s="2146"/>
      <c r="P140" s="1101"/>
      <c r="V140" s="1352">
        <f t="shared" si="7"/>
        <v>5</v>
      </c>
      <c r="W140" s="1367">
        <f>IF(V140=1,Cal!$AB$127,0)</f>
        <v>0</v>
      </c>
      <c r="Y140" s="1368">
        <f t="shared" si="15"/>
        <v>0</v>
      </c>
      <c r="Z140" s="1369">
        <f t="shared" ca="1" si="8"/>
        <v>0</v>
      </c>
      <c r="AB140" s="1375">
        <f t="shared" si="16"/>
        <v>0</v>
      </c>
      <c r="AC140" s="1373">
        <f t="shared" si="17"/>
        <v>0</v>
      </c>
      <c r="AD140" s="1373">
        <f t="shared" si="24"/>
        <v>0</v>
      </c>
      <c r="AE140" s="1373">
        <f t="shared" si="18"/>
        <v>0</v>
      </c>
      <c r="AF140" s="1371">
        <f t="shared" si="19"/>
        <v>0</v>
      </c>
      <c r="AG140" s="1359" t="e">
        <f>HLOOKUP($AG$83,anticipado,54,0)</f>
        <v>#N/A</v>
      </c>
      <c r="AI140" s="1360">
        <f t="shared" si="9"/>
        <v>0</v>
      </c>
      <c r="AJ140" s="1361">
        <f t="shared" si="25"/>
        <v>53</v>
      </c>
      <c r="AK140" s="1362">
        <f t="shared" si="10"/>
        <v>0</v>
      </c>
      <c r="AL140" s="1362">
        <f t="shared" si="26"/>
        <v>0</v>
      </c>
      <c r="AM140" s="1362">
        <f t="shared" si="21"/>
        <v>0</v>
      </c>
      <c r="AN140" s="1363">
        <f t="shared" si="11"/>
        <v>1000000</v>
      </c>
      <c r="AO140" s="1364"/>
      <c r="AP140" s="1364"/>
      <c r="AQ140" s="1361">
        <f t="shared" si="27"/>
        <v>53</v>
      </c>
      <c r="AR140" s="1362">
        <f t="shared" si="12"/>
        <v>0</v>
      </c>
      <c r="AS140" s="1362">
        <f t="shared" si="2"/>
        <v>8543.2677227072418</v>
      </c>
      <c r="AT140" s="1362">
        <f t="shared" si="33"/>
        <v>8543.2677227072418</v>
      </c>
      <c r="AU140" s="1363">
        <f t="shared" si="23"/>
        <v>547206.81069651619</v>
      </c>
    </row>
    <row r="141" spans="1:47">
      <c r="A141" s="1118">
        <f t="shared" ca="1" si="0"/>
        <v>9</v>
      </c>
      <c r="B141" s="1351">
        <f t="shared" si="3"/>
        <v>0</v>
      </c>
      <c r="C141" s="2143">
        <f t="shared" si="13"/>
        <v>0</v>
      </c>
      <c r="D141" s="2144">
        <f t="shared" si="14"/>
        <v>0</v>
      </c>
      <c r="E141" s="2145">
        <f t="shared" si="4"/>
        <v>0</v>
      </c>
      <c r="F141" s="2145">
        <f t="shared" si="29"/>
        <v>0</v>
      </c>
      <c r="G141" s="2145">
        <f t="shared" si="30"/>
        <v>0</v>
      </c>
      <c r="H141" s="2145">
        <f>IF(N140&lt;0.01,0,IF(Adm!$S$4=Adm!$S$8,0,N140*Adm!$V$4))</f>
        <v>0</v>
      </c>
      <c r="I141" s="2145">
        <f>IF(N140&lt;0.01,0,IF(Adm!$S$5=Adm!$S$8,0,Adm!$AA$11*Adm!$X$4))</f>
        <v>0</v>
      </c>
      <c r="J141" s="2145">
        <f>IF(N140&lt;0.01,0,Adm!$Q$4*1.16)</f>
        <v>0</v>
      </c>
      <c r="K141" s="2145">
        <f>IF(N140&lt;0.01,0,IF(Adm!$O$4&gt;0,E141*Adm!$O$4,0))</f>
        <v>0</v>
      </c>
      <c r="L141" s="2145">
        <f t="shared" si="5"/>
        <v>0</v>
      </c>
      <c r="M141" s="2145">
        <f>IF(Adm!$G$4="si",MIN(N140+E141+H141+I141+J141-L141,Z141),0)</f>
        <v>0</v>
      </c>
      <c r="N141" s="2145">
        <f t="shared" si="6"/>
        <v>0</v>
      </c>
      <c r="O141" s="2146"/>
      <c r="P141" s="1101"/>
      <c r="V141" s="1352">
        <f t="shared" si="7"/>
        <v>6</v>
      </c>
      <c r="W141" s="1367">
        <f>IF(V141=1,Cal!$AB$127,0)</f>
        <v>0</v>
      </c>
      <c r="Y141" s="1368">
        <f t="shared" si="15"/>
        <v>0</v>
      </c>
      <c r="Z141" s="1369">
        <f t="shared" ca="1" si="8"/>
        <v>0</v>
      </c>
      <c r="AB141" s="1375">
        <f t="shared" si="16"/>
        <v>0</v>
      </c>
      <c r="AC141" s="1373">
        <f t="shared" si="17"/>
        <v>0</v>
      </c>
      <c r="AD141" s="1373">
        <f t="shared" si="24"/>
        <v>0</v>
      </c>
      <c r="AE141" s="1373">
        <f t="shared" si="18"/>
        <v>0</v>
      </c>
      <c r="AF141" s="1371">
        <f t="shared" si="19"/>
        <v>0</v>
      </c>
      <c r="AG141" s="1359" t="e">
        <f>HLOOKUP($AG$83,anticipado,55,0)</f>
        <v>#N/A</v>
      </c>
      <c r="AI141" s="1360">
        <f t="shared" si="9"/>
        <v>0</v>
      </c>
      <c r="AJ141" s="1361">
        <f t="shared" si="25"/>
        <v>54</v>
      </c>
      <c r="AK141" s="1362">
        <f t="shared" si="10"/>
        <v>0</v>
      </c>
      <c r="AL141" s="1362">
        <f t="shared" si="26"/>
        <v>0</v>
      </c>
      <c r="AM141" s="1362">
        <f t="shared" si="21"/>
        <v>0</v>
      </c>
      <c r="AN141" s="1363">
        <f t="shared" si="11"/>
        <v>1000000</v>
      </c>
      <c r="AO141" s="1364"/>
      <c r="AP141" s="1364"/>
      <c r="AQ141" s="1361">
        <f t="shared" si="27"/>
        <v>54</v>
      </c>
      <c r="AR141" s="1362">
        <f t="shared" si="12"/>
        <v>0</v>
      </c>
      <c r="AS141" s="1362">
        <f t="shared" si="2"/>
        <v>8543.2677227072418</v>
      </c>
      <c r="AT141" s="1362">
        <f t="shared" si="33"/>
        <v>8543.2677227072418</v>
      </c>
      <c r="AU141" s="1363">
        <f t="shared" si="23"/>
        <v>538663.54297380894</v>
      </c>
    </row>
    <row r="142" spans="1:47">
      <c r="A142" s="1118">
        <f t="shared" ca="1" si="0"/>
        <v>10</v>
      </c>
      <c r="B142" s="1351">
        <f t="shared" si="3"/>
        <v>0</v>
      </c>
      <c r="C142" s="2143">
        <f t="shared" si="13"/>
        <v>0</v>
      </c>
      <c r="D142" s="2144">
        <f t="shared" si="14"/>
        <v>0</v>
      </c>
      <c r="E142" s="2145">
        <f t="shared" si="4"/>
        <v>0</v>
      </c>
      <c r="F142" s="2145">
        <f t="shared" si="29"/>
        <v>0</v>
      </c>
      <c r="G142" s="2145">
        <f t="shared" si="30"/>
        <v>0</v>
      </c>
      <c r="H142" s="2145">
        <f>IF(N141&lt;0.01,0,IF(Adm!$S$4=Adm!$S$8,0,N141*Adm!$V$4))</f>
        <v>0</v>
      </c>
      <c r="I142" s="2145">
        <f>IF(N141&lt;0.01,0,IF(Adm!$S$5=Adm!$S$8,0,Adm!$AA$11*Adm!$X$4))</f>
        <v>0</v>
      </c>
      <c r="J142" s="2145">
        <f>IF(N141&lt;0.01,0,Adm!$Q$4*1.16)</f>
        <v>0</v>
      </c>
      <c r="K142" s="2145">
        <f>IF(N141&lt;0.01,0,IF(Adm!$O$4&gt;0,E142*Adm!$O$4,0))</f>
        <v>0</v>
      </c>
      <c r="L142" s="2145">
        <f t="shared" si="5"/>
        <v>0</v>
      </c>
      <c r="M142" s="2145">
        <f>IF(Adm!$G$4="si",MIN(N141+E142+H142+I142+J142-L142,Z142),0)</f>
        <v>0</v>
      </c>
      <c r="N142" s="2145">
        <f t="shared" si="6"/>
        <v>0</v>
      </c>
      <c r="O142" s="2146"/>
      <c r="P142" s="1101"/>
      <c r="V142" s="1352">
        <f t="shared" si="7"/>
        <v>7</v>
      </c>
      <c r="W142" s="1367">
        <f>IF(V142=1,Cal!$AB$127,0)</f>
        <v>0</v>
      </c>
      <c r="Y142" s="1368">
        <f t="shared" si="15"/>
        <v>0</v>
      </c>
      <c r="Z142" s="1369">
        <f t="shared" ca="1" si="8"/>
        <v>0</v>
      </c>
      <c r="AB142" s="1375">
        <f t="shared" si="16"/>
        <v>0</v>
      </c>
      <c r="AC142" s="1373">
        <f t="shared" si="17"/>
        <v>0</v>
      </c>
      <c r="AD142" s="1373">
        <f t="shared" si="24"/>
        <v>0</v>
      </c>
      <c r="AE142" s="1373">
        <f t="shared" si="18"/>
        <v>0</v>
      </c>
      <c r="AF142" s="1371">
        <f t="shared" si="19"/>
        <v>0</v>
      </c>
      <c r="AG142" s="1359" t="e">
        <f>HLOOKUP($AG$83,anticipado,56,0)</f>
        <v>#N/A</v>
      </c>
      <c r="AI142" s="1360">
        <f t="shared" si="9"/>
        <v>0</v>
      </c>
      <c r="AJ142" s="1361">
        <f t="shared" si="25"/>
        <v>55</v>
      </c>
      <c r="AK142" s="1362">
        <f t="shared" si="10"/>
        <v>0</v>
      </c>
      <c r="AL142" s="1362">
        <f t="shared" si="26"/>
        <v>0</v>
      </c>
      <c r="AM142" s="1362">
        <f t="shared" si="21"/>
        <v>0</v>
      </c>
      <c r="AN142" s="1363">
        <f t="shared" si="11"/>
        <v>1000000</v>
      </c>
      <c r="AO142" s="1364"/>
      <c r="AP142" s="1364"/>
      <c r="AQ142" s="1361">
        <f t="shared" si="27"/>
        <v>55</v>
      </c>
      <c r="AR142" s="1362">
        <f t="shared" si="12"/>
        <v>0</v>
      </c>
      <c r="AS142" s="1362">
        <f t="shared" si="2"/>
        <v>8543.2677227072418</v>
      </c>
      <c r="AT142" s="1362">
        <f t="shared" si="33"/>
        <v>8543.2677227072418</v>
      </c>
      <c r="AU142" s="1363">
        <f t="shared" si="23"/>
        <v>530120.2752511017</v>
      </c>
    </row>
    <row r="143" spans="1:47">
      <c r="A143" s="1118">
        <f t="shared" ca="1" si="0"/>
        <v>11</v>
      </c>
      <c r="B143" s="1351">
        <f t="shared" si="3"/>
        <v>0</v>
      </c>
      <c r="C143" s="2143">
        <f t="shared" si="13"/>
        <v>0</v>
      </c>
      <c r="D143" s="2144">
        <f t="shared" si="14"/>
        <v>0</v>
      </c>
      <c r="E143" s="2145">
        <f t="shared" si="4"/>
        <v>0</v>
      </c>
      <c r="F143" s="2145">
        <f t="shared" si="29"/>
        <v>0</v>
      </c>
      <c r="G143" s="2145">
        <f t="shared" si="30"/>
        <v>0</v>
      </c>
      <c r="H143" s="2145">
        <f>IF(N142&lt;0.01,0,IF(Adm!$S$4=Adm!$S$8,0,N142*Adm!$V$4))</f>
        <v>0</v>
      </c>
      <c r="I143" s="2145">
        <f>IF(N142&lt;0.01,0,IF(Adm!$S$5=Adm!$S$8,0,Adm!$AA$11*Adm!$X$4))</f>
        <v>0</v>
      </c>
      <c r="J143" s="2145">
        <f>IF(N142&lt;0.01,0,Adm!$Q$4*1.16)</f>
        <v>0</v>
      </c>
      <c r="K143" s="2145">
        <f>IF(N142&lt;0.01,0,IF(Adm!$O$4&gt;0,E143*Adm!$O$4,0))</f>
        <v>0</v>
      </c>
      <c r="L143" s="2145">
        <f t="shared" si="5"/>
        <v>0</v>
      </c>
      <c r="M143" s="2145">
        <f>IF(Adm!$G$4="si",MIN(N142+E143+H143+I143+J143-L143,Z143),0)</f>
        <v>0</v>
      </c>
      <c r="N143" s="2145">
        <f t="shared" si="6"/>
        <v>0</v>
      </c>
      <c r="O143" s="2146"/>
      <c r="P143" s="1101"/>
      <c r="V143" s="1352">
        <f t="shared" si="7"/>
        <v>8</v>
      </c>
      <c r="W143" s="1367">
        <f>IF(V143=1,Cal!$AB$127,0)</f>
        <v>0</v>
      </c>
      <c r="Y143" s="1368">
        <f t="shared" si="15"/>
        <v>0</v>
      </c>
      <c r="Z143" s="1369">
        <f t="shared" ca="1" si="8"/>
        <v>0</v>
      </c>
      <c r="AB143" s="1375">
        <f t="shared" si="16"/>
        <v>0</v>
      </c>
      <c r="AC143" s="1373">
        <f t="shared" si="17"/>
        <v>0</v>
      </c>
      <c r="AD143" s="1373">
        <f t="shared" si="24"/>
        <v>0</v>
      </c>
      <c r="AE143" s="1373">
        <f t="shared" si="18"/>
        <v>0</v>
      </c>
      <c r="AF143" s="1371">
        <f t="shared" si="19"/>
        <v>0</v>
      </c>
      <c r="AG143" s="1359" t="e">
        <f>HLOOKUP($AG$83,anticipado,57,0)</f>
        <v>#N/A</v>
      </c>
      <c r="AI143" s="1360">
        <f t="shared" si="9"/>
        <v>0</v>
      </c>
      <c r="AJ143" s="1361">
        <f t="shared" si="25"/>
        <v>56</v>
      </c>
      <c r="AK143" s="1362">
        <f t="shared" si="10"/>
        <v>0</v>
      </c>
      <c r="AL143" s="1362">
        <f t="shared" si="26"/>
        <v>0</v>
      </c>
      <c r="AM143" s="1362">
        <f t="shared" si="21"/>
        <v>0</v>
      </c>
      <c r="AN143" s="1363">
        <f t="shared" si="11"/>
        <v>1000000</v>
      </c>
      <c r="AO143" s="1364"/>
      <c r="AP143" s="1364"/>
      <c r="AQ143" s="1361">
        <f t="shared" si="27"/>
        <v>56</v>
      </c>
      <c r="AR143" s="1362">
        <f t="shared" si="12"/>
        <v>0</v>
      </c>
      <c r="AS143" s="1362">
        <f t="shared" si="2"/>
        <v>8543.2677227072418</v>
      </c>
      <c r="AT143" s="1362">
        <f t="shared" si="33"/>
        <v>8543.2677227072418</v>
      </c>
      <c r="AU143" s="1363">
        <f t="shared" si="23"/>
        <v>521577.00752839446</v>
      </c>
    </row>
    <row r="144" spans="1:47">
      <c r="A144" s="1118">
        <f t="shared" ca="1" si="0"/>
        <v>12</v>
      </c>
      <c r="B144" s="1351">
        <f t="shared" si="3"/>
        <v>0</v>
      </c>
      <c r="C144" s="2143">
        <f t="shared" si="13"/>
        <v>0</v>
      </c>
      <c r="D144" s="2144">
        <f t="shared" si="14"/>
        <v>0</v>
      </c>
      <c r="E144" s="2145">
        <f t="shared" si="4"/>
        <v>0</v>
      </c>
      <c r="F144" s="2145">
        <f t="shared" si="29"/>
        <v>0</v>
      </c>
      <c r="G144" s="2145">
        <f t="shared" si="30"/>
        <v>0</v>
      </c>
      <c r="H144" s="2145">
        <f>IF(N143&lt;0.01,0,IF(Adm!$S$4=Adm!$S$8,0,N143*Adm!$V$4))</f>
        <v>0</v>
      </c>
      <c r="I144" s="2145">
        <f>IF(N143&lt;0.01,0,IF(Adm!$S$5=Adm!$S$8,0,Adm!$AA$11*Adm!$X$4))</f>
        <v>0</v>
      </c>
      <c r="J144" s="2145">
        <f>IF(N143&lt;0.01,0,Adm!$Q$4*1.16)</f>
        <v>0</v>
      </c>
      <c r="K144" s="2145">
        <f>IF(N143&lt;0.01,0,IF(Adm!$O$4&gt;0,E144*Adm!$O$4,0))</f>
        <v>0</v>
      </c>
      <c r="L144" s="2145">
        <f t="shared" si="5"/>
        <v>0</v>
      </c>
      <c r="M144" s="2145">
        <f>IF(Adm!$G$4="si",MIN(N143+E144+H144+I144+J144-L144,Z144),0)</f>
        <v>0</v>
      </c>
      <c r="N144" s="2145">
        <f t="shared" si="6"/>
        <v>0</v>
      </c>
      <c r="O144" s="2146"/>
      <c r="P144" s="1101"/>
      <c r="V144" s="1352">
        <f t="shared" si="7"/>
        <v>9</v>
      </c>
      <c r="W144" s="1367">
        <f>IF(V144=1,Cal!$AB$127,0)</f>
        <v>0</v>
      </c>
      <c r="Y144" s="1368">
        <f t="shared" si="15"/>
        <v>0</v>
      </c>
      <c r="Z144" s="1369">
        <f t="shared" ca="1" si="8"/>
        <v>0</v>
      </c>
      <c r="AB144" s="1375">
        <f t="shared" si="16"/>
        <v>0</v>
      </c>
      <c r="AC144" s="1373">
        <f t="shared" si="17"/>
        <v>0</v>
      </c>
      <c r="AD144" s="1373">
        <f t="shared" si="24"/>
        <v>0</v>
      </c>
      <c r="AE144" s="1373">
        <f t="shared" si="18"/>
        <v>0</v>
      </c>
      <c r="AF144" s="1371">
        <f t="shared" si="19"/>
        <v>0</v>
      </c>
      <c r="AG144" s="1359" t="e">
        <f>HLOOKUP($AG$83,anticipado,58,0)</f>
        <v>#N/A</v>
      </c>
      <c r="AI144" s="1360">
        <f t="shared" si="9"/>
        <v>0</v>
      </c>
      <c r="AJ144" s="1361">
        <f t="shared" si="25"/>
        <v>57</v>
      </c>
      <c r="AK144" s="1362">
        <f t="shared" si="10"/>
        <v>0</v>
      </c>
      <c r="AL144" s="1362">
        <f t="shared" si="26"/>
        <v>0</v>
      </c>
      <c r="AM144" s="1362">
        <f t="shared" si="21"/>
        <v>0</v>
      </c>
      <c r="AN144" s="1363">
        <f t="shared" si="11"/>
        <v>1000000</v>
      </c>
      <c r="AO144" s="1364"/>
      <c r="AP144" s="1364"/>
      <c r="AQ144" s="1361">
        <f t="shared" si="27"/>
        <v>57</v>
      </c>
      <c r="AR144" s="1362">
        <f t="shared" si="12"/>
        <v>0</v>
      </c>
      <c r="AS144" s="1362">
        <f t="shared" si="2"/>
        <v>8543.2677227072418</v>
      </c>
      <c r="AT144" s="1362">
        <f t="shared" si="33"/>
        <v>8543.2677227072418</v>
      </c>
      <c r="AU144" s="1363">
        <f t="shared" si="23"/>
        <v>513033.73980568722</v>
      </c>
    </row>
    <row r="145" spans="1:47">
      <c r="A145" s="1118">
        <f t="shared" ca="1" si="0"/>
        <v>1</v>
      </c>
      <c r="B145" s="1351">
        <f t="shared" si="3"/>
        <v>0</v>
      </c>
      <c r="C145" s="2143">
        <f t="shared" si="13"/>
        <v>0</v>
      </c>
      <c r="D145" s="2144">
        <f t="shared" si="14"/>
        <v>0</v>
      </c>
      <c r="E145" s="2145">
        <f t="shared" si="4"/>
        <v>0</v>
      </c>
      <c r="F145" s="2145">
        <f t="shared" si="29"/>
        <v>0</v>
      </c>
      <c r="G145" s="2145">
        <f t="shared" si="30"/>
        <v>0</v>
      </c>
      <c r="H145" s="2145">
        <f>IF(N144&lt;0.01,0,IF(Adm!$S$4=Adm!$S$8,0,N144*Adm!$V$4))</f>
        <v>0</v>
      </c>
      <c r="I145" s="2145">
        <f>IF(N144&lt;0.01,0,IF(Adm!$S$5=Adm!$S$8,0,Adm!$AA$11*Adm!$X$4))</f>
        <v>0</v>
      </c>
      <c r="J145" s="2145">
        <f>IF(N144&lt;0.01,0,Adm!$Q$4*1.16)</f>
        <v>0</v>
      </c>
      <c r="K145" s="2145">
        <f>IF(N144&lt;0.01,0,IF(Adm!$O$4&gt;0,E145*Adm!$O$4,0))</f>
        <v>0</v>
      </c>
      <c r="L145" s="2145">
        <f t="shared" si="5"/>
        <v>0</v>
      </c>
      <c r="M145" s="2145">
        <f>IF(Adm!$G$4="si",MIN(N144+E145+H145+I145+J145-L145,Z145),0)</f>
        <v>0</v>
      </c>
      <c r="N145" s="2145">
        <f t="shared" si="6"/>
        <v>0</v>
      </c>
      <c r="O145" s="2146"/>
      <c r="P145" s="1101"/>
      <c r="V145" s="1352">
        <f t="shared" si="7"/>
        <v>10</v>
      </c>
      <c r="W145" s="1367">
        <f>IF(V145=1,Cal!$AB$127,0)</f>
        <v>0</v>
      </c>
      <c r="Y145" s="1368">
        <f t="shared" si="15"/>
        <v>0</v>
      </c>
      <c r="Z145" s="1369">
        <f t="shared" ca="1" si="8"/>
        <v>0</v>
      </c>
      <c r="AB145" s="1375">
        <f t="shared" si="16"/>
        <v>0</v>
      </c>
      <c r="AC145" s="1373">
        <f t="shared" si="17"/>
        <v>0</v>
      </c>
      <c r="AD145" s="1373">
        <f t="shared" si="24"/>
        <v>0</v>
      </c>
      <c r="AE145" s="1373">
        <f t="shared" si="18"/>
        <v>0</v>
      </c>
      <c r="AF145" s="1371">
        <f t="shared" si="19"/>
        <v>0</v>
      </c>
      <c r="AG145" s="1359" t="e">
        <f>HLOOKUP($AG$83,anticipado,59,0)</f>
        <v>#N/A</v>
      </c>
      <c r="AI145" s="1360">
        <f t="shared" si="9"/>
        <v>0</v>
      </c>
      <c r="AJ145" s="1361">
        <f t="shared" si="25"/>
        <v>58</v>
      </c>
      <c r="AK145" s="1362">
        <f t="shared" si="10"/>
        <v>0</v>
      </c>
      <c r="AL145" s="1362">
        <f t="shared" si="26"/>
        <v>0</v>
      </c>
      <c r="AM145" s="1362">
        <f t="shared" si="21"/>
        <v>0</v>
      </c>
      <c r="AN145" s="1363">
        <f t="shared" si="11"/>
        <v>1000000</v>
      </c>
      <c r="AO145" s="1364"/>
      <c r="AP145" s="1364"/>
      <c r="AQ145" s="1361">
        <f t="shared" si="27"/>
        <v>58</v>
      </c>
      <c r="AR145" s="1362">
        <f t="shared" si="12"/>
        <v>0</v>
      </c>
      <c r="AS145" s="1362">
        <f t="shared" si="2"/>
        <v>8543.2677227072418</v>
      </c>
      <c r="AT145" s="1362">
        <f t="shared" si="33"/>
        <v>8543.2677227072418</v>
      </c>
      <c r="AU145" s="1363">
        <f t="shared" si="23"/>
        <v>504490.47208297998</v>
      </c>
    </row>
    <row r="146" spans="1:47">
      <c r="A146" s="1118">
        <f t="shared" ca="1" si="0"/>
        <v>2</v>
      </c>
      <c r="B146" s="1351">
        <f t="shared" si="3"/>
        <v>0</v>
      </c>
      <c r="C146" s="2143">
        <f t="shared" si="13"/>
        <v>0</v>
      </c>
      <c r="D146" s="2144">
        <f t="shared" si="14"/>
        <v>0</v>
      </c>
      <c r="E146" s="2145">
        <f t="shared" si="4"/>
        <v>0</v>
      </c>
      <c r="F146" s="2145">
        <f t="shared" si="29"/>
        <v>0</v>
      </c>
      <c r="G146" s="2145">
        <f t="shared" si="30"/>
        <v>0</v>
      </c>
      <c r="H146" s="2145">
        <f>IF(N145&lt;0.01,0,IF(Adm!$S$4=Adm!$S$8,0,N145*Adm!$V$4))</f>
        <v>0</v>
      </c>
      <c r="I146" s="2145">
        <f>IF(N145&lt;0.01,0,IF(Adm!$S$5=Adm!$S$8,0,Adm!$AA$11*Adm!$X$4))</f>
        <v>0</v>
      </c>
      <c r="J146" s="2145">
        <f>IF(N145&lt;0.01,0,Adm!$Q$4*1.16)</f>
        <v>0</v>
      </c>
      <c r="K146" s="2145">
        <f>IF(N145&lt;0.01,0,IF(Adm!$O$4&gt;0,E146*Adm!$O$4,0))</f>
        <v>0</v>
      </c>
      <c r="L146" s="2145">
        <f t="shared" si="5"/>
        <v>0</v>
      </c>
      <c r="M146" s="2145">
        <f>IF(Adm!$G$4="si",MIN(N145+E146+H146+I146+J146-L146,Z146),0)</f>
        <v>0</v>
      </c>
      <c r="N146" s="2145">
        <f t="shared" si="6"/>
        <v>0</v>
      </c>
      <c r="O146" s="2146"/>
      <c r="P146" s="1101"/>
      <c r="V146" s="1352">
        <f t="shared" si="7"/>
        <v>11</v>
      </c>
      <c r="W146" s="1367">
        <f>IF(V146=1,Cal!$AB$127,0)</f>
        <v>0</v>
      </c>
      <c r="Y146" s="1368">
        <f t="shared" si="15"/>
        <v>0</v>
      </c>
      <c r="Z146" s="1369">
        <f t="shared" ca="1" si="8"/>
        <v>0</v>
      </c>
      <c r="AB146" s="1375">
        <f t="shared" si="16"/>
        <v>0</v>
      </c>
      <c r="AC146" s="1373">
        <f t="shared" si="17"/>
        <v>0</v>
      </c>
      <c r="AD146" s="1373">
        <f t="shared" si="24"/>
        <v>0</v>
      </c>
      <c r="AE146" s="1373">
        <f t="shared" si="18"/>
        <v>0</v>
      </c>
      <c r="AF146" s="1371">
        <f t="shared" si="19"/>
        <v>0</v>
      </c>
      <c r="AG146" s="1359" t="e">
        <f>HLOOKUP($AG$83,anticipado,60,0)</f>
        <v>#N/A</v>
      </c>
      <c r="AI146" s="1360">
        <f t="shared" si="9"/>
        <v>0</v>
      </c>
      <c r="AJ146" s="1361">
        <f t="shared" si="25"/>
        <v>59</v>
      </c>
      <c r="AK146" s="1362">
        <f t="shared" si="10"/>
        <v>0</v>
      </c>
      <c r="AL146" s="1362">
        <f t="shared" si="26"/>
        <v>0</v>
      </c>
      <c r="AM146" s="1362">
        <f t="shared" si="21"/>
        <v>0</v>
      </c>
      <c r="AN146" s="1363">
        <f t="shared" si="11"/>
        <v>1000000</v>
      </c>
      <c r="AO146" s="1364"/>
      <c r="AP146" s="1364"/>
      <c r="AQ146" s="1361">
        <f t="shared" si="27"/>
        <v>59</v>
      </c>
      <c r="AR146" s="1362">
        <f t="shared" si="12"/>
        <v>0</v>
      </c>
      <c r="AS146" s="1362">
        <f t="shared" si="2"/>
        <v>8543.2677227072418</v>
      </c>
      <c r="AT146" s="1362">
        <f t="shared" si="33"/>
        <v>8543.2677227072418</v>
      </c>
      <c r="AU146" s="1363">
        <f t="shared" si="23"/>
        <v>495947.20436027274</v>
      </c>
    </row>
    <row r="147" spans="1:47">
      <c r="A147" s="1118">
        <f t="shared" ca="1" si="0"/>
        <v>3</v>
      </c>
      <c r="B147" s="1351">
        <f t="shared" si="3"/>
        <v>0</v>
      </c>
      <c r="C147" s="2143">
        <f t="shared" si="13"/>
        <v>0</v>
      </c>
      <c r="D147" s="2144">
        <f t="shared" si="14"/>
        <v>0</v>
      </c>
      <c r="E147" s="2145">
        <f t="shared" si="4"/>
        <v>0</v>
      </c>
      <c r="F147" s="2145">
        <f t="shared" si="29"/>
        <v>0</v>
      </c>
      <c r="G147" s="2145">
        <f t="shared" si="30"/>
        <v>0</v>
      </c>
      <c r="H147" s="2145">
        <f>IF(N146&lt;0.01,0,IF(Adm!$S$4=Adm!$S$8,0,N146*Adm!$V$4))</f>
        <v>0</v>
      </c>
      <c r="I147" s="2145">
        <f>IF(N146&lt;0.01,0,IF(Adm!$S$5=Adm!$S$8,0,Adm!$AA$11*Adm!$X$4))</f>
        <v>0</v>
      </c>
      <c r="J147" s="2145">
        <f>IF(N146&lt;0.01,0,Adm!$Q$4*1.16)</f>
        <v>0</v>
      </c>
      <c r="K147" s="2145">
        <f>IF(N146&lt;0.01,0,IF(Adm!$O$4&gt;0,E147*Adm!$O$4,0))</f>
        <v>0</v>
      </c>
      <c r="L147" s="2145">
        <f t="shared" si="5"/>
        <v>0</v>
      </c>
      <c r="M147" s="2145">
        <f>IF(Adm!$G$4="si",MIN(N146+E147+H147+I147+J147-L147,Z147),0)</f>
        <v>0</v>
      </c>
      <c r="N147" s="2145">
        <f t="shared" si="6"/>
        <v>0</v>
      </c>
      <c r="O147" s="2146"/>
      <c r="P147" s="1101"/>
      <c r="V147" s="1352">
        <f t="shared" si="7"/>
        <v>12</v>
      </c>
      <c r="W147" s="1367">
        <f>IF(V147=1,Cal!$AB$127,0)</f>
        <v>0</v>
      </c>
      <c r="Y147" s="1368">
        <f t="shared" si="15"/>
        <v>0</v>
      </c>
      <c r="Z147" s="1369">
        <f t="shared" ca="1" si="8"/>
        <v>0</v>
      </c>
      <c r="AB147" s="1375">
        <f t="shared" si="16"/>
        <v>0</v>
      </c>
      <c r="AC147" s="1373">
        <f t="shared" si="17"/>
        <v>0</v>
      </c>
      <c r="AD147" s="1373">
        <f t="shared" si="24"/>
        <v>0</v>
      </c>
      <c r="AE147" s="1373">
        <f t="shared" si="18"/>
        <v>0</v>
      </c>
      <c r="AF147" s="1371">
        <f t="shared" si="19"/>
        <v>0</v>
      </c>
      <c r="AG147" s="1359" t="e">
        <f>HLOOKUP($AG$83,anticipado,61,0)</f>
        <v>#N/A</v>
      </c>
      <c r="AI147" s="1360">
        <f t="shared" si="9"/>
        <v>0</v>
      </c>
      <c r="AJ147" s="1361">
        <f t="shared" si="25"/>
        <v>60</v>
      </c>
      <c r="AK147" s="1362">
        <f t="shared" si="10"/>
        <v>0</v>
      </c>
      <c r="AL147" s="1362">
        <f t="shared" si="26"/>
        <v>0</v>
      </c>
      <c r="AM147" s="1362">
        <f t="shared" si="21"/>
        <v>0</v>
      </c>
      <c r="AN147" s="1363">
        <f t="shared" si="11"/>
        <v>1000000</v>
      </c>
      <c r="AO147" s="1364"/>
      <c r="AP147" s="1364"/>
      <c r="AQ147" s="1361">
        <f t="shared" si="27"/>
        <v>60</v>
      </c>
      <c r="AR147" s="1362">
        <f t="shared" si="12"/>
        <v>0</v>
      </c>
      <c r="AS147" s="1362">
        <f t="shared" si="2"/>
        <v>8543.2677227072418</v>
      </c>
      <c r="AT147" s="1362">
        <f t="shared" si="33"/>
        <v>8543.2677227072418</v>
      </c>
      <c r="AU147" s="1363">
        <f t="shared" si="23"/>
        <v>487403.93663756549</v>
      </c>
    </row>
    <row r="148" spans="1:47">
      <c r="A148" s="1118">
        <f t="shared" ca="1" si="0"/>
        <v>4</v>
      </c>
      <c r="B148" s="1351">
        <f t="shared" si="3"/>
        <v>0</v>
      </c>
      <c r="C148" s="2143">
        <f t="shared" si="13"/>
        <v>0</v>
      </c>
      <c r="D148" s="2144">
        <f t="shared" si="14"/>
        <v>0</v>
      </c>
      <c r="E148" s="2145">
        <f t="shared" si="4"/>
        <v>0</v>
      </c>
      <c r="F148" s="2145">
        <f t="shared" si="29"/>
        <v>0</v>
      </c>
      <c r="G148" s="2145">
        <f t="shared" si="30"/>
        <v>0</v>
      </c>
      <c r="H148" s="2145">
        <f>IF(N147&lt;0.01,0,IF(Adm!$S$4=Adm!$S$8,0,N147*Adm!$V$4))</f>
        <v>0</v>
      </c>
      <c r="I148" s="2145">
        <f>IF(N147&lt;0.01,0,IF(Adm!$S$5=Adm!$S$8,0,Adm!$AA$11*Adm!$X$4))</f>
        <v>0</v>
      </c>
      <c r="J148" s="2145">
        <f>IF(N147&lt;0.01,0,Adm!$Q$4*1.16)</f>
        <v>0</v>
      </c>
      <c r="K148" s="2145">
        <f>IF(N147&lt;0.01,0,IF(Adm!$O$4&gt;0,E148*Adm!$O$4,0))</f>
        <v>0</v>
      </c>
      <c r="L148" s="2145">
        <f t="shared" si="5"/>
        <v>0</v>
      </c>
      <c r="M148" s="2145">
        <f>IF(Adm!$G$4="si",MIN(N147+E148+H148+I148+J148-L148,Z148),0)</f>
        <v>0</v>
      </c>
      <c r="N148" s="2145">
        <f t="shared" si="6"/>
        <v>0</v>
      </c>
      <c r="O148" s="2146"/>
      <c r="P148" s="1101"/>
      <c r="V148" s="1352">
        <f t="shared" si="7"/>
        <v>1</v>
      </c>
      <c r="W148" s="1367">
        <f>IF(V148=1,Cal!$AB$127,0)</f>
        <v>0</v>
      </c>
      <c r="Y148" s="1368">
        <f t="shared" si="15"/>
        <v>0</v>
      </c>
      <c r="Z148" s="1369">
        <f t="shared" ca="1" si="8"/>
        <v>0</v>
      </c>
      <c r="AB148" s="1375">
        <f t="shared" si="16"/>
        <v>0</v>
      </c>
      <c r="AC148" s="1373">
        <f t="shared" si="17"/>
        <v>0</v>
      </c>
      <c r="AD148" s="1373">
        <f t="shared" si="24"/>
        <v>0</v>
      </c>
      <c r="AE148" s="1373">
        <f t="shared" si="18"/>
        <v>0</v>
      </c>
      <c r="AF148" s="1371">
        <f t="shared" si="19"/>
        <v>0</v>
      </c>
      <c r="AG148" s="1359" t="e">
        <f>HLOOKUP($AG$83,anticipado,62,0)</f>
        <v>#N/A</v>
      </c>
      <c r="AI148" s="1360">
        <f t="shared" si="9"/>
        <v>0</v>
      </c>
      <c r="AJ148" s="1377">
        <f t="shared" si="25"/>
        <v>61</v>
      </c>
      <c r="AK148" s="1378">
        <f t="shared" si="10"/>
        <v>0</v>
      </c>
      <c r="AL148" s="1378">
        <f t="shared" si="26"/>
        <v>0</v>
      </c>
      <c r="AM148" s="1378">
        <f>MIN(AN147+AK148,AM147*(1+$AK$83))</f>
        <v>0</v>
      </c>
      <c r="AN148" s="1363">
        <f t="shared" si="11"/>
        <v>1000000</v>
      </c>
      <c r="AO148" s="1364"/>
      <c r="AP148" s="1364"/>
      <c r="AQ148" s="1379">
        <f t="shared" si="27"/>
        <v>61</v>
      </c>
      <c r="AR148" s="1380">
        <f t="shared" si="12"/>
        <v>0</v>
      </c>
      <c r="AS148" s="1380">
        <f t="shared" si="2"/>
        <v>8543.2677227072418</v>
      </c>
      <c r="AT148" s="1380">
        <f>MIN(AU147+AR148,AT147*(1+$AR$83))</f>
        <v>8543.2677227072418</v>
      </c>
      <c r="AU148" s="1363">
        <f t="shared" si="23"/>
        <v>478860.66891485825</v>
      </c>
    </row>
    <row r="149" spans="1:47">
      <c r="A149" s="1118">
        <f t="shared" ca="1" si="0"/>
        <v>5</v>
      </c>
      <c r="B149" s="1351">
        <f t="shared" si="3"/>
        <v>0</v>
      </c>
      <c r="C149" s="2143">
        <f t="shared" si="13"/>
        <v>0</v>
      </c>
      <c r="D149" s="2144">
        <f t="shared" si="14"/>
        <v>0</v>
      </c>
      <c r="E149" s="2145">
        <f t="shared" si="4"/>
        <v>0</v>
      </c>
      <c r="F149" s="2145">
        <f t="shared" si="29"/>
        <v>0</v>
      </c>
      <c r="G149" s="2145">
        <f t="shared" si="30"/>
        <v>0</v>
      </c>
      <c r="H149" s="2145">
        <f>IF(N148&lt;0.01,0,IF(Adm!$S$4=Adm!$S$8,0,N148*Adm!$V$4))</f>
        <v>0</v>
      </c>
      <c r="I149" s="2145">
        <f>IF(N148&lt;0.01,0,IF(Adm!$S$5=Adm!$S$8,0,Adm!$AA$11*Adm!$X$4))</f>
        <v>0</v>
      </c>
      <c r="J149" s="2145">
        <f>IF(N148&lt;0.01,0,Adm!$Q$4*1.16)</f>
        <v>0</v>
      </c>
      <c r="K149" s="2145">
        <f>IF(N148&lt;0.01,0,IF(Adm!$O$4&gt;0,E149*Adm!$O$4,0))</f>
        <v>0</v>
      </c>
      <c r="L149" s="2145">
        <f t="shared" si="5"/>
        <v>0</v>
      </c>
      <c r="M149" s="2145">
        <f>IF(Adm!$G$4="si",MIN(N148+E149+H149+I149+J149-L149,Z149),0)</f>
        <v>0</v>
      </c>
      <c r="N149" s="2145">
        <f t="shared" si="6"/>
        <v>0</v>
      </c>
      <c r="O149" s="2146"/>
      <c r="P149" s="1101"/>
      <c r="V149" s="1352">
        <f t="shared" si="7"/>
        <v>2</v>
      </c>
      <c r="W149" s="1367">
        <f>IF(V149=1,Cal!$AB$127,0)</f>
        <v>0</v>
      </c>
      <c r="Y149" s="1368">
        <f t="shared" si="15"/>
        <v>0</v>
      </c>
      <c r="Z149" s="1369">
        <f t="shared" ca="1" si="8"/>
        <v>0</v>
      </c>
      <c r="AB149" s="1375">
        <f t="shared" si="16"/>
        <v>0</v>
      </c>
      <c r="AC149" s="1373">
        <f t="shared" si="17"/>
        <v>0</v>
      </c>
      <c r="AD149" s="1373">
        <f t="shared" si="24"/>
        <v>0</v>
      </c>
      <c r="AE149" s="1373">
        <f t="shared" si="18"/>
        <v>0</v>
      </c>
      <c r="AF149" s="1371">
        <f t="shared" si="19"/>
        <v>0</v>
      </c>
      <c r="AG149" s="1359" t="e">
        <f>HLOOKUP($AG$83,anticipado,63,0)</f>
        <v>#N/A</v>
      </c>
      <c r="AI149" s="1360">
        <f t="shared" si="9"/>
        <v>0</v>
      </c>
      <c r="AJ149" s="1361">
        <f t="shared" si="25"/>
        <v>62</v>
      </c>
      <c r="AK149" s="1362">
        <f t="shared" si="10"/>
        <v>0</v>
      </c>
      <c r="AL149" s="1362">
        <f t="shared" si="26"/>
        <v>0</v>
      </c>
      <c r="AM149" s="1362">
        <f t="shared" si="21"/>
        <v>0</v>
      </c>
      <c r="AN149" s="1363">
        <f t="shared" si="11"/>
        <v>1000000</v>
      </c>
      <c r="AO149" s="1364"/>
      <c r="AP149" s="1364"/>
      <c r="AQ149" s="1361">
        <f t="shared" si="27"/>
        <v>62</v>
      </c>
      <c r="AR149" s="1362">
        <f t="shared" si="12"/>
        <v>0</v>
      </c>
      <c r="AS149" s="1362">
        <f t="shared" si="2"/>
        <v>8543.2677227072418</v>
      </c>
      <c r="AT149" s="1362">
        <f t="shared" ref="AT149:AT159" si="34">MIN(AU148+AR149,AT148)</f>
        <v>8543.2677227072418</v>
      </c>
      <c r="AU149" s="1363">
        <f t="shared" si="23"/>
        <v>470317.40119215101</v>
      </c>
    </row>
    <row r="150" spans="1:47">
      <c r="A150" s="1118">
        <f t="shared" ca="1" si="0"/>
        <v>6</v>
      </c>
      <c r="B150" s="1351">
        <f t="shared" si="3"/>
        <v>0</v>
      </c>
      <c r="C150" s="2143">
        <f t="shared" si="13"/>
        <v>0</v>
      </c>
      <c r="D150" s="2144">
        <f t="shared" si="14"/>
        <v>0</v>
      </c>
      <c r="E150" s="2145">
        <f t="shared" si="4"/>
        <v>0</v>
      </c>
      <c r="F150" s="2145">
        <f t="shared" si="29"/>
        <v>0</v>
      </c>
      <c r="G150" s="2145">
        <f t="shared" si="30"/>
        <v>0</v>
      </c>
      <c r="H150" s="2145">
        <f>IF(N149&lt;0.01,0,IF(Adm!$S$4=Adm!$S$8,0,N149*Adm!$V$4))</f>
        <v>0</v>
      </c>
      <c r="I150" s="2145">
        <f>IF(N149&lt;0.01,0,IF(Adm!$S$5=Adm!$S$8,0,Adm!$AA$11*Adm!$X$4))</f>
        <v>0</v>
      </c>
      <c r="J150" s="2145">
        <f>IF(N149&lt;0.01,0,Adm!$Q$4*1.16)</f>
        <v>0</v>
      </c>
      <c r="K150" s="2145">
        <f>IF(N149&lt;0.01,0,IF(Adm!$O$4&gt;0,E150*Adm!$O$4,0))</f>
        <v>0</v>
      </c>
      <c r="L150" s="2145">
        <f t="shared" si="5"/>
        <v>0</v>
      </c>
      <c r="M150" s="2145">
        <f>IF(Adm!$G$4="si",MIN(N149+E150+H150+I150+J150-L150,Z150),0)</f>
        <v>0</v>
      </c>
      <c r="N150" s="2145">
        <f t="shared" si="6"/>
        <v>0</v>
      </c>
      <c r="O150" s="2146"/>
      <c r="P150" s="1101"/>
      <c r="V150" s="1352">
        <f t="shared" si="7"/>
        <v>3</v>
      </c>
      <c r="W150" s="1367">
        <f>IF(V150=1,Cal!$AB$127,0)</f>
        <v>0</v>
      </c>
      <c r="Y150" s="1368">
        <f t="shared" si="15"/>
        <v>0</v>
      </c>
      <c r="Z150" s="1369">
        <f t="shared" ca="1" si="8"/>
        <v>0</v>
      </c>
      <c r="AB150" s="1375">
        <f t="shared" si="16"/>
        <v>0</v>
      </c>
      <c r="AC150" s="1373">
        <f t="shared" si="17"/>
        <v>0</v>
      </c>
      <c r="AD150" s="1373">
        <f t="shared" si="24"/>
        <v>0</v>
      </c>
      <c r="AE150" s="1373">
        <f t="shared" si="18"/>
        <v>0</v>
      </c>
      <c r="AF150" s="1371">
        <f t="shared" si="19"/>
        <v>0</v>
      </c>
      <c r="AG150" s="1359" t="e">
        <f>HLOOKUP($AG$83,anticipado,64,0)</f>
        <v>#N/A</v>
      </c>
      <c r="AI150" s="1360">
        <f t="shared" si="9"/>
        <v>0</v>
      </c>
      <c r="AJ150" s="1361">
        <f t="shared" si="25"/>
        <v>63</v>
      </c>
      <c r="AK150" s="1362">
        <f t="shared" si="10"/>
        <v>0</v>
      </c>
      <c r="AL150" s="1362">
        <f t="shared" si="26"/>
        <v>0</v>
      </c>
      <c r="AM150" s="1362">
        <f t="shared" si="21"/>
        <v>0</v>
      </c>
      <c r="AN150" s="1363">
        <f t="shared" si="11"/>
        <v>1000000</v>
      </c>
      <c r="AO150" s="1364"/>
      <c r="AP150" s="1364"/>
      <c r="AQ150" s="1361">
        <f t="shared" si="27"/>
        <v>63</v>
      </c>
      <c r="AR150" s="1362">
        <f t="shared" si="12"/>
        <v>0</v>
      </c>
      <c r="AS150" s="1362">
        <f t="shared" si="2"/>
        <v>8543.2677227072418</v>
      </c>
      <c r="AT150" s="1362">
        <f t="shared" si="34"/>
        <v>8543.2677227072418</v>
      </c>
      <c r="AU150" s="1363">
        <f t="shared" si="23"/>
        <v>461774.13346944377</v>
      </c>
    </row>
    <row r="151" spans="1:47">
      <c r="A151" s="1118">
        <f t="shared" ca="1" si="0"/>
        <v>7</v>
      </c>
      <c r="B151" s="1351">
        <f t="shared" si="3"/>
        <v>0</v>
      </c>
      <c r="C151" s="2143">
        <f t="shared" si="13"/>
        <v>0</v>
      </c>
      <c r="D151" s="2144">
        <f t="shared" si="14"/>
        <v>0</v>
      </c>
      <c r="E151" s="2145">
        <f t="shared" si="4"/>
        <v>0</v>
      </c>
      <c r="F151" s="2145">
        <f t="shared" si="29"/>
        <v>0</v>
      </c>
      <c r="G151" s="2145">
        <f t="shared" si="30"/>
        <v>0</v>
      </c>
      <c r="H151" s="2145">
        <f>IF(N150&lt;0.01,0,IF(Adm!$S$4=Adm!$S$8,0,N150*Adm!$V$4))</f>
        <v>0</v>
      </c>
      <c r="I151" s="2145">
        <f>IF(N150&lt;0.01,0,IF(Adm!$S$5=Adm!$S$8,0,Adm!$AA$11*Adm!$X$4))</f>
        <v>0</v>
      </c>
      <c r="J151" s="2145">
        <f>IF(N150&lt;0.01,0,Adm!$Q$4*1.16)</f>
        <v>0</v>
      </c>
      <c r="K151" s="2145">
        <f>IF(N150&lt;0.01,0,IF(Adm!$O$4&gt;0,E151*Adm!$O$4,0))</f>
        <v>0</v>
      </c>
      <c r="L151" s="2145">
        <f t="shared" si="5"/>
        <v>0</v>
      </c>
      <c r="M151" s="2145">
        <f>IF(Adm!$G$4="si",MIN(N150+E151+H151+I151+J151-L151,Z151),0)</f>
        <v>0</v>
      </c>
      <c r="N151" s="2145">
        <f t="shared" si="6"/>
        <v>0</v>
      </c>
      <c r="O151" s="2146"/>
      <c r="P151" s="1101"/>
      <c r="V151" s="1352">
        <f t="shared" si="7"/>
        <v>4</v>
      </c>
      <c r="W151" s="1367">
        <f>IF(V151=1,Cal!$AB$127,0)</f>
        <v>0</v>
      </c>
      <c r="Y151" s="1368">
        <f t="shared" si="15"/>
        <v>0</v>
      </c>
      <c r="Z151" s="1369">
        <f t="shared" ca="1" si="8"/>
        <v>0</v>
      </c>
      <c r="AB151" s="1375">
        <f t="shared" si="16"/>
        <v>0</v>
      </c>
      <c r="AC151" s="1373">
        <f t="shared" si="17"/>
        <v>0</v>
      </c>
      <c r="AD151" s="1373">
        <f t="shared" si="24"/>
        <v>0</v>
      </c>
      <c r="AE151" s="1373">
        <f t="shared" si="18"/>
        <v>0</v>
      </c>
      <c r="AF151" s="1371">
        <f t="shared" si="19"/>
        <v>0</v>
      </c>
      <c r="AG151" s="1359" t="e">
        <f>HLOOKUP($AG$83,anticipado,65,0)</f>
        <v>#N/A</v>
      </c>
      <c r="AI151" s="1360">
        <f t="shared" si="9"/>
        <v>0</v>
      </c>
      <c r="AJ151" s="1361">
        <f t="shared" si="25"/>
        <v>64</v>
      </c>
      <c r="AK151" s="1362">
        <f t="shared" si="10"/>
        <v>0</v>
      </c>
      <c r="AL151" s="1362">
        <f t="shared" si="26"/>
        <v>0</v>
      </c>
      <c r="AM151" s="1362">
        <f t="shared" si="21"/>
        <v>0</v>
      </c>
      <c r="AN151" s="1363">
        <f t="shared" si="11"/>
        <v>1000000</v>
      </c>
      <c r="AO151" s="1364"/>
      <c r="AP151" s="1364"/>
      <c r="AQ151" s="1361">
        <f t="shared" si="27"/>
        <v>64</v>
      </c>
      <c r="AR151" s="1362">
        <f t="shared" si="12"/>
        <v>0</v>
      </c>
      <c r="AS151" s="1362">
        <f t="shared" si="2"/>
        <v>8543.2677227072418</v>
      </c>
      <c r="AT151" s="1362">
        <f t="shared" si="34"/>
        <v>8543.2677227072418</v>
      </c>
      <c r="AU151" s="1363">
        <f t="shared" si="23"/>
        <v>453230.86574673653</v>
      </c>
    </row>
    <row r="152" spans="1:47">
      <c r="A152" s="1118">
        <f t="shared" ref="A152:A215" ca="1" si="35">IF(A151=12,1,A151+1)</f>
        <v>8</v>
      </c>
      <c r="B152" s="1351">
        <f t="shared" si="3"/>
        <v>0</v>
      </c>
      <c r="C152" s="2143">
        <f t="shared" si="13"/>
        <v>0</v>
      </c>
      <c r="D152" s="2144">
        <f t="shared" si="14"/>
        <v>0</v>
      </c>
      <c r="E152" s="2145">
        <f t="shared" si="4"/>
        <v>0</v>
      </c>
      <c r="F152" s="2145">
        <f t="shared" si="29"/>
        <v>0</v>
      </c>
      <c r="G152" s="2145">
        <f t="shared" si="30"/>
        <v>0</v>
      </c>
      <c r="H152" s="2145">
        <f>IF(N151&lt;0.01,0,IF(Adm!$S$4=Adm!$S$8,0,N151*Adm!$V$4))</f>
        <v>0</v>
      </c>
      <c r="I152" s="2145">
        <f>IF(N151&lt;0.01,0,IF(Adm!$S$5=Adm!$S$8,0,Adm!$AA$11*Adm!$X$4))</f>
        <v>0</v>
      </c>
      <c r="J152" s="2145">
        <f>IF(N151&lt;0.01,0,Adm!$Q$4*1.16)</f>
        <v>0</v>
      </c>
      <c r="K152" s="2145">
        <f>IF(N151&lt;0.01,0,IF(Adm!$O$4&gt;0,E152*Adm!$O$4,0))</f>
        <v>0</v>
      </c>
      <c r="L152" s="2145">
        <f t="shared" si="5"/>
        <v>0</v>
      </c>
      <c r="M152" s="2145">
        <f>IF(Adm!$G$4="si",MIN(N151+E152+H152+I152+J152-L152,Z152),0)</f>
        <v>0</v>
      </c>
      <c r="N152" s="2145">
        <f t="shared" si="6"/>
        <v>0</v>
      </c>
      <c r="O152" s="2146"/>
      <c r="P152" s="1101"/>
      <c r="V152" s="1352">
        <f t="shared" si="7"/>
        <v>5</v>
      </c>
      <c r="W152" s="1367">
        <f>IF(V152=1,Cal!$AB$127,0)</f>
        <v>0</v>
      </c>
      <c r="Y152" s="1368">
        <f t="shared" si="15"/>
        <v>0</v>
      </c>
      <c r="Z152" s="1369">
        <f t="shared" ca="1" si="8"/>
        <v>0</v>
      </c>
      <c r="AB152" s="1375">
        <f t="shared" si="16"/>
        <v>0</v>
      </c>
      <c r="AC152" s="1373">
        <f t="shared" si="17"/>
        <v>0</v>
      </c>
      <c r="AD152" s="1373">
        <f t="shared" si="24"/>
        <v>0</v>
      </c>
      <c r="AE152" s="1373">
        <f t="shared" si="18"/>
        <v>0</v>
      </c>
      <c r="AF152" s="1371">
        <f t="shared" ref="AF152:AF215" si="36">IF(AND($AD$82=2,O151&lt;0.01),0,IF($AD$82=2,(N151*AG152)+E152,0))</f>
        <v>0</v>
      </c>
      <c r="AG152" s="1359" t="e">
        <f>HLOOKUP($AG$83,anticipado,66,0)</f>
        <v>#N/A</v>
      </c>
      <c r="AI152" s="1360">
        <f t="shared" si="9"/>
        <v>0</v>
      </c>
      <c r="AJ152" s="1361">
        <f t="shared" si="25"/>
        <v>65</v>
      </c>
      <c r="AK152" s="1362">
        <f t="shared" si="10"/>
        <v>0</v>
      </c>
      <c r="AL152" s="1362">
        <f t="shared" si="26"/>
        <v>0</v>
      </c>
      <c r="AM152" s="1362">
        <f t="shared" si="21"/>
        <v>0</v>
      </c>
      <c r="AN152" s="1363">
        <f t="shared" si="11"/>
        <v>1000000</v>
      </c>
      <c r="AO152" s="1364"/>
      <c r="AP152" s="1364"/>
      <c r="AQ152" s="1361">
        <f t="shared" si="27"/>
        <v>65</v>
      </c>
      <c r="AR152" s="1362">
        <f t="shared" si="12"/>
        <v>0</v>
      </c>
      <c r="AS152" s="1362">
        <f t="shared" ref="AS152:AS215" si="37">AT152-AR152</f>
        <v>8543.2677227072418</v>
      </c>
      <c r="AT152" s="1362">
        <f t="shared" si="34"/>
        <v>8543.2677227072418</v>
      </c>
      <c r="AU152" s="1363">
        <f t="shared" si="23"/>
        <v>444687.59802402928</v>
      </c>
    </row>
    <row r="153" spans="1:47">
      <c r="A153" s="1118">
        <f t="shared" ca="1" si="35"/>
        <v>9</v>
      </c>
      <c r="B153" s="1351">
        <f t="shared" ref="B153:B216" si="38">IF(N152&gt;0,B152-1,0)</f>
        <v>0</v>
      </c>
      <c r="C153" s="2143">
        <f t="shared" si="13"/>
        <v>0</v>
      </c>
      <c r="D153" s="2144">
        <f t="shared" si="14"/>
        <v>0</v>
      </c>
      <c r="E153" s="2145">
        <f t="shared" ref="E153:E216" si="39">IF(N152&lt;0.01,0,N152*D153*30.4166/360)</f>
        <v>0</v>
      </c>
      <c r="F153" s="2145">
        <f t="shared" si="29"/>
        <v>0</v>
      </c>
      <c r="G153" s="2145">
        <f t="shared" si="30"/>
        <v>0</v>
      </c>
      <c r="H153" s="2145">
        <f>IF(N152&lt;0.01,0,IF(Adm!$S$4=Adm!$S$8,0,N152*Adm!$V$4))</f>
        <v>0</v>
      </c>
      <c r="I153" s="2145">
        <f>IF(N152&lt;0.01,0,IF(Adm!$S$5=Adm!$S$8,0,Adm!$AA$11*Adm!$X$4))</f>
        <v>0</v>
      </c>
      <c r="J153" s="2145">
        <f>IF(N152&lt;0.01,0,Adm!$Q$4*1.16)</f>
        <v>0</v>
      </c>
      <c r="K153" s="2145">
        <f>IF(N152&lt;0.01,0,IF(Adm!$O$4&gt;0,E153*Adm!$O$4,0))</f>
        <v>0</v>
      </c>
      <c r="L153" s="2145">
        <f t="shared" ref="L153:L216" si="40">G153+H153+I153+J153+K153</f>
        <v>0</v>
      </c>
      <c r="M153" s="2145">
        <f>IF(Adm!$G$4="si",MIN(N152+E153+H153+I153+J153-L153,Z153),0)</f>
        <v>0</v>
      </c>
      <c r="N153" s="2145">
        <f t="shared" ref="N153:N216" si="41">IF(N152&lt;0.001,0,+N152-F153-M153-O153)</f>
        <v>0</v>
      </c>
      <c r="O153" s="2146"/>
      <c r="P153" s="1101"/>
      <c r="V153" s="1352">
        <f t="shared" ref="V153:V216" si="42">IF(V152=12,1,V152+1)</f>
        <v>6</v>
      </c>
      <c r="W153" s="1367">
        <f>IF(V153=1,Cal!$AB$127,0)</f>
        <v>0</v>
      </c>
      <c r="Y153" s="1368">
        <f t="shared" si="15"/>
        <v>0</v>
      </c>
      <c r="Z153" s="1369">
        <f t="shared" ref="Z153:Z216" ca="1" si="43">IF(MOD(A153,2)=0,Y153*0.05*2,0)</f>
        <v>0</v>
      </c>
      <c r="AB153" s="1375">
        <f t="shared" si="16"/>
        <v>0</v>
      </c>
      <c r="AC153" s="1373">
        <f t="shared" si="17"/>
        <v>0</v>
      </c>
      <c r="AD153" s="1373">
        <f t="shared" si="24"/>
        <v>0</v>
      </c>
      <c r="AE153" s="1373">
        <f t="shared" si="18"/>
        <v>0</v>
      </c>
      <c r="AF153" s="1371">
        <f t="shared" si="36"/>
        <v>0</v>
      </c>
      <c r="AG153" s="1359" t="e">
        <f>HLOOKUP($AG$83,anticipado,67,0)</f>
        <v>#N/A</v>
      </c>
      <c r="AI153" s="1360">
        <f t="shared" ref="AI153:AI216" si="44">AL153/AN152</f>
        <v>0</v>
      </c>
      <c r="AJ153" s="1361">
        <f t="shared" si="25"/>
        <v>66</v>
      </c>
      <c r="AK153" s="1362">
        <f t="shared" ref="AK153:AK216" si="45">AN152*$AK$81*30.4166/360</f>
        <v>0</v>
      </c>
      <c r="AL153" s="1362">
        <f t="shared" si="26"/>
        <v>0</v>
      </c>
      <c r="AM153" s="1362">
        <f t="shared" si="21"/>
        <v>0</v>
      </c>
      <c r="AN153" s="1363">
        <f t="shared" ref="AN153:AN216" si="46">IF(AN152&lt;0.001,0,AN152-AL153-AO153)</f>
        <v>1000000</v>
      </c>
      <c r="AO153" s="1364"/>
      <c r="AP153" s="1364"/>
      <c r="AQ153" s="1361">
        <f t="shared" si="27"/>
        <v>66</v>
      </c>
      <c r="AR153" s="1362">
        <f t="shared" ref="AR153:AR216" si="47">AU152*$AR$81*30.4166/360</f>
        <v>0</v>
      </c>
      <c r="AS153" s="1362">
        <f t="shared" si="37"/>
        <v>8543.2677227072418</v>
      </c>
      <c r="AT153" s="1362">
        <f t="shared" si="34"/>
        <v>8543.2677227072418</v>
      </c>
      <c r="AU153" s="1363">
        <f t="shared" si="23"/>
        <v>436144.33030132204</v>
      </c>
    </row>
    <row r="154" spans="1:47">
      <c r="A154" s="1118">
        <f t="shared" ca="1" si="35"/>
        <v>10</v>
      </c>
      <c r="B154" s="1351">
        <f t="shared" si="38"/>
        <v>0</v>
      </c>
      <c r="C154" s="2143">
        <f t="shared" ref="C154:C217" si="48">IF(N153&lt;0.01,0,C153+1)</f>
        <v>0</v>
      </c>
      <c r="D154" s="2144">
        <f t="shared" ref="D154:D217" si="49">IF(N153&lt;0.01,0,D153)</f>
        <v>0</v>
      </c>
      <c r="E154" s="2145">
        <f t="shared" si="39"/>
        <v>0</v>
      </c>
      <c r="F154" s="2145">
        <f t="shared" si="29"/>
        <v>0</v>
      </c>
      <c r="G154" s="2145">
        <f t="shared" si="30"/>
        <v>0</v>
      </c>
      <c r="H154" s="2145">
        <f>IF(N153&lt;0.01,0,IF(Adm!$S$4=Adm!$S$8,0,N153*Adm!$V$4))</f>
        <v>0</v>
      </c>
      <c r="I154" s="2145">
        <f>IF(N153&lt;0.01,0,IF(Adm!$S$5=Adm!$S$8,0,Adm!$AA$11*Adm!$X$4))</f>
        <v>0</v>
      </c>
      <c r="J154" s="2145">
        <f>IF(N153&lt;0.01,0,Adm!$Q$4*1.16)</f>
        <v>0</v>
      </c>
      <c r="K154" s="2145">
        <f>IF(N153&lt;0.01,0,IF(Adm!$O$4&gt;0,E154*Adm!$O$4,0))</f>
        <v>0</v>
      </c>
      <c r="L154" s="2145">
        <f t="shared" si="40"/>
        <v>0</v>
      </c>
      <c r="M154" s="2145">
        <f>IF(Adm!$G$4="si",MIN(N153+E154+H154+I154+J154-L154,Z154),0)</f>
        <v>0</v>
      </c>
      <c r="N154" s="2145">
        <f t="shared" si="41"/>
        <v>0</v>
      </c>
      <c r="O154" s="2146"/>
      <c r="P154" s="1101"/>
      <c r="V154" s="1352">
        <f t="shared" si="42"/>
        <v>7</v>
      </c>
      <c r="W154" s="1367">
        <f>IF(V154=1,Cal!$AB$127,0)</f>
        <v>0</v>
      </c>
      <c r="Y154" s="1368">
        <f t="shared" ref="Y154:Y217" si="50">Y153</f>
        <v>0</v>
      </c>
      <c r="Z154" s="1369">
        <f t="shared" ca="1" si="43"/>
        <v>0</v>
      </c>
      <c r="AB154" s="1375">
        <f t="shared" ref="AB154:AB217" si="51">IF(AC154&gt;1,AC154,IF(AE154&gt;1,AE154,0))</f>
        <v>0</v>
      </c>
      <c r="AC154" s="1373">
        <f t="shared" ref="AC154:AC217" si="52">IF(AND($AD$82=1,O153&gt;0.1),AD154,0)</f>
        <v>0</v>
      </c>
      <c r="AD154" s="1373">
        <f t="shared" si="24"/>
        <v>0</v>
      </c>
      <c r="AE154" s="1373">
        <f t="shared" ref="AE154:AE217" si="53">IF(AND(AF154&gt;0.01,$AB$82=2),AF154,0)</f>
        <v>0</v>
      </c>
      <c r="AF154" s="1371">
        <f t="shared" si="36"/>
        <v>0</v>
      </c>
      <c r="AG154" s="1359" t="e">
        <f>HLOOKUP($AG$83,anticipado,68,0)</f>
        <v>#N/A</v>
      </c>
      <c r="AI154" s="1360">
        <f t="shared" si="44"/>
        <v>0</v>
      </c>
      <c r="AJ154" s="1361">
        <f t="shared" si="25"/>
        <v>67</v>
      </c>
      <c r="AK154" s="1362">
        <f t="shared" si="45"/>
        <v>0</v>
      </c>
      <c r="AL154" s="1362">
        <f t="shared" si="26"/>
        <v>0</v>
      </c>
      <c r="AM154" s="1362">
        <f t="shared" ref="AM154:AM217" si="54">MIN(AN153+AK154,AM153)</f>
        <v>0</v>
      </c>
      <c r="AN154" s="1363">
        <f t="shared" si="46"/>
        <v>1000000</v>
      </c>
      <c r="AO154" s="1364"/>
      <c r="AP154" s="1364"/>
      <c r="AQ154" s="1361">
        <f t="shared" si="27"/>
        <v>67</v>
      </c>
      <c r="AR154" s="1362">
        <f t="shared" si="47"/>
        <v>0</v>
      </c>
      <c r="AS154" s="1362">
        <f t="shared" si="37"/>
        <v>8543.2677227072418</v>
      </c>
      <c r="AT154" s="1362">
        <f t="shared" si="34"/>
        <v>8543.2677227072418</v>
      </c>
      <c r="AU154" s="1363">
        <f t="shared" ref="AU154:AU217" si="55">IF(AU153&lt;0.001,0,AU153-AS154)</f>
        <v>427601.0625786148</v>
      </c>
    </row>
    <row r="155" spans="1:47">
      <c r="A155" s="1118">
        <f t="shared" ca="1" si="35"/>
        <v>11</v>
      </c>
      <c r="B155" s="1351">
        <f t="shared" si="38"/>
        <v>0</v>
      </c>
      <c r="C155" s="2143">
        <f t="shared" si="48"/>
        <v>0</v>
      </c>
      <c r="D155" s="2144">
        <f t="shared" si="49"/>
        <v>0</v>
      </c>
      <c r="E155" s="2145">
        <f t="shared" si="39"/>
        <v>0</v>
      </c>
      <c r="F155" s="2145">
        <f t="shared" si="29"/>
        <v>0</v>
      </c>
      <c r="G155" s="2145">
        <f t="shared" si="30"/>
        <v>0</v>
      </c>
      <c r="H155" s="2145">
        <f>IF(N154&lt;0.01,0,IF(Adm!$S$4=Adm!$S$8,0,N154*Adm!$V$4))</f>
        <v>0</v>
      </c>
      <c r="I155" s="2145">
        <f>IF(N154&lt;0.01,0,IF(Adm!$S$5=Adm!$S$8,0,Adm!$AA$11*Adm!$X$4))</f>
        <v>0</v>
      </c>
      <c r="J155" s="2145">
        <f>IF(N154&lt;0.01,0,Adm!$Q$4*1.16)</f>
        <v>0</v>
      </c>
      <c r="K155" s="2145">
        <f>IF(N154&lt;0.01,0,IF(Adm!$O$4&gt;0,E155*Adm!$O$4,0))</f>
        <v>0</v>
      </c>
      <c r="L155" s="2145">
        <f t="shared" si="40"/>
        <v>0</v>
      </c>
      <c r="M155" s="2145">
        <f>IF(Adm!$G$4="si",MIN(N154+E155+H155+I155+J155-L155,Z155),0)</f>
        <v>0</v>
      </c>
      <c r="N155" s="2145">
        <f t="shared" si="41"/>
        <v>0</v>
      </c>
      <c r="O155" s="2146"/>
      <c r="P155" s="1101"/>
      <c r="V155" s="1352">
        <f t="shared" si="42"/>
        <v>8</v>
      </c>
      <c r="W155" s="1367">
        <f>IF(V155=1,Cal!$AB$127,0)</f>
        <v>0</v>
      </c>
      <c r="Y155" s="1368">
        <f t="shared" si="50"/>
        <v>0</v>
      </c>
      <c r="Z155" s="1369">
        <f t="shared" ca="1" si="43"/>
        <v>0</v>
      </c>
      <c r="AB155" s="1375">
        <f t="shared" si="51"/>
        <v>0</v>
      </c>
      <c r="AC155" s="1373">
        <f t="shared" si="52"/>
        <v>0</v>
      </c>
      <c r="AD155" s="1373">
        <f t="shared" ref="AD155:AD218" si="56">IF(AND($AD$82=1,$AB$82=2),PMT((($D$88/360)*(365/12)),B154,-N154),0)</f>
        <v>0</v>
      </c>
      <c r="AE155" s="1373">
        <f t="shared" si="53"/>
        <v>0</v>
      </c>
      <c r="AF155" s="1371">
        <f t="shared" si="36"/>
        <v>0</v>
      </c>
      <c r="AG155" s="1359" t="e">
        <f>HLOOKUP($AG$83,anticipado,69,0)</f>
        <v>#N/A</v>
      </c>
      <c r="AI155" s="1360">
        <f t="shared" si="44"/>
        <v>0</v>
      </c>
      <c r="AJ155" s="1361">
        <f t="shared" ref="AJ155:AJ218" si="57">IF(AN154&lt;=0,"",AJ154+1)</f>
        <v>68</v>
      </c>
      <c r="AK155" s="1362">
        <f t="shared" si="45"/>
        <v>0</v>
      </c>
      <c r="AL155" s="1362">
        <f t="shared" ref="AL155:AL218" si="58">AM155-AK155</f>
        <v>0</v>
      </c>
      <c r="AM155" s="1362">
        <f t="shared" si="54"/>
        <v>0</v>
      </c>
      <c r="AN155" s="1363">
        <f t="shared" si="46"/>
        <v>1000000</v>
      </c>
      <c r="AO155" s="1364"/>
      <c r="AP155" s="1364"/>
      <c r="AQ155" s="1361">
        <f t="shared" ref="AQ155:AQ218" si="59">IF(AU154&lt;=0,"",AQ154+1)</f>
        <v>68</v>
      </c>
      <c r="AR155" s="1362">
        <f t="shared" si="47"/>
        <v>0</v>
      </c>
      <c r="AS155" s="1362">
        <f t="shared" si="37"/>
        <v>8543.2677227072418</v>
      </c>
      <c r="AT155" s="1362">
        <f t="shared" si="34"/>
        <v>8543.2677227072418</v>
      </c>
      <c r="AU155" s="1363">
        <f t="shared" si="55"/>
        <v>419057.79485590756</v>
      </c>
    </row>
    <row r="156" spans="1:47">
      <c r="A156" s="1118">
        <f t="shared" ca="1" si="35"/>
        <v>12</v>
      </c>
      <c r="B156" s="1351">
        <f t="shared" si="38"/>
        <v>0</v>
      </c>
      <c r="C156" s="2143">
        <f t="shared" si="48"/>
        <v>0</v>
      </c>
      <c r="D156" s="2144">
        <f t="shared" si="49"/>
        <v>0</v>
      </c>
      <c r="E156" s="2145">
        <f t="shared" si="39"/>
        <v>0</v>
      </c>
      <c r="F156" s="2145">
        <f t="shared" si="29"/>
        <v>0</v>
      </c>
      <c r="G156" s="2145">
        <f t="shared" si="30"/>
        <v>0</v>
      </c>
      <c r="H156" s="2145">
        <f>IF(N155&lt;0.01,0,IF(Adm!$S$4=Adm!$S$8,0,N155*Adm!$V$4))</f>
        <v>0</v>
      </c>
      <c r="I156" s="2145">
        <f>IF(N155&lt;0.01,0,IF(Adm!$S$5=Adm!$S$8,0,Adm!$AA$11*Adm!$X$4))</f>
        <v>0</v>
      </c>
      <c r="J156" s="2145">
        <f>IF(N155&lt;0.01,0,Adm!$Q$4*1.16)</f>
        <v>0</v>
      </c>
      <c r="K156" s="2145">
        <f>IF(N155&lt;0.01,0,IF(Adm!$O$4&gt;0,E156*Adm!$O$4,0))</f>
        <v>0</v>
      </c>
      <c r="L156" s="2145">
        <f t="shared" si="40"/>
        <v>0</v>
      </c>
      <c r="M156" s="2145">
        <f>IF(Adm!$G$4="si",MIN(N155+E156+H156+I156+J156-L156,Z156),0)</f>
        <v>0</v>
      </c>
      <c r="N156" s="2145">
        <f t="shared" si="41"/>
        <v>0</v>
      </c>
      <c r="O156" s="2146"/>
      <c r="P156" s="1101"/>
      <c r="V156" s="1352">
        <f t="shared" si="42"/>
        <v>9</v>
      </c>
      <c r="W156" s="1367">
        <f>IF(V156=1,Cal!$AB$127,0)</f>
        <v>0</v>
      </c>
      <c r="Y156" s="1368">
        <f t="shared" si="50"/>
        <v>0</v>
      </c>
      <c r="Z156" s="1369">
        <f t="shared" ca="1" si="43"/>
        <v>0</v>
      </c>
      <c r="AB156" s="1375">
        <f t="shared" si="51"/>
        <v>0</v>
      </c>
      <c r="AC156" s="1373">
        <f t="shared" si="52"/>
        <v>0</v>
      </c>
      <c r="AD156" s="1373">
        <f t="shared" si="56"/>
        <v>0</v>
      </c>
      <c r="AE156" s="1373">
        <f t="shared" si="53"/>
        <v>0</v>
      </c>
      <c r="AF156" s="1371">
        <f t="shared" si="36"/>
        <v>0</v>
      </c>
      <c r="AG156" s="1359" t="e">
        <f>HLOOKUP($AG$83,anticipado,70,0)</f>
        <v>#N/A</v>
      </c>
      <c r="AI156" s="1360">
        <f t="shared" si="44"/>
        <v>0</v>
      </c>
      <c r="AJ156" s="1361">
        <f t="shared" si="57"/>
        <v>69</v>
      </c>
      <c r="AK156" s="1362">
        <f t="shared" si="45"/>
        <v>0</v>
      </c>
      <c r="AL156" s="1362">
        <f t="shared" si="58"/>
        <v>0</v>
      </c>
      <c r="AM156" s="1362">
        <f t="shared" si="54"/>
        <v>0</v>
      </c>
      <c r="AN156" s="1363">
        <f t="shared" si="46"/>
        <v>1000000</v>
      </c>
      <c r="AO156" s="1364"/>
      <c r="AP156" s="1364"/>
      <c r="AQ156" s="1361">
        <f t="shared" si="59"/>
        <v>69</v>
      </c>
      <c r="AR156" s="1362">
        <f t="shared" si="47"/>
        <v>0</v>
      </c>
      <c r="AS156" s="1362">
        <f t="shared" si="37"/>
        <v>8543.2677227072418</v>
      </c>
      <c r="AT156" s="1362">
        <f t="shared" si="34"/>
        <v>8543.2677227072418</v>
      </c>
      <c r="AU156" s="1363">
        <f t="shared" si="55"/>
        <v>410514.52713320032</v>
      </c>
    </row>
    <row r="157" spans="1:47">
      <c r="A157" s="1118">
        <f t="shared" ca="1" si="35"/>
        <v>1</v>
      </c>
      <c r="B157" s="1351">
        <f t="shared" si="38"/>
        <v>0</v>
      </c>
      <c r="C157" s="2143">
        <f t="shared" si="48"/>
        <v>0</v>
      </c>
      <c r="D157" s="2144">
        <f t="shared" si="49"/>
        <v>0</v>
      </c>
      <c r="E157" s="2145">
        <f t="shared" si="39"/>
        <v>0</v>
      </c>
      <c r="F157" s="2145">
        <f t="shared" si="29"/>
        <v>0</v>
      </c>
      <c r="G157" s="2145">
        <f t="shared" si="30"/>
        <v>0</v>
      </c>
      <c r="H157" s="2145">
        <f>IF(N156&lt;0.01,0,IF(Adm!$S$4=Adm!$S$8,0,N156*Adm!$V$4))</f>
        <v>0</v>
      </c>
      <c r="I157" s="2145">
        <f>IF(N156&lt;0.01,0,IF(Adm!$S$5=Adm!$S$8,0,Adm!$AA$11*Adm!$X$4))</f>
        <v>0</v>
      </c>
      <c r="J157" s="2145">
        <f>IF(N156&lt;0.01,0,Adm!$Q$4*1.16)</f>
        <v>0</v>
      </c>
      <c r="K157" s="2145">
        <f>IF(N156&lt;0.01,0,IF(Adm!$O$4&gt;0,E157*Adm!$O$4,0))</f>
        <v>0</v>
      </c>
      <c r="L157" s="2145">
        <f t="shared" si="40"/>
        <v>0</v>
      </c>
      <c r="M157" s="2145">
        <f>IF(Adm!$G$4="si",MIN(N156+E157+H157+I157+J157-L157,Z157),0)</f>
        <v>0</v>
      </c>
      <c r="N157" s="2145">
        <f t="shared" si="41"/>
        <v>0</v>
      </c>
      <c r="O157" s="2146"/>
      <c r="P157" s="1101"/>
      <c r="V157" s="1352">
        <f t="shared" si="42"/>
        <v>10</v>
      </c>
      <c r="W157" s="1367">
        <f>IF(V157=1,Cal!$AB$127,0)</f>
        <v>0</v>
      </c>
      <c r="Y157" s="1368">
        <f t="shared" si="50"/>
        <v>0</v>
      </c>
      <c r="Z157" s="1369">
        <f t="shared" ca="1" si="43"/>
        <v>0</v>
      </c>
      <c r="AB157" s="1375">
        <f t="shared" si="51"/>
        <v>0</v>
      </c>
      <c r="AC157" s="1373">
        <f t="shared" si="52"/>
        <v>0</v>
      </c>
      <c r="AD157" s="1373">
        <f t="shared" si="56"/>
        <v>0</v>
      </c>
      <c r="AE157" s="1373">
        <f t="shared" si="53"/>
        <v>0</v>
      </c>
      <c r="AF157" s="1371">
        <f t="shared" si="36"/>
        <v>0</v>
      </c>
      <c r="AG157" s="1359" t="e">
        <f>HLOOKUP($AG$83,anticipado,71,0)</f>
        <v>#N/A</v>
      </c>
      <c r="AI157" s="1360">
        <f t="shared" si="44"/>
        <v>0</v>
      </c>
      <c r="AJ157" s="1361">
        <f t="shared" si="57"/>
        <v>70</v>
      </c>
      <c r="AK157" s="1362">
        <f t="shared" si="45"/>
        <v>0</v>
      </c>
      <c r="AL157" s="1362">
        <f t="shared" si="58"/>
        <v>0</v>
      </c>
      <c r="AM157" s="1362">
        <f t="shared" si="54"/>
        <v>0</v>
      </c>
      <c r="AN157" s="1363">
        <f t="shared" si="46"/>
        <v>1000000</v>
      </c>
      <c r="AO157" s="1364"/>
      <c r="AP157" s="1364"/>
      <c r="AQ157" s="1361">
        <f t="shared" si="59"/>
        <v>70</v>
      </c>
      <c r="AR157" s="1362">
        <f t="shared" si="47"/>
        <v>0</v>
      </c>
      <c r="AS157" s="1362">
        <f t="shared" si="37"/>
        <v>8543.2677227072418</v>
      </c>
      <c r="AT157" s="1362">
        <f t="shared" si="34"/>
        <v>8543.2677227072418</v>
      </c>
      <c r="AU157" s="1363">
        <f t="shared" si="55"/>
        <v>401971.25941049308</v>
      </c>
    </row>
    <row r="158" spans="1:47">
      <c r="A158" s="1118">
        <f t="shared" ca="1" si="35"/>
        <v>2</v>
      </c>
      <c r="B158" s="1351">
        <f t="shared" si="38"/>
        <v>0</v>
      </c>
      <c r="C158" s="2143">
        <f t="shared" si="48"/>
        <v>0</v>
      </c>
      <c r="D158" s="2144">
        <f t="shared" si="49"/>
        <v>0</v>
      </c>
      <c r="E158" s="2145">
        <f t="shared" si="39"/>
        <v>0</v>
      </c>
      <c r="F158" s="2145">
        <f t="shared" si="29"/>
        <v>0</v>
      </c>
      <c r="G158" s="2145">
        <f t="shared" si="30"/>
        <v>0</v>
      </c>
      <c r="H158" s="2145">
        <f>IF(N157&lt;0.01,0,IF(Adm!$S$4=Adm!$S$8,0,N157*Adm!$V$4))</f>
        <v>0</v>
      </c>
      <c r="I158" s="2145">
        <f>IF(N157&lt;0.01,0,IF(Adm!$S$5=Adm!$S$8,0,Adm!$AA$11*Adm!$X$4))</f>
        <v>0</v>
      </c>
      <c r="J158" s="2145">
        <f>IF(N157&lt;0.01,0,Adm!$Q$4*1.16)</f>
        <v>0</v>
      </c>
      <c r="K158" s="2145">
        <f>IF(N157&lt;0.01,0,IF(Adm!$O$4&gt;0,E158*Adm!$O$4,0))</f>
        <v>0</v>
      </c>
      <c r="L158" s="2145">
        <f t="shared" si="40"/>
        <v>0</v>
      </c>
      <c r="M158" s="2145">
        <f>IF(Adm!$G$4="si",MIN(N157+E158+H158+I158+J158-L158,Z158),0)</f>
        <v>0</v>
      </c>
      <c r="N158" s="2145">
        <f t="shared" si="41"/>
        <v>0</v>
      </c>
      <c r="O158" s="2146"/>
      <c r="P158" s="1101"/>
      <c r="V158" s="1352">
        <f t="shared" si="42"/>
        <v>11</v>
      </c>
      <c r="W158" s="1367">
        <f>IF(V158=1,Cal!$AB$127,0)</f>
        <v>0</v>
      </c>
      <c r="Y158" s="1368">
        <f t="shared" si="50"/>
        <v>0</v>
      </c>
      <c r="Z158" s="1369">
        <f t="shared" ca="1" si="43"/>
        <v>0</v>
      </c>
      <c r="AB158" s="1375">
        <f t="shared" si="51"/>
        <v>0</v>
      </c>
      <c r="AC158" s="1373">
        <f t="shared" si="52"/>
        <v>0</v>
      </c>
      <c r="AD158" s="1373">
        <f t="shared" si="56"/>
        <v>0</v>
      </c>
      <c r="AE158" s="1373">
        <f t="shared" si="53"/>
        <v>0</v>
      </c>
      <c r="AF158" s="1371">
        <f t="shared" si="36"/>
        <v>0</v>
      </c>
      <c r="AG158" s="1359" t="e">
        <f>HLOOKUP($AG$83,anticipado,72,0)</f>
        <v>#N/A</v>
      </c>
      <c r="AI158" s="1360">
        <f t="shared" si="44"/>
        <v>0</v>
      </c>
      <c r="AJ158" s="1361">
        <f t="shared" si="57"/>
        <v>71</v>
      </c>
      <c r="AK158" s="1362">
        <f t="shared" si="45"/>
        <v>0</v>
      </c>
      <c r="AL158" s="1362">
        <f t="shared" si="58"/>
        <v>0</v>
      </c>
      <c r="AM158" s="1362">
        <f t="shared" si="54"/>
        <v>0</v>
      </c>
      <c r="AN158" s="1363">
        <f t="shared" si="46"/>
        <v>1000000</v>
      </c>
      <c r="AO158" s="1364"/>
      <c r="AP158" s="1364"/>
      <c r="AQ158" s="1361">
        <f t="shared" si="59"/>
        <v>71</v>
      </c>
      <c r="AR158" s="1362">
        <f t="shared" si="47"/>
        <v>0</v>
      </c>
      <c r="AS158" s="1362">
        <f t="shared" si="37"/>
        <v>8543.2677227072418</v>
      </c>
      <c r="AT158" s="1362">
        <f t="shared" si="34"/>
        <v>8543.2677227072418</v>
      </c>
      <c r="AU158" s="1363">
        <f t="shared" si="55"/>
        <v>393427.99168778583</v>
      </c>
    </row>
    <row r="159" spans="1:47">
      <c r="A159" s="1118">
        <f t="shared" ca="1" si="35"/>
        <v>3</v>
      </c>
      <c r="B159" s="1351">
        <f t="shared" si="38"/>
        <v>0</v>
      </c>
      <c r="C159" s="2143">
        <f t="shared" si="48"/>
        <v>0</v>
      </c>
      <c r="D159" s="2144">
        <f t="shared" si="49"/>
        <v>0</v>
      </c>
      <c r="E159" s="2145">
        <f t="shared" si="39"/>
        <v>0</v>
      </c>
      <c r="F159" s="2145">
        <f t="shared" si="29"/>
        <v>0</v>
      </c>
      <c r="G159" s="2145">
        <f t="shared" si="30"/>
        <v>0</v>
      </c>
      <c r="H159" s="2145">
        <f>IF(N158&lt;0.01,0,IF(Adm!$S$4=Adm!$S$8,0,N158*Adm!$V$4))</f>
        <v>0</v>
      </c>
      <c r="I159" s="2145">
        <f>IF(N158&lt;0.01,0,IF(Adm!$S$5=Adm!$S$8,0,Adm!$AA$11*Adm!$X$4))</f>
        <v>0</v>
      </c>
      <c r="J159" s="2145">
        <f>IF(N158&lt;0.01,0,Adm!$Q$4*1.16)</f>
        <v>0</v>
      </c>
      <c r="K159" s="2145">
        <f>IF(N158&lt;0.01,0,IF(Adm!$O$4&gt;0,E159*Adm!$O$4,0))</f>
        <v>0</v>
      </c>
      <c r="L159" s="2145">
        <f t="shared" si="40"/>
        <v>0</v>
      </c>
      <c r="M159" s="2145">
        <f>IF(Adm!$G$4="si",MIN(N158+E159+H159+I159+J159-L159,Z159),0)</f>
        <v>0</v>
      </c>
      <c r="N159" s="2145">
        <f t="shared" si="41"/>
        <v>0</v>
      </c>
      <c r="O159" s="2146"/>
      <c r="P159" s="1101"/>
      <c r="V159" s="1352">
        <f t="shared" si="42"/>
        <v>12</v>
      </c>
      <c r="W159" s="1367">
        <f>IF(V159=1,Cal!$AB$127,0)</f>
        <v>0</v>
      </c>
      <c r="Y159" s="1368">
        <f t="shared" si="50"/>
        <v>0</v>
      </c>
      <c r="Z159" s="1369">
        <f t="shared" ca="1" si="43"/>
        <v>0</v>
      </c>
      <c r="AB159" s="1375">
        <f t="shared" si="51"/>
        <v>0</v>
      </c>
      <c r="AC159" s="1373">
        <f t="shared" si="52"/>
        <v>0</v>
      </c>
      <c r="AD159" s="1373">
        <f t="shared" si="56"/>
        <v>0</v>
      </c>
      <c r="AE159" s="1373">
        <f t="shared" si="53"/>
        <v>0</v>
      </c>
      <c r="AF159" s="1371">
        <f t="shared" si="36"/>
        <v>0</v>
      </c>
      <c r="AG159" s="1359" t="e">
        <f>HLOOKUP($AG$83,anticipado,73,0)</f>
        <v>#N/A</v>
      </c>
      <c r="AI159" s="1360">
        <f t="shared" si="44"/>
        <v>0</v>
      </c>
      <c r="AJ159" s="1361">
        <f t="shared" si="57"/>
        <v>72</v>
      </c>
      <c r="AK159" s="1362">
        <f t="shared" si="45"/>
        <v>0</v>
      </c>
      <c r="AL159" s="1362">
        <f t="shared" si="58"/>
        <v>0</v>
      </c>
      <c r="AM159" s="1362">
        <f t="shared" si="54"/>
        <v>0</v>
      </c>
      <c r="AN159" s="1363">
        <f t="shared" si="46"/>
        <v>1000000</v>
      </c>
      <c r="AO159" s="1364"/>
      <c r="AP159" s="1364"/>
      <c r="AQ159" s="1361">
        <f t="shared" si="59"/>
        <v>72</v>
      </c>
      <c r="AR159" s="1362">
        <f t="shared" si="47"/>
        <v>0</v>
      </c>
      <c r="AS159" s="1362">
        <f t="shared" si="37"/>
        <v>8543.2677227072418</v>
      </c>
      <c r="AT159" s="1362">
        <f t="shared" si="34"/>
        <v>8543.2677227072418</v>
      </c>
      <c r="AU159" s="1363">
        <f t="shared" si="55"/>
        <v>384884.72396507859</v>
      </c>
    </row>
    <row r="160" spans="1:47">
      <c r="A160" s="1118">
        <f t="shared" ca="1" si="35"/>
        <v>4</v>
      </c>
      <c r="B160" s="1351">
        <f t="shared" si="38"/>
        <v>0</v>
      </c>
      <c r="C160" s="2143">
        <f t="shared" si="48"/>
        <v>0</v>
      </c>
      <c r="D160" s="2144">
        <f t="shared" si="49"/>
        <v>0</v>
      </c>
      <c r="E160" s="2145">
        <f t="shared" si="39"/>
        <v>0</v>
      </c>
      <c r="F160" s="2145">
        <f t="shared" si="29"/>
        <v>0</v>
      </c>
      <c r="G160" s="2145">
        <f t="shared" si="30"/>
        <v>0</v>
      </c>
      <c r="H160" s="2145">
        <f>IF(N159&lt;0.01,0,IF(Adm!$S$4=Adm!$S$8,0,N159*Adm!$V$4))</f>
        <v>0</v>
      </c>
      <c r="I160" s="2145">
        <f>IF(N159&lt;0.01,0,IF(Adm!$S$5=Adm!$S$8,0,Adm!$AA$11*Adm!$X$4))</f>
        <v>0</v>
      </c>
      <c r="J160" s="2145">
        <f>IF(N159&lt;0.01,0,Adm!$Q$4*1.16)</f>
        <v>0</v>
      </c>
      <c r="K160" s="2145">
        <f>IF(N159&lt;0.01,0,IF(Adm!$O$4&gt;0,E160*Adm!$O$4,0))</f>
        <v>0</v>
      </c>
      <c r="L160" s="2145">
        <f t="shared" si="40"/>
        <v>0</v>
      </c>
      <c r="M160" s="2145">
        <f>IF(Adm!$G$4="si",MIN(N159+E160+H160+I160+J160-L160,Z160),0)</f>
        <v>0</v>
      </c>
      <c r="N160" s="2145">
        <f t="shared" si="41"/>
        <v>0</v>
      </c>
      <c r="O160" s="2146"/>
      <c r="P160" s="1101"/>
      <c r="V160" s="1352">
        <f t="shared" si="42"/>
        <v>1</v>
      </c>
      <c r="W160" s="1367">
        <f>IF(V160=1,Cal!$AB$127,0)</f>
        <v>0</v>
      </c>
      <c r="Y160" s="1368">
        <f t="shared" si="50"/>
        <v>0</v>
      </c>
      <c r="Z160" s="1369">
        <f t="shared" ca="1" si="43"/>
        <v>0</v>
      </c>
      <c r="AB160" s="1375">
        <f t="shared" si="51"/>
        <v>0</v>
      </c>
      <c r="AC160" s="1373">
        <f t="shared" si="52"/>
        <v>0</v>
      </c>
      <c r="AD160" s="1373">
        <f t="shared" si="56"/>
        <v>0</v>
      </c>
      <c r="AE160" s="1373">
        <f t="shared" si="53"/>
        <v>0</v>
      </c>
      <c r="AF160" s="1371">
        <f t="shared" si="36"/>
        <v>0</v>
      </c>
      <c r="AG160" s="1359" t="e">
        <f>HLOOKUP($AG$83,anticipado,74,0)</f>
        <v>#N/A</v>
      </c>
      <c r="AI160" s="1360">
        <f t="shared" si="44"/>
        <v>0</v>
      </c>
      <c r="AJ160" s="1377">
        <f t="shared" si="57"/>
        <v>73</v>
      </c>
      <c r="AK160" s="1378">
        <f t="shared" si="45"/>
        <v>0</v>
      </c>
      <c r="AL160" s="1378">
        <f t="shared" si="58"/>
        <v>0</v>
      </c>
      <c r="AM160" s="1378">
        <f>MIN(AN159+AK160,AM159*(1+$AK$83))</f>
        <v>0</v>
      </c>
      <c r="AN160" s="1363">
        <f t="shared" si="46"/>
        <v>1000000</v>
      </c>
      <c r="AO160" s="1364"/>
      <c r="AP160" s="1364"/>
      <c r="AQ160" s="1379">
        <f t="shared" si="59"/>
        <v>73</v>
      </c>
      <c r="AR160" s="1380">
        <f t="shared" si="47"/>
        <v>0</v>
      </c>
      <c r="AS160" s="1380">
        <f t="shared" si="37"/>
        <v>8543.2677227072418</v>
      </c>
      <c r="AT160" s="1380">
        <f>MIN(AU159+AR160,AT159*(1+$AR$83))</f>
        <v>8543.2677227072418</v>
      </c>
      <c r="AU160" s="1363">
        <f t="shared" si="55"/>
        <v>376341.45624237135</v>
      </c>
    </row>
    <row r="161" spans="1:47">
      <c r="A161" s="1118">
        <f t="shared" ca="1" si="35"/>
        <v>5</v>
      </c>
      <c r="B161" s="1351">
        <f t="shared" si="38"/>
        <v>0</v>
      </c>
      <c r="C161" s="2143">
        <f t="shared" si="48"/>
        <v>0</v>
      </c>
      <c r="D161" s="2144">
        <f t="shared" si="49"/>
        <v>0</v>
      </c>
      <c r="E161" s="2145">
        <f t="shared" si="39"/>
        <v>0</v>
      </c>
      <c r="F161" s="2145">
        <f t="shared" si="29"/>
        <v>0</v>
      </c>
      <c r="G161" s="2145">
        <f t="shared" si="30"/>
        <v>0</v>
      </c>
      <c r="H161" s="2145">
        <f>IF(N160&lt;0.01,0,IF(Adm!$S$4=Adm!$S$8,0,N160*Adm!$V$4))</f>
        <v>0</v>
      </c>
      <c r="I161" s="2145">
        <f>IF(N160&lt;0.01,0,IF(Adm!$S$5=Adm!$S$8,0,Adm!$AA$11*Adm!$X$4))</f>
        <v>0</v>
      </c>
      <c r="J161" s="2145">
        <f>IF(N160&lt;0.01,0,Adm!$Q$4*1.16)</f>
        <v>0</v>
      </c>
      <c r="K161" s="2145">
        <f>IF(N160&lt;0.01,0,IF(Adm!$O$4&gt;0,E161*Adm!$O$4,0))</f>
        <v>0</v>
      </c>
      <c r="L161" s="2145">
        <f t="shared" si="40"/>
        <v>0</v>
      </c>
      <c r="M161" s="2145">
        <f>IF(Adm!$G$4="si",MIN(N160+E161+H161+I161+J161-L161,Z161),0)</f>
        <v>0</v>
      </c>
      <c r="N161" s="2145">
        <f t="shared" si="41"/>
        <v>0</v>
      </c>
      <c r="O161" s="2146"/>
      <c r="P161" s="1101"/>
      <c r="V161" s="1352">
        <f t="shared" si="42"/>
        <v>2</v>
      </c>
      <c r="W161" s="1367">
        <f>IF(V161=1,Cal!$AB$127,0)</f>
        <v>0</v>
      </c>
      <c r="Y161" s="1368">
        <f t="shared" si="50"/>
        <v>0</v>
      </c>
      <c r="Z161" s="1369">
        <f t="shared" ca="1" si="43"/>
        <v>0</v>
      </c>
      <c r="AB161" s="1375">
        <f t="shared" si="51"/>
        <v>0</v>
      </c>
      <c r="AC161" s="1373">
        <f t="shared" si="52"/>
        <v>0</v>
      </c>
      <c r="AD161" s="1373">
        <f t="shared" si="56"/>
        <v>0</v>
      </c>
      <c r="AE161" s="1373">
        <f t="shared" si="53"/>
        <v>0</v>
      </c>
      <c r="AF161" s="1371">
        <f t="shared" si="36"/>
        <v>0</v>
      </c>
      <c r="AG161" s="1359" t="e">
        <f>HLOOKUP($AG$83,anticipado,75,0)</f>
        <v>#N/A</v>
      </c>
      <c r="AI161" s="1360">
        <f t="shared" si="44"/>
        <v>0</v>
      </c>
      <c r="AJ161" s="1361">
        <f t="shared" si="57"/>
        <v>74</v>
      </c>
      <c r="AK161" s="1362">
        <f t="shared" si="45"/>
        <v>0</v>
      </c>
      <c r="AL161" s="1362">
        <f t="shared" si="58"/>
        <v>0</v>
      </c>
      <c r="AM161" s="1362">
        <f t="shared" si="54"/>
        <v>0</v>
      </c>
      <c r="AN161" s="1363">
        <f t="shared" si="46"/>
        <v>1000000</v>
      </c>
      <c r="AO161" s="1364"/>
      <c r="AP161" s="1364"/>
      <c r="AQ161" s="1361">
        <f t="shared" si="59"/>
        <v>74</v>
      </c>
      <c r="AR161" s="1362">
        <f t="shared" si="47"/>
        <v>0</v>
      </c>
      <c r="AS161" s="1362">
        <f t="shared" si="37"/>
        <v>8543.2677227072418</v>
      </c>
      <c r="AT161" s="1362">
        <f t="shared" ref="AT161:AT171" si="60">MIN(AU160+AR161,AT160)</f>
        <v>8543.2677227072418</v>
      </c>
      <c r="AU161" s="1363">
        <f t="shared" si="55"/>
        <v>367798.18851966411</v>
      </c>
    </row>
    <row r="162" spans="1:47">
      <c r="A162" s="1118">
        <f t="shared" ca="1" si="35"/>
        <v>6</v>
      </c>
      <c r="B162" s="1351">
        <f t="shared" si="38"/>
        <v>0</v>
      </c>
      <c r="C162" s="2143">
        <f t="shared" si="48"/>
        <v>0</v>
      </c>
      <c r="D162" s="2144">
        <f t="shared" si="49"/>
        <v>0</v>
      </c>
      <c r="E162" s="2145">
        <f t="shared" si="39"/>
        <v>0</v>
      </c>
      <c r="F162" s="2145">
        <f t="shared" si="29"/>
        <v>0</v>
      </c>
      <c r="G162" s="2145">
        <f t="shared" si="30"/>
        <v>0</v>
      </c>
      <c r="H162" s="2145">
        <f>IF(N161&lt;0.01,0,IF(Adm!$S$4=Adm!$S$8,0,N161*Adm!$V$4))</f>
        <v>0</v>
      </c>
      <c r="I162" s="2145">
        <f>IF(N161&lt;0.01,0,IF(Adm!$S$5=Adm!$S$8,0,Adm!$AA$11*Adm!$X$4))</f>
        <v>0</v>
      </c>
      <c r="J162" s="2145">
        <f>IF(N161&lt;0.01,0,Adm!$Q$4*1.16)</f>
        <v>0</v>
      </c>
      <c r="K162" s="2145">
        <f>IF(N161&lt;0.01,0,IF(Adm!$O$4&gt;0,E162*Adm!$O$4,0))</f>
        <v>0</v>
      </c>
      <c r="L162" s="2145">
        <f t="shared" si="40"/>
        <v>0</v>
      </c>
      <c r="M162" s="2145">
        <f>IF(Adm!$G$4="si",MIN(N161+E162+H162+I162+J162-L162,Z162),0)</f>
        <v>0</v>
      </c>
      <c r="N162" s="2145">
        <f t="shared" si="41"/>
        <v>0</v>
      </c>
      <c r="O162" s="2146"/>
      <c r="P162" s="1101"/>
      <c r="V162" s="1352">
        <f t="shared" si="42"/>
        <v>3</v>
      </c>
      <c r="W162" s="1367">
        <f>IF(V162=1,Cal!$AB$127,0)</f>
        <v>0</v>
      </c>
      <c r="Y162" s="1368">
        <f t="shared" si="50"/>
        <v>0</v>
      </c>
      <c r="Z162" s="1369">
        <f t="shared" ca="1" si="43"/>
        <v>0</v>
      </c>
      <c r="AB162" s="1375">
        <f t="shared" si="51"/>
        <v>0</v>
      </c>
      <c r="AC162" s="1373">
        <f t="shared" si="52"/>
        <v>0</v>
      </c>
      <c r="AD162" s="1373">
        <f t="shared" si="56"/>
        <v>0</v>
      </c>
      <c r="AE162" s="1373">
        <f t="shared" si="53"/>
        <v>0</v>
      </c>
      <c r="AF162" s="1371">
        <f t="shared" si="36"/>
        <v>0</v>
      </c>
      <c r="AG162" s="1359" t="e">
        <f>HLOOKUP($AG$83,anticipado,76,0)</f>
        <v>#N/A</v>
      </c>
      <c r="AI162" s="1360">
        <f t="shared" si="44"/>
        <v>0</v>
      </c>
      <c r="AJ162" s="1361">
        <f t="shared" si="57"/>
        <v>75</v>
      </c>
      <c r="AK162" s="1362">
        <f t="shared" si="45"/>
        <v>0</v>
      </c>
      <c r="AL162" s="1362">
        <f t="shared" si="58"/>
        <v>0</v>
      </c>
      <c r="AM162" s="1362">
        <f t="shared" si="54"/>
        <v>0</v>
      </c>
      <c r="AN162" s="1363">
        <f t="shared" si="46"/>
        <v>1000000</v>
      </c>
      <c r="AO162" s="1364"/>
      <c r="AP162" s="1364"/>
      <c r="AQ162" s="1361">
        <f t="shared" si="59"/>
        <v>75</v>
      </c>
      <c r="AR162" s="1362">
        <f t="shared" si="47"/>
        <v>0</v>
      </c>
      <c r="AS162" s="1362">
        <f t="shared" si="37"/>
        <v>8543.2677227072418</v>
      </c>
      <c r="AT162" s="1362">
        <f t="shared" si="60"/>
        <v>8543.2677227072418</v>
      </c>
      <c r="AU162" s="1363">
        <f t="shared" si="55"/>
        <v>359254.92079695687</v>
      </c>
    </row>
    <row r="163" spans="1:47">
      <c r="A163" s="1118">
        <f t="shared" ca="1" si="35"/>
        <v>7</v>
      </c>
      <c r="B163" s="1351">
        <f t="shared" si="38"/>
        <v>0</v>
      </c>
      <c r="C163" s="2143">
        <f t="shared" si="48"/>
        <v>0</v>
      </c>
      <c r="D163" s="2144">
        <f t="shared" si="49"/>
        <v>0</v>
      </c>
      <c r="E163" s="2145">
        <f t="shared" si="39"/>
        <v>0</v>
      </c>
      <c r="F163" s="2145">
        <f t="shared" si="29"/>
        <v>0</v>
      </c>
      <c r="G163" s="2145">
        <f t="shared" si="30"/>
        <v>0</v>
      </c>
      <c r="H163" s="2145">
        <f>IF(N162&lt;0.01,0,IF(Adm!$S$4=Adm!$S$8,0,N162*Adm!$V$4))</f>
        <v>0</v>
      </c>
      <c r="I163" s="2145">
        <f>IF(N162&lt;0.01,0,IF(Adm!$S$5=Adm!$S$8,0,Adm!$AA$11*Adm!$X$4))</f>
        <v>0</v>
      </c>
      <c r="J163" s="2145">
        <f>IF(N162&lt;0.01,0,Adm!$Q$4*1.16)</f>
        <v>0</v>
      </c>
      <c r="K163" s="2145">
        <f>IF(N162&lt;0.01,0,IF(Adm!$O$4&gt;0,E163*Adm!$O$4,0))</f>
        <v>0</v>
      </c>
      <c r="L163" s="2145">
        <f t="shared" si="40"/>
        <v>0</v>
      </c>
      <c r="M163" s="2145">
        <f>IF(Adm!$G$4="si",MIN(N162+E163+H163+I163+J163-L163,Z163),0)</f>
        <v>0</v>
      </c>
      <c r="N163" s="2145">
        <f t="shared" si="41"/>
        <v>0</v>
      </c>
      <c r="O163" s="2146"/>
      <c r="P163" s="1101"/>
      <c r="V163" s="1352">
        <f t="shared" si="42"/>
        <v>4</v>
      </c>
      <c r="W163" s="1367">
        <f>IF(V163=1,Cal!$AB$127,0)</f>
        <v>0</v>
      </c>
      <c r="Y163" s="1368">
        <f t="shared" si="50"/>
        <v>0</v>
      </c>
      <c r="Z163" s="1369">
        <f t="shared" ca="1" si="43"/>
        <v>0</v>
      </c>
      <c r="AB163" s="1375">
        <f t="shared" si="51"/>
        <v>0</v>
      </c>
      <c r="AC163" s="1373">
        <f t="shared" si="52"/>
        <v>0</v>
      </c>
      <c r="AD163" s="1373">
        <f t="shared" si="56"/>
        <v>0</v>
      </c>
      <c r="AE163" s="1373">
        <f t="shared" si="53"/>
        <v>0</v>
      </c>
      <c r="AF163" s="1371">
        <f t="shared" si="36"/>
        <v>0</v>
      </c>
      <c r="AG163" s="1359" t="e">
        <f>HLOOKUP($AG$83,anticipado,77,0)</f>
        <v>#N/A</v>
      </c>
      <c r="AI163" s="1360">
        <f t="shared" si="44"/>
        <v>0</v>
      </c>
      <c r="AJ163" s="1361">
        <f t="shared" si="57"/>
        <v>76</v>
      </c>
      <c r="AK163" s="1362">
        <f t="shared" si="45"/>
        <v>0</v>
      </c>
      <c r="AL163" s="1362">
        <f t="shared" si="58"/>
        <v>0</v>
      </c>
      <c r="AM163" s="1362">
        <f t="shared" si="54"/>
        <v>0</v>
      </c>
      <c r="AN163" s="1363">
        <f t="shared" si="46"/>
        <v>1000000</v>
      </c>
      <c r="AO163" s="1364"/>
      <c r="AP163" s="1364"/>
      <c r="AQ163" s="1361">
        <f t="shared" si="59"/>
        <v>76</v>
      </c>
      <c r="AR163" s="1362">
        <f t="shared" si="47"/>
        <v>0</v>
      </c>
      <c r="AS163" s="1362">
        <f t="shared" si="37"/>
        <v>8543.2677227072418</v>
      </c>
      <c r="AT163" s="1362">
        <f t="shared" si="60"/>
        <v>8543.2677227072418</v>
      </c>
      <c r="AU163" s="1363">
        <f t="shared" si="55"/>
        <v>350711.65307424963</v>
      </c>
    </row>
    <row r="164" spans="1:47">
      <c r="A164" s="1118">
        <f t="shared" ca="1" si="35"/>
        <v>8</v>
      </c>
      <c r="B164" s="1351">
        <f t="shared" si="38"/>
        <v>0</v>
      </c>
      <c r="C164" s="2143">
        <f t="shared" si="48"/>
        <v>0</v>
      </c>
      <c r="D164" s="2144">
        <f t="shared" si="49"/>
        <v>0</v>
      </c>
      <c r="E164" s="2145">
        <f t="shared" si="39"/>
        <v>0</v>
      </c>
      <c r="F164" s="2145">
        <f t="shared" si="29"/>
        <v>0</v>
      </c>
      <c r="G164" s="2145">
        <f t="shared" si="30"/>
        <v>0</v>
      </c>
      <c r="H164" s="2145">
        <f>IF(N163&lt;0.01,0,IF(Adm!$S$4=Adm!$S$8,0,N163*Adm!$V$4))</f>
        <v>0</v>
      </c>
      <c r="I164" s="2145">
        <f>IF(N163&lt;0.01,0,IF(Adm!$S$5=Adm!$S$8,0,Adm!$AA$11*Adm!$X$4))</f>
        <v>0</v>
      </c>
      <c r="J164" s="2145">
        <f>IF(N163&lt;0.01,0,Adm!$Q$4*1.16)</f>
        <v>0</v>
      </c>
      <c r="K164" s="2145">
        <f>IF(N163&lt;0.01,0,IF(Adm!$O$4&gt;0,E164*Adm!$O$4,0))</f>
        <v>0</v>
      </c>
      <c r="L164" s="2145">
        <f t="shared" si="40"/>
        <v>0</v>
      </c>
      <c r="M164" s="2145">
        <f>IF(Adm!$G$4="si",MIN(N163+E164+H164+I164+J164-L164,Z164),0)</f>
        <v>0</v>
      </c>
      <c r="N164" s="2145">
        <f t="shared" si="41"/>
        <v>0</v>
      </c>
      <c r="O164" s="2146"/>
      <c r="P164" s="1101"/>
      <c r="V164" s="1352">
        <f t="shared" si="42"/>
        <v>5</v>
      </c>
      <c r="W164" s="1367">
        <f>IF(V164=1,Cal!$AB$127,0)</f>
        <v>0</v>
      </c>
      <c r="Y164" s="1368">
        <f t="shared" si="50"/>
        <v>0</v>
      </c>
      <c r="Z164" s="1369">
        <f t="shared" ca="1" si="43"/>
        <v>0</v>
      </c>
      <c r="AB164" s="1375">
        <f t="shared" si="51"/>
        <v>0</v>
      </c>
      <c r="AC164" s="1373">
        <f t="shared" si="52"/>
        <v>0</v>
      </c>
      <c r="AD164" s="1373">
        <f t="shared" si="56"/>
        <v>0</v>
      </c>
      <c r="AE164" s="1373">
        <f t="shared" si="53"/>
        <v>0</v>
      </c>
      <c r="AF164" s="1371">
        <f t="shared" si="36"/>
        <v>0</v>
      </c>
      <c r="AG164" s="1359" t="e">
        <f>HLOOKUP($AG$83,anticipado,78,0)</f>
        <v>#N/A</v>
      </c>
      <c r="AI164" s="1360">
        <f t="shared" si="44"/>
        <v>0</v>
      </c>
      <c r="AJ164" s="1361">
        <f t="shared" si="57"/>
        <v>77</v>
      </c>
      <c r="AK164" s="1362">
        <f t="shared" si="45"/>
        <v>0</v>
      </c>
      <c r="AL164" s="1362">
        <f t="shared" si="58"/>
        <v>0</v>
      </c>
      <c r="AM164" s="1362">
        <f t="shared" si="54"/>
        <v>0</v>
      </c>
      <c r="AN164" s="1363">
        <f t="shared" si="46"/>
        <v>1000000</v>
      </c>
      <c r="AO164" s="1364"/>
      <c r="AP164" s="1364"/>
      <c r="AQ164" s="1361">
        <f t="shared" si="59"/>
        <v>77</v>
      </c>
      <c r="AR164" s="1362">
        <f t="shared" si="47"/>
        <v>0</v>
      </c>
      <c r="AS164" s="1362">
        <f t="shared" si="37"/>
        <v>8543.2677227072418</v>
      </c>
      <c r="AT164" s="1362">
        <f t="shared" si="60"/>
        <v>8543.2677227072418</v>
      </c>
      <c r="AU164" s="1363">
        <f t="shared" si="55"/>
        <v>342168.38535154238</v>
      </c>
    </row>
    <row r="165" spans="1:47">
      <c r="A165" s="1118">
        <f t="shared" ca="1" si="35"/>
        <v>9</v>
      </c>
      <c r="B165" s="1351">
        <f t="shared" si="38"/>
        <v>0</v>
      </c>
      <c r="C165" s="2143">
        <f t="shared" si="48"/>
        <v>0</v>
      </c>
      <c r="D165" s="2144">
        <f t="shared" si="49"/>
        <v>0</v>
      </c>
      <c r="E165" s="2145">
        <f t="shared" si="39"/>
        <v>0</v>
      </c>
      <c r="F165" s="2145">
        <f t="shared" ref="F165:F228" si="61">IF(N164&lt;0.01,0,G165-E165)</f>
        <v>0</v>
      </c>
      <c r="G165" s="2145">
        <f t="shared" si="30"/>
        <v>0</v>
      </c>
      <c r="H165" s="2145">
        <f>IF(N164&lt;0.01,0,IF(Adm!$S$4=Adm!$S$8,0,N164*Adm!$V$4))</f>
        <v>0</v>
      </c>
      <c r="I165" s="2145">
        <f>IF(N164&lt;0.01,0,IF(Adm!$S$5=Adm!$S$8,0,Adm!$AA$11*Adm!$X$4))</f>
        <v>0</v>
      </c>
      <c r="J165" s="2145">
        <f>IF(N164&lt;0.01,0,Adm!$Q$4*1.16)</f>
        <v>0</v>
      </c>
      <c r="K165" s="2145">
        <f>IF(N164&lt;0.01,0,IF(Adm!$O$4&gt;0,E165*Adm!$O$4,0))</f>
        <v>0</v>
      </c>
      <c r="L165" s="2145">
        <f t="shared" si="40"/>
        <v>0</v>
      </c>
      <c r="M165" s="2145">
        <f>IF(Adm!$G$4="si",MIN(N164+E165+H165+I165+J165-L165,Z165),0)</f>
        <v>0</v>
      </c>
      <c r="N165" s="2145">
        <f t="shared" si="41"/>
        <v>0</v>
      </c>
      <c r="O165" s="2146"/>
      <c r="P165" s="1101"/>
      <c r="V165" s="1352">
        <f t="shared" si="42"/>
        <v>6</v>
      </c>
      <c r="W165" s="1367">
        <f>IF(V165=1,Cal!$AB$127,0)</f>
        <v>0</v>
      </c>
      <c r="Y165" s="1368">
        <f t="shared" si="50"/>
        <v>0</v>
      </c>
      <c r="Z165" s="1369">
        <f t="shared" ca="1" si="43"/>
        <v>0</v>
      </c>
      <c r="AB165" s="1375">
        <f t="shared" si="51"/>
        <v>0</v>
      </c>
      <c r="AC165" s="1373">
        <f t="shared" si="52"/>
        <v>0</v>
      </c>
      <c r="AD165" s="1373">
        <f t="shared" si="56"/>
        <v>0</v>
      </c>
      <c r="AE165" s="1373">
        <f t="shared" si="53"/>
        <v>0</v>
      </c>
      <c r="AF165" s="1371">
        <f t="shared" si="36"/>
        <v>0</v>
      </c>
      <c r="AG165" s="1359" t="e">
        <f>HLOOKUP($AG$83,anticipado,79,0)</f>
        <v>#N/A</v>
      </c>
      <c r="AI165" s="1360">
        <f t="shared" si="44"/>
        <v>0</v>
      </c>
      <c r="AJ165" s="1361">
        <f t="shared" si="57"/>
        <v>78</v>
      </c>
      <c r="AK165" s="1362">
        <f t="shared" si="45"/>
        <v>0</v>
      </c>
      <c r="AL165" s="1362">
        <f t="shared" si="58"/>
        <v>0</v>
      </c>
      <c r="AM165" s="1362">
        <f t="shared" si="54"/>
        <v>0</v>
      </c>
      <c r="AN165" s="1363">
        <f t="shared" si="46"/>
        <v>1000000</v>
      </c>
      <c r="AO165" s="1364"/>
      <c r="AP165" s="1364"/>
      <c r="AQ165" s="1361">
        <f t="shared" si="59"/>
        <v>78</v>
      </c>
      <c r="AR165" s="1362">
        <f t="shared" si="47"/>
        <v>0</v>
      </c>
      <c r="AS165" s="1362">
        <f t="shared" si="37"/>
        <v>8543.2677227072418</v>
      </c>
      <c r="AT165" s="1362">
        <f t="shared" si="60"/>
        <v>8543.2677227072418</v>
      </c>
      <c r="AU165" s="1363">
        <f t="shared" si="55"/>
        <v>333625.11762883514</v>
      </c>
    </row>
    <row r="166" spans="1:47">
      <c r="A166" s="1118">
        <f t="shared" ca="1" si="35"/>
        <v>10</v>
      </c>
      <c r="B166" s="1351">
        <f t="shared" si="38"/>
        <v>0</v>
      </c>
      <c r="C166" s="2143">
        <f t="shared" si="48"/>
        <v>0</v>
      </c>
      <c r="D166" s="2144">
        <f t="shared" si="49"/>
        <v>0</v>
      </c>
      <c r="E166" s="2145">
        <f t="shared" si="39"/>
        <v>0</v>
      </c>
      <c r="F166" s="2145">
        <f t="shared" si="61"/>
        <v>0</v>
      </c>
      <c r="G166" s="2145">
        <f t="shared" ref="G166:G229" si="62">IF(N165&lt;0.1,0,MIN(N165+E166,IF(AB166&gt;0,AB166,G165*(1+W166))))</f>
        <v>0</v>
      </c>
      <c r="H166" s="2145">
        <f>IF(N165&lt;0.01,0,IF(Adm!$S$4=Adm!$S$8,0,N165*Adm!$V$4))</f>
        <v>0</v>
      </c>
      <c r="I166" s="2145">
        <f>IF(N165&lt;0.01,0,IF(Adm!$S$5=Adm!$S$8,0,Adm!$AA$11*Adm!$X$4))</f>
        <v>0</v>
      </c>
      <c r="J166" s="2145">
        <f>IF(N165&lt;0.01,0,Adm!$Q$4*1.16)</f>
        <v>0</v>
      </c>
      <c r="K166" s="2145">
        <f>IF(N165&lt;0.01,0,IF(Adm!$O$4&gt;0,E166*Adm!$O$4,0))</f>
        <v>0</v>
      </c>
      <c r="L166" s="2145">
        <f t="shared" si="40"/>
        <v>0</v>
      </c>
      <c r="M166" s="2145">
        <f>IF(Adm!$G$4="si",MIN(N165+E166+H166+I166+J166-L166,Z166),0)</f>
        <v>0</v>
      </c>
      <c r="N166" s="2145">
        <f t="shared" si="41"/>
        <v>0</v>
      </c>
      <c r="O166" s="2146"/>
      <c r="P166" s="1101"/>
      <c r="V166" s="1352">
        <f t="shared" si="42"/>
        <v>7</v>
      </c>
      <c r="W166" s="1367">
        <f>IF(V166=1,Cal!$AB$127,0)</f>
        <v>0</v>
      </c>
      <c r="Y166" s="1368">
        <f t="shared" si="50"/>
        <v>0</v>
      </c>
      <c r="Z166" s="1369">
        <f t="shared" ca="1" si="43"/>
        <v>0</v>
      </c>
      <c r="AB166" s="1375">
        <f t="shared" si="51"/>
        <v>0</v>
      </c>
      <c r="AC166" s="1373">
        <f t="shared" si="52"/>
        <v>0</v>
      </c>
      <c r="AD166" s="1373">
        <f t="shared" si="56"/>
        <v>0</v>
      </c>
      <c r="AE166" s="1373">
        <f t="shared" si="53"/>
        <v>0</v>
      </c>
      <c r="AF166" s="1371">
        <f t="shared" si="36"/>
        <v>0</v>
      </c>
      <c r="AG166" s="1359" t="e">
        <f>HLOOKUP($AG$83,anticipado,80,0)</f>
        <v>#N/A</v>
      </c>
      <c r="AI166" s="1360">
        <f t="shared" si="44"/>
        <v>0</v>
      </c>
      <c r="AJ166" s="1361">
        <f t="shared" si="57"/>
        <v>79</v>
      </c>
      <c r="AK166" s="1362">
        <f t="shared" si="45"/>
        <v>0</v>
      </c>
      <c r="AL166" s="1362">
        <f t="shared" si="58"/>
        <v>0</v>
      </c>
      <c r="AM166" s="1362">
        <f t="shared" si="54"/>
        <v>0</v>
      </c>
      <c r="AN166" s="1363">
        <f t="shared" si="46"/>
        <v>1000000</v>
      </c>
      <c r="AO166" s="1364"/>
      <c r="AP166" s="1364"/>
      <c r="AQ166" s="1361">
        <f t="shared" si="59"/>
        <v>79</v>
      </c>
      <c r="AR166" s="1362">
        <f t="shared" si="47"/>
        <v>0</v>
      </c>
      <c r="AS166" s="1362">
        <f t="shared" si="37"/>
        <v>8543.2677227072418</v>
      </c>
      <c r="AT166" s="1362">
        <f t="shared" si="60"/>
        <v>8543.2677227072418</v>
      </c>
      <c r="AU166" s="1363">
        <f t="shared" si="55"/>
        <v>325081.8499061279</v>
      </c>
    </row>
    <row r="167" spans="1:47">
      <c r="A167" s="1118">
        <f t="shared" ca="1" si="35"/>
        <v>11</v>
      </c>
      <c r="B167" s="1351">
        <f t="shared" si="38"/>
        <v>0</v>
      </c>
      <c r="C167" s="2143">
        <f t="shared" si="48"/>
        <v>0</v>
      </c>
      <c r="D167" s="2144">
        <f t="shared" si="49"/>
        <v>0</v>
      </c>
      <c r="E167" s="2145">
        <f t="shared" si="39"/>
        <v>0</v>
      </c>
      <c r="F167" s="2145">
        <f t="shared" si="61"/>
        <v>0</v>
      </c>
      <c r="G167" s="2145">
        <f t="shared" si="62"/>
        <v>0</v>
      </c>
      <c r="H167" s="2145">
        <f>IF(N166&lt;0.01,0,IF(Adm!$S$4=Adm!$S$8,0,N166*Adm!$V$4))</f>
        <v>0</v>
      </c>
      <c r="I167" s="2145">
        <f>IF(N166&lt;0.01,0,IF(Adm!$S$5=Adm!$S$8,0,Adm!$AA$11*Adm!$X$4))</f>
        <v>0</v>
      </c>
      <c r="J167" s="2145">
        <f>IF(N166&lt;0.01,0,Adm!$Q$4*1.16)</f>
        <v>0</v>
      </c>
      <c r="K167" s="2145">
        <f>IF(N166&lt;0.01,0,IF(Adm!$O$4&gt;0,E167*Adm!$O$4,0))</f>
        <v>0</v>
      </c>
      <c r="L167" s="2145">
        <f t="shared" si="40"/>
        <v>0</v>
      </c>
      <c r="M167" s="2145">
        <f>IF(Adm!$G$4="si",MIN(N166+E167+H167+I167+J167-L167,Z167),0)</f>
        <v>0</v>
      </c>
      <c r="N167" s="2145">
        <f t="shared" si="41"/>
        <v>0</v>
      </c>
      <c r="O167" s="2146"/>
      <c r="P167" s="1101"/>
      <c r="V167" s="1352">
        <f t="shared" si="42"/>
        <v>8</v>
      </c>
      <c r="W167" s="1367">
        <f>IF(V167=1,Cal!$AB$127,0)</f>
        <v>0</v>
      </c>
      <c r="Y167" s="1368">
        <f t="shared" si="50"/>
        <v>0</v>
      </c>
      <c r="Z167" s="1369">
        <f t="shared" ca="1" si="43"/>
        <v>0</v>
      </c>
      <c r="AB167" s="1375">
        <f t="shared" si="51"/>
        <v>0</v>
      </c>
      <c r="AC167" s="1373">
        <f t="shared" si="52"/>
        <v>0</v>
      </c>
      <c r="AD167" s="1373">
        <f t="shared" si="56"/>
        <v>0</v>
      </c>
      <c r="AE167" s="1373">
        <f t="shared" si="53"/>
        <v>0</v>
      </c>
      <c r="AF167" s="1371">
        <f t="shared" si="36"/>
        <v>0</v>
      </c>
      <c r="AG167" s="1359" t="e">
        <f>HLOOKUP($AG$83,anticipado,81,0)</f>
        <v>#N/A</v>
      </c>
      <c r="AI167" s="1360">
        <f t="shared" si="44"/>
        <v>0</v>
      </c>
      <c r="AJ167" s="1361">
        <f t="shared" si="57"/>
        <v>80</v>
      </c>
      <c r="AK167" s="1362">
        <f t="shared" si="45"/>
        <v>0</v>
      </c>
      <c r="AL167" s="1362">
        <f t="shared" si="58"/>
        <v>0</v>
      </c>
      <c r="AM167" s="1362">
        <f t="shared" si="54"/>
        <v>0</v>
      </c>
      <c r="AN167" s="1363">
        <f t="shared" si="46"/>
        <v>1000000</v>
      </c>
      <c r="AO167" s="1364"/>
      <c r="AP167" s="1364"/>
      <c r="AQ167" s="1361">
        <f t="shared" si="59"/>
        <v>80</v>
      </c>
      <c r="AR167" s="1362">
        <f t="shared" si="47"/>
        <v>0</v>
      </c>
      <c r="AS167" s="1362">
        <f t="shared" si="37"/>
        <v>8543.2677227072418</v>
      </c>
      <c r="AT167" s="1362">
        <f t="shared" si="60"/>
        <v>8543.2677227072418</v>
      </c>
      <c r="AU167" s="1363">
        <f t="shared" si="55"/>
        <v>316538.58218342066</v>
      </c>
    </row>
    <row r="168" spans="1:47">
      <c r="A168" s="1118">
        <f t="shared" ca="1" si="35"/>
        <v>12</v>
      </c>
      <c r="B168" s="1351">
        <f t="shared" si="38"/>
        <v>0</v>
      </c>
      <c r="C168" s="2143">
        <f t="shared" si="48"/>
        <v>0</v>
      </c>
      <c r="D168" s="2144">
        <f t="shared" si="49"/>
        <v>0</v>
      </c>
      <c r="E168" s="2145">
        <f t="shared" si="39"/>
        <v>0</v>
      </c>
      <c r="F168" s="2145">
        <f t="shared" si="61"/>
        <v>0</v>
      </c>
      <c r="G168" s="2145">
        <f t="shared" si="62"/>
        <v>0</v>
      </c>
      <c r="H168" s="2145">
        <f>IF(N167&lt;0.01,0,IF(Adm!$S$4=Adm!$S$8,0,N167*Adm!$V$4))</f>
        <v>0</v>
      </c>
      <c r="I168" s="2145">
        <f>IF(N167&lt;0.01,0,IF(Adm!$S$5=Adm!$S$8,0,Adm!$AA$11*Adm!$X$4))</f>
        <v>0</v>
      </c>
      <c r="J168" s="2145">
        <f>IF(N167&lt;0.01,0,Adm!$Q$4*1.16)</f>
        <v>0</v>
      </c>
      <c r="K168" s="2145">
        <f>IF(N167&lt;0.01,0,IF(Adm!$O$4&gt;0,E168*Adm!$O$4,0))</f>
        <v>0</v>
      </c>
      <c r="L168" s="2145">
        <f t="shared" si="40"/>
        <v>0</v>
      </c>
      <c r="M168" s="2145">
        <f>IF(Adm!$G$4="si",MIN(N167+E168+H168+I168+J168-L168,Z168),0)</f>
        <v>0</v>
      </c>
      <c r="N168" s="2145">
        <f t="shared" si="41"/>
        <v>0</v>
      </c>
      <c r="O168" s="2146"/>
      <c r="P168" s="1101"/>
      <c r="V168" s="1352">
        <f t="shared" si="42"/>
        <v>9</v>
      </c>
      <c r="W168" s="1367">
        <f>IF(V168=1,Cal!$AB$127,0)</f>
        <v>0</v>
      </c>
      <c r="Y168" s="1368">
        <f t="shared" si="50"/>
        <v>0</v>
      </c>
      <c r="Z168" s="1369">
        <f t="shared" ca="1" si="43"/>
        <v>0</v>
      </c>
      <c r="AB168" s="1375">
        <f t="shared" si="51"/>
        <v>0</v>
      </c>
      <c r="AC168" s="1373">
        <f t="shared" si="52"/>
        <v>0</v>
      </c>
      <c r="AD168" s="1373">
        <f t="shared" si="56"/>
        <v>0</v>
      </c>
      <c r="AE168" s="1373">
        <f t="shared" si="53"/>
        <v>0</v>
      </c>
      <c r="AF168" s="1371">
        <f t="shared" si="36"/>
        <v>0</v>
      </c>
      <c r="AG168" s="1359" t="e">
        <f>HLOOKUP($AG$83,anticipado,82,0)</f>
        <v>#N/A</v>
      </c>
      <c r="AI168" s="1360">
        <f t="shared" si="44"/>
        <v>0</v>
      </c>
      <c r="AJ168" s="1361">
        <f t="shared" si="57"/>
        <v>81</v>
      </c>
      <c r="AK168" s="1362">
        <f t="shared" si="45"/>
        <v>0</v>
      </c>
      <c r="AL168" s="1362">
        <f t="shared" si="58"/>
        <v>0</v>
      </c>
      <c r="AM168" s="1362">
        <f t="shared" si="54"/>
        <v>0</v>
      </c>
      <c r="AN168" s="1363">
        <f t="shared" si="46"/>
        <v>1000000</v>
      </c>
      <c r="AO168" s="1364"/>
      <c r="AP168" s="1364"/>
      <c r="AQ168" s="1361">
        <f t="shared" si="59"/>
        <v>81</v>
      </c>
      <c r="AR168" s="1362">
        <f t="shared" si="47"/>
        <v>0</v>
      </c>
      <c r="AS168" s="1362">
        <f t="shared" si="37"/>
        <v>8543.2677227072418</v>
      </c>
      <c r="AT168" s="1362">
        <f t="shared" si="60"/>
        <v>8543.2677227072418</v>
      </c>
      <c r="AU168" s="1363">
        <f t="shared" si="55"/>
        <v>307995.31446071342</v>
      </c>
    </row>
    <row r="169" spans="1:47">
      <c r="A169" s="1118">
        <f t="shared" ca="1" si="35"/>
        <v>1</v>
      </c>
      <c r="B169" s="1351">
        <f t="shared" si="38"/>
        <v>0</v>
      </c>
      <c r="C169" s="2143">
        <f t="shared" si="48"/>
        <v>0</v>
      </c>
      <c r="D169" s="2144">
        <f t="shared" si="49"/>
        <v>0</v>
      </c>
      <c r="E169" s="2145">
        <f t="shared" si="39"/>
        <v>0</v>
      </c>
      <c r="F169" s="2145">
        <f t="shared" si="61"/>
        <v>0</v>
      </c>
      <c r="G169" s="2145">
        <f t="shared" si="62"/>
        <v>0</v>
      </c>
      <c r="H169" s="2145">
        <f>IF(N168&lt;0.01,0,IF(Adm!$S$4=Adm!$S$8,0,N168*Adm!$V$4))</f>
        <v>0</v>
      </c>
      <c r="I169" s="2145">
        <f>IF(N168&lt;0.01,0,IF(Adm!$S$5=Adm!$S$8,0,Adm!$AA$11*Adm!$X$4))</f>
        <v>0</v>
      </c>
      <c r="J169" s="2145">
        <f>IF(N168&lt;0.01,0,Adm!$Q$4*1.16)</f>
        <v>0</v>
      </c>
      <c r="K169" s="2145">
        <f>IF(N168&lt;0.01,0,IF(Adm!$O$4&gt;0,E169*Adm!$O$4,0))</f>
        <v>0</v>
      </c>
      <c r="L169" s="2145">
        <f t="shared" si="40"/>
        <v>0</v>
      </c>
      <c r="M169" s="2145">
        <f>IF(Adm!$G$4="si",MIN(N168+E169+H169+I169+J169-L169,Z169),0)</f>
        <v>0</v>
      </c>
      <c r="N169" s="2145">
        <f t="shared" si="41"/>
        <v>0</v>
      </c>
      <c r="O169" s="2146"/>
      <c r="P169" s="1101"/>
      <c r="V169" s="1352">
        <f t="shared" si="42"/>
        <v>10</v>
      </c>
      <c r="W169" s="1367">
        <f>IF(V169=1,Cal!$AB$127,0)</f>
        <v>0</v>
      </c>
      <c r="Y169" s="1368">
        <f t="shared" si="50"/>
        <v>0</v>
      </c>
      <c r="Z169" s="1369">
        <f t="shared" ca="1" si="43"/>
        <v>0</v>
      </c>
      <c r="AB169" s="1375">
        <f t="shared" si="51"/>
        <v>0</v>
      </c>
      <c r="AC169" s="1373">
        <f t="shared" si="52"/>
        <v>0</v>
      </c>
      <c r="AD169" s="1373">
        <f t="shared" si="56"/>
        <v>0</v>
      </c>
      <c r="AE169" s="1373">
        <f t="shared" si="53"/>
        <v>0</v>
      </c>
      <c r="AF169" s="1371">
        <f t="shared" si="36"/>
        <v>0</v>
      </c>
      <c r="AG169" s="1359" t="e">
        <f>HLOOKUP($AG$83,anticipado,83,0)</f>
        <v>#N/A</v>
      </c>
      <c r="AI169" s="1360">
        <f t="shared" si="44"/>
        <v>0</v>
      </c>
      <c r="AJ169" s="1361">
        <f t="shared" si="57"/>
        <v>82</v>
      </c>
      <c r="AK169" s="1362">
        <f t="shared" si="45"/>
        <v>0</v>
      </c>
      <c r="AL169" s="1362">
        <f t="shared" si="58"/>
        <v>0</v>
      </c>
      <c r="AM169" s="1362">
        <f t="shared" si="54"/>
        <v>0</v>
      </c>
      <c r="AN169" s="1363">
        <f t="shared" si="46"/>
        <v>1000000</v>
      </c>
      <c r="AO169" s="1364"/>
      <c r="AP169" s="1364"/>
      <c r="AQ169" s="1361">
        <f t="shared" si="59"/>
        <v>82</v>
      </c>
      <c r="AR169" s="1362">
        <f t="shared" si="47"/>
        <v>0</v>
      </c>
      <c r="AS169" s="1362">
        <f t="shared" si="37"/>
        <v>8543.2677227072418</v>
      </c>
      <c r="AT169" s="1362">
        <f t="shared" si="60"/>
        <v>8543.2677227072418</v>
      </c>
      <c r="AU169" s="1363">
        <f t="shared" si="55"/>
        <v>299452.04673800617</v>
      </c>
    </row>
    <row r="170" spans="1:47">
      <c r="A170" s="1118">
        <f t="shared" ca="1" si="35"/>
        <v>2</v>
      </c>
      <c r="B170" s="1351">
        <f t="shared" si="38"/>
        <v>0</v>
      </c>
      <c r="C170" s="2143">
        <f t="shared" si="48"/>
        <v>0</v>
      </c>
      <c r="D170" s="2144">
        <f t="shared" si="49"/>
        <v>0</v>
      </c>
      <c r="E170" s="2145">
        <f t="shared" si="39"/>
        <v>0</v>
      </c>
      <c r="F170" s="2145">
        <f t="shared" si="61"/>
        <v>0</v>
      </c>
      <c r="G170" s="2145">
        <f t="shared" si="62"/>
        <v>0</v>
      </c>
      <c r="H170" s="2145">
        <f>IF(N169&lt;0.01,0,IF(Adm!$S$4=Adm!$S$8,0,N169*Adm!$V$4))</f>
        <v>0</v>
      </c>
      <c r="I170" s="2145">
        <f>IF(N169&lt;0.01,0,IF(Adm!$S$5=Adm!$S$8,0,Adm!$AA$11*Adm!$X$4))</f>
        <v>0</v>
      </c>
      <c r="J170" s="2145">
        <f>IF(N169&lt;0.01,0,Adm!$Q$4*1.16)</f>
        <v>0</v>
      </c>
      <c r="K170" s="2145">
        <f>IF(N169&lt;0.01,0,IF(Adm!$O$4&gt;0,E170*Adm!$O$4,0))</f>
        <v>0</v>
      </c>
      <c r="L170" s="2145">
        <f t="shared" si="40"/>
        <v>0</v>
      </c>
      <c r="M170" s="2145">
        <f>IF(Adm!$G$4="si",MIN(N169+E170+H170+I170+J170-L170,Z170),0)</f>
        <v>0</v>
      </c>
      <c r="N170" s="2145">
        <f t="shared" si="41"/>
        <v>0</v>
      </c>
      <c r="O170" s="2146"/>
      <c r="P170" s="1101"/>
      <c r="V170" s="1352">
        <f t="shared" si="42"/>
        <v>11</v>
      </c>
      <c r="W170" s="1367">
        <f>IF(V170=1,Cal!$AB$127,0)</f>
        <v>0</v>
      </c>
      <c r="Y170" s="1368">
        <f t="shared" si="50"/>
        <v>0</v>
      </c>
      <c r="Z170" s="1369">
        <f t="shared" ca="1" si="43"/>
        <v>0</v>
      </c>
      <c r="AB170" s="1375">
        <f t="shared" si="51"/>
        <v>0</v>
      </c>
      <c r="AC170" s="1373">
        <f t="shared" si="52"/>
        <v>0</v>
      </c>
      <c r="AD170" s="1373">
        <f t="shared" si="56"/>
        <v>0</v>
      </c>
      <c r="AE170" s="1373">
        <f t="shared" si="53"/>
        <v>0</v>
      </c>
      <c r="AF170" s="1371">
        <f t="shared" si="36"/>
        <v>0</v>
      </c>
      <c r="AG170" s="1359" t="e">
        <f>HLOOKUP($AG$83,anticipado,84,0)</f>
        <v>#N/A</v>
      </c>
      <c r="AI170" s="1360">
        <f t="shared" si="44"/>
        <v>0</v>
      </c>
      <c r="AJ170" s="1361">
        <f t="shared" si="57"/>
        <v>83</v>
      </c>
      <c r="AK170" s="1362">
        <f t="shared" si="45"/>
        <v>0</v>
      </c>
      <c r="AL170" s="1362">
        <f t="shared" si="58"/>
        <v>0</v>
      </c>
      <c r="AM170" s="1362">
        <f t="shared" si="54"/>
        <v>0</v>
      </c>
      <c r="AN170" s="1363">
        <f t="shared" si="46"/>
        <v>1000000</v>
      </c>
      <c r="AO170" s="1364"/>
      <c r="AP170" s="1364"/>
      <c r="AQ170" s="1361">
        <f t="shared" si="59"/>
        <v>83</v>
      </c>
      <c r="AR170" s="1362">
        <f t="shared" si="47"/>
        <v>0</v>
      </c>
      <c r="AS170" s="1362">
        <f t="shared" si="37"/>
        <v>8543.2677227072418</v>
      </c>
      <c r="AT170" s="1362">
        <f t="shared" si="60"/>
        <v>8543.2677227072418</v>
      </c>
      <c r="AU170" s="1363">
        <f t="shared" si="55"/>
        <v>290908.77901529893</v>
      </c>
    </row>
    <row r="171" spans="1:47">
      <c r="A171" s="1118">
        <f t="shared" ca="1" si="35"/>
        <v>3</v>
      </c>
      <c r="B171" s="1351">
        <f t="shared" si="38"/>
        <v>0</v>
      </c>
      <c r="C171" s="2143">
        <f t="shared" si="48"/>
        <v>0</v>
      </c>
      <c r="D171" s="2144">
        <f t="shared" si="49"/>
        <v>0</v>
      </c>
      <c r="E171" s="2145">
        <f t="shared" si="39"/>
        <v>0</v>
      </c>
      <c r="F171" s="2145">
        <f t="shared" si="61"/>
        <v>0</v>
      </c>
      <c r="G171" s="2145">
        <f t="shared" si="62"/>
        <v>0</v>
      </c>
      <c r="H171" s="2145">
        <f>IF(N170&lt;0.01,0,IF(Adm!$S$4=Adm!$S$8,0,N170*Adm!$V$4))</f>
        <v>0</v>
      </c>
      <c r="I171" s="2145">
        <f>IF(N170&lt;0.01,0,IF(Adm!$S$5=Adm!$S$8,0,Adm!$AA$11*Adm!$X$4))</f>
        <v>0</v>
      </c>
      <c r="J171" s="2145">
        <f>IF(N170&lt;0.01,0,Adm!$Q$4*1.16)</f>
        <v>0</v>
      </c>
      <c r="K171" s="2145">
        <f>IF(N170&lt;0.01,0,IF(Adm!$O$4&gt;0,E171*Adm!$O$4,0))</f>
        <v>0</v>
      </c>
      <c r="L171" s="2145">
        <f t="shared" si="40"/>
        <v>0</v>
      </c>
      <c r="M171" s="2145">
        <f>IF(Adm!$G$4="si",MIN(N170+E171+H171+I171+J171-L171,Z171),0)</f>
        <v>0</v>
      </c>
      <c r="N171" s="2145">
        <f t="shared" si="41"/>
        <v>0</v>
      </c>
      <c r="O171" s="2146"/>
      <c r="P171" s="1101"/>
      <c r="V171" s="1352">
        <f t="shared" si="42"/>
        <v>12</v>
      </c>
      <c r="W171" s="1367">
        <f>IF(V171=1,Cal!$AB$127,0)</f>
        <v>0</v>
      </c>
      <c r="Y171" s="1368">
        <f t="shared" si="50"/>
        <v>0</v>
      </c>
      <c r="Z171" s="1369">
        <f t="shared" ca="1" si="43"/>
        <v>0</v>
      </c>
      <c r="AB171" s="1375">
        <f t="shared" si="51"/>
        <v>0</v>
      </c>
      <c r="AC171" s="1373">
        <f t="shared" si="52"/>
        <v>0</v>
      </c>
      <c r="AD171" s="1373">
        <f t="shared" si="56"/>
        <v>0</v>
      </c>
      <c r="AE171" s="1373">
        <f t="shared" si="53"/>
        <v>0</v>
      </c>
      <c r="AF171" s="1371">
        <f t="shared" si="36"/>
        <v>0</v>
      </c>
      <c r="AG171" s="1359" t="e">
        <f>HLOOKUP($AG$83,anticipado,85,0)</f>
        <v>#N/A</v>
      </c>
      <c r="AI171" s="1360">
        <f t="shared" si="44"/>
        <v>0</v>
      </c>
      <c r="AJ171" s="1361">
        <f t="shared" si="57"/>
        <v>84</v>
      </c>
      <c r="AK171" s="1362">
        <f t="shared" si="45"/>
        <v>0</v>
      </c>
      <c r="AL171" s="1362">
        <f t="shared" si="58"/>
        <v>0</v>
      </c>
      <c r="AM171" s="1362">
        <f t="shared" si="54"/>
        <v>0</v>
      </c>
      <c r="AN171" s="1363">
        <f t="shared" si="46"/>
        <v>1000000</v>
      </c>
      <c r="AO171" s="1364"/>
      <c r="AP171" s="1364"/>
      <c r="AQ171" s="1361">
        <f t="shared" si="59"/>
        <v>84</v>
      </c>
      <c r="AR171" s="1362">
        <f t="shared" si="47"/>
        <v>0</v>
      </c>
      <c r="AS171" s="1362">
        <f t="shared" si="37"/>
        <v>8543.2677227072418</v>
      </c>
      <c r="AT171" s="1362">
        <f t="shared" si="60"/>
        <v>8543.2677227072418</v>
      </c>
      <c r="AU171" s="1363">
        <f t="shared" si="55"/>
        <v>282365.51129259169</v>
      </c>
    </row>
    <row r="172" spans="1:47">
      <c r="A172" s="1118">
        <f t="shared" ca="1" si="35"/>
        <v>4</v>
      </c>
      <c r="B172" s="1351">
        <f t="shared" si="38"/>
        <v>0</v>
      </c>
      <c r="C172" s="2143">
        <f t="shared" si="48"/>
        <v>0</v>
      </c>
      <c r="D172" s="2144">
        <f t="shared" si="49"/>
        <v>0</v>
      </c>
      <c r="E172" s="2145">
        <f t="shared" si="39"/>
        <v>0</v>
      </c>
      <c r="F172" s="2145">
        <f t="shared" si="61"/>
        <v>0</v>
      </c>
      <c r="G172" s="2145">
        <f t="shared" si="62"/>
        <v>0</v>
      </c>
      <c r="H172" s="2145">
        <f>IF(N171&lt;0.01,0,IF(Adm!$S$4=Adm!$S$8,0,N171*Adm!$V$4))</f>
        <v>0</v>
      </c>
      <c r="I172" s="2145">
        <f>IF(N171&lt;0.01,0,IF(Adm!$S$5=Adm!$S$8,0,Adm!$AA$11*Adm!$X$4))</f>
        <v>0</v>
      </c>
      <c r="J172" s="2145">
        <f>IF(N171&lt;0.01,0,Adm!$Q$4*1.16)</f>
        <v>0</v>
      </c>
      <c r="K172" s="2145">
        <f>IF(N171&lt;0.01,0,IF(Adm!$O$4&gt;0,E172*Adm!$O$4,0))</f>
        <v>0</v>
      </c>
      <c r="L172" s="2145">
        <f t="shared" si="40"/>
        <v>0</v>
      </c>
      <c r="M172" s="2145">
        <f>IF(Adm!$G$4="si",MIN(N171+E172+H172+I172+J172-L172,Z172),0)</f>
        <v>0</v>
      </c>
      <c r="N172" s="2145">
        <f t="shared" si="41"/>
        <v>0</v>
      </c>
      <c r="O172" s="2146"/>
      <c r="P172" s="1101"/>
      <c r="V172" s="1352">
        <f t="shared" si="42"/>
        <v>1</v>
      </c>
      <c r="W172" s="1367">
        <f>IF(V172=1,Cal!$AB$127,0)</f>
        <v>0</v>
      </c>
      <c r="Y172" s="1368">
        <f t="shared" si="50"/>
        <v>0</v>
      </c>
      <c r="Z172" s="1369">
        <f t="shared" ca="1" si="43"/>
        <v>0</v>
      </c>
      <c r="AB172" s="1375">
        <f t="shared" si="51"/>
        <v>0</v>
      </c>
      <c r="AC172" s="1373">
        <f t="shared" si="52"/>
        <v>0</v>
      </c>
      <c r="AD172" s="1373">
        <f t="shared" si="56"/>
        <v>0</v>
      </c>
      <c r="AE172" s="1373">
        <f t="shared" si="53"/>
        <v>0</v>
      </c>
      <c r="AF172" s="1371">
        <f t="shared" si="36"/>
        <v>0</v>
      </c>
      <c r="AG172" s="1359" t="e">
        <f>HLOOKUP($AG$83,anticipado,86,0)</f>
        <v>#N/A</v>
      </c>
      <c r="AI172" s="1360">
        <f t="shared" si="44"/>
        <v>0</v>
      </c>
      <c r="AJ172" s="1377">
        <f t="shared" si="57"/>
        <v>85</v>
      </c>
      <c r="AK172" s="1378">
        <f t="shared" si="45"/>
        <v>0</v>
      </c>
      <c r="AL172" s="1378">
        <f t="shared" si="58"/>
        <v>0</v>
      </c>
      <c r="AM172" s="1378">
        <f>MIN(AN171+AK172,AM171*(1+$AK$83))</f>
        <v>0</v>
      </c>
      <c r="AN172" s="1363">
        <f t="shared" si="46"/>
        <v>1000000</v>
      </c>
      <c r="AO172" s="1364"/>
      <c r="AP172" s="1364"/>
      <c r="AQ172" s="1379">
        <f t="shared" si="59"/>
        <v>85</v>
      </c>
      <c r="AR172" s="1380">
        <f t="shared" si="47"/>
        <v>0</v>
      </c>
      <c r="AS172" s="1380">
        <f t="shared" si="37"/>
        <v>8543.2677227072418</v>
      </c>
      <c r="AT172" s="1380">
        <f>MIN(AU171+AR172,AT171*(1+$AR$83))</f>
        <v>8543.2677227072418</v>
      </c>
      <c r="AU172" s="1363">
        <f t="shared" si="55"/>
        <v>273822.24356988445</v>
      </c>
    </row>
    <row r="173" spans="1:47">
      <c r="A173" s="1118">
        <f t="shared" ca="1" si="35"/>
        <v>5</v>
      </c>
      <c r="B173" s="1351">
        <f t="shared" si="38"/>
        <v>0</v>
      </c>
      <c r="C173" s="2143">
        <f t="shared" si="48"/>
        <v>0</v>
      </c>
      <c r="D173" s="2144">
        <f t="shared" si="49"/>
        <v>0</v>
      </c>
      <c r="E173" s="2145">
        <f t="shared" si="39"/>
        <v>0</v>
      </c>
      <c r="F173" s="2145">
        <f t="shared" si="61"/>
        <v>0</v>
      </c>
      <c r="G173" s="2145">
        <f t="shared" si="62"/>
        <v>0</v>
      </c>
      <c r="H173" s="2145">
        <f>IF(N172&lt;0.01,0,IF(Adm!$S$4=Adm!$S$8,0,N172*Adm!$V$4))</f>
        <v>0</v>
      </c>
      <c r="I173" s="2145">
        <f>IF(N172&lt;0.01,0,IF(Adm!$S$5=Adm!$S$8,0,Adm!$AA$11*Adm!$X$4))</f>
        <v>0</v>
      </c>
      <c r="J173" s="2145">
        <f>IF(N172&lt;0.01,0,Adm!$Q$4*1.16)</f>
        <v>0</v>
      </c>
      <c r="K173" s="2145">
        <f>IF(N172&lt;0.01,0,IF(Adm!$O$4&gt;0,E173*Adm!$O$4,0))</f>
        <v>0</v>
      </c>
      <c r="L173" s="2145">
        <f t="shared" si="40"/>
        <v>0</v>
      </c>
      <c r="M173" s="2145">
        <f>IF(Adm!$G$4="si",MIN(N172+E173+H173+I173+J173-L173,Z173),0)</f>
        <v>0</v>
      </c>
      <c r="N173" s="2145">
        <f t="shared" si="41"/>
        <v>0</v>
      </c>
      <c r="O173" s="2146"/>
      <c r="P173" s="1101"/>
      <c r="V173" s="1352">
        <f t="shared" si="42"/>
        <v>2</v>
      </c>
      <c r="W173" s="1367">
        <f>IF(V173=1,Cal!$AB$127,0)</f>
        <v>0</v>
      </c>
      <c r="Y173" s="1368">
        <f t="shared" si="50"/>
        <v>0</v>
      </c>
      <c r="Z173" s="1369">
        <f t="shared" ca="1" si="43"/>
        <v>0</v>
      </c>
      <c r="AB173" s="1375">
        <f t="shared" si="51"/>
        <v>0</v>
      </c>
      <c r="AC173" s="1373">
        <f t="shared" si="52"/>
        <v>0</v>
      </c>
      <c r="AD173" s="1373">
        <f t="shared" si="56"/>
        <v>0</v>
      </c>
      <c r="AE173" s="1373">
        <f t="shared" si="53"/>
        <v>0</v>
      </c>
      <c r="AF173" s="1371">
        <f t="shared" si="36"/>
        <v>0</v>
      </c>
      <c r="AG173" s="1359" t="e">
        <f>HLOOKUP($AG$83,anticipado,87,0)</f>
        <v>#N/A</v>
      </c>
      <c r="AI173" s="1360">
        <f t="shared" si="44"/>
        <v>0</v>
      </c>
      <c r="AJ173" s="1361">
        <f t="shared" si="57"/>
        <v>86</v>
      </c>
      <c r="AK173" s="1362">
        <f t="shared" si="45"/>
        <v>0</v>
      </c>
      <c r="AL173" s="1362">
        <f t="shared" si="58"/>
        <v>0</v>
      </c>
      <c r="AM173" s="1362">
        <f t="shared" si="54"/>
        <v>0</v>
      </c>
      <c r="AN173" s="1363">
        <f t="shared" si="46"/>
        <v>1000000</v>
      </c>
      <c r="AO173" s="1364"/>
      <c r="AP173" s="1364"/>
      <c r="AQ173" s="1361">
        <f t="shared" si="59"/>
        <v>86</v>
      </c>
      <c r="AR173" s="1362">
        <f t="shared" si="47"/>
        <v>0</v>
      </c>
      <c r="AS173" s="1362">
        <f t="shared" si="37"/>
        <v>8543.2677227072418</v>
      </c>
      <c r="AT173" s="1362">
        <f t="shared" ref="AT173:AT183" si="63">MIN(AU172+AR173,AT172)</f>
        <v>8543.2677227072418</v>
      </c>
      <c r="AU173" s="1363">
        <f t="shared" si="55"/>
        <v>265278.97584717721</v>
      </c>
    </row>
    <row r="174" spans="1:47">
      <c r="A174" s="1118">
        <f t="shared" ca="1" si="35"/>
        <v>6</v>
      </c>
      <c r="B174" s="1351">
        <f t="shared" si="38"/>
        <v>0</v>
      </c>
      <c r="C174" s="2143">
        <f t="shared" si="48"/>
        <v>0</v>
      </c>
      <c r="D174" s="2144">
        <f t="shared" si="49"/>
        <v>0</v>
      </c>
      <c r="E174" s="2145">
        <f t="shared" si="39"/>
        <v>0</v>
      </c>
      <c r="F174" s="2145">
        <f t="shared" si="61"/>
        <v>0</v>
      </c>
      <c r="G174" s="2145">
        <f t="shared" si="62"/>
        <v>0</v>
      </c>
      <c r="H174" s="2145">
        <f>IF(N173&lt;0.01,0,IF(Adm!$S$4=Adm!$S$8,0,N173*Adm!$V$4))</f>
        <v>0</v>
      </c>
      <c r="I174" s="2145">
        <f>IF(N173&lt;0.01,0,IF(Adm!$S$5=Adm!$S$8,0,Adm!$AA$11*Adm!$X$4))</f>
        <v>0</v>
      </c>
      <c r="J174" s="2145">
        <f>IF(N173&lt;0.01,0,Adm!$Q$4*1.16)</f>
        <v>0</v>
      </c>
      <c r="K174" s="2145">
        <f>IF(N173&lt;0.01,0,IF(Adm!$O$4&gt;0,E174*Adm!$O$4,0))</f>
        <v>0</v>
      </c>
      <c r="L174" s="2145">
        <f t="shared" si="40"/>
        <v>0</v>
      </c>
      <c r="M174" s="2145">
        <f>IF(Adm!$G$4="si",MIN(N173+E174+H174+I174+J174-L174,Z174),0)</f>
        <v>0</v>
      </c>
      <c r="N174" s="2145">
        <f t="shared" si="41"/>
        <v>0</v>
      </c>
      <c r="O174" s="2146"/>
      <c r="P174" s="1101"/>
      <c r="V174" s="1352">
        <f t="shared" si="42"/>
        <v>3</v>
      </c>
      <c r="W174" s="1367">
        <f>IF(V174=1,Cal!$AB$127,0)</f>
        <v>0</v>
      </c>
      <c r="Y174" s="1368">
        <f t="shared" si="50"/>
        <v>0</v>
      </c>
      <c r="Z174" s="1369">
        <f t="shared" ca="1" si="43"/>
        <v>0</v>
      </c>
      <c r="AB174" s="1375">
        <f t="shared" si="51"/>
        <v>0</v>
      </c>
      <c r="AC174" s="1373">
        <f t="shared" si="52"/>
        <v>0</v>
      </c>
      <c r="AD174" s="1373">
        <f t="shared" si="56"/>
        <v>0</v>
      </c>
      <c r="AE174" s="1373">
        <f t="shared" si="53"/>
        <v>0</v>
      </c>
      <c r="AF174" s="1371">
        <f t="shared" si="36"/>
        <v>0</v>
      </c>
      <c r="AG174" s="1359" t="e">
        <f>HLOOKUP($AG$83,anticipado,88,0)</f>
        <v>#N/A</v>
      </c>
      <c r="AI174" s="1360">
        <f t="shared" si="44"/>
        <v>0</v>
      </c>
      <c r="AJ174" s="1361">
        <f t="shared" si="57"/>
        <v>87</v>
      </c>
      <c r="AK174" s="1362">
        <f t="shared" si="45"/>
        <v>0</v>
      </c>
      <c r="AL174" s="1362">
        <f t="shared" si="58"/>
        <v>0</v>
      </c>
      <c r="AM174" s="1362">
        <f t="shared" si="54"/>
        <v>0</v>
      </c>
      <c r="AN174" s="1363">
        <f t="shared" si="46"/>
        <v>1000000</v>
      </c>
      <c r="AO174" s="1364"/>
      <c r="AP174" s="1364"/>
      <c r="AQ174" s="1361">
        <f t="shared" si="59"/>
        <v>87</v>
      </c>
      <c r="AR174" s="1362">
        <f t="shared" si="47"/>
        <v>0</v>
      </c>
      <c r="AS174" s="1362">
        <f t="shared" si="37"/>
        <v>8543.2677227072418</v>
      </c>
      <c r="AT174" s="1362">
        <f t="shared" si="63"/>
        <v>8543.2677227072418</v>
      </c>
      <c r="AU174" s="1363">
        <f t="shared" si="55"/>
        <v>256735.70812446997</v>
      </c>
    </row>
    <row r="175" spans="1:47">
      <c r="A175" s="1118">
        <f t="shared" ca="1" si="35"/>
        <v>7</v>
      </c>
      <c r="B175" s="1351">
        <f t="shared" si="38"/>
        <v>0</v>
      </c>
      <c r="C175" s="2143">
        <f t="shared" si="48"/>
        <v>0</v>
      </c>
      <c r="D175" s="2144">
        <f t="shared" si="49"/>
        <v>0</v>
      </c>
      <c r="E175" s="2145">
        <f t="shared" si="39"/>
        <v>0</v>
      </c>
      <c r="F175" s="2145">
        <f t="shared" si="61"/>
        <v>0</v>
      </c>
      <c r="G175" s="2145">
        <f t="shared" si="62"/>
        <v>0</v>
      </c>
      <c r="H175" s="2145">
        <f>IF(N174&lt;0.01,0,IF(Adm!$S$4=Adm!$S$8,0,N174*Adm!$V$4))</f>
        <v>0</v>
      </c>
      <c r="I175" s="2145">
        <f>IF(N174&lt;0.01,0,IF(Adm!$S$5=Adm!$S$8,0,Adm!$AA$11*Adm!$X$4))</f>
        <v>0</v>
      </c>
      <c r="J175" s="2145">
        <f>IF(N174&lt;0.01,0,Adm!$Q$4*1.16)</f>
        <v>0</v>
      </c>
      <c r="K175" s="2145">
        <f>IF(N174&lt;0.01,0,IF(Adm!$O$4&gt;0,E175*Adm!$O$4,0))</f>
        <v>0</v>
      </c>
      <c r="L175" s="2145">
        <f t="shared" si="40"/>
        <v>0</v>
      </c>
      <c r="M175" s="2145">
        <f>IF(Adm!$G$4="si",MIN(N174+E175+H175+I175+J175-L175,Z175),0)</f>
        <v>0</v>
      </c>
      <c r="N175" s="2145">
        <f t="shared" si="41"/>
        <v>0</v>
      </c>
      <c r="O175" s="2146"/>
      <c r="P175" s="1101"/>
      <c r="V175" s="1352">
        <f t="shared" si="42"/>
        <v>4</v>
      </c>
      <c r="W175" s="1367">
        <f>IF(V175=1,Cal!$AB$127,0)</f>
        <v>0</v>
      </c>
      <c r="Y175" s="1368">
        <f t="shared" si="50"/>
        <v>0</v>
      </c>
      <c r="Z175" s="1369">
        <f t="shared" ca="1" si="43"/>
        <v>0</v>
      </c>
      <c r="AB175" s="1375">
        <f t="shared" si="51"/>
        <v>0</v>
      </c>
      <c r="AC175" s="1373">
        <f t="shared" si="52"/>
        <v>0</v>
      </c>
      <c r="AD175" s="1373">
        <f t="shared" si="56"/>
        <v>0</v>
      </c>
      <c r="AE175" s="1373">
        <f t="shared" si="53"/>
        <v>0</v>
      </c>
      <c r="AF175" s="1371">
        <f t="shared" si="36"/>
        <v>0</v>
      </c>
      <c r="AG175" s="1359" t="e">
        <f>HLOOKUP($AG$83,anticipado,89,0)</f>
        <v>#N/A</v>
      </c>
      <c r="AI175" s="1360">
        <f t="shared" si="44"/>
        <v>0</v>
      </c>
      <c r="AJ175" s="1361">
        <f t="shared" si="57"/>
        <v>88</v>
      </c>
      <c r="AK175" s="1362">
        <f t="shared" si="45"/>
        <v>0</v>
      </c>
      <c r="AL175" s="1362">
        <f t="shared" si="58"/>
        <v>0</v>
      </c>
      <c r="AM175" s="1362">
        <f t="shared" si="54"/>
        <v>0</v>
      </c>
      <c r="AN175" s="1363">
        <f t="shared" si="46"/>
        <v>1000000</v>
      </c>
      <c r="AO175" s="1364"/>
      <c r="AP175" s="1364"/>
      <c r="AQ175" s="1361">
        <f t="shared" si="59"/>
        <v>88</v>
      </c>
      <c r="AR175" s="1362">
        <f t="shared" si="47"/>
        <v>0</v>
      </c>
      <c r="AS175" s="1362">
        <f t="shared" si="37"/>
        <v>8543.2677227072418</v>
      </c>
      <c r="AT175" s="1362">
        <f t="shared" si="63"/>
        <v>8543.2677227072418</v>
      </c>
      <c r="AU175" s="1363">
        <f t="shared" si="55"/>
        <v>248192.44040176272</v>
      </c>
    </row>
    <row r="176" spans="1:47">
      <c r="A176" s="1118">
        <f t="shared" ca="1" si="35"/>
        <v>8</v>
      </c>
      <c r="B176" s="1351">
        <f t="shared" si="38"/>
        <v>0</v>
      </c>
      <c r="C176" s="2143">
        <f t="shared" si="48"/>
        <v>0</v>
      </c>
      <c r="D176" s="2144">
        <f t="shared" si="49"/>
        <v>0</v>
      </c>
      <c r="E176" s="2145">
        <f t="shared" si="39"/>
        <v>0</v>
      </c>
      <c r="F176" s="2145">
        <f t="shared" si="61"/>
        <v>0</v>
      </c>
      <c r="G176" s="2145">
        <f t="shared" si="62"/>
        <v>0</v>
      </c>
      <c r="H176" s="2145">
        <f>IF(N175&lt;0.01,0,IF(Adm!$S$4=Adm!$S$8,0,N175*Adm!$V$4))</f>
        <v>0</v>
      </c>
      <c r="I176" s="2145">
        <f>IF(N175&lt;0.01,0,IF(Adm!$S$5=Adm!$S$8,0,Adm!$AA$11*Adm!$X$4))</f>
        <v>0</v>
      </c>
      <c r="J176" s="2145">
        <f>IF(N175&lt;0.01,0,Adm!$Q$4*1.16)</f>
        <v>0</v>
      </c>
      <c r="K176" s="2145">
        <f>IF(N175&lt;0.01,0,IF(Adm!$O$4&gt;0,E176*Adm!$O$4,0))</f>
        <v>0</v>
      </c>
      <c r="L176" s="2145">
        <f t="shared" si="40"/>
        <v>0</v>
      </c>
      <c r="M176" s="2145">
        <f>IF(Adm!$G$4="si",MIN(N175+E176+H176+I176+J176-L176,Z176),0)</f>
        <v>0</v>
      </c>
      <c r="N176" s="2145">
        <f t="shared" si="41"/>
        <v>0</v>
      </c>
      <c r="O176" s="2146"/>
      <c r="P176" s="1101"/>
      <c r="V176" s="1352">
        <f t="shared" si="42"/>
        <v>5</v>
      </c>
      <c r="W176" s="1367">
        <f>IF(V176=1,Cal!$AB$127,0)</f>
        <v>0</v>
      </c>
      <c r="Y176" s="1368">
        <f t="shared" si="50"/>
        <v>0</v>
      </c>
      <c r="Z176" s="1369">
        <f t="shared" ca="1" si="43"/>
        <v>0</v>
      </c>
      <c r="AB176" s="1375">
        <f t="shared" si="51"/>
        <v>0</v>
      </c>
      <c r="AC176" s="1373">
        <f t="shared" si="52"/>
        <v>0</v>
      </c>
      <c r="AD176" s="1373">
        <f t="shared" si="56"/>
        <v>0</v>
      </c>
      <c r="AE176" s="1373">
        <f t="shared" si="53"/>
        <v>0</v>
      </c>
      <c r="AF176" s="1371">
        <f t="shared" si="36"/>
        <v>0</v>
      </c>
      <c r="AG176" s="1359" t="e">
        <f>HLOOKUP($AG$83,anticipado,90,0)</f>
        <v>#N/A</v>
      </c>
      <c r="AI176" s="1360">
        <f t="shared" si="44"/>
        <v>0</v>
      </c>
      <c r="AJ176" s="1361">
        <f t="shared" si="57"/>
        <v>89</v>
      </c>
      <c r="AK176" s="1362">
        <f t="shared" si="45"/>
        <v>0</v>
      </c>
      <c r="AL176" s="1362">
        <f t="shared" si="58"/>
        <v>0</v>
      </c>
      <c r="AM176" s="1362">
        <f t="shared" si="54"/>
        <v>0</v>
      </c>
      <c r="AN176" s="1363">
        <f t="shared" si="46"/>
        <v>1000000</v>
      </c>
      <c r="AO176" s="1364"/>
      <c r="AP176" s="1364"/>
      <c r="AQ176" s="1361">
        <f t="shared" si="59"/>
        <v>89</v>
      </c>
      <c r="AR176" s="1362">
        <f t="shared" si="47"/>
        <v>0</v>
      </c>
      <c r="AS176" s="1362">
        <f t="shared" si="37"/>
        <v>8543.2677227072418</v>
      </c>
      <c r="AT176" s="1362">
        <f t="shared" si="63"/>
        <v>8543.2677227072418</v>
      </c>
      <c r="AU176" s="1363">
        <f t="shared" si="55"/>
        <v>239649.17267905548</v>
      </c>
    </row>
    <row r="177" spans="1:47">
      <c r="A177" s="1118">
        <f t="shared" ca="1" si="35"/>
        <v>9</v>
      </c>
      <c r="B177" s="1351">
        <f t="shared" si="38"/>
        <v>0</v>
      </c>
      <c r="C177" s="2143">
        <f t="shared" si="48"/>
        <v>0</v>
      </c>
      <c r="D177" s="2144">
        <f t="shared" si="49"/>
        <v>0</v>
      </c>
      <c r="E177" s="2145">
        <f t="shared" si="39"/>
        <v>0</v>
      </c>
      <c r="F177" s="2145">
        <f t="shared" si="61"/>
        <v>0</v>
      </c>
      <c r="G177" s="2145">
        <f t="shared" si="62"/>
        <v>0</v>
      </c>
      <c r="H177" s="2145">
        <f>IF(N176&lt;0.01,0,IF(Adm!$S$4=Adm!$S$8,0,N176*Adm!$V$4))</f>
        <v>0</v>
      </c>
      <c r="I177" s="2145">
        <f>IF(N176&lt;0.01,0,IF(Adm!$S$5=Adm!$S$8,0,Adm!$AA$11*Adm!$X$4))</f>
        <v>0</v>
      </c>
      <c r="J177" s="2145">
        <f>IF(N176&lt;0.01,0,Adm!$Q$4*1.16)</f>
        <v>0</v>
      </c>
      <c r="K177" s="2145">
        <f>IF(N176&lt;0.01,0,IF(Adm!$O$4&gt;0,E177*Adm!$O$4,0))</f>
        <v>0</v>
      </c>
      <c r="L177" s="2145">
        <f t="shared" si="40"/>
        <v>0</v>
      </c>
      <c r="M177" s="2145">
        <f>IF(Adm!$G$4="si",MIN(N176+E177+H177+I177+J177-L177,Z177),0)</f>
        <v>0</v>
      </c>
      <c r="N177" s="2145">
        <f t="shared" si="41"/>
        <v>0</v>
      </c>
      <c r="O177" s="2146"/>
      <c r="P177" s="1101"/>
      <c r="V177" s="1352">
        <f t="shared" si="42"/>
        <v>6</v>
      </c>
      <c r="W177" s="1367">
        <f>IF(V177=1,Cal!$AB$127,0)</f>
        <v>0</v>
      </c>
      <c r="Y177" s="1368">
        <f t="shared" si="50"/>
        <v>0</v>
      </c>
      <c r="Z177" s="1369">
        <f t="shared" ca="1" si="43"/>
        <v>0</v>
      </c>
      <c r="AB177" s="1375">
        <f t="shared" si="51"/>
        <v>0</v>
      </c>
      <c r="AC177" s="1373">
        <f t="shared" si="52"/>
        <v>0</v>
      </c>
      <c r="AD177" s="1373">
        <f t="shared" si="56"/>
        <v>0</v>
      </c>
      <c r="AE177" s="1373">
        <f t="shared" si="53"/>
        <v>0</v>
      </c>
      <c r="AF177" s="1371">
        <f t="shared" si="36"/>
        <v>0</v>
      </c>
      <c r="AG177" s="1359" t="e">
        <f>HLOOKUP($AG$83,anticipado,91,0)</f>
        <v>#N/A</v>
      </c>
      <c r="AI177" s="1360">
        <f t="shared" si="44"/>
        <v>0</v>
      </c>
      <c r="AJ177" s="1361">
        <f t="shared" si="57"/>
        <v>90</v>
      </c>
      <c r="AK177" s="1362">
        <f t="shared" si="45"/>
        <v>0</v>
      </c>
      <c r="AL177" s="1362">
        <f t="shared" si="58"/>
        <v>0</v>
      </c>
      <c r="AM177" s="1362">
        <f t="shared" si="54"/>
        <v>0</v>
      </c>
      <c r="AN177" s="1363">
        <f t="shared" si="46"/>
        <v>1000000</v>
      </c>
      <c r="AO177" s="1364"/>
      <c r="AP177" s="1364"/>
      <c r="AQ177" s="1361">
        <f t="shared" si="59"/>
        <v>90</v>
      </c>
      <c r="AR177" s="1362">
        <f t="shared" si="47"/>
        <v>0</v>
      </c>
      <c r="AS177" s="1362">
        <f t="shared" si="37"/>
        <v>8543.2677227072418</v>
      </c>
      <c r="AT177" s="1362">
        <f t="shared" si="63"/>
        <v>8543.2677227072418</v>
      </c>
      <c r="AU177" s="1363">
        <f t="shared" si="55"/>
        <v>231105.90495634824</v>
      </c>
    </row>
    <row r="178" spans="1:47">
      <c r="A178" s="1118">
        <f t="shared" ca="1" si="35"/>
        <v>10</v>
      </c>
      <c r="B178" s="1351">
        <f t="shared" si="38"/>
        <v>0</v>
      </c>
      <c r="C178" s="2143">
        <f t="shared" si="48"/>
        <v>0</v>
      </c>
      <c r="D178" s="2144">
        <f t="shared" si="49"/>
        <v>0</v>
      </c>
      <c r="E178" s="2145">
        <f t="shared" si="39"/>
        <v>0</v>
      </c>
      <c r="F178" s="2145">
        <f t="shared" si="61"/>
        <v>0</v>
      </c>
      <c r="G178" s="2145">
        <f t="shared" si="62"/>
        <v>0</v>
      </c>
      <c r="H178" s="2145">
        <f>IF(N177&lt;0.01,0,IF(Adm!$S$4=Adm!$S$8,0,N177*Adm!$V$4))</f>
        <v>0</v>
      </c>
      <c r="I178" s="2145">
        <f>IF(N177&lt;0.01,0,IF(Adm!$S$5=Adm!$S$8,0,Adm!$AA$11*Adm!$X$4))</f>
        <v>0</v>
      </c>
      <c r="J178" s="2145">
        <f>IF(N177&lt;0.01,0,Adm!$Q$4*1.16)</f>
        <v>0</v>
      </c>
      <c r="K178" s="2145">
        <f>IF(N177&lt;0.01,0,IF(Adm!$O$4&gt;0,E178*Adm!$O$4,0))</f>
        <v>0</v>
      </c>
      <c r="L178" s="2145">
        <f t="shared" si="40"/>
        <v>0</v>
      </c>
      <c r="M178" s="2145">
        <f>IF(Adm!$G$4="si",MIN(N177+E178+H178+I178+J178-L178,Z178),0)</f>
        <v>0</v>
      </c>
      <c r="N178" s="2145">
        <f t="shared" si="41"/>
        <v>0</v>
      </c>
      <c r="O178" s="2146"/>
      <c r="P178" s="1101"/>
      <c r="V178" s="1352">
        <f t="shared" si="42"/>
        <v>7</v>
      </c>
      <c r="W178" s="1367">
        <f>IF(V178=1,Cal!$AB$127,0)</f>
        <v>0</v>
      </c>
      <c r="Y178" s="1368">
        <f t="shared" si="50"/>
        <v>0</v>
      </c>
      <c r="Z178" s="1369">
        <f t="shared" ca="1" si="43"/>
        <v>0</v>
      </c>
      <c r="AB178" s="1375">
        <f t="shared" si="51"/>
        <v>0</v>
      </c>
      <c r="AC178" s="1373">
        <f t="shared" si="52"/>
        <v>0</v>
      </c>
      <c r="AD178" s="1373">
        <f t="shared" si="56"/>
        <v>0</v>
      </c>
      <c r="AE178" s="1373">
        <f t="shared" si="53"/>
        <v>0</v>
      </c>
      <c r="AF178" s="1371">
        <f t="shared" si="36"/>
        <v>0</v>
      </c>
      <c r="AG178" s="1359" t="e">
        <f>HLOOKUP($AG$83,anticipado,92,0)</f>
        <v>#N/A</v>
      </c>
      <c r="AI178" s="1360">
        <f t="shared" si="44"/>
        <v>0</v>
      </c>
      <c r="AJ178" s="1361">
        <f t="shared" si="57"/>
        <v>91</v>
      </c>
      <c r="AK178" s="1362">
        <f t="shared" si="45"/>
        <v>0</v>
      </c>
      <c r="AL178" s="1362">
        <f t="shared" si="58"/>
        <v>0</v>
      </c>
      <c r="AM178" s="1362">
        <f t="shared" si="54"/>
        <v>0</v>
      </c>
      <c r="AN178" s="1363">
        <f t="shared" si="46"/>
        <v>1000000</v>
      </c>
      <c r="AO178" s="1364"/>
      <c r="AP178" s="1364"/>
      <c r="AQ178" s="1361">
        <f t="shared" si="59"/>
        <v>91</v>
      </c>
      <c r="AR178" s="1362">
        <f t="shared" si="47"/>
        <v>0</v>
      </c>
      <c r="AS178" s="1362">
        <f t="shared" si="37"/>
        <v>8543.2677227072418</v>
      </c>
      <c r="AT178" s="1362">
        <f t="shared" si="63"/>
        <v>8543.2677227072418</v>
      </c>
      <c r="AU178" s="1363">
        <f t="shared" si="55"/>
        <v>222562.637233641</v>
      </c>
    </row>
    <row r="179" spans="1:47">
      <c r="A179" s="1118">
        <f t="shared" ca="1" si="35"/>
        <v>11</v>
      </c>
      <c r="B179" s="1351">
        <f t="shared" si="38"/>
        <v>0</v>
      </c>
      <c r="C179" s="2143">
        <f t="shared" si="48"/>
        <v>0</v>
      </c>
      <c r="D179" s="2144">
        <f t="shared" si="49"/>
        <v>0</v>
      </c>
      <c r="E179" s="2145">
        <f t="shared" si="39"/>
        <v>0</v>
      </c>
      <c r="F179" s="2145">
        <f t="shared" si="61"/>
        <v>0</v>
      </c>
      <c r="G179" s="2145">
        <f t="shared" si="62"/>
        <v>0</v>
      </c>
      <c r="H179" s="2145">
        <f>IF(N178&lt;0.01,0,IF(Adm!$S$4=Adm!$S$8,0,N178*Adm!$V$4))</f>
        <v>0</v>
      </c>
      <c r="I179" s="2145">
        <f>IF(N178&lt;0.01,0,IF(Adm!$S$5=Adm!$S$8,0,Adm!$AA$11*Adm!$X$4))</f>
        <v>0</v>
      </c>
      <c r="J179" s="2145">
        <f>IF(N178&lt;0.01,0,Adm!$Q$4*1.16)</f>
        <v>0</v>
      </c>
      <c r="K179" s="2145">
        <f>IF(N178&lt;0.01,0,IF(Adm!$O$4&gt;0,E179*Adm!$O$4,0))</f>
        <v>0</v>
      </c>
      <c r="L179" s="2145">
        <f t="shared" si="40"/>
        <v>0</v>
      </c>
      <c r="M179" s="2145">
        <f>IF(Adm!$G$4="si",MIN(N178+E179+H179+I179+J179-L179,Z179),0)</f>
        <v>0</v>
      </c>
      <c r="N179" s="2145">
        <f t="shared" si="41"/>
        <v>0</v>
      </c>
      <c r="O179" s="2146"/>
      <c r="P179" s="1101"/>
      <c r="V179" s="1352">
        <f t="shared" si="42"/>
        <v>8</v>
      </c>
      <c r="W179" s="1367">
        <f>IF(V179=1,Cal!$AB$127,0)</f>
        <v>0</v>
      </c>
      <c r="Y179" s="1368">
        <f t="shared" si="50"/>
        <v>0</v>
      </c>
      <c r="Z179" s="1369">
        <f t="shared" ca="1" si="43"/>
        <v>0</v>
      </c>
      <c r="AB179" s="1375">
        <f t="shared" si="51"/>
        <v>0</v>
      </c>
      <c r="AC179" s="1373">
        <f t="shared" si="52"/>
        <v>0</v>
      </c>
      <c r="AD179" s="1373">
        <f t="shared" si="56"/>
        <v>0</v>
      </c>
      <c r="AE179" s="1373">
        <f t="shared" si="53"/>
        <v>0</v>
      </c>
      <c r="AF179" s="1371">
        <f t="shared" si="36"/>
        <v>0</v>
      </c>
      <c r="AG179" s="1359" t="e">
        <f>HLOOKUP($AG$83,anticipado,93,0)</f>
        <v>#N/A</v>
      </c>
      <c r="AI179" s="1360">
        <f t="shared" si="44"/>
        <v>0</v>
      </c>
      <c r="AJ179" s="1361">
        <f t="shared" si="57"/>
        <v>92</v>
      </c>
      <c r="AK179" s="1362">
        <f t="shared" si="45"/>
        <v>0</v>
      </c>
      <c r="AL179" s="1362">
        <f t="shared" si="58"/>
        <v>0</v>
      </c>
      <c r="AM179" s="1362">
        <f t="shared" si="54"/>
        <v>0</v>
      </c>
      <c r="AN179" s="1363">
        <f t="shared" si="46"/>
        <v>1000000</v>
      </c>
      <c r="AO179" s="1364"/>
      <c r="AP179" s="1364"/>
      <c r="AQ179" s="1361">
        <f t="shared" si="59"/>
        <v>92</v>
      </c>
      <c r="AR179" s="1362">
        <f t="shared" si="47"/>
        <v>0</v>
      </c>
      <c r="AS179" s="1362">
        <f t="shared" si="37"/>
        <v>8543.2677227072418</v>
      </c>
      <c r="AT179" s="1362">
        <f t="shared" si="63"/>
        <v>8543.2677227072418</v>
      </c>
      <c r="AU179" s="1363">
        <f t="shared" si="55"/>
        <v>214019.36951093376</v>
      </c>
    </row>
    <row r="180" spans="1:47">
      <c r="A180" s="1118">
        <f t="shared" ca="1" si="35"/>
        <v>12</v>
      </c>
      <c r="B180" s="1351">
        <f t="shared" si="38"/>
        <v>0</v>
      </c>
      <c r="C180" s="2143">
        <f t="shared" si="48"/>
        <v>0</v>
      </c>
      <c r="D180" s="2144">
        <f t="shared" si="49"/>
        <v>0</v>
      </c>
      <c r="E180" s="2145">
        <f t="shared" si="39"/>
        <v>0</v>
      </c>
      <c r="F180" s="2145">
        <f t="shared" si="61"/>
        <v>0</v>
      </c>
      <c r="G180" s="2145">
        <f t="shared" si="62"/>
        <v>0</v>
      </c>
      <c r="H180" s="2145">
        <f>IF(N179&lt;0.01,0,IF(Adm!$S$4=Adm!$S$8,0,N179*Adm!$V$4))</f>
        <v>0</v>
      </c>
      <c r="I180" s="2145">
        <f>IF(N179&lt;0.01,0,IF(Adm!$S$5=Adm!$S$8,0,Adm!$AA$11*Adm!$X$4))</f>
        <v>0</v>
      </c>
      <c r="J180" s="2145">
        <f>IF(N179&lt;0.01,0,Adm!$Q$4*1.16)</f>
        <v>0</v>
      </c>
      <c r="K180" s="2145">
        <f>IF(N179&lt;0.01,0,IF(Adm!$O$4&gt;0,E180*Adm!$O$4,0))</f>
        <v>0</v>
      </c>
      <c r="L180" s="2145">
        <f t="shared" si="40"/>
        <v>0</v>
      </c>
      <c r="M180" s="2145">
        <f>IF(Adm!$G$4="si",MIN(N179+E180+H180+I180+J180-L180,Z180),0)</f>
        <v>0</v>
      </c>
      <c r="N180" s="2145">
        <f t="shared" si="41"/>
        <v>0</v>
      </c>
      <c r="O180" s="2146"/>
      <c r="P180" s="1101"/>
      <c r="V180" s="1352">
        <f t="shared" si="42"/>
        <v>9</v>
      </c>
      <c r="W180" s="1367">
        <f>IF(V180=1,Cal!$AB$127,0)</f>
        <v>0</v>
      </c>
      <c r="Y180" s="1368">
        <f t="shared" si="50"/>
        <v>0</v>
      </c>
      <c r="Z180" s="1369">
        <f t="shared" ca="1" si="43"/>
        <v>0</v>
      </c>
      <c r="AB180" s="1375">
        <f t="shared" si="51"/>
        <v>0</v>
      </c>
      <c r="AC180" s="1373">
        <f t="shared" si="52"/>
        <v>0</v>
      </c>
      <c r="AD180" s="1373">
        <f t="shared" si="56"/>
        <v>0</v>
      </c>
      <c r="AE180" s="1373">
        <f t="shared" si="53"/>
        <v>0</v>
      </c>
      <c r="AF180" s="1371">
        <f t="shared" si="36"/>
        <v>0</v>
      </c>
      <c r="AG180" s="1359" t="e">
        <f>HLOOKUP($AG$83,anticipado,94,0)</f>
        <v>#N/A</v>
      </c>
      <c r="AI180" s="1360">
        <f t="shared" si="44"/>
        <v>0</v>
      </c>
      <c r="AJ180" s="1361">
        <f t="shared" si="57"/>
        <v>93</v>
      </c>
      <c r="AK180" s="1362">
        <f t="shared" si="45"/>
        <v>0</v>
      </c>
      <c r="AL180" s="1362">
        <f t="shared" si="58"/>
        <v>0</v>
      </c>
      <c r="AM180" s="1362">
        <f t="shared" si="54"/>
        <v>0</v>
      </c>
      <c r="AN180" s="1363">
        <f t="shared" si="46"/>
        <v>1000000</v>
      </c>
      <c r="AO180" s="1364"/>
      <c r="AP180" s="1364"/>
      <c r="AQ180" s="1361">
        <f t="shared" si="59"/>
        <v>93</v>
      </c>
      <c r="AR180" s="1362">
        <f t="shared" si="47"/>
        <v>0</v>
      </c>
      <c r="AS180" s="1362">
        <f t="shared" si="37"/>
        <v>8543.2677227072418</v>
      </c>
      <c r="AT180" s="1362">
        <f t="shared" si="63"/>
        <v>8543.2677227072418</v>
      </c>
      <c r="AU180" s="1363">
        <f t="shared" si="55"/>
        <v>205476.10178822652</v>
      </c>
    </row>
    <row r="181" spans="1:47">
      <c r="A181" s="1118">
        <f t="shared" ca="1" si="35"/>
        <v>1</v>
      </c>
      <c r="B181" s="1351">
        <f t="shared" si="38"/>
        <v>0</v>
      </c>
      <c r="C181" s="2143">
        <f t="shared" si="48"/>
        <v>0</v>
      </c>
      <c r="D181" s="2144">
        <f t="shared" si="49"/>
        <v>0</v>
      </c>
      <c r="E181" s="2145">
        <f t="shared" si="39"/>
        <v>0</v>
      </c>
      <c r="F181" s="2145">
        <f t="shared" si="61"/>
        <v>0</v>
      </c>
      <c r="G181" s="2145">
        <f t="shared" si="62"/>
        <v>0</v>
      </c>
      <c r="H181" s="2145">
        <f>IF(N180&lt;0.01,0,IF(Adm!$S$4=Adm!$S$8,0,N180*Adm!$V$4))</f>
        <v>0</v>
      </c>
      <c r="I181" s="2145">
        <f>IF(N180&lt;0.01,0,IF(Adm!$S$5=Adm!$S$8,0,Adm!$AA$11*Adm!$X$4))</f>
        <v>0</v>
      </c>
      <c r="J181" s="2145">
        <f>IF(N180&lt;0.01,0,Adm!$Q$4*1.16)</f>
        <v>0</v>
      </c>
      <c r="K181" s="2145">
        <f>IF(N180&lt;0.01,0,IF(Adm!$O$4&gt;0,E181*Adm!$O$4,0))</f>
        <v>0</v>
      </c>
      <c r="L181" s="2145">
        <f t="shared" si="40"/>
        <v>0</v>
      </c>
      <c r="M181" s="2145">
        <f>IF(Adm!$G$4="si",MIN(N180+E181+H181+I181+J181-L181,Z181),0)</f>
        <v>0</v>
      </c>
      <c r="N181" s="2145">
        <f t="shared" si="41"/>
        <v>0</v>
      </c>
      <c r="O181" s="2146"/>
      <c r="P181" s="1101"/>
      <c r="V181" s="1352">
        <f t="shared" si="42"/>
        <v>10</v>
      </c>
      <c r="W181" s="1367">
        <f>IF(V181=1,Cal!$AB$127,0)</f>
        <v>0</v>
      </c>
      <c r="Y181" s="1368">
        <f t="shared" si="50"/>
        <v>0</v>
      </c>
      <c r="Z181" s="1369">
        <f t="shared" ca="1" si="43"/>
        <v>0</v>
      </c>
      <c r="AB181" s="1375">
        <f t="shared" si="51"/>
        <v>0</v>
      </c>
      <c r="AC181" s="1373">
        <f t="shared" si="52"/>
        <v>0</v>
      </c>
      <c r="AD181" s="1373">
        <f t="shared" si="56"/>
        <v>0</v>
      </c>
      <c r="AE181" s="1373">
        <f t="shared" si="53"/>
        <v>0</v>
      </c>
      <c r="AF181" s="1371">
        <f t="shared" si="36"/>
        <v>0</v>
      </c>
      <c r="AG181" s="1359" t="e">
        <f>HLOOKUP($AG$83,anticipado,95,0)</f>
        <v>#N/A</v>
      </c>
      <c r="AI181" s="1360">
        <f t="shared" si="44"/>
        <v>0</v>
      </c>
      <c r="AJ181" s="1361">
        <f t="shared" si="57"/>
        <v>94</v>
      </c>
      <c r="AK181" s="1362">
        <f t="shared" si="45"/>
        <v>0</v>
      </c>
      <c r="AL181" s="1362">
        <f t="shared" si="58"/>
        <v>0</v>
      </c>
      <c r="AM181" s="1362">
        <f t="shared" si="54"/>
        <v>0</v>
      </c>
      <c r="AN181" s="1363">
        <f t="shared" si="46"/>
        <v>1000000</v>
      </c>
      <c r="AO181" s="1364"/>
      <c r="AP181" s="1364"/>
      <c r="AQ181" s="1361">
        <f t="shared" si="59"/>
        <v>94</v>
      </c>
      <c r="AR181" s="1362">
        <f t="shared" si="47"/>
        <v>0</v>
      </c>
      <c r="AS181" s="1362">
        <f t="shared" si="37"/>
        <v>8543.2677227072418</v>
      </c>
      <c r="AT181" s="1362">
        <f t="shared" si="63"/>
        <v>8543.2677227072418</v>
      </c>
      <c r="AU181" s="1363">
        <f t="shared" si="55"/>
        <v>196932.83406551927</v>
      </c>
    </row>
    <row r="182" spans="1:47">
      <c r="A182" s="1118">
        <f t="shared" ca="1" si="35"/>
        <v>2</v>
      </c>
      <c r="B182" s="1351">
        <f t="shared" si="38"/>
        <v>0</v>
      </c>
      <c r="C182" s="2143">
        <f t="shared" si="48"/>
        <v>0</v>
      </c>
      <c r="D182" s="2144">
        <f t="shared" si="49"/>
        <v>0</v>
      </c>
      <c r="E182" s="2145">
        <f t="shared" si="39"/>
        <v>0</v>
      </c>
      <c r="F182" s="2145">
        <f t="shared" si="61"/>
        <v>0</v>
      </c>
      <c r="G182" s="2145">
        <f t="shared" si="62"/>
        <v>0</v>
      </c>
      <c r="H182" s="2145">
        <f>IF(N181&lt;0.01,0,IF(Adm!$S$4=Adm!$S$8,0,N181*Adm!$V$4))</f>
        <v>0</v>
      </c>
      <c r="I182" s="2145">
        <f>IF(N181&lt;0.01,0,IF(Adm!$S$5=Adm!$S$8,0,Adm!$AA$11*Adm!$X$4))</f>
        <v>0</v>
      </c>
      <c r="J182" s="2145">
        <f>IF(N181&lt;0.01,0,Adm!$Q$4*1.16)</f>
        <v>0</v>
      </c>
      <c r="K182" s="2145">
        <f>IF(N181&lt;0.01,0,IF(Adm!$O$4&gt;0,E182*Adm!$O$4,0))</f>
        <v>0</v>
      </c>
      <c r="L182" s="2145">
        <f t="shared" si="40"/>
        <v>0</v>
      </c>
      <c r="M182" s="2145">
        <f>IF(Adm!$G$4="si",MIN(N181+E182+H182+I182+J182-L182,Z182),0)</f>
        <v>0</v>
      </c>
      <c r="N182" s="2145">
        <f t="shared" si="41"/>
        <v>0</v>
      </c>
      <c r="O182" s="2146"/>
      <c r="P182" s="1101"/>
      <c r="V182" s="1352">
        <f t="shared" si="42"/>
        <v>11</v>
      </c>
      <c r="W182" s="1367">
        <f>IF(V182=1,Cal!$AB$127,0)</f>
        <v>0</v>
      </c>
      <c r="Y182" s="1368">
        <f t="shared" si="50"/>
        <v>0</v>
      </c>
      <c r="Z182" s="1369">
        <f t="shared" ca="1" si="43"/>
        <v>0</v>
      </c>
      <c r="AB182" s="1375">
        <f t="shared" si="51"/>
        <v>0</v>
      </c>
      <c r="AC182" s="1373">
        <f t="shared" si="52"/>
        <v>0</v>
      </c>
      <c r="AD182" s="1373">
        <f t="shared" si="56"/>
        <v>0</v>
      </c>
      <c r="AE182" s="1373">
        <f t="shared" si="53"/>
        <v>0</v>
      </c>
      <c r="AF182" s="1371">
        <f t="shared" si="36"/>
        <v>0</v>
      </c>
      <c r="AG182" s="1359" t="e">
        <f>HLOOKUP($AG$83,anticipado,96,0)</f>
        <v>#N/A</v>
      </c>
      <c r="AI182" s="1360">
        <f t="shared" si="44"/>
        <v>0</v>
      </c>
      <c r="AJ182" s="1361">
        <f t="shared" si="57"/>
        <v>95</v>
      </c>
      <c r="AK182" s="1362">
        <f t="shared" si="45"/>
        <v>0</v>
      </c>
      <c r="AL182" s="1362">
        <f t="shared" si="58"/>
        <v>0</v>
      </c>
      <c r="AM182" s="1362">
        <f t="shared" si="54"/>
        <v>0</v>
      </c>
      <c r="AN182" s="1363">
        <f t="shared" si="46"/>
        <v>1000000</v>
      </c>
      <c r="AO182" s="1364"/>
      <c r="AP182" s="1364"/>
      <c r="AQ182" s="1361">
        <f t="shared" si="59"/>
        <v>95</v>
      </c>
      <c r="AR182" s="1362">
        <f t="shared" si="47"/>
        <v>0</v>
      </c>
      <c r="AS182" s="1362">
        <f t="shared" si="37"/>
        <v>8543.2677227072418</v>
      </c>
      <c r="AT182" s="1362">
        <f t="shared" si="63"/>
        <v>8543.2677227072418</v>
      </c>
      <c r="AU182" s="1363">
        <f t="shared" si="55"/>
        <v>188389.56634281203</v>
      </c>
    </row>
    <row r="183" spans="1:47">
      <c r="A183" s="1118">
        <f t="shared" ca="1" si="35"/>
        <v>3</v>
      </c>
      <c r="B183" s="1351">
        <f t="shared" si="38"/>
        <v>0</v>
      </c>
      <c r="C183" s="2143">
        <f t="shared" si="48"/>
        <v>0</v>
      </c>
      <c r="D183" s="2144">
        <f t="shared" si="49"/>
        <v>0</v>
      </c>
      <c r="E183" s="2145">
        <f t="shared" si="39"/>
        <v>0</v>
      </c>
      <c r="F183" s="2145">
        <f t="shared" si="61"/>
        <v>0</v>
      </c>
      <c r="G183" s="2145">
        <f t="shared" si="62"/>
        <v>0</v>
      </c>
      <c r="H183" s="2145">
        <f>IF(N182&lt;0.01,0,IF(Adm!$S$4=Adm!$S$8,0,N182*Adm!$V$4))</f>
        <v>0</v>
      </c>
      <c r="I183" s="2145">
        <f>IF(N182&lt;0.01,0,IF(Adm!$S$5=Adm!$S$8,0,Adm!$AA$11*Adm!$X$4))</f>
        <v>0</v>
      </c>
      <c r="J183" s="2145">
        <f>IF(N182&lt;0.01,0,Adm!$Q$4*1.16)</f>
        <v>0</v>
      </c>
      <c r="K183" s="2145">
        <f>IF(N182&lt;0.01,0,IF(Adm!$O$4&gt;0,E183*Adm!$O$4,0))</f>
        <v>0</v>
      </c>
      <c r="L183" s="2145">
        <f t="shared" si="40"/>
        <v>0</v>
      </c>
      <c r="M183" s="2145">
        <f>IF(Adm!$G$4="si",MIN(N182+E183+H183+I183+J183-L183,Z183),0)</f>
        <v>0</v>
      </c>
      <c r="N183" s="2145">
        <f t="shared" si="41"/>
        <v>0</v>
      </c>
      <c r="O183" s="2146"/>
      <c r="P183" s="1101"/>
      <c r="V183" s="1352">
        <f t="shared" si="42"/>
        <v>12</v>
      </c>
      <c r="W183" s="1367">
        <f>IF(V183=1,Cal!$AB$127,0)</f>
        <v>0</v>
      </c>
      <c r="Y183" s="1368">
        <f t="shared" si="50"/>
        <v>0</v>
      </c>
      <c r="Z183" s="1369">
        <f t="shared" ca="1" si="43"/>
        <v>0</v>
      </c>
      <c r="AB183" s="1375">
        <f t="shared" si="51"/>
        <v>0</v>
      </c>
      <c r="AC183" s="1373">
        <f t="shared" si="52"/>
        <v>0</v>
      </c>
      <c r="AD183" s="1373">
        <f t="shared" si="56"/>
        <v>0</v>
      </c>
      <c r="AE183" s="1373">
        <f t="shared" si="53"/>
        <v>0</v>
      </c>
      <c r="AF183" s="1371">
        <f t="shared" si="36"/>
        <v>0</v>
      </c>
      <c r="AG183" s="1359" t="e">
        <f>HLOOKUP($AG$83,anticipado,97,0)</f>
        <v>#N/A</v>
      </c>
      <c r="AI183" s="1360">
        <f t="shared" si="44"/>
        <v>0</v>
      </c>
      <c r="AJ183" s="1361">
        <f t="shared" si="57"/>
        <v>96</v>
      </c>
      <c r="AK183" s="1362">
        <f t="shared" si="45"/>
        <v>0</v>
      </c>
      <c r="AL183" s="1362">
        <f t="shared" si="58"/>
        <v>0</v>
      </c>
      <c r="AM183" s="1362">
        <f t="shared" si="54"/>
        <v>0</v>
      </c>
      <c r="AN183" s="1363">
        <f t="shared" si="46"/>
        <v>1000000</v>
      </c>
      <c r="AO183" s="1364"/>
      <c r="AP183" s="1364"/>
      <c r="AQ183" s="1361">
        <f t="shared" si="59"/>
        <v>96</v>
      </c>
      <c r="AR183" s="1362">
        <f t="shared" si="47"/>
        <v>0</v>
      </c>
      <c r="AS183" s="1362">
        <f t="shared" si="37"/>
        <v>8543.2677227072418</v>
      </c>
      <c r="AT183" s="1362">
        <f t="shared" si="63"/>
        <v>8543.2677227072418</v>
      </c>
      <c r="AU183" s="1363">
        <f t="shared" si="55"/>
        <v>179846.29862010479</v>
      </c>
    </row>
    <row r="184" spans="1:47">
      <c r="A184" s="1118">
        <f t="shared" ca="1" si="35"/>
        <v>4</v>
      </c>
      <c r="B184" s="1351">
        <f t="shared" si="38"/>
        <v>0</v>
      </c>
      <c r="C184" s="2143">
        <f t="shared" si="48"/>
        <v>0</v>
      </c>
      <c r="D184" s="2144">
        <f t="shared" si="49"/>
        <v>0</v>
      </c>
      <c r="E184" s="2145">
        <f t="shared" si="39"/>
        <v>0</v>
      </c>
      <c r="F184" s="2145">
        <f t="shared" si="61"/>
        <v>0</v>
      </c>
      <c r="G184" s="2145">
        <f t="shared" si="62"/>
        <v>0</v>
      </c>
      <c r="H184" s="2145">
        <f>IF(N183&lt;0.01,0,IF(Adm!$S$4=Adm!$S$8,0,N183*Adm!$V$4))</f>
        <v>0</v>
      </c>
      <c r="I184" s="2145">
        <f>IF(N183&lt;0.01,0,IF(Adm!$S$5=Adm!$S$8,0,Adm!$AA$11*Adm!$X$4))</f>
        <v>0</v>
      </c>
      <c r="J184" s="2145">
        <f>IF(N183&lt;0.01,0,Adm!$Q$4*1.16)</f>
        <v>0</v>
      </c>
      <c r="K184" s="2145">
        <f>IF(N183&lt;0.01,0,IF(Adm!$O$4&gt;0,E184*Adm!$O$4,0))</f>
        <v>0</v>
      </c>
      <c r="L184" s="2145">
        <f t="shared" si="40"/>
        <v>0</v>
      </c>
      <c r="M184" s="2145">
        <f>IF(Adm!$G$4="si",MIN(N183+E184+H184+I184+J184-L184,Z184),0)</f>
        <v>0</v>
      </c>
      <c r="N184" s="2145">
        <f t="shared" si="41"/>
        <v>0</v>
      </c>
      <c r="O184" s="2146"/>
      <c r="P184" s="1101"/>
      <c r="V184" s="1352">
        <f t="shared" si="42"/>
        <v>1</v>
      </c>
      <c r="W184" s="1367">
        <f>IF(V184=1,Cal!$AB$127,0)</f>
        <v>0</v>
      </c>
      <c r="Y184" s="1368">
        <f t="shared" si="50"/>
        <v>0</v>
      </c>
      <c r="Z184" s="1369">
        <f t="shared" ca="1" si="43"/>
        <v>0</v>
      </c>
      <c r="AB184" s="1375">
        <f t="shared" si="51"/>
        <v>0</v>
      </c>
      <c r="AC184" s="1373">
        <f t="shared" si="52"/>
        <v>0</v>
      </c>
      <c r="AD184" s="1373">
        <f t="shared" si="56"/>
        <v>0</v>
      </c>
      <c r="AE184" s="1373">
        <f t="shared" si="53"/>
        <v>0</v>
      </c>
      <c r="AF184" s="1371">
        <f t="shared" si="36"/>
        <v>0</v>
      </c>
      <c r="AG184" s="1359" t="e">
        <f>HLOOKUP($AG$83,anticipado,98,0)</f>
        <v>#N/A</v>
      </c>
      <c r="AI184" s="1360">
        <f t="shared" si="44"/>
        <v>0</v>
      </c>
      <c r="AJ184" s="1377">
        <f t="shared" si="57"/>
        <v>97</v>
      </c>
      <c r="AK184" s="1378">
        <f t="shared" si="45"/>
        <v>0</v>
      </c>
      <c r="AL184" s="1378">
        <f t="shared" si="58"/>
        <v>0</v>
      </c>
      <c r="AM184" s="1378">
        <f>MIN(AN183+AK184,AM183*(1+$AK$83))</f>
        <v>0</v>
      </c>
      <c r="AN184" s="1363">
        <f t="shared" si="46"/>
        <v>1000000</v>
      </c>
      <c r="AO184" s="1364"/>
      <c r="AP184" s="1364"/>
      <c r="AQ184" s="1379">
        <f t="shared" si="59"/>
        <v>97</v>
      </c>
      <c r="AR184" s="1380">
        <f t="shared" si="47"/>
        <v>0</v>
      </c>
      <c r="AS184" s="1380">
        <f t="shared" si="37"/>
        <v>8543.2677227072418</v>
      </c>
      <c r="AT184" s="1380">
        <f>MIN(AU183+AR184,AT183*(1+$AR$83))</f>
        <v>8543.2677227072418</v>
      </c>
      <c r="AU184" s="1363">
        <f t="shared" si="55"/>
        <v>171303.03089739755</v>
      </c>
    </row>
    <row r="185" spans="1:47">
      <c r="A185" s="1118">
        <f t="shared" ca="1" si="35"/>
        <v>5</v>
      </c>
      <c r="B185" s="1351">
        <f t="shared" si="38"/>
        <v>0</v>
      </c>
      <c r="C185" s="2143">
        <f t="shared" si="48"/>
        <v>0</v>
      </c>
      <c r="D185" s="2144">
        <f t="shared" si="49"/>
        <v>0</v>
      </c>
      <c r="E185" s="2145">
        <f t="shared" si="39"/>
        <v>0</v>
      </c>
      <c r="F185" s="2145">
        <f t="shared" si="61"/>
        <v>0</v>
      </c>
      <c r="G185" s="2145">
        <f t="shared" si="62"/>
        <v>0</v>
      </c>
      <c r="H185" s="2145">
        <f>IF(N184&lt;0.01,0,IF(Adm!$S$4=Adm!$S$8,0,N184*Adm!$V$4))</f>
        <v>0</v>
      </c>
      <c r="I185" s="2145">
        <f>IF(N184&lt;0.01,0,IF(Adm!$S$5=Adm!$S$8,0,Adm!$AA$11*Adm!$X$4))</f>
        <v>0</v>
      </c>
      <c r="J185" s="2145">
        <f>IF(N184&lt;0.01,0,Adm!$Q$4*1.16)</f>
        <v>0</v>
      </c>
      <c r="K185" s="2145">
        <f>IF(N184&lt;0.01,0,IF(Adm!$O$4&gt;0,E185*Adm!$O$4,0))</f>
        <v>0</v>
      </c>
      <c r="L185" s="2145">
        <f t="shared" si="40"/>
        <v>0</v>
      </c>
      <c r="M185" s="2145">
        <f>IF(Adm!$G$4="si",MIN(N184+E185+H185+I185+J185-L185,Z185),0)</f>
        <v>0</v>
      </c>
      <c r="N185" s="2145">
        <f t="shared" si="41"/>
        <v>0</v>
      </c>
      <c r="O185" s="2146"/>
      <c r="P185" s="1101"/>
      <c r="V185" s="1352">
        <f t="shared" si="42"/>
        <v>2</v>
      </c>
      <c r="W185" s="1367">
        <f>IF(V185=1,Cal!$AB$127,0)</f>
        <v>0</v>
      </c>
      <c r="Y185" s="1368">
        <f t="shared" si="50"/>
        <v>0</v>
      </c>
      <c r="Z185" s="1369">
        <f t="shared" ca="1" si="43"/>
        <v>0</v>
      </c>
      <c r="AB185" s="1375">
        <f t="shared" si="51"/>
        <v>0</v>
      </c>
      <c r="AC185" s="1373">
        <f t="shared" si="52"/>
        <v>0</v>
      </c>
      <c r="AD185" s="1373">
        <f t="shared" si="56"/>
        <v>0</v>
      </c>
      <c r="AE185" s="1373">
        <f t="shared" si="53"/>
        <v>0</v>
      </c>
      <c r="AF185" s="1371">
        <f t="shared" si="36"/>
        <v>0</v>
      </c>
      <c r="AG185" s="1359" t="e">
        <f>HLOOKUP($AG$83,anticipado,99,0)</f>
        <v>#N/A</v>
      </c>
      <c r="AI185" s="1360">
        <f t="shared" si="44"/>
        <v>0</v>
      </c>
      <c r="AJ185" s="1361">
        <f t="shared" si="57"/>
        <v>98</v>
      </c>
      <c r="AK185" s="1362">
        <f t="shared" si="45"/>
        <v>0</v>
      </c>
      <c r="AL185" s="1362">
        <f t="shared" si="58"/>
        <v>0</v>
      </c>
      <c r="AM185" s="1362">
        <f t="shared" si="54"/>
        <v>0</v>
      </c>
      <c r="AN185" s="1363">
        <f t="shared" si="46"/>
        <v>1000000</v>
      </c>
      <c r="AO185" s="1364"/>
      <c r="AP185" s="1364"/>
      <c r="AQ185" s="1361">
        <f t="shared" si="59"/>
        <v>98</v>
      </c>
      <c r="AR185" s="1362">
        <f t="shared" si="47"/>
        <v>0</v>
      </c>
      <c r="AS185" s="1362">
        <f t="shared" si="37"/>
        <v>8543.2677227072418</v>
      </c>
      <c r="AT185" s="1362">
        <f t="shared" ref="AT185:AT195" si="64">MIN(AU184+AR185,AT184)</f>
        <v>8543.2677227072418</v>
      </c>
      <c r="AU185" s="1363">
        <f t="shared" si="55"/>
        <v>162759.76317469031</v>
      </c>
    </row>
    <row r="186" spans="1:47">
      <c r="A186" s="1118">
        <f t="shared" ca="1" si="35"/>
        <v>6</v>
      </c>
      <c r="B186" s="1351">
        <f t="shared" si="38"/>
        <v>0</v>
      </c>
      <c r="C186" s="2143">
        <f t="shared" si="48"/>
        <v>0</v>
      </c>
      <c r="D186" s="2144">
        <f t="shared" si="49"/>
        <v>0</v>
      </c>
      <c r="E186" s="2145">
        <f t="shared" si="39"/>
        <v>0</v>
      </c>
      <c r="F186" s="2145">
        <f t="shared" si="61"/>
        <v>0</v>
      </c>
      <c r="G186" s="2145">
        <f t="shared" si="62"/>
        <v>0</v>
      </c>
      <c r="H186" s="2145">
        <f>IF(N185&lt;0.01,0,IF(Adm!$S$4=Adm!$S$8,0,N185*Adm!$V$4))</f>
        <v>0</v>
      </c>
      <c r="I186" s="2145">
        <f>IF(N185&lt;0.01,0,IF(Adm!$S$5=Adm!$S$8,0,Adm!$AA$11*Adm!$X$4))</f>
        <v>0</v>
      </c>
      <c r="J186" s="2145">
        <f>IF(N185&lt;0.01,0,Adm!$Q$4*1.16)</f>
        <v>0</v>
      </c>
      <c r="K186" s="2145">
        <f>IF(N185&lt;0.01,0,IF(Adm!$O$4&gt;0,E186*Adm!$O$4,0))</f>
        <v>0</v>
      </c>
      <c r="L186" s="2145">
        <f t="shared" si="40"/>
        <v>0</v>
      </c>
      <c r="M186" s="2145">
        <f>IF(Adm!$G$4="si",MIN(N185+E186+H186+I186+J186-L186,Z186),0)</f>
        <v>0</v>
      </c>
      <c r="N186" s="2145">
        <f t="shared" si="41"/>
        <v>0</v>
      </c>
      <c r="O186" s="2146"/>
      <c r="P186" s="1101"/>
      <c r="V186" s="1352">
        <f t="shared" si="42"/>
        <v>3</v>
      </c>
      <c r="W186" s="1367">
        <f>IF(V186=1,Cal!$AB$127,0)</f>
        <v>0</v>
      </c>
      <c r="Y186" s="1368">
        <f t="shared" si="50"/>
        <v>0</v>
      </c>
      <c r="Z186" s="1369">
        <f t="shared" ca="1" si="43"/>
        <v>0</v>
      </c>
      <c r="AB186" s="1375">
        <f t="shared" si="51"/>
        <v>0</v>
      </c>
      <c r="AC186" s="1373">
        <f t="shared" si="52"/>
        <v>0</v>
      </c>
      <c r="AD186" s="1373">
        <f t="shared" si="56"/>
        <v>0</v>
      </c>
      <c r="AE186" s="1373">
        <f t="shared" si="53"/>
        <v>0</v>
      </c>
      <c r="AF186" s="1371">
        <f t="shared" si="36"/>
        <v>0</v>
      </c>
      <c r="AG186" s="1359" t="e">
        <f>HLOOKUP($AG$83,anticipado,100,0)</f>
        <v>#N/A</v>
      </c>
      <c r="AI186" s="1360">
        <f t="shared" si="44"/>
        <v>0</v>
      </c>
      <c r="AJ186" s="1361">
        <f t="shared" si="57"/>
        <v>99</v>
      </c>
      <c r="AK186" s="1362">
        <f t="shared" si="45"/>
        <v>0</v>
      </c>
      <c r="AL186" s="1362">
        <f t="shared" si="58"/>
        <v>0</v>
      </c>
      <c r="AM186" s="1362">
        <f t="shared" si="54"/>
        <v>0</v>
      </c>
      <c r="AN186" s="1363">
        <f t="shared" si="46"/>
        <v>1000000</v>
      </c>
      <c r="AO186" s="1364"/>
      <c r="AP186" s="1364"/>
      <c r="AQ186" s="1361">
        <f t="shared" si="59"/>
        <v>99</v>
      </c>
      <c r="AR186" s="1362">
        <f t="shared" si="47"/>
        <v>0</v>
      </c>
      <c r="AS186" s="1362">
        <f t="shared" si="37"/>
        <v>8543.2677227072418</v>
      </c>
      <c r="AT186" s="1362">
        <f t="shared" si="64"/>
        <v>8543.2677227072418</v>
      </c>
      <c r="AU186" s="1363">
        <f t="shared" si="55"/>
        <v>154216.49545198306</v>
      </c>
    </row>
    <row r="187" spans="1:47">
      <c r="A187" s="1118">
        <f t="shared" ca="1" si="35"/>
        <v>7</v>
      </c>
      <c r="B187" s="1351">
        <f t="shared" si="38"/>
        <v>0</v>
      </c>
      <c r="C187" s="2143">
        <f t="shared" si="48"/>
        <v>0</v>
      </c>
      <c r="D187" s="2144">
        <f t="shared" si="49"/>
        <v>0</v>
      </c>
      <c r="E187" s="2145">
        <f t="shared" si="39"/>
        <v>0</v>
      </c>
      <c r="F187" s="2145">
        <f t="shared" si="61"/>
        <v>0</v>
      </c>
      <c r="G187" s="2145">
        <f t="shared" si="62"/>
        <v>0</v>
      </c>
      <c r="H187" s="2145">
        <f>IF(N186&lt;0.01,0,IF(Adm!$S$4=Adm!$S$8,0,N186*Adm!$V$4))</f>
        <v>0</v>
      </c>
      <c r="I187" s="2145">
        <f>IF(N186&lt;0.01,0,IF(Adm!$S$5=Adm!$S$8,0,Adm!$AA$11*Adm!$X$4))</f>
        <v>0</v>
      </c>
      <c r="J187" s="2145">
        <f>IF(N186&lt;0.01,0,Adm!$Q$4*1.16)</f>
        <v>0</v>
      </c>
      <c r="K187" s="2145">
        <f>IF(N186&lt;0.01,0,IF(Adm!$O$4&gt;0,E187*Adm!$O$4,0))</f>
        <v>0</v>
      </c>
      <c r="L187" s="2145">
        <f t="shared" si="40"/>
        <v>0</v>
      </c>
      <c r="M187" s="2145">
        <f>IF(Adm!$G$4="si",MIN(N186+E187+H187+I187+J187-L187,Z187),0)</f>
        <v>0</v>
      </c>
      <c r="N187" s="2145">
        <f t="shared" si="41"/>
        <v>0</v>
      </c>
      <c r="O187" s="2146"/>
      <c r="P187" s="1101"/>
      <c r="V187" s="1352">
        <f t="shared" si="42"/>
        <v>4</v>
      </c>
      <c r="W187" s="1367">
        <f>IF(V187=1,Cal!$AB$127,0)</f>
        <v>0</v>
      </c>
      <c r="Y187" s="1368">
        <f t="shared" si="50"/>
        <v>0</v>
      </c>
      <c r="Z187" s="1369">
        <f t="shared" ca="1" si="43"/>
        <v>0</v>
      </c>
      <c r="AB187" s="1375">
        <f t="shared" si="51"/>
        <v>0</v>
      </c>
      <c r="AC187" s="1373">
        <f t="shared" si="52"/>
        <v>0</v>
      </c>
      <c r="AD187" s="1373">
        <f t="shared" si="56"/>
        <v>0</v>
      </c>
      <c r="AE187" s="1373">
        <f t="shared" si="53"/>
        <v>0</v>
      </c>
      <c r="AF187" s="1371">
        <f t="shared" si="36"/>
        <v>0</v>
      </c>
      <c r="AG187" s="1359" t="e">
        <f>HLOOKUP($AG$83,anticipado,101,0)</f>
        <v>#N/A</v>
      </c>
      <c r="AI187" s="1360">
        <f t="shared" si="44"/>
        <v>0</v>
      </c>
      <c r="AJ187" s="1361">
        <f t="shared" si="57"/>
        <v>100</v>
      </c>
      <c r="AK187" s="1362">
        <f t="shared" si="45"/>
        <v>0</v>
      </c>
      <c r="AL187" s="1362">
        <f t="shared" si="58"/>
        <v>0</v>
      </c>
      <c r="AM187" s="1362">
        <f t="shared" si="54"/>
        <v>0</v>
      </c>
      <c r="AN187" s="1363">
        <f t="shared" si="46"/>
        <v>1000000</v>
      </c>
      <c r="AO187" s="1364"/>
      <c r="AP187" s="1364"/>
      <c r="AQ187" s="1361">
        <f t="shared" si="59"/>
        <v>100</v>
      </c>
      <c r="AR187" s="1362">
        <f t="shared" si="47"/>
        <v>0</v>
      </c>
      <c r="AS187" s="1362">
        <f t="shared" si="37"/>
        <v>8543.2677227072418</v>
      </c>
      <c r="AT187" s="1362">
        <f t="shared" si="64"/>
        <v>8543.2677227072418</v>
      </c>
      <c r="AU187" s="1363">
        <f t="shared" si="55"/>
        <v>145673.22772927582</v>
      </c>
    </row>
    <row r="188" spans="1:47">
      <c r="A188" s="1118">
        <f t="shared" ca="1" si="35"/>
        <v>8</v>
      </c>
      <c r="B188" s="1351">
        <f t="shared" si="38"/>
        <v>0</v>
      </c>
      <c r="C188" s="2143">
        <f t="shared" si="48"/>
        <v>0</v>
      </c>
      <c r="D188" s="2144">
        <f t="shared" si="49"/>
        <v>0</v>
      </c>
      <c r="E188" s="2145">
        <f t="shared" si="39"/>
        <v>0</v>
      </c>
      <c r="F188" s="2145">
        <f t="shared" si="61"/>
        <v>0</v>
      </c>
      <c r="G188" s="2145">
        <f t="shared" si="62"/>
        <v>0</v>
      </c>
      <c r="H188" s="2145">
        <f>IF(N187&lt;0.01,0,IF(Adm!$S$4=Adm!$S$8,0,N187*Adm!$V$4))</f>
        <v>0</v>
      </c>
      <c r="I188" s="2145">
        <f>IF(N187&lt;0.01,0,IF(Adm!$S$5=Adm!$S$8,0,Adm!$AA$11*Adm!$X$4))</f>
        <v>0</v>
      </c>
      <c r="J188" s="2145">
        <f>IF(N187&lt;0.01,0,Adm!$Q$4*1.16)</f>
        <v>0</v>
      </c>
      <c r="K188" s="2145">
        <f>IF(N187&lt;0.01,0,IF(Adm!$O$4&gt;0,E188*Adm!$O$4,0))</f>
        <v>0</v>
      </c>
      <c r="L188" s="2145">
        <f t="shared" si="40"/>
        <v>0</v>
      </c>
      <c r="M188" s="2145">
        <f>IF(Adm!$G$4="si",MIN(N187+E188+H188+I188+J188-L188,Z188),0)</f>
        <v>0</v>
      </c>
      <c r="N188" s="2145">
        <f t="shared" si="41"/>
        <v>0</v>
      </c>
      <c r="O188" s="2146"/>
      <c r="P188" s="1101"/>
      <c r="V188" s="1352">
        <f t="shared" si="42"/>
        <v>5</v>
      </c>
      <c r="W188" s="1367">
        <f>IF(V188=1,Cal!$AB$127,0)</f>
        <v>0</v>
      </c>
      <c r="Y188" s="1368">
        <f t="shared" si="50"/>
        <v>0</v>
      </c>
      <c r="Z188" s="1369">
        <f t="shared" ca="1" si="43"/>
        <v>0</v>
      </c>
      <c r="AB188" s="1375">
        <f t="shared" si="51"/>
        <v>0</v>
      </c>
      <c r="AC188" s="1373">
        <f t="shared" si="52"/>
        <v>0</v>
      </c>
      <c r="AD188" s="1373">
        <f t="shared" si="56"/>
        <v>0</v>
      </c>
      <c r="AE188" s="1373">
        <f t="shared" si="53"/>
        <v>0</v>
      </c>
      <c r="AF188" s="1371">
        <f t="shared" si="36"/>
        <v>0</v>
      </c>
      <c r="AG188" s="1359" t="e">
        <f>HLOOKUP($AG$83,anticipado,102,0)</f>
        <v>#N/A</v>
      </c>
      <c r="AI188" s="1360">
        <f t="shared" si="44"/>
        <v>0</v>
      </c>
      <c r="AJ188" s="1361">
        <f t="shared" si="57"/>
        <v>101</v>
      </c>
      <c r="AK188" s="1362">
        <f t="shared" si="45"/>
        <v>0</v>
      </c>
      <c r="AL188" s="1362">
        <f t="shared" si="58"/>
        <v>0</v>
      </c>
      <c r="AM188" s="1362">
        <f t="shared" si="54"/>
        <v>0</v>
      </c>
      <c r="AN188" s="1363">
        <f t="shared" si="46"/>
        <v>1000000</v>
      </c>
      <c r="AO188" s="1364"/>
      <c r="AP188" s="1364"/>
      <c r="AQ188" s="1361">
        <f t="shared" si="59"/>
        <v>101</v>
      </c>
      <c r="AR188" s="1362">
        <f t="shared" si="47"/>
        <v>0</v>
      </c>
      <c r="AS188" s="1362">
        <f t="shared" si="37"/>
        <v>8543.2677227072418</v>
      </c>
      <c r="AT188" s="1362">
        <f t="shared" si="64"/>
        <v>8543.2677227072418</v>
      </c>
      <c r="AU188" s="1363">
        <f t="shared" si="55"/>
        <v>137129.96000656858</v>
      </c>
    </row>
    <row r="189" spans="1:47">
      <c r="A189" s="1118">
        <f t="shared" ca="1" si="35"/>
        <v>9</v>
      </c>
      <c r="B189" s="1351">
        <f t="shared" si="38"/>
        <v>0</v>
      </c>
      <c r="C189" s="2143">
        <f t="shared" si="48"/>
        <v>0</v>
      </c>
      <c r="D189" s="2144">
        <f t="shared" si="49"/>
        <v>0</v>
      </c>
      <c r="E189" s="2145">
        <f t="shared" si="39"/>
        <v>0</v>
      </c>
      <c r="F189" s="2145">
        <f t="shared" si="61"/>
        <v>0</v>
      </c>
      <c r="G189" s="2145">
        <f t="shared" si="62"/>
        <v>0</v>
      </c>
      <c r="H189" s="2145">
        <f>IF(N188&lt;0.01,0,IF(Adm!$S$4=Adm!$S$8,0,N188*Adm!$V$4))</f>
        <v>0</v>
      </c>
      <c r="I189" s="2145">
        <f>IF(N188&lt;0.01,0,IF(Adm!$S$5=Adm!$S$8,0,Adm!$AA$11*Adm!$X$4))</f>
        <v>0</v>
      </c>
      <c r="J189" s="2145">
        <f>IF(N188&lt;0.01,0,Adm!$Q$4*1.16)</f>
        <v>0</v>
      </c>
      <c r="K189" s="2145">
        <f>IF(N188&lt;0.01,0,IF(Adm!$O$4&gt;0,E189*Adm!$O$4,0))</f>
        <v>0</v>
      </c>
      <c r="L189" s="2145">
        <f t="shared" si="40"/>
        <v>0</v>
      </c>
      <c r="M189" s="2145">
        <f>IF(Adm!$G$4="si",MIN(N188+E189+H189+I189+J189-L189,Z189),0)</f>
        <v>0</v>
      </c>
      <c r="N189" s="2145">
        <f t="shared" si="41"/>
        <v>0</v>
      </c>
      <c r="O189" s="2146"/>
      <c r="P189" s="1101"/>
      <c r="V189" s="1352">
        <f t="shared" si="42"/>
        <v>6</v>
      </c>
      <c r="W189" s="1367">
        <f>IF(V189=1,Cal!$AB$127,0)</f>
        <v>0</v>
      </c>
      <c r="Y189" s="1368">
        <f t="shared" si="50"/>
        <v>0</v>
      </c>
      <c r="Z189" s="1369">
        <f t="shared" ca="1" si="43"/>
        <v>0</v>
      </c>
      <c r="AB189" s="1375">
        <f t="shared" si="51"/>
        <v>0</v>
      </c>
      <c r="AC189" s="1373">
        <f t="shared" si="52"/>
        <v>0</v>
      </c>
      <c r="AD189" s="1373">
        <f t="shared" si="56"/>
        <v>0</v>
      </c>
      <c r="AE189" s="1373">
        <f t="shared" si="53"/>
        <v>0</v>
      </c>
      <c r="AF189" s="1371">
        <f t="shared" si="36"/>
        <v>0</v>
      </c>
      <c r="AG189" s="1359" t="e">
        <f>HLOOKUP($AG$83,anticipado,103,0)</f>
        <v>#N/A</v>
      </c>
      <c r="AI189" s="1360">
        <f t="shared" si="44"/>
        <v>0</v>
      </c>
      <c r="AJ189" s="1361">
        <f t="shared" si="57"/>
        <v>102</v>
      </c>
      <c r="AK189" s="1362">
        <f t="shared" si="45"/>
        <v>0</v>
      </c>
      <c r="AL189" s="1362">
        <f t="shared" si="58"/>
        <v>0</v>
      </c>
      <c r="AM189" s="1362">
        <f t="shared" si="54"/>
        <v>0</v>
      </c>
      <c r="AN189" s="1363">
        <f t="shared" si="46"/>
        <v>1000000</v>
      </c>
      <c r="AO189" s="1364"/>
      <c r="AP189" s="1364"/>
      <c r="AQ189" s="1361">
        <f t="shared" si="59"/>
        <v>102</v>
      </c>
      <c r="AR189" s="1362">
        <f t="shared" si="47"/>
        <v>0</v>
      </c>
      <c r="AS189" s="1362">
        <f t="shared" si="37"/>
        <v>8543.2677227072418</v>
      </c>
      <c r="AT189" s="1362">
        <f t="shared" si="64"/>
        <v>8543.2677227072418</v>
      </c>
      <c r="AU189" s="1363">
        <f t="shared" si="55"/>
        <v>128586.69228386134</v>
      </c>
    </row>
    <row r="190" spans="1:47">
      <c r="A190" s="1118">
        <f t="shared" ca="1" si="35"/>
        <v>10</v>
      </c>
      <c r="B190" s="1351">
        <f t="shared" si="38"/>
        <v>0</v>
      </c>
      <c r="C190" s="2143">
        <f t="shared" si="48"/>
        <v>0</v>
      </c>
      <c r="D190" s="2144">
        <f t="shared" si="49"/>
        <v>0</v>
      </c>
      <c r="E190" s="2145">
        <f t="shared" si="39"/>
        <v>0</v>
      </c>
      <c r="F190" s="2145">
        <f t="shared" si="61"/>
        <v>0</v>
      </c>
      <c r="G190" s="2145">
        <f t="shared" si="62"/>
        <v>0</v>
      </c>
      <c r="H190" s="2145">
        <f>IF(N189&lt;0.01,0,IF(Adm!$S$4=Adm!$S$8,0,N189*Adm!$V$4))</f>
        <v>0</v>
      </c>
      <c r="I190" s="2145">
        <f>IF(N189&lt;0.01,0,IF(Adm!$S$5=Adm!$S$8,0,Adm!$AA$11*Adm!$X$4))</f>
        <v>0</v>
      </c>
      <c r="J190" s="2145">
        <f>IF(N189&lt;0.01,0,Adm!$Q$4*1.16)</f>
        <v>0</v>
      </c>
      <c r="K190" s="2145">
        <f>IF(N189&lt;0.01,0,IF(Adm!$O$4&gt;0,E190*Adm!$O$4,0))</f>
        <v>0</v>
      </c>
      <c r="L190" s="2145">
        <f t="shared" si="40"/>
        <v>0</v>
      </c>
      <c r="M190" s="2145">
        <f>IF(Adm!$G$4="si",MIN(N189+E190+H190+I190+J190-L190,Z190),0)</f>
        <v>0</v>
      </c>
      <c r="N190" s="2145">
        <f t="shared" si="41"/>
        <v>0</v>
      </c>
      <c r="O190" s="2146"/>
      <c r="P190" s="1101"/>
      <c r="V190" s="1352">
        <f t="shared" si="42"/>
        <v>7</v>
      </c>
      <c r="W190" s="1367">
        <f>IF(V190=1,Cal!$AB$127,0)</f>
        <v>0</v>
      </c>
      <c r="Y190" s="1368">
        <f t="shared" si="50"/>
        <v>0</v>
      </c>
      <c r="Z190" s="1369">
        <f t="shared" ca="1" si="43"/>
        <v>0</v>
      </c>
      <c r="AB190" s="1375">
        <f t="shared" si="51"/>
        <v>0</v>
      </c>
      <c r="AC190" s="1373">
        <f t="shared" si="52"/>
        <v>0</v>
      </c>
      <c r="AD190" s="1373">
        <f t="shared" si="56"/>
        <v>0</v>
      </c>
      <c r="AE190" s="1373">
        <f t="shared" si="53"/>
        <v>0</v>
      </c>
      <c r="AF190" s="1371">
        <f t="shared" si="36"/>
        <v>0</v>
      </c>
      <c r="AG190" s="1359" t="e">
        <f>HLOOKUP($AG$83,anticipado,104,0)</f>
        <v>#N/A</v>
      </c>
      <c r="AI190" s="1360">
        <f t="shared" si="44"/>
        <v>0</v>
      </c>
      <c r="AJ190" s="1361">
        <f t="shared" si="57"/>
        <v>103</v>
      </c>
      <c r="AK190" s="1362">
        <f t="shared" si="45"/>
        <v>0</v>
      </c>
      <c r="AL190" s="1362">
        <f t="shared" si="58"/>
        <v>0</v>
      </c>
      <c r="AM190" s="1362">
        <f t="shared" si="54"/>
        <v>0</v>
      </c>
      <c r="AN190" s="1363">
        <f t="shared" si="46"/>
        <v>1000000</v>
      </c>
      <c r="AO190" s="1364"/>
      <c r="AP190" s="1364"/>
      <c r="AQ190" s="1361">
        <f t="shared" si="59"/>
        <v>103</v>
      </c>
      <c r="AR190" s="1362">
        <f t="shared" si="47"/>
        <v>0</v>
      </c>
      <c r="AS190" s="1362">
        <f t="shared" si="37"/>
        <v>8543.2677227072418</v>
      </c>
      <c r="AT190" s="1362">
        <f t="shared" si="64"/>
        <v>8543.2677227072418</v>
      </c>
      <c r="AU190" s="1363">
        <f t="shared" si="55"/>
        <v>120043.4245611541</v>
      </c>
    </row>
    <row r="191" spans="1:47">
      <c r="A191" s="1118">
        <f t="shared" ca="1" si="35"/>
        <v>11</v>
      </c>
      <c r="B191" s="1351">
        <f t="shared" si="38"/>
        <v>0</v>
      </c>
      <c r="C191" s="2143">
        <f t="shared" si="48"/>
        <v>0</v>
      </c>
      <c r="D191" s="2144">
        <f t="shared" si="49"/>
        <v>0</v>
      </c>
      <c r="E191" s="2145">
        <f t="shared" si="39"/>
        <v>0</v>
      </c>
      <c r="F191" s="2145">
        <f t="shared" si="61"/>
        <v>0</v>
      </c>
      <c r="G191" s="2145">
        <f t="shared" si="62"/>
        <v>0</v>
      </c>
      <c r="H191" s="2145">
        <f>IF(N190&lt;0.01,0,IF(Adm!$S$4=Adm!$S$8,0,N190*Adm!$V$4))</f>
        <v>0</v>
      </c>
      <c r="I191" s="2145">
        <f>IF(N190&lt;0.01,0,IF(Adm!$S$5=Adm!$S$8,0,Adm!$AA$11*Adm!$X$4))</f>
        <v>0</v>
      </c>
      <c r="J191" s="2145">
        <f>IF(N190&lt;0.01,0,Adm!$Q$4*1.16)</f>
        <v>0</v>
      </c>
      <c r="K191" s="2145">
        <f>IF(N190&lt;0.01,0,IF(Adm!$O$4&gt;0,E191*Adm!$O$4,0))</f>
        <v>0</v>
      </c>
      <c r="L191" s="2145">
        <f t="shared" si="40"/>
        <v>0</v>
      </c>
      <c r="M191" s="2145">
        <f>IF(Adm!$G$4="si",MIN(N190+E191+H191+I191+J191-L191,Z191),0)</f>
        <v>0</v>
      </c>
      <c r="N191" s="2145">
        <f t="shared" si="41"/>
        <v>0</v>
      </c>
      <c r="O191" s="2146"/>
      <c r="P191" s="1101"/>
      <c r="V191" s="1352">
        <f t="shared" si="42"/>
        <v>8</v>
      </c>
      <c r="W191" s="1367">
        <f>IF(V191=1,Cal!$AB$127,0)</f>
        <v>0</v>
      </c>
      <c r="Y191" s="1368">
        <f t="shared" si="50"/>
        <v>0</v>
      </c>
      <c r="Z191" s="1369">
        <f t="shared" ca="1" si="43"/>
        <v>0</v>
      </c>
      <c r="AB191" s="1375">
        <f t="shared" si="51"/>
        <v>0</v>
      </c>
      <c r="AC191" s="1373">
        <f t="shared" si="52"/>
        <v>0</v>
      </c>
      <c r="AD191" s="1373">
        <f t="shared" si="56"/>
        <v>0</v>
      </c>
      <c r="AE191" s="1373">
        <f t="shared" si="53"/>
        <v>0</v>
      </c>
      <c r="AF191" s="1371">
        <f t="shared" si="36"/>
        <v>0</v>
      </c>
      <c r="AG191" s="1359" t="e">
        <f>HLOOKUP($AG$83,anticipado,105,0)</f>
        <v>#N/A</v>
      </c>
      <c r="AI191" s="1360">
        <f t="shared" si="44"/>
        <v>0</v>
      </c>
      <c r="AJ191" s="1361">
        <f t="shared" si="57"/>
        <v>104</v>
      </c>
      <c r="AK191" s="1362">
        <f t="shared" si="45"/>
        <v>0</v>
      </c>
      <c r="AL191" s="1362">
        <f t="shared" si="58"/>
        <v>0</v>
      </c>
      <c r="AM191" s="1362">
        <f t="shared" si="54"/>
        <v>0</v>
      </c>
      <c r="AN191" s="1363">
        <f t="shared" si="46"/>
        <v>1000000</v>
      </c>
      <c r="AO191" s="1364"/>
      <c r="AP191" s="1364"/>
      <c r="AQ191" s="1361">
        <f t="shared" si="59"/>
        <v>104</v>
      </c>
      <c r="AR191" s="1362">
        <f t="shared" si="47"/>
        <v>0</v>
      </c>
      <c r="AS191" s="1362">
        <f t="shared" si="37"/>
        <v>8543.2677227072418</v>
      </c>
      <c r="AT191" s="1362">
        <f t="shared" si="64"/>
        <v>8543.2677227072418</v>
      </c>
      <c r="AU191" s="1363">
        <f t="shared" si="55"/>
        <v>111500.15683844686</v>
      </c>
    </row>
    <row r="192" spans="1:47">
      <c r="A192" s="1118">
        <f t="shared" ca="1" si="35"/>
        <v>12</v>
      </c>
      <c r="B192" s="1351">
        <f t="shared" si="38"/>
        <v>0</v>
      </c>
      <c r="C192" s="2143">
        <f t="shared" si="48"/>
        <v>0</v>
      </c>
      <c r="D192" s="2144">
        <f t="shared" si="49"/>
        <v>0</v>
      </c>
      <c r="E192" s="2145">
        <f t="shared" si="39"/>
        <v>0</v>
      </c>
      <c r="F192" s="2145">
        <f t="shared" si="61"/>
        <v>0</v>
      </c>
      <c r="G192" s="2145">
        <f t="shared" si="62"/>
        <v>0</v>
      </c>
      <c r="H192" s="2145">
        <f>IF(N191&lt;0.01,0,IF(Adm!$S$4=Adm!$S$8,0,N191*Adm!$V$4))</f>
        <v>0</v>
      </c>
      <c r="I192" s="2145">
        <f>IF(N191&lt;0.01,0,IF(Adm!$S$5=Adm!$S$8,0,Adm!$AA$11*Adm!$X$4))</f>
        <v>0</v>
      </c>
      <c r="J192" s="2145">
        <f>IF(N191&lt;0.01,0,Adm!$Q$4*1.16)</f>
        <v>0</v>
      </c>
      <c r="K192" s="2145">
        <f>IF(N191&lt;0.01,0,IF(Adm!$O$4&gt;0,E192*Adm!$O$4,0))</f>
        <v>0</v>
      </c>
      <c r="L192" s="2145">
        <f t="shared" si="40"/>
        <v>0</v>
      </c>
      <c r="M192" s="2145">
        <f>IF(Adm!$G$4="si",MIN(N191+E192+H192+I192+J192-L192,Z192),0)</f>
        <v>0</v>
      </c>
      <c r="N192" s="2145">
        <f t="shared" si="41"/>
        <v>0</v>
      </c>
      <c r="O192" s="2146"/>
      <c r="P192" s="1101"/>
      <c r="V192" s="1352">
        <f t="shared" si="42"/>
        <v>9</v>
      </c>
      <c r="W192" s="1367">
        <f>IF(V192=1,Cal!$AB$127,0)</f>
        <v>0</v>
      </c>
      <c r="Y192" s="1368">
        <f t="shared" si="50"/>
        <v>0</v>
      </c>
      <c r="Z192" s="1369">
        <f t="shared" ca="1" si="43"/>
        <v>0</v>
      </c>
      <c r="AB192" s="1375">
        <f t="shared" si="51"/>
        <v>0</v>
      </c>
      <c r="AC192" s="1373">
        <f t="shared" si="52"/>
        <v>0</v>
      </c>
      <c r="AD192" s="1373">
        <f t="shared" si="56"/>
        <v>0</v>
      </c>
      <c r="AE192" s="1373">
        <f t="shared" si="53"/>
        <v>0</v>
      </c>
      <c r="AF192" s="1371">
        <f t="shared" si="36"/>
        <v>0</v>
      </c>
      <c r="AG192" s="1359" t="e">
        <f>HLOOKUP($AG$83,anticipado,106,0)</f>
        <v>#N/A</v>
      </c>
      <c r="AI192" s="1360">
        <f t="shared" si="44"/>
        <v>0</v>
      </c>
      <c r="AJ192" s="1361">
        <f t="shared" si="57"/>
        <v>105</v>
      </c>
      <c r="AK192" s="1362">
        <f t="shared" si="45"/>
        <v>0</v>
      </c>
      <c r="AL192" s="1362">
        <f t="shared" si="58"/>
        <v>0</v>
      </c>
      <c r="AM192" s="1362">
        <f t="shared" si="54"/>
        <v>0</v>
      </c>
      <c r="AN192" s="1363">
        <f t="shared" si="46"/>
        <v>1000000</v>
      </c>
      <c r="AO192" s="1364"/>
      <c r="AP192" s="1364"/>
      <c r="AQ192" s="1361">
        <f t="shared" si="59"/>
        <v>105</v>
      </c>
      <c r="AR192" s="1362">
        <f t="shared" si="47"/>
        <v>0</v>
      </c>
      <c r="AS192" s="1362">
        <f t="shared" si="37"/>
        <v>8543.2677227072418</v>
      </c>
      <c r="AT192" s="1362">
        <f t="shared" si="64"/>
        <v>8543.2677227072418</v>
      </c>
      <c r="AU192" s="1363">
        <f t="shared" si="55"/>
        <v>102956.88911573961</v>
      </c>
    </row>
    <row r="193" spans="1:47">
      <c r="A193" s="1118">
        <f t="shared" ca="1" si="35"/>
        <v>1</v>
      </c>
      <c r="B193" s="1351">
        <f t="shared" si="38"/>
        <v>0</v>
      </c>
      <c r="C193" s="2143">
        <f t="shared" si="48"/>
        <v>0</v>
      </c>
      <c r="D193" s="2144">
        <f t="shared" si="49"/>
        <v>0</v>
      </c>
      <c r="E193" s="2145">
        <f t="shared" si="39"/>
        <v>0</v>
      </c>
      <c r="F193" s="2145">
        <f t="shared" si="61"/>
        <v>0</v>
      </c>
      <c r="G193" s="2145">
        <f t="shared" si="62"/>
        <v>0</v>
      </c>
      <c r="H193" s="2145">
        <f>IF(N192&lt;0.01,0,IF(Adm!$S$4=Adm!$S$8,0,N192*Adm!$V$4))</f>
        <v>0</v>
      </c>
      <c r="I193" s="2145">
        <f>IF(N192&lt;0.01,0,IF(Adm!$S$5=Adm!$S$8,0,Adm!$AA$11*Adm!$X$4))</f>
        <v>0</v>
      </c>
      <c r="J193" s="2145">
        <f>IF(N192&lt;0.01,0,Adm!$Q$4*1.16)</f>
        <v>0</v>
      </c>
      <c r="K193" s="2145">
        <f>IF(N192&lt;0.01,0,IF(Adm!$O$4&gt;0,E193*Adm!$O$4,0))</f>
        <v>0</v>
      </c>
      <c r="L193" s="2145">
        <f t="shared" si="40"/>
        <v>0</v>
      </c>
      <c r="M193" s="2145">
        <f>IF(Adm!$G$4="si",MIN(N192+E193+H193+I193+J193-L193,Z193),0)</f>
        <v>0</v>
      </c>
      <c r="N193" s="2145">
        <f t="shared" si="41"/>
        <v>0</v>
      </c>
      <c r="O193" s="2146"/>
      <c r="P193" s="1101"/>
      <c r="V193" s="1352">
        <f t="shared" si="42"/>
        <v>10</v>
      </c>
      <c r="W193" s="1367">
        <f>IF(V193=1,Cal!$AB$127,0)</f>
        <v>0</v>
      </c>
      <c r="Y193" s="1368">
        <f t="shared" si="50"/>
        <v>0</v>
      </c>
      <c r="Z193" s="1369">
        <f t="shared" ca="1" si="43"/>
        <v>0</v>
      </c>
      <c r="AB193" s="1375">
        <f t="shared" si="51"/>
        <v>0</v>
      </c>
      <c r="AC193" s="1373">
        <f t="shared" si="52"/>
        <v>0</v>
      </c>
      <c r="AD193" s="1373">
        <f t="shared" si="56"/>
        <v>0</v>
      </c>
      <c r="AE193" s="1373">
        <f t="shared" si="53"/>
        <v>0</v>
      </c>
      <c r="AF193" s="1371">
        <f t="shared" si="36"/>
        <v>0</v>
      </c>
      <c r="AG193" s="1359" t="e">
        <f>HLOOKUP($AG$83,anticipado,107,0)</f>
        <v>#N/A</v>
      </c>
      <c r="AI193" s="1360">
        <f t="shared" si="44"/>
        <v>0</v>
      </c>
      <c r="AJ193" s="1361">
        <f t="shared" si="57"/>
        <v>106</v>
      </c>
      <c r="AK193" s="1362">
        <f t="shared" si="45"/>
        <v>0</v>
      </c>
      <c r="AL193" s="1362">
        <f t="shared" si="58"/>
        <v>0</v>
      </c>
      <c r="AM193" s="1362">
        <f t="shared" si="54"/>
        <v>0</v>
      </c>
      <c r="AN193" s="1363">
        <f t="shared" si="46"/>
        <v>1000000</v>
      </c>
      <c r="AO193" s="1364"/>
      <c r="AP193" s="1364"/>
      <c r="AQ193" s="1361">
        <f t="shared" si="59"/>
        <v>106</v>
      </c>
      <c r="AR193" s="1362">
        <f t="shared" si="47"/>
        <v>0</v>
      </c>
      <c r="AS193" s="1362">
        <f t="shared" si="37"/>
        <v>8543.2677227072418</v>
      </c>
      <c r="AT193" s="1362">
        <f t="shared" si="64"/>
        <v>8543.2677227072418</v>
      </c>
      <c r="AU193" s="1363">
        <f t="shared" si="55"/>
        <v>94413.621393032372</v>
      </c>
    </row>
    <row r="194" spans="1:47">
      <c r="A194" s="1118">
        <f t="shared" ca="1" si="35"/>
        <v>2</v>
      </c>
      <c r="B194" s="1351">
        <f t="shared" si="38"/>
        <v>0</v>
      </c>
      <c r="C194" s="2143">
        <f t="shared" si="48"/>
        <v>0</v>
      </c>
      <c r="D194" s="2144">
        <f t="shared" si="49"/>
        <v>0</v>
      </c>
      <c r="E194" s="2145">
        <f t="shared" si="39"/>
        <v>0</v>
      </c>
      <c r="F194" s="2145">
        <f t="shared" si="61"/>
        <v>0</v>
      </c>
      <c r="G194" s="2145">
        <f t="shared" si="62"/>
        <v>0</v>
      </c>
      <c r="H194" s="2145">
        <f>IF(N193&lt;0.01,0,IF(Adm!$S$4=Adm!$S$8,0,N193*Adm!$V$4))</f>
        <v>0</v>
      </c>
      <c r="I194" s="2145">
        <f>IF(N193&lt;0.01,0,IF(Adm!$S$5=Adm!$S$8,0,Adm!$AA$11*Adm!$X$4))</f>
        <v>0</v>
      </c>
      <c r="J194" s="2145">
        <f>IF(N193&lt;0.01,0,Adm!$Q$4*1.16)</f>
        <v>0</v>
      </c>
      <c r="K194" s="2145">
        <f>IF(N193&lt;0.01,0,IF(Adm!$O$4&gt;0,E194*Adm!$O$4,0))</f>
        <v>0</v>
      </c>
      <c r="L194" s="2145">
        <f t="shared" si="40"/>
        <v>0</v>
      </c>
      <c r="M194" s="2145">
        <f>IF(Adm!$G$4="si",MIN(N193+E194+H194+I194+J194-L194,Z194),0)</f>
        <v>0</v>
      </c>
      <c r="N194" s="2145">
        <f t="shared" si="41"/>
        <v>0</v>
      </c>
      <c r="O194" s="2146"/>
      <c r="P194" s="1101"/>
      <c r="V194" s="1352">
        <f t="shared" si="42"/>
        <v>11</v>
      </c>
      <c r="W194" s="1367">
        <f>IF(V194=1,Cal!$AB$127,0)</f>
        <v>0</v>
      </c>
      <c r="Y194" s="1368">
        <f t="shared" si="50"/>
        <v>0</v>
      </c>
      <c r="Z194" s="1369">
        <f t="shared" ca="1" si="43"/>
        <v>0</v>
      </c>
      <c r="AB194" s="1375">
        <f t="shared" si="51"/>
        <v>0</v>
      </c>
      <c r="AC194" s="1373">
        <f t="shared" si="52"/>
        <v>0</v>
      </c>
      <c r="AD194" s="1373">
        <f t="shared" si="56"/>
        <v>0</v>
      </c>
      <c r="AE194" s="1373">
        <f t="shared" si="53"/>
        <v>0</v>
      </c>
      <c r="AF194" s="1371">
        <f t="shared" si="36"/>
        <v>0</v>
      </c>
      <c r="AG194" s="1359" t="e">
        <f>HLOOKUP($AG$83,anticipado,108,0)</f>
        <v>#N/A</v>
      </c>
      <c r="AI194" s="1360">
        <f t="shared" si="44"/>
        <v>0</v>
      </c>
      <c r="AJ194" s="1361">
        <f t="shared" si="57"/>
        <v>107</v>
      </c>
      <c r="AK194" s="1362">
        <f t="shared" si="45"/>
        <v>0</v>
      </c>
      <c r="AL194" s="1362">
        <f t="shared" si="58"/>
        <v>0</v>
      </c>
      <c r="AM194" s="1362">
        <f t="shared" si="54"/>
        <v>0</v>
      </c>
      <c r="AN194" s="1363">
        <f t="shared" si="46"/>
        <v>1000000</v>
      </c>
      <c r="AO194" s="1364"/>
      <c r="AP194" s="1364"/>
      <c r="AQ194" s="1361">
        <f t="shared" si="59"/>
        <v>107</v>
      </c>
      <c r="AR194" s="1362">
        <f t="shared" si="47"/>
        <v>0</v>
      </c>
      <c r="AS194" s="1362">
        <f t="shared" si="37"/>
        <v>8543.2677227072418</v>
      </c>
      <c r="AT194" s="1362">
        <f t="shared" si="64"/>
        <v>8543.2677227072418</v>
      </c>
      <c r="AU194" s="1363">
        <f t="shared" si="55"/>
        <v>85870.35367032513</v>
      </c>
    </row>
    <row r="195" spans="1:47">
      <c r="A195" s="1118">
        <f t="shared" ca="1" si="35"/>
        <v>3</v>
      </c>
      <c r="B195" s="1351">
        <f t="shared" si="38"/>
        <v>0</v>
      </c>
      <c r="C195" s="2143">
        <f t="shared" si="48"/>
        <v>0</v>
      </c>
      <c r="D195" s="2144">
        <f t="shared" si="49"/>
        <v>0</v>
      </c>
      <c r="E195" s="2145">
        <f t="shared" si="39"/>
        <v>0</v>
      </c>
      <c r="F195" s="2145">
        <f t="shared" si="61"/>
        <v>0</v>
      </c>
      <c r="G195" s="2145">
        <f t="shared" si="62"/>
        <v>0</v>
      </c>
      <c r="H195" s="2145">
        <f>IF(N194&lt;0.01,0,IF(Adm!$S$4=Adm!$S$8,0,N194*Adm!$V$4))</f>
        <v>0</v>
      </c>
      <c r="I195" s="2145">
        <f>IF(N194&lt;0.01,0,IF(Adm!$S$5=Adm!$S$8,0,Adm!$AA$11*Adm!$X$4))</f>
        <v>0</v>
      </c>
      <c r="J195" s="2145">
        <f>IF(N194&lt;0.01,0,Adm!$Q$4*1.16)</f>
        <v>0</v>
      </c>
      <c r="K195" s="2145">
        <f>IF(N194&lt;0.01,0,IF(Adm!$O$4&gt;0,E195*Adm!$O$4,0))</f>
        <v>0</v>
      </c>
      <c r="L195" s="2145">
        <f t="shared" si="40"/>
        <v>0</v>
      </c>
      <c r="M195" s="2145">
        <f>IF(Adm!$G$4="si",MIN(N194+E195+H195+I195+J195-L195,Z195),0)</f>
        <v>0</v>
      </c>
      <c r="N195" s="2145">
        <f t="shared" si="41"/>
        <v>0</v>
      </c>
      <c r="O195" s="2146"/>
      <c r="P195" s="1101"/>
      <c r="V195" s="1352">
        <f t="shared" si="42"/>
        <v>12</v>
      </c>
      <c r="W195" s="1367">
        <f>IF(V195=1,Cal!$AB$127,0)</f>
        <v>0</v>
      </c>
      <c r="Y195" s="1368">
        <f t="shared" si="50"/>
        <v>0</v>
      </c>
      <c r="Z195" s="1369">
        <f t="shared" ca="1" si="43"/>
        <v>0</v>
      </c>
      <c r="AB195" s="1375">
        <f t="shared" si="51"/>
        <v>0</v>
      </c>
      <c r="AC195" s="1373">
        <f t="shared" si="52"/>
        <v>0</v>
      </c>
      <c r="AD195" s="1373">
        <f t="shared" si="56"/>
        <v>0</v>
      </c>
      <c r="AE195" s="1373">
        <f t="shared" si="53"/>
        <v>0</v>
      </c>
      <c r="AF195" s="1371">
        <f t="shared" si="36"/>
        <v>0</v>
      </c>
      <c r="AG195" s="1359" t="e">
        <f>HLOOKUP($AG$83,anticipado,109,0)</f>
        <v>#N/A</v>
      </c>
      <c r="AI195" s="1360">
        <f t="shared" si="44"/>
        <v>0</v>
      </c>
      <c r="AJ195" s="1361">
        <f t="shared" si="57"/>
        <v>108</v>
      </c>
      <c r="AK195" s="1362">
        <f t="shared" si="45"/>
        <v>0</v>
      </c>
      <c r="AL195" s="1362">
        <f t="shared" si="58"/>
        <v>0</v>
      </c>
      <c r="AM195" s="1362">
        <f t="shared" si="54"/>
        <v>0</v>
      </c>
      <c r="AN195" s="1363">
        <f t="shared" si="46"/>
        <v>1000000</v>
      </c>
      <c r="AO195" s="1364"/>
      <c r="AP195" s="1364"/>
      <c r="AQ195" s="1361">
        <f t="shared" si="59"/>
        <v>108</v>
      </c>
      <c r="AR195" s="1362">
        <f t="shared" si="47"/>
        <v>0</v>
      </c>
      <c r="AS195" s="1362">
        <f t="shared" si="37"/>
        <v>8543.2677227072418</v>
      </c>
      <c r="AT195" s="1362">
        <f t="shared" si="64"/>
        <v>8543.2677227072418</v>
      </c>
      <c r="AU195" s="1363">
        <f t="shared" si="55"/>
        <v>77327.085947617888</v>
      </c>
    </row>
    <row r="196" spans="1:47">
      <c r="A196" s="1118">
        <f t="shared" ca="1" si="35"/>
        <v>4</v>
      </c>
      <c r="B196" s="1351">
        <f t="shared" si="38"/>
        <v>0</v>
      </c>
      <c r="C196" s="2143">
        <f t="shared" si="48"/>
        <v>0</v>
      </c>
      <c r="D196" s="2144">
        <f t="shared" si="49"/>
        <v>0</v>
      </c>
      <c r="E196" s="2145">
        <f t="shared" si="39"/>
        <v>0</v>
      </c>
      <c r="F196" s="2145">
        <f t="shared" si="61"/>
        <v>0</v>
      </c>
      <c r="G196" s="2145">
        <f t="shared" si="62"/>
        <v>0</v>
      </c>
      <c r="H196" s="2145">
        <f>IF(N195&lt;0.01,0,IF(Adm!$S$4=Adm!$S$8,0,N195*Adm!$V$4))</f>
        <v>0</v>
      </c>
      <c r="I196" s="2145">
        <f>IF(N195&lt;0.01,0,IF(Adm!$S$5=Adm!$S$8,0,Adm!$AA$11*Adm!$X$4))</f>
        <v>0</v>
      </c>
      <c r="J196" s="2145">
        <f>IF(N195&lt;0.01,0,Adm!$Q$4*1.16)</f>
        <v>0</v>
      </c>
      <c r="K196" s="2145">
        <f>IF(N195&lt;0.01,0,IF(Adm!$O$4&gt;0,E196*Adm!$O$4,0))</f>
        <v>0</v>
      </c>
      <c r="L196" s="2145">
        <f t="shared" si="40"/>
        <v>0</v>
      </c>
      <c r="M196" s="2145">
        <f>IF(Adm!$G$4="si",MIN(N195+E196+H196+I196+J196-L196,Z196),0)</f>
        <v>0</v>
      </c>
      <c r="N196" s="2145">
        <f t="shared" si="41"/>
        <v>0</v>
      </c>
      <c r="O196" s="2146"/>
      <c r="P196" s="1101"/>
      <c r="V196" s="1352">
        <f t="shared" si="42"/>
        <v>1</v>
      </c>
      <c r="W196" s="1367">
        <f>IF(V196=1,Cal!$AB$127,0)</f>
        <v>0</v>
      </c>
      <c r="Y196" s="1368">
        <f t="shared" si="50"/>
        <v>0</v>
      </c>
      <c r="Z196" s="1369">
        <f t="shared" ca="1" si="43"/>
        <v>0</v>
      </c>
      <c r="AB196" s="1375">
        <f t="shared" si="51"/>
        <v>0</v>
      </c>
      <c r="AC196" s="1373">
        <f t="shared" si="52"/>
        <v>0</v>
      </c>
      <c r="AD196" s="1373">
        <f t="shared" si="56"/>
        <v>0</v>
      </c>
      <c r="AE196" s="1373">
        <f t="shared" si="53"/>
        <v>0</v>
      </c>
      <c r="AF196" s="1371">
        <f t="shared" si="36"/>
        <v>0</v>
      </c>
      <c r="AG196" s="1359" t="e">
        <f>HLOOKUP($AG$83,anticipado,110,0)</f>
        <v>#N/A</v>
      </c>
      <c r="AI196" s="1360">
        <f t="shared" si="44"/>
        <v>0</v>
      </c>
      <c r="AJ196" s="1377">
        <f t="shared" si="57"/>
        <v>109</v>
      </c>
      <c r="AK196" s="1378">
        <f t="shared" si="45"/>
        <v>0</v>
      </c>
      <c r="AL196" s="1378">
        <f t="shared" si="58"/>
        <v>0</v>
      </c>
      <c r="AM196" s="1378">
        <f>MIN(AN195+AK196,AM195*(1+$AK$83))</f>
        <v>0</v>
      </c>
      <c r="AN196" s="1363">
        <f t="shared" si="46"/>
        <v>1000000</v>
      </c>
      <c r="AO196" s="1364"/>
      <c r="AP196" s="1364"/>
      <c r="AQ196" s="1379">
        <f t="shared" si="59"/>
        <v>109</v>
      </c>
      <c r="AR196" s="1380">
        <f t="shared" si="47"/>
        <v>0</v>
      </c>
      <c r="AS196" s="1380">
        <f t="shared" si="37"/>
        <v>8543.2677227072418</v>
      </c>
      <c r="AT196" s="1380">
        <f>MIN(AU195+AR196,AT195*(1+$AR$83))</f>
        <v>8543.2677227072418</v>
      </c>
      <c r="AU196" s="1363">
        <f t="shared" si="55"/>
        <v>68783.818224910647</v>
      </c>
    </row>
    <row r="197" spans="1:47">
      <c r="A197" s="1118">
        <f t="shared" ca="1" si="35"/>
        <v>5</v>
      </c>
      <c r="B197" s="1351">
        <f t="shared" si="38"/>
        <v>0</v>
      </c>
      <c r="C197" s="2143">
        <f t="shared" si="48"/>
        <v>0</v>
      </c>
      <c r="D197" s="2144">
        <f t="shared" si="49"/>
        <v>0</v>
      </c>
      <c r="E197" s="2145">
        <f t="shared" si="39"/>
        <v>0</v>
      </c>
      <c r="F197" s="2145">
        <f t="shared" si="61"/>
        <v>0</v>
      </c>
      <c r="G197" s="2145">
        <f t="shared" si="62"/>
        <v>0</v>
      </c>
      <c r="H197" s="2145">
        <f>IF(N196&lt;0.01,0,IF(Adm!$S$4=Adm!$S$8,0,N196*Adm!$V$4))</f>
        <v>0</v>
      </c>
      <c r="I197" s="2145">
        <f>IF(N196&lt;0.01,0,IF(Adm!$S$5=Adm!$S$8,0,Adm!$AA$11*Adm!$X$4))</f>
        <v>0</v>
      </c>
      <c r="J197" s="2145">
        <f>IF(N196&lt;0.01,0,Adm!$Q$4*1.16)</f>
        <v>0</v>
      </c>
      <c r="K197" s="2145">
        <f>IF(N196&lt;0.01,0,IF(Adm!$O$4&gt;0,E197*Adm!$O$4,0))</f>
        <v>0</v>
      </c>
      <c r="L197" s="2145">
        <f t="shared" si="40"/>
        <v>0</v>
      </c>
      <c r="M197" s="2145">
        <f>IF(Adm!$G$4="si",MIN(N196+E197+H197+I197+J197-L197,Z197),0)</f>
        <v>0</v>
      </c>
      <c r="N197" s="2145">
        <f t="shared" si="41"/>
        <v>0</v>
      </c>
      <c r="O197" s="2146"/>
      <c r="P197" s="1101"/>
      <c r="V197" s="1352">
        <f t="shared" si="42"/>
        <v>2</v>
      </c>
      <c r="W197" s="1367">
        <f>IF(V197=1,Cal!$AB$127,0)</f>
        <v>0</v>
      </c>
      <c r="Y197" s="1368">
        <f t="shared" si="50"/>
        <v>0</v>
      </c>
      <c r="Z197" s="1369">
        <f t="shared" ca="1" si="43"/>
        <v>0</v>
      </c>
      <c r="AB197" s="1375">
        <f t="shared" si="51"/>
        <v>0</v>
      </c>
      <c r="AC197" s="1373">
        <f t="shared" si="52"/>
        <v>0</v>
      </c>
      <c r="AD197" s="1373">
        <f t="shared" si="56"/>
        <v>0</v>
      </c>
      <c r="AE197" s="1373">
        <f t="shared" si="53"/>
        <v>0</v>
      </c>
      <c r="AF197" s="1371">
        <f t="shared" si="36"/>
        <v>0</v>
      </c>
      <c r="AG197" s="1359" t="e">
        <f>HLOOKUP($AG$83,anticipado,111,0)</f>
        <v>#N/A</v>
      </c>
      <c r="AI197" s="1360">
        <f t="shared" si="44"/>
        <v>0</v>
      </c>
      <c r="AJ197" s="1361">
        <f t="shared" si="57"/>
        <v>110</v>
      </c>
      <c r="AK197" s="1362">
        <f t="shared" si="45"/>
        <v>0</v>
      </c>
      <c r="AL197" s="1362">
        <f t="shared" si="58"/>
        <v>0</v>
      </c>
      <c r="AM197" s="1362">
        <f t="shared" si="54"/>
        <v>0</v>
      </c>
      <c r="AN197" s="1363">
        <f t="shared" si="46"/>
        <v>1000000</v>
      </c>
      <c r="AO197" s="1364"/>
      <c r="AP197" s="1364"/>
      <c r="AQ197" s="1361">
        <f t="shared" si="59"/>
        <v>110</v>
      </c>
      <c r="AR197" s="1362">
        <f t="shared" si="47"/>
        <v>0</v>
      </c>
      <c r="AS197" s="1362">
        <f t="shared" si="37"/>
        <v>8543.2677227072418</v>
      </c>
      <c r="AT197" s="1362">
        <f t="shared" ref="AT197:AT207" si="65">MIN(AU196+AR197,AT196)</f>
        <v>8543.2677227072418</v>
      </c>
      <c r="AU197" s="1363">
        <f t="shared" si="55"/>
        <v>60240.550502203405</v>
      </c>
    </row>
    <row r="198" spans="1:47">
      <c r="A198" s="1118">
        <f t="shared" ca="1" si="35"/>
        <v>6</v>
      </c>
      <c r="B198" s="1351">
        <f t="shared" si="38"/>
        <v>0</v>
      </c>
      <c r="C198" s="2143">
        <f t="shared" si="48"/>
        <v>0</v>
      </c>
      <c r="D198" s="2144">
        <f t="shared" si="49"/>
        <v>0</v>
      </c>
      <c r="E198" s="2145">
        <f t="shared" si="39"/>
        <v>0</v>
      </c>
      <c r="F198" s="2145">
        <f t="shared" si="61"/>
        <v>0</v>
      </c>
      <c r="G198" s="2145">
        <f t="shared" si="62"/>
        <v>0</v>
      </c>
      <c r="H198" s="2145">
        <f>IF(N197&lt;0.01,0,IF(Adm!$S$4=Adm!$S$8,0,N197*Adm!$V$4))</f>
        <v>0</v>
      </c>
      <c r="I198" s="2145">
        <f>IF(N197&lt;0.01,0,IF(Adm!$S$5=Adm!$S$8,0,Adm!$AA$11*Adm!$X$4))</f>
        <v>0</v>
      </c>
      <c r="J198" s="2145">
        <f>IF(N197&lt;0.01,0,Adm!$Q$4*1.16)</f>
        <v>0</v>
      </c>
      <c r="K198" s="2145">
        <f>IF(N197&lt;0.01,0,IF(Adm!$O$4&gt;0,E198*Adm!$O$4,0))</f>
        <v>0</v>
      </c>
      <c r="L198" s="2145">
        <f t="shared" si="40"/>
        <v>0</v>
      </c>
      <c r="M198" s="2145">
        <f>IF(Adm!$G$4="si",MIN(N197+E198+H198+I198+J198-L198,Z198),0)</f>
        <v>0</v>
      </c>
      <c r="N198" s="2145">
        <f t="shared" si="41"/>
        <v>0</v>
      </c>
      <c r="O198" s="2146"/>
      <c r="P198" s="1101"/>
      <c r="V198" s="1352">
        <f t="shared" si="42"/>
        <v>3</v>
      </c>
      <c r="W198" s="1367">
        <f>IF(V198=1,Cal!$AB$127,0)</f>
        <v>0</v>
      </c>
      <c r="Y198" s="1368">
        <f t="shared" si="50"/>
        <v>0</v>
      </c>
      <c r="Z198" s="1369">
        <f t="shared" ca="1" si="43"/>
        <v>0</v>
      </c>
      <c r="AB198" s="1375">
        <f t="shared" si="51"/>
        <v>0</v>
      </c>
      <c r="AC198" s="1373">
        <f t="shared" si="52"/>
        <v>0</v>
      </c>
      <c r="AD198" s="1373">
        <f t="shared" si="56"/>
        <v>0</v>
      </c>
      <c r="AE198" s="1373">
        <f t="shared" si="53"/>
        <v>0</v>
      </c>
      <c r="AF198" s="1371">
        <f t="shared" si="36"/>
        <v>0</v>
      </c>
      <c r="AG198" s="1359" t="e">
        <f>HLOOKUP($AG$83,anticipado,112,0)</f>
        <v>#N/A</v>
      </c>
      <c r="AI198" s="1360">
        <f t="shared" si="44"/>
        <v>0</v>
      </c>
      <c r="AJ198" s="1361">
        <f t="shared" si="57"/>
        <v>111</v>
      </c>
      <c r="AK198" s="1362">
        <f t="shared" si="45"/>
        <v>0</v>
      </c>
      <c r="AL198" s="1362">
        <f t="shared" si="58"/>
        <v>0</v>
      </c>
      <c r="AM198" s="1362">
        <f t="shared" si="54"/>
        <v>0</v>
      </c>
      <c r="AN198" s="1363">
        <f t="shared" si="46"/>
        <v>1000000</v>
      </c>
      <c r="AO198" s="1364"/>
      <c r="AP198" s="1364"/>
      <c r="AQ198" s="1361">
        <f t="shared" si="59"/>
        <v>111</v>
      </c>
      <c r="AR198" s="1362">
        <f t="shared" si="47"/>
        <v>0</v>
      </c>
      <c r="AS198" s="1362">
        <f t="shared" si="37"/>
        <v>8543.2677227072418</v>
      </c>
      <c r="AT198" s="1362">
        <f t="shared" si="65"/>
        <v>8543.2677227072418</v>
      </c>
      <c r="AU198" s="1363">
        <f t="shared" si="55"/>
        <v>51697.282779496163</v>
      </c>
    </row>
    <row r="199" spans="1:47">
      <c r="A199" s="1118">
        <f t="shared" ca="1" si="35"/>
        <v>7</v>
      </c>
      <c r="B199" s="1351">
        <f t="shared" si="38"/>
        <v>0</v>
      </c>
      <c r="C199" s="2143">
        <f t="shared" si="48"/>
        <v>0</v>
      </c>
      <c r="D199" s="2144">
        <f t="shared" si="49"/>
        <v>0</v>
      </c>
      <c r="E199" s="2145">
        <f t="shared" si="39"/>
        <v>0</v>
      </c>
      <c r="F199" s="2145">
        <f t="shared" si="61"/>
        <v>0</v>
      </c>
      <c r="G199" s="2145">
        <f t="shared" si="62"/>
        <v>0</v>
      </c>
      <c r="H199" s="2145">
        <f>IF(N198&lt;0.01,0,IF(Adm!$S$4=Adm!$S$8,0,N198*Adm!$V$4))</f>
        <v>0</v>
      </c>
      <c r="I199" s="2145">
        <f>IF(N198&lt;0.01,0,IF(Adm!$S$5=Adm!$S$8,0,Adm!$AA$11*Adm!$X$4))</f>
        <v>0</v>
      </c>
      <c r="J199" s="2145">
        <f>IF(N198&lt;0.01,0,Adm!$Q$4*1.16)</f>
        <v>0</v>
      </c>
      <c r="K199" s="2145">
        <f>IF(N198&lt;0.01,0,IF(Adm!$O$4&gt;0,E199*Adm!$O$4,0))</f>
        <v>0</v>
      </c>
      <c r="L199" s="2145">
        <f t="shared" si="40"/>
        <v>0</v>
      </c>
      <c r="M199" s="2145">
        <f>IF(Adm!$G$4="si",MIN(N198+E199+H199+I199+J199-L199,Z199),0)</f>
        <v>0</v>
      </c>
      <c r="N199" s="2145">
        <f t="shared" si="41"/>
        <v>0</v>
      </c>
      <c r="O199" s="2146"/>
      <c r="P199" s="1101"/>
      <c r="V199" s="1352">
        <f t="shared" si="42"/>
        <v>4</v>
      </c>
      <c r="W199" s="1367">
        <f>IF(V199=1,Cal!$AB$127,0)</f>
        <v>0</v>
      </c>
      <c r="Y199" s="1368">
        <f t="shared" si="50"/>
        <v>0</v>
      </c>
      <c r="Z199" s="1369">
        <f t="shared" ca="1" si="43"/>
        <v>0</v>
      </c>
      <c r="AB199" s="1375">
        <f t="shared" si="51"/>
        <v>0</v>
      </c>
      <c r="AC199" s="1373">
        <f t="shared" si="52"/>
        <v>0</v>
      </c>
      <c r="AD199" s="1373">
        <f t="shared" si="56"/>
        <v>0</v>
      </c>
      <c r="AE199" s="1373">
        <f t="shared" si="53"/>
        <v>0</v>
      </c>
      <c r="AF199" s="1371">
        <f t="shared" si="36"/>
        <v>0</v>
      </c>
      <c r="AG199" s="1359" t="e">
        <f>HLOOKUP($AG$83,anticipado,113,0)</f>
        <v>#N/A</v>
      </c>
      <c r="AI199" s="1360">
        <f t="shared" si="44"/>
        <v>0</v>
      </c>
      <c r="AJ199" s="1361">
        <f t="shared" si="57"/>
        <v>112</v>
      </c>
      <c r="AK199" s="1362">
        <f t="shared" si="45"/>
        <v>0</v>
      </c>
      <c r="AL199" s="1362">
        <f t="shared" si="58"/>
        <v>0</v>
      </c>
      <c r="AM199" s="1362">
        <f t="shared" si="54"/>
        <v>0</v>
      </c>
      <c r="AN199" s="1363">
        <f t="shared" si="46"/>
        <v>1000000</v>
      </c>
      <c r="AO199" s="1364"/>
      <c r="AP199" s="1364"/>
      <c r="AQ199" s="1361">
        <f t="shared" si="59"/>
        <v>112</v>
      </c>
      <c r="AR199" s="1362">
        <f t="shared" si="47"/>
        <v>0</v>
      </c>
      <c r="AS199" s="1362">
        <f t="shared" si="37"/>
        <v>8543.2677227072418</v>
      </c>
      <c r="AT199" s="1362">
        <f t="shared" si="65"/>
        <v>8543.2677227072418</v>
      </c>
      <c r="AU199" s="1363">
        <f t="shared" si="55"/>
        <v>43154.015056788921</v>
      </c>
    </row>
    <row r="200" spans="1:47">
      <c r="A200" s="1118">
        <f t="shared" ca="1" si="35"/>
        <v>8</v>
      </c>
      <c r="B200" s="1351">
        <f t="shared" si="38"/>
        <v>0</v>
      </c>
      <c r="C200" s="2143">
        <f t="shared" si="48"/>
        <v>0</v>
      </c>
      <c r="D200" s="2144">
        <f t="shared" si="49"/>
        <v>0</v>
      </c>
      <c r="E200" s="2145">
        <f t="shared" si="39"/>
        <v>0</v>
      </c>
      <c r="F200" s="2145">
        <f t="shared" si="61"/>
        <v>0</v>
      </c>
      <c r="G200" s="2145">
        <f t="shared" si="62"/>
        <v>0</v>
      </c>
      <c r="H200" s="2145">
        <f>IF(N199&lt;0.01,0,IF(Adm!$S$4=Adm!$S$8,0,N199*Adm!$V$4))</f>
        <v>0</v>
      </c>
      <c r="I200" s="2145">
        <f>IF(N199&lt;0.01,0,IF(Adm!$S$5=Adm!$S$8,0,Adm!$AA$11*Adm!$X$4))</f>
        <v>0</v>
      </c>
      <c r="J200" s="2145">
        <f>IF(N199&lt;0.01,0,Adm!$Q$4*1.16)</f>
        <v>0</v>
      </c>
      <c r="K200" s="2145">
        <f>IF(N199&lt;0.01,0,IF(Adm!$O$4&gt;0,E200*Adm!$O$4,0))</f>
        <v>0</v>
      </c>
      <c r="L200" s="2145">
        <f t="shared" si="40"/>
        <v>0</v>
      </c>
      <c r="M200" s="2145">
        <f>IF(Adm!$G$4="si",MIN(N199+E200+H200+I200+J200-L200,Z200),0)</f>
        <v>0</v>
      </c>
      <c r="N200" s="2145">
        <f t="shared" si="41"/>
        <v>0</v>
      </c>
      <c r="O200" s="2146"/>
      <c r="P200" s="1101"/>
      <c r="V200" s="1352">
        <f t="shared" si="42"/>
        <v>5</v>
      </c>
      <c r="W200" s="1367">
        <f>IF(V200=1,Cal!$AB$127,0)</f>
        <v>0</v>
      </c>
      <c r="Y200" s="1368">
        <f t="shared" si="50"/>
        <v>0</v>
      </c>
      <c r="Z200" s="1369">
        <f t="shared" ca="1" si="43"/>
        <v>0</v>
      </c>
      <c r="AB200" s="1375">
        <f t="shared" si="51"/>
        <v>0</v>
      </c>
      <c r="AC200" s="1373">
        <f t="shared" si="52"/>
        <v>0</v>
      </c>
      <c r="AD200" s="1373">
        <f t="shared" si="56"/>
        <v>0</v>
      </c>
      <c r="AE200" s="1373">
        <f t="shared" si="53"/>
        <v>0</v>
      </c>
      <c r="AF200" s="1371">
        <f t="shared" si="36"/>
        <v>0</v>
      </c>
      <c r="AG200" s="1359" t="e">
        <f>HLOOKUP($AG$83,anticipado,114,0)</f>
        <v>#N/A</v>
      </c>
      <c r="AI200" s="1360">
        <f t="shared" si="44"/>
        <v>0</v>
      </c>
      <c r="AJ200" s="1361">
        <f t="shared" si="57"/>
        <v>113</v>
      </c>
      <c r="AK200" s="1362">
        <f t="shared" si="45"/>
        <v>0</v>
      </c>
      <c r="AL200" s="1362">
        <f t="shared" si="58"/>
        <v>0</v>
      </c>
      <c r="AM200" s="1362">
        <f t="shared" si="54"/>
        <v>0</v>
      </c>
      <c r="AN200" s="1363">
        <f t="shared" si="46"/>
        <v>1000000</v>
      </c>
      <c r="AO200" s="1364"/>
      <c r="AP200" s="1364"/>
      <c r="AQ200" s="1361">
        <f t="shared" si="59"/>
        <v>113</v>
      </c>
      <c r="AR200" s="1362">
        <f t="shared" si="47"/>
        <v>0</v>
      </c>
      <c r="AS200" s="1362">
        <f t="shared" si="37"/>
        <v>8543.2677227072418</v>
      </c>
      <c r="AT200" s="1362">
        <f t="shared" si="65"/>
        <v>8543.2677227072418</v>
      </c>
      <c r="AU200" s="1363">
        <f t="shared" si="55"/>
        <v>34610.74733408168</v>
      </c>
    </row>
    <row r="201" spans="1:47">
      <c r="A201" s="1118">
        <f t="shared" ca="1" si="35"/>
        <v>9</v>
      </c>
      <c r="B201" s="1351">
        <f t="shared" si="38"/>
        <v>0</v>
      </c>
      <c r="C201" s="2143">
        <f t="shared" si="48"/>
        <v>0</v>
      </c>
      <c r="D201" s="2144">
        <f t="shared" si="49"/>
        <v>0</v>
      </c>
      <c r="E201" s="2145">
        <f t="shared" si="39"/>
        <v>0</v>
      </c>
      <c r="F201" s="2145">
        <f t="shared" si="61"/>
        <v>0</v>
      </c>
      <c r="G201" s="2145">
        <f t="shared" si="62"/>
        <v>0</v>
      </c>
      <c r="H201" s="2145">
        <f>IF(N200&lt;0.01,0,IF(Adm!$S$4=Adm!$S$8,0,N200*Adm!$V$4))</f>
        <v>0</v>
      </c>
      <c r="I201" s="2145">
        <f>IF(N200&lt;0.01,0,IF(Adm!$S$5=Adm!$S$8,0,Adm!$AA$11*Adm!$X$4))</f>
        <v>0</v>
      </c>
      <c r="J201" s="2145">
        <f>IF(N200&lt;0.01,0,Adm!$Q$4*1.16)</f>
        <v>0</v>
      </c>
      <c r="K201" s="2145">
        <f>IF(N200&lt;0.01,0,IF(Adm!$O$4&gt;0,E201*Adm!$O$4,0))</f>
        <v>0</v>
      </c>
      <c r="L201" s="2145">
        <f t="shared" si="40"/>
        <v>0</v>
      </c>
      <c r="M201" s="2145">
        <f>IF(Adm!$G$4="si",MIN(N200+E201+H201+I201+J201-L201,Z201),0)</f>
        <v>0</v>
      </c>
      <c r="N201" s="2145">
        <f t="shared" si="41"/>
        <v>0</v>
      </c>
      <c r="O201" s="2146"/>
      <c r="P201" s="1101"/>
      <c r="V201" s="1352">
        <f t="shared" si="42"/>
        <v>6</v>
      </c>
      <c r="W201" s="1367">
        <f>IF(V201=1,Cal!$AB$127,0)</f>
        <v>0</v>
      </c>
      <c r="Y201" s="1368">
        <f t="shared" si="50"/>
        <v>0</v>
      </c>
      <c r="Z201" s="1369">
        <f t="shared" ca="1" si="43"/>
        <v>0</v>
      </c>
      <c r="AB201" s="1375">
        <f t="shared" si="51"/>
        <v>0</v>
      </c>
      <c r="AC201" s="1373">
        <f t="shared" si="52"/>
        <v>0</v>
      </c>
      <c r="AD201" s="1373">
        <f t="shared" si="56"/>
        <v>0</v>
      </c>
      <c r="AE201" s="1373">
        <f t="shared" si="53"/>
        <v>0</v>
      </c>
      <c r="AF201" s="1371">
        <f t="shared" si="36"/>
        <v>0</v>
      </c>
      <c r="AG201" s="1359" t="e">
        <f>HLOOKUP($AG$83,anticipado,115,0)</f>
        <v>#N/A</v>
      </c>
      <c r="AI201" s="1360">
        <f t="shared" si="44"/>
        <v>0</v>
      </c>
      <c r="AJ201" s="1361">
        <f t="shared" si="57"/>
        <v>114</v>
      </c>
      <c r="AK201" s="1362">
        <f t="shared" si="45"/>
        <v>0</v>
      </c>
      <c r="AL201" s="1362">
        <f t="shared" si="58"/>
        <v>0</v>
      </c>
      <c r="AM201" s="1362">
        <f t="shared" si="54"/>
        <v>0</v>
      </c>
      <c r="AN201" s="1363">
        <f t="shared" si="46"/>
        <v>1000000</v>
      </c>
      <c r="AO201" s="1364"/>
      <c r="AP201" s="1364"/>
      <c r="AQ201" s="1361">
        <f t="shared" si="59"/>
        <v>114</v>
      </c>
      <c r="AR201" s="1362">
        <f t="shared" si="47"/>
        <v>0</v>
      </c>
      <c r="AS201" s="1362">
        <f t="shared" si="37"/>
        <v>8543.2677227072418</v>
      </c>
      <c r="AT201" s="1362">
        <f t="shared" si="65"/>
        <v>8543.2677227072418</v>
      </c>
      <c r="AU201" s="1363">
        <f t="shared" si="55"/>
        <v>26067.479611374438</v>
      </c>
    </row>
    <row r="202" spans="1:47">
      <c r="A202" s="1118">
        <f t="shared" ca="1" si="35"/>
        <v>10</v>
      </c>
      <c r="B202" s="1351">
        <f t="shared" si="38"/>
        <v>0</v>
      </c>
      <c r="C202" s="2143">
        <f t="shared" si="48"/>
        <v>0</v>
      </c>
      <c r="D202" s="2144">
        <f t="shared" si="49"/>
        <v>0</v>
      </c>
      <c r="E202" s="2145">
        <f t="shared" si="39"/>
        <v>0</v>
      </c>
      <c r="F202" s="2145">
        <f t="shared" si="61"/>
        <v>0</v>
      </c>
      <c r="G202" s="2145">
        <f t="shared" si="62"/>
        <v>0</v>
      </c>
      <c r="H202" s="2145">
        <f>IF(N201&lt;0.01,0,IF(Adm!$S$4=Adm!$S$8,0,N201*Adm!$V$4))</f>
        <v>0</v>
      </c>
      <c r="I202" s="2145">
        <f>IF(N201&lt;0.01,0,IF(Adm!$S$5=Adm!$S$8,0,Adm!$AA$11*Adm!$X$4))</f>
        <v>0</v>
      </c>
      <c r="J202" s="2145">
        <f>IF(N201&lt;0.01,0,Adm!$Q$4*1.16)</f>
        <v>0</v>
      </c>
      <c r="K202" s="2145">
        <f>IF(N201&lt;0.01,0,IF(Adm!$O$4&gt;0,E202*Adm!$O$4,0))</f>
        <v>0</v>
      </c>
      <c r="L202" s="2145">
        <f t="shared" si="40"/>
        <v>0</v>
      </c>
      <c r="M202" s="2145">
        <f>IF(Adm!$G$4="si",MIN(N201+E202+H202+I202+J202-L202,Z202),0)</f>
        <v>0</v>
      </c>
      <c r="N202" s="2145">
        <f t="shared" si="41"/>
        <v>0</v>
      </c>
      <c r="O202" s="2146"/>
      <c r="P202" s="1101"/>
      <c r="V202" s="1352">
        <f t="shared" si="42"/>
        <v>7</v>
      </c>
      <c r="W202" s="1367">
        <f>IF(V202=1,Cal!$AB$127,0)</f>
        <v>0</v>
      </c>
      <c r="Y202" s="1368">
        <f t="shared" si="50"/>
        <v>0</v>
      </c>
      <c r="Z202" s="1369">
        <f t="shared" ca="1" si="43"/>
        <v>0</v>
      </c>
      <c r="AB202" s="1375">
        <f t="shared" si="51"/>
        <v>0</v>
      </c>
      <c r="AC202" s="1373">
        <f t="shared" si="52"/>
        <v>0</v>
      </c>
      <c r="AD202" s="1373">
        <f t="shared" si="56"/>
        <v>0</v>
      </c>
      <c r="AE202" s="1373">
        <f t="shared" si="53"/>
        <v>0</v>
      </c>
      <c r="AF202" s="1371">
        <f t="shared" si="36"/>
        <v>0</v>
      </c>
      <c r="AG202" s="1359" t="e">
        <f>HLOOKUP($AG$83,anticipado,116,0)</f>
        <v>#N/A</v>
      </c>
      <c r="AI202" s="1360">
        <f t="shared" si="44"/>
        <v>0</v>
      </c>
      <c r="AJ202" s="1361">
        <f t="shared" si="57"/>
        <v>115</v>
      </c>
      <c r="AK202" s="1362">
        <f t="shared" si="45"/>
        <v>0</v>
      </c>
      <c r="AL202" s="1362">
        <f t="shared" si="58"/>
        <v>0</v>
      </c>
      <c r="AM202" s="1362">
        <f t="shared" si="54"/>
        <v>0</v>
      </c>
      <c r="AN202" s="1363">
        <f t="shared" si="46"/>
        <v>1000000</v>
      </c>
      <c r="AO202" s="1364"/>
      <c r="AP202" s="1364"/>
      <c r="AQ202" s="1361">
        <f t="shared" si="59"/>
        <v>115</v>
      </c>
      <c r="AR202" s="1362">
        <f t="shared" si="47"/>
        <v>0</v>
      </c>
      <c r="AS202" s="1362">
        <f t="shared" si="37"/>
        <v>8543.2677227072418</v>
      </c>
      <c r="AT202" s="1362">
        <f t="shared" si="65"/>
        <v>8543.2677227072418</v>
      </c>
      <c r="AU202" s="1363">
        <f t="shared" si="55"/>
        <v>17524.211888667196</v>
      </c>
    </row>
    <row r="203" spans="1:47">
      <c r="A203" s="1118">
        <f t="shared" ca="1" si="35"/>
        <v>11</v>
      </c>
      <c r="B203" s="1351">
        <f t="shared" si="38"/>
        <v>0</v>
      </c>
      <c r="C203" s="2143">
        <f t="shared" si="48"/>
        <v>0</v>
      </c>
      <c r="D203" s="2144">
        <f t="shared" si="49"/>
        <v>0</v>
      </c>
      <c r="E203" s="2145">
        <f t="shared" si="39"/>
        <v>0</v>
      </c>
      <c r="F203" s="2145">
        <f t="shared" si="61"/>
        <v>0</v>
      </c>
      <c r="G203" s="2145">
        <f t="shared" si="62"/>
        <v>0</v>
      </c>
      <c r="H203" s="2145">
        <f>IF(N202&lt;0.01,0,IF(Adm!$S$4=Adm!$S$8,0,N202*Adm!$V$4))</f>
        <v>0</v>
      </c>
      <c r="I203" s="2145">
        <f>IF(N202&lt;0.01,0,IF(Adm!$S$5=Adm!$S$8,0,Adm!$AA$11*Adm!$X$4))</f>
        <v>0</v>
      </c>
      <c r="J203" s="2145">
        <f>IF(N202&lt;0.01,0,Adm!$Q$4*1.16)</f>
        <v>0</v>
      </c>
      <c r="K203" s="2145">
        <f>IF(N202&lt;0.01,0,IF(Adm!$O$4&gt;0,E203*Adm!$O$4,0))</f>
        <v>0</v>
      </c>
      <c r="L203" s="2145">
        <f t="shared" si="40"/>
        <v>0</v>
      </c>
      <c r="M203" s="2145">
        <f>IF(Adm!$G$4="si",MIN(N202+E203+H203+I203+J203-L203,Z203),0)</f>
        <v>0</v>
      </c>
      <c r="N203" s="2145">
        <f t="shared" si="41"/>
        <v>0</v>
      </c>
      <c r="O203" s="2146"/>
      <c r="P203" s="1101"/>
      <c r="V203" s="1352">
        <f t="shared" si="42"/>
        <v>8</v>
      </c>
      <c r="W203" s="1367">
        <f>IF(V203=1,Cal!$AB$127,0)</f>
        <v>0</v>
      </c>
      <c r="Y203" s="1368">
        <f t="shared" si="50"/>
        <v>0</v>
      </c>
      <c r="Z203" s="1369">
        <f t="shared" ca="1" si="43"/>
        <v>0</v>
      </c>
      <c r="AB203" s="1375">
        <f t="shared" si="51"/>
        <v>0</v>
      </c>
      <c r="AC203" s="1373">
        <f t="shared" si="52"/>
        <v>0</v>
      </c>
      <c r="AD203" s="1373">
        <f t="shared" si="56"/>
        <v>0</v>
      </c>
      <c r="AE203" s="1373">
        <f t="shared" si="53"/>
        <v>0</v>
      </c>
      <c r="AF203" s="1371">
        <f t="shared" si="36"/>
        <v>0</v>
      </c>
      <c r="AG203" s="1359" t="e">
        <f>HLOOKUP($AG$83,anticipado,117,0)</f>
        <v>#N/A</v>
      </c>
      <c r="AI203" s="1360">
        <f t="shared" si="44"/>
        <v>0</v>
      </c>
      <c r="AJ203" s="1361">
        <f t="shared" si="57"/>
        <v>116</v>
      </c>
      <c r="AK203" s="1362">
        <f t="shared" si="45"/>
        <v>0</v>
      </c>
      <c r="AL203" s="1362">
        <f t="shared" si="58"/>
        <v>0</v>
      </c>
      <c r="AM203" s="1362">
        <f t="shared" si="54"/>
        <v>0</v>
      </c>
      <c r="AN203" s="1363">
        <f t="shared" si="46"/>
        <v>1000000</v>
      </c>
      <c r="AO203" s="1364"/>
      <c r="AP203" s="1364"/>
      <c r="AQ203" s="1361">
        <f t="shared" si="59"/>
        <v>116</v>
      </c>
      <c r="AR203" s="1362">
        <f t="shared" si="47"/>
        <v>0</v>
      </c>
      <c r="AS203" s="1362">
        <f t="shared" si="37"/>
        <v>8543.2677227072418</v>
      </c>
      <c r="AT203" s="1362">
        <f t="shared" si="65"/>
        <v>8543.2677227072418</v>
      </c>
      <c r="AU203" s="1363">
        <f t="shared" si="55"/>
        <v>8980.9441659599543</v>
      </c>
    </row>
    <row r="204" spans="1:47">
      <c r="A204" s="1118">
        <f t="shared" ca="1" si="35"/>
        <v>12</v>
      </c>
      <c r="B204" s="1351">
        <f t="shared" si="38"/>
        <v>0</v>
      </c>
      <c r="C204" s="2143">
        <f t="shared" si="48"/>
        <v>0</v>
      </c>
      <c r="D204" s="2144">
        <f t="shared" si="49"/>
        <v>0</v>
      </c>
      <c r="E204" s="2145">
        <f t="shared" si="39"/>
        <v>0</v>
      </c>
      <c r="F204" s="2145">
        <f t="shared" si="61"/>
        <v>0</v>
      </c>
      <c r="G204" s="2145">
        <f t="shared" si="62"/>
        <v>0</v>
      </c>
      <c r="H204" s="2145">
        <f>IF(N203&lt;0.01,0,IF(Adm!$S$4=Adm!$S$8,0,N203*Adm!$V$4))</f>
        <v>0</v>
      </c>
      <c r="I204" s="2145">
        <f>IF(N203&lt;0.01,0,IF(Adm!$S$5=Adm!$S$8,0,Adm!$AA$11*Adm!$X$4))</f>
        <v>0</v>
      </c>
      <c r="J204" s="2145">
        <f>IF(N203&lt;0.01,0,Adm!$Q$4*1.16)</f>
        <v>0</v>
      </c>
      <c r="K204" s="2145">
        <f>IF(N203&lt;0.01,0,IF(Adm!$O$4&gt;0,E204*Adm!$O$4,0))</f>
        <v>0</v>
      </c>
      <c r="L204" s="2145">
        <f t="shared" si="40"/>
        <v>0</v>
      </c>
      <c r="M204" s="2145">
        <f>IF(Adm!$G$4="si",MIN(N203+E204+H204+I204+J204-L204,Z204),0)</f>
        <v>0</v>
      </c>
      <c r="N204" s="2145">
        <f t="shared" si="41"/>
        <v>0</v>
      </c>
      <c r="O204" s="2146"/>
      <c r="P204" s="1101"/>
      <c r="V204" s="1352">
        <f t="shared" si="42"/>
        <v>9</v>
      </c>
      <c r="W204" s="1367">
        <f>IF(V204=1,Cal!$AB$127,0)</f>
        <v>0</v>
      </c>
      <c r="Y204" s="1368">
        <f t="shared" si="50"/>
        <v>0</v>
      </c>
      <c r="Z204" s="1369">
        <f t="shared" ca="1" si="43"/>
        <v>0</v>
      </c>
      <c r="AB204" s="1375">
        <f t="shared" si="51"/>
        <v>0</v>
      </c>
      <c r="AC204" s="1373">
        <f t="shared" si="52"/>
        <v>0</v>
      </c>
      <c r="AD204" s="1373">
        <f t="shared" si="56"/>
        <v>0</v>
      </c>
      <c r="AE204" s="1373">
        <f t="shared" si="53"/>
        <v>0</v>
      </c>
      <c r="AF204" s="1371">
        <f t="shared" si="36"/>
        <v>0</v>
      </c>
      <c r="AG204" s="1359" t="e">
        <f>HLOOKUP($AG$83,anticipado,118,0)</f>
        <v>#N/A</v>
      </c>
      <c r="AI204" s="1360">
        <f t="shared" si="44"/>
        <v>0</v>
      </c>
      <c r="AJ204" s="1361">
        <f t="shared" si="57"/>
        <v>117</v>
      </c>
      <c r="AK204" s="1362">
        <f t="shared" si="45"/>
        <v>0</v>
      </c>
      <c r="AL204" s="1362">
        <f t="shared" si="58"/>
        <v>0</v>
      </c>
      <c r="AM204" s="1362">
        <f t="shared" si="54"/>
        <v>0</v>
      </c>
      <c r="AN204" s="1363">
        <f t="shared" si="46"/>
        <v>1000000</v>
      </c>
      <c r="AO204" s="1364"/>
      <c r="AP204" s="1364"/>
      <c r="AQ204" s="1361">
        <f t="shared" si="59"/>
        <v>117</v>
      </c>
      <c r="AR204" s="1362">
        <f t="shared" si="47"/>
        <v>0</v>
      </c>
      <c r="AS204" s="1362">
        <f t="shared" si="37"/>
        <v>8543.2677227072418</v>
      </c>
      <c r="AT204" s="1362">
        <f t="shared" si="65"/>
        <v>8543.2677227072418</v>
      </c>
      <c r="AU204" s="1363">
        <f t="shared" si="55"/>
        <v>437.67644325271249</v>
      </c>
    </row>
    <row r="205" spans="1:47">
      <c r="A205" s="1118">
        <f t="shared" ca="1" si="35"/>
        <v>1</v>
      </c>
      <c r="B205" s="1351">
        <f t="shared" si="38"/>
        <v>0</v>
      </c>
      <c r="C205" s="2143">
        <f t="shared" si="48"/>
        <v>0</v>
      </c>
      <c r="D205" s="2144">
        <f t="shared" si="49"/>
        <v>0</v>
      </c>
      <c r="E205" s="2145">
        <f t="shared" si="39"/>
        <v>0</v>
      </c>
      <c r="F205" s="2145">
        <f t="shared" si="61"/>
        <v>0</v>
      </c>
      <c r="G205" s="2145">
        <f t="shared" si="62"/>
        <v>0</v>
      </c>
      <c r="H205" s="2145">
        <f>IF(N204&lt;0.01,0,IF(Adm!$S$4=Adm!$S$8,0,N204*Adm!$V$4))</f>
        <v>0</v>
      </c>
      <c r="I205" s="2145">
        <f>IF(N204&lt;0.01,0,IF(Adm!$S$5=Adm!$S$8,0,Adm!$AA$11*Adm!$X$4))</f>
        <v>0</v>
      </c>
      <c r="J205" s="2145">
        <f>IF(N204&lt;0.01,0,Adm!$Q$4*1.16)</f>
        <v>0</v>
      </c>
      <c r="K205" s="2145">
        <f>IF(N204&lt;0.01,0,IF(Adm!$O$4&gt;0,E205*Adm!$O$4,0))</f>
        <v>0</v>
      </c>
      <c r="L205" s="2145">
        <f t="shared" si="40"/>
        <v>0</v>
      </c>
      <c r="M205" s="2145">
        <f>IF(Adm!$G$4="si",MIN(N204+E205+H205+I205+J205-L205,Z205),0)</f>
        <v>0</v>
      </c>
      <c r="N205" s="2145">
        <f t="shared" si="41"/>
        <v>0</v>
      </c>
      <c r="O205" s="2146"/>
      <c r="P205" s="1101"/>
      <c r="V205" s="1352">
        <f t="shared" si="42"/>
        <v>10</v>
      </c>
      <c r="W205" s="1367">
        <f>IF(V205=1,Cal!$AB$127,0)</f>
        <v>0</v>
      </c>
      <c r="Y205" s="1368">
        <f t="shared" si="50"/>
        <v>0</v>
      </c>
      <c r="Z205" s="1369">
        <f t="shared" ca="1" si="43"/>
        <v>0</v>
      </c>
      <c r="AB205" s="1375">
        <f t="shared" si="51"/>
        <v>0</v>
      </c>
      <c r="AC205" s="1373">
        <f t="shared" si="52"/>
        <v>0</v>
      </c>
      <c r="AD205" s="1373">
        <f t="shared" si="56"/>
        <v>0</v>
      </c>
      <c r="AE205" s="1373">
        <f t="shared" si="53"/>
        <v>0</v>
      </c>
      <c r="AF205" s="1371">
        <f t="shared" si="36"/>
        <v>0</v>
      </c>
      <c r="AG205" s="1359" t="e">
        <f>HLOOKUP($AG$83,anticipado,119,0)</f>
        <v>#N/A</v>
      </c>
      <c r="AI205" s="1360">
        <f t="shared" si="44"/>
        <v>0</v>
      </c>
      <c r="AJ205" s="1361">
        <f t="shared" si="57"/>
        <v>118</v>
      </c>
      <c r="AK205" s="1362">
        <f t="shared" si="45"/>
        <v>0</v>
      </c>
      <c r="AL205" s="1362">
        <f t="shared" si="58"/>
        <v>0</v>
      </c>
      <c r="AM205" s="1362">
        <f t="shared" si="54"/>
        <v>0</v>
      </c>
      <c r="AN205" s="1363">
        <f t="shared" si="46"/>
        <v>1000000</v>
      </c>
      <c r="AO205" s="1364"/>
      <c r="AP205" s="1364"/>
      <c r="AQ205" s="1361">
        <f t="shared" si="59"/>
        <v>118</v>
      </c>
      <c r="AR205" s="1362">
        <f t="shared" si="47"/>
        <v>0</v>
      </c>
      <c r="AS205" s="1362">
        <f t="shared" si="37"/>
        <v>437.67644325271249</v>
      </c>
      <c r="AT205" s="1362">
        <f t="shared" si="65"/>
        <v>437.67644325271249</v>
      </c>
      <c r="AU205" s="1363">
        <f t="shared" si="55"/>
        <v>0</v>
      </c>
    </row>
    <row r="206" spans="1:47">
      <c r="A206" s="1118">
        <f t="shared" ca="1" si="35"/>
        <v>2</v>
      </c>
      <c r="B206" s="1351">
        <f t="shared" si="38"/>
        <v>0</v>
      </c>
      <c r="C206" s="2143">
        <f t="shared" si="48"/>
        <v>0</v>
      </c>
      <c r="D206" s="2144">
        <f t="shared" si="49"/>
        <v>0</v>
      </c>
      <c r="E206" s="2145">
        <f t="shared" si="39"/>
        <v>0</v>
      </c>
      <c r="F206" s="2145">
        <f t="shared" si="61"/>
        <v>0</v>
      </c>
      <c r="G206" s="2145">
        <f t="shared" si="62"/>
        <v>0</v>
      </c>
      <c r="H206" s="2145">
        <f>IF(N205&lt;0.01,0,IF(Adm!$S$4=Adm!$S$8,0,N205*Adm!$V$4))</f>
        <v>0</v>
      </c>
      <c r="I206" s="2145">
        <f>IF(N205&lt;0.01,0,IF(Adm!$S$5=Adm!$S$8,0,Adm!$AA$11*Adm!$X$4))</f>
        <v>0</v>
      </c>
      <c r="J206" s="2145">
        <f>IF(N205&lt;0.01,0,Adm!$Q$4*1.16)</f>
        <v>0</v>
      </c>
      <c r="K206" s="2145">
        <f>IF(N205&lt;0.01,0,IF(Adm!$O$4&gt;0,E206*Adm!$O$4,0))</f>
        <v>0</v>
      </c>
      <c r="L206" s="2145">
        <f t="shared" si="40"/>
        <v>0</v>
      </c>
      <c r="M206" s="2145">
        <f>IF(Adm!$G$4="si",MIN(N205+E206+H206+I206+J206-L206,Z206),0)</f>
        <v>0</v>
      </c>
      <c r="N206" s="2145">
        <f t="shared" si="41"/>
        <v>0</v>
      </c>
      <c r="O206" s="2146"/>
      <c r="P206" s="1101"/>
      <c r="V206" s="1352">
        <f t="shared" si="42"/>
        <v>11</v>
      </c>
      <c r="W206" s="1367">
        <f>IF(V206=1,Cal!$AB$127,0)</f>
        <v>0</v>
      </c>
      <c r="Y206" s="1368">
        <f t="shared" si="50"/>
        <v>0</v>
      </c>
      <c r="Z206" s="1369">
        <f t="shared" ca="1" si="43"/>
        <v>0</v>
      </c>
      <c r="AB206" s="1375">
        <f t="shared" si="51"/>
        <v>0</v>
      </c>
      <c r="AC206" s="1373">
        <f t="shared" si="52"/>
        <v>0</v>
      </c>
      <c r="AD206" s="1373">
        <f t="shared" si="56"/>
        <v>0</v>
      </c>
      <c r="AE206" s="1373">
        <f t="shared" si="53"/>
        <v>0</v>
      </c>
      <c r="AF206" s="1371">
        <f t="shared" si="36"/>
        <v>0</v>
      </c>
      <c r="AG206" s="1359" t="e">
        <f>HLOOKUP($AG$83,anticipado,120,0)</f>
        <v>#N/A</v>
      </c>
      <c r="AI206" s="1360">
        <f t="shared" si="44"/>
        <v>0</v>
      </c>
      <c r="AJ206" s="1361">
        <f t="shared" si="57"/>
        <v>119</v>
      </c>
      <c r="AK206" s="1362">
        <f t="shared" si="45"/>
        <v>0</v>
      </c>
      <c r="AL206" s="1362">
        <f t="shared" si="58"/>
        <v>0</v>
      </c>
      <c r="AM206" s="1362">
        <f t="shared" si="54"/>
        <v>0</v>
      </c>
      <c r="AN206" s="1363">
        <f t="shared" si="46"/>
        <v>1000000</v>
      </c>
      <c r="AO206" s="1364"/>
      <c r="AP206" s="1364"/>
      <c r="AQ206" s="1361" t="str">
        <f t="shared" si="59"/>
        <v/>
      </c>
      <c r="AR206" s="1362">
        <f t="shared" si="47"/>
        <v>0</v>
      </c>
      <c r="AS206" s="1362">
        <f t="shared" si="37"/>
        <v>0</v>
      </c>
      <c r="AT206" s="1362">
        <f t="shared" si="65"/>
        <v>0</v>
      </c>
      <c r="AU206" s="1363">
        <f t="shared" si="55"/>
        <v>0</v>
      </c>
    </row>
    <row r="207" spans="1:47">
      <c r="A207" s="1118">
        <f t="shared" ca="1" si="35"/>
        <v>3</v>
      </c>
      <c r="B207" s="1351">
        <f t="shared" si="38"/>
        <v>0</v>
      </c>
      <c r="C207" s="2143">
        <f t="shared" si="48"/>
        <v>0</v>
      </c>
      <c r="D207" s="2144">
        <f t="shared" si="49"/>
        <v>0</v>
      </c>
      <c r="E207" s="2145">
        <f t="shared" si="39"/>
        <v>0</v>
      </c>
      <c r="F207" s="2145">
        <f t="shared" si="61"/>
        <v>0</v>
      </c>
      <c r="G207" s="2145">
        <f t="shared" si="62"/>
        <v>0</v>
      </c>
      <c r="H207" s="2145">
        <f>IF(N206&lt;0.01,0,IF(Adm!$S$4=Adm!$S$8,0,N206*Adm!$V$4))</f>
        <v>0</v>
      </c>
      <c r="I207" s="2145">
        <f>IF(N206&lt;0.01,0,IF(Adm!$S$5=Adm!$S$8,0,Adm!$AA$11*Adm!$X$4))</f>
        <v>0</v>
      </c>
      <c r="J207" s="2145">
        <f>IF(N206&lt;0.01,0,Adm!$Q$4*1.16)</f>
        <v>0</v>
      </c>
      <c r="K207" s="2145">
        <f>IF(N206&lt;0.01,0,IF(Adm!$O$4&gt;0,E207*Adm!$O$4,0))</f>
        <v>0</v>
      </c>
      <c r="L207" s="2145">
        <f t="shared" si="40"/>
        <v>0</v>
      </c>
      <c r="M207" s="2145">
        <f>IF(Adm!$G$4="si",MIN(N206+E207+H207+I207+J207-L207,Z207),0)</f>
        <v>0</v>
      </c>
      <c r="N207" s="2145">
        <f t="shared" si="41"/>
        <v>0</v>
      </c>
      <c r="O207" s="2146"/>
      <c r="P207" s="1101"/>
      <c r="V207" s="1352">
        <f t="shared" si="42"/>
        <v>12</v>
      </c>
      <c r="W207" s="1367">
        <f>IF(V207=1,Cal!$AB$127,0)</f>
        <v>0</v>
      </c>
      <c r="Y207" s="1368">
        <f t="shared" si="50"/>
        <v>0</v>
      </c>
      <c r="Z207" s="1369">
        <f t="shared" ca="1" si="43"/>
        <v>0</v>
      </c>
      <c r="AB207" s="1375">
        <f t="shared" si="51"/>
        <v>0</v>
      </c>
      <c r="AC207" s="1373">
        <f t="shared" si="52"/>
        <v>0</v>
      </c>
      <c r="AD207" s="1373">
        <f t="shared" si="56"/>
        <v>0</v>
      </c>
      <c r="AE207" s="1373">
        <f t="shared" si="53"/>
        <v>0</v>
      </c>
      <c r="AF207" s="1371">
        <f t="shared" si="36"/>
        <v>0</v>
      </c>
      <c r="AG207" s="1359" t="e">
        <f>HLOOKUP($AG$83,anticipado,121,0)</f>
        <v>#N/A</v>
      </c>
      <c r="AI207" s="1360">
        <f t="shared" si="44"/>
        <v>0</v>
      </c>
      <c r="AJ207" s="1361">
        <f t="shared" si="57"/>
        <v>120</v>
      </c>
      <c r="AK207" s="1362">
        <f t="shared" si="45"/>
        <v>0</v>
      </c>
      <c r="AL207" s="1362">
        <f t="shared" si="58"/>
        <v>0</v>
      </c>
      <c r="AM207" s="1362">
        <f t="shared" si="54"/>
        <v>0</v>
      </c>
      <c r="AN207" s="1363">
        <f t="shared" si="46"/>
        <v>1000000</v>
      </c>
      <c r="AO207" s="1364"/>
      <c r="AP207" s="1364"/>
      <c r="AQ207" s="1361" t="str">
        <f t="shared" si="59"/>
        <v/>
      </c>
      <c r="AR207" s="1362">
        <f t="shared" si="47"/>
        <v>0</v>
      </c>
      <c r="AS207" s="1362">
        <f t="shared" si="37"/>
        <v>0</v>
      </c>
      <c r="AT207" s="1362">
        <f t="shared" si="65"/>
        <v>0</v>
      </c>
      <c r="AU207" s="1363">
        <f t="shared" si="55"/>
        <v>0</v>
      </c>
    </row>
    <row r="208" spans="1:47">
      <c r="A208" s="1118">
        <f t="shared" ca="1" si="35"/>
        <v>4</v>
      </c>
      <c r="B208" s="1351">
        <f t="shared" si="38"/>
        <v>0</v>
      </c>
      <c r="C208" s="2143">
        <f t="shared" si="48"/>
        <v>0</v>
      </c>
      <c r="D208" s="2144">
        <f t="shared" si="49"/>
        <v>0</v>
      </c>
      <c r="E208" s="2145">
        <f t="shared" si="39"/>
        <v>0</v>
      </c>
      <c r="F208" s="2145">
        <f t="shared" si="61"/>
        <v>0</v>
      </c>
      <c r="G208" s="2145">
        <f t="shared" si="62"/>
        <v>0</v>
      </c>
      <c r="H208" s="2145">
        <f>IF(N207&lt;0.01,0,IF(Adm!$S$4=Adm!$S$8,0,N207*Adm!$V$4))</f>
        <v>0</v>
      </c>
      <c r="I208" s="2145">
        <f>IF(N207&lt;0.01,0,IF(Adm!$S$5=Adm!$S$8,0,Adm!$AA$11*Adm!$X$4))</f>
        <v>0</v>
      </c>
      <c r="J208" s="2145">
        <f>IF(N207&lt;0.01,0,Adm!$Q$4*1.16)</f>
        <v>0</v>
      </c>
      <c r="K208" s="2145">
        <f>IF(N207&lt;0.01,0,IF(Adm!$O$4&gt;0,E208*Adm!$O$4,0))</f>
        <v>0</v>
      </c>
      <c r="L208" s="2145">
        <f t="shared" si="40"/>
        <v>0</v>
      </c>
      <c r="M208" s="2145">
        <f>IF(Adm!$G$4="si",MIN(N207+E208+H208+I208+J208-L208,Z208),0)</f>
        <v>0</v>
      </c>
      <c r="N208" s="2145">
        <f t="shared" si="41"/>
        <v>0</v>
      </c>
      <c r="O208" s="2146"/>
      <c r="P208" s="1101"/>
      <c r="V208" s="1352">
        <f t="shared" si="42"/>
        <v>1</v>
      </c>
      <c r="W208" s="1367">
        <f>IF(V208=1,Cal!$AB$127,0)</f>
        <v>0</v>
      </c>
      <c r="Y208" s="1368">
        <f t="shared" si="50"/>
        <v>0</v>
      </c>
      <c r="Z208" s="1369">
        <f t="shared" ca="1" si="43"/>
        <v>0</v>
      </c>
      <c r="AB208" s="1375">
        <f t="shared" si="51"/>
        <v>0</v>
      </c>
      <c r="AC208" s="1373">
        <f t="shared" si="52"/>
        <v>0</v>
      </c>
      <c r="AD208" s="1373">
        <f t="shared" si="56"/>
        <v>0</v>
      </c>
      <c r="AE208" s="1373">
        <f t="shared" si="53"/>
        <v>0</v>
      </c>
      <c r="AF208" s="1371">
        <f t="shared" si="36"/>
        <v>0</v>
      </c>
      <c r="AG208" s="1359" t="e">
        <f>HLOOKUP($AG$83,anticipado,122,0)</f>
        <v>#N/A</v>
      </c>
      <c r="AI208" s="1360">
        <f t="shared" si="44"/>
        <v>0</v>
      </c>
      <c r="AJ208" s="1377">
        <f t="shared" si="57"/>
        <v>121</v>
      </c>
      <c r="AK208" s="1378">
        <f t="shared" si="45"/>
        <v>0</v>
      </c>
      <c r="AL208" s="1378">
        <f t="shared" si="58"/>
        <v>0</v>
      </c>
      <c r="AM208" s="1378">
        <f>MIN(AN207+AK208,AM207*(1+$AK$83))</f>
        <v>0</v>
      </c>
      <c r="AN208" s="1363">
        <f t="shared" si="46"/>
        <v>1000000</v>
      </c>
      <c r="AO208" s="1364"/>
      <c r="AP208" s="1364"/>
      <c r="AQ208" s="1379" t="str">
        <f t="shared" si="59"/>
        <v/>
      </c>
      <c r="AR208" s="1380">
        <f t="shared" si="47"/>
        <v>0</v>
      </c>
      <c r="AS208" s="1380">
        <f t="shared" si="37"/>
        <v>0</v>
      </c>
      <c r="AT208" s="1380">
        <f>MIN(AU207+AR208,AT207*(1+$AR$83))</f>
        <v>0</v>
      </c>
      <c r="AU208" s="1363">
        <f t="shared" si="55"/>
        <v>0</v>
      </c>
    </row>
    <row r="209" spans="1:47">
      <c r="A209" s="1118">
        <f t="shared" ca="1" si="35"/>
        <v>5</v>
      </c>
      <c r="B209" s="1351">
        <f t="shared" si="38"/>
        <v>0</v>
      </c>
      <c r="C209" s="2143">
        <f t="shared" si="48"/>
        <v>0</v>
      </c>
      <c r="D209" s="2144">
        <f t="shared" si="49"/>
        <v>0</v>
      </c>
      <c r="E209" s="2145">
        <f t="shared" si="39"/>
        <v>0</v>
      </c>
      <c r="F209" s="2145">
        <f t="shared" si="61"/>
        <v>0</v>
      </c>
      <c r="G209" s="2145">
        <f t="shared" si="62"/>
        <v>0</v>
      </c>
      <c r="H209" s="2145">
        <f>IF(N208&lt;0.01,0,IF(Adm!$S$4=Adm!$S$8,0,N208*Adm!$V$4))</f>
        <v>0</v>
      </c>
      <c r="I209" s="2145">
        <f>IF(N208&lt;0.01,0,IF(Adm!$S$5=Adm!$S$8,0,Adm!$AA$11*Adm!$X$4))</f>
        <v>0</v>
      </c>
      <c r="J209" s="2145">
        <f>IF(N208&lt;0.01,0,Adm!$Q$4*1.16)</f>
        <v>0</v>
      </c>
      <c r="K209" s="2145">
        <f>IF(N208&lt;0.01,0,IF(Adm!$O$4&gt;0,E209*Adm!$O$4,0))</f>
        <v>0</v>
      </c>
      <c r="L209" s="2145">
        <f t="shared" si="40"/>
        <v>0</v>
      </c>
      <c r="M209" s="2145">
        <f>IF(Adm!$G$4="si",MIN(N208+E209+H209+I209+J209-L209,Z209),0)</f>
        <v>0</v>
      </c>
      <c r="N209" s="2145">
        <f t="shared" si="41"/>
        <v>0</v>
      </c>
      <c r="O209" s="2146"/>
      <c r="P209" s="1101"/>
      <c r="V209" s="1352">
        <f t="shared" si="42"/>
        <v>2</v>
      </c>
      <c r="W209" s="1367">
        <f>IF(V209=1,Cal!$AB$127,0)</f>
        <v>0</v>
      </c>
      <c r="Y209" s="1368">
        <f t="shared" si="50"/>
        <v>0</v>
      </c>
      <c r="Z209" s="1369">
        <f t="shared" ca="1" si="43"/>
        <v>0</v>
      </c>
      <c r="AB209" s="1375">
        <f t="shared" si="51"/>
        <v>0</v>
      </c>
      <c r="AC209" s="1373">
        <f t="shared" si="52"/>
        <v>0</v>
      </c>
      <c r="AD209" s="1373">
        <f t="shared" si="56"/>
        <v>0</v>
      </c>
      <c r="AE209" s="1373">
        <f t="shared" si="53"/>
        <v>0</v>
      </c>
      <c r="AF209" s="1371">
        <f t="shared" si="36"/>
        <v>0</v>
      </c>
      <c r="AG209" s="1359" t="e">
        <f>HLOOKUP($AG$83,anticipado,123,0)</f>
        <v>#N/A</v>
      </c>
      <c r="AI209" s="1360">
        <f t="shared" si="44"/>
        <v>0</v>
      </c>
      <c r="AJ209" s="1361">
        <f t="shared" si="57"/>
        <v>122</v>
      </c>
      <c r="AK209" s="1362">
        <f t="shared" si="45"/>
        <v>0</v>
      </c>
      <c r="AL209" s="1362">
        <f t="shared" si="58"/>
        <v>0</v>
      </c>
      <c r="AM209" s="1362">
        <f t="shared" si="54"/>
        <v>0</v>
      </c>
      <c r="AN209" s="1363">
        <f t="shared" si="46"/>
        <v>1000000</v>
      </c>
      <c r="AO209" s="1364"/>
      <c r="AP209" s="1364"/>
      <c r="AQ209" s="1361" t="str">
        <f t="shared" si="59"/>
        <v/>
      </c>
      <c r="AR209" s="1362">
        <f t="shared" si="47"/>
        <v>0</v>
      </c>
      <c r="AS209" s="1362">
        <f t="shared" si="37"/>
        <v>0</v>
      </c>
      <c r="AT209" s="1362">
        <f t="shared" ref="AT209:AT219" si="66">MIN(AU208+AR209,AT208)</f>
        <v>0</v>
      </c>
      <c r="AU209" s="1363">
        <f t="shared" si="55"/>
        <v>0</v>
      </c>
    </row>
    <row r="210" spans="1:47">
      <c r="A210" s="1118">
        <f t="shared" ca="1" si="35"/>
        <v>6</v>
      </c>
      <c r="B210" s="1351">
        <f t="shared" si="38"/>
        <v>0</v>
      </c>
      <c r="C210" s="2143">
        <f t="shared" si="48"/>
        <v>0</v>
      </c>
      <c r="D210" s="2144">
        <f t="shared" si="49"/>
        <v>0</v>
      </c>
      <c r="E210" s="2145">
        <f t="shared" si="39"/>
        <v>0</v>
      </c>
      <c r="F210" s="2145">
        <f t="shared" si="61"/>
        <v>0</v>
      </c>
      <c r="G210" s="2145">
        <f t="shared" si="62"/>
        <v>0</v>
      </c>
      <c r="H210" s="2145">
        <f>IF(N209&lt;0.01,0,IF(Adm!$S$4=Adm!$S$8,0,N209*Adm!$V$4))</f>
        <v>0</v>
      </c>
      <c r="I210" s="2145">
        <f>IF(N209&lt;0.01,0,IF(Adm!$S$5=Adm!$S$8,0,Adm!$AA$11*Adm!$X$4))</f>
        <v>0</v>
      </c>
      <c r="J210" s="2145">
        <f>IF(N209&lt;0.01,0,Adm!$Q$4*1.16)</f>
        <v>0</v>
      </c>
      <c r="K210" s="2145">
        <f>IF(N209&lt;0.01,0,IF(Adm!$O$4&gt;0,E210*Adm!$O$4,0))</f>
        <v>0</v>
      </c>
      <c r="L210" s="2145">
        <f t="shared" si="40"/>
        <v>0</v>
      </c>
      <c r="M210" s="2145">
        <f>IF(Adm!$G$4="si",MIN(N209+E210+H210+I210+J210-L210,Z210),0)</f>
        <v>0</v>
      </c>
      <c r="N210" s="2145">
        <f t="shared" si="41"/>
        <v>0</v>
      </c>
      <c r="O210" s="2146"/>
      <c r="P210" s="1101"/>
      <c r="V210" s="1352">
        <f t="shared" si="42"/>
        <v>3</v>
      </c>
      <c r="W210" s="1367">
        <f>IF(V210=1,Cal!$AB$127,0)</f>
        <v>0</v>
      </c>
      <c r="Y210" s="1368">
        <f t="shared" si="50"/>
        <v>0</v>
      </c>
      <c r="Z210" s="1369">
        <f t="shared" ca="1" si="43"/>
        <v>0</v>
      </c>
      <c r="AB210" s="1375">
        <f t="shared" si="51"/>
        <v>0</v>
      </c>
      <c r="AC210" s="1373">
        <f t="shared" si="52"/>
        <v>0</v>
      </c>
      <c r="AD210" s="1373">
        <f t="shared" si="56"/>
        <v>0</v>
      </c>
      <c r="AE210" s="1373">
        <f t="shared" si="53"/>
        <v>0</v>
      </c>
      <c r="AF210" s="1371">
        <f t="shared" si="36"/>
        <v>0</v>
      </c>
      <c r="AG210" s="1359" t="e">
        <f>HLOOKUP($AG$83,anticipado,124,0)</f>
        <v>#N/A</v>
      </c>
      <c r="AI210" s="1360">
        <f t="shared" si="44"/>
        <v>0</v>
      </c>
      <c r="AJ210" s="1361">
        <f t="shared" si="57"/>
        <v>123</v>
      </c>
      <c r="AK210" s="1362">
        <f t="shared" si="45"/>
        <v>0</v>
      </c>
      <c r="AL210" s="1362">
        <f t="shared" si="58"/>
        <v>0</v>
      </c>
      <c r="AM210" s="1362">
        <f t="shared" si="54"/>
        <v>0</v>
      </c>
      <c r="AN210" s="1363">
        <f t="shared" si="46"/>
        <v>1000000</v>
      </c>
      <c r="AO210" s="1364"/>
      <c r="AP210" s="1364"/>
      <c r="AQ210" s="1361" t="str">
        <f t="shared" si="59"/>
        <v/>
      </c>
      <c r="AR210" s="1362">
        <f t="shared" si="47"/>
        <v>0</v>
      </c>
      <c r="AS210" s="1362">
        <f t="shared" si="37"/>
        <v>0</v>
      </c>
      <c r="AT210" s="1362">
        <f t="shared" si="66"/>
        <v>0</v>
      </c>
      <c r="AU210" s="1363">
        <f t="shared" si="55"/>
        <v>0</v>
      </c>
    </row>
    <row r="211" spans="1:47">
      <c r="A211" s="1118">
        <f t="shared" ca="1" si="35"/>
        <v>7</v>
      </c>
      <c r="B211" s="1351">
        <f t="shared" si="38"/>
        <v>0</v>
      </c>
      <c r="C211" s="2143">
        <f t="shared" si="48"/>
        <v>0</v>
      </c>
      <c r="D211" s="2144">
        <f t="shared" si="49"/>
        <v>0</v>
      </c>
      <c r="E211" s="2145">
        <f t="shared" si="39"/>
        <v>0</v>
      </c>
      <c r="F211" s="2145">
        <f t="shared" si="61"/>
        <v>0</v>
      </c>
      <c r="G211" s="2145">
        <f t="shared" si="62"/>
        <v>0</v>
      </c>
      <c r="H211" s="2145">
        <f>IF(N210&lt;0.01,0,IF(Adm!$S$4=Adm!$S$8,0,N210*Adm!$V$4))</f>
        <v>0</v>
      </c>
      <c r="I211" s="2145">
        <f>IF(N210&lt;0.01,0,IF(Adm!$S$5=Adm!$S$8,0,Adm!$AA$11*Adm!$X$4))</f>
        <v>0</v>
      </c>
      <c r="J211" s="2145">
        <f>IF(N210&lt;0.01,0,Adm!$Q$4*1.16)</f>
        <v>0</v>
      </c>
      <c r="K211" s="2145">
        <f>IF(N210&lt;0.01,0,IF(Adm!$O$4&gt;0,E211*Adm!$O$4,0))</f>
        <v>0</v>
      </c>
      <c r="L211" s="2145">
        <f t="shared" si="40"/>
        <v>0</v>
      </c>
      <c r="M211" s="2145">
        <f>IF(Adm!$G$4="si",MIN(N210+E211+H211+I211+J211-L211,Z211),0)</f>
        <v>0</v>
      </c>
      <c r="N211" s="2145">
        <f t="shared" si="41"/>
        <v>0</v>
      </c>
      <c r="O211" s="2146"/>
      <c r="P211" s="1101"/>
      <c r="V211" s="1352">
        <f t="shared" si="42"/>
        <v>4</v>
      </c>
      <c r="W211" s="1367">
        <f>IF(V211=1,Cal!$AB$127,0)</f>
        <v>0</v>
      </c>
      <c r="Y211" s="1368">
        <f t="shared" si="50"/>
        <v>0</v>
      </c>
      <c r="Z211" s="1369">
        <f t="shared" ca="1" si="43"/>
        <v>0</v>
      </c>
      <c r="AB211" s="1375">
        <f t="shared" si="51"/>
        <v>0</v>
      </c>
      <c r="AC211" s="1373">
        <f t="shared" si="52"/>
        <v>0</v>
      </c>
      <c r="AD211" s="1373">
        <f t="shared" si="56"/>
        <v>0</v>
      </c>
      <c r="AE211" s="1373">
        <f t="shared" si="53"/>
        <v>0</v>
      </c>
      <c r="AF211" s="1371">
        <f t="shared" si="36"/>
        <v>0</v>
      </c>
      <c r="AG211" s="1359" t="e">
        <f>HLOOKUP($AG$83,anticipado,125,0)</f>
        <v>#N/A</v>
      </c>
      <c r="AI211" s="1360">
        <f t="shared" si="44"/>
        <v>0</v>
      </c>
      <c r="AJ211" s="1361">
        <f t="shared" si="57"/>
        <v>124</v>
      </c>
      <c r="AK211" s="1362">
        <f t="shared" si="45"/>
        <v>0</v>
      </c>
      <c r="AL211" s="1362">
        <f t="shared" si="58"/>
        <v>0</v>
      </c>
      <c r="AM211" s="1362">
        <f t="shared" si="54"/>
        <v>0</v>
      </c>
      <c r="AN211" s="1363">
        <f t="shared" si="46"/>
        <v>1000000</v>
      </c>
      <c r="AO211" s="1364"/>
      <c r="AP211" s="1364"/>
      <c r="AQ211" s="1361" t="str">
        <f t="shared" si="59"/>
        <v/>
      </c>
      <c r="AR211" s="1362">
        <f t="shared" si="47"/>
        <v>0</v>
      </c>
      <c r="AS211" s="1362">
        <f t="shared" si="37"/>
        <v>0</v>
      </c>
      <c r="AT211" s="1362">
        <f t="shared" si="66"/>
        <v>0</v>
      </c>
      <c r="AU211" s="1363">
        <f t="shared" si="55"/>
        <v>0</v>
      </c>
    </row>
    <row r="212" spans="1:47">
      <c r="A212" s="1118">
        <f t="shared" ca="1" si="35"/>
        <v>8</v>
      </c>
      <c r="B212" s="1351">
        <f t="shared" si="38"/>
        <v>0</v>
      </c>
      <c r="C212" s="2143">
        <f t="shared" si="48"/>
        <v>0</v>
      </c>
      <c r="D212" s="2144">
        <f t="shared" si="49"/>
        <v>0</v>
      </c>
      <c r="E212" s="2145">
        <f t="shared" si="39"/>
        <v>0</v>
      </c>
      <c r="F212" s="2145">
        <f t="shared" si="61"/>
        <v>0</v>
      </c>
      <c r="G212" s="2145">
        <f t="shared" si="62"/>
        <v>0</v>
      </c>
      <c r="H212" s="2145">
        <f>IF(N211&lt;0.01,0,IF(Adm!$S$4=Adm!$S$8,0,N211*Adm!$V$4))</f>
        <v>0</v>
      </c>
      <c r="I212" s="2145">
        <f>IF(N211&lt;0.01,0,IF(Adm!$S$5=Adm!$S$8,0,Adm!$AA$11*Adm!$X$4))</f>
        <v>0</v>
      </c>
      <c r="J212" s="2145">
        <f>IF(N211&lt;0.01,0,Adm!$Q$4*1.16)</f>
        <v>0</v>
      </c>
      <c r="K212" s="2145">
        <f>IF(N211&lt;0.01,0,IF(Adm!$O$4&gt;0,E212*Adm!$O$4,0))</f>
        <v>0</v>
      </c>
      <c r="L212" s="2145">
        <f t="shared" si="40"/>
        <v>0</v>
      </c>
      <c r="M212" s="2145">
        <f>IF(Adm!$G$4="si",MIN(N211+E212+H212+I212+J212-L212,Z212),0)</f>
        <v>0</v>
      </c>
      <c r="N212" s="2145">
        <f t="shared" si="41"/>
        <v>0</v>
      </c>
      <c r="O212" s="2146"/>
      <c r="P212" s="1101"/>
      <c r="V212" s="1352">
        <f t="shared" si="42"/>
        <v>5</v>
      </c>
      <c r="W212" s="1367">
        <f>IF(V212=1,Cal!$AB$127,0)</f>
        <v>0</v>
      </c>
      <c r="Y212" s="1368">
        <f t="shared" si="50"/>
        <v>0</v>
      </c>
      <c r="Z212" s="1369">
        <f t="shared" ca="1" si="43"/>
        <v>0</v>
      </c>
      <c r="AB212" s="1375">
        <f t="shared" si="51"/>
        <v>0</v>
      </c>
      <c r="AC212" s="1373">
        <f t="shared" si="52"/>
        <v>0</v>
      </c>
      <c r="AD212" s="1373">
        <f t="shared" si="56"/>
        <v>0</v>
      </c>
      <c r="AE212" s="1373">
        <f t="shared" si="53"/>
        <v>0</v>
      </c>
      <c r="AF212" s="1371">
        <f t="shared" si="36"/>
        <v>0</v>
      </c>
      <c r="AG212" s="1359" t="e">
        <f>HLOOKUP($AG$83,anticipado,125,0)</f>
        <v>#N/A</v>
      </c>
      <c r="AI212" s="1360">
        <f t="shared" si="44"/>
        <v>0</v>
      </c>
      <c r="AJ212" s="1361">
        <f t="shared" si="57"/>
        <v>125</v>
      </c>
      <c r="AK212" s="1362">
        <f t="shared" si="45"/>
        <v>0</v>
      </c>
      <c r="AL212" s="1362">
        <f t="shared" si="58"/>
        <v>0</v>
      </c>
      <c r="AM212" s="1362">
        <f t="shared" si="54"/>
        <v>0</v>
      </c>
      <c r="AN212" s="1363">
        <f t="shared" si="46"/>
        <v>1000000</v>
      </c>
      <c r="AO212" s="1364"/>
      <c r="AP212" s="1364"/>
      <c r="AQ212" s="1361" t="str">
        <f t="shared" si="59"/>
        <v/>
      </c>
      <c r="AR212" s="1362">
        <f t="shared" si="47"/>
        <v>0</v>
      </c>
      <c r="AS212" s="1362">
        <f t="shared" si="37"/>
        <v>0</v>
      </c>
      <c r="AT212" s="1362">
        <f t="shared" si="66"/>
        <v>0</v>
      </c>
      <c r="AU212" s="1363">
        <f t="shared" si="55"/>
        <v>0</v>
      </c>
    </row>
    <row r="213" spans="1:47">
      <c r="A213" s="1118">
        <f t="shared" ca="1" si="35"/>
        <v>9</v>
      </c>
      <c r="B213" s="1351">
        <f t="shared" si="38"/>
        <v>0</v>
      </c>
      <c r="C213" s="2143">
        <f t="shared" si="48"/>
        <v>0</v>
      </c>
      <c r="D213" s="2144">
        <f t="shared" si="49"/>
        <v>0</v>
      </c>
      <c r="E213" s="2145">
        <f t="shared" si="39"/>
        <v>0</v>
      </c>
      <c r="F213" s="2145">
        <f t="shared" si="61"/>
        <v>0</v>
      </c>
      <c r="G213" s="2145">
        <f t="shared" si="62"/>
        <v>0</v>
      </c>
      <c r="H213" s="2145">
        <f>IF(N212&lt;0.01,0,IF(Adm!$S$4=Adm!$S$8,0,N212*Adm!$V$4))</f>
        <v>0</v>
      </c>
      <c r="I213" s="2145">
        <f>IF(N212&lt;0.01,0,IF(Adm!$S$5=Adm!$S$8,0,Adm!$AA$11*Adm!$X$4))</f>
        <v>0</v>
      </c>
      <c r="J213" s="2145">
        <f>IF(N212&lt;0.01,0,Adm!$Q$4*1.16)</f>
        <v>0</v>
      </c>
      <c r="K213" s="2145">
        <f>IF(N212&lt;0.01,0,IF(Adm!$O$4&gt;0,E213*Adm!$O$4,0))</f>
        <v>0</v>
      </c>
      <c r="L213" s="2145">
        <f t="shared" si="40"/>
        <v>0</v>
      </c>
      <c r="M213" s="2145">
        <f>IF(Adm!$G$4="si",MIN(N212+E213+H213+I213+J213-L213,Z213),0)</f>
        <v>0</v>
      </c>
      <c r="N213" s="2145">
        <f t="shared" si="41"/>
        <v>0</v>
      </c>
      <c r="O213" s="2146"/>
      <c r="P213" s="1101"/>
      <c r="V213" s="1352">
        <f t="shared" si="42"/>
        <v>6</v>
      </c>
      <c r="W213" s="1367">
        <f>IF(V213=1,Cal!$AB$127,0)</f>
        <v>0</v>
      </c>
      <c r="Y213" s="1368">
        <f t="shared" si="50"/>
        <v>0</v>
      </c>
      <c r="Z213" s="1369">
        <f t="shared" ca="1" si="43"/>
        <v>0</v>
      </c>
      <c r="AB213" s="1375">
        <f t="shared" si="51"/>
        <v>0</v>
      </c>
      <c r="AC213" s="1373">
        <f t="shared" si="52"/>
        <v>0</v>
      </c>
      <c r="AD213" s="1373">
        <f t="shared" si="56"/>
        <v>0</v>
      </c>
      <c r="AE213" s="1373">
        <f t="shared" si="53"/>
        <v>0</v>
      </c>
      <c r="AF213" s="1371">
        <f t="shared" si="36"/>
        <v>0</v>
      </c>
      <c r="AG213" s="1359" t="e">
        <f>HLOOKUP($AG$83,anticipado,127,0)</f>
        <v>#N/A</v>
      </c>
      <c r="AI213" s="1360">
        <f t="shared" si="44"/>
        <v>0</v>
      </c>
      <c r="AJ213" s="1361">
        <f t="shared" si="57"/>
        <v>126</v>
      </c>
      <c r="AK213" s="1362">
        <f t="shared" si="45"/>
        <v>0</v>
      </c>
      <c r="AL213" s="1362">
        <f t="shared" si="58"/>
        <v>0</v>
      </c>
      <c r="AM213" s="1362">
        <f t="shared" si="54"/>
        <v>0</v>
      </c>
      <c r="AN213" s="1363">
        <f t="shared" si="46"/>
        <v>1000000</v>
      </c>
      <c r="AO213" s="1364"/>
      <c r="AP213" s="1364"/>
      <c r="AQ213" s="1361" t="str">
        <f t="shared" si="59"/>
        <v/>
      </c>
      <c r="AR213" s="1362">
        <f t="shared" si="47"/>
        <v>0</v>
      </c>
      <c r="AS213" s="1362">
        <f t="shared" si="37"/>
        <v>0</v>
      </c>
      <c r="AT213" s="1362">
        <f t="shared" si="66"/>
        <v>0</v>
      </c>
      <c r="AU213" s="1363">
        <f t="shared" si="55"/>
        <v>0</v>
      </c>
    </row>
    <row r="214" spans="1:47">
      <c r="A214" s="1118">
        <f t="shared" ca="1" si="35"/>
        <v>10</v>
      </c>
      <c r="B214" s="1351">
        <f t="shared" si="38"/>
        <v>0</v>
      </c>
      <c r="C214" s="2143">
        <f t="shared" si="48"/>
        <v>0</v>
      </c>
      <c r="D214" s="2144">
        <f t="shared" si="49"/>
        <v>0</v>
      </c>
      <c r="E214" s="2145">
        <f t="shared" si="39"/>
        <v>0</v>
      </c>
      <c r="F214" s="2145">
        <f t="shared" si="61"/>
        <v>0</v>
      </c>
      <c r="G214" s="2145">
        <f t="shared" si="62"/>
        <v>0</v>
      </c>
      <c r="H214" s="2145">
        <f>IF(N213&lt;0.01,0,IF(Adm!$S$4=Adm!$S$8,0,N213*Adm!$V$4))</f>
        <v>0</v>
      </c>
      <c r="I214" s="2145">
        <f>IF(N213&lt;0.01,0,IF(Adm!$S$5=Adm!$S$8,0,Adm!$AA$11*Adm!$X$4))</f>
        <v>0</v>
      </c>
      <c r="J214" s="2145">
        <f>IF(N213&lt;0.01,0,Adm!$Q$4*1.16)</f>
        <v>0</v>
      </c>
      <c r="K214" s="2145">
        <f>IF(N213&lt;0.01,0,IF(Adm!$O$4&gt;0,E214*Adm!$O$4,0))</f>
        <v>0</v>
      </c>
      <c r="L214" s="2145">
        <f t="shared" si="40"/>
        <v>0</v>
      </c>
      <c r="M214" s="2145">
        <f>IF(Adm!$G$4="si",MIN(N213+E214+H214+I214+J214-L214,Z214),0)</f>
        <v>0</v>
      </c>
      <c r="N214" s="2145">
        <f t="shared" si="41"/>
        <v>0</v>
      </c>
      <c r="O214" s="2146"/>
      <c r="P214" s="1101"/>
      <c r="V214" s="1352">
        <f t="shared" si="42"/>
        <v>7</v>
      </c>
      <c r="W214" s="1367">
        <f>IF(V214=1,Cal!$AB$127,0)</f>
        <v>0</v>
      </c>
      <c r="Y214" s="1368">
        <f t="shared" si="50"/>
        <v>0</v>
      </c>
      <c r="Z214" s="1369">
        <f t="shared" ca="1" si="43"/>
        <v>0</v>
      </c>
      <c r="AB214" s="1375">
        <f t="shared" si="51"/>
        <v>0</v>
      </c>
      <c r="AC214" s="1373">
        <f t="shared" si="52"/>
        <v>0</v>
      </c>
      <c r="AD214" s="1373">
        <f t="shared" si="56"/>
        <v>0</v>
      </c>
      <c r="AE214" s="1373">
        <f t="shared" si="53"/>
        <v>0</v>
      </c>
      <c r="AF214" s="1371">
        <f t="shared" si="36"/>
        <v>0</v>
      </c>
      <c r="AG214" s="1359" t="e">
        <f>HLOOKUP($AG$83,anticipado,128,0)</f>
        <v>#N/A</v>
      </c>
      <c r="AI214" s="1360">
        <f t="shared" si="44"/>
        <v>0</v>
      </c>
      <c r="AJ214" s="1361">
        <f t="shared" si="57"/>
        <v>127</v>
      </c>
      <c r="AK214" s="1362">
        <f t="shared" si="45"/>
        <v>0</v>
      </c>
      <c r="AL214" s="1362">
        <f t="shared" si="58"/>
        <v>0</v>
      </c>
      <c r="AM214" s="1362">
        <f t="shared" si="54"/>
        <v>0</v>
      </c>
      <c r="AN214" s="1363">
        <f t="shared" si="46"/>
        <v>1000000</v>
      </c>
      <c r="AO214" s="1364"/>
      <c r="AP214" s="1364"/>
      <c r="AQ214" s="1361" t="str">
        <f t="shared" si="59"/>
        <v/>
      </c>
      <c r="AR214" s="1362">
        <f t="shared" si="47"/>
        <v>0</v>
      </c>
      <c r="AS214" s="1362">
        <f t="shared" si="37"/>
        <v>0</v>
      </c>
      <c r="AT214" s="1362">
        <f t="shared" si="66"/>
        <v>0</v>
      </c>
      <c r="AU214" s="1363">
        <f t="shared" si="55"/>
        <v>0</v>
      </c>
    </row>
    <row r="215" spans="1:47">
      <c r="A215" s="1118">
        <f t="shared" ca="1" si="35"/>
        <v>11</v>
      </c>
      <c r="B215" s="1351">
        <f t="shared" si="38"/>
        <v>0</v>
      </c>
      <c r="C215" s="2143">
        <f t="shared" si="48"/>
        <v>0</v>
      </c>
      <c r="D215" s="2144">
        <f t="shared" si="49"/>
        <v>0</v>
      </c>
      <c r="E215" s="2145">
        <f t="shared" si="39"/>
        <v>0</v>
      </c>
      <c r="F215" s="2145">
        <f t="shared" si="61"/>
        <v>0</v>
      </c>
      <c r="G215" s="2145">
        <f t="shared" si="62"/>
        <v>0</v>
      </c>
      <c r="H215" s="2145">
        <f>IF(N214&lt;0.01,0,IF(Adm!$S$4=Adm!$S$8,0,N214*Adm!$V$4))</f>
        <v>0</v>
      </c>
      <c r="I215" s="2145">
        <f>IF(N214&lt;0.01,0,IF(Adm!$S$5=Adm!$S$8,0,Adm!$AA$11*Adm!$X$4))</f>
        <v>0</v>
      </c>
      <c r="J215" s="2145">
        <f>IF(N214&lt;0.01,0,Adm!$Q$4*1.16)</f>
        <v>0</v>
      </c>
      <c r="K215" s="2145">
        <f>IF(N214&lt;0.01,0,IF(Adm!$O$4&gt;0,E215*Adm!$O$4,0))</f>
        <v>0</v>
      </c>
      <c r="L215" s="2145">
        <f t="shared" si="40"/>
        <v>0</v>
      </c>
      <c r="M215" s="2145">
        <f>IF(Adm!$G$4="si",MIN(N214+E215+H215+I215+J215-L215,Z215),0)</f>
        <v>0</v>
      </c>
      <c r="N215" s="2145">
        <f t="shared" si="41"/>
        <v>0</v>
      </c>
      <c r="O215" s="2146"/>
      <c r="P215" s="1101"/>
      <c r="V215" s="1352">
        <f t="shared" si="42"/>
        <v>8</v>
      </c>
      <c r="W215" s="1367">
        <f>IF(V215=1,Cal!$AB$127,0)</f>
        <v>0</v>
      </c>
      <c r="Y215" s="1368">
        <f t="shared" si="50"/>
        <v>0</v>
      </c>
      <c r="Z215" s="1369">
        <f t="shared" ca="1" si="43"/>
        <v>0</v>
      </c>
      <c r="AB215" s="1375">
        <f t="shared" si="51"/>
        <v>0</v>
      </c>
      <c r="AC215" s="1373">
        <f t="shared" si="52"/>
        <v>0</v>
      </c>
      <c r="AD215" s="1373">
        <f t="shared" si="56"/>
        <v>0</v>
      </c>
      <c r="AE215" s="1373">
        <f t="shared" si="53"/>
        <v>0</v>
      </c>
      <c r="AF215" s="1371">
        <f t="shared" si="36"/>
        <v>0</v>
      </c>
      <c r="AG215" s="1359" t="e">
        <f>HLOOKUP($AG$83,anticipado,129,0)</f>
        <v>#N/A</v>
      </c>
      <c r="AI215" s="1360">
        <f t="shared" si="44"/>
        <v>0</v>
      </c>
      <c r="AJ215" s="1361">
        <f t="shared" si="57"/>
        <v>128</v>
      </c>
      <c r="AK215" s="1362">
        <f t="shared" si="45"/>
        <v>0</v>
      </c>
      <c r="AL215" s="1362">
        <f t="shared" si="58"/>
        <v>0</v>
      </c>
      <c r="AM215" s="1362">
        <f t="shared" si="54"/>
        <v>0</v>
      </c>
      <c r="AN215" s="1363">
        <f t="shared" si="46"/>
        <v>1000000</v>
      </c>
      <c r="AO215" s="1364"/>
      <c r="AP215" s="1364"/>
      <c r="AQ215" s="1361" t="str">
        <f t="shared" si="59"/>
        <v/>
      </c>
      <c r="AR215" s="1362">
        <f t="shared" si="47"/>
        <v>0</v>
      </c>
      <c r="AS215" s="1362">
        <f t="shared" si="37"/>
        <v>0</v>
      </c>
      <c r="AT215" s="1362">
        <f t="shared" si="66"/>
        <v>0</v>
      </c>
      <c r="AU215" s="1363">
        <f t="shared" si="55"/>
        <v>0</v>
      </c>
    </row>
    <row r="216" spans="1:47">
      <c r="A216" s="1118">
        <f t="shared" ref="A216:A279" ca="1" si="67">IF(A215=12,1,A215+1)</f>
        <v>12</v>
      </c>
      <c r="B216" s="1351">
        <f t="shared" si="38"/>
        <v>0</v>
      </c>
      <c r="C216" s="2143">
        <f t="shared" si="48"/>
        <v>0</v>
      </c>
      <c r="D216" s="2144">
        <f t="shared" si="49"/>
        <v>0</v>
      </c>
      <c r="E216" s="2145">
        <f t="shared" si="39"/>
        <v>0</v>
      </c>
      <c r="F216" s="2145">
        <f t="shared" si="61"/>
        <v>0</v>
      </c>
      <c r="G216" s="2145">
        <f t="shared" si="62"/>
        <v>0</v>
      </c>
      <c r="H216" s="2145">
        <f>IF(N215&lt;0.01,0,IF(Adm!$S$4=Adm!$S$8,0,N215*Adm!$V$4))</f>
        <v>0</v>
      </c>
      <c r="I216" s="2145">
        <f>IF(N215&lt;0.01,0,IF(Adm!$S$5=Adm!$S$8,0,Adm!$AA$11*Adm!$X$4))</f>
        <v>0</v>
      </c>
      <c r="J216" s="2145">
        <f>IF(N215&lt;0.01,0,Adm!$Q$4*1.16)</f>
        <v>0</v>
      </c>
      <c r="K216" s="2145">
        <f>IF(N215&lt;0.01,0,IF(Adm!$O$4&gt;0,E216*Adm!$O$4,0))</f>
        <v>0</v>
      </c>
      <c r="L216" s="2145">
        <f t="shared" si="40"/>
        <v>0</v>
      </c>
      <c r="M216" s="2145">
        <f>IF(Adm!$G$4="si",MIN(N215+E216+H216+I216+J216-L216,Z216),0)</f>
        <v>0</v>
      </c>
      <c r="N216" s="2145">
        <f t="shared" si="41"/>
        <v>0</v>
      </c>
      <c r="O216" s="2146"/>
      <c r="P216" s="1101"/>
      <c r="V216" s="1352">
        <f t="shared" si="42"/>
        <v>9</v>
      </c>
      <c r="W216" s="1367">
        <f>IF(V216=1,Cal!$AB$127,0)</f>
        <v>0</v>
      </c>
      <c r="Y216" s="1368">
        <f t="shared" si="50"/>
        <v>0</v>
      </c>
      <c r="Z216" s="1369">
        <f t="shared" ca="1" si="43"/>
        <v>0</v>
      </c>
      <c r="AB216" s="1375">
        <f t="shared" si="51"/>
        <v>0</v>
      </c>
      <c r="AC216" s="1373">
        <f t="shared" si="52"/>
        <v>0</v>
      </c>
      <c r="AD216" s="1373">
        <f t="shared" si="56"/>
        <v>0</v>
      </c>
      <c r="AE216" s="1373">
        <f t="shared" si="53"/>
        <v>0</v>
      </c>
      <c r="AF216" s="1371">
        <f t="shared" ref="AF216:AF279" si="68">IF(AND($AD$82=2,O215&lt;0.01),0,IF($AD$82=2,(N215*AG216)+E216,0))</f>
        <v>0</v>
      </c>
      <c r="AG216" s="1359" t="e">
        <f>HLOOKUP($AG$83,anticipado,130,0)</f>
        <v>#N/A</v>
      </c>
      <c r="AI216" s="1360">
        <f t="shared" si="44"/>
        <v>0</v>
      </c>
      <c r="AJ216" s="1361">
        <f t="shared" si="57"/>
        <v>129</v>
      </c>
      <c r="AK216" s="1362">
        <f t="shared" si="45"/>
        <v>0</v>
      </c>
      <c r="AL216" s="1362">
        <f t="shared" si="58"/>
        <v>0</v>
      </c>
      <c r="AM216" s="1362">
        <f t="shared" si="54"/>
        <v>0</v>
      </c>
      <c r="AN216" s="1363">
        <f t="shared" si="46"/>
        <v>1000000</v>
      </c>
      <c r="AO216" s="1364"/>
      <c r="AP216" s="1364"/>
      <c r="AQ216" s="1361" t="str">
        <f t="shared" si="59"/>
        <v/>
      </c>
      <c r="AR216" s="1362">
        <f t="shared" si="47"/>
        <v>0</v>
      </c>
      <c r="AS216" s="1362">
        <f t="shared" ref="AS216:AS279" si="69">AT216-AR216</f>
        <v>0</v>
      </c>
      <c r="AT216" s="1362">
        <f t="shared" si="66"/>
        <v>0</v>
      </c>
      <c r="AU216" s="1363">
        <f t="shared" si="55"/>
        <v>0</v>
      </c>
    </row>
    <row r="217" spans="1:47">
      <c r="A217" s="1118">
        <f t="shared" ca="1" si="67"/>
        <v>1</v>
      </c>
      <c r="B217" s="1351">
        <f t="shared" ref="B217:B280" si="70">IF(N216&gt;0,B216-1,0)</f>
        <v>0</v>
      </c>
      <c r="C217" s="2143">
        <f t="shared" si="48"/>
        <v>0</v>
      </c>
      <c r="D217" s="2144">
        <f t="shared" si="49"/>
        <v>0</v>
      </c>
      <c r="E217" s="2145">
        <f t="shared" ref="E217:E280" si="71">IF(N216&lt;0.01,0,N216*D217*30.4166/360)</f>
        <v>0</v>
      </c>
      <c r="F217" s="2145">
        <f t="shared" si="61"/>
        <v>0</v>
      </c>
      <c r="G217" s="2145">
        <f t="shared" si="62"/>
        <v>0</v>
      </c>
      <c r="H217" s="2145">
        <f>IF(N216&lt;0.01,0,IF(Adm!$S$4=Adm!$S$8,0,N216*Adm!$V$4))</f>
        <v>0</v>
      </c>
      <c r="I217" s="2145">
        <f>IF(N216&lt;0.01,0,IF(Adm!$S$5=Adm!$S$8,0,Adm!$AA$11*Adm!$X$4))</f>
        <v>0</v>
      </c>
      <c r="J217" s="2145">
        <f>IF(N216&lt;0.01,0,Adm!$Q$4*1.16)</f>
        <v>0</v>
      </c>
      <c r="K217" s="2145">
        <f>IF(N216&lt;0.01,0,IF(Adm!$O$4&gt;0,E217*Adm!$O$4,0))</f>
        <v>0</v>
      </c>
      <c r="L217" s="2145">
        <f t="shared" ref="L217:L280" si="72">G217+H217+I217+J217+K217</f>
        <v>0</v>
      </c>
      <c r="M217" s="2145">
        <f>IF(Adm!$G$4="si",MIN(N216+E217+H217+I217+J217-L217,Z217),0)</f>
        <v>0</v>
      </c>
      <c r="N217" s="2145">
        <f t="shared" ref="N217:N280" si="73">IF(N216&lt;0.001,0,+N216-F217-M217-O217)</f>
        <v>0</v>
      </c>
      <c r="O217" s="2146"/>
      <c r="P217" s="1101"/>
      <c r="V217" s="1352">
        <f t="shared" ref="V217:V280" si="74">IF(V216=12,1,V216+1)</f>
        <v>10</v>
      </c>
      <c r="W217" s="1367">
        <f>IF(V217=1,Cal!$AB$127,0)</f>
        <v>0</v>
      </c>
      <c r="Y217" s="1368">
        <f t="shared" si="50"/>
        <v>0</v>
      </c>
      <c r="Z217" s="1369">
        <f t="shared" ref="Z217:Z280" ca="1" si="75">IF(MOD(A217,2)=0,Y217*0.05*2,0)</f>
        <v>0</v>
      </c>
      <c r="AB217" s="1375">
        <f t="shared" si="51"/>
        <v>0</v>
      </c>
      <c r="AC217" s="1373">
        <f t="shared" si="52"/>
        <v>0</v>
      </c>
      <c r="AD217" s="1373">
        <f t="shared" si="56"/>
        <v>0</v>
      </c>
      <c r="AE217" s="1373">
        <f t="shared" si="53"/>
        <v>0</v>
      </c>
      <c r="AF217" s="1371">
        <f t="shared" si="68"/>
        <v>0</v>
      </c>
      <c r="AG217" s="1359" t="e">
        <f>HLOOKUP($AG$83,anticipado,131,0)</f>
        <v>#N/A</v>
      </c>
      <c r="AI217" s="1360">
        <f t="shared" ref="AI217:AI280" si="76">AL217/AN216</f>
        <v>0</v>
      </c>
      <c r="AJ217" s="1361">
        <f t="shared" si="57"/>
        <v>130</v>
      </c>
      <c r="AK217" s="1362">
        <f t="shared" ref="AK217:AK280" si="77">AN216*$AK$81*30.4166/360</f>
        <v>0</v>
      </c>
      <c r="AL217" s="1362">
        <f t="shared" si="58"/>
        <v>0</v>
      </c>
      <c r="AM217" s="1362">
        <f t="shared" si="54"/>
        <v>0</v>
      </c>
      <c r="AN217" s="1363">
        <f t="shared" ref="AN217:AN280" si="78">IF(AN216&lt;0.001,0,AN216-AL217-AO217)</f>
        <v>1000000</v>
      </c>
      <c r="AO217" s="1364"/>
      <c r="AP217" s="1364"/>
      <c r="AQ217" s="1361" t="str">
        <f t="shared" si="59"/>
        <v/>
      </c>
      <c r="AR217" s="1362">
        <f t="shared" ref="AR217:AR280" si="79">AU216*$AR$81*30.4166/360</f>
        <v>0</v>
      </c>
      <c r="AS217" s="1362">
        <f t="shared" si="69"/>
        <v>0</v>
      </c>
      <c r="AT217" s="1362">
        <f t="shared" si="66"/>
        <v>0</v>
      </c>
      <c r="AU217" s="1363">
        <f t="shared" si="55"/>
        <v>0</v>
      </c>
    </row>
    <row r="218" spans="1:47">
      <c r="A218" s="1118">
        <f t="shared" ca="1" si="67"/>
        <v>2</v>
      </c>
      <c r="B218" s="1351">
        <f t="shared" si="70"/>
        <v>0</v>
      </c>
      <c r="C218" s="2143">
        <f t="shared" ref="C218:C281" si="80">IF(N217&lt;0.01,0,C217+1)</f>
        <v>0</v>
      </c>
      <c r="D218" s="2144">
        <f t="shared" ref="D218:D281" si="81">IF(N217&lt;0.01,0,D217)</f>
        <v>0</v>
      </c>
      <c r="E218" s="2145">
        <f t="shared" si="71"/>
        <v>0</v>
      </c>
      <c r="F218" s="2145">
        <f t="shared" si="61"/>
        <v>0</v>
      </c>
      <c r="G218" s="2145">
        <f t="shared" si="62"/>
        <v>0</v>
      </c>
      <c r="H218" s="2145">
        <f>IF(N217&lt;0.01,0,IF(Adm!$S$4=Adm!$S$8,0,N217*Adm!$V$4))</f>
        <v>0</v>
      </c>
      <c r="I218" s="2145">
        <f>IF(N217&lt;0.01,0,IF(Adm!$S$5=Adm!$S$8,0,Adm!$AA$11*Adm!$X$4))</f>
        <v>0</v>
      </c>
      <c r="J218" s="2145">
        <f>IF(N217&lt;0.01,0,Adm!$Q$4*1.16)</f>
        <v>0</v>
      </c>
      <c r="K218" s="2145">
        <f>IF(N217&lt;0.01,0,IF(Adm!$O$4&gt;0,E218*Adm!$O$4,0))</f>
        <v>0</v>
      </c>
      <c r="L218" s="2145">
        <f t="shared" si="72"/>
        <v>0</v>
      </c>
      <c r="M218" s="2145">
        <f>IF(Adm!$G$4="si",MIN(N217+E218+H218+I218+J218-L218,Z218),0)</f>
        <v>0</v>
      </c>
      <c r="N218" s="2145">
        <f t="shared" si="73"/>
        <v>0</v>
      </c>
      <c r="O218" s="2146"/>
      <c r="P218" s="1101"/>
      <c r="V218" s="1352">
        <f t="shared" si="74"/>
        <v>11</v>
      </c>
      <c r="W218" s="1367">
        <f>IF(V218=1,Cal!$AB$127,0)</f>
        <v>0</v>
      </c>
      <c r="Y218" s="1368">
        <f t="shared" ref="Y218:Y281" si="82">Y217</f>
        <v>0</v>
      </c>
      <c r="Z218" s="1369">
        <f t="shared" ca="1" si="75"/>
        <v>0</v>
      </c>
      <c r="AB218" s="1375">
        <f t="shared" ref="AB218:AB281" si="83">IF(AC218&gt;1,AC218,IF(AE218&gt;1,AE218,0))</f>
        <v>0</v>
      </c>
      <c r="AC218" s="1373">
        <f t="shared" ref="AC218:AC281" si="84">IF(AND($AD$82=1,O217&gt;0.1),AD218,0)</f>
        <v>0</v>
      </c>
      <c r="AD218" s="1373">
        <f t="shared" si="56"/>
        <v>0</v>
      </c>
      <c r="AE218" s="1373">
        <f t="shared" ref="AE218:AE281" si="85">IF(AND(AF218&gt;0.01,$AB$82=2),AF218,0)</f>
        <v>0</v>
      </c>
      <c r="AF218" s="1371">
        <f t="shared" si="68"/>
        <v>0</v>
      </c>
      <c r="AG218" s="1359" t="e">
        <f>HLOOKUP($AG$83,anticipado,132,0)</f>
        <v>#N/A</v>
      </c>
      <c r="AI218" s="1360">
        <f t="shared" si="76"/>
        <v>0</v>
      </c>
      <c r="AJ218" s="1361">
        <f t="shared" si="57"/>
        <v>131</v>
      </c>
      <c r="AK218" s="1362">
        <f t="shared" si="77"/>
        <v>0</v>
      </c>
      <c r="AL218" s="1362">
        <f t="shared" si="58"/>
        <v>0</v>
      </c>
      <c r="AM218" s="1362">
        <f t="shared" ref="AM218:AM281" si="86">MIN(AN217+AK218,AM217)</f>
        <v>0</v>
      </c>
      <c r="AN218" s="1363">
        <f t="shared" si="78"/>
        <v>1000000</v>
      </c>
      <c r="AO218" s="1364"/>
      <c r="AP218" s="1364"/>
      <c r="AQ218" s="1361" t="str">
        <f t="shared" si="59"/>
        <v/>
      </c>
      <c r="AR218" s="1362">
        <f t="shared" si="79"/>
        <v>0</v>
      </c>
      <c r="AS218" s="1362">
        <f t="shared" si="69"/>
        <v>0</v>
      </c>
      <c r="AT218" s="1362">
        <f t="shared" si="66"/>
        <v>0</v>
      </c>
      <c r="AU218" s="1363">
        <f t="shared" ref="AU218:AU281" si="87">IF(AU217&lt;0.001,0,AU217-AS218)</f>
        <v>0</v>
      </c>
    </row>
    <row r="219" spans="1:47">
      <c r="A219" s="1118">
        <f t="shared" ca="1" si="67"/>
        <v>3</v>
      </c>
      <c r="B219" s="1351">
        <f t="shared" si="70"/>
        <v>0</v>
      </c>
      <c r="C219" s="2143">
        <f t="shared" si="80"/>
        <v>0</v>
      </c>
      <c r="D219" s="2144">
        <f t="shared" si="81"/>
        <v>0</v>
      </c>
      <c r="E219" s="2145">
        <f t="shared" si="71"/>
        <v>0</v>
      </c>
      <c r="F219" s="2145">
        <f t="shared" si="61"/>
        <v>0</v>
      </c>
      <c r="G219" s="2145">
        <f t="shared" si="62"/>
        <v>0</v>
      </c>
      <c r="H219" s="2145">
        <f>IF(N218&lt;0.01,0,IF(Adm!$S$4=Adm!$S$8,0,N218*Adm!$V$4))</f>
        <v>0</v>
      </c>
      <c r="I219" s="2145">
        <f>IF(N218&lt;0.01,0,IF(Adm!$S$5=Adm!$S$8,0,Adm!$AA$11*Adm!$X$4))</f>
        <v>0</v>
      </c>
      <c r="J219" s="2145">
        <f>IF(N218&lt;0.01,0,Adm!$Q$4*1.16)</f>
        <v>0</v>
      </c>
      <c r="K219" s="2145">
        <f>IF(N218&lt;0.01,0,IF(Adm!$O$4&gt;0,E219*Adm!$O$4,0))</f>
        <v>0</v>
      </c>
      <c r="L219" s="2145">
        <f t="shared" si="72"/>
        <v>0</v>
      </c>
      <c r="M219" s="2145">
        <f>IF(Adm!$G$4="si",MIN(N218+E219+H219+I219+J219-L219,Z219),0)</f>
        <v>0</v>
      </c>
      <c r="N219" s="2145">
        <f t="shared" si="73"/>
        <v>0</v>
      </c>
      <c r="O219" s="2146"/>
      <c r="P219" s="1101"/>
      <c r="V219" s="1352">
        <f t="shared" si="74"/>
        <v>12</v>
      </c>
      <c r="W219" s="1367">
        <f>IF(V219=1,Cal!$AB$127,0)</f>
        <v>0</v>
      </c>
      <c r="Y219" s="1368">
        <f t="shared" si="82"/>
        <v>0</v>
      </c>
      <c r="Z219" s="1369">
        <f t="shared" ca="1" si="75"/>
        <v>0</v>
      </c>
      <c r="AB219" s="1375">
        <f t="shared" si="83"/>
        <v>0</v>
      </c>
      <c r="AC219" s="1373">
        <f t="shared" si="84"/>
        <v>0</v>
      </c>
      <c r="AD219" s="1373">
        <f t="shared" ref="AD219:AD282" si="88">IF(AND($AD$82=1,$AB$82=2),PMT((($D$88/360)*(365/12)),B218,-N218),0)</f>
        <v>0</v>
      </c>
      <c r="AE219" s="1373">
        <f t="shared" si="85"/>
        <v>0</v>
      </c>
      <c r="AF219" s="1371">
        <f t="shared" si="68"/>
        <v>0</v>
      </c>
      <c r="AG219" s="1359" t="e">
        <f>HLOOKUP($AG$83,anticipado,133,0)</f>
        <v>#N/A</v>
      </c>
      <c r="AI219" s="1360">
        <f t="shared" si="76"/>
        <v>0</v>
      </c>
      <c r="AJ219" s="1361">
        <f t="shared" ref="AJ219:AJ282" si="89">IF(AN218&lt;=0,"",AJ218+1)</f>
        <v>132</v>
      </c>
      <c r="AK219" s="1362">
        <f t="shared" si="77"/>
        <v>0</v>
      </c>
      <c r="AL219" s="1362">
        <f t="shared" ref="AL219:AL282" si="90">AM219-AK219</f>
        <v>0</v>
      </c>
      <c r="AM219" s="1362">
        <f t="shared" si="86"/>
        <v>0</v>
      </c>
      <c r="AN219" s="1363">
        <f t="shared" si="78"/>
        <v>1000000</v>
      </c>
      <c r="AO219" s="1364"/>
      <c r="AP219" s="1364"/>
      <c r="AQ219" s="1361" t="str">
        <f t="shared" ref="AQ219:AQ268" si="91">IF(AU218&lt;=0,"",AQ218+1)</f>
        <v/>
      </c>
      <c r="AR219" s="1362">
        <f t="shared" si="79"/>
        <v>0</v>
      </c>
      <c r="AS219" s="1362">
        <f t="shared" si="69"/>
        <v>0</v>
      </c>
      <c r="AT219" s="1362">
        <f t="shared" si="66"/>
        <v>0</v>
      </c>
      <c r="AU219" s="1363">
        <f t="shared" si="87"/>
        <v>0</v>
      </c>
    </row>
    <row r="220" spans="1:47">
      <c r="A220" s="1118">
        <f t="shared" ca="1" si="67"/>
        <v>4</v>
      </c>
      <c r="B220" s="1351">
        <f t="shared" si="70"/>
        <v>0</v>
      </c>
      <c r="C220" s="2143">
        <f t="shared" si="80"/>
        <v>0</v>
      </c>
      <c r="D220" s="2144">
        <f t="shared" si="81"/>
        <v>0</v>
      </c>
      <c r="E220" s="2145">
        <f t="shared" si="71"/>
        <v>0</v>
      </c>
      <c r="F220" s="2145">
        <f t="shared" si="61"/>
        <v>0</v>
      </c>
      <c r="G220" s="2145">
        <f t="shared" si="62"/>
        <v>0</v>
      </c>
      <c r="H220" s="2145">
        <f>IF(N219&lt;0.01,0,IF(Adm!$S$4=Adm!$S$8,0,N219*Adm!$V$4))</f>
        <v>0</v>
      </c>
      <c r="I220" s="2145">
        <f>IF(N219&lt;0.01,0,IF(Adm!$S$5=Adm!$S$8,0,Adm!$AA$11*Adm!$X$4))</f>
        <v>0</v>
      </c>
      <c r="J220" s="2145">
        <f>IF(N219&lt;0.01,0,Adm!$Q$4*1.16)</f>
        <v>0</v>
      </c>
      <c r="K220" s="2145">
        <f>IF(N219&lt;0.01,0,IF(Adm!$O$4&gt;0,E220*Adm!$O$4,0))</f>
        <v>0</v>
      </c>
      <c r="L220" s="2145">
        <f t="shared" si="72"/>
        <v>0</v>
      </c>
      <c r="M220" s="2145">
        <f>IF(Adm!$G$4="si",MIN(N219+E220+H220+I220+J220-L220,Z220),0)</f>
        <v>0</v>
      </c>
      <c r="N220" s="2145">
        <f t="shared" si="73"/>
        <v>0</v>
      </c>
      <c r="O220" s="2146"/>
      <c r="P220" s="1101"/>
      <c r="V220" s="1352">
        <f t="shared" si="74"/>
        <v>1</v>
      </c>
      <c r="W220" s="1367">
        <f>IF(V220=1,Cal!$AB$127,0)</f>
        <v>0</v>
      </c>
      <c r="Y220" s="1368">
        <f t="shared" si="82"/>
        <v>0</v>
      </c>
      <c r="Z220" s="1369">
        <f t="shared" ca="1" si="75"/>
        <v>0</v>
      </c>
      <c r="AB220" s="1375">
        <f t="shared" si="83"/>
        <v>0</v>
      </c>
      <c r="AC220" s="1373">
        <f t="shared" si="84"/>
        <v>0</v>
      </c>
      <c r="AD220" s="1373">
        <f t="shared" si="88"/>
        <v>0</v>
      </c>
      <c r="AE220" s="1373">
        <f t="shared" si="85"/>
        <v>0</v>
      </c>
      <c r="AF220" s="1371">
        <f t="shared" si="68"/>
        <v>0</v>
      </c>
      <c r="AG220" s="1359" t="e">
        <f>HLOOKUP($AG$83,anticipado,134,0)</f>
        <v>#N/A</v>
      </c>
      <c r="AI220" s="1360">
        <f t="shared" si="76"/>
        <v>0</v>
      </c>
      <c r="AJ220" s="1377">
        <f t="shared" si="89"/>
        <v>133</v>
      </c>
      <c r="AK220" s="1378">
        <f t="shared" si="77"/>
        <v>0</v>
      </c>
      <c r="AL220" s="1378">
        <f t="shared" si="90"/>
        <v>0</v>
      </c>
      <c r="AM220" s="1378">
        <f>MIN(AN219+AK220,AM219*(1+$AK$83))</f>
        <v>0</v>
      </c>
      <c r="AN220" s="1363">
        <f t="shared" si="78"/>
        <v>1000000</v>
      </c>
      <c r="AO220" s="1364"/>
      <c r="AP220" s="1364"/>
      <c r="AQ220" s="1379" t="str">
        <f t="shared" si="91"/>
        <v/>
      </c>
      <c r="AR220" s="1380">
        <f t="shared" si="79"/>
        <v>0</v>
      </c>
      <c r="AS220" s="1380">
        <f t="shared" si="69"/>
        <v>0</v>
      </c>
      <c r="AT220" s="1380">
        <f>MIN(AU219+AR220,AT219*(1+$AR$83))</f>
        <v>0</v>
      </c>
      <c r="AU220" s="1363">
        <f t="shared" si="87"/>
        <v>0</v>
      </c>
    </row>
    <row r="221" spans="1:47">
      <c r="A221" s="1118">
        <f t="shared" ca="1" si="67"/>
        <v>5</v>
      </c>
      <c r="B221" s="1351">
        <f t="shared" si="70"/>
        <v>0</v>
      </c>
      <c r="C221" s="2143">
        <f t="shared" si="80"/>
        <v>0</v>
      </c>
      <c r="D221" s="2144">
        <f t="shared" si="81"/>
        <v>0</v>
      </c>
      <c r="E221" s="2145">
        <f t="shared" si="71"/>
        <v>0</v>
      </c>
      <c r="F221" s="2145">
        <f t="shared" si="61"/>
        <v>0</v>
      </c>
      <c r="G221" s="2145">
        <f t="shared" si="62"/>
        <v>0</v>
      </c>
      <c r="H221" s="2145">
        <f>IF(N220&lt;0.01,0,IF(Adm!$S$4=Adm!$S$8,0,N220*Adm!$V$4))</f>
        <v>0</v>
      </c>
      <c r="I221" s="2145">
        <f>IF(N220&lt;0.01,0,IF(Adm!$S$5=Adm!$S$8,0,Adm!$AA$11*Adm!$X$4))</f>
        <v>0</v>
      </c>
      <c r="J221" s="2145">
        <f>IF(N220&lt;0.01,0,Adm!$Q$4*1.16)</f>
        <v>0</v>
      </c>
      <c r="K221" s="2145">
        <f>IF(N220&lt;0.01,0,IF(Adm!$O$4&gt;0,E221*Adm!$O$4,0))</f>
        <v>0</v>
      </c>
      <c r="L221" s="2145">
        <f t="shared" si="72"/>
        <v>0</v>
      </c>
      <c r="M221" s="2145">
        <f>IF(Adm!$G$4="si",MIN(N220+E221+H221+I221+J221-L221,Z221),0)</f>
        <v>0</v>
      </c>
      <c r="N221" s="2145">
        <f t="shared" si="73"/>
        <v>0</v>
      </c>
      <c r="O221" s="2146"/>
      <c r="P221" s="1101"/>
      <c r="V221" s="1352">
        <f t="shared" si="74"/>
        <v>2</v>
      </c>
      <c r="W221" s="1367">
        <f>IF(V221=1,Cal!$AB$127,0)</f>
        <v>0</v>
      </c>
      <c r="Y221" s="1368">
        <f t="shared" si="82"/>
        <v>0</v>
      </c>
      <c r="Z221" s="1369">
        <f t="shared" ca="1" si="75"/>
        <v>0</v>
      </c>
      <c r="AB221" s="1375">
        <f t="shared" si="83"/>
        <v>0</v>
      </c>
      <c r="AC221" s="1373">
        <f t="shared" si="84"/>
        <v>0</v>
      </c>
      <c r="AD221" s="1373">
        <f t="shared" si="88"/>
        <v>0</v>
      </c>
      <c r="AE221" s="1373">
        <f t="shared" si="85"/>
        <v>0</v>
      </c>
      <c r="AF221" s="1371">
        <f t="shared" si="68"/>
        <v>0</v>
      </c>
      <c r="AG221" s="1359" t="e">
        <f>HLOOKUP($AG$83,anticipado,135,0)</f>
        <v>#N/A</v>
      </c>
      <c r="AI221" s="1360">
        <f t="shared" si="76"/>
        <v>0</v>
      </c>
      <c r="AJ221" s="1361">
        <f t="shared" si="89"/>
        <v>134</v>
      </c>
      <c r="AK221" s="1362">
        <f t="shared" si="77"/>
        <v>0</v>
      </c>
      <c r="AL221" s="1362">
        <f t="shared" si="90"/>
        <v>0</v>
      </c>
      <c r="AM221" s="1362">
        <f t="shared" si="86"/>
        <v>0</v>
      </c>
      <c r="AN221" s="1363">
        <f t="shared" si="78"/>
        <v>1000000</v>
      </c>
      <c r="AO221" s="1364"/>
      <c r="AP221" s="1364"/>
      <c r="AQ221" s="1361" t="str">
        <f t="shared" si="91"/>
        <v/>
      </c>
      <c r="AR221" s="1362">
        <f t="shared" si="79"/>
        <v>0</v>
      </c>
      <c r="AS221" s="1362">
        <f t="shared" si="69"/>
        <v>0</v>
      </c>
      <c r="AT221" s="1362">
        <f t="shared" ref="AT221:AT231" si="92">MIN(AU220+AR221,AT220)</f>
        <v>0</v>
      </c>
      <c r="AU221" s="1363">
        <f t="shared" si="87"/>
        <v>0</v>
      </c>
    </row>
    <row r="222" spans="1:47">
      <c r="A222" s="1118">
        <f t="shared" ca="1" si="67"/>
        <v>6</v>
      </c>
      <c r="B222" s="1351">
        <f t="shared" si="70"/>
        <v>0</v>
      </c>
      <c r="C222" s="2143">
        <f t="shared" si="80"/>
        <v>0</v>
      </c>
      <c r="D222" s="2144">
        <f t="shared" si="81"/>
        <v>0</v>
      </c>
      <c r="E222" s="2145">
        <f t="shared" si="71"/>
        <v>0</v>
      </c>
      <c r="F222" s="2145">
        <f t="shared" si="61"/>
        <v>0</v>
      </c>
      <c r="G222" s="2145">
        <f t="shared" si="62"/>
        <v>0</v>
      </c>
      <c r="H222" s="2145">
        <f>IF(N221&lt;0.01,0,IF(Adm!$S$4=Adm!$S$8,0,N221*Adm!$V$4))</f>
        <v>0</v>
      </c>
      <c r="I222" s="2145">
        <f>IF(N221&lt;0.01,0,IF(Adm!$S$5=Adm!$S$8,0,Adm!$AA$11*Adm!$X$4))</f>
        <v>0</v>
      </c>
      <c r="J222" s="2145">
        <f>IF(N221&lt;0.01,0,Adm!$Q$4*1.16)</f>
        <v>0</v>
      </c>
      <c r="K222" s="2145">
        <f>IF(N221&lt;0.01,0,IF(Adm!$O$4&gt;0,E222*Adm!$O$4,0))</f>
        <v>0</v>
      </c>
      <c r="L222" s="2145">
        <f t="shared" si="72"/>
        <v>0</v>
      </c>
      <c r="M222" s="2145">
        <f>IF(Adm!$G$4="si",MIN(N221+E222+H222+I222+J222-L222,Z222),0)</f>
        <v>0</v>
      </c>
      <c r="N222" s="2145">
        <f t="shared" si="73"/>
        <v>0</v>
      </c>
      <c r="O222" s="2146"/>
      <c r="P222" s="1101"/>
      <c r="V222" s="1352">
        <f t="shared" si="74"/>
        <v>3</v>
      </c>
      <c r="W222" s="1367">
        <f>IF(V222=1,Cal!$AB$127,0)</f>
        <v>0</v>
      </c>
      <c r="Y222" s="1368">
        <f t="shared" si="82"/>
        <v>0</v>
      </c>
      <c r="Z222" s="1369">
        <f t="shared" ca="1" si="75"/>
        <v>0</v>
      </c>
      <c r="AB222" s="1375">
        <f t="shared" si="83"/>
        <v>0</v>
      </c>
      <c r="AC222" s="1373">
        <f t="shared" si="84"/>
        <v>0</v>
      </c>
      <c r="AD222" s="1373">
        <f t="shared" si="88"/>
        <v>0</v>
      </c>
      <c r="AE222" s="1373">
        <f t="shared" si="85"/>
        <v>0</v>
      </c>
      <c r="AF222" s="1371">
        <f t="shared" si="68"/>
        <v>0</v>
      </c>
      <c r="AG222" s="1359" t="e">
        <f>HLOOKUP($AG$83,anticipado,136,0)</f>
        <v>#N/A</v>
      </c>
      <c r="AI222" s="1360">
        <f t="shared" si="76"/>
        <v>0</v>
      </c>
      <c r="AJ222" s="1361">
        <f t="shared" si="89"/>
        <v>135</v>
      </c>
      <c r="AK222" s="1362">
        <f t="shared" si="77"/>
        <v>0</v>
      </c>
      <c r="AL222" s="1362">
        <f t="shared" si="90"/>
        <v>0</v>
      </c>
      <c r="AM222" s="1362">
        <f t="shared" si="86"/>
        <v>0</v>
      </c>
      <c r="AN222" s="1363">
        <f t="shared" si="78"/>
        <v>1000000</v>
      </c>
      <c r="AO222" s="1364"/>
      <c r="AP222" s="1364"/>
      <c r="AQ222" s="1361" t="str">
        <f t="shared" si="91"/>
        <v/>
      </c>
      <c r="AR222" s="1362">
        <f t="shared" si="79"/>
        <v>0</v>
      </c>
      <c r="AS222" s="1362">
        <f t="shared" si="69"/>
        <v>0</v>
      </c>
      <c r="AT222" s="1362">
        <f t="shared" si="92"/>
        <v>0</v>
      </c>
      <c r="AU222" s="1363">
        <f t="shared" si="87"/>
        <v>0</v>
      </c>
    </row>
    <row r="223" spans="1:47">
      <c r="A223" s="1118">
        <f t="shared" ca="1" si="67"/>
        <v>7</v>
      </c>
      <c r="B223" s="1351">
        <f t="shared" si="70"/>
        <v>0</v>
      </c>
      <c r="C223" s="2143">
        <f t="shared" si="80"/>
        <v>0</v>
      </c>
      <c r="D223" s="2144">
        <f t="shared" si="81"/>
        <v>0</v>
      </c>
      <c r="E223" s="2145">
        <f t="shared" si="71"/>
        <v>0</v>
      </c>
      <c r="F223" s="2145">
        <f t="shared" si="61"/>
        <v>0</v>
      </c>
      <c r="G223" s="2145">
        <f t="shared" si="62"/>
        <v>0</v>
      </c>
      <c r="H223" s="2145">
        <f>IF(N222&lt;0.01,0,IF(Adm!$S$4=Adm!$S$8,0,N222*Adm!$V$4))</f>
        <v>0</v>
      </c>
      <c r="I223" s="2145">
        <f>IF(N222&lt;0.01,0,IF(Adm!$S$5=Adm!$S$8,0,Adm!$AA$11*Adm!$X$4))</f>
        <v>0</v>
      </c>
      <c r="J223" s="2145">
        <f>IF(N222&lt;0.01,0,Adm!$Q$4*1.16)</f>
        <v>0</v>
      </c>
      <c r="K223" s="2145">
        <f>IF(N222&lt;0.01,0,IF(Adm!$O$4&gt;0,E223*Adm!$O$4,0))</f>
        <v>0</v>
      </c>
      <c r="L223" s="2145">
        <f t="shared" si="72"/>
        <v>0</v>
      </c>
      <c r="M223" s="2145">
        <f>IF(Adm!$G$4="si",MIN(N222+E223+H223+I223+J223-L223,Z223),0)</f>
        <v>0</v>
      </c>
      <c r="N223" s="2145">
        <f t="shared" si="73"/>
        <v>0</v>
      </c>
      <c r="O223" s="2146"/>
      <c r="P223" s="1101"/>
      <c r="V223" s="1352">
        <f t="shared" si="74"/>
        <v>4</v>
      </c>
      <c r="W223" s="1367">
        <f>IF(V223=1,Cal!$AB$127,0)</f>
        <v>0</v>
      </c>
      <c r="Y223" s="1368">
        <f t="shared" si="82"/>
        <v>0</v>
      </c>
      <c r="Z223" s="1369">
        <f t="shared" ca="1" si="75"/>
        <v>0</v>
      </c>
      <c r="AB223" s="1375">
        <f t="shared" si="83"/>
        <v>0</v>
      </c>
      <c r="AC223" s="1373">
        <f t="shared" si="84"/>
        <v>0</v>
      </c>
      <c r="AD223" s="1373">
        <f t="shared" si="88"/>
        <v>0</v>
      </c>
      <c r="AE223" s="1373">
        <f t="shared" si="85"/>
        <v>0</v>
      </c>
      <c r="AF223" s="1371">
        <f t="shared" si="68"/>
        <v>0</v>
      </c>
      <c r="AG223" s="1359" t="e">
        <f>HLOOKUP($AG$83,anticipado,137,0)</f>
        <v>#N/A</v>
      </c>
      <c r="AI223" s="1360">
        <f t="shared" si="76"/>
        <v>0</v>
      </c>
      <c r="AJ223" s="1361">
        <f t="shared" si="89"/>
        <v>136</v>
      </c>
      <c r="AK223" s="1362">
        <f t="shared" si="77"/>
        <v>0</v>
      </c>
      <c r="AL223" s="1362">
        <f t="shared" si="90"/>
        <v>0</v>
      </c>
      <c r="AM223" s="1362">
        <f t="shared" si="86"/>
        <v>0</v>
      </c>
      <c r="AN223" s="1363">
        <f t="shared" si="78"/>
        <v>1000000</v>
      </c>
      <c r="AO223" s="1364"/>
      <c r="AP223" s="1364"/>
      <c r="AQ223" s="1361" t="str">
        <f t="shared" si="91"/>
        <v/>
      </c>
      <c r="AR223" s="1362">
        <f t="shared" si="79"/>
        <v>0</v>
      </c>
      <c r="AS223" s="1362">
        <f t="shared" si="69"/>
        <v>0</v>
      </c>
      <c r="AT223" s="1362">
        <f t="shared" si="92"/>
        <v>0</v>
      </c>
      <c r="AU223" s="1363">
        <f t="shared" si="87"/>
        <v>0</v>
      </c>
    </row>
    <row r="224" spans="1:47">
      <c r="A224" s="1118">
        <f t="shared" ca="1" si="67"/>
        <v>8</v>
      </c>
      <c r="B224" s="1351">
        <f t="shared" si="70"/>
        <v>0</v>
      </c>
      <c r="C224" s="2143">
        <f t="shared" si="80"/>
        <v>0</v>
      </c>
      <c r="D224" s="2144">
        <f t="shared" si="81"/>
        <v>0</v>
      </c>
      <c r="E224" s="2145">
        <f t="shared" si="71"/>
        <v>0</v>
      </c>
      <c r="F224" s="2145">
        <f t="shared" si="61"/>
        <v>0</v>
      </c>
      <c r="G224" s="2145">
        <f t="shared" si="62"/>
        <v>0</v>
      </c>
      <c r="H224" s="2145">
        <f>IF(N223&lt;0.01,0,IF(Adm!$S$4=Adm!$S$8,0,N223*Adm!$V$4))</f>
        <v>0</v>
      </c>
      <c r="I224" s="2145">
        <f>IF(N223&lt;0.01,0,IF(Adm!$S$5=Adm!$S$8,0,Adm!$AA$11*Adm!$X$4))</f>
        <v>0</v>
      </c>
      <c r="J224" s="2145">
        <f>IF(N223&lt;0.01,0,Adm!$Q$4*1.16)</f>
        <v>0</v>
      </c>
      <c r="K224" s="2145">
        <f>IF(N223&lt;0.01,0,IF(Adm!$O$4&gt;0,E224*Adm!$O$4,0))</f>
        <v>0</v>
      </c>
      <c r="L224" s="2145">
        <f t="shared" si="72"/>
        <v>0</v>
      </c>
      <c r="M224" s="2145">
        <f>IF(Adm!$G$4="si",MIN(N223+E224+H224+I224+J224-L224,Z224),0)</f>
        <v>0</v>
      </c>
      <c r="N224" s="2145">
        <f t="shared" si="73"/>
        <v>0</v>
      </c>
      <c r="O224" s="2146"/>
      <c r="P224" s="1101"/>
      <c r="V224" s="1352">
        <f t="shared" si="74"/>
        <v>5</v>
      </c>
      <c r="W224" s="1367">
        <f>IF(V224=1,Cal!$AB$127,0)</f>
        <v>0</v>
      </c>
      <c r="Y224" s="1368">
        <f t="shared" si="82"/>
        <v>0</v>
      </c>
      <c r="Z224" s="1369">
        <f t="shared" ca="1" si="75"/>
        <v>0</v>
      </c>
      <c r="AB224" s="1375">
        <f t="shared" si="83"/>
        <v>0</v>
      </c>
      <c r="AC224" s="1373">
        <f t="shared" si="84"/>
        <v>0</v>
      </c>
      <c r="AD224" s="1373">
        <f t="shared" si="88"/>
        <v>0</v>
      </c>
      <c r="AE224" s="1373">
        <f t="shared" si="85"/>
        <v>0</v>
      </c>
      <c r="AF224" s="1371">
        <f t="shared" si="68"/>
        <v>0</v>
      </c>
      <c r="AG224" s="1359" t="e">
        <f>HLOOKUP($AG$83,anticipado,138,0)</f>
        <v>#N/A</v>
      </c>
      <c r="AI224" s="1360">
        <f t="shared" si="76"/>
        <v>0</v>
      </c>
      <c r="AJ224" s="1361">
        <f t="shared" si="89"/>
        <v>137</v>
      </c>
      <c r="AK224" s="1362">
        <f t="shared" si="77"/>
        <v>0</v>
      </c>
      <c r="AL224" s="1362">
        <f t="shared" si="90"/>
        <v>0</v>
      </c>
      <c r="AM224" s="1362">
        <f t="shared" si="86"/>
        <v>0</v>
      </c>
      <c r="AN224" s="1363">
        <f t="shared" si="78"/>
        <v>1000000</v>
      </c>
      <c r="AO224" s="1364"/>
      <c r="AP224" s="1364"/>
      <c r="AQ224" s="1361" t="str">
        <f t="shared" si="91"/>
        <v/>
      </c>
      <c r="AR224" s="1362">
        <f t="shared" si="79"/>
        <v>0</v>
      </c>
      <c r="AS224" s="1362">
        <f t="shared" si="69"/>
        <v>0</v>
      </c>
      <c r="AT224" s="1362">
        <f t="shared" si="92"/>
        <v>0</v>
      </c>
      <c r="AU224" s="1363">
        <f t="shared" si="87"/>
        <v>0</v>
      </c>
    </row>
    <row r="225" spans="1:47">
      <c r="A225" s="1118">
        <f t="shared" ca="1" si="67"/>
        <v>9</v>
      </c>
      <c r="B225" s="1351">
        <f t="shared" si="70"/>
        <v>0</v>
      </c>
      <c r="C225" s="2143">
        <f t="shared" si="80"/>
        <v>0</v>
      </c>
      <c r="D225" s="2144">
        <f t="shared" si="81"/>
        <v>0</v>
      </c>
      <c r="E225" s="2145">
        <f t="shared" si="71"/>
        <v>0</v>
      </c>
      <c r="F225" s="2145">
        <f t="shared" si="61"/>
        <v>0</v>
      </c>
      <c r="G225" s="2145">
        <f t="shared" si="62"/>
        <v>0</v>
      </c>
      <c r="H225" s="2145">
        <f>IF(N224&lt;0.01,0,IF(Adm!$S$4=Adm!$S$8,0,N224*Adm!$V$4))</f>
        <v>0</v>
      </c>
      <c r="I225" s="2145">
        <f>IF(N224&lt;0.01,0,IF(Adm!$S$5=Adm!$S$8,0,Adm!$AA$11*Adm!$X$4))</f>
        <v>0</v>
      </c>
      <c r="J225" s="2145">
        <f>IF(N224&lt;0.01,0,Adm!$Q$4*1.16)</f>
        <v>0</v>
      </c>
      <c r="K225" s="2145">
        <f>IF(N224&lt;0.01,0,IF(Adm!$O$4&gt;0,E225*Adm!$O$4,0))</f>
        <v>0</v>
      </c>
      <c r="L225" s="2145">
        <f t="shared" si="72"/>
        <v>0</v>
      </c>
      <c r="M225" s="2145">
        <f>IF(Adm!$G$4="si",MIN(N224+E225+H225+I225+J225-L225,Z225),0)</f>
        <v>0</v>
      </c>
      <c r="N225" s="2145">
        <f t="shared" si="73"/>
        <v>0</v>
      </c>
      <c r="O225" s="2146"/>
      <c r="P225" s="1101"/>
      <c r="V225" s="1352">
        <f t="shared" si="74"/>
        <v>6</v>
      </c>
      <c r="W225" s="1367">
        <f>IF(V225=1,Cal!$AB$127,0)</f>
        <v>0</v>
      </c>
      <c r="Y225" s="1368">
        <f t="shared" si="82"/>
        <v>0</v>
      </c>
      <c r="Z225" s="1369">
        <f t="shared" ca="1" si="75"/>
        <v>0</v>
      </c>
      <c r="AB225" s="1375">
        <f t="shared" si="83"/>
        <v>0</v>
      </c>
      <c r="AC225" s="1373">
        <f t="shared" si="84"/>
        <v>0</v>
      </c>
      <c r="AD225" s="1373">
        <f t="shared" si="88"/>
        <v>0</v>
      </c>
      <c r="AE225" s="1373">
        <f t="shared" si="85"/>
        <v>0</v>
      </c>
      <c r="AF225" s="1371">
        <f t="shared" si="68"/>
        <v>0</v>
      </c>
      <c r="AG225" s="1359" t="e">
        <f>HLOOKUP($AG$83,anticipado,139,0)</f>
        <v>#N/A</v>
      </c>
      <c r="AI225" s="1360">
        <f t="shared" si="76"/>
        <v>0</v>
      </c>
      <c r="AJ225" s="1361">
        <f t="shared" si="89"/>
        <v>138</v>
      </c>
      <c r="AK225" s="1362">
        <f t="shared" si="77"/>
        <v>0</v>
      </c>
      <c r="AL225" s="1362">
        <f t="shared" si="90"/>
        <v>0</v>
      </c>
      <c r="AM225" s="1362">
        <f t="shared" si="86"/>
        <v>0</v>
      </c>
      <c r="AN225" s="1363">
        <f t="shared" si="78"/>
        <v>1000000</v>
      </c>
      <c r="AO225" s="1364"/>
      <c r="AP225" s="1364"/>
      <c r="AQ225" s="1361" t="str">
        <f t="shared" si="91"/>
        <v/>
      </c>
      <c r="AR225" s="1362">
        <f t="shared" si="79"/>
        <v>0</v>
      </c>
      <c r="AS225" s="1362">
        <f t="shared" si="69"/>
        <v>0</v>
      </c>
      <c r="AT225" s="1362">
        <f t="shared" si="92"/>
        <v>0</v>
      </c>
      <c r="AU225" s="1363">
        <f t="shared" si="87"/>
        <v>0</v>
      </c>
    </row>
    <row r="226" spans="1:47">
      <c r="A226" s="1118">
        <f t="shared" ca="1" si="67"/>
        <v>10</v>
      </c>
      <c r="B226" s="1351">
        <f t="shared" si="70"/>
        <v>0</v>
      </c>
      <c r="C226" s="2143">
        <f t="shared" si="80"/>
        <v>0</v>
      </c>
      <c r="D226" s="2144">
        <f t="shared" si="81"/>
        <v>0</v>
      </c>
      <c r="E226" s="2145">
        <f t="shared" si="71"/>
        <v>0</v>
      </c>
      <c r="F226" s="2145">
        <f t="shared" si="61"/>
        <v>0</v>
      </c>
      <c r="G226" s="2145">
        <f t="shared" si="62"/>
        <v>0</v>
      </c>
      <c r="H226" s="2145">
        <f>IF(N225&lt;0.01,0,IF(Adm!$S$4=Adm!$S$8,0,N225*Adm!$V$4))</f>
        <v>0</v>
      </c>
      <c r="I226" s="2145">
        <f>IF(N225&lt;0.01,0,IF(Adm!$S$5=Adm!$S$8,0,Adm!$AA$11*Adm!$X$4))</f>
        <v>0</v>
      </c>
      <c r="J226" s="2145">
        <f>IF(N225&lt;0.01,0,Adm!$Q$4*1.16)</f>
        <v>0</v>
      </c>
      <c r="K226" s="2145">
        <f>IF(N225&lt;0.01,0,IF(Adm!$O$4&gt;0,E226*Adm!$O$4,0))</f>
        <v>0</v>
      </c>
      <c r="L226" s="2145">
        <f t="shared" si="72"/>
        <v>0</v>
      </c>
      <c r="M226" s="2145">
        <f>IF(Adm!$G$4="si",MIN(N225+E226+H226+I226+J226-L226,Z226),0)</f>
        <v>0</v>
      </c>
      <c r="N226" s="2145">
        <f t="shared" si="73"/>
        <v>0</v>
      </c>
      <c r="O226" s="2146"/>
      <c r="P226" s="1101"/>
      <c r="V226" s="1352">
        <f t="shared" si="74"/>
        <v>7</v>
      </c>
      <c r="W226" s="1367">
        <f>IF(V226=1,Cal!$AB$127,0)</f>
        <v>0</v>
      </c>
      <c r="Y226" s="1368">
        <f t="shared" si="82"/>
        <v>0</v>
      </c>
      <c r="Z226" s="1369">
        <f t="shared" ca="1" si="75"/>
        <v>0</v>
      </c>
      <c r="AB226" s="1375">
        <f t="shared" si="83"/>
        <v>0</v>
      </c>
      <c r="AC226" s="1373">
        <f t="shared" si="84"/>
        <v>0</v>
      </c>
      <c r="AD226" s="1373">
        <f t="shared" si="88"/>
        <v>0</v>
      </c>
      <c r="AE226" s="1373">
        <f t="shared" si="85"/>
        <v>0</v>
      </c>
      <c r="AF226" s="1371">
        <f t="shared" si="68"/>
        <v>0</v>
      </c>
      <c r="AG226" s="1359" t="e">
        <f>HLOOKUP($AG$83,anticipado,140,0)</f>
        <v>#N/A</v>
      </c>
      <c r="AI226" s="1360">
        <f t="shared" si="76"/>
        <v>0</v>
      </c>
      <c r="AJ226" s="1361">
        <f t="shared" si="89"/>
        <v>139</v>
      </c>
      <c r="AK226" s="1362">
        <f t="shared" si="77"/>
        <v>0</v>
      </c>
      <c r="AL226" s="1362">
        <f t="shared" si="90"/>
        <v>0</v>
      </c>
      <c r="AM226" s="1362">
        <f t="shared" si="86"/>
        <v>0</v>
      </c>
      <c r="AN226" s="1363">
        <f t="shared" si="78"/>
        <v>1000000</v>
      </c>
      <c r="AO226" s="1364"/>
      <c r="AP226" s="1364"/>
      <c r="AQ226" s="1361" t="str">
        <f t="shared" si="91"/>
        <v/>
      </c>
      <c r="AR226" s="1362">
        <f t="shared" si="79"/>
        <v>0</v>
      </c>
      <c r="AS226" s="1362">
        <f t="shared" si="69"/>
        <v>0</v>
      </c>
      <c r="AT226" s="1362">
        <f t="shared" si="92"/>
        <v>0</v>
      </c>
      <c r="AU226" s="1363">
        <f t="shared" si="87"/>
        <v>0</v>
      </c>
    </row>
    <row r="227" spans="1:47">
      <c r="A227" s="1118">
        <f t="shared" ca="1" si="67"/>
        <v>11</v>
      </c>
      <c r="B227" s="1351">
        <f t="shared" si="70"/>
        <v>0</v>
      </c>
      <c r="C227" s="2143">
        <f t="shared" si="80"/>
        <v>0</v>
      </c>
      <c r="D227" s="2144">
        <f t="shared" si="81"/>
        <v>0</v>
      </c>
      <c r="E227" s="2145">
        <f t="shared" si="71"/>
        <v>0</v>
      </c>
      <c r="F227" s="2145">
        <f t="shared" si="61"/>
        <v>0</v>
      </c>
      <c r="G227" s="2145">
        <f t="shared" si="62"/>
        <v>0</v>
      </c>
      <c r="H227" s="2145">
        <f>IF(N226&lt;0.01,0,IF(Adm!$S$4=Adm!$S$8,0,N226*Adm!$V$4))</f>
        <v>0</v>
      </c>
      <c r="I227" s="2145">
        <f>IF(N226&lt;0.01,0,IF(Adm!$S$5=Adm!$S$8,0,Adm!$AA$11*Adm!$X$4))</f>
        <v>0</v>
      </c>
      <c r="J227" s="2145">
        <f>IF(N226&lt;0.01,0,Adm!$Q$4*1.16)</f>
        <v>0</v>
      </c>
      <c r="K227" s="2145">
        <f>IF(N226&lt;0.01,0,IF(Adm!$O$4&gt;0,E227*Adm!$O$4,0))</f>
        <v>0</v>
      </c>
      <c r="L227" s="2145">
        <f t="shared" si="72"/>
        <v>0</v>
      </c>
      <c r="M227" s="2145">
        <f>IF(Adm!$G$4="si",MIN(N226+E227+H227+I227+J227-L227,Z227),0)</f>
        <v>0</v>
      </c>
      <c r="N227" s="2145">
        <f t="shared" si="73"/>
        <v>0</v>
      </c>
      <c r="O227" s="2146"/>
      <c r="P227" s="1101"/>
      <c r="V227" s="1352">
        <f t="shared" si="74"/>
        <v>8</v>
      </c>
      <c r="W227" s="1367">
        <f>IF(V227=1,Cal!$AB$127,0)</f>
        <v>0</v>
      </c>
      <c r="Y227" s="1368">
        <f t="shared" si="82"/>
        <v>0</v>
      </c>
      <c r="Z227" s="1369">
        <f t="shared" ca="1" si="75"/>
        <v>0</v>
      </c>
      <c r="AB227" s="1375">
        <f t="shared" si="83"/>
        <v>0</v>
      </c>
      <c r="AC227" s="1373">
        <f t="shared" si="84"/>
        <v>0</v>
      </c>
      <c r="AD227" s="1373">
        <f t="shared" si="88"/>
        <v>0</v>
      </c>
      <c r="AE227" s="1373">
        <f t="shared" si="85"/>
        <v>0</v>
      </c>
      <c r="AF227" s="1371">
        <f t="shared" si="68"/>
        <v>0</v>
      </c>
      <c r="AG227" s="1359" t="e">
        <f>HLOOKUP($AG$83,anticipado,141,0)</f>
        <v>#N/A</v>
      </c>
      <c r="AI227" s="1360">
        <f t="shared" si="76"/>
        <v>0</v>
      </c>
      <c r="AJ227" s="1361">
        <f t="shared" si="89"/>
        <v>140</v>
      </c>
      <c r="AK227" s="1362">
        <f t="shared" si="77"/>
        <v>0</v>
      </c>
      <c r="AL227" s="1362">
        <f t="shared" si="90"/>
        <v>0</v>
      </c>
      <c r="AM227" s="1362">
        <f t="shared" si="86"/>
        <v>0</v>
      </c>
      <c r="AN227" s="1363">
        <f t="shared" si="78"/>
        <v>1000000</v>
      </c>
      <c r="AO227" s="1364"/>
      <c r="AP227" s="1364"/>
      <c r="AQ227" s="1361" t="str">
        <f t="shared" si="91"/>
        <v/>
      </c>
      <c r="AR227" s="1362">
        <f t="shared" si="79"/>
        <v>0</v>
      </c>
      <c r="AS227" s="1362">
        <f t="shared" si="69"/>
        <v>0</v>
      </c>
      <c r="AT227" s="1362">
        <f t="shared" si="92"/>
        <v>0</v>
      </c>
      <c r="AU227" s="1363">
        <f t="shared" si="87"/>
        <v>0</v>
      </c>
    </row>
    <row r="228" spans="1:47">
      <c r="A228" s="1118">
        <f t="shared" ca="1" si="67"/>
        <v>12</v>
      </c>
      <c r="B228" s="1351">
        <f t="shared" si="70"/>
        <v>0</v>
      </c>
      <c r="C228" s="2143">
        <f t="shared" si="80"/>
        <v>0</v>
      </c>
      <c r="D228" s="2144">
        <f t="shared" si="81"/>
        <v>0</v>
      </c>
      <c r="E228" s="2145">
        <f t="shared" si="71"/>
        <v>0</v>
      </c>
      <c r="F228" s="2145">
        <f t="shared" si="61"/>
        <v>0</v>
      </c>
      <c r="G228" s="2145">
        <f t="shared" si="62"/>
        <v>0</v>
      </c>
      <c r="H228" s="2145">
        <f>IF(N227&lt;0.01,0,IF(Adm!$S$4=Adm!$S$8,0,N227*Adm!$V$4))</f>
        <v>0</v>
      </c>
      <c r="I228" s="2145">
        <f>IF(N227&lt;0.01,0,IF(Adm!$S$5=Adm!$S$8,0,Adm!$AA$11*Adm!$X$4))</f>
        <v>0</v>
      </c>
      <c r="J228" s="2145">
        <f>IF(N227&lt;0.01,0,Adm!$Q$4*1.16)</f>
        <v>0</v>
      </c>
      <c r="K228" s="2145">
        <f>IF(N227&lt;0.01,0,IF(Adm!$O$4&gt;0,E228*Adm!$O$4,0))</f>
        <v>0</v>
      </c>
      <c r="L228" s="2145">
        <f t="shared" si="72"/>
        <v>0</v>
      </c>
      <c r="M228" s="2145">
        <f>IF(Adm!$G$4="si",MIN(N227+E228+H228+I228+J228-L228,Z228),0)</f>
        <v>0</v>
      </c>
      <c r="N228" s="2145">
        <f t="shared" si="73"/>
        <v>0</v>
      </c>
      <c r="O228" s="2146"/>
      <c r="P228" s="1101"/>
      <c r="V228" s="1352">
        <f t="shared" si="74"/>
        <v>9</v>
      </c>
      <c r="W228" s="1367">
        <f>IF(V228=1,Cal!$AB$127,0)</f>
        <v>0</v>
      </c>
      <c r="Y228" s="1368">
        <f t="shared" si="82"/>
        <v>0</v>
      </c>
      <c r="Z228" s="1369">
        <f t="shared" ca="1" si="75"/>
        <v>0</v>
      </c>
      <c r="AB228" s="1375">
        <f t="shared" si="83"/>
        <v>0</v>
      </c>
      <c r="AC228" s="1373">
        <f t="shared" si="84"/>
        <v>0</v>
      </c>
      <c r="AD228" s="1373">
        <f t="shared" si="88"/>
        <v>0</v>
      </c>
      <c r="AE228" s="1373">
        <f t="shared" si="85"/>
        <v>0</v>
      </c>
      <c r="AF228" s="1371">
        <f t="shared" si="68"/>
        <v>0</v>
      </c>
      <c r="AG228" s="1359" t="e">
        <f>HLOOKUP($AG$83,anticipado,142,0)</f>
        <v>#N/A</v>
      </c>
      <c r="AI228" s="1360">
        <f t="shared" si="76"/>
        <v>0</v>
      </c>
      <c r="AJ228" s="1361">
        <f t="shared" si="89"/>
        <v>141</v>
      </c>
      <c r="AK228" s="1362">
        <f t="shared" si="77"/>
        <v>0</v>
      </c>
      <c r="AL228" s="1362">
        <f t="shared" si="90"/>
        <v>0</v>
      </c>
      <c r="AM228" s="1362">
        <f t="shared" si="86"/>
        <v>0</v>
      </c>
      <c r="AN228" s="1363">
        <f t="shared" si="78"/>
        <v>1000000</v>
      </c>
      <c r="AO228" s="1364"/>
      <c r="AP228" s="1364"/>
      <c r="AQ228" s="1361" t="str">
        <f t="shared" si="91"/>
        <v/>
      </c>
      <c r="AR228" s="1362">
        <f t="shared" si="79"/>
        <v>0</v>
      </c>
      <c r="AS228" s="1362">
        <f t="shared" si="69"/>
        <v>0</v>
      </c>
      <c r="AT228" s="1362">
        <f t="shared" si="92"/>
        <v>0</v>
      </c>
      <c r="AU228" s="1363">
        <f t="shared" si="87"/>
        <v>0</v>
      </c>
    </row>
    <row r="229" spans="1:47">
      <c r="A229" s="1118">
        <f t="shared" ca="1" si="67"/>
        <v>1</v>
      </c>
      <c r="B229" s="1351">
        <f t="shared" si="70"/>
        <v>0</v>
      </c>
      <c r="C229" s="2143">
        <f t="shared" si="80"/>
        <v>0</v>
      </c>
      <c r="D229" s="2144">
        <f t="shared" si="81"/>
        <v>0</v>
      </c>
      <c r="E229" s="2145">
        <f t="shared" si="71"/>
        <v>0</v>
      </c>
      <c r="F229" s="2145">
        <f t="shared" ref="F229:F292" si="93">IF(N228&lt;0.01,0,G229-E229)</f>
        <v>0</v>
      </c>
      <c r="G229" s="2145">
        <f t="shared" si="62"/>
        <v>0</v>
      </c>
      <c r="H229" s="2145">
        <f>IF(N228&lt;0.01,0,IF(Adm!$S$4=Adm!$S$8,0,N228*Adm!$V$4))</f>
        <v>0</v>
      </c>
      <c r="I229" s="2145">
        <f>IF(N228&lt;0.01,0,IF(Adm!$S$5=Adm!$S$8,0,Adm!$AA$11*Adm!$X$4))</f>
        <v>0</v>
      </c>
      <c r="J229" s="2145">
        <f>IF(N228&lt;0.01,0,Adm!$Q$4*1.16)</f>
        <v>0</v>
      </c>
      <c r="K229" s="2145">
        <f>IF(N228&lt;0.01,0,IF(Adm!$O$4&gt;0,E229*Adm!$O$4,0))</f>
        <v>0</v>
      </c>
      <c r="L229" s="2145">
        <f t="shared" si="72"/>
        <v>0</v>
      </c>
      <c r="M229" s="2145">
        <f>IF(Adm!$G$4="si",MIN(N228+E229+H229+I229+J229-L229,Z229),0)</f>
        <v>0</v>
      </c>
      <c r="N229" s="2145">
        <f t="shared" si="73"/>
        <v>0</v>
      </c>
      <c r="O229" s="2146"/>
      <c r="P229" s="1101"/>
      <c r="V229" s="1352">
        <f t="shared" si="74"/>
        <v>10</v>
      </c>
      <c r="W229" s="1367">
        <f>IF(V229=1,Cal!$AB$127,0)</f>
        <v>0</v>
      </c>
      <c r="Y229" s="1368">
        <f t="shared" si="82"/>
        <v>0</v>
      </c>
      <c r="Z229" s="1369">
        <f t="shared" ca="1" si="75"/>
        <v>0</v>
      </c>
      <c r="AB229" s="1375">
        <f t="shared" si="83"/>
        <v>0</v>
      </c>
      <c r="AC229" s="1373">
        <f t="shared" si="84"/>
        <v>0</v>
      </c>
      <c r="AD229" s="1373">
        <f t="shared" si="88"/>
        <v>0</v>
      </c>
      <c r="AE229" s="1373">
        <f t="shared" si="85"/>
        <v>0</v>
      </c>
      <c r="AF229" s="1371">
        <f t="shared" si="68"/>
        <v>0</v>
      </c>
      <c r="AG229" s="1359" t="e">
        <f>HLOOKUP($AG$83,anticipado,143,0)</f>
        <v>#N/A</v>
      </c>
      <c r="AI229" s="1360">
        <f t="shared" si="76"/>
        <v>0</v>
      </c>
      <c r="AJ229" s="1361">
        <f t="shared" si="89"/>
        <v>142</v>
      </c>
      <c r="AK229" s="1362">
        <f t="shared" si="77"/>
        <v>0</v>
      </c>
      <c r="AL229" s="1362">
        <f t="shared" si="90"/>
        <v>0</v>
      </c>
      <c r="AM229" s="1362">
        <f t="shared" si="86"/>
        <v>0</v>
      </c>
      <c r="AN229" s="1363">
        <f t="shared" si="78"/>
        <v>1000000</v>
      </c>
      <c r="AO229" s="1364"/>
      <c r="AP229" s="1364"/>
      <c r="AQ229" s="1361" t="str">
        <f t="shared" si="91"/>
        <v/>
      </c>
      <c r="AR229" s="1362">
        <f t="shared" si="79"/>
        <v>0</v>
      </c>
      <c r="AS229" s="1362">
        <f t="shared" si="69"/>
        <v>0</v>
      </c>
      <c r="AT229" s="1362">
        <f t="shared" si="92"/>
        <v>0</v>
      </c>
      <c r="AU229" s="1363">
        <f t="shared" si="87"/>
        <v>0</v>
      </c>
    </row>
    <row r="230" spans="1:47">
      <c r="A230" s="1118">
        <f t="shared" ca="1" si="67"/>
        <v>2</v>
      </c>
      <c r="B230" s="1351">
        <f t="shared" si="70"/>
        <v>0</v>
      </c>
      <c r="C230" s="2143">
        <f t="shared" si="80"/>
        <v>0</v>
      </c>
      <c r="D230" s="2144">
        <f t="shared" si="81"/>
        <v>0</v>
      </c>
      <c r="E230" s="2145">
        <f t="shared" si="71"/>
        <v>0</v>
      </c>
      <c r="F230" s="2145">
        <f t="shared" si="93"/>
        <v>0</v>
      </c>
      <c r="G230" s="2145">
        <f t="shared" ref="G230:G293" si="94">IF(N229&lt;0.1,0,MIN(N229+E230,IF(AB230&gt;0,AB230,G229*(1+W230))))</f>
        <v>0</v>
      </c>
      <c r="H230" s="2145">
        <f>IF(N229&lt;0.01,0,IF(Adm!$S$4=Adm!$S$8,0,N229*Adm!$V$4))</f>
        <v>0</v>
      </c>
      <c r="I230" s="2145">
        <f>IF(N229&lt;0.01,0,IF(Adm!$S$5=Adm!$S$8,0,Adm!$AA$11*Adm!$X$4))</f>
        <v>0</v>
      </c>
      <c r="J230" s="2145">
        <f>IF(N229&lt;0.01,0,Adm!$Q$4*1.16)</f>
        <v>0</v>
      </c>
      <c r="K230" s="2145">
        <f>IF(N229&lt;0.01,0,IF(Adm!$O$4&gt;0,E230*Adm!$O$4,0))</f>
        <v>0</v>
      </c>
      <c r="L230" s="2145">
        <f t="shared" si="72"/>
        <v>0</v>
      </c>
      <c r="M230" s="2145">
        <f>IF(Adm!$G$4="si",MIN(N229+E230+H230+I230+J230-L230,Z230),0)</f>
        <v>0</v>
      </c>
      <c r="N230" s="2145">
        <f t="shared" si="73"/>
        <v>0</v>
      </c>
      <c r="O230" s="2146"/>
      <c r="P230" s="1101"/>
      <c r="V230" s="1352">
        <f t="shared" si="74"/>
        <v>11</v>
      </c>
      <c r="W230" s="1367">
        <f>IF(V230=1,Cal!$AB$127,0)</f>
        <v>0</v>
      </c>
      <c r="Y230" s="1368">
        <f t="shared" si="82"/>
        <v>0</v>
      </c>
      <c r="Z230" s="1369">
        <f t="shared" ca="1" si="75"/>
        <v>0</v>
      </c>
      <c r="AB230" s="1375">
        <f t="shared" si="83"/>
        <v>0</v>
      </c>
      <c r="AC230" s="1373">
        <f t="shared" si="84"/>
        <v>0</v>
      </c>
      <c r="AD230" s="1373">
        <f t="shared" si="88"/>
        <v>0</v>
      </c>
      <c r="AE230" s="1373">
        <f t="shared" si="85"/>
        <v>0</v>
      </c>
      <c r="AF230" s="1371">
        <f t="shared" si="68"/>
        <v>0</v>
      </c>
      <c r="AG230" s="1359" t="e">
        <f>HLOOKUP($AG$83,anticipado,144,0)</f>
        <v>#N/A</v>
      </c>
      <c r="AI230" s="1360">
        <f t="shared" si="76"/>
        <v>0</v>
      </c>
      <c r="AJ230" s="1361">
        <f t="shared" si="89"/>
        <v>143</v>
      </c>
      <c r="AK230" s="1362">
        <f t="shared" si="77"/>
        <v>0</v>
      </c>
      <c r="AL230" s="1362">
        <f t="shared" si="90"/>
        <v>0</v>
      </c>
      <c r="AM230" s="1362">
        <f t="shared" si="86"/>
        <v>0</v>
      </c>
      <c r="AN230" s="1363">
        <f t="shared" si="78"/>
        <v>1000000</v>
      </c>
      <c r="AO230" s="1364"/>
      <c r="AP230" s="1364"/>
      <c r="AQ230" s="1361" t="str">
        <f t="shared" si="91"/>
        <v/>
      </c>
      <c r="AR230" s="1362">
        <f t="shared" si="79"/>
        <v>0</v>
      </c>
      <c r="AS230" s="1362">
        <f t="shared" si="69"/>
        <v>0</v>
      </c>
      <c r="AT230" s="1362">
        <f t="shared" si="92"/>
        <v>0</v>
      </c>
      <c r="AU230" s="1363">
        <f t="shared" si="87"/>
        <v>0</v>
      </c>
    </row>
    <row r="231" spans="1:47">
      <c r="A231" s="1118">
        <f t="shared" ca="1" si="67"/>
        <v>3</v>
      </c>
      <c r="B231" s="1351">
        <f t="shared" si="70"/>
        <v>0</v>
      </c>
      <c r="C231" s="2143">
        <f t="shared" si="80"/>
        <v>0</v>
      </c>
      <c r="D231" s="2144">
        <f t="shared" si="81"/>
        <v>0</v>
      </c>
      <c r="E231" s="2145">
        <f t="shared" si="71"/>
        <v>0</v>
      </c>
      <c r="F231" s="2145">
        <f t="shared" si="93"/>
        <v>0</v>
      </c>
      <c r="G231" s="2145">
        <f t="shared" si="94"/>
        <v>0</v>
      </c>
      <c r="H231" s="2145">
        <f>IF(N230&lt;0.01,0,IF(Adm!$S$4=Adm!$S$8,0,N230*Adm!$V$4))</f>
        <v>0</v>
      </c>
      <c r="I231" s="2145">
        <f>IF(N230&lt;0.01,0,IF(Adm!$S$5=Adm!$S$8,0,Adm!$AA$11*Adm!$X$4))</f>
        <v>0</v>
      </c>
      <c r="J231" s="2145">
        <f>IF(N230&lt;0.01,0,Adm!$Q$4*1.16)</f>
        <v>0</v>
      </c>
      <c r="K231" s="2145">
        <f>IF(N230&lt;0.01,0,IF(Adm!$O$4&gt;0,E231*Adm!$O$4,0))</f>
        <v>0</v>
      </c>
      <c r="L231" s="2145">
        <f t="shared" si="72"/>
        <v>0</v>
      </c>
      <c r="M231" s="2145">
        <f>IF(Adm!$G$4="si",MIN(N230+E231+H231+I231+J231-L231,Z231),0)</f>
        <v>0</v>
      </c>
      <c r="N231" s="2145">
        <f t="shared" si="73"/>
        <v>0</v>
      </c>
      <c r="O231" s="2146"/>
      <c r="P231" s="1101"/>
      <c r="V231" s="1352">
        <f t="shared" si="74"/>
        <v>12</v>
      </c>
      <c r="W231" s="1367">
        <f>IF(V231=1,Cal!$AB$127,0)</f>
        <v>0</v>
      </c>
      <c r="Y231" s="1368">
        <f t="shared" si="82"/>
        <v>0</v>
      </c>
      <c r="Z231" s="1369">
        <f t="shared" ca="1" si="75"/>
        <v>0</v>
      </c>
      <c r="AB231" s="1375">
        <f t="shared" si="83"/>
        <v>0</v>
      </c>
      <c r="AC231" s="1373">
        <f t="shared" si="84"/>
        <v>0</v>
      </c>
      <c r="AD231" s="1373">
        <f t="shared" si="88"/>
        <v>0</v>
      </c>
      <c r="AE231" s="1373">
        <f t="shared" si="85"/>
        <v>0</v>
      </c>
      <c r="AF231" s="1371">
        <f t="shared" si="68"/>
        <v>0</v>
      </c>
      <c r="AG231" s="1359" t="e">
        <f>HLOOKUP($AG$83,anticipado,145,0)</f>
        <v>#N/A</v>
      </c>
      <c r="AI231" s="1360">
        <f t="shared" si="76"/>
        <v>0</v>
      </c>
      <c r="AJ231" s="1361">
        <f t="shared" si="89"/>
        <v>144</v>
      </c>
      <c r="AK231" s="1362">
        <f t="shared" si="77"/>
        <v>0</v>
      </c>
      <c r="AL231" s="1362">
        <f t="shared" si="90"/>
        <v>0</v>
      </c>
      <c r="AM231" s="1362">
        <f t="shared" si="86"/>
        <v>0</v>
      </c>
      <c r="AN231" s="1363">
        <f t="shared" si="78"/>
        <v>1000000</v>
      </c>
      <c r="AO231" s="1364"/>
      <c r="AP231" s="1364"/>
      <c r="AQ231" s="1361" t="str">
        <f t="shared" si="91"/>
        <v/>
      </c>
      <c r="AR231" s="1362">
        <f t="shared" si="79"/>
        <v>0</v>
      </c>
      <c r="AS231" s="1362">
        <f t="shared" si="69"/>
        <v>0</v>
      </c>
      <c r="AT231" s="1362">
        <f t="shared" si="92"/>
        <v>0</v>
      </c>
      <c r="AU231" s="1363">
        <f t="shared" si="87"/>
        <v>0</v>
      </c>
    </row>
    <row r="232" spans="1:47">
      <c r="A232" s="1118">
        <f t="shared" ca="1" si="67"/>
        <v>4</v>
      </c>
      <c r="B232" s="1351">
        <f t="shared" si="70"/>
        <v>0</v>
      </c>
      <c r="C232" s="2143">
        <f t="shared" si="80"/>
        <v>0</v>
      </c>
      <c r="D232" s="2144">
        <f t="shared" si="81"/>
        <v>0</v>
      </c>
      <c r="E232" s="2145">
        <f t="shared" si="71"/>
        <v>0</v>
      </c>
      <c r="F232" s="2145">
        <f t="shared" si="93"/>
        <v>0</v>
      </c>
      <c r="G232" s="2145">
        <f t="shared" si="94"/>
        <v>0</v>
      </c>
      <c r="H232" s="2145">
        <f>IF(N231&lt;0.01,0,IF(Adm!$S$4=Adm!$S$8,0,N231*Adm!$V$4))</f>
        <v>0</v>
      </c>
      <c r="I232" s="2145">
        <f>IF(N231&lt;0.01,0,IF(Adm!$S$5=Adm!$S$8,0,Adm!$AA$11*Adm!$X$4))</f>
        <v>0</v>
      </c>
      <c r="J232" s="2145">
        <f>IF(N231&lt;0.01,0,Adm!$Q$4*1.16)</f>
        <v>0</v>
      </c>
      <c r="K232" s="2145">
        <f>IF(N231&lt;0.01,0,IF(Adm!$O$4&gt;0,E232*Adm!$O$4,0))</f>
        <v>0</v>
      </c>
      <c r="L232" s="2145">
        <f t="shared" si="72"/>
        <v>0</v>
      </c>
      <c r="M232" s="2145">
        <f>IF(Adm!$G$4="si",MIN(N231+E232+H232+I232+J232-L232,Z232),0)</f>
        <v>0</v>
      </c>
      <c r="N232" s="2145">
        <f t="shared" si="73"/>
        <v>0</v>
      </c>
      <c r="O232" s="2146"/>
      <c r="P232" s="1101"/>
      <c r="V232" s="1352">
        <f t="shared" si="74"/>
        <v>1</v>
      </c>
      <c r="W232" s="1367">
        <f>IF(V232=1,Cal!$AB$127,0)</f>
        <v>0</v>
      </c>
      <c r="Y232" s="1368">
        <f t="shared" si="82"/>
        <v>0</v>
      </c>
      <c r="Z232" s="1369">
        <f t="shared" ca="1" si="75"/>
        <v>0</v>
      </c>
      <c r="AB232" s="1375">
        <f t="shared" si="83"/>
        <v>0</v>
      </c>
      <c r="AC232" s="1373">
        <f t="shared" si="84"/>
        <v>0</v>
      </c>
      <c r="AD232" s="1373">
        <f t="shared" si="88"/>
        <v>0</v>
      </c>
      <c r="AE232" s="1373">
        <f t="shared" si="85"/>
        <v>0</v>
      </c>
      <c r="AF232" s="1371">
        <f t="shared" si="68"/>
        <v>0</v>
      </c>
      <c r="AG232" s="1359" t="e">
        <f>HLOOKUP($AG$83,anticipado,146,0)</f>
        <v>#N/A</v>
      </c>
      <c r="AI232" s="1360">
        <f t="shared" si="76"/>
        <v>0</v>
      </c>
      <c r="AJ232" s="1377">
        <f t="shared" si="89"/>
        <v>145</v>
      </c>
      <c r="AK232" s="1378">
        <f t="shared" si="77"/>
        <v>0</v>
      </c>
      <c r="AL232" s="1378">
        <f t="shared" si="90"/>
        <v>0</v>
      </c>
      <c r="AM232" s="1378">
        <f>MIN(AN231+AK232,AM231*(1+$AK$83))</f>
        <v>0</v>
      </c>
      <c r="AN232" s="1363">
        <f t="shared" si="78"/>
        <v>1000000</v>
      </c>
      <c r="AO232" s="1364"/>
      <c r="AP232" s="1364"/>
      <c r="AQ232" s="1379" t="str">
        <f t="shared" si="91"/>
        <v/>
      </c>
      <c r="AR232" s="1380">
        <f t="shared" si="79"/>
        <v>0</v>
      </c>
      <c r="AS232" s="1380">
        <f t="shared" si="69"/>
        <v>0</v>
      </c>
      <c r="AT232" s="1380">
        <f>MIN(AU231+AR232,AT231*(1+$AR$83))</f>
        <v>0</v>
      </c>
      <c r="AU232" s="1363">
        <f t="shared" si="87"/>
        <v>0</v>
      </c>
    </row>
    <row r="233" spans="1:47">
      <c r="A233" s="1118">
        <f t="shared" ca="1" si="67"/>
        <v>5</v>
      </c>
      <c r="B233" s="1351">
        <f t="shared" si="70"/>
        <v>0</v>
      </c>
      <c r="C233" s="2143">
        <f t="shared" si="80"/>
        <v>0</v>
      </c>
      <c r="D233" s="2144">
        <f t="shared" si="81"/>
        <v>0</v>
      </c>
      <c r="E233" s="2145">
        <f t="shared" si="71"/>
        <v>0</v>
      </c>
      <c r="F233" s="2145">
        <f t="shared" si="93"/>
        <v>0</v>
      </c>
      <c r="G233" s="2145">
        <f t="shared" si="94"/>
        <v>0</v>
      </c>
      <c r="H233" s="2145">
        <f>IF(N232&lt;0.01,0,IF(Adm!$S$4=Adm!$S$8,0,N232*Adm!$V$4))</f>
        <v>0</v>
      </c>
      <c r="I233" s="2145">
        <f>IF(N232&lt;0.01,0,IF(Adm!$S$5=Adm!$S$8,0,Adm!$AA$11*Adm!$X$4))</f>
        <v>0</v>
      </c>
      <c r="J233" s="2145">
        <f>IF(N232&lt;0.01,0,Adm!$Q$4*1.16)</f>
        <v>0</v>
      </c>
      <c r="K233" s="2145">
        <f>IF(N232&lt;0.01,0,IF(Adm!$O$4&gt;0,E233*Adm!$O$4,0))</f>
        <v>0</v>
      </c>
      <c r="L233" s="2145">
        <f t="shared" si="72"/>
        <v>0</v>
      </c>
      <c r="M233" s="2145">
        <f>IF(Adm!$G$4="si",MIN(N232+E233+H233+I233+J233-L233,Z233),0)</f>
        <v>0</v>
      </c>
      <c r="N233" s="2145">
        <f t="shared" si="73"/>
        <v>0</v>
      </c>
      <c r="O233" s="2146"/>
      <c r="P233" s="1101"/>
      <c r="V233" s="1352">
        <f t="shared" si="74"/>
        <v>2</v>
      </c>
      <c r="W233" s="1367">
        <f>IF(V233=1,Cal!$AB$127,0)</f>
        <v>0</v>
      </c>
      <c r="Y233" s="1368">
        <f t="shared" si="82"/>
        <v>0</v>
      </c>
      <c r="Z233" s="1369">
        <f t="shared" ca="1" si="75"/>
        <v>0</v>
      </c>
      <c r="AB233" s="1375">
        <f t="shared" si="83"/>
        <v>0</v>
      </c>
      <c r="AC233" s="1373">
        <f t="shared" si="84"/>
        <v>0</v>
      </c>
      <c r="AD233" s="1373">
        <f t="shared" si="88"/>
        <v>0</v>
      </c>
      <c r="AE233" s="1373">
        <f t="shared" si="85"/>
        <v>0</v>
      </c>
      <c r="AF233" s="1371">
        <f t="shared" si="68"/>
        <v>0</v>
      </c>
      <c r="AG233" s="1359" t="e">
        <f>HLOOKUP($AG$83,anticipado,147,0)</f>
        <v>#N/A</v>
      </c>
      <c r="AI233" s="1360">
        <f t="shared" si="76"/>
        <v>0</v>
      </c>
      <c r="AJ233" s="1361">
        <f t="shared" si="89"/>
        <v>146</v>
      </c>
      <c r="AK233" s="1362">
        <f t="shared" si="77"/>
        <v>0</v>
      </c>
      <c r="AL233" s="1362">
        <f t="shared" si="90"/>
        <v>0</v>
      </c>
      <c r="AM233" s="1362">
        <f t="shared" si="86"/>
        <v>0</v>
      </c>
      <c r="AN233" s="1363">
        <f t="shared" si="78"/>
        <v>1000000</v>
      </c>
      <c r="AO233" s="1364"/>
      <c r="AP233" s="1364"/>
      <c r="AQ233" s="1361" t="str">
        <f t="shared" si="91"/>
        <v/>
      </c>
      <c r="AR233" s="1362">
        <f t="shared" si="79"/>
        <v>0</v>
      </c>
      <c r="AS233" s="1362">
        <f t="shared" si="69"/>
        <v>0</v>
      </c>
      <c r="AT233" s="1362">
        <f t="shared" ref="AT233:AT243" si="95">MIN(AU232+AR233,AT232)</f>
        <v>0</v>
      </c>
      <c r="AU233" s="1363">
        <f t="shared" si="87"/>
        <v>0</v>
      </c>
    </row>
    <row r="234" spans="1:47">
      <c r="A234" s="1118">
        <f t="shared" ca="1" si="67"/>
        <v>6</v>
      </c>
      <c r="B234" s="1351">
        <f t="shared" si="70"/>
        <v>0</v>
      </c>
      <c r="C234" s="2143">
        <f t="shared" si="80"/>
        <v>0</v>
      </c>
      <c r="D234" s="2144">
        <f t="shared" si="81"/>
        <v>0</v>
      </c>
      <c r="E234" s="2145">
        <f t="shared" si="71"/>
        <v>0</v>
      </c>
      <c r="F234" s="2145">
        <f t="shared" si="93"/>
        <v>0</v>
      </c>
      <c r="G234" s="2145">
        <f t="shared" si="94"/>
        <v>0</v>
      </c>
      <c r="H234" s="2145">
        <f>IF(N233&lt;0.01,0,IF(Adm!$S$4=Adm!$S$8,0,N233*Adm!$V$4))</f>
        <v>0</v>
      </c>
      <c r="I234" s="2145">
        <f>IF(N233&lt;0.01,0,IF(Adm!$S$5=Adm!$S$8,0,Adm!$AA$11*Adm!$X$4))</f>
        <v>0</v>
      </c>
      <c r="J234" s="2145">
        <f>IF(N233&lt;0.01,0,Adm!$Q$4*1.16)</f>
        <v>0</v>
      </c>
      <c r="K234" s="2145">
        <f>IF(N233&lt;0.01,0,IF(Adm!$O$4&gt;0,E234*Adm!$O$4,0))</f>
        <v>0</v>
      </c>
      <c r="L234" s="2145">
        <f t="shared" si="72"/>
        <v>0</v>
      </c>
      <c r="M234" s="2145">
        <f>IF(Adm!$G$4="si",MIN(N233+E234+H234+I234+J234-L234,Z234),0)</f>
        <v>0</v>
      </c>
      <c r="N234" s="2145">
        <f t="shared" si="73"/>
        <v>0</v>
      </c>
      <c r="O234" s="2146"/>
      <c r="P234" s="1101"/>
      <c r="V234" s="1352">
        <f t="shared" si="74"/>
        <v>3</v>
      </c>
      <c r="W234" s="1367">
        <f>IF(V234=1,Cal!$AB$127,0)</f>
        <v>0</v>
      </c>
      <c r="Y234" s="1368">
        <f t="shared" si="82"/>
        <v>0</v>
      </c>
      <c r="Z234" s="1369">
        <f t="shared" ca="1" si="75"/>
        <v>0</v>
      </c>
      <c r="AB234" s="1375">
        <f t="shared" si="83"/>
        <v>0</v>
      </c>
      <c r="AC234" s="1373">
        <f t="shared" si="84"/>
        <v>0</v>
      </c>
      <c r="AD234" s="1373">
        <f t="shared" si="88"/>
        <v>0</v>
      </c>
      <c r="AE234" s="1373">
        <f t="shared" si="85"/>
        <v>0</v>
      </c>
      <c r="AF234" s="1371">
        <f t="shared" si="68"/>
        <v>0</v>
      </c>
      <c r="AG234" s="1359" t="e">
        <f>HLOOKUP($AG$83,anticipado,148,0)</f>
        <v>#N/A</v>
      </c>
      <c r="AI234" s="1360">
        <f t="shared" si="76"/>
        <v>0</v>
      </c>
      <c r="AJ234" s="1361">
        <f t="shared" si="89"/>
        <v>147</v>
      </c>
      <c r="AK234" s="1362">
        <f t="shared" si="77"/>
        <v>0</v>
      </c>
      <c r="AL234" s="1362">
        <f t="shared" si="90"/>
        <v>0</v>
      </c>
      <c r="AM234" s="1362">
        <f t="shared" si="86"/>
        <v>0</v>
      </c>
      <c r="AN234" s="1363">
        <f t="shared" si="78"/>
        <v>1000000</v>
      </c>
      <c r="AO234" s="1364"/>
      <c r="AP234" s="1364"/>
      <c r="AQ234" s="1361" t="str">
        <f t="shared" si="91"/>
        <v/>
      </c>
      <c r="AR234" s="1362">
        <f t="shared" si="79"/>
        <v>0</v>
      </c>
      <c r="AS234" s="1362">
        <f t="shared" si="69"/>
        <v>0</v>
      </c>
      <c r="AT234" s="1362">
        <f t="shared" si="95"/>
        <v>0</v>
      </c>
      <c r="AU234" s="1363">
        <f t="shared" si="87"/>
        <v>0</v>
      </c>
    </row>
    <row r="235" spans="1:47">
      <c r="A235" s="1118">
        <f t="shared" ca="1" si="67"/>
        <v>7</v>
      </c>
      <c r="B235" s="1351">
        <f t="shared" si="70"/>
        <v>0</v>
      </c>
      <c r="C235" s="2143">
        <f t="shared" si="80"/>
        <v>0</v>
      </c>
      <c r="D235" s="2144">
        <f t="shared" si="81"/>
        <v>0</v>
      </c>
      <c r="E235" s="2145">
        <f t="shared" si="71"/>
        <v>0</v>
      </c>
      <c r="F235" s="2145">
        <f t="shared" si="93"/>
        <v>0</v>
      </c>
      <c r="G235" s="2145">
        <f t="shared" si="94"/>
        <v>0</v>
      </c>
      <c r="H235" s="2145">
        <f>IF(N234&lt;0.01,0,IF(Adm!$S$4=Adm!$S$8,0,N234*Adm!$V$4))</f>
        <v>0</v>
      </c>
      <c r="I235" s="2145">
        <f>IF(N234&lt;0.01,0,IF(Adm!$S$5=Adm!$S$8,0,Adm!$AA$11*Adm!$X$4))</f>
        <v>0</v>
      </c>
      <c r="J235" s="2145">
        <f>IF(N234&lt;0.01,0,Adm!$Q$4*1.16)</f>
        <v>0</v>
      </c>
      <c r="K235" s="2145">
        <f>IF(N234&lt;0.01,0,IF(Adm!$O$4&gt;0,E235*Adm!$O$4,0))</f>
        <v>0</v>
      </c>
      <c r="L235" s="2145">
        <f t="shared" si="72"/>
        <v>0</v>
      </c>
      <c r="M235" s="2145">
        <f>IF(Adm!$G$4="si",MIN(N234+E235+H235+I235+J235-L235,Z235),0)</f>
        <v>0</v>
      </c>
      <c r="N235" s="2145">
        <f t="shared" si="73"/>
        <v>0</v>
      </c>
      <c r="O235" s="2146"/>
      <c r="P235" s="1101"/>
      <c r="V235" s="1352">
        <f t="shared" si="74"/>
        <v>4</v>
      </c>
      <c r="W235" s="1367">
        <f>IF(V235=1,Cal!$AB$127,0)</f>
        <v>0</v>
      </c>
      <c r="Y235" s="1368">
        <f t="shared" si="82"/>
        <v>0</v>
      </c>
      <c r="Z235" s="1369">
        <f t="shared" ca="1" si="75"/>
        <v>0</v>
      </c>
      <c r="AB235" s="1375">
        <f t="shared" si="83"/>
        <v>0</v>
      </c>
      <c r="AC235" s="1373">
        <f t="shared" si="84"/>
        <v>0</v>
      </c>
      <c r="AD235" s="1373">
        <f t="shared" si="88"/>
        <v>0</v>
      </c>
      <c r="AE235" s="1373">
        <f t="shared" si="85"/>
        <v>0</v>
      </c>
      <c r="AF235" s="1371">
        <f t="shared" si="68"/>
        <v>0</v>
      </c>
      <c r="AG235" s="1359" t="e">
        <f>HLOOKUP($AG$83,anticipado,149,0)</f>
        <v>#N/A</v>
      </c>
      <c r="AI235" s="1360">
        <f t="shared" si="76"/>
        <v>0</v>
      </c>
      <c r="AJ235" s="1361">
        <f t="shared" si="89"/>
        <v>148</v>
      </c>
      <c r="AK235" s="1362">
        <f t="shared" si="77"/>
        <v>0</v>
      </c>
      <c r="AL235" s="1362">
        <f t="shared" si="90"/>
        <v>0</v>
      </c>
      <c r="AM235" s="1362">
        <f t="shared" si="86"/>
        <v>0</v>
      </c>
      <c r="AN235" s="1363">
        <f t="shared" si="78"/>
        <v>1000000</v>
      </c>
      <c r="AO235" s="1364"/>
      <c r="AP235" s="1364"/>
      <c r="AQ235" s="1361" t="str">
        <f t="shared" si="91"/>
        <v/>
      </c>
      <c r="AR235" s="1362">
        <f t="shared" si="79"/>
        <v>0</v>
      </c>
      <c r="AS235" s="1362">
        <f t="shared" si="69"/>
        <v>0</v>
      </c>
      <c r="AT235" s="1362">
        <f t="shared" si="95"/>
        <v>0</v>
      </c>
      <c r="AU235" s="1363">
        <f t="shared" si="87"/>
        <v>0</v>
      </c>
    </row>
    <row r="236" spans="1:47">
      <c r="A236" s="1118">
        <f t="shared" ca="1" si="67"/>
        <v>8</v>
      </c>
      <c r="B236" s="1351">
        <f t="shared" si="70"/>
        <v>0</v>
      </c>
      <c r="C236" s="2143">
        <f t="shared" si="80"/>
        <v>0</v>
      </c>
      <c r="D236" s="2144">
        <f t="shared" si="81"/>
        <v>0</v>
      </c>
      <c r="E236" s="2145">
        <f t="shared" si="71"/>
        <v>0</v>
      </c>
      <c r="F236" s="2145">
        <f t="shared" si="93"/>
        <v>0</v>
      </c>
      <c r="G236" s="2145">
        <f t="shared" si="94"/>
        <v>0</v>
      </c>
      <c r="H236" s="2145">
        <f>IF(N235&lt;0.01,0,IF(Adm!$S$4=Adm!$S$8,0,N235*Adm!$V$4))</f>
        <v>0</v>
      </c>
      <c r="I236" s="2145">
        <f>IF(N235&lt;0.01,0,IF(Adm!$S$5=Adm!$S$8,0,Adm!$AA$11*Adm!$X$4))</f>
        <v>0</v>
      </c>
      <c r="J236" s="2145">
        <f>IF(N235&lt;0.01,0,Adm!$Q$4*1.16)</f>
        <v>0</v>
      </c>
      <c r="K236" s="2145">
        <f>IF(N235&lt;0.01,0,IF(Adm!$O$4&gt;0,E236*Adm!$O$4,0))</f>
        <v>0</v>
      </c>
      <c r="L236" s="2145">
        <f t="shared" si="72"/>
        <v>0</v>
      </c>
      <c r="M236" s="2145">
        <f>IF(Adm!$G$4="si",MIN(N235+E236+H236+I236+J236-L236,Z236),0)</f>
        <v>0</v>
      </c>
      <c r="N236" s="2145">
        <f t="shared" si="73"/>
        <v>0</v>
      </c>
      <c r="O236" s="2146"/>
      <c r="P236" s="1101"/>
      <c r="V236" s="1352">
        <f t="shared" si="74"/>
        <v>5</v>
      </c>
      <c r="W236" s="1367">
        <f>IF(V236=1,Cal!$AB$127,0)</f>
        <v>0</v>
      </c>
      <c r="Y236" s="1368">
        <f t="shared" si="82"/>
        <v>0</v>
      </c>
      <c r="Z236" s="1369">
        <f t="shared" ca="1" si="75"/>
        <v>0</v>
      </c>
      <c r="AB236" s="1375">
        <f t="shared" si="83"/>
        <v>0</v>
      </c>
      <c r="AC236" s="1373">
        <f t="shared" si="84"/>
        <v>0</v>
      </c>
      <c r="AD236" s="1373">
        <f t="shared" si="88"/>
        <v>0</v>
      </c>
      <c r="AE236" s="1373">
        <f t="shared" si="85"/>
        <v>0</v>
      </c>
      <c r="AF236" s="1371">
        <f t="shared" si="68"/>
        <v>0</v>
      </c>
      <c r="AG236" s="1359" t="e">
        <f>HLOOKUP($AG$83,anticipado,150,0)</f>
        <v>#N/A</v>
      </c>
      <c r="AI236" s="1360">
        <f t="shared" si="76"/>
        <v>0</v>
      </c>
      <c r="AJ236" s="1361">
        <f t="shared" si="89"/>
        <v>149</v>
      </c>
      <c r="AK236" s="1362">
        <f t="shared" si="77"/>
        <v>0</v>
      </c>
      <c r="AL236" s="1362">
        <f t="shared" si="90"/>
        <v>0</v>
      </c>
      <c r="AM236" s="1362">
        <f t="shared" si="86"/>
        <v>0</v>
      </c>
      <c r="AN236" s="1363">
        <f t="shared" si="78"/>
        <v>1000000</v>
      </c>
      <c r="AO236" s="1364"/>
      <c r="AP236" s="1364"/>
      <c r="AQ236" s="1361" t="str">
        <f t="shared" si="91"/>
        <v/>
      </c>
      <c r="AR236" s="1362">
        <f t="shared" si="79"/>
        <v>0</v>
      </c>
      <c r="AS236" s="1362">
        <f t="shared" si="69"/>
        <v>0</v>
      </c>
      <c r="AT236" s="1362">
        <f t="shared" si="95"/>
        <v>0</v>
      </c>
      <c r="AU236" s="1363">
        <f t="shared" si="87"/>
        <v>0</v>
      </c>
    </row>
    <row r="237" spans="1:47">
      <c r="A237" s="1118">
        <f t="shared" ca="1" si="67"/>
        <v>9</v>
      </c>
      <c r="B237" s="1351">
        <f t="shared" si="70"/>
        <v>0</v>
      </c>
      <c r="C237" s="2143">
        <f t="shared" si="80"/>
        <v>0</v>
      </c>
      <c r="D237" s="2144">
        <f t="shared" si="81"/>
        <v>0</v>
      </c>
      <c r="E237" s="2145">
        <f t="shared" si="71"/>
        <v>0</v>
      </c>
      <c r="F237" s="2145">
        <f t="shared" si="93"/>
        <v>0</v>
      </c>
      <c r="G237" s="2145">
        <f t="shared" si="94"/>
        <v>0</v>
      </c>
      <c r="H237" s="2145">
        <f>IF(N236&lt;0.01,0,IF(Adm!$S$4=Adm!$S$8,0,N236*Adm!$V$4))</f>
        <v>0</v>
      </c>
      <c r="I237" s="2145">
        <f>IF(N236&lt;0.01,0,IF(Adm!$S$5=Adm!$S$8,0,Adm!$AA$11*Adm!$X$4))</f>
        <v>0</v>
      </c>
      <c r="J237" s="2145">
        <f>IF(N236&lt;0.01,0,Adm!$Q$4*1.16)</f>
        <v>0</v>
      </c>
      <c r="K237" s="2145">
        <f>IF(N236&lt;0.01,0,IF(Adm!$O$4&gt;0,E237*Adm!$O$4,0))</f>
        <v>0</v>
      </c>
      <c r="L237" s="2145">
        <f t="shared" si="72"/>
        <v>0</v>
      </c>
      <c r="M237" s="2145">
        <f>IF(Adm!$G$4="si",MIN(N236+E237+H237+I237+J237-L237,Z237),0)</f>
        <v>0</v>
      </c>
      <c r="N237" s="2145">
        <f t="shared" si="73"/>
        <v>0</v>
      </c>
      <c r="O237" s="2146"/>
      <c r="P237" s="1101"/>
      <c r="V237" s="1352">
        <f t="shared" si="74"/>
        <v>6</v>
      </c>
      <c r="W237" s="1367">
        <f>IF(V237=1,Cal!$AB$127,0)</f>
        <v>0</v>
      </c>
      <c r="Y237" s="1368">
        <f t="shared" si="82"/>
        <v>0</v>
      </c>
      <c r="Z237" s="1369">
        <f t="shared" ca="1" si="75"/>
        <v>0</v>
      </c>
      <c r="AB237" s="1375">
        <f t="shared" si="83"/>
        <v>0</v>
      </c>
      <c r="AC237" s="1373">
        <f t="shared" si="84"/>
        <v>0</v>
      </c>
      <c r="AD237" s="1373">
        <f t="shared" si="88"/>
        <v>0</v>
      </c>
      <c r="AE237" s="1373">
        <f t="shared" si="85"/>
        <v>0</v>
      </c>
      <c r="AF237" s="1371">
        <f t="shared" si="68"/>
        <v>0</v>
      </c>
      <c r="AG237" s="1359" t="e">
        <f>HLOOKUP($AG$83,anticipado,151,0)</f>
        <v>#N/A</v>
      </c>
      <c r="AI237" s="1360">
        <f t="shared" si="76"/>
        <v>0</v>
      </c>
      <c r="AJ237" s="1361">
        <f t="shared" si="89"/>
        <v>150</v>
      </c>
      <c r="AK237" s="1362">
        <f t="shared" si="77"/>
        <v>0</v>
      </c>
      <c r="AL237" s="1362">
        <f t="shared" si="90"/>
        <v>0</v>
      </c>
      <c r="AM237" s="1362">
        <f t="shared" si="86"/>
        <v>0</v>
      </c>
      <c r="AN237" s="1363">
        <f t="shared" si="78"/>
        <v>1000000</v>
      </c>
      <c r="AO237" s="1364"/>
      <c r="AP237" s="1364"/>
      <c r="AQ237" s="1361" t="str">
        <f t="shared" si="91"/>
        <v/>
      </c>
      <c r="AR237" s="1362">
        <f t="shared" si="79"/>
        <v>0</v>
      </c>
      <c r="AS237" s="1362">
        <f t="shared" si="69"/>
        <v>0</v>
      </c>
      <c r="AT237" s="1362">
        <f t="shared" si="95"/>
        <v>0</v>
      </c>
      <c r="AU237" s="1363">
        <f t="shared" si="87"/>
        <v>0</v>
      </c>
    </row>
    <row r="238" spans="1:47">
      <c r="A238" s="1118">
        <f t="shared" ca="1" si="67"/>
        <v>10</v>
      </c>
      <c r="B238" s="1351">
        <f t="shared" si="70"/>
        <v>0</v>
      </c>
      <c r="C238" s="2143">
        <f t="shared" si="80"/>
        <v>0</v>
      </c>
      <c r="D238" s="2144">
        <f t="shared" si="81"/>
        <v>0</v>
      </c>
      <c r="E238" s="2145">
        <f t="shared" si="71"/>
        <v>0</v>
      </c>
      <c r="F238" s="2145">
        <f t="shared" si="93"/>
        <v>0</v>
      </c>
      <c r="G238" s="2145">
        <f t="shared" si="94"/>
        <v>0</v>
      </c>
      <c r="H238" s="2145">
        <f>IF(N237&lt;0.01,0,IF(Adm!$S$4=Adm!$S$8,0,N237*Adm!$V$4))</f>
        <v>0</v>
      </c>
      <c r="I238" s="2145">
        <f>IF(N237&lt;0.01,0,IF(Adm!$S$5=Adm!$S$8,0,Adm!$AA$11*Adm!$X$4))</f>
        <v>0</v>
      </c>
      <c r="J238" s="2145">
        <f>IF(N237&lt;0.01,0,Adm!$Q$4*1.16)</f>
        <v>0</v>
      </c>
      <c r="K238" s="2145">
        <f>IF(N237&lt;0.01,0,IF(Adm!$O$4&gt;0,E238*Adm!$O$4,0))</f>
        <v>0</v>
      </c>
      <c r="L238" s="2145">
        <f t="shared" si="72"/>
        <v>0</v>
      </c>
      <c r="M238" s="2145">
        <f>IF(Adm!$G$4="si",MIN(N237+E238+H238+I238+J238-L238,Z238),0)</f>
        <v>0</v>
      </c>
      <c r="N238" s="2145">
        <f t="shared" si="73"/>
        <v>0</v>
      </c>
      <c r="O238" s="2146"/>
      <c r="P238" s="1101"/>
      <c r="V238" s="1352">
        <f t="shared" si="74"/>
        <v>7</v>
      </c>
      <c r="W238" s="1367">
        <f>IF(V238=1,Cal!$AB$127,0)</f>
        <v>0</v>
      </c>
      <c r="Y238" s="1368">
        <f t="shared" si="82"/>
        <v>0</v>
      </c>
      <c r="Z238" s="1369">
        <f t="shared" ca="1" si="75"/>
        <v>0</v>
      </c>
      <c r="AB238" s="1375">
        <f t="shared" si="83"/>
        <v>0</v>
      </c>
      <c r="AC238" s="1373">
        <f t="shared" si="84"/>
        <v>0</v>
      </c>
      <c r="AD238" s="1373">
        <f t="shared" si="88"/>
        <v>0</v>
      </c>
      <c r="AE238" s="1373">
        <f t="shared" si="85"/>
        <v>0</v>
      </c>
      <c r="AF238" s="1371">
        <f t="shared" si="68"/>
        <v>0</v>
      </c>
      <c r="AG238" s="1359" t="e">
        <f>HLOOKUP($AG$83,anticipado,152,0)</f>
        <v>#N/A</v>
      </c>
      <c r="AI238" s="1360">
        <f t="shared" si="76"/>
        <v>0</v>
      </c>
      <c r="AJ238" s="1361">
        <f t="shared" si="89"/>
        <v>151</v>
      </c>
      <c r="AK238" s="1362">
        <f t="shared" si="77"/>
        <v>0</v>
      </c>
      <c r="AL238" s="1362">
        <f t="shared" si="90"/>
        <v>0</v>
      </c>
      <c r="AM238" s="1362">
        <f t="shared" si="86"/>
        <v>0</v>
      </c>
      <c r="AN238" s="1363">
        <f t="shared" si="78"/>
        <v>1000000</v>
      </c>
      <c r="AO238" s="1364"/>
      <c r="AP238" s="1364"/>
      <c r="AQ238" s="1361" t="str">
        <f t="shared" si="91"/>
        <v/>
      </c>
      <c r="AR238" s="1362">
        <f t="shared" si="79"/>
        <v>0</v>
      </c>
      <c r="AS238" s="1362">
        <f t="shared" si="69"/>
        <v>0</v>
      </c>
      <c r="AT238" s="1362">
        <f t="shared" si="95"/>
        <v>0</v>
      </c>
      <c r="AU238" s="1363">
        <f t="shared" si="87"/>
        <v>0</v>
      </c>
    </row>
    <row r="239" spans="1:47">
      <c r="A239" s="1118">
        <f t="shared" ca="1" si="67"/>
        <v>11</v>
      </c>
      <c r="B239" s="1351">
        <f t="shared" si="70"/>
        <v>0</v>
      </c>
      <c r="C239" s="2143">
        <f t="shared" si="80"/>
        <v>0</v>
      </c>
      <c r="D239" s="2144">
        <f t="shared" si="81"/>
        <v>0</v>
      </c>
      <c r="E239" s="2145">
        <f t="shared" si="71"/>
        <v>0</v>
      </c>
      <c r="F239" s="2145">
        <f t="shared" si="93"/>
        <v>0</v>
      </c>
      <c r="G239" s="2145">
        <f t="shared" si="94"/>
        <v>0</v>
      </c>
      <c r="H239" s="2145">
        <f>IF(N238&lt;0.01,0,IF(Adm!$S$4=Adm!$S$8,0,N238*Adm!$V$4))</f>
        <v>0</v>
      </c>
      <c r="I239" s="2145">
        <f>IF(N238&lt;0.01,0,IF(Adm!$S$5=Adm!$S$8,0,Adm!$AA$11*Adm!$X$4))</f>
        <v>0</v>
      </c>
      <c r="J239" s="2145">
        <f>IF(N238&lt;0.01,0,Adm!$Q$4*1.16)</f>
        <v>0</v>
      </c>
      <c r="K239" s="2145">
        <f>IF(N238&lt;0.01,0,IF(Adm!$O$4&gt;0,E239*Adm!$O$4,0))</f>
        <v>0</v>
      </c>
      <c r="L239" s="2145">
        <f t="shared" si="72"/>
        <v>0</v>
      </c>
      <c r="M239" s="2145">
        <f>IF(Adm!$G$4="si",MIN(N238+E239+H239+I239+J239-L239,Z239),0)</f>
        <v>0</v>
      </c>
      <c r="N239" s="2145">
        <f t="shared" si="73"/>
        <v>0</v>
      </c>
      <c r="O239" s="2146"/>
      <c r="P239" s="1101"/>
      <c r="V239" s="1352">
        <f t="shared" si="74"/>
        <v>8</v>
      </c>
      <c r="W239" s="1367">
        <f>IF(V239=1,Cal!$AB$127,0)</f>
        <v>0</v>
      </c>
      <c r="Y239" s="1368">
        <f t="shared" si="82"/>
        <v>0</v>
      </c>
      <c r="Z239" s="1369">
        <f t="shared" ca="1" si="75"/>
        <v>0</v>
      </c>
      <c r="AB239" s="1375">
        <f t="shared" si="83"/>
        <v>0</v>
      </c>
      <c r="AC239" s="1373">
        <f t="shared" si="84"/>
        <v>0</v>
      </c>
      <c r="AD239" s="1373">
        <f t="shared" si="88"/>
        <v>0</v>
      </c>
      <c r="AE239" s="1373">
        <f t="shared" si="85"/>
        <v>0</v>
      </c>
      <c r="AF239" s="1371">
        <f t="shared" si="68"/>
        <v>0</v>
      </c>
      <c r="AG239" s="1359" t="e">
        <f>HLOOKUP($AG$83,anticipado,153,0)</f>
        <v>#N/A</v>
      </c>
      <c r="AI239" s="1360">
        <f t="shared" si="76"/>
        <v>0</v>
      </c>
      <c r="AJ239" s="1361">
        <f t="shared" si="89"/>
        <v>152</v>
      </c>
      <c r="AK239" s="1362">
        <f t="shared" si="77"/>
        <v>0</v>
      </c>
      <c r="AL239" s="1362">
        <f t="shared" si="90"/>
        <v>0</v>
      </c>
      <c r="AM239" s="1362">
        <f t="shared" si="86"/>
        <v>0</v>
      </c>
      <c r="AN239" s="1363">
        <f t="shared" si="78"/>
        <v>1000000</v>
      </c>
      <c r="AO239" s="1364"/>
      <c r="AP239" s="1364"/>
      <c r="AQ239" s="1361" t="str">
        <f t="shared" si="91"/>
        <v/>
      </c>
      <c r="AR239" s="1362">
        <f t="shared" si="79"/>
        <v>0</v>
      </c>
      <c r="AS239" s="1362">
        <f t="shared" si="69"/>
        <v>0</v>
      </c>
      <c r="AT239" s="1362">
        <f t="shared" si="95"/>
        <v>0</v>
      </c>
      <c r="AU239" s="1363">
        <f t="shared" si="87"/>
        <v>0</v>
      </c>
    </row>
    <row r="240" spans="1:47">
      <c r="A240" s="1118">
        <f t="shared" ca="1" si="67"/>
        <v>12</v>
      </c>
      <c r="B240" s="1351">
        <f t="shared" si="70"/>
        <v>0</v>
      </c>
      <c r="C240" s="2143">
        <f t="shared" si="80"/>
        <v>0</v>
      </c>
      <c r="D240" s="2144">
        <f t="shared" si="81"/>
        <v>0</v>
      </c>
      <c r="E240" s="2145">
        <f t="shared" si="71"/>
        <v>0</v>
      </c>
      <c r="F240" s="2145">
        <f t="shared" si="93"/>
        <v>0</v>
      </c>
      <c r="G240" s="2145">
        <f t="shared" si="94"/>
        <v>0</v>
      </c>
      <c r="H240" s="2145">
        <f>IF(N239&lt;0.01,0,IF(Adm!$S$4=Adm!$S$8,0,N239*Adm!$V$4))</f>
        <v>0</v>
      </c>
      <c r="I240" s="2145">
        <f>IF(N239&lt;0.01,0,IF(Adm!$S$5=Adm!$S$8,0,Adm!$AA$11*Adm!$X$4))</f>
        <v>0</v>
      </c>
      <c r="J240" s="2145">
        <f>IF(N239&lt;0.01,0,Adm!$Q$4*1.16)</f>
        <v>0</v>
      </c>
      <c r="K240" s="2145">
        <f>IF(N239&lt;0.01,0,IF(Adm!$O$4&gt;0,E240*Adm!$O$4,0))</f>
        <v>0</v>
      </c>
      <c r="L240" s="2145">
        <f t="shared" si="72"/>
        <v>0</v>
      </c>
      <c r="M240" s="2145">
        <f>IF(Adm!$G$4="si",MIN(N239+E240+H240+I240+J240-L240,Z240),0)</f>
        <v>0</v>
      </c>
      <c r="N240" s="2145">
        <f t="shared" si="73"/>
        <v>0</v>
      </c>
      <c r="O240" s="2146"/>
      <c r="P240" s="1101"/>
      <c r="V240" s="1352">
        <f t="shared" si="74"/>
        <v>9</v>
      </c>
      <c r="W240" s="1367">
        <f>IF(V240=1,Cal!$AB$127,0)</f>
        <v>0</v>
      </c>
      <c r="Y240" s="1368">
        <f t="shared" si="82"/>
        <v>0</v>
      </c>
      <c r="Z240" s="1369">
        <f t="shared" ca="1" si="75"/>
        <v>0</v>
      </c>
      <c r="AB240" s="1375">
        <f t="shared" si="83"/>
        <v>0</v>
      </c>
      <c r="AC240" s="1373">
        <f t="shared" si="84"/>
        <v>0</v>
      </c>
      <c r="AD240" s="1373">
        <f t="shared" si="88"/>
        <v>0</v>
      </c>
      <c r="AE240" s="1373">
        <f t="shared" si="85"/>
        <v>0</v>
      </c>
      <c r="AF240" s="1371">
        <f t="shared" si="68"/>
        <v>0</v>
      </c>
      <c r="AG240" s="1359" t="e">
        <f>HLOOKUP($AG$83,anticipado,154,0)</f>
        <v>#N/A</v>
      </c>
      <c r="AI240" s="1360">
        <f t="shared" si="76"/>
        <v>0</v>
      </c>
      <c r="AJ240" s="1361">
        <f t="shared" si="89"/>
        <v>153</v>
      </c>
      <c r="AK240" s="1362">
        <f t="shared" si="77"/>
        <v>0</v>
      </c>
      <c r="AL240" s="1362">
        <f t="shared" si="90"/>
        <v>0</v>
      </c>
      <c r="AM240" s="1362">
        <f t="shared" si="86"/>
        <v>0</v>
      </c>
      <c r="AN240" s="1363">
        <f t="shared" si="78"/>
        <v>1000000</v>
      </c>
      <c r="AO240" s="1364"/>
      <c r="AP240" s="1364"/>
      <c r="AQ240" s="1361" t="str">
        <f t="shared" si="91"/>
        <v/>
      </c>
      <c r="AR240" s="1362">
        <f t="shared" si="79"/>
        <v>0</v>
      </c>
      <c r="AS240" s="1362">
        <f t="shared" si="69"/>
        <v>0</v>
      </c>
      <c r="AT240" s="1362">
        <f t="shared" si="95"/>
        <v>0</v>
      </c>
      <c r="AU240" s="1363">
        <f t="shared" si="87"/>
        <v>0</v>
      </c>
    </row>
    <row r="241" spans="1:47">
      <c r="A241" s="1118">
        <f t="shared" ca="1" si="67"/>
        <v>1</v>
      </c>
      <c r="B241" s="1351">
        <f t="shared" si="70"/>
        <v>0</v>
      </c>
      <c r="C241" s="2143">
        <f t="shared" si="80"/>
        <v>0</v>
      </c>
      <c r="D241" s="2144">
        <f t="shared" si="81"/>
        <v>0</v>
      </c>
      <c r="E241" s="2145">
        <f t="shared" si="71"/>
        <v>0</v>
      </c>
      <c r="F241" s="2145">
        <f t="shared" si="93"/>
        <v>0</v>
      </c>
      <c r="G241" s="2145">
        <f t="shared" si="94"/>
        <v>0</v>
      </c>
      <c r="H241" s="2145">
        <f>IF(N240&lt;0.01,0,IF(Adm!$S$4=Adm!$S$8,0,N240*Adm!$V$4))</f>
        <v>0</v>
      </c>
      <c r="I241" s="2145">
        <f>IF(N240&lt;0.01,0,IF(Adm!$S$5=Adm!$S$8,0,Adm!$AA$11*Adm!$X$4))</f>
        <v>0</v>
      </c>
      <c r="J241" s="2145">
        <f>IF(N240&lt;0.01,0,Adm!$Q$4*1.16)</f>
        <v>0</v>
      </c>
      <c r="K241" s="2145">
        <f>IF(N240&lt;0.01,0,IF(Adm!$O$4&gt;0,E241*Adm!$O$4,0))</f>
        <v>0</v>
      </c>
      <c r="L241" s="2145">
        <f t="shared" si="72"/>
        <v>0</v>
      </c>
      <c r="M241" s="2145">
        <f>IF(Adm!$G$4="si",MIN(N240+E241+H241+I241+J241-L241,Z241),0)</f>
        <v>0</v>
      </c>
      <c r="N241" s="2145">
        <f t="shared" si="73"/>
        <v>0</v>
      </c>
      <c r="O241" s="2146"/>
      <c r="P241" s="1101"/>
      <c r="V241" s="1352">
        <f t="shared" si="74"/>
        <v>10</v>
      </c>
      <c r="W241" s="1367">
        <f>IF(V241=1,Cal!$AB$127,0)</f>
        <v>0</v>
      </c>
      <c r="Y241" s="1368">
        <f t="shared" si="82"/>
        <v>0</v>
      </c>
      <c r="Z241" s="1369">
        <f t="shared" ca="1" si="75"/>
        <v>0</v>
      </c>
      <c r="AB241" s="1375">
        <f t="shared" si="83"/>
        <v>0</v>
      </c>
      <c r="AC241" s="1373">
        <f t="shared" si="84"/>
        <v>0</v>
      </c>
      <c r="AD241" s="1373">
        <f t="shared" si="88"/>
        <v>0</v>
      </c>
      <c r="AE241" s="1373">
        <f t="shared" si="85"/>
        <v>0</v>
      </c>
      <c r="AF241" s="1371">
        <f t="shared" si="68"/>
        <v>0</v>
      </c>
      <c r="AG241" s="1359" t="e">
        <f>HLOOKUP($AG$83,anticipado,155,0)</f>
        <v>#N/A</v>
      </c>
      <c r="AI241" s="1360">
        <f t="shared" si="76"/>
        <v>0</v>
      </c>
      <c r="AJ241" s="1361">
        <f t="shared" si="89"/>
        <v>154</v>
      </c>
      <c r="AK241" s="1362">
        <f t="shared" si="77"/>
        <v>0</v>
      </c>
      <c r="AL241" s="1362">
        <f t="shared" si="90"/>
        <v>0</v>
      </c>
      <c r="AM241" s="1362">
        <f t="shared" si="86"/>
        <v>0</v>
      </c>
      <c r="AN241" s="1363">
        <f t="shared" si="78"/>
        <v>1000000</v>
      </c>
      <c r="AO241" s="1364"/>
      <c r="AP241" s="1364"/>
      <c r="AQ241" s="1361" t="str">
        <f t="shared" si="91"/>
        <v/>
      </c>
      <c r="AR241" s="1362">
        <f t="shared" si="79"/>
        <v>0</v>
      </c>
      <c r="AS241" s="1362">
        <f t="shared" si="69"/>
        <v>0</v>
      </c>
      <c r="AT241" s="1362">
        <f t="shared" si="95"/>
        <v>0</v>
      </c>
      <c r="AU241" s="1363">
        <f t="shared" si="87"/>
        <v>0</v>
      </c>
    </row>
    <row r="242" spans="1:47">
      <c r="A242" s="1118">
        <f t="shared" ca="1" si="67"/>
        <v>2</v>
      </c>
      <c r="B242" s="1351">
        <f t="shared" si="70"/>
        <v>0</v>
      </c>
      <c r="C242" s="2143">
        <f t="shared" si="80"/>
        <v>0</v>
      </c>
      <c r="D242" s="2144">
        <f t="shared" si="81"/>
        <v>0</v>
      </c>
      <c r="E242" s="2145">
        <f t="shared" si="71"/>
        <v>0</v>
      </c>
      <c r="F242" s="2145">
        <f t="shared" si="93"/>
        <v>0</v>
      </c>
      <c r="G242" s="2145">
        <f t="shared" si="94"/>
        <v>0</v>
      </c>
      <c r="H242" s="2145">
        <f>IF(N241&lt;0.01,0,IF(Adm!$S$4=Adm!$S$8,0,N241*Adm!$V$4))</f>
        <v>0</v>
      </c>
      <c r="I242" s="2145">
        <f>IF(N241&lt;0.01,0,IF(Adm!$S$5=Adm!$S$8,0,Adm!$AA$11*Adm!$X$4))</f>
        <v>0</v>
      </c>
      <c r="J242" s="2145">
        <f>IF(N241&lt;0.01,0,Adm!$Q$4*1.16)</f>
        <v>0</v>
      </c>
      <c r="K242" s="2145">
        <f>IF(N241&lt;0.01,0,IF(Adm!$O$4&gt;0,E242*Adm!$O$4,0))</f>
        <v>0</v>
      </c>
      <c r="L242" s="2145">
        <f t="shared" si="72"/>
        <v>0</v>
      </c>
      <c r="M242" s="2145">
        <f>IF(Adm!$G$4="si",MIN(N241+E242+H242+I242+J242-L242,Z242),0)</f>
        <v>0</v>
      </c>
      <c r="N242" s="2145">
        <f t="shared" si="73"/>
        <v>0</v>
      </c>
      <c r="O242" s="2146"/>
      <c r="P242" s="1101"/>
      <c r="V242" s="1352">
        <f t="shared" si="74"/>
        <v>11</v>
      </c>
      <c r="W242" s="1367">
        <f>IF(V242=1,Cal!$AB$127,0)</f>
        <v>0</v>
      </c>
      <c r="Y242" s="1368">
        <f t="shared" si="82"/>
        <v>0</v>
      </c>
      <c r="Z242" s="1369">
        <f t="shared" ca="1" si="75"/>
        <v>0</v>
      </c>
      <c r="AB242" s="1375">
        <f t="shared" si="83"/>
        <v>0</v>
      </c>
      <c r="AC242" s="1373">
        <f t="shared" si="84"/>
        <v>0</v>
      </c>
      <c r="AD242" s="1373">
        <f t="shared" si="88"/>
        <v>0</v>
      </c>
      <c r="AE242" s="1373">
        <f t="shared" si="85"/>
        <v>0</v>
      </c>
      <c r="AF242" s="1371">
        <f t="shared" si="68"/>
        <v>0</v>
      </c>
      <c r="AG242" s="1359" t="e">
        <f>HLOOKUP($AG$83,anticipado,156,0)</f>
        <v>#N/A</v>
      </c>
      <c r="AI242" s="1360">
        <f t="shared" si="76"/>
        <v>0</v>
      </c>
      <c r="AJ242" s="1361">
        <f t="shared" si="89"/>
        <v>155</v>
      </c>
      <c r="AK242" s="1362">
        <f t="shared" si="77"/>
        <v>0</v>
      </c>
      <c r="AL242" s="1362">
        <f t="shared" si="90"/>
        <v>0</v>
      </c>
      <c r="AM242" s="1362">
        <f t="shared" si="86"/>
        <v>0</v>
      </c>
      <c r="AN242" s="1363">
        <f t="shared" si="78"/>
        <v>1000000</v>
      </c>
      <c r="AO242" s="1364"/>
      <c r="AP242" s="1364"/>
      <c r="AQ242" s="1361" t="str">
        <f t="shared" si="91"/>
        <v/>
      </c>
      <c r="AR242" s="1362">
        <f t="shared" si="79"/>
        <v>0</v>
      </c>
      <c r="AS242" s="1362">
        <f t="shared" si="69"/>
        <v>0</v>
      </c>
      <c r="AT242" s="1362">
        <f t="shared" si="95"/>
        <v>0</v>
      </c>
      <c r="AU242" s="1363">
        <f t="shared" si="87"/>
        <v>0</v>
      </c>
    </row>
    <row r="243" spans="1:47">
      <c r="A243" s="1118">
        <f t="shared" ca="1" si="67"/>
        <v>3</v>
      </c>
      <c r="B243" s="1351">
        <f t="shared" si="70"/>
        <v>0</v>
      </c>
      <c r="C243" s="2143">
        <f t="shared" si="80"/>
        <v>0</v>
      </c>
      <c r="D243" s="2144">
        <f t="shared" si="81"/>
        <v>0</v>
      </c>
      <c r="E243" s="2145">
        <f t="shared" si="71"/>
        <v>0</v>
      </c>
      <c r="F243" s="2145">
        <f t="shared" si="93"/>
        <v>0</v>
      </c>
      <c r="G243" s="2145">
        <f t="shared" si="94"/>
        <v>0</v>
      </c>
      <c r="H243" s="2145">
        <f>IF(N242&lt;0.01,0,IF(Adm!$S$4=Adm!$S$8,0,N242*Adm!$V$4))</f>
        <v>0</v>
      </c>
      <c r="I243" s="2145">
        <f>IF(N242&lt;0.01,0,IF(Adm!$S$5=Adm!$S$8,0,Adm!$AA$11*Adm!$X$4))</f>
        <v>0</v>
      </c>
      <c r="J243" s="2145">
        <f>IF(N242&lt;0.01,0,Adm!$Q$4*1.16)</f>
        <v>0</v>
      </c>
      <c r="K243" s="2145">
        <f>IF(N242&lt;0.01,0,IF(Adm!$O$4&gt;0,E243*Adm!$O$4,0))</f>
        <v>0</v>
      </c>
      <c r="L243" s="2145">
        <f t="shared" si="72"/>
        <v>0</v>
      </c>
      <c r="M243" s="2145">
        <f>IF(Adm!$G$4="si",MIN(N242+E243+H243+I243+J243-L243,Z243),0)</f>
        <v>0</v>
      </c>
      <c r="N243" s="2145">
        <f t="shared" si="73"/>
        <v>0</v>
      </c>
      <c r="O243" s="2146"/>
      <c r="P243" s="1101"/>
      <c r="V243" s="1352">
        <f t="shared" si="74"/>
        <v>12</v>
      </c>
      <c r="W243" s="1367">
        <f>IF(V243=1,Cal!$AB$127,0)</f>
        <v>0</v>
      </c>
      <c r="Y243" s="1368">
        <f t="shared" si="82"/>
        <v>0</v>
      </c>
      <c r="Z243" s="1369">
        <f t="shared" ca="1" si="75"/>
        <v>0</v>
      </c>
      <c r="AB243" s="1375">
        <f t="shared" si="83"/>
        <v>0</v>
      </c>
      <c r="AC243" s="1373">
        <f t="shared" si="84"/>
        <v>0</v>
      </c>
      <c r="AD243" s="1373">
        <f t="shared" si="88"/>
        <v>0</v>
      </c>
      <c r="AE243" s="1373">
        <f t="shared" si="85"/>
        <v>0</v>
      </c>
      <c r="AF243" s="1371">
        <f t="shared" si="68"/>
        <v>0</v>
      </c>
      <c r="AG243" s="1359" t="e">
        <f>HLOOKUP($AG$83,anticipado,157,0)</f>
        <v>#N/A</v>
      </c>
      <c r="AI243" s="1360">
        <f t="shared" si="76"/>
        <v>0</v>
      </c>
      <c r="AJ243" s="1361">
        <f t="shared" si="89"/>
        <v>156</v>
      </c>
      <c r="AK243" s="1362">
        <f t="shared" si="77"/>
        <v>0</v>
      </c>
      <c r="AL243" s="1362">
        <f t="shared" si="90"/>
        <v>0</v>
      </c>
      <c r="AM243" s="1362">
        <f t="shared" si="86"/>
        <v>0</v>
      </c>
      <c r="AN243" s="1363">
        <f t="shared" si="78"/>
        <v>1000000</v>
      </c>
      <c r="AO243" s="1364"/>
      <c r="AP243" s="1364"/>
      <c r="AQ243" s="1361" t="str">
        <f t="shared" si="91"/>
        <v/>
      </c>
      <c r="AR243" s="1362">
        <f t="shared" si="79"/>
        <v>0</v>
      </c>
      <c r="AS243" s="1362">
        <f t="shared" si="69"/>
        <v>0</v>
      </c>
      <c r="AT243" s="1362">
        <f t="shared" si="95"/>
        <v>0</v>
      </c>
      <c r="AU243" s="1363">
        <f t="shared" si="87"/>
        <v>0</v>
      </c>
    </row>
    <row r="244" spans="1:47">
      <c r="A244" s="1118">
        <f t="shared" ca="1" si="67"/>
        <v>4</v>
      </c>
      <c r="B244" s="1351">
        <f t="shared" si="70"/>
        <v>0</v>
      </c>
      <c r="C244" s="2143">
        <f t="shared" si="80"/>
        <v>0</v>
      </c>
      <c r="D244" s="2144">
        <f t="shared" si="81"/>
        <v>0</v>
      </c>
      <c r="E244" s="2145">
        <f t="shared" si="71"/>
        <v>0</v>
      </c>
      <c r="F244" s="2145">
        <f t="shared" si="93"/>
        <v>0</v>
      </c>
      <c r="G244" s="2145">
        <f t="shared" si="94"/>
        <v>0</v>
      </c>
      <c r="H244" s="2145">
        <f>IF(N243&lt;0.01,0,IF(Adm!$S$4=Adm!$S$8,0,N243*Adm!$V$4))</f>
        <v>0</v>
      </c>
      <c r="I244" s="2145">
        <f>IF(N243&lt;0.01,0,IF(Adm!$S$5=Adm!$S$8,0,Adm!$AA$11*Adm!$X$4))</f>
        <v>0</v>
      </c>
      <c r="J244" s="2145">
        <f>IF(N243&lt;0.01,0,Adm!$Q$4*1.16)</f>
        <v>0</v>
      </c>
      <c r="K244" s="2145">
        <f>IF(N243&lt;0.01,0,IF(Adm!$O$4&gt;0,E244*Adm!$O$4,0))</f>
        <v>0</v>
      </c>
      <c r="L244" s="2145">
        <f t="shared" si="72"/>
        <v>0</v>
      </c>
      <c r="M244" s="2145">
        <f>IF(Adm!$G$4="si",MIN(N243+E244+H244+I244+J244-L244,Z244),0)</f>
        <v>0</v>
      </c>
      <c r="N244" s="2145">
        <f t="shared" si="73"/>
        <v>0</v>
      </c>
      <c r="O244" s="2146"/>
      <c r="P244" s="1101"/>
      <c r="V244" s="1352">
        <f t="shared" si="74"/>
        <v>1</v>
      </c>
      <c r="W244" s="1367">
        <f>IF(V244=1,Cal!$AB$127,0)</f>
        <v>0</v>
      </c>
      <c r="Y244" s="1368">
        <f t="shared" si="82"/>
        <v>0</v>
      </c>
      <c r="Z244" s="1369">
        <f t="shared" ca="1" si="75"/>
        <v>0</v>
      </c>
      <c r="AB244" s="1375">
        <f t="shared" si="83"/>
        <v>0</v>
      </c>
      <c r="AC244" s="1373">
        <f t="shared" si="84"/>
        <v>0</v>
      </c>
      <c r="AD244" s="1373">
        <f t="shared" si="88"/>
        <v>0</v>
      </c>
      <c r="AE244" s="1373">
        <f t="shared" si="85"/>
        <v>0</v>
      </c>
      <c r="AF244" s="1371">
        <f t="shared" si="68"/>
        <v>0</v>
      </c>
      <c r="AG244" s="1359" t="e">
        <f>HLOOKUP($AG$83,anticipado,158,0)</f>
        <v>#N/A</v>
      </c>
      <c r="AI244" s="1360">
        <f t="shared" si="76"/>
        <v>0</v>
      </c>
      <c r="AJ244" s="1377">
        <f t="shared" si="89"/>
        <v>157</v>
      </c>
      <c r="AK244" s="1378">
        <f t="shared" si="77"/>
        <v>0</v>
      </c>
      <c r="AL244" s="1378">
        <f t="shared" si="90"/>
        <v>0</v>
      </c>
      <c r="AM244" s="1378">
        <f>MIN(AN243+AK244,AM243*(1+$AK$83))</f>
        <v>0</v>
      </c>
      <c r="AN244" s="1363">
        <f t="shared" si="78"/>
        <v>1000000</v>
      </c>
      <c r="AO244" s="1364"/>
      <c r="AP244" s="1364"/>
      <c r="AQ244" s="1379" t="str">
        <f t="shared" si="91"/>
        <v/>
      </c>
      <c r="AR244" s="1380">
        <f t="shared" si="79"/>
        <v>0</v>
      </c>
      <c r="AS244" s="1380">
        <f t="shared" si="69"/>
        <v>0</v>
      </c>
      <c r="AT244" s="1380">
        <f>MIN(AU243+AR244,AT243*(1+$AR$83))</f>
        <v>0</v>
      </c>
      <c r="AU244" s="1363">
        <f t="shared" si="87"/>
        <v>0</v>
      </c>
    </row>
    <row r="245" spans="1:47">
      <c r="A245" s="1118">
        <f t="shared" ca="1" si="67"/>
        <v>5</v>
      </c>
      <c r="B245" s="1351">
        <f t="shared" si="70"/>
        <v>0</v>
      </c>
      <c r="C245" s="2143">
        <f t="shared" si="80"/>
        <v>0</v>
      </c>
      <c r="D245" s="2144">
        <f t="shared" si="81"/>
        <v>0</v>
      </c>
      <c r="E245" s="2145">
        <f t="shared" si="71"/>
        <v>0</v>
      </c>
      <c r="F245" s="2145">
        <f t="shared" si="93"/>
        <v>0</v>
      </c>
      <c r="G245" s="2145">
        <f t="shared" si="94"/>
        <v>0</v>
      </c>
      <c r="H245" s="2145">
        <f>IF(N244&lt;0.01,0,IF(Adm!$S$4=Adm!$S$8,0,N244*Adm!$V$4))</f>
        <v>0</v>
      </c>
      <c r="I245" s="2145">
        <f>IF(N244&lt;0.01,0,IF(Adm!$S$5=Adm!$S$8,0,Adm!$AA$11*Adm!$X$4))</f>
        <v>0</v>
      </c>
      <c r="J245" s="2145">
        <f>IF(N244&lt;0.01,0,Adm!$Q$4*1.16)</f>
        <v>0</v>
      </c>
      <c r="K245" s="2145">
        <f>IF(N244&lt;0.01,0,IF(Adm!$O$4&gt;0,E245*Adm!$O$4,0))</f>
        <v>0</v>
      </c>
      <c r="L245" s="2145">
        <f t="shared" si="72"/>
        <v>0</v>
      </c>
      <c r="M245" s="2145">
        <f>IF(Adm!$G$4="si",MIN(N244+E245+H245+I245+J245-L245,Z245),0)</f>
        <v>0</v>
      </c>
      <c r="N245" s="2145">
        <f t="shared" si="73"/>
        <v>0</v>
      </c>
      <c r="O245" s="2146"/>
      <c r="P245" s="1101"/>
      <c r="V245" s="1352">
        <f t="shared" si="74"/>
        <v>2</v>
      </c>
      <c r="W245" s="1367">
        <f>IF(V245=1,Cal!$AB$127,0)</f>
        <v>0</v>
      </c>
      <c r="Y245" s="1368">
        <f t="shared" si="82"/>
        <v>0</v>
      </c>
      <c r="Z245" s="1369">
        <f t="shared" ca="1" si="75"/>
        <v>0</v>
      </c>
      <c r="AB245" s="1375">
        <f t="shared" si="83"/>
        <v>0</v>
      </c>
      <c r="AC245" s="1373">
        <f t="shared" si="84"/>
        <v>0</v>
      </c>
      <c r="AD245" s="1373">
        <f t="shared" si="88"/>
        <v>0</v>
      </c>
      <c r="AE245" s="1373">
        <f t="shared" si="85"/>
        <v>0</v>
      </c>
      <c r="AF245" s="1371">
        <f t="shared" si="68"/>
        <v>0</v>
      </c>
      <c r="AG245" s="1359" t="e">
        <f>HLOOKUP($AG$83,anticipado,159,0)</f>
        <v>#N/A</v>
      </c>
      <c r="AI245" s="1360">
        <f t="shared" si="76"/>
        <v>0</v>
      </c>
      <c r="AJ245" s="1361">
        <f t="shared" si="89"/>
        <v>158</v>
      </c>
      <c r="AK245" s="1362">
        <f t="shared" si="77"/>
        <v>0</v>
      </c>
      <c r="AL245" s="1362">
        <f t="shared" si="90"/>
        <v>0</v>
      </c>
      <c r="AM245" s="1362">
        <f t="shared" si="86"/>
        <v>0</v>
      </c>
      <c r="AN245" s="1363">
        <f t="shared" si="78"/>
        <v>1000000</v>
      </c>
      <c r="AO245" s="1364"/>
      <c r="AP245" s="1364"/>
      <c r="AQ245" s="1361" t="str">
        <f t="shared" si="91"/>
        <v/>
      </c>
      <c r="AR245" s="1362">
        <f t="shared" si="79"/>
        <v>0</v>
      </c>
      <c r="AS245" s="1362">
        <f t="shared" si="69"/>
        <v>0</v>
      </c>
      <c r="AT245" s="1362">
        <f t="shared" ref="AT245:AT255" si="96">MIN(AU244+AR245,AT244)</f>
        <v>0</v>
      </c>
      <c r="AU245" s="1363">
        <f t="shared" si="87"/>
        <v>0</v>
      </c>
    </row>
    <row r="246" spans="1:47">
      <c r="A246" s="1118">
        <f t="shared" ca="1" si="67"/>
        <v>6</v>
      </c>
      <c r="B246" s="1351">
        <f t="shared" si="70"/>
        <v>0</v>
      </c>
      <c r="C246" s="2143">
        <f t="shared" si="80"/>
        <v>0</v>
      </c>
      <c r="D246" s="2144">
        <f t="shared" si="81"/>
        <v>0</v>
      </c>
      <c r="E246" s="2145">
        <f t="shared" si="71"/>
        <v>0</v>
      </c>
      <c r="F246" s="2145">
        <f t="shared" si="93"/>
        <v>0</v>
      </c>
      <c r="G246" s="2145">
        <f t="shared" si="94"/>
        <v>0</v>
      </c>
      <c r="H246" s="2145">
        <f>IF(N245&lt;0.01,0,IF(Adm!$S$4=Adm!$S$8,0,N245*Adm!$V$4))</f>
        <v>0</v>
      </c>
      <c r="I246" s="2145">
        <f>IF(N245&lt;0.01,0,IF(Adm!$S$5=Adm!$S$8,0,Adm!$AA$11*Adm!$X$4))</f>
        <v>0</v>
      </c>
      <c r="J246" s="2145">
        <f>IF(N245&lt;0.01,0,Adm!$Q$4*1.16)</f>
        <v>0</v>
      </c>
      <c r="K246" s="2145">
        <f>IF(N245&lt;0.01,0,IF(Adm!$O$4&gt;0,E246*Adm!$O$4,0))</f>
        <v>0</v>
      </c>
      <c r="L246" s="2145">
        <f t="shared" si="72"/>
        <v>0</v>
      </c>
      <c r="M246" s="2145">
        <f>IF(Adm!$G$4="si",MIN(N245+E246+H246+I246+J246-L246,Z246),0)</f>
        <v>0</v>
      </c>
      <c r="N246" s="2145">
        <f t="shared" si="73"/>
        <v>0</v>
      </c>
      <c r="O246" s="2146"/>
      <c r="P246" s="1101"/>
      <c r="V246" s="1352">
        <f t="shared" si="74"/>
        <v>3</v>
      </c>
      <c r="W246" s="1367">
        <f>IF(V246=1,Cal!$AB$127,0)</f>
        <v>0</v>
      </c>
      <c r="Y246" s="1368">
        <f t="shared" si="82"/>
        <v>0</v>
      </c>
      <c r="Z246" s="1369">
        <f t="shared" ca="1" si="75"/>
        <v>0</v>
      </c>
      <c r="AB246" s="1375">
        <f t="shared" si="83"/>
        <v>0</v>
      </c>
      <c r="AC246" s="1373">
        <f t="shared" si="84"/>
        <v>0</v>
      </c>
      <c r="AD246" s="1373">
        <f t="shared" si="88"/>
        <v>0</v>
      </c>
      <c r="AE246" s="1373">
        <f t="shared" si="85"/>
        <v>0</v>
      </c>
      <c r="AF246" s="1371">
        <f t="shared" si="68"/>
        <v>0</v>
      </c>
      <c r="AG246" s="1359" t="e">
        <f>HLOOKUP($AG$83,anticipado,160,0)</f>
        <v>#N/A</v>
      </c>
      <c r="AI246" s="1360">
        <f t="shared" si="76"/>
        <v>0</v>
      </c>
      <c r="AJ246" s="1361">
        <f t="shared" si="89"/>
        <v>159</v>
      </c>
      <c r="AK246" s="1362">
        <f t="shared" si="77"/>
        <v>0</v>
      </c>
      <c r="AL246" s="1362">
        <f t="shared" si="90"/>
        <v>0</v>
      </c>
      <c r="AM246" s="1362">
        <f t="shared" si="86"/>
        <v>0</v>
      </c>
      <c r="AN246" s="1363">
        <f t="shared" si="78"/>
        <v>1000000</v>
      </c>
      <c r="AO246" s="1364"/>
      <c r="AP246" s="1364"/>
      <c r="AQ246" s="1361" t="str">
        <f t="shared" si="91"/>
        <v/>
      </c>
      <c r="AR246" s="1362">
        <f t="shared" si="79"/>
        <v>0</v>
      </c>
      <c r="AS246" s="1362">
        <f t="shared" si="69"/>
        <v>0</v>
      </c>
      <c r="AT246" s="1362">
        <f t="shared" si="96"/>
        <v>0</v>
      </c>
      <c r="AU246" s="1363">
        <f t="shared" si="87"/>
        <v>0</v>
      </c>
    </row>
    <row r="247" spans="1:47">
      <c r="A247" s="1118">
        <f t="shared" ca="1" si="67"/>
        <v>7</v>
      </c>
      <c r="B247" s="1351">
        <f t="shared" si="70"/>
        <v>0</v>
      </c>
      <c r="C247" s="2143">
        <f t="shared" si="80"/>
        <v>0</v>
      </c>
      <c r="D247" s="2144">
        <f t="shared" si="81"/>
        <v>0</v>
      </c>
      <c r="E247" s="2145">
        <f t="shared" si="71"/>
        <v>0</v>
      </c>
      <c r="F247" s="2145">
        <f t="shared" si="93"/>
        <v>0</v>
      </c>
      <c r="G247" s="2145">
        <f t="shared" si="94"/>
        <v>0</v>
      </c>
      <c r="H247" s="2145">
        <f>IF(N246&lt;0.01,0,IF(Adm!$S$4=Adm!$S$8,0,N246*Adm!$V$4))</f>
        <v>0</v>
      </c>
      <c r="I247" s="2145">
        <f>IF(N246&lt;0.01,0,IF(Adm!$S$5=Adm!$S$8,0,Adm!$AA$11*Adm!$X$4))</f>
        <v>0</v>
      </c>
      <c r="J247" s="2145">
        <f>IF(N246&lt;0.01,0,Adm!$Q$4*1.16)</f>
        <v>0</v>
      </c>
      <c r="K247" s="2145">
        <f>IF(N246&lt;0.01,0,IF(Adm!$O$4&gt;0,E247*Adm!$O$4,0))</f>
        <v>0</v>
      </c>
      <c r="L247" s="2145">
        <f t="shared" si="72"/>
        <v>0</v>
      </c>
      <c r="M247" s="2145">
        <f>IF(Adm!$G$4="si",MIN(N246+E247+H247+I247+J247-L247,Z247),0)</f>
        <v>0</v>
      </c>
      <c r="N247" s="2145">
        <f t="shared" si="73"/>
        <v>0</v>
      </c>
      <c r="O247" s="2146"/>
      <c r="P247" s="1101"/>
      <c r="V247" s="1352">
        <f t="shared" si="74"/>
        <v>4</v>
      </c>
      <c r="W247" s="1367">
        <f>IF(V247=1,Cal!$AB$127,0)</f>
        <v>0</v>
      </c>
      <c r="Y247" s="1368">
        <f t="shared" si="82"/>
        <v>0</v>
      </c>
      <c r="Z247" s="1369">
        <f t="shared" ca="1" si="75"/>
        <v>0</v>
      </c>
      <c r="AB247" s="1375">
        <f t="shared" si="83"/>
        <v>0</v>
      </c>
      <c r="AC247" s="1373">
        <f t="shared" si="84"/>
        <v>0</v>
      </c>
      <c r="AD247" s="1373">
        <f t="shared" si="88"/>
        <v>0</v>
      </c>
      <c r="AE247" s="1373">
        <f t="shared" si="85"/>
        <v>0</v>
      </c>
      <c r="AF247" s="1371">
        <f t="shared" si="68"/>
        <v>0</v>
      </c>
      <c r="AG247" s="1359" t="e">
        <f>HLOOKUP($AG$83,anticipado,161,0)</f>
        <v>#N/A</v>
      </c>
      <c r="AI247" s="1360">
        <f t="shared" si="76"/>
        <v>0</v>
      </c>
      <c r="AJ247" s="1361">
        <f t="shared" si="89"/>
        <v>160</v>
      </c>
      <c r="AK247" s="1362">
        <f t="shared" si="77"/>
        <v>0</v>
      </c>
      <c r="AL247" s="1362">
        <f t="shared" si="90"/>
        <v>0</v>
      </c>
      <c r="AM247" s="1362">
        <f t="shared" si="86"/>
        <v>0</v>
      </c>
      <c r="AN247" s="1363">
        <f t="shared" si="78"/>
        <v>1000000</v>
      </c>
      <c r="AO247" s="1364"/>
      <c r="AP247" s="1364"/>
      <c r="AQ247" s="1361" t="str">
        <f t="shared" si="91"/>
        <v/>
      </c>
      <c r="AR247" s="1362">
        <f t="shared" si="79"/>
        <v>0</v>
      </c>
      <c r="AS247" s="1362">
        <f t="shared" si="69"/>
        <v>0</v>
      </c>
      <c r="AT247" s="1362">
        <f t="shared" si="96"/>
        <v>0</v>
      </c>
      <c r="AU247" s="1363">
        <f t="shared" si="87"/>
        <v>0</v>
      </c>
    </row>
    <row r="248" spans="1:47">
      <c r="A248" s="1118">
        <f t="shared" ca="1" si="67"/>
        <v>8</v>
      </c>
      <c r="B248" s="1351">
        <f t="shared" si="70"/>
        <v>0</v>
      </c>
      <c r="C248" s="2143">
        <f t="shared" si="80"/>
        <v>0</v>
      </c>
      <c r="D248" s="2144">
        <f t="shared" si="81"/>
        <v>0</v>
      </c>
      <c r="E248" s="2145">
        <f t="shared" si="71"/>
        <v>0</v>
      </c>
      <c r="F248" s="2145">
        <f t="shared" si="93"/>
        <v>0</v>
      </c>
      <c r="G248" s="2145">
        <f t="shared" si="94"/>
        <v>0</v>
      </c>
      <c r="H248" s="2145">
        <f>IF(N247&lt;0.01,0,IF(Adm!$S$4=Adm!$S$8,0,N247*Adm!$V$4))</f>
        <v>0</v>
      </c>
      <c r="I248" s="2145">
        <f>IF(N247&lt;0.01,0,IF(Adm!$S$5=Adm!$S$8,0,Adm!$AA$11*Adm!$X$4))</f>
        <v>0</v>
      </c>
      <c r="J248" s="2145">
        <f>IF(N247&lt;0.01,0,Adm!$Q$4*1.16)</f>
        <v>0</v>
      </c>
      <c r="K248" s="2145">
        <f>IF(N247&lt;0.01,0,IF(Adm!$O$4&gt;0,E248*Adm!$O$4,0))</f>
        <v>0</v>
      </c>
      <c r="L248" s="2145">
        <f t="shared" si="72"/>
        <v>0</v>
      </c>
      <c r="M248" s="2145">
        <f>IF(Adm!$G$4="si",MIN(N247+E248+H248+I248+J248-L248,Z248),0)</f>
        <v>0</v>
      </c>
      <c r="N248" s="2145">
        <f t="shared" si="73"/>
        <v>0</v>
      </c>
      <c r="O248" s="2146"/>
      <c r="P248" s="1101"/>
      <c r="V248" s="1352">
        <f t="shared" si="74"/>
        <v>5</v>
      </c>
      <c r="W248" s="1367">
        <f>IF(V248=1,Cal!$AB$127,0)</f>
        <v>0</v>
      </c>
      <c r="Y248" s="1368">
        <f t="shared" si="82"/>
        <v>0</v>
      </c>
      <c r="Z248" s="1369">
        <f t="shared" ca="1" si="75"/>
        <v>0</v>
      </c>
      <c r="AB248" s="1375">
        <f t="shared" si="83"/>
        <v>0</v>
      </c>
      <c r="AC248" s="1373">
        <f t="shared" si="84"/>
        <v>0</v>
      </c>
      <c r="AD248" s="1373">
        <f t="shared" si="88"/>
        <v>0</v>
      </c>
      <c r="AE248" s="1373">
        <f t="shared" si="85"/>
        <v>0</v>
      </c>
      <c r="AF248" s="1371">
        <f t="shared" si="68"/>
        <v>0</v>
      </c>
      <c r="AG248" s="1359" t="e">
        <f>HLOOKUP($AG$83,anticipado,162,0)</f>
        <v>#N/A</v>
      </c>
      <c r="AI248" s="1360">
        <f t="shared" si="76"/>
        <v>0</v>
      </c>
      <c r="AJ248" s="1361">
        <f t="shared" si="89"/>
        <v>161</v>
      </c>
      <c r="AK248" s="1362">
        <f t="shared" si="77"/>
        <v>0</v>
      </c>
      <c r="AL248" s="1362">
        <f t="shared" si="90"/>
        <v>0</v>
      </c>
      <c r="AM248" s="1362">
        <f t="shared" si="86"/>
        <v>0</v>
      </c>
      <c r="AN248" s="1363">
        <f t="shared" si="78"/>
        <v>1000000</v>
      </c>
      <c r="AO248" s="1364"/>
      <c r="AP248" s="1364"/>
      <c r="AQ248" s="1361" t="str">
        <f t="shared" si="91"/>
        <v/>
      </c>
      <c r="AR248" s="1362">
        <f t="shared" si="79"/>
        <v>0</v>
      </c>
      <c r="AS248" s="1362">
        <f t="shared" si="69"/>
        <v>0</v>
      </c>
      <c r="AT248" s="1362">
        <f t="shared" si="96"/>
        <v>0</v>
      </c>
      <c r="AU248" s="1363">
        <f t="shared" si="87"/>
        <v>0</v>
      </c>
    </row>
    <row r="249" spans="1:47">
      <c r="A249" s="1118">
        <f t="shared" ca="1" si="67"/>
        <v>9</v>
      </c>
      <c r="B249" s="1351">
        <f t="shared" si="70"/>
        <v>0</v>
      </c>
      <c r="C249" s="2143">
        <f t="shared" si="80"/>
        <v>0</v>
      </c>
      <c r="D249" s="2144">
        <f t="shared" si="81"/>
        <v>0</v>
      </c>
      <c r="E249" s="2145">
        <f t="shared" si="71"/>
        <v>0</v>
      </c>
      <c r="F249" s="2145">
        <f t="shared" si="93"/>
        <v>0</v>
      </c>
      <c r="G249" s="2145">
        <f t="shared" si="94"/>
        <v>0</v>
      </c>
      <c r="H249" s="2145">
        <f>IF(N248&lt;0.01,0,IF(Adm!$S$4=Adm!$S$8,0,N248*Adm!$V$4))</f>
        <v>0</v>
      </c>
      <c r="I249" s="2145">
        <f>IF(N248&lt;0.01,0,IF(Adm!$S$5=Adm!$S$8,0,Adm!$AA$11*Adm!$X$4))</f>
        <v>0</v>
      </c>
      <c r="J249" s="2145">
        <f>IF(N248&lt;0.01,0,Adm!$Q$4*1.16)</f>
        <v>0</v>
      </c>
      <c r="K249" s="2145">
        <f>IF(N248&lt;0.01,0,IF(Adm!$O$4&gt;0,E249*Adm!$O$4,0))</f>
        <v>0</v>
      </c>
      <c r="L249" s="2145">
        <f t="shared" si="72"/>
        <v>0</v>
      </c>
      <c r="M249" s="2145">
        <f>IF(Adm!$G$4="si",MIN(N248+E249+H249+I249+J249-L249,Z249),0)</f>
        <v>0</v>
      </c>
      <c r="N249" s="2145">
        <f t="shared" si="73"/>
        <v>0</v>
      </c>
      <c r="O249" s="2146"/>
      <c r="P249" s="1101"/>
      <c r="V249" s="1352">
        <f t="shared" si="74"/>
        <v>6</v>
      </c>
      <c r="W249" s="1367">
        <f>IF(V249=1,Cal!$AB$127,0)</f>
        <v>0</v>
      </c>
      <c r="Y249" s="1368">
        <f t="shared" si="82"/>
        <v>0</v>
      </c>
      <c r="Z249" s="1369">
        <f t="shared" ca="1" si="75"/>
        <v>0</v>
      </c>
      <c r="AB249" s="1375">
        <f t="shared" si="83"/>
        <v>0</v>
      </c>
      <c r="AC249" s="1373">
        <f t="shared" si="84"/>
        <v>0</v>
      </c>
      <c r="AD249" s="1373">
        <f t="shared" si="88"/>
        <v>0</v>
      </c>
      <c r="AE249" s="1373">
        <f t="shared" si="85"/>
        <v>0</v>
      </c>
      <c r="AF249" s="1371">
        <f t="shared" si="68"/>
        <v>0</v>
      </c>
      <c r="AG249" s="1359" t="e">
        <f>HLOOKUP($AG$83,anticipado,163,0)</f>
        <v>#N/A</v>
      </c>
      <c r="AI249" s="1360">
        <f t="shared" si="76"/>
        <v>0</v>
      </c>
      <c r="AJ249" s="1361">
        <f t="shared" si="89"/>
        <v>162</v>
      </c>
      <c r="AK249" s="1362">
        <f t="shared" si="77"/>
        <v>0</v>
      </c>
      <c r="AL249" s="1362">
        <f t="shared" si="90"/>
        <v>0</v>
      </c>
      <c r="AM249" s="1362">
        <f t="shared" si="86"/>
        <v>0</v>
      </c>
      <c r="AN249" s="1363">
        <f t="shared" si="78"/>
        <v>1000000</v>
      </c>
      <c r="AO249" s="1364"/>
      <c r="AP249" s="1364"/>
      <c r="AQ249" s="1361" t="str">
        <f t="shared" si="91"/>
        <v/>
      </c>
      <c r="AR249" s="1362">
        <f t="shared" si="79"/>
        <v>0</v>
      </c>
      <c r="AS249" s="1362">
        <f t="shared" si="69"/>
        <v>0</v>
      </c>
      <c r="AT249" s="1362">
        <f t="shared" si="96"/>
        <v>0</v>
      </c>
      <c r="AU249" s="1363">
        <f t="shared" si="87"/>
        <v>0</v>
      </c>
    </row>
    <row r="250" spans="1:47">
      <c r="A250" s="1118">
        <f t="shared" ca="1" si="67"/>
        <v>10</v>
      </c>
      <c r="B250" s="1351">
        <f t="shared" si="70"/>
        <v>0</v>
      </c>
      <c r="C250" s="2143">
        <f t="shared" si="80"/>
        <v>0</v>
      </c>
      <c r="D250" s="2144">
        <f t="shared" si="81"/>
        <v>0</v>
      </c>
      <c r="E250" s="2145">
        <f t="shared" si="71"/>
        <v>0</v>
      </c>
      <c r="F250" s="2145">
        <f t="shared" si="93"/>
        <v>0</v>
      </c>
      <c r="G250" s="2145">
        <f t="shared" si="94"/>
        <v>0</v>
      </c>
      <c r="H250" s="2145">
        <f>IF(N249&lt;0.01,0,IF(Adm!$S$4=Adm!$S$8,0,N249*Adm!$V$4))</f>
        <v>0</v>
      </c>
      <c r="I250" s="2145">
        <f>IF(N249&lt;0.01,0,IF(Adm!$S$5=Adm!$S$8,0,Adm!$AA$11*Adm!$X$4))</f>
        <v>0</v>
      </c>
      <c r="J250" s="2145">
        <f>IF(N249&lt;0.01,0,Adm!$Q$4*1.16)</f>
        <v>0</v>
      </c>
      <c r="K250" s="2145">
        <f>IF(N249&lt;0.01,0,IF(Adm!$O$4&gt;0,E250*Adm!$O$4,0))</f>
        <v>0</v>
      </c>
      <c r="L250" s="2145">
        <f t="shared" si="72"/>
        <v>0</v>
      </c>
      <c r="M250" s="2145">
        <f>IF(Adm!$G$4="si",MIN(N249+E250+H250+I250+J250-L250,Z250),0)</f>
        <v>0</v>
      </c>
      <c r="N250" s="2145">
        <f t="shared" si="73"/>
        <v>0</v>
      </c>
      <c r="O250" s="2146"/>
      <c r="P250" s="1101"/>
      <c r="V250" s="1352">
        <f t="shared" si="74"/>
        <v>7</v>
      </c>
      <c r="W250" s="1367">
        <f>IF(V250=1,Cal!$AB$127,0)</f>
        <v>0</v>
      </c>
      <c r="Y250" s="1368">
        <f t="shared" si="82"/>
        <v>0</v>
      </c>
      <c r="Z250" s="1369">
        <f t="shared" ca="1" si="75"/>
        <v>0</v>
      </c>
      <c r="AB250" s="1375">
        <f t="shared" si="83"/>
        <v>0</v>
      </c>
      <c r="AC250" s="1373">
        <f t="shared" si="84"/>
        <v>0</v>
      </c>
      <c r="AD250" s="1373">
        <f t="shared" si="88"/>
        <v>0</v>
      </c>
      <c r="AE250" s="1373">
        <f t="shared" si="85"/>
        <v>0</v>
      </c>
      <c r="AF250" s="1371">
        <f t="shared" si="68"/>
        <v>0</v>
      </c>
      <c r="AG250" s="1359" t="e">
        <f>HLOOKUP($AG$83,anticipado,164,0)</f>
        <v>#N/A</v>
      </c>
      <c r="AI250" s="1360">
        <f t="shared" si="76"/>
        <v>0</v>
      </c>
      <c r="AJ250" s="1361">
        <f t="shared" si="89"/>
        <v>163</v>
      </c>
      <c r="AK250" s="1362">
        <f t="shared" si="77"/>
        <v>0</v>
      </c>
      <c r="AL250" s="1362">
        <f t="shared" si="90"/>
        <v>0</v>
      </c>
      <c r="AM250" s="1362">
        <f t="shared" si="86"/>
        <v>0</v>
      </c>
      <c r="AN250" s="1363">
        <f t="shared" si="78"/>
        <v>1000000</v>
      </c>
      <c r="AO250" s="1364"/>
      <c r="AP250" s="1364"/>
      <c r="AQ250" s="1361" t="str">
        <f t="shared" si="91"/>
        <v/>
      </c>
      <c r="AR250" s="1362">
        <f t="shared" si="79"/>
        <v>0</v>
      </c>
      <c r="AS250" s="1362">
        <f t="shared" si="69"/>
        <v>0</v>
      </c>
      <c r="AT250" s="1362">
        <f t="shared" si="96"/>
        <v>0</v>
      </c>
      <c r="AU250" s="1363">
        <f t="shared" si="87"/>
        <v>0</v>
      </c>
    </row>
    <row r="251" spans="1:47">
      <c r="A251" s="1118">
        <f t="shared" ca="1" si="67"/>
        <v>11</v>
      </c>
      <c r="B251" s="1351">
        <f t="shared" si="70"/>
        <v>0</v>
      </c>
      <c r="C251" s="2143">
        <f t="shared" si="80"/>
        <v>0</v>
      </c>
      <c r="D251" s="2144">
        <f t="shared" si="81"/>
        <v>0</v>
      </c>
      <c r="E251" s="2145">
        <f t="shared" si="71"/>
        <v>0</v>
      </c>
      <c r="F251" s="2145">
        <f t="shared" si="93"/>
        <v>0</v>
      </c>
      <c r="G251" s="2145">
        <f t="shared" si="94"/>
        <v>0</v>
      </c>
      <c r="H251" s="2145">
        <f>IF(N250&lt;0.01,0,IF(Adm!$S$4=Adm!$S$8,0,N250*Adm!$V$4))</f>
        <v>0</v>
      </c>
      <c r="I251" s="2145">
        <f>IF(N250&lt;0.01,0,IF(Adm!$S$5=Adm!$S$8,0,Adm!$AA$11*Adm!$X$4))</f>
        <v>0</v>
      </c>
      <c r="J251" s="2145">
        <f>IF(N250&lt;0.01,0,Adm!$Q$4*1.16)</f>
        <v>0</v>
      </c>
      <c r="K251" s="2145">
        <f>IF(N250&lt;0.01,0,IF(Adm!$O$4&gt;0,E251*Adm!$O$4,0))</f>
        <v>0</v>
      </c>
      <c r="L251" s="2145">
        <f t="shared" si="72"/>
        <v>0</v>
      </c>
      <c r="M251" s="2145">
        <f>IF(Adm!$G$4="si",MIN(N250+E251+H251+I251+J251-L251,Z251),0)</f>
        <v>0</v>
      </c>
      <c r="N251" s="2145">
        <f t="shared" si="73"/>
        <v>0</v>
      </c>
      <c r="O251" s="2146"/>
      <c r="P251" s="1101"/>
      <c r="V251" s="1352">
        <f t="shared" si="74"/>
        <v>8</v>
      </c>
      <c r="W251" s="1367">
        <f>IF(V251=1,Cal!$AB$127,0)</f>
        <v>0</v>
      </c>
      <c r="Y251" s="1368">
        <f t="shared" si="82"/>
        <v>0</v>
      </c>
      <c r="Z251" s="1369">
        <f t="shared" ca="1" si="75"/>
        <v>0</v>
      </c>
      <c r="AB251" s="1375">
        <f t="shared" si="83"/>
        <v>0</v>
      </c>
      <c r="AC251" s="1373">
        <f t="shared" si="84"/>
        <v>0</v>
      </c>
      <c r="AD251" s="1373">
        <f t="shared" si="88"/>
        <v>0</v>
      </c>
      <c r="AE251" s="1373">
        <f t="shared" si="85"/>
        <v>0</v>
      </c>
      <c r="AF251" s="1371">
        <f t="shared" si="68"/>
        <v>0</v>
      </c>
      <c r="AG251" s="1359" t="e">
        <f>HLOOKUP($AG$83,anticipado,165,0)</f>
        <v>#N/A</v>
      </c>
      <c r="AI251" s="1360">
        <f t="shared" si="76"/>
        <v>0</v>
      </c>
      <c r="AJ251" s="1361">
        <f t="shared" si="89"/>
        <v>164</v>
      </c>
      <c r="AK251" s="1362">
        <f t="shared" si="77"/>
        <v>0</v>
      </c>
      <c r="AL251" s="1362">
        <f t="shared" si="90"/>
        <v>0</v>
      </c>
      <c r="AM251" s="1362">
        <f t="shared" si="86"/>
        <v>0</v>
      </c>
      <c r="AN251" s="1363">
        <f t="shared" si="78"/>
        <v>1000000</v>
      </c>
      <c r="AO251" s="1364"/>
      <c r="AP251" s="1364"/>
      <c r="AQ251" s="1361" t="str">
        <f t="shared" si="91"/>
        <v/>
      </c>
      <c r="AR251" s="1362">
        <f t="shared" si="79"/>
        <v>0</v>
      </c>
      <c r="AS251" s="1362">
        <f t="shared" si="69"/>
        <v>0</v>
      </c>
      <c r="AT251" s="1362">
        <f t="shared" si="96"/>
        <v>0</v>
      </c>
      <c r="AU251" s="1363">
        <f t="shared" si="87"/>
        <v>0</v>
      </c>
    </row>
    <row r="252" spans="1:47">
      <c r="A252" s="1118">
        <f t="shared" ca="1" si="67"/>
        <v>12</v>
      </c>
      <c r="B252" s="1351">
        <f t="shared" si="70"/>
        <v>0</v>
      </c>
      <c r="C252" s="2143">
        <f t="shared" si="80"/>
        <v>0</v>
      </c>
      <c r="D252" s="2144">
        <f t="shared" si="81"/>
        <v>0</v>
      </c>
      <c r="E252" s="2145">
        <f t="shared" si="71"/>
        <v>0</v>
      </c>
      <c r="F252" s="2145">
        <f t="shared" si="93"/>
        <v>0</v>
      </c>
      <c r="G252" s="2145">
        <f t="shared" si="94"/>
        <v>0</v>
      </c>
      <c r="H252" s="2145">
        <f>IF(N251&lt;0.01,0,IF(Adm!$S$4=Adm!$S$8,0,N251*Adm!$V$4))</f>
        <v>0</v>
      </c>
      <c r="I252" s="2145">
        <f>IF(N251&lt;0.01,0,IF(Adm!$S$5=Adm!$S$8,0,Adm!$AA$11*Adm!$X$4))</f>
        <v>0</v>
      </c>
      <c r="J252" s="2145">
        <f>IF(N251&lt;0.01,0,Adm!$Q$4*1.16)</f>
        <v>0</v>
      </c>
      <c r="K252" s="2145">
        <f>IF(N251&lt;0.01,0,IF(Adm!$O$4&gt;0,E252*Adm!$O$4,0))</f>
        <v>0</v>
      </c>
      <c r="L252" s="2145">
        <f t="shared" si="72"/>
        <v>0</v>
      </c>
      <c r="M252" s="2145">
        <f>IF(Adm!$G$4="si",MIN(N251+E252+H252+I252+J252-L252,Z252),0)</f>
        <v>0</v>
      </c>
      <c r="N252" s="2145">
        <f t="shared" si="73"/>
        <v>0</v>
      </c>
      <c r="O252" s="2146"/>
      <c r="P252" s="1101"/>
      <c r="V252" s="1352">
        <f t="shared" si="74"/>
        <v>9</v>
      </c>
      <c r="W252" s="1367">
        <f>IF(V252=1,Cal!$AB$127,0)</f>
        <v>0</v>
      </c>
      <c r="Y252" s="1368">
        <f t="shared" si="82"/>
        <v>0</v>
      </c>
      <c r="Z252" s="1369">
        <f t="shared" ca="1" si="75"/>
        <v>0</v>
      </c>
      <c r="AB252" s="1375">
        <f t="shared" si="83"/>
        <v>0</v>
      </c>
      <c r="AC252" s="1373">
        <f t="shared" si="84"/>
        <v>0</v>
      </c>
      <c r="AD252" s="1373">
        <f t="shared" si="88"/>
        <v>0</v>
      </c>
      <c r="AE252" s="1373">
        <f t="shared" si="85"/>
        <v>0</v>
      </c>
      <c r="AF252" s="1371">
        <f t="shared" si="68"/>
        <v>0</v>
      </c>
      <c r="AG252" s="1359" t="e">
        <f>HLOOKUP($AG$83,anticipado,166,0)</f>
        <v>#N/A</v>
      </c>
      <c r="AI252" s="1360">
        <f t="shared" si="76"/>
        <v>0</v>
      </c>
      <c r="AJ252" s="1361">
        <f t="shared" si="89"/>
        <v>165</v>
      </c>
      <c r="AK252" s="1362">
        <f t="shared" si="77"/>
        <v>0</v>
      </c>
      <c r="AL252" s="1362">
        <f t="shared" si="90"/>
        <v>0</v>
      </c>
      <c r="AM252" s="1362">
        <f t="shared" si="86"/>
        <v>0</v>
      </c>
      <c r="AN252" s="1363">
        <f t="shared" si="78"/>
        <v>1000000</v>
      </c>
      <c r="AO252" s="1364"/>
      <c r="AP252" s="1364"/>
      <c r="AQ252" s="1361" t="str">
        <f t="shared" si="91"/>
        <v/>
      </c>
      <c r="AR252" s="1362">
        <f t="shared" si="79"/>
        <v>0</v>
      </c>
      <c r="AS252" s="1362">
        <f t="shared" si="69"/>
        <v>0</v>
      </c>
      <c r="AT252" s="1362">
        <f t="shared" si="96"/>
        <v>0</v>
      </c>
      <c r="AU252" s="1363">
        <f t="shared" si="87"/>
        <v>0</v>
      </c>
    </row>
    <row r="253" spans="1:47">
      <c r="A253" s="1118">
        <f t="shared" ca="1" si="67"/>
        <v>1</v>
      </c>
      <c r="B253" s="1351">
        <f t="shared" si="70"/>
        <v>0</v>
      </c>
      <c r="C253" s="2143">
        <f t="shared" si="80"/>
        <v>0</v>
      </c>
      <c r="D253" s="2144">
        <f t="shared" si="81"/>
        <v>0</v>
      </c>
      <c r="E253" s="2145">
        <f t="shared" si="71"/>
        <v>0</v>
      </c>
      <c r="F253" s="2145">
        <f t="shared" si="93"/>
        <v>0</v>
      </c>
      <c r="G253" s="2145">
        <f t="shared" si="94"/>
        <v>0</v>
      </c>
      <c r="H253" s="2145">
        <f>IF(N252&lt;0.01,0,IF(Adm!$S$4=Adm!$S$8,0,N252*Adm!$V$4))</f>
        <v>0</v>
      </c>
      <c r="I253" s="2145">
        <f>IF(N252&lt;0.01,0,IF(Adm!$S$5=Adm!$S$8,0,Adm!$AA$11*Adm!$X$4))</f>
        <v>0</v>
      </c>
      <c r="J253" s="2145">
        <f>IF(N252&lt;0.01,0,Adm!$Q$4*1.16)</f>
        <v>0</v>
      </c>
      <c r="K253" s="2145">
        <f>IF(N252&lt;0.01,0,IF(Adm!$O$4&gt;0,E253*Adm!$O$4,0))</f>
        <v>0</v>
      </c>
      <c r="L253" s="2145">
        <f t="shared" si="72"/>
        <v>0</v>
      </c>
      <c r="M253" s="2145">
        <f>IF(Adm!$G$4="si",MIN(N252+E253+H253+I253+J253-L253,Z253),0)</f>
        <v>0</v>
      </c>
      <c r="N253" s="2145">
        <f t="shared" si="73"/>
        <v>0</v>
      </c>
      <c r="O253" s="2146"/>
      <c r="P253" s="1101"/>
      <c r="V253" s="1352">
        <f t="shared" si="74"/>
        <v>10</v>
      </c>
      <c r="W253" s="1367">
        <f>IF(V253=1,Cal!$AB$127,0)</f>
        <v>0</v>
      </c>
      <c r="Y253" s="1368">
        <f t="shared" si="82"/>
        <v>0</v>
      </c>
      <c r="Z253" s="1369">
        <f t="shared" ca="1" si="75"/>
        <v>0</v>
      </c>
      <c r="AB253" s="1375">
        <f t="shared" si="83"/>
        <v>0</v>
      </c>
      <c r="AC253" s="1373">
        <f t="shared" si="84"/>
        <v>0</v>
      </c>
      <c r="AD253" s="1373">
        <f t="shared" si="88"/>
        <v>0</v>
      </c>
      <c r="AE253" s="1373">
        <f t="shared" si="85"/>
        <v>0</v>
      </c>
      <c r="AF253" s="1371">
        <f t="shared" si="68"/>
        <v>0</v>
      </c>
      <c r="AG253" s="1359" t="e">
        <f>HLOOKUP($AG$83,anticipado,167,0)</f>
        <v>#N/A</v>
      </c>
      <c r="AI253" s="1360">
        <f t="shared" si="76"/>
        <v>0</v>
      </c>
      <c r="AJ253" s="1361">
        <f t="shared" si="89"/>
        <v>166</v>
      </c>
      <c r="AK253" s="1362">
        <f t="shared" si="77"/>
        <v>0</v>
      </c>
      <c r="AL253" s="1362">
        <f t="shared" si="90"/>
        <v>0</v>
      </c>
      <c r="AM253" s="1362">
        <f t="shared" si="86"/>
        <v>0</v>
      </c>
      <c r="AN253" s="1363">
        <f t="shared" si="78"/>
        <v>1000000</v>
      </c>
      <c r="AO253" s="1364"/>
      <c r="AP253" s="1364"/>
      <c r="AQ253" s="1361" t="str">
        <f t="shared" si="91"/>
        <v/>
      </c>
      <c r="AR253" s="1362">
        <f t="shared" si="79"/>
        <v>0</v>
      </c>
      <c r="AS253" s="1362">
        <f t="shared" si="69"/>
        <v>0</v>
      </c>
      <c r="AT253" s="1362">
        <f t="shared" si="96"/>
        <v>0</v>
      </c>
      <c r="AU253" s="1363">
        <f t="shared" si="87"/>
        <v>0</v>
      </c>
    </row>
    <row r="254" spans="1:47">
      <c r="A254" s="1118">
        <f t="shared" ca="1" si="67"/>
        <v>2</v>
      </c>
      <c r="B254" s="1351">
        <f t="shared" si="70"/>
        <v>0</v>
      </c>
      <c r="C254" s="2143">
        <f t="shared" si="80"/>
        <v>0</v>
      </c>
      <c r="D254" s="2144">
        <f t="shared" si="81"/>
        <v>0</v>
      </c>
      <c r="E254" s="2145">
        <f t="shared" si="71"/>
        <v>0</v>
      </c>
      <c r="F254" s="2145">
        <f t="shared" si="93"/>
        <v>0</v>
      </c>
      <c r="G254" s="2145">
        <f t="shared" si="94"/>
        <v>0</v>
      </c>
      <c r="H254" s="2145">
        <f>IF(N253&lt;0.01,0,IF(Adm!$S$4=Adm!$S$8,0,N253*Adm!$V$4))</f>
        <v>0</v>
      </c>
      <c r="I254" s="2145">
        <f>IF(N253&lt;0.01,0,IF(Adm!$S$5=Adm!$S$8,0,Adm!$AA$11*Adm!$X$4))</f>
        <v>0</v>
      </c>
      <c r="J254" s="2145">
        <f>IF(N253&lt;0.01,0,Adm!$Q$4*1.16)</f>
        <v>0</v>
      </c>
      <c r="K254" s="2145">
        <f>IF(N253&lt;0.01,0,IF(Adm!$O$4&gt;0,E254*Adm!$O$4,0))</f>
        <v>0</v>
      </c>
      <c r="L254" s="2145">
        <f t="shared" si="72"/>
        <v>0</v>
      </c>
      <c r="M254" s="2145">
        <f>IF(Adm!$G$4="si",MIN(N253+E254+H254+I254+J254-L254,Z254),0)</f>
        <v>0</v>
      </c>
      <c r="N254" s="2145">
        <f t="shared" si="73"/>
        <v>0</v>
      </c>
      <c r="O254" s="2146"/>
      <c r="P254" s="1101"/>
      <c r="V254" s="1352">
        <f t="shared" si="74"/>
        <v>11</v>
      </c>
      <c r="W254" s="1367">
        <f>IF(V254=1,Cal!$AB$127,0)</f>
        <v>0</v>
      </c>
      <c r="Y254" s="1368">
        <f t="shared" si="82"/>
        <v>0</v>
      </c>
      <c r="Z254" s="1369">
        <f t="shared" ca="1" si="75"/>
        <v>0</v>
      </c>
      <c r="AB254" s="1375">
        <f t="shared" si="83"/>
        <v>0</v>
      </c>
      <c r="AC254" s="1373">
        <f t="shared" si="84"/>
        <v>0</v>
      </c>
      <c r="AD254" s="1373">
        <f t="shared" si="88"/>
        <v>0</v>
      </c>
      <c r="AE254" s="1373">
        <f t="shared" si="85"/>
        <v>0</v>
      </c>
      <c r="AF254" s="1371">
        <f t="shared" si="68"/>
        <v>0</v>
      </c>
      <c r="AG254" s="1359" t="e">
        <f>HLOOKUP($AG$83,anticipado,168,0)</f>
        <v>#N/A</v>
      </c>
      <c r="AI254" s="1360">
        <f t="shared" si="76"/>
        <v>0</v>
      </c>
      <c r="AJ254" s="1361">
        <f t="shared" si="89"/>
        <v>167</v>
      </c>
      <c r="AK254" s="1362">
        <f t="shared" si="77"/>
        <v>0</v>
      </c>
      <c r="AL254" s="1362">
        <f t="shared" si="90"/>
        <v>0</v>
      </c>
      <c r="AM254" s="1362">
        <f t="shared" si="86"/>
        <v>0</v>
      </c>
      <c r="AN254" s="1363">
        <f t="shared" si="78"/>
        <v>1000000</v>
      </c>
      <c r="AO254" s="1364"/>
      <c r="AP254" s="1364"/>
      <c r="AQ254" s="1361" t="str">
        <f t="shared" si="91"/>
        <v/>
      </c>
      <c r="AR254" s="1362">
        <f t="shared" si="79"/>
        <v>0</v>
      </c>
      <c r="AS254" s="1362">
        <f t="shared" si="69"/>
        <v>0</v>
      </c>
      <c r="AT254" s="1362">
        <f t="shared" si="96"/>
        <v>0</v>
      </c>
      <c r="AU254" s="1363">
        <f t="shared" si="87"/>
        <v>0</v>
      </c>
    </row>
    <row r="255" spans="1:47">
      <c r="A255" s="1118">
        <f t="shared" ca="1" si="67"/>
        <v>3</v>
      </c>
      <c r="B255" s="1351">
        <f t="shared" si="70"/>
        <v>0</v>
      </c>
      <c r="C255" s="2143">
        <f t="shared" si="80"/>
        <v>0</v>
      </c>
      <c r="D255" s="2144">
        <f t="shared" si="81"/>
        <v>0</v>
      </c>
      <c r="E255" s="2145">
        <f t="shared" si="71"/>
        <v>0</v>
      </c>
      <c r="F255" s="2145">
        <f t="shared" si="93"/>
        <v>0</v>
      </c>
      <c r="G255" s="2145">
        <f t="shared" si="94"/>
        <v>0</v>
      </c>
      <c r="H255" s="2145">
        <f>IF(N254&lt;0.01,0,IF(Adm!$S$4=Adm!$S$8,0,N254*Adm!$V$4))</f>
        <v>0</v>
      </c>
      <c r="I255" s="2145">
        <f>IF(N254&lt;0.01,0,IF(Adm!$S$5=Adm!$S$8,0,Adm!$AA$11*Adm!$X$4))</f>
        <v>0</v>
      </c>
      <c r="J255" s="2145">
        <f>IF(N254&lt;0.01,0,Adm!$Q$4*1.16)</f>
        <v>0</v>
      </c>
      <c r="K255" s="2145">
        <f>IF(N254&lt;0.01,0,IF(Adm!$O$4&gt;0,E255*Adm!$O$4,0))</f>
        <v>0</v>
      </c>
      <c r="L255" s="2145">
        <f t="shared" si="72"/>
        <v>0</v>
      </c>
      <c r="M255" s="2145">
        <f>IF(Adm!$G$4="si",MIN(N254+E255+H255+I255+J255-L255,Z255),0)</f>
        <v>0</v>
      </c>
      <c r="N255" s="2145">
        <f t="shared" si="73"/>
        <v>0</v>
      </c>
      <c r="O255" s="2146"/>
      <c r="P255" s="1101"/>
      <c r="V255" s="1352">
        <f t="shared" si="74"/>
        <v>12</v>
      </c>
      <c r="W255" s="1367">
        <f>IF(V255=1,Cal!$AB$127,0)</f>
        <v>0</v>
      </c>
      <c r="Y255" s="1368">
        <f t="shared" si="82"/>
        <v>0</v>
      </c>
      <c r="Z255" s="1369">
        <f t="shared" ca="1" si="75"/>
        <v>0</v>
      </c>
      <c r="AB255" s="1375">
        <f t="shared" si="83"/>
        <v>0</v>
      </c>
      <c r="AC255" s="1373">
        <f t="shared" si="84"/>
        <v>0</v>
      </c>
      <c r="AD255" s="1373">
        <f t="shared" si="88"/>
        <v>0</v>
      </c>
      <c r="AE255" s="1373">
        <f t="shared" si="85"/>
        <v>0</v>
      </c>
      <c r="AF255" s="1371">
        <f t="shared" si="68"/>
        <v>0</v>
      </c>
      <c r="AG255" s="1359" t="e">
        <f>HLOOKUP($AG$83,anticipado,169,0)</f>
        <v>#N/A</v>
      </c>
      <c r="AI255" s="1360">
        <f t="shared" si="76"/>
        <v>0</v>
      </c>
      <c r="AJ255" s="1361">
        <f t="shared" si="89"/>
        <v>168</v>
      </c>
      <c r="AK255" s="1362">
        <f t="shared" si="77"/>
        <v>0</v>
      </c>
      <c r="AL255" s="1362">
        <f t="shared" si="90"/>
        <v>0</v>
      </c>
      <c r="AM255" s="1362">
        <f t="shared" si="86"/>
        <v>0</v>
      </c>
      <c r="AN255" s="1363">
        <f t="shared" si="78"/>
        <v>1000000</v>
      </c>
      <c r="AO255" s="1364"/>
      <c r="AP255" s="1364"/>
      <c r="AQ255" s="1361" t="str">
        <f t="shared" si="91"/>
        <v/>
      </c>
      <c r="AR255" s="1362">
        <f t="shared" si="79"/>
        <v>0</v>
      </c>
      <c r="AS255" s="1362">
        <f t="shared" si="69"/>
        <v>0</v>
      </c>
      <c r="AT255" s="1362">
        <f t="shared" si="96"/>
        <v>0</v>
      </c>
      <c r="AU255" s="1363">
        <f t="shared" si="87"/>
        <v>0</v>
      </c>
    </row>
    <row r="256" spans="1:47">
      <c r="A256" s="1118">
        <f t="shared" ca="1" si="67"/>
        <v>4</v>
      </c>
      <c r="B256" s="1351">
        <f t="shared" si="70"/>
        <v>0</v>
      </c>
      <c r="C256" s="2143">
        <f t="shared" si="80"/>
        <v>0</v>
      </c>
      <c r="D256" s="2144">
        <f t="shared" si="81"/>
        <v>0</v>
      </c>
      <c r="E256" s="2145">
        <f t="shared" si="71"/>
        <v>0</v>
      </c>
      <c r="F256" s="2145">
        <f t="shared" si="93"/>
        <v>0</v>
      </c>
      <c r="G256" s="2145">
        <f t="shared" si="94"/>
        <v>0</v>
      </c>
      <c r="H256" s="2145">
        <f>IF(N255&lt;0.01,0,IF(Adm!$S$4=Adm!$S$8,0,N255*Adm!$V$4))</f>
        <v>0</v>
      </c>
      <c r="I256" s="2145">
        <f>IF(N255&lt;0.01,0,IF(Adm!$S$5=Adm!$S$8,0,Adm!$AA$11*Adm!$X$4))</f>
        <v>0</v>
      </c>
      <c r="J256" s="2145">
        <f>IF(N255&lt;0.01,0,Adm!$Q$4*1.16)</f>
        <v>0</v>
      </c>
      <c r="K256" s="2145">
        <f>IF(N255&lt;0.01,0,IF(Adm!$O$4&gt;0,E256*Adm!$O$4,0))</f>
        <v>0</v>
      </c>
      <c r="L256" s="2145">
        <f t="shared" si="72"/>
        <v>0</v>
      </c>
      <c r="M256" s="2145">
        <f>IF(Adm!$G$4="si",MIN(N255+E256+H256+I256+J256-L256,Z256),0)</f>
        <v>0</v>
      </c>
      <c r="N256" s="2145">
        <f t="shared" si="73"/>
        <v>0</v>
      </c>
      <c r="O256" s="2146"/>
      <c r="P256" s="1101"/>
      <c r="V256" s="1352">
        <f t="shared" si="74"/>
        <v>1</v>
      </c>
      <c r="W256" s="1367">
        <f>IF(V256=1,Cal!$AB$127,0)</f>
        <v>0</v>
      </c>
      <c r="Y256" s="1368">
        <f t="shared" si="82"/>
        <v>0</v>
      </c>
      <c r="Z256" s="1369">
        <f t="shared" ca="1" si="75"/>
        <v>0</v>
      </c>
      <c r="AB256" s="1375">
        <f t="shared" si="83"/>
        <v>0</v>
      </c>
      <c r="AC256" s="1373">
        <f t="shared" si="84"/>
        <v>0</v>
      </c>
      <c r="AD256" s="1373">
        <f t="shared" si="88"/>
        <v>0</v>
      </c>
      <c r="AE256" s="1373">
        <f t="shared" si="85"/>
        <v>0</v>
      </c>
      <c r="AF256" s="1371">
        <f t="shared" si="68"/>
        <v>0</v>
      </c>
      <c r="AG256" s="1359" t="e">
        <f>HLOOKUP($AG$83,anticipado,170,0)</f>
        <v>#N/A</v>
      </c>
      <c r="AI256" s="1360">
        <f t="shared" si="76"/>
        <v>0</v>
      </c>
      <c r="AJ256" s="1377">
        <f t="shared" si="89"/>
        <v>169</v>
      </c>
      <c r="AK256" s="1378">
        <f t="shared" si="77"/>
        <v>0</v>
      </c>
      <c r="AL256" s="1378">
        <f t="shared" si="90"/>
        <v>0</v>
      </c>
      <c r="AM256" s="1378">
        <f>MIN(AN255+AK256,AM255*(1+$AK$83))</f>
        <v>0</v>
      </c>
      <c r="AN256" s="1363">
        <f t="shared" si="78"/>
        <v>1000000</v>
      </c>
      <c r="AO256" s="1364"/>
      <c r="AP256" s="1364"/>
      <c r="AQ256" s="1379" t="str">
        <f t="shared" si="91"/>
        <v/>
      </c>
      <c r="AR256" s="1380">
        <f t="shared" si="79"/>
        <v>0</v>
      </c>
      <c r="AS256" s="1380">
        <f t="shared" si="69"/>
        <v>0</v>
      </c>
      <c r="AT256" s="1380">
        <f>MIN(AU255+AR256,AT255*(1+$AR$83))</f>
        <v>0</v>
      </c>
      <c r="AU256" s="1363">
        <f t="shared" si="87"/>
        <v>0</v>
      </c>
    </row>
    <row r="257" spans="1:47">
      <c r="A257" s="1118">
        <f t="shared" ca="1" si="67"/>
        <v>5</v>
      </c>
      <c r="B257" s="1351">
        <f t="shared" si="70"/>
        <v>0</v>
      </c>
      <c r="C257" s="2143">
        <f t="shared" si="80"/>
        <v>0</v>
      </c>
      <c r="D257" s="2144">
        <f t="shared" si="81"/>
        <v>0</v>
      </c>
      <c r="E257" s="2145">
        <f t="shared" si="71"/>
        <v>0</v>
      </c>
      <c r="F257" s="2145">
        <f t="shared" si="93"/>
        <v>0</v>
      </c>
      <c r="G257" s="2145">
        <f t="shared" si="94"/>
        <v>0</v>
      </c>
      <c r="H257" s="2145">
        <f>IF(N256&lt;0.01,0,IF(Adm!$S$4=Adm!$S$8,0,N256*Adm!$V$4))</f>
        <v>0</v>
      </c>
      <c r="I257" s="2145">
        <f>IF(N256&lt;0.01,0,IF(Adm!$S$5=Adm!$S$8,0,Adm!$AA$11*Adm!$X$4))</f>
        <v>0</v>
      </c>
      <c r="J257" s="2145">
        <f>IF(N256&lt;0.01,0,Adm!$Q$4*1.16)</f>
        <v>0</v>
      </c>
      <c r="K257" s="2145">
        <f>IF(N256&lt;0.01,0,IF(Adm!$O$4&gt;0,E257*Adm!$O$4,0))</f>
        <v>0</v>
      </c>
      <c r="L257" s="2145">
        <f t="shared" si="72"/>
        <v>0</v>
      </c>
      <c r="M257" s="2145">
        <f>IF(Adm!$G$4="si",MIN(N256+E257+H257+I257+J257-L257,Z257),0)</f>
        <v>0</v>
      </c>
      <c r="N257" s="2145">
        <f t="shared" si="73"/>
        <v>0</v>
      </c>
      <c r="O257" s="2146"/>
      <c r="P257" s="1101"/>
      <c r="V257" s="1352">
        <f t="shared" si="74"/>
        <v>2</v>
      </c>
      <c r="W257" s="1367">
        <f>IF(V257=1,Cal!$AB$127,0)</f>
        <v>0</v>
      </c>
      <c r="Y257" s="1368">
        <f t="shared" si="82"/>
        <v>0</v>
      </c>
      <c r="Z257" s="1369">
        <f t="shared" ca="1" si="75"/>
        <v>0</v>
      </c>
      <c r="AB257" s="1375">
        <f t="shared" si="83"/>
        <v>0</v>
      </c>
      <c r="AC257" s="1373">
        <f t="shared" si="84"/>
        <v>0</v>
      </c>
      <c r="AD257" s="1373">
        <f t="shared" si="88"/>
        <v>0</v>
      </c>
      <c r="AE257" s="1373">
        <f t="shared" si="85"/>
        <v>0</v>
      </c>
      <c r="AF257" s="1371">
        <f t="shared" si="68"/>
        <v>0</v>
      </c>
      <c r="AG257" s="1359" t="e">
        <f>HLOOKUP($AG$83,anticipado,171,0)</f>
        <v>#N/A</v>
      </c>
      <c r="AI257" s="1360">
        <f t="shared" si="76"/>
        <v>0</v>
      </c>
      <c r="AJ257" s="1361">
        <f t="shared" si="89"/>
        <v>170</v>
      </c>
      <c r="AK257" s="1362">
        <f t="shared" si="77"/>
        <v>0</v>
      </c>
      <c r="AL257" s="1362">
        <f t="shared" si="90"/>
        <v>0</v>
      </c>
      <c r="AM257" s="1362">
        <f t="shared" si="86"/>
        <v>0</v>
      </c>
      <c r="AN257" s="1363">
        <f t="shared" si="78"/>
        <v>1000000</v>
      </c>
      <c r="AO257" s="1364"/>
      <c r="AP257" s="1364"/>
      <c r="AQ257" s="1361" t="str">
        <f t="shared" si="91"/>
        <v/>
      </c>
      <c r="AR257" s="1362">
        <f t="shared" si="79"/>
        <v>0</v>
      </c>
      <c r="AS257" s="1362">
        <f t="shared" si="69"/>
        <v>0</v>
      </c>
      <c r="AT257" s="1362">
        <f t="shared" ref="AT257:AT267" si="97">MIN(AU256+AR257,AT256)</f>
        <v>0</v>
      </c>
      <c r="AU257" s="1363">
        <f t="shared" si="87"/>
        <v>0</v>
      </c>
    </row>
    <row r="258" spans="1:47">
      <c r="A258" s="1118">
        <f t="shared" ca="1" si="67"/>
        <v>6</v>
      </c>
      <c r="B258" s="1351">
        <f t="shared" si="70"/>
        <v>0</v>
      </c>
      <c r="C258" s="2143">
        <f t="shared" si="80"/>
        <v>0</v>
      </c>
      <c r="D258" s="2144">
        <f t="shared" si="81"/>
        <v>0</v>
      </c>
      <c r="E258" s="2145">
        <f t="shared" si="71"/>
        <v>0</v>
      </c>
      <c r="F258" s="2145">
        <f t="shared" si="93"/>
        <v>0</v>
      </c>
      <c r="G258" s="2145">
        <f t="shared" si="94"/>
        <v>0</v>
      </c>
      <c r="H258" s="2145">
        <f>IF(N257&lt;0.01,0,IF(Adm!$S$4=Adm!$S$8,0,N257*Adm!$V$4))</f>
        <v>0</v>
      </c>
      <c r="I258" s="2145">
        <f>IF(N257&lt;0.01,0,IF(Adm!$S$5=Adm!$S$8,0,Adm!$AA$11*Adm!$X$4))</f>
        <v>0</v>
      </c>
      <c r="J258" s="2145">
        <f>IF(N257&lt;0.01,0,Adm!$Q$4*1.16)</f>
        <v>0</v>
      </c>
      <c r="K258" s="2145">
        <f>IF(N257&lt;0.01,0,IF(Adm!$O$4&gt;0,E258*Adm!$O$4,0))</f>
        <v>0</v>
      </c>
      <c r="L258" s="2145">
        <f t="shared" si="72"/>
        <v>0</v>
      </c>
      <c r="M258" s="2145">
        <f>IF(Adm!$G$4="si",MIN(N257+E258+H258+I258+J258-L258,Z258),0)</f>
        <v>0</v>
      </c>
      <c r="N258" s="2145">
        <f t="shared" si="73"/>
        <v>0</v>
      </c>
      <c r="O258" s="2146"/>
      <c r="P258" s="1101"/>
      <c r="V258" s="1352">
        <f t="shared" si="74"/>
        <v>3</v>
      </c>
      <c r="W258" s="1367">
        <f>IF(V258=1,Cal!$AB$127,0)</f>
        <v>0</v>
      </c>
      <c r="Y258" s="1368">
        <f t="shared" si="82"/>
        <v>0</v>
      </c>
      <c r="Z258" s="1369">
        <f t="shared" ca="1" si="75"/>
        <v>0</v>
      </c>
      <c r="AB258" s="1375">
        <f t="shared" si="83"/>
        <v>0</v>
      </c>
      <c r="AC258" s="1373">
        <f t="shared" si="84"/>
        <v>0</v>
      </c>
      <c r="AD258" s="1373">
        <f t="shared" si="88"/>
        <v>0</v>
      </c>
      <c r="AE258" s="1373">
        <f t="shared" si="85"/>
        <v>0</v>
      </c>
      <c r="AF258" s="1371">
        <f t="shared" si="68"/>
        <v>0</v>
      </c>
      <c r="AG258" s="1359" t="e">
        <f>HLOOKUP($AG$83,anticipado,172,0)</f>
        <v>#N/A</v>
      </c>
      <c r="AI258" s="1360">
        <f t="shared" si="76"/>
        <v>0</v>
      </c>
      <c r="AJ258" s="1361">
        <f t="shared" si="89"/>
        <v>171</v>
      </c>
      <c r="AK258" s="1362">
        <f t="shared" si="77"/>
        <v>0</v>
      </c>
      <c r="AL258" s="1362">
        <f t="shared" si="90"/>
        <v>0</v>
      </c>
      <c r="AM258" s="1362">
        <f t="shared" si="86"/>
        <v>0</v>
      </c>
      <c r="AN258" s="1363">
        <f t="shared" si="78"/>
        <v>1000000</v>
      </c>
      <c r="AO258" s="1364"/>
      <c r="AP258" s="1364"/>
      <c r="AQ258" s="1361" t="str">
        <f t="shared" si="91"/>
        <v/>
      </c>
      <c r="AR258" s="1362">
        <f t="shared" si="79"/>
        <v>0</v>
      </c>
      <c r="AS258" s="1362">
        <f t="shared" si="69"/>
        <v>0</v>
      </c>
      <c r="AT258" s="1362">
        <f t="shared" si="97"/>
        <v>0</v>
      </c>
      <c r="AU258" s="1363">
        <f t="shared" si="87"/>
        <v>0</v>
      </c>
    </row>
    <row r="259" spans="1:47">
      <c r="A259" s="1118">
        <f t="shared" ca="1" si="67"/>
        <v>7</v>
      </c>
      <c r="B259" s="1351">
        <f t="shared" si="70"/>
        <v>0</v>
      </c>
      <c r="C259" s="2143">
        <f t="shared" si="80"/>
        <v>0</v>
      </c>
      <c r="D259" s="2144">
        <f t="shared" si="81"/>
        <v>0</v>
      </c>
      <c r="E259" s="2145">
        <f t="shared" si="71"/>
        <v>0</v>
      </c>
      <c r="F259" s="2145">
        <f t="shared" si="93"/>
        <v>0</v>
      </c>
      <c r="G259" s="2145">
        <f t="shared" si="94"/>
        <v>0</v>
      </c>
      <c r="H259" s="2145">
        <f>IF(N258&lt;0.01,0,IF(Adm!$S$4=Adm!$S$8,0,N258*Adm!$V$4))</f>
        <v>0</v>
      </c>
      <c r="I259" s="2145">
        <f>IF(N258&lt;0.01,0,IF(Adm!$S$5=Adm!$S$8,0,Adm!$AA$11*Adm!$X$4))</f>
        <v>0</v>
      </c>
      <c r="J259" s="2145">
        <f>IF(N258&lt;0.01,0,Adm!$Q$4*1.16)</f>
        <v>0</v>
      </c>
      <c r="K259" s="2145">
        <f>IF(N258&lt;0.01,0,IF(Adm!$O$4&gt;0,E259*Adm!$O$4,0))</f>
        <v>0</v>
      </c>
      <c r="L259" s="2145">
        <f t="shared" si="72"/>
        <v>0</v>
      </c>
      <c r="M259" s="2145">
        <f>IF(Adm!$G$4="si",MIN(N258+E259+H259+I259+J259-L259,Z259),0)</f>
        <v>0</v>
      </c>
      <c r="N259" s="2145">
        <f t="shared" si="73"/>
        <v>0</v>
      </c>
      <c r="O259" s="2146"/>
      <c r="P259" s="1101"/>
      <c r="V259" s="1352">
        <f t="shared" si="74"/>
        <v>4</v>
      </c>
      <c r="W259" s="1367">
        <f>IF(V259=1,Cal!$AB$127,0)</f>
        <v>0</v>
      </c>
      <c r="Y259" s="1368">
        <f t="shared" si="82"/>
        <v>0</v>
      </c>
      <c r="Z259" s="1369">
        <f t="shared" ca="1" si="75"/>
        <v>0</v>
      </c>
      <c r="AB259" s="1375">
        <f t="shared" si="83"/>
        <v>0</v>
      </c>
      <c r="AC259" s="1373">
        <f t="shared" si="84"/>
        <v>0</v>
      </c>
      <c r="AD259" s="1373">
        <f t="shared" si="88"/>
        <v>0</v>
      </c>
      <c r="AE259" s="1373">
        <f t="shared" si="85"/>
        <v>0</v>
      </c>
      <c r="AF259" s="1371">
        <f t="shared" si="68"/>
        <v>0</v>
      </c>
      <c r="AG259" s="1359" t="e">
        <f>HLOOKUP($AG$83,anticipado,173,0)</f>
        <v>#N/A</v>
      </c>
      <c r="AI259" s="1360">
        <f t="shared" si="76"/>
        <v>0</v>
      </c>
      <c r="AJ259" s="1361">
        <f t="shared" si="89"/>
        <v>172</v>
      </c>
      <c r="AK259" s="1362">
        <f t="shared" si="77"/>
        <v>0</v>
      </c>
      <c r="AL259" s="1362">
        <f t="shared" si="90"/>
        <v>0</v>
      </c>
      <c r="AM259" s="1362">
        <f t="shared" si="86"/>
        <v>0</v>
      </c>
      <c r="AN259" s="1363">
        <f t="shared" si="78"/>
        <v>1000000</v>
      </c>
      <c r="AO259" s="1364"/>
      <c r="AP259" s="1364"/>
      <c r="AQ259" s="1361" t="str">
        <f t="shared" si="91"/>
        <v/>
      </c>
      <c r="AR259" s="1362">
        <f t="shared" si="79"/>
        <v>0</v>
      </c>
      <c r="AS259" s="1362">
        <f t="shared" si="69"/>
        <v>0</v>
      </c>
      <c r="AT259" s="1362">
        <f t="shared" si="97"/>
        <v>0</v>
      </c>
      <c r="AU259" s="1363">
        <f t="shared" si="87"/>
        <v>0</v>
      </c>
    </row>
    <row r="260" spans="1:47">
      <c r="A260" s="1118">
        <f t="shared" ca="1" si="67"/>
        <v>8</v>
      </c>
      <c r="B260" s="1351">
        <f t="shared" si="70"/>
        <v>0</v>
      </c>
      <c r="C260" s="2143">
        <f t="shared" si="80"/>
        <v>0</v>
      </c>
      <c r="D260" s="2144">
        <f t="shared" si="81"/>
        <v>0</v>
      </c>
      <c r="E260" s="2145">
        <f t="shared" si="71"/>
        <v>0</v>
      </c>
      <c r="F260" s="2145">
        <f t="shared" si="93"/>
        <v>0</v>
      </c>
      <c r="G260" s="2145">
        <f t="shared" si="94"/>
        <v>0</v>
      </c>
      <c r="H260" s="2145">
        <f>IF(N259&lt;0.01,0,IF(Adm!$S$4=Adm!$S$8,0,N259*Adm!$V$4))</f>
        <v>0</v>
      </c>
      <c r="I260" s="2145">
        <f>IF(N259&lt;0.01,0,IF(Adm!$S$5=Adm!$S$8,0,Adm!$AA$11*Adm!$X$4))</f>
        <v>0</v>
      </c>
      <c r="J260" s="2145">
        <f>IF(N259&lt;0.01,0,Adm!$Q$4*1.16)</f>
        <v>0</v>
      </c>
      <c r="K260" s="2145">
        <f>IF(N259&lt;0.01,0,IF(Adm!$O$4&gt;0,E260*Adm!$O$4,0))</f>
        <v>0</v>
      </c>
      <c r="L260" s="2145">
        <f t="shared" si="72"/>
        <v>0</v>
      </c>
      <c r="M260" s="2145">
        <f>IF(Adm!$G$4="si",MIN(N259+E260+H260+I260+J260-L260,Z260),0)</f>
        <v>0</v>
      </c>
      <c r="N260" s="2145">
        <f t="shared" si="73"/>
        <v>0</v>
      </c>
      <c r="O260" s="2146"/>
      <c r="P260" s="1101"/>
      <c r="V260" s="1352">
        <f t="shared" si="74"/>
        <v>5</v>
      </c>
      <c r="W260" s="1367">
        <f>IF(V260=1,Cal!$AB$127,0)</f>
        <v>0</v>
      </c>
      <c r="Y260" s="1368">
        <f t="shared" si="82"/>
        <v>0</v>
      </c>
      <c r="Z260" s="1369">
        <f t="shared" ca="1" si="75"/>
        <v>0</v>
      </c>
      <c r="AB260" s="1375">
        <f t="shared" si="83"/>
        <v>0</v>
      </c>
      <c r="AC260" s="1373">
        <f t="shared" si="84"/>
        <v>0</v>
      </c>
      <c r="AD260" s="1373">
        <f t="shared" si="88"/>
        <v>0</v>
      </c>
      <c r="AE260" s="1373">
        <f t="shared" si="85"/>
        <v>0</v>
      </c>
      <c r="AF260" s="1371">
        <f t="shared" si="68"/>
        <v>0</v>
      </c>
      <c r="AG260" s="1359" t="e">
        <f>HLOOKUP($AG$83,anticipado,174,0)</f>
        <v>#N/A</v>
      </c>
      <c r="AI260" s="1360">
        <f t="shared" si="76"/>
        <v>0</v>
      </c>
      <c r="AJ260" s="1361">
        <f t="shared" si="89"/>
        <v>173</v>
      </c>
      <c r="AK260" s="1362">
        <f t="shared" si="77"/>
        <v>0</v>
      </c>
      <c r="AL260" s="1362">
        <f t="shared" si="90"/>
        <v>0</v>
      </c>
      <c r="AM260" s="1362">
        <f t="shared" si="86"/>
        <v>0</v>
      </c>
      <c r="AN260" s="1363">
        <f t="shared" si="78"/>
        <v>1000000</v>
      </c>
      <c r="AO260" s="1364"/>
      <c r="AP260" s="1364"/>
      <c r="AQ260" s="1361" t="str">
        <f t="shared" si="91"/>
        <v/>
      </c>
      <c r="AR260" s="1362">
        <f t="shared" si="79"/>
        <v>0</v>
      </c>
      <c r="AS260" s="1362">
        <f t="shared" si="69"/>
        <v>0</v>
      </c>
      <c r="AT260" s="1362">
        <f t="shared" si="97"/>
        <v>0</v>
      </c>
      <c r="AU260" s="1363">
        <f t="shared" si="87"/>
        <v>0</v>
      </c>
    </row>
    <row r="261" spans="1:47">
      <c r="A261" s="1118">
        <f t="shared" ca="1" si="67"/>
        <v>9</v>
      </c>
      <c r="B261" s="1351">
        <f t="shared" si="70"/>
        <v>0</v>
      </c>
      <c r="C261" s="2143">
        <f t="shared" si="80"/>
        <v>0</v>
      </c>
      <c r="D261" s="2144">
        <f t="shared" si="81"/>
        <v>0</v>
      </c>
      <c r="E261" s="2145">
        <f t="shared" si="71"/>
        <v>0</v>
      </c>
      <c r="F261" s="2145">
        <f t="shared" si="93"/>
        <v>0</v>
      </c>
      <c r="G261" s="2145">
        <f t="shared" si="94"/>
        <v>0</v>
      </c>
      <c r="H261" s="2145">
        <f>IF(N260&lt;0.01,0,IF(Adm!$S$4=Adm!$S$8,0,N260*Adm!$V$4))</f>
        <v>0</v>
      </c>
      <c r="I261" s="2145">
        <f>IF(N260&lt;0.01,0,IF(Adm!$S$5=Adm!$S$8,0,Adm!$AA$11*Adm!$X$4))</f>
        <v>0</v>
      </c>
      <c r="J261" s="2145">
        <f>IF(N260&lt;0.01,0,Adm!$Q$4*1.16)</f>
        <v>0</v>
      </c>
      <c r="K261" s="2145">
        <f>IF(N260&lt;0.01,0,IF(Adm!$O$4&gt;0,E261*Adm!$O$4,0))</f>
        <v>0</v>
      </c>
      <c r="L261" s="2145">
        <f t="shared" si="72"/>
        <v>0</v>
      </c>
      <c r="M261" s="2145">
        <f>IF(Adm!$G$4="si",MIN(N260+E261+H261+I261+J261-L261,Z261),0)</f>
        <v>0</v>
      </c>
      <c r="N261" s="2145">
        <f t="shared" si="73"/>
        <v>0</v>
      </c>
      <c r="O261" s="2146"/>
      <c r="P261" s="1101"/>
      <c r="V261" s="1352">
        <f t="shared" si="74"/>
        <v>6</v>
      </c>
      <c r="W261" s="1367">
        <f>IF(V261=1,Cal!$AB$127,0)</f>
        <v>0</v>
      </c>
      <c r="Y261" s="1368">
        <f t="shared" si="82"/>
        <v>0</v>
      </c>
      <c r="Z261" s="1369">
        <f t="shared" ca="1" si="75"/>
        <v>0</v>
      </c>
      <c r="AB261" s="1375">
        <f t="shared" si="83"/>
        <v>0</v>
      </c>
      <c r="AC261" s="1373">
        <f t="shared" si="84"/>
        <v>0</v>
      </c>
      <c r="AD261" s="1373">
        <f t="shared" si="88"/>
        <v>0</v>
      </c>
      <c r="AE261" s="1373">
        <f t="shared" si="85"/>
        <v>0</v>
      </c>
      <c r="AF261" s="1371">
        <f t="shared" si="68"/>
        <v>0</v>
      </c>
      <c r="AG261" s="1359" t="e">
        <f>HLOOKUP($AG$83,anticipado,175,0)</f>
        <v>#N/A</v>
      </c>
      <c r="AI261" s="1360">
        <f t="shared" si="76"/>
        <v>0</v>
      </c>
      <c r="AJ261" s="1361">
        <f t="shared" si="89"/>
        <v>174</v>
      </c>
      <c r="AK261" s="1362">
        <f t="shared" si="77"/>
        <v>0</v>
      </c>
      <c r="AL261" s="1362">
        <f t="shared" si="90"/>
        <v>0</v>
      </c>
      <c r="AM261" s="1362">
        <f t="shared" si="86"/>
        <v>0</v>
      </c>
      <c r="AN261" s="1363">
        <f t="shared" si="78"/>
        <v>1000000</v>
      </c>
      <c r="AO261" s="1364"/>
      <c r="AP261" s="1364"/>
      <c r="AQ261" s="1361" t="str">
        <f t="shared" si="91"/>
        <v/>
      </c>
      <c r="AR261" s="1362">
        <f t="shared" si="79"/>
        <v>0</v>
      </c>
      <c r="AS261" s="1362">
        <f t="shared" si="69"/>
        <v>0</v>
      </c>
      <c r="AT261" s="1362">
        <f t="shared" si="97"/>
        <v>0</v>
      </c>
      <c r="AU261" s="1363">
        <f t="shared" si="87"/>
        <v>0</v>
      </c>
    </row>
    <row r="262" spans="1:47">
      <c r="A262" s="1118">
        <f t="shared" ca="1" si="67"/>
        <v>10</v>
      </c>
      <c r="B262" s="1351">
        <f t="shared" si="70"/>
        <v>0</v>
      </c>
      <c r="C262" s="2143">
        <f t="shared" si="80"/>
        <v>0</v>
      </c>
      <c r="D262" s="2144">
        <f t="shared" si="81"/>
        <v>0</v>
      </c>
      <c r="E262" s="2145">
        <f t="shared" si="71"/>
        <v>0</v>
      </c>
      <c r="F262" s="2145">
        <f t="shared" si="93"/>
        <v>0</v>
      </c>
      <c r="G262" s="2145">
        <f t="shared" si="94"/>
        <v>0</v>
      </c>
      <c r="H262" s="2145">
        <f>IF(N261&lt;0.01,0,IF(Adm!$S$4=Adm!$S$8,0,N261*Adm!$V$4))</f>
        <v>0</v>
      </c>
      <c r="I262" s="2145">
        <f>IF(N261&lt;0.01,0,IF(Adm!$S$5=Adm!$S$8,0,Adm!$AA$11*Adm!$X$4))</f>
        <v>0</v>
      </c>
      <c r="J262" s="2145">
        <f>IF(N261&lt;0.01,0,Adm!$Q$4*1.16)</f>
        <v>0</v>
      </c>
      <c r="K262" s="2145">
        <f>IF(N261&lt;0.01,0,IF(Adm!$O$4&gt;0,E262*Adm!$O$4,0))</f>
        <v>0</v>
      </c>
      <c r="L262" s="2145">
        <f t="shared" si="72"/>
        <v>0</v>
      </c>
      <c r="M262" s="2145">
        <f>IF(Adm!$G$4="si",MIN(N261+E262+H262+I262+J262-L262,Z262),0)</f>
        <v>0</v>
      </c>
      <c r="N262" s="2145">
        <f t="shared" si="73"/>
        <v>0</v>
      </c>
      <c r="O262" s="2146"/>
      <c r="P262" s="1101"/>
      <c r="V262" s="1352">
        <f t="shared" si="74"/>
        <v>7</v>
      </c>
      <c r="W262" s="1367">
        <f>IF(V262=1,Cal!$AB$127,0)</f>
        <v>0</v>
      </c>
      <c r="Y262" s="1368">
        <f t="shared" si="82"/>
        <v>0</v>
      </c>
      <c r="Z262" s="1369">
        <f t="shared" ca="1" si="75"/>
        <v>0</v>
      </c>
      <c r="AB262" s="1375">
        <f t="shared" si="83"/>
        <v>0</v>
      </c>
      <c r="AC262" s="1373">
        <f t="shared" si="84"/>
        <v>0</v>
      </c>
      <c r="AD262" s="1373">
        <f t="shared" si="88"/>
        <v>0</v>
      </c>
      <c r="AE262" s="1373">
        <f t="shared" si="85"/>
        <v>0</v>
      </c>
      <c r="AF262" s="1371">
        <f t="shared" si="68"/>
        <v>0</v>
      </c>
      <c r="AG262" s="1359" t="e">
        <f>HLOOKUP($AG$83,anticipado,176,0)</f>
        <v>#N/A</v>
      </c>
      <c r="AI262" s="1360">
        <f t="shared" si="76"/>
        <v>0</v>
      </c>
      <c r="AJ262" s="1361">
        <f t="shared" si="89"/>
        <v>175</v>
      </c>
      <c r="AK262" s="1362">
        <f t="shared" si="77"/>
        <v>0</v>
      </c>
      <c r="AL262" s="1362">
        <f t="shared" si="90"/>
        <v>0</v>
      </c>
      <c r="AM262" s="1362">
        <f t="shared" si="86"/>
        <v>0</v>
      </c>
      <c r="AN262" s="1363">
        <f t="shared" si="78"/>
        <v>1000000</v>
      </c>
      <c r="AO262" s="1364"/>
      <c r="AP262" s="1364"/>
      <c r="AQ262" s="1361" t="str">
        <f t="shared" si="91"/>
        <v/>
      </c>
      <c r="AR262" s="1362">
        <f t="shared" si="79"/>
        <v>0</v>
      </c>
      <c r="AS262" s="1362">
        <f t="shared" si="69"/>
        <v>0</v>
      </c>
      <c r="AT262" s="1362">
        <f t="shared" si="97"/>
        <v>0</v>
      </c>
      <c r="AU262" s="1363">
        <f t="shared" si="87"/>
        <v>0</v>
      </c>
    </row>
    <row r="263" spans="1:47">
      <c r="A263" s="1118">
        <f t="shared" ca="1" si="67"/>
        <v>11</v>
      </c>
      <c r="B263" s="1351">
        <f t="shared" si="70"/>
        <v>0</v>
      </c>
      <c r="C263" s="2143">
        <f t="shared" si="80"/>
        <v>0</v>
      </c>
      <c r="D263" s="2144">
        <f t="shared" si="81"/>
        <v>0</v>
      </c>
      <c r="E263" s="2145">
        <f t="shared" si="71"/>
        <v>0</v>
      </c>
      <c r="F263" s="2145">
        <f t="shared" si="93"/>
        <v>0</v>
      </c>
      <c r="G263" s="2145">
        <f t="shared" si="94"/>
        <v>0</v>
      </c>
      <c r="H263" s="2145">
        <f>IF(N262&lt;0.01,0,IF(Adm!$S$4=Adm!$S$8,0,N262*Adm!$V$4))</f>
        <v>0</v>
      </c>
      <c r="I263" s="2145">
        <f>IF(N262&lt;0.01,0,IF(Adm!$S$5=Adm!$S$8,0,Adm!$AA$11*Adm!$X$4))</f>
        <v>0</v>
      </c>
      <c r="J263" s="2145">
        <f>IF(N262&lt;0.01,0,Adm!$Q$4*1.16)</f>
        <v>0</v>
      </c>
      <c r="K263" s="2145">
        <f>IF(N262&lt;0.01,0,IF(Adm!$O$4&gt;0,E263*Adm!$O$4,0))</f>
        <v>0</v>
      </c>
      <c r="L263" s="2145">
        <f t="shared" si="72"/>
        <v>0</v>
      </c>
      <c r="M263" s="2145">
        <f>IF(Adm!$G$4="si",MIN(N262+E263+H263+I263+J263-L263,Z263),0)</f>
        <v>0</v>
      </c>
      <c r="N263" s="2145">
        <f t="shared" si="73"/>
        <v>0</v>
      </c>
      <c r="O263" s="2146"/>
      <c r="P263" s="1101"/>
      <c r="V263" s="1352">
        <f t="shared" si="74"/>
        <v>8</v>
      </c>
      <c r="W263" s="1367">
        <f>IF(V263=1,Cal!$AB$127,0)</f>
        <v>0</v>
      </c>
      <c r="Y263" s="1368">
        <f t="shared" si="82"/>
        <v>0</v>
      </c>
      <c r="Z263" s="1369">
        <f t="shared" ca="1" si="75"/>
        <v>0</v>
      </c>
      <c r="AB263" s="1375">
        <f t="shared" si="83"/>
        <v>0</v>
      </c>
      <c r="AC263" s="1373">
        <f t="shared" si="84"/>
        <v>0</v>
      </c>
      <c r="AD263" s="1373">
        <f t="shared" si="88"/>
        <v>0</v>
      </c>
      <c r="AE263" s="1373">
        <f t="shared" si="85"/>
        <v>0</v>
      </c>
      <c r="AF263" s="1371">
        <f t="shared" si="68"/>
        <v>0</v>
      </c>
      <c r="AG263" s="1359" t="e">
        <f>HLOOKUP($AG$83,anticipado,177,0)</f>
        <v>#N/A</v>
      </c>
      <c r="AI263" s="1360">
        <f t="shared" si="76"/>
        <v>0</v>
      </c>
      <c r="AJ263" s="1361">
        <f t="shared" si="89"/>
        <v>176</v>
      </c>
      <c r="AK263" s="1362">
        <f t="shared" si="77"/>
        <v>0</v>
      </c>
      <c r="AL263" s="1362">
        <f t="shared" si="90"/>
        <v>0</v>
      </c>
      <c r="AM263" s="1362">
        <f t="shared" si="86"/>
        <v>0</v>
      </c>
      <c r="AN263" s="1363">
        <f t="shared" si="78"/>
        <v>1000000</v>
      </c>
      <c r="AO263" s="1364"/>
      <c r="AP263" s="1364"/>
      <c r="AQ263" s="1361" t="str">
        <f t="shared" si="91"/>
        <v/>
      </c>
      <c r="AR263" s="1362">
        <f t="shared" si="79"/>
        <v>0</v>
      </c>
      <c r="AS263" s="1362">
        <f t="shared" si="69"/>
        <v>0</v>
      </c>
      <c r="AT263" s="1362">
        <f t="shared" si="97"/>
        <v>0</v>
      </c>
      <c r="AU263" s="1363">
        <f t="shared" si="87"/>
        <v>0</v>
      </c>
    </row>
    <row r="264" spans="1:47">
      <c r="A264" s="1118">
        <f t="shared" ca="1" si="67"/>
        <v>12</v>
      </c>
      <c r="B264" s="1351">
        <f t="shared" si="70"/>
        <v>0</v>
      </c>
      <c r="C264" s="2143">
        <f t="shared" si="80"/>
        <v>0</v>
      </c>
      <c r="D264" s="2144">
        <f t="shared" si="81"/>
        <v>0</v>
      </c>
      <c r="E264" s="2145">
        <f t="shared" si="71"/>
        <v>0</v>
      </c>
      <c r="F264" s="2145">
        <f t="shared" si="93"/>
        <v>0</v>
      </c>
      <c r="G264" s="2145">
        <f t="shared" si="94"/>
        <v>0</v>
      </c>
      <c r="H264" s="2145">
        <f>IF(N263&lt;0.01,0,IF(Adm!$S$4=Adm!$S$8,0,N263*Adm!$V$4))</f>
        <v>0</v>
      </c>
      <c r="I264" s="2145">
        <f>IF(N263&lt;0.01,0,IF(Adm!$S$5=Adm!$S$8,0,Adm!$AA$11*Adm!$X$4))</f>
        <v>0</v>
      </c>
      <c r="J264" s="2145">
        <f>IF(N263&lt;0.01,0,Adm!$Q$4*1.16)</f>
        <v>0</v>
      </c>
      <c r="K264" s="2145">
        <f>IF(N263&lt;0.01,0,IF(Adm!$O$4&gt;0,E264*Adm!$O$4,0))</f>
        <v>0</v>
      </c>
      <c r="L264" s="2145">
        <f t="shared" si="72"/>
        <v>0</v>
      </c>
      <c r="M264" s="2145">
        <f>IF(Adm!$G$4="si",MIN(N263+E264+H264+I264+J264-L264,Z264),0)</f>
        <v>0</v>
      </c>
      <c r="N264" s="2145">
        <f t="shared" si="73"/>
        <v>0</v>
      </c>
      <c r="O264" s="2146"/>
      <c r="P264" s="1101"/>
      <c r="V264" s="1352">
        <f t="shared" si="74"/>
        <v>9</v>
      </c>
      <c r="W264" s="1367">
        <f>IF(V264=1,Cal!$AB$127,0)</f>
        <v>0</v>
      </c>
      <c r="Y264" s="1368">
        <f t="shared" si="82"/>
        <v>0</v>
      </c>
      <c r="Z264" s="1369">
        <f t="shared" ca="1" si="75"/>
        <v>0</v>
      </c>
      <c r="AB264" s="1375">
        <f t="shared" si="83"/>
        <v>0</v>
      </c>
      <c r="AC264" s="1373">
        <f t="shared" si="84"/>
        <v>0</v>
      </c>
      <c r="AD264" s="1373">
        <f t="shared" si="88"/>
        <v>0</v>
      </c>
      <c r="AE264" s="1373">
        <f t="shared" si="85"/>
        <v>0</v>
      </c>
      <c r="AF264" s="1371">
        <f t="shared" si="68"/>
        <v>0</v>
      </c>
      <c r="AG264" s="1359" t="e">
        <f>HLOOKUP($AG$83,anticipado,178,0)</f>
        <v>#N/A</v>
      </c>
      <c r="AI264" s="1360">
        <f t="shared" si="76"/>
        <v>0</v>
      </c>
      <c r="AJ264" s="1361">
        <f t="shared" si="89"/>
        <v>177</v>
      </c>
      <c r="AK264" s="1362">
        <f t="shared" si="77"/>
        <v>0</v>
      </c>
      <c r="AL264" s="1362">
        <f t="shared" si="90"/>
        <v>0</v>
      </c>
      <c r="AM264" s="1362">
        <f t="shared" si="86"/>
        <v>0</v>
      </c>
      <c r="AN264" s="1363">
        <f t="shared" si="78"/>
        <v>1000000</v>
      </c>
      <c r="AO264" s="1364"/>
      <c r="AP264" s="1364"/>
      <c r="AQ264" s="1361" t="str">
        <f t="shared" si="91"/>
        <v/>
      </c>
      <c r="AR264" s="1362">
        <f t="shared" si="79"/>
        <v>0</v>
      </c>
      <c r="AS264" s="1362">
        <f t="shared" si="69"/>
        <v>0</v>
      </c>
      <c r="AT264" s="1362">
        <f t="shared" si="97"/>
        <v>0</v>
      </c>
      <c r="AU264" s="1363">
        <f t="shared" si="87"/>
        <v>0</v>
      </c>
    </row>
    <row r="265" spans="1:47">
      <c r="A265" s="1118">
        <f t="shared" ca="1" si="67"/>
        <v>1</v>
      </c>
      <c r="B265" s="1351">
        <f t="shared" si="70"/>
        <v>0</v>
      </c>
      <c r="C265" s="2143">
        <f t="shared" si="80"/>
        <v>0</v>
      </c>
      <c r="D265" s="2144">
        <f t="shared" si="81"/>
        <v>0</v>
      </c>
      <c r="E265" s="2145">
        <f t="shared" si="71"/>
        <v>0</v>
      </c>
      <c r="F265" s="2145">
        <f t="shared" si="93"/>
        <v>0</v>
      </c>
      <c r="G265" s="2145">
        <f t="shared" si="94"/>
        <v>0</v>
      </c>
      <c r="H265" s="2145">
        <f>IF(N264&lt;0.01,0,IF(Adm!$S$4=Adm!$S$8,0,N264*Adm!$V$4))</f>
        <v>0</v>
      </c>
      <c r="I265" s="2145">
        <f>IF(N264&lt;0.01,0,IF(Adm!$S$5=Adm!$S$8,0,Adm!$AA$11*Adm!$X$4))</f>
        <v>0</v>
      </c>
      <c r="J265" s="2145">
        <f>IF(N264&lt;0.01,0,Adm!$Q$4*1.16)</f>
        <v>0</v>
      </c>
      <c r="K265" s="2145">
        <f>IF(N264&lt;0.01,0,IF(Adm!$O$4&gt;0,E265*Adm!$O$4,0))</f>
        <v>0</v>
      </c>
      <c r="L265" s="2145">
        <f t="shared" si="72"/>
        <v>0</v>
      </c>
      <c r="M265" s="2145">
        <f>IF(Adm!$G$4="si",MIN(N264+E265+H265+I265+J265-L265,Z265),0)</f>
        <v>0</v>
      </c>
      <c r="N265" s="2145">
        <f t="shared" si="73"/>
        <v>0</v>
      </c>
      <c r="O265" s="2146"/>
      <c r="P265" s="1101"/>
      <c r="V265" s="1352">
        <f t="shared" si="74"/>
        <v>10</v>
      </c>
      <c r="W265" s="1367">
        <f>IF(V265=1,Cal!$AB$127,0)</f>
        <v>0</v>
      </c>
      <c r="Y265" s="1368">
        <f t="shared" si="82"/>
        <v>0</v>
      </c>
      <c r="Z265" s="1369">
        <f t="shared" ca="1" si="75"/>
        <v>0</v>
      </c>
      <c r="AB265" s="1375">
        <f t="shared" si="83"/>
        <v>0</v>
      </c>
      <c r="AC265" s="1373">
        <f t="shared" si="84"/>
        <v>0</v>
      </c>
      <c r="AD265" s="1373">
        <f t="shared" si="88"/>
        <v>0</v>
      </c>
      <c r="AE265" s="1373">
        <f t="shared" si="85"/>
        <v>0</v>
      </c>
      <c r="AF265" s="1371">
        <f t="shared" si="68"/>
        <v>0</v>
      </c>
      <c r="AG265" s="1359" t="e">
        <f>HLOOKUP($AG$83,anticipado,179,0)</f>
        <v>#N/A</v>
      </c>
      <c r="AI265" s="1360">
        <f t="shared" si="76"/>
        <v>0</v>
      </c>
      <c r="AJ265" s="1361">
        <f t="shared" si="89"/>
        <v>178</v>
      </c>
      <c r="AK265" s="1362">
        <f t="shared" si="77"/>
        <v>0</v>
      </c>
      <c r="AL265" s="1362">
        <f t="shared" si="90"/>
        <v>0</v>
      </c>
      <c r="AM265" s="1362">
        <f t="shared" si="86"/>
        <v>0</v>
      </c>
      <c r="AN265" s="1363">
        <f t="shared" si="78"/>
        <v>1000000</v>
      </c>
      <c r="AO265" s="1364"/>
      <c r="AP265" s="1364"/>
      <c r="AQ265" s="1361" t="str">
        <f t="shared" si="91"/>
        <v/>
      </c>
      <c r="AR265" s="1362">
        <f t="shared" si="79"/>
        <v>0</v>
      </c>
      <c r="AS265" s="1362">
        <f t="shared" si="69"/>
        <v>0</v>
      </c>
      <c r="AT265" s="1362">
        <f t="shared" si="97"/>
        <v>0</v>
      </c>
      <c r="AU265" s="1363">
        <f t="shared" si="87"/>
        <v>0</v>
      </c>
    </row>
    <row r="266" spans="1:47">
      <c r="A266" s="1118">
        <f t="shared" ca="1" si="67"/>
        <v>2</v>
      </c>
      <c r="B266" s="1351">
        <f t="shared" si="70"/>
        <v>0</v>
      </c>
      <c r="C266" s="2143">
        <f t="shared" si="80"/>
        <v>0</v>
      </c>
      <c r="D266" s="2144">
        <f t="shared" si="81"/>
        <v>0</v>
      </c>
      <c r="E266" s="2145">
        <f t="shared" si="71"/>
        <v>0</v>
      </c>
      <c r="F266" s="2145">
        <f t="shared" si="93"/>
        <v>0</v>
      </c>
      <c r="G266" s="2145">
        <f t="shared" si="94"/>
        <v>0</v>
      </c>
      <c r="H266" s="2145">
        <f>IF(N265&lt;0.01,0,IF(Adm!$S$4=Adm!$S$8,0,N265*Adm!$V$4))</f>
        <v>0</v>
      </c>
      <c r="I266" s="2145">
        <f>IF(N265&lt;0.01,0,IF(Adm!$S$5=Adm!$S$8,0,Adm!$AA$11*Adm!$X$4))</f>
        <v>0</v>
      </c>
      <c r="J266" s="2145">
        <f>IF(N265&lt;0.01,0,Adm!$Q$4*1.16)</f>
        <v>0</v>
      </c>
      <c r="K266" s="2145">
        <f>IF(N265&lt;0.01,0,IF(Adm!$O$4&gt;0,E266*Adm!$O$4,0))</f>
        <v>0</v>
      </c>
      <c r="L266" s="2145">
        <f t="shared" si="72"/>
        <v>0</v>
      </c>
      <c r="M266" s="2145">
        <f>IF(Adm!$G$4="si",MIN(N265+E266+H266+I266+J266-L266,Z266),0)</f>
        <v>0</v>
      </c>
      <c r="N266" s="2145">
        <f t="shared" si="73"/>
        <v>0</v>
      </c>
      <c r="O266" s="2146"/>
      <c r="P266" s="1101"/>
      <c r="V266" s="1352">
        <f t="shared" si="74"/>
        <v>11</v>
      </c>
      <c r="W266" s="1367">
        <f>IF(V266=1,Cal!$AB$127,0)</f>
        <v>0</v>
      </c>
      <c r="Y266" s="1368">
        <f t="shared" si="82"/>
        <v>0</v>
      </c>
      <c r="Z266" s="1369">
        <f t="shared" ca="1" si="75"/>
        <v>0</v>
      </c>
      <c r="AB266" s="1375">
        <f t="shared" si="83"/>
        <v>0</v>
      </c>
      <c r="AC266" s="1373">
        <f t="shared" si="84"/>
        <v>0</v>
      </c>
      <c r="AD266" s="1373">
        <f t="shared" si="88"/>
        <v>0</v>
      </c>
      <c r="AE266" s="1373">
        <f t="shared" si="85"/>
        <v>0</v>
      </c>
      <c r="AF266" s="1371">
        <f t="shared" si="68"/>
        <v>0</v>
      </c>
      <c r="AG266" s="1359" t="e">
        <f>HLOOKUP($AG$83,anticipado,180,0)</f>
        <v>#N/A</v>
      </c>
      <c r="AI266" s="1360">
        <f t="shared" si="76"/>
        <v>0</v>
      </c>
      <c r="AJ266" s="1361">
        <f t="shared" si="89"/>
        <v>179</v>
      </c>
      <c r="AK266" s="1362">
        <f t="shared" si="77"/>
        <v>0</v>
      </c>
      <c r="AL266" s="1362">
        <f t="shared" si="90"/>
        <v>0</v>
      </c>
      <c r="AM266" s="1362">
        <f t="shared" si="86"/>
        <v>0</v>
      </c>
      <c r="AN266" s="1363">
        <f t="shared" si="78"/>
        <v>1000000</v>
      </c>
      <c r="AO266" s="1364"/>
      <c r="AP266" s="1364"/>
      <c r="AQ266" s="1361" t="str">
        <f t="shared" si="91"/>
        <v/>
      </c>
      <c r="AR266" s="1362">
        <f t="shared" si="79"/>
        <v>0</v>
      </c>
      <c r="AS266" s="1362">
        <f t="shared" si="69"/>
        <v>0</v>
      </c>
      <c r="AT266" s="1362">
        <f t="shared" si="97"/>
        <v>0</v>
      </c>
      <c r="AU266" s="1363">
        <f t="shared" si="87"/>
        <v>0</v>
      </c>
    </row>
    <row r="267" spans="1:47">
      <c r="A267" s="1118">
        <f t="shared" ca="1" si="67"/>
        <v>3</v>
      </c>
      <c r="B267" s="1351">
        <f t="shared" si="70"/>
        <v>0</v>
      </c>
      <c r="C267" s="2143">
        <f t="shared" si="80"/>
        <v>0</v>
      </c>
      <c r="D267" s="2144">
        <f t="shared" si="81"/>
        <v>0</v>
      </c>
      <c r="E267" s="2145">
        <f t="shared" si="71"/>
        <v>0</v>
      </c>
      <c r="F267" s="2145">
        <f t="shared" si="93"/>
        <v>0</v>
      </c>
      <c r="G267" s="2145">
        <f t="shared" si="94"/>
        <v>0</v>
      </c>
      <c r="H267" s="2145">
        <f>IF(N266&lt;0.01,0,IF(Adm!$S$4=Adm!$S$8,0,N266*Adm!$V$4))</f>
        <v>0</v>
      </c>
      <c r="I267" s="2145">
        <f>IF(N266&lt;0.01,0,IF(Adm!$S$5=Adm!$S$8,0,Adm!$AA$11*Adm!$X$4))</f>
        <v>0</v>
      </c>
      <c r="J267" s="2145">
        <f>IF(N266&lt;0.01,0,Adm!$Q$4*1.16)</f>
        <v>0</v>
      </c>
      <c r="K267" s="2145">
        <f>IF(N266&lt;0.01,0,IF(Adm!$O$4&gt;0,E267*Adm!$O$4,0))</f>
        <v>0</v>
      </c>
      <c r="L267" s="2145">
        <f t="shared" si="72"/>
        <v>0</v>
      </c>
      <c r="M267" s="2145">
        <f>IF(Adm!$G$4="si",MIN(N266+E267+H267+I267+J267-L267,Z267),0)</f>
        <v>0</v>
      </c>
      <c r="N267" s="2145">
        <f t="shared" si="73"/>
        <v>0</v>
      </c>
      <c r="O267" s="2146"/>
      <c r="P267" s="1101"/>
      <c r="V267" s="1352">
        <f t="shared" si="74"/>
        <v>12</v>
      </c>
      <c r="W267" s="1367">
        <f>IF(V267=1,Cal!$AB$127,0)</f>
        <v>0</v>
      </c>
      <c r="Y267" s="1368">
        <f t="shared" si="82"/>
        <v>0</v>
      </c>
      <c r="Z267" s="1369">
        <f t="shared" ca="1" si="75"/>
        <v>0</v>
      </c>
      <c r="AB267" s="1375">
        <f t="shared" si="83"/>
        <v>0</v>
      </c>
      <c r="AC267" s="1373">
        <f t="shared" si="84"/>
        <v>0</v>
      </c>
      <c r="AD267" s="1373">
        <f t="shared" si="88"/>
        <v>0</v>
      </c>
      <c r="AE267" s="1373">
        <f t="shared" si="85"/>
        <v>0</v>
      </c>
      <c r="AF267" s="1371">
        <f t="shared" si="68"/>
        <v>0</v>
      </c>
      <c r="AG267" s="1359" t="e">
        <f>HLOOKUP($AG$83,anticipado,181,0)</f>
        <v>#N/A</v>
      </c>
      <c r="AI267" s="1360">
        <f t="shared" si="76"/>
        <v>0</v>
      </c>
      <c r="AJ267" s="1361">
        <f t="shared" si="89"/>
        <v>180</v>
      </c>
      <c r="AK267" s="1362">
        <f t="shared" si="77"/>
        <v>0</v>
      </c>
      <c r="AL267" s="1362">
        <f t="shared" si="90"/>
        <v>0</v>
      </c>
      <c r="AM267" s="1362">
        <f t="shared" si="86"/>
        <v>0</v>
      </c>
      <c r="AN267" s="1363">
        <f t="shared" si="78"/>
        <v>1000000</v>
      </c>
      <c r="AO267" s="1364"/>
      <c r="AP267" s="1364"/>
      <c r="AQ267" s="1361" t="str">
        <f t="shared" si="91"/>
        <v/>
      </c>
      <c r="AR267" s="1362">
        <f t="shared" si="79"/>
        <v>0</v>
      </c>
      <c r="AS267" s="1362">
        <f t="shared" si="69"/>
        <v>0</v>
      </c>
      <c r="AT267" s="1362">
        <f t="shared" si="97"/>
        <v>0</v>
      </c>
      <c r="AU267" s="1363">
        <f t="shared" si="87"/>
        <v>0</v>
      </c>
    </row>
    <row r="268" spans="1:47">
      <c r="A268" s="1118">
        <f t="shared" ca="1" si="67"/>
        <v>4</v>
      </c>
      <c r="B268" s="1351">
        <f t="shared" si="70"/>
        <v>0</v>
      </c>
      <c r="C268" s="2143">
        <f t="shared" si="80"/>
        <v>0</v>
      </c>
      <c r="D268" s="2144">
        <f t="shared" si="81"/>
        <v>0</v>
      </c>
      <c r="E268" s="2145">
        <f t="shared" si="71"/>
        <v>0</v>
      </c>
      <c r="F268" s="2145">
        <f t="shared" si="93"/>
        <v>0</v>
      </c>
      <c r="G268" s="2145">
        <f t="shared" si="94"/>
        <v>0</v>
      </c>
      <c r="H268" s="2145">
        <f>IF(N267&lt;0.01,0,IF(Adm!$S$4=Adm!$S$8,0,N267*Adm!$V$4))</f>
        <v>0</v>
      </c>
      <c r="I268" s="2145">
        <f>IF(N267&lt;0.01,0,IF(Adm!$S$5=Adm!$S$8,0,Adm!$AA$11*Adm!$X$4))</f>
        <v>0</v>
      </c>
      <c r="J268" s="2145">
        <f>IF(N267&lt;0.01,0,Adm!$Q$4*1.16)</f>
        <v>0</v>
      </c>
      <c r="K268" s="2145">
        <f>IF(N267&lt;0.01,0,IF(Adm!$O$4&gt;0,E268*Adm!$O$4,0))</f>
        <v>0</v>
      </c>
      <c r="L268" s="2145">
        <f t="shared" si="72"/>
        <v>0</v>
      </c>
      <c r="M268" s="2145">
        <f>IF(Adm!$G$4="si",MIN(N267+E268+H268+I268+J268-L268,Z268),0)</f>
        <v>0</v>
      </c>
      <c r="N268" s="2145">
        <f t="shared" si="73"/>
        <v>0</v>
      </c>
      <c r="O268" s="2146"/>
      <c r="P268" s="1101"/>
      <c r="V268" s="1352">
        <f t="shared" si="74"/>
        <v>1</v>
      </c>
      <c r="W268" s="1367">
        <f>IF(V268=1,Cal!$AB$127,0)</f>
        <v>0</v>
      </c>
      <c r="Y268" s="1368">
        <f t="shared" si="82"/>
        <v>0</v>
      </c>
      <c r="Z268" s="1369">
        <f t="shared" ca="1" si="75"/>
        <v>0</v>
      </c>
      <c r="AB268" s="1375">
        <f t="shared" si="83"/>
        <v>0</v>
      </c>
      <c r="AC268" s="1373">
        <f t="shared" si="84"/>
        <v>0</v>
      </c>
      <c r="AD268" s="1373">
        <f t="shared" si="88"/>
        <v>0</v>
      </c>
      <c r="AE268" s="1373">
        <f t="shared" si="85"/>
        <v>0</v>
      </c>
      <c r="AF268" s="1371">
        <f t="shared" si="68"/>
        <v>0</v>
      </c>
      <c r="AG268" s="1359" t="e">
        <f>HLOOKUP($AG$83,anticipado,182,0)</f>
        <v>#N/A</v>
      </c>
      <c r="AI268" s="1360">
        <f t="shared" si="76"/>
        <v>0</v>
      </c>
      <c r="AJ268" s="1377">
        <f t="shared" si="89"/>
        <v>181</v>
      </c>
      <c r="AK268" s="1378">
        <f t="shared" si="77"/>
        <v>0</v>
      </c>
      <c r="AL268" s="1378">
        <f t="shared" si="90"/>
        <v>0</v>
      </c>
      <c r="AM268" s="1378">
        <f>MIN(AN267+AK268,AM267*(1+$AK$83))</f>
        <v>0</v>
      </c>
      <c r="AN268" s="1363">
        <f t="shared" si="78"/>
        <v>1000000</v>
      </c>
      <c r="AQ268" s="1379" t="str">
        <f t="shared" si="91"/>
        <v/>
      </c>
      <c r="AR268" s="1380">
        <f t="shared" si="79"/>
        <v>0</v>
      </c>
      <c r="AS268" s="1380">
        <f t="shared" si="69"/>
        <v>0</v>
      </c>
      <c r="AT268" s="1380">
        <f>MIN(AU267+AR268,AT267*(1+$AR$83))</f>
        <v>0</v>
      </c>
      <c r="AU268" s="1363">
        <f t="shared" si="87"/>
        <v>0</v>
      </c>
    </row>
    <row r="269" spans="1:47">
      <c r="A269" s="1118">
        <f t="shared" ca="1" si="67"/>
        <v>5</v>
      </c>
      <c r="B269" s="1351">
        <f t="shared" si="70"/>
        <v>0</v>
      </c>
      <c r="C269" s="2143">
        <f t="shared" si="80"/>
        <v>0</v>
      </c>
      <c r="D269" s="2144">
        <f t="shared" si="81"/>
        <v>0</v>
      </c>
      <c r="E269" s="2145">
        <f t="shared" si="71"/>
        <v>0</v>
      </c>
      <c r="F269" s="2145">
        <f t="shared" si="93"/>
        <v>0</v>
      </c>
      <c r="G269" s="2145">
        <f t="shared" si="94"/>
        <v>0</v>
      </c>
      <c r="H269" s="2145">
        <f>IF(N268&lt;0.01,0,IF(Adm!$S$4=Adm!$S$8,0,N268*Adm!$V$4))</f>
        <v>0</v>
      </c>
      <c r="I269" s="2145">
        <f>IF(N268&lt;0.01,0,IF(Adm!$S$5=Adm!$S$8,0,Adm!$AA$11*Adm!$X$4))</f>
        <v>0</v>
      </c>
      <c r="J269" s="2145">
        <f>IF(N268&lt;0.01,0,Adm!$Q$4*1.16)</f>
        <v>0</v>
      </c>
      <c r="K269" s="2145">
        <f>IF(N268&lt;0.01,0,IF(Adm!$O$4&gt;0,E269*Adm!$O$4,0))</f>
        <v>0</v>
      </c>
      <c r="L269" s="2145">
        <f t="shared" si="72"/>
        <v>0</v>
      </c>
      <c r="M269" s="2145">
        <f>IF(Adm!$G$4="si",MIN(N268+E269+H269+I269+J269-L269,Z269),0)</f>
        <v>0</v>
      </c>
      <c r="N269" s="2145">
        <f t="shared" si="73"/>
        <v>0</v>
      </c>
      <c r="O269" s="2146"/>
      <c r="P269" s="1101"/>
      <c r="V269" s="1352">
        <f t="shared" si="74"/>
        <v>2</v>
      </c>
      <c r="W269" s="1367">
        <f>IF(V269=1,Cal!$AB$127,0)</f>
        <v>0</v>
      </c>
      <c r="Y269" s="1368">
        <f t="shared" si="82"/>
        <v>0</v>
      </c>
      <c r="Z269" s="1369">
        <f t="shared" ca="1" si="75"/>
        <v>0</v>
      </c>
      <c r="AB269" s="1375">
        <f t="shared" si="83"/>
        <v>0</v>
      </c>
      <c r="AC269" s="1373">
        <f t="shared" si="84"/>
        <v>0</v>
      </c>
      <c r="AD269" s="1373">
        <f t="shared" si="88"/>
        <v>0</v>
      </c>
      <c r="AE269" s="1373">
        <f t="shared" si="85"/>
        <v>0</v>
      </c>
      <c r="AF269" s="1371">
        <f t="shared" si="68"/>
        <v>0</v>
      </c>
      <c r="AG269" s="1359" t="e">
        <f>HLOOKUP($AG$83,anticipado,183,0)</f>
        <v>#N/A</v>
      </c>
      <c r="AI269" s="1360">
        <f t="shared" si="76"/>
        <v>0</v>
      </c>
      <c r="AJ269" s="1361">
        <f>IF(AN268&lt;=0,"",AJ268+1)</f>
        <v>182</v>
      </c>
      <c r="AK269" s="1362">
        <f t="shared" si="77"/>
        <v>0</v>
      </c>
      <c r="AL269" s="1362">
        <f t="shared" si="90"/>
        <v>0</v>
      </c>
      <c r="AM269" s="1362">
        <f t="shared" si="86"/>
        <v>0</v>
      </c>
      <c r="AN269" s="1363">
        <f t="shared" si="78"/>
        <v>1000000</v>
      </c>
      <c r="AQ269" s="1361" t="str">
        <f>IF(AU268&lt;=0,"",AQ268+1)</f>
        <v/>
      </c>
      <c r="AR269" s="1362">
        <f t="shared" si="79"/>
        <v>0</v>
      </c>
      <c r="AS269" s="1362">
        <f t="shared" si="69"/>
        <v>0</v>
      </c>
      <c r="AT269" s="1362">
        <f t="shared" ref="AT269:AT279" si="98">MIN(AU268+AR269,AT268)</f>
        <v>0</v>
      </c>
      <c r="AU269" s="1363">
        <f t="shared" si="87"/>
        <v>0</v>
      </c>
    </row>
    <row r="270" spans="1:47">
      <c r="A270" s="1118">
        <f t="shared" ca="1" si="67"/>
        <v>6</v>
      </c>
      <c r="B270" s="1351">
        <f t="shared" si="70"/>
        <v>0</v>
      </c>
      <c r="C270" s="2143">
        <f t="shared" si="80"/>
        <v>0</v>
      </c>
      <c r="D270" s="2144">
        <f t="shared" si="81"/>
        <v>0</v>
      </c>
      <c r="E270" s="2145">
        <f t="shared" si="71"/>
        <v>0</v>
      </c>
      <c r="F270" s="2145">
        <f t="shared" si="93"/>
        <v>0</v>
      </c>
      <c r="G270" s="2145">
        <f t="shared" si="94"/>
        <v>0</v>
      </c>
      <c r="H270" s="2145">
        <f>IF(N269&lt;0.01,0,IF(Adm!$S$4=Adm!$S$8,0,N269*Adm!$V$4))</f>
        <v>0</v>
      </c>
      <c r="I270" s="2145">
        <f>IF(N269&lt;0.01,0,IF(Adm!$S$5=Adm!$S$8,0,Adm!$AA$11*Adm!$X$4))</f>
        <v>0</v>
      </c>
      <c r="J270" s="2145">
        <f>IF(N269&lt;0.01,0,Adm!$Q$4*1.16)</f>
        <v>0</v>
      </c>
      <c r="K270" s="2145">
        <f>IF(N269&lt;0.01,0,IF(Adm!$O$4&gt;0,E270*Adm!$O$4,0))</f>
        <v>0</v>
      </c>
      <c r="L270" s="2145">
        <f t="shared" si="72"/>
        <v>0</v>
      </c>
      <c r="M270" s="2145">
        <f>IF(Adm!$G$4="si",MIN(N269+E270+H270+I270+J270-L270,Z270),0)</f>
        <v>0</v>
      </c>
      <c r="N270" s="2145">
        <f t="shared" si="73"/>
        <v>0</v>
      </c>
      <c r="O270" s="2146"/>
      <c r="P270" s="1101"/>
      <c r="V270" s="1352">
        <f t="shared" si="74"/>
        <v>3</v>
      </c>
      <c r="W270" s="1367">
        <f>IF(V270=1,Cal!$AB$127,0)</f>
        <v>0</v>
      </c>
      <c r="Y270" s="1368">
        <f t="shared" si="82"/>
        <v>0</v>
      </c>
      <c r="Z270" s="1369">
        <f t="shared" ca="1" si="75"/>
        <v>0</v>
      </c>
      <c r="AB270" s="1375">
        <f t="shared" si="83"/>
        <v>0</v>
      </c>
      <c r="AC270" s="1373">
        <f t="shared" si="84"/>
        <v>0</v>
      </c>
      <c r="AD270" s="1373">
        <f t="shared" si="88"/>
        <v>0</v>
      </c>
      <c r="AE270" s="1373">
        <f t="shared" si="85"/>
        <v>0</v>
      </c>
      <c r="AF270" s="1371">
        <f t="shared" si="68"/>
        <v>0</v>
      </c>
      <c r="AG270" s="1359" t="e">
        <f>HLOOKUP($AG$83,anticipado,184,0)</f>
        <v>#N/A</v>
      </c>
      <c r="AI270" s="1360">
        <f t="shared" si="76"/>
        <v>0</v>
      </c>
      <c r="AJ270" s="1361">
        <f>IF(AN269&lt;=0,"",AJ269+1)</f>
        <v>183</v>
      </c>
      <c r="AK270" s="1362">
        <f t="shared" si="77"/>
        <v>0</v>
      </c>
      <c r="AL270" s="1362">
        <f t="shared" si="90"/>
        <v>0</v>
      </c>
      <c r="AM270" s="1362">
        <f t="shared" si="86"/>
        <v>0</v>
      </c>
      <c r="AN270" s="1363">
        <f t="shared" si="78"/>
        <v>1000000</v>
      </c>
      <c r="AQ270" s="1361" t="str">
        <f>IF(AU269&lt;=0,"",AQ269+1)</f>
        <v/>
      </c>
      <c r="AR270" s="1362">
        <f t="shared" si="79"/>
        <v>0</v>
      </c>
      <c r="AS270" s="1362">
        <f t="shared" si="69"/>
        <v>0</v>
      </c>
      <c r="AT270" s="1362">
        <f t="shared" si="98"/>
        <v>0</v>
      </c>
      <c r="AU270" s="1363">
        <f t="shared" si="87"/>
        <v>0</v>
      </c>
    </row>
    <row r="271" spans="1:47">
      <c r="A271" s="1118">
        <f t="shared" ca="1" si="67"/>
        <v>7</v>
      </c>
      <c r="B271" s="1351">
        <f t="shared" si="70"/>
        <v>0</v>
      </c>
      <c r="C271" s="2143">
        <f t="shared" si="80"/>
        <v>0</v>
      </c>
      <c r="D271" s="2144">
        <f t="shared" si="81"/>
        <v>0</v>
      </c>
      <c r="E271" s="2145">
        <f t="shared" si="71"/>
        <v>0</v>
      </c>
      <c r="F271" s="2145">
        <f t="shared" si="93"/>
        <v>0</v>
      </c>
      <c r="G271" s="2145">
        <f t="shared" si="94"/>
        <v>0</v>
      </c>
      <c r="H271" s="2145">
        <f>IF(N270&lt;0.01,0,IF(Adm!$S$4=Adm!$S$8,0,N270*Adm!$V$4))</f>
        <v>0</v>
      </c>
      <c r="I271" s="2145">
        <f>IF(N270&lt;0.01,0,IF(Adm!$S$5=Adm!$S$8,0,Adm!$AA$11*Adm!$X$4))</f>
        <v>0</v>
      </c>
      <c r="J271" s="2145">
        <f>IF(N270&lt;0.01,0,Adm!$Q$4*1.16)</f>
        <v>0</v>
      </c>
      <c r="K271" s="2145">
        <f>IF(N270&lt;0.01,0,IF(Adm!$O$4&gt;0,E271*Adm!$O$4,0))</f>
        <v>0</v>
      </c>
      <c r="L271" s="2145">
        <f t="shared" si="72"/>
        <v>0</v>
      </c>
      <c r="M271" s="2145">
        <f>IF(Adm!$G$4="si",MIN(N270+E271+H271+I271+J271-L271,Z271),0)</f>
        <v>0</v>
      </c>
      <c r="N271" s="2145">
        <f t="shared" si="73"/>
        <v>0</v>
      </c>
      <c r="O271" s="2146"/>
      <c r="P271" s="1101"/>
      <c r="V271" s="1352">
        <f t="shared" si="74"/>
        <v>4</v>
      </c>
      <c r="W271" s="1367">
        <f>IF(V271=1,Cal!$AB$127,0)</f>
        <v>0</v>
      </c>
      <c r="Y271" s="1368">
        <f t="shared" si="82"/>
        <v>0</v>
      </c>
      <c r="Z271" s="1369">
        <f t="shared" ca="1" si="75"/>
        <v>0</v>
      </c>
      <c r="AB271" s="1375">
        <f t="shared" si="83"/>
        <v>0</v>
      </c>
      <c r="AC271" s="1373">
        <f t="shared" si="84"/>
        <v>0</v>
      </c>
      <c r="AD271" s="1373">
        <f t="shared" si="88"/>
        <v>0</v>
      </c>
      <c r="AE271" s="1373">
        <f t="shared" si="85"/>
        <v>0</v>
      </c>
      <c r="AF271" s="1371">
        <f t="shared" si="68"/>
        <v>0</v>
      </c>
      <c r="AG271" s="1359" t="e">
        <f>HLOOKUP($AG$83,anticipado,185,0)</f>
        <v>#N/A</v>
      </c>
      <c r="AI271" s="1360">
        <f t="shared" si="76"/>
        <v>0</v>
      </c>
      <c r="AJ271" s="1361">
        <f t="shared" si="89"/>
        <v>184</v>
      </c>
      <c r="AK271" s="1362">
        <f t="shared" si="77"/>
        <v>0</v>
      </c>
      <c r="AL271" s="1362">
        <f t="shared" si="90"/>
        <v>0</v>
      </c>
      <c r="AM271" s="1362">
        <f t="shared" si="86"/>
        <v>0</v>
      </c>
      <c r="AN271" s="1363">
        <f t="shared" si="78"/>
        <v>1000000</v>
      </c>
      <c r="AQ271" s="1361" t="str">
        <f t="shared" ref="AQ271:AQ327" si="99">IF(AU270&lt;=0,"",AQ270+1)</f>
        <v/>
      </c>
      <c r="AR271" s="1362">
        <f t="shared" si="79"/>
        <v>0</v>
      </c>
      <c r="AS271" s="1362">
        <f t="shared" si="69"/>
        <v>0</v>
      </c>
      <c r="AT271" s="1362">
        <f t="shared" si="98"/>
        <v>0</v>
      </c>
      <c r="AU271" s="1363">
        <f t="shared" si="87"/>
        <v>0</v>
      </c>
    </row>
    <row r="272" spans="1:47">
      <c r="A272" s="1118">
        <f t="shared" ca="1" si="67"/>
        <v>8</v>
      </c>
      <c r="B272" s="1351">
        <f t="shared" si="70"/>
        <v>0</v>
      </c>
      <c r="C272" s="2143">
        <f t="shared" si="80"/>
        <v>0</v>
      </c>
      <c r="D272" s="2144">
        <f t="shared" si="81"/>
        <v>0</v>
      </c>
      <c r="E272" s="2145">
        <f t="shared" si="71"/>
        <v>0</v>
      </c>
      <c r="F272" s="2145">
        <f t="shared" si="93"/>
        <v>0</v>
      </c>
      <c r="G272" s="2145">
        <f t="shared" si="94"/>
        <v>0</v>
      </c>
      <c r="H272" s="2145">
        <f>IF(N271&lt;0.01,0,IF(Adm!$S$4=Adm!$S$8,0,N271*Adm!$V$4))</f>
        <v>0</v>
      </c>
      <c r="I272" s="2145">
        <f>IF(N271&lt;0.01,0,IF(Adm!$S$5=Adm!$S$8,0,Adm!$AA$11*Adm!$X$4))</f>
        <v>0</v>
      </c>
      <c r="J272" s="2145">
        <f>IF(N271&lt;0.01,0,Adm!$Q$4*1.16)</f>
        <v>0</v>
      </c>
      <c r="K272" s="2145">
        <f>IF(N271&lt;0.01,0,IF(Adm!$O$4&gt;0,E272*Adm!$O$4,0))</f>
        <v>0</v>
      </c>
      <c r="L272" s="2145">
        <f t="shared" si="72"/>
        <v>0</v>
      </c>
      <c r="M272" s="2145">
        <f>IF(Adm!$G$4="si",MIN(N271+E272+H272+I272+J272-L272,Z272),0)</f>
        <v>0</v>
      </c>
      <c r="N272" s="2145">
        <f t="shared" si="73"/>
        <v>0</v>
      </c>
      <c r="O272" s="2146"/>
      <c r="P272" s="1101"/>
      <c r="V272" s="1352">
        <f t="shared" si="74"/>
        <v>5</v>
      </c>
      <c r="W272" s="1367">
        <f>IF(V272=1,Cal!$AB$127,0)</f>
        <v>0</v>
      </c>
      <c r="Y272" s="1368">
        <f t="shared" si="82"/>
        <v>0</v>
      </c>
      <c r="Z272" s="1369">
        <f t="shared" ca="1" si="75"/>
        <v>0</v>
      </c>
      <c r="AB272" s="1375">
        <f t="shared" si="83"/>
        <v>0</v>
      </c>
      <c r="AC272" s="1373">
        <f t="shared" si="84"/>
        <v>0</v>
      </c>
      <c r="AD272" s="1373">
        <f t="shared" si="88"/>
        <v>0</v>
      </c>
      <c r="AE272" s="1373">
        <f t="shared" si="85"/>
        <v>0</v>
      </c>
      <c r="AF272" s="1371">
        <f t="shared" si="68"/>
        <v>0</v>
      </c>
      <c r="AG272" s="1359" t="e">
        <f>HLOOKUP($AG$83,anticipado,186,0)</f>
        <v>#N/A</v>
      </c>
      <c r="AI272" s="1360">
        <f t="shared" si="76"/>
        <v>0</v>
      </c>
      <c r="AJ272" s="1361">
        <f t="shared" si="89"/>
        <v>185</v>
      </c>
      <c r="AK272" s="1362">
        <f t="shared" si="77"/>
        <v>0</v>
      </c>
      <c r="AL272" s="1362">
        <f t="shared" si="90"/>
        <v>0</v>
      </c>
      <c r="AM272" s="1362">
        <f t="shared" si="86"/>
        <v>0</v>
      </c>
      <c r="AN272" s="1363">
        <f t="shared" si="78"/>
        <v>1000000</v>
      </c>
      <c r="AQ272" s="1361" t="str">
        <f t="shared" si="99"/>
        <v/>
      </c>
      <c r="AR272" s="1362">
        <f t="shared" si="79"/>
        <v>0</v>
      </c>
      <c r="AS272" s="1362">
        <f t="shared" si="69"/>
        <v>0</v>
      </c>
      <c r="AT272" s="1362">
        <f t="shared" si="98"/>
        <v>0</v>
      </c>
      <c r="AU272" s="1363">
        <f t="shared" si="87"/>
        <v>0</v>
      </c>
    </row>
    <row r="273" spans="1:47">
      <c r="A273" s="1118">
        <f t="shared" ca="1" si="67"/>
        <v>9</v>
      </c>
      <c r="B273" s="1351">
        <f t="shared" si="70"/>
        <v>0</v>
      </c>
      <c r="C273" s="2143">
        <f t="shared" si="80"/>
        <v>0</v>
      </c>
      <c r="D273" s="2144">
        <f t="shared" si="81"/>
        <v>0</v>
      </c>
      <c r="E273" s="2145">
        <f t="shared" si="71"/>
        <v>0</v>
      </c>
      <c r="F273" s="2145">
        <f t="shared" si="93"/>
        <v>0</v>
      </c>
      <c r="G273" s="2145">
        <f t="shared" si="94"/>
        <v>0</v>
      </c>
      <c r="H273" s="2145">
        <f>IF(N272&lt;0.01,0,IF(Adm!$S$4=Adm!$S$8,0,N272*Adm!$V$4))</f>
        <v>0</v>
      </c>
      <c r="I273" s="2145">
        <f>IF(N272&lt;0.01,0,IF(Adm!$S$5=Adm!$S$8,0,Adm!$AA$11*Adm!$X$4))</f>
        <v>0</v>
      </c>
      <c r="J273" s="2145">
        <f>IF(N272&lt;0.01,0,Adm!$Q$4*1.16)</f>
        <v>0</v>
      </c>
      <c r="K273" s="2145">
        <f>IF(N272&lt;0.01,0,IF(Adm!$O$4&gt;0,E273*Adm!$O$4,0))</f>
        <v>0</v>
      </c>
      <c r="L273" s="2145">
        <f t="shared" si="72"/>
        <v>0</v>
      </c>
      <c r="M273" s="2145">
        <f>IF(Adm!$G$4="si",MIN(N272+E273+H273+I273+J273-L273,Z273),0)</f>
        <v>0</v>
      </c>
      <c r="N273" s="2145">
        <f t="shared" si="73"/>
        <v>0</v>
      </c>
      <c r="O273" s="2146"/>
      <c r="P273" s="1101"/>
      <c r="V273" s="1352">
        <f t="shared" si="74"/>
        <v>6</v>
      </c>
      <c r="W273" s="1367">
        <f>IF(V273=1,Cal!$AB$127,0)</f>
        <v>0</v>
      </c>
      <c r="Y273" s="1368">
        <f t="shared" si="82"/>
        <v>0</v>
      </c>
      <c r="Z273" s="1369">
        <f t="shared" ca="1" si="75"/>
        <v>0</v>
      </c>
      <c r="AB273" s="1375">
        <f t="shared" si="83"/>
        <v>0</v>
      </c>
      <c r="AC273" s="1373">
        <f t="shared" si="84"/>
        <v>0</v>
      </c>
      <c r="AD273" s="1373">
        <f t="shared" si="88"/>
        <v>0</v>
      </c>
      <c r="AE273" s="1373">
        <f t="shared" si="85"/>
        <v>0</v>
      </c>
      <c r="AF273" s="1371">
        <f t="shared" si="68"/>
        <v>0</v>
      </c>
      <c r="AG273" s="1359" t="e">
        <f>HLOOKUP($AG$83,anticipado,187,0)</f>
        <v>#N/A</v>
      </c>
      <c r="AI273" s="1360">
        <f t="shared" si="76"/>
        <v>0</v>
      </c>
      <c r="AJ273" s="1361">
        <f t="shared" si="89"/>
        <v>186</v>
      </c>
      <c r="AK273" s="1362">
        <f t="shared" si="77"/>
        <v>0</v>
      </c>
      <c r="AL273" s="1362">
        <f t="shared" si="90"/>
        <v>0</v>
      </c>
      <c r="AM273" s="1362">
        <f t="shared" si="86"/>
        <v>0</v>
      </c>
      <c r="AN273" s="1363">
        <f t="shared" si="78"/>
        <v>1000000</v>
      </c>
      <c r="AQ273" s="1361" t="str">
        <f t="shared" si="99"/>
        <v/>
      </c>
      <c r="AR273" s="1362">
        <f t="shared" si="79"/>
        <v>0</v>
      </c>
      <c r="AS273" s="1362">
        <f t="shared" si="69"/>
        <v>0</v>
      </c>
      <c r="AT273" s="1362">
        <f t="shared" si="98"/>
        <v>0</v>
      </c>
      <c r="AU273" s="1363">
        <f t="shared" si="87"/>
        <v>0</v>
      </c>
    </row>
    <row r="274" spans="1:47">
      <c r="A274" s="1118">
        <f t="shared" ca="1" si="67"/>
        <v>10</v>
      </c>
      <c r="B274" s="1351">
        <f t="shared" si="70"/>
        <v>0</v>
      </c>
      <c r="C274" s="2143">
        <f t="shared" si="80"/>
        <v>0</v>
      </c>
      <c r="D274" s="2144">
        <f t="shared" si="81"/>
        <v>0</v>
      </c>
      <c r="E274" s="2145">
        <f t="shared" si="71"/>
        <v>0</v>
      </c>
      <c r="F274" s="2145">
        <f t="shared" si="93"/>
        <v>0</v>
      </c>
      <c r="G274" s="2145">
        <f t="shared" si="94"/>
        <v>0</v>
      </c>
      <c r="H274" s="2145">
        <f>IF(N273&lt;0.01,0,IF(Adm!$S$4=Adm!$S$8,0,N273*Adm!$V$4))</f>
        <v>0</v>
      </c>
      <c r="I274" s="2145">
        <f>IF(N273&lt;0.01,0,IF(Adm!$S$5=Adm!$S$8,0,Adm!$AA$11*Adm!$X$4))</f>
        <v>0</v>
      </c>
      <c r="J274" s="2145">
        <f>IF(N273&lt;0.01,0,Adm!$Q$4*1.16)</f>
        <v>0</v>
      </c>
      <c r="K274" s="2145">
        <f>IF(N273&lt;0.01,0,IF(Adm!$O$4&gt;0,E274*Adm!$O$4,0))</f>
        <v>0</v>
      </c>
      <c r="L274" s="2145">
        <f t="shared" si="72"/>
        <v>0</v>
      </c>
      <c r="M274" s="2145">
        <f>IF(Adm!$G$4="si",MIN(N273+E274+H274+I274+J274-L274,Z274),0)</f>
        <v>0</v>
      </c>
      <c r="N274" s="2145">
        <f t="shared" si="73"/>
        <v>0</v>
      </c>
      <c r="O274" s="2146"/>
      <c r="P274" s="1101"/>
      <c r="V274" s="1352">
        <f t="shared" si="74"/>
        <v>7</v>
      </c>
      <c r="W274" s="1367">
        <f>IF(V274=1,Cal!$AB$127,0)</f>
        <v>0</v>
      </c>
      <c r="Y274" s="1368">
        <f t="shared" si="82"/>
        <v>0</v>
      </c>
      <c r="Z274" s="1369">
        <f t="shared" ca="1" si="75"/>
        <v>0</v>
      </c>
      <c r="AB274" s="1375">
        <f t="shared" si="83"/>
        <v>0</v>
      </c>
      <c r="AC274" s="1373">
        <f t="shared" si="84"/>
        <v>0</v>
      </c>
      <c r="AD274" s="1373">
        <f t="shared" si="88"/>
        <v>0</v>
      </c>
      <c r="AE274" s="1373">
        <f t="shared" si="85"/>
        <v>0</v>
      </c>
      <c r="AF274" s="1371">
        <f t="shared" si="68"/>
        <v>0</v>
      </c>
      <c r="AG274" s="1359" t="e">
        <f>HLOOKUP($AG$83,anticipado,188,0)</f>
        <v>#N/A</v>
      </c>
      <c r="AI274" s="1360">
        <f t="shared" si="76"/>
        <v>0</v>
      </c>
      <c r="AJ274" s="1361">
        <f t="shared" si="89"/>
        <v>187</v>
      </c>
      <c r="AK274" s="1362">
        <f t="shared" si="77"/>
        <v>0</v>
      </c>
      <c r="AL274" s="1362">
        <f t="shared" si="90"/>
        <v>0</v>
      </c>
      <c r="AM274" s="1362">
        <f t="shared" si="86"/>
        <v>0</v>
      </c>
      <c r="AN274" s="1363">
        <f t="shared" si="78"/>
        <v>1000000</v>
      </c>
      <c r="AQ274" s="1361" t="str">
        <f t="shared" si="99"/>
        <v/>
      </c>
      <c r="AR274" s="1362">
        <f t="shared" si="79"/>
        <v>0</v>
      </c>
      <c r="AS274" s="1362">
        <f t="shared" si="69"/>
        <v>0</v>
      </c>
      <c r="AT274" s="1362">
        <f t="shared" si="98"/>
        <v>0</v>
      </c>
      <c r="AU274" s="1363">
        <f t="shared" si="87"/>
        <v>0</v>
      </c>
    </row>
    <row r="275" spans="1:47">
      <c r="A275" s="1118">
        <f t="shared" ca="1" si="67"/>
        <v>11</v>
      </c>
      <c r="B275" s="1351">
        <f t="shared" si="70"/>
        <v>0</v>
      </c>
      <c r="C275" s="2143">
        <f t="shared" si="80"/>
        <v>0</v>
      </c>
      <c r="D275" s="2144">
        <f t="shared" si="81"/>
        <v>0</v>
      </c>
      <c r="E275" s="2145">
        <f t="shared" si="71"/>
        <v>0</v>
      </c>
      <c r="F275" s="2145">
        <f t="shared" si="93"/>
        <v>0</v>
      </c>
      <c r="G275" s="2145">
        <f t="shared" si="94"/>
        <v>0</v>
      </c>
      <c r="H275" s="2145">
        <f>IF(N274&lt;0.01,0,IF(Adm!$S$4=Adm!$S$8,0,N274*Adm!$V$4))</f>
        <v>0</v>
      </c>
      <c r="I275" s="2145">
        <f>IF(N274&lt;0.01,0,IF(Adm!$S$5=Adm!$S$8,0,Adm!$AA$11*Adm!$X$4))</f>
        <v>0</v>
      </c>
      <c r="J275" s="2145">
        <f>IF(N274&lt;0.01,0,Adm!$Q$4*1.16)</f>
        <v>0</v>
      </c>
      <c r="K275" s="2145">
        <f>IF(N274&lt;0.01,0,IF(Adm!$O$4&gt;0,E275*Adm!$O$4,0))</f>
        <v>0</v>
      </c>
      <c r="L275" s="2145">
        <f t="shared" si="72"/>
        <v>0</v>
      </c>
      <c r="M275" s="2145">
        <f>IF(Adm!$G$4="si",MIN(N274+E275+H275+I275+J275-L275,Z275),0)</f>
        <v>0</v>
      </c>
      <c r="N275" s="2145">
        <f t="shared" si="73"/>
        <v>0</v>
      </c>
      <c r="O275" s="2146"/>
      <c r="P275" s="1101"/>
      <c r="V275" s="1352">
        <f t="shared" si="74"/>
        <v>8</v>
      </c>
      <c r="W275" s="1367">
        <f>IF(V275=1,Cal!$AB$127,0)</f>
        <v>0</v>
      </c>
      <c r="Y275" s="1368">
        <f t="shared" si="82"/>
        <v>0</v>
      </c>
      <c r="Z275" s="1369">
        <f t="shared" ca="1" si="75"/>
        <v>0</v>
      </c>
      <c r="AB275" s="1375">
        <f t="shared" si="83"/>
        <v>0</v>
      </c>
      <c r="AC275" s="1373">
        <f t="shared" si="84"/>
        <v>0</v>
      </c>
      <c r="AD275" s="1373">
        <f t="shared" si="88"/>
        <v>0</v>
      </c>
      <c r="AE275" s="1373">
        <f t="shared" si="85"/>
        <v>0</v>
      </c>
      <c r="AF275" s="1371">
        <f t="shared" si="68"/>
        <v>0</v>
      </c>
      <c r="AG275" s="1359" t="e">
        <f>HLOOKUP($AG$83,anticipado,189,0)</f>
        <v>#N/A</v>
      </c>
      <c r="AI275" s="1360">
        <f t="shared" si="76"/>
        <v>0</v>
      </c>
      <c r="AJ275" s="1361">
        <f t="shared" si="89"/>
        <v>188</v>
      </c>
      <c r="AK275" s="1362">
        <f t="shared" si="77"/>
        <v>0</v>
      </c>
      <c r="AL275" s="1362">
        <f t="shared" si="90"/>
        <v>0</v>
      </c>
      <c r="AM275" s="1362">
        <f t="shared" si="86"/>
        <v>0</v>
      </c>
      <c r="AN275" s="1363">
        <f t="shared" si="78"/>
        <v>1000000</v>
      </c>
      <c r="AQ275" s="1361" t="str">
        <f t="shared" si="99"/>
        <v/>
      </c>
      <c r="AR275" s="1362">
        <f t="shared" si="79"/>
        <v>0</v>
      </c>
      <c r="AS275" s="1362">
        <f t="shared" si="69"/>
        <v>0</v>
      </c>
      <c r="AT275" s="1362">
        <f t="shared" si="98"/>
        <v>0</v>
      </c>
      <c r="AU275" s="1363">
        <f t="shared" si="87"/>
        <v>0</v>
      </c>
    </row>
    <row r="276" spans="1:47">
      <c r="A276" s="1118">
        <f t="shared" ca="1" si="67"/>
        <v>12</v>
      </c>
      <c r="B276" s="1351">
        <f t="shared" si="70"/>
        <v>0</v>
      </c>
      <c r="C276" s="2143">
        <f t="shared" si="80"/>
        <v>0</v>
      </c>
      <c r="D276" s="2144">
        <f t="shared" si="81"/>
        <v>0</v>
      </c>
      <c r="E276" s="2145">
        <f t="shared" si="71"/>
        <v>0</v>
      </c>
      <c r="F276" s="2145">
        <f t="shared" si="93"/>
        <v>0</v>
      </c>
      <c r="G276" s="2145">
        <f t="shared" si="94"/>
        <v>0</v>
      </c>
      <c r="H276" s="2145">
        <f>IF(N275&lt;0.01,0,IF(Adm!$S$4=Adm!$S$8,0,N275*Adm!$V$4))</f>
        <v>0</v>
      </c>
      <c r="I276" s="2145">
        <f>IF(N275&lt;0.01,0,IF(Adm!$S$5=Adm!$S$8,0,Adm!$AA$11*Adm!$X$4))</f>
        <v>0</v>
      </c>
      <c r="J276" s="2145">
        <f>IF(N275&lt;0.01,0,Adm!$Q$4*1.16)</f>
        <v>0</v>
      </c>
      <c r="K276" s="2145">
        <f>IF(N275&lt;0.01,0,IF(Adm!$O$4&gt;0,E276*Adm!$O$4,0))</f>
        <v>0</v>
      </c>
      <c r="L276" s="2145">
        <f t="shared" si="72"/>
        <v>0</v>
      </c>
      <c r="M276" s="2145">
        <f>IF(Adm!$G$4="si",MIN(N275+E276+H276+I276+J276-L276,Z276),0)</f>
        <v>0</v>
      </c>
      <c r="N276" s="2145">
        <f t="shared" si="73"/>
        <v>0</v>
      </c>
      <c r="O276" s="2146"/>
      <c r="P276" s="1101"/>
      <c r="V276" s="1352">
        <f t="shared" si="74"/>
        <v>9</v>
      </c>
      <c r="W276" s="1367">
        <f>IF(V276=1,Cal!$AB$127,0)</f>
        <v>0</v>
      </c>
      <c r="Y276" s="1368">
        <f t="shared" si="82"/>
        <v>0</v>
      </c>
      <c r="Z276" s="1369">
        <f t="shared" ca="1" si="75"/>
        <v>0</v>
      </c>
      <c r="AB276" s="1375">
        <f t="shared" si="83"/>
        <v>0</v>
      </c>
      <c r="AC276" s="1373">
        <f t="shared" si="84"/>
        <v>0</v>
      </c>
      <c r="AD276" s="1373">
        <f t="shared" si="88"/>
        <v>0</v>
      </c>
      <c r="AE276" s="1373">
        <f t="shared" si="85"/>
        <v>0</v>
      </c>
      <c r="AF276" s="1371">
        <f t="shared" si="68"/>
        <v>0</v>
      </c>
      <c r="AG276" s="1359" t="e">
        <f>HLOOKUP($AG$83,anticipado,190,0)</f>
        <v>#N/A</v>
      </c>
      <c r="AI276" s="1360">
        <f t="shared" si="76"/>
        <v>0</v>
      </c>
      <c r="AJ276" s="1361">
        <f t="shared" si="89"/>
        <v>189</v>
      </c>
      <c r="AK276" s="1362">
        <f t="shared" si="77"/>
        <v>0</v>
      </c>
      <c r="AL276" s="1362">
        <f t="shared" si="90"/>
        <v>0</v>
      </c>
      <c r="AM276" s="1362">
        <f t="shared" si="86"/>
        <v>0</v>
      </c>
      <c r="AN276" s="1363">
        <f t="shared" si="78"/>
        <v>1000000</v>
      </c>
      <c r="AQ276" s="1361" t="str">
        <f t="shared" si="99"/>
        <v/>
      </c>
      <c r="AR276" s="1362">
        <f t="shared" si="79"/>
        <v>0</v>
      </c>
      <c r="AS276" s="1362">
        <f t="shared" si="69"/>
        <v>0</v>
      </c>
      <c r="AT276" s="1362">
        <f t="shared" si="98"/>
        <v>0</v>
      </c>
      <c r="AU276" s="1363">
        <f t="shared" si="87"/>
        <v>0</v>
      </c>
    </row>
    <row r="277" spans="1:47">
      <c r="A277" s="1118">
        <f t="shared" ca="1" si="67"/>
        <v>1</v>
      </c>
      <c r="B277" s="1351">
        <f t="shared" si="70"/>
        <v>0</v>
      </c>
      <c r="C277" s="2143">
        <f t="shared" si="80"/>
        <v>0</v>
      </c>
      <c r="D277" s="2144">
        <f t="shared" si="81"/>
        <v>0</v>
      </c>
      <c r="E277" s="2145">
        <f t="shared" si="71"/>
        <v>0</v>
      </c>
      <c r="F277" s="2145">
        <f t="shared" si="93"/>
        <v>0</v>
      </c>
      <c r="G277" s="2145">
        <f t="shared" si="94"/>
        <v>0</v>
      </c>
      <c r="H277" s="2145">
        <f>IF(N276&lt;0.01,0,IF(Adm!$S$4=Adm!$S$8,0,N276*Adm!$V$4))</f>
        <v>0</v>
      </c>
      <c r="I277" s="2145">
        <f>IF(N276&lt;0.01,0,IF(Adm!$S$5=Adm!$S$8,0,Adm!$AA$11*Adm!$X$4))</f>
        <v>0</v>
      </c>
      <c r="J277" s="2145">
        <f>IF(N276&lt;0.01,0,Adm!$Q$4*1.16)</f>
        <v>0</v>
      </c>
      <c r="K277" s="2145">
        <f>IF(N276&lt;0.01,0,IF(Adm!$O$4&gt;0,E277*Adm!$O$4,0))</f>
        <v>0</v>
      </c>
      <c r="L277" s="2145">
        <f t="shared" si="72"/>
        <v>0</v>
      </c>
      <c r="M277" s="2145">
        <f>IF(Adm!$G$4="si",MIN(N276+E277+H277+I277+J277-L277,Z277),0)</f>
        <v>0</v>
      </c>
      <c r="N277" s="2145">
        <f t="shared" si="73"/>
        <v>0</v>
      </c>
      <c r="O277" s="2146"/>
      <c r="P277" s="1101"/>
      <c r="V277" s="1352">
        <f t="shared" si="74"/>
        <v>10</v>
      </c>
      <c r="W277" s="1367">
        <f>IF(V277=1,Cal!$AB$127,0)</f>
        <v>0</v>
      </c>
      <c r="Y277" s="1368">
        <f t="shared" si="82"/>
        <v>0</v>
      </c>
      <c r="Z277" s="1369">
        <f t="shared" ca="1" si="75"/>
        <v>0</v>
      </c>
      <c r="AB277" s="1375">
        <f t="shared" si="83"/>
        <v>0</v>
      </c>
      <c r="AC277" s="1373">
        <f t="shared" si="84"/>
        <v>0</v>
      </c>
      <c r="AD277" s="1373">
        <f t="shared" si="88"/>
        <v>0</v>
      </c>
      <c r="AE277" s="1373">
        <f t="shared" si="85"/>
        <v>0</v>
      </c>
      <c r="AF277" s="1371">
        <f t="shared" si="68"/>
        <v>0</v>
      </c>
      <c r="AG277" s="1359" t="e">
        <f>HLOOKUP($AG$83,anticipado,191,0)</f>
        <v>#N/A</v>
      </c>
      <c r="AI277" s="1360">
        <f t="shared" si="76"/>
        <v>0</v>
      </c>
      <c r="AJ277" s="1361">
        <f t="shared" si="89"/>
        <v>190</v>
      </c>
      <c r="AK277" s="1362">
        <f t="shared" si="77"/>
        <v>0</v>
      </c>
      <c r="AL277" s="1362">
        <f t="shared" si="90"/>
        <v>0</v>
      </c>
      <c r="AM277" s="1362">
        <f t="shared" si="86"/>
        <v>0</v>
      </c>
      <c r="AN277" s="1363">
        <f t="shared" si="78"/>
        <v>1000000</v>
      </c>
      <c r="AQ277" s="1361" t="str">
        <f t="shared" si="99"/>
        <v/>
      </c>
      <c r="AR277" s="1362">
        <f t="shared" si="79"/>
        <v>0</v>
      </c>
      <c r="AS277" s="1362">
        <f t="shared" si="69"/>
        <v>0</v>
      </c>
      <c r="AT277" s="1362">
        <f t="shared" si="98"/>
        <v>0</v>
      </c>
      <c r="AU277" s="1363">
        <f t="shared" si="87"/>
        <v>0</v>
      </c>
    </row>
    <row r="278" spans="1:47">
      <c r="A278" s="1118">
        <f t="shared" ca="1" si="67"/>
        <v>2</v>
      </c>
      <c r="B278" s="1351">
        <f t="shared" si="70"/>
        <v>0</v>
      </c>
      <c r="C278" s="2143">
        <f t="shared" si="80"/>
        <v>0</v>
      </c>
      <c r="D278" s="2144">
        <f t="shared" si="81"/>
        <v>0</v>
      </c>
      <c r="E278" s="2145">
        <f t="shared" si="71"/>
        <v>0</v>
      </c>
      <c r="F278" s="2145">
        <f t="shared" si="93"/>
        <v>0</v>
      </c>
      <c r="G278" s="2145">
        <f t="shared" si="94"/>
        <v>0</v>
      </c>
      <c r="H278" s="2145">
        <f>IF(N277&lt;0.01,0,IF(Adm!$S$4=Adm!$S$8,0,N277*Adm!$V$4))</f>
        <v>0</v>
      </c>
      <c r="I278" s="2145">
        <f>IF(N277&lt;0.01,0,IF(Adm!$S$5=Adm!$S$8,0,Adm!$AA$11*Adm!$X$4))</f>
        <v>0</v>
      </c>
      <c r="J278" s="2145">
        <f>IF(N277&lt;0.01,0,Adm!$Q$4*1.16)</f>
        <v>0</v>
      </c>
      <c r="K278" s="2145">
        <f>IF(N277&lt;0.01,0,IF(Adm!$O$4&gt;0,E278*Adm!$O$4,0))</f>
        <v>0</v>
      </c>
      <c r="L278" s="2145">
        <f t="shared" si="72"/>
        <v>0</v>
      </c>
      <c r="M278" s="2145">
        <f>IF(Adm!$G$4="si",MIN(N277+E278+H278+I278+J278-L278,Z278),0)</f>
        <v>0</v>
      </c>
      <c r="N278" s="2145">
        <f t="shared" si="73"/>
        <v>0</v>
      </c>
      <c r="O278" s="2146"/>
      <c r="P278" s="1101"/>
      <c r="V278" s="1352">
        <f t="shared" si="74"/>
        <v>11</v>
      </c>
      <c r="W278" s="1367">
        <f>IF(V278=1,Cal!$AB$127,0)</f>
        <v>0</v>
      </c>
      <c r="Y278" s="1368">
        <f t="shared" si="82"/>
        <v>0</v>
      </c>
      <c r="Z278" s="1369">
        <f t="shared" ca="1" si="75"/>
        <v>0</v>
      </c>
      <c r="AB278" s="1375">
        <f t="shared" si="83"/>
        <v>0</v>
      </c>
      <c r="AC278" s="1373">
        <f t="shared" si="84"/>
        <v>0</v>
      </c>
      <c r="AD278" s="1373">
        <f t="shared" si="88"/>
        <v>0</v>
      </c>
      <c r="AE278" s="1373">
        <f t="shared" si="85"/>
        <v>0</v>
      </c>
      <c r="AF278" s="1371">
        <f t="shared" si="68"/>
        <v>0</v>
      </c>
      <c r="AG278" s="1359" t="e">
        <f>HLOOKUP($AG$83,anticipado,192,0)</f>
        <v>#N/A</v>
      </c>
      <c r="AI278" s="1360">
        <f t="shared" si="76"/>
        <v>0</v>
      </c>
      <c r="AJ278" s="1361">
        <f t="shared" si="89"/>
        <v>191</v>
      </c>
      <c r="AK278" s="1362">
        <f t="shared" si="77"/>
        <v>0</v>
      </c>
      <c r="AL278" s="1362">
        <f t="shared" si="90"/>
        <v>0</v>
      </c>
      <c r="AM278" s="1362">
        <f t="shared" si="86"/>
        <v>0</v>
      </c>
      <c r="AN278" s="1363">
        <f t="shared" si="78"/>
        <v>1000000</v>
      </c>
      <c r="AQ278" s="1361" t="str">
        <f t="shared" si="99"/>
        <v/>
      </c>
      <c r="AR278" s="1362">
        <f t="shared" si="79"/>
        <v>0</v>
      </c>
      <c r="AS278" s="1362">
        <f t="shared" si="69"/>
        <v>0</v>
      </c>
      <c r="AT278" s="1362">
        <f t="shared" si="98"/>
        <v>0</v>
      </c>
      <c r="AU278" s="1363">
        <f t="shared" si="87"/>
        <v>0</v>
      </c>
    </row>
    <row r="279" spans="1:47">
      <c r="A279" s="1118">
        <f t="shared" ca="1" si="67"/>
        <v>3</v>
      </c>
      <c r="B279" s="1351">
        <f t="shared" si="70"/>
        <v>0</v>
      </c>
      <c r="C279" s="2143">
        <f t="shared" si="80"/>
        <v>0</v>
      </c>
      <c r="D279" s="2144">
        <f t="shared" si="81"/>
        <v>0</v>
      </c>
      <c r="E279" s="2145">
        <f t="shared" si="71"/>
        <v>0</v>
      </c>
      <c r="F279" s="2145">
        <f t="shared" si="93"/>
        <v>0</v>
      </c>
      <c r="G279" s="2145">
        <f t="shared" si="94"/>
        <v>0</v>
      </c>
      <c r="H279" s="2145">
        <f>IF(N278&lt;0.01,0,IF(Adm!$S$4=Adm!$S$8,0,N278*Adm!$V$4))</f>
        <v>0</v>
      </c>
      <c r="I279" s="2145">
        <f>IF(N278&lt;0.01,0,IF(Adm!$S$5=Adm!$S$8,0,Adm!$AA$11*Adm!$X$4))</f>
        <v>0</v>
      </c>
      <c r="J279" s="2145">
        <f>IF(N278&lt;0.01,0,Adm!$Q$4*1.16)</f>
        <v>0</v>
      </c>
      <c r="K279" s="2145">
        <f>IF(N278&lt;0.01,0,IF(Adm!$O$4&gt;0,E279*Adm!$O$4,0))</f>
        <v>0</v>
      </c>
      <c r="L279" s="2145">
        <f t="shared" si="72"/>
        <v>0</v>
      </c>
      <c r="M279" s="2145">
        <f>IF(Adm!$G$4="si",MIN(N278+E279+H279+I279+J279-L279,Z279),0)</f>
        <v>0</v>
      </c>
      <c r="N279" s="2145">
        <f t="shared" si="73"/>
        <v>0</v>
      </c>
      <c r="O279" s="2146"/>
      <c r="P279" s="1101"/>
      <c r="V279" s="1352">
        <f t="shared" si="74"/>
        <v>12</v>
      </c>
      <c r="W279" s="1367">
        <f>IF(V279=1,Cal!$AB$127,0)</f>
        <v>0</v>
      </c>
      <c r="Y279" s="1368">
        <f t="shared" si="82"/>
        <v>0</v>
      </c>
      <c r="Z279" s="1369">
        <f t="shared" ca="1" si="75"/>
        <v>0</v>
      </c>
      <c r="AB279" s="1375">
        <f t="shared" si="83"/>
        <v>0</v>
      </c>
      <c r="AC279" s="1373">
        <f t="shared" si="84"/>
        <v>0</v>
      </c>
      <c r="AD279" s="1373">
        <f t="shared" si="88"/>
        <v>0</v>
      </c>
      <c r="AE279" s="1373">
        <f t="shared" si="85"/>
        <v>0</v>
      </c>
      <c r="AF279" s="1371">
        <f t="shared" si="68"/>
        <v>0</v>
      </c>
      <c r="AG279" s="1359" t="e">
        <f>HLOOKUP($AG$83,anticipado,193,0)</f>
        <v>#N/A</v>
      </c>
      <c r="AI279" s="1360">
        <f t="shared" si="76"/>
        <v>0</v>
      </c>
      <c r="AJ279" s="1361">
        <f t="shared" si="89"/>
        <v>192</v>
      </c>
      <c r="AK279" s="1362">
        <f t="shared" si="77"/>
        <v>0</v>
      </c>
      <c r="AL279" s="1362">
        <f t="shared" si="90"/>
        <v>0</v>
      </c>
      <c r="AM279" s="1362">
        <f t="shared" si="86"/>
        <v>0</v>
      </c>
      <c r="AN279" s="1363">
        <f t="shared" si="78"/>
        <v>1000000</v>
      </c>
      <c r="AQ279" s="1361" t="str">
        <f t="shared" si="99"/>
        <v/>
      </c>
      <c r="AR279" s="1362">
        <f t="shared" si="79"/>
        <v>0</v>
      </c>
      <c r="AS279" s="1362">
        <f t="shared" si="69"/>
        <v>0</v>
      </c>
      <c r="AT279" s="1362">
        <f t="shared" si="98"/>
        <v>0</v>
      </c>
      <c r="AU279" s="1363">
        <f t="shared" si="87"/>
        <v>0</v>
      </c>
    </row>
    <row r="280" spans="1:47">
      <c r="A280" s="1118">
        <f t="shared" ref="A280:A343" ca="1" si="100">IF(A279=12,1,A279+1)</f>
        <v>4</v>
      </c>
      <c r="B280" s="1351">
        <f t="shared" si="70"/>
        <v>0</v>
      </c>
      <c r="C280" s="2143">
        <f t="shared" si="80"/>
        <v>0</v>
      </c>
      <c r="D280" s="2144">
        <f t="shared" si="81"/>
        <v>0</v>
      </c>
      <c r="E280" s="2145">
        <f t="shared" si="71"/>
        <v>0</v>
      </c>
      <c r="F280" s="2145">
        <f t="shared" si="93"/>
        <v>0</v>
      </c>
      <c r="G280" s="2145">
        <f t="shared" si="94"/>
        <v>0</v>
      </c>
      <c r="H280" s="2145">
        <f>IF(N279&lt;0.01,0,IF(Adm!$S$4=Adm!$S$8,0,N279*Adm!$V$4))</f>
        <v>0</v>
      </c>
      <c r="I280" s="2145">
        <f>IF(N279&lt;0.01,0,IF(Adm!$S$5=Adm!$S$8,0,Adm!$AA$11*Adm!$X$4))</f>
        <v>0</v>
      </c>
      <c r="J280" s="2145">
        <f>IF(N279&lt;0.01,0,Adm!$Q$4*1.16)</f>
        <v>0</v>
      </c>
      <c r="K280" s="2145">
        <f>IF(N279&lt;0.01,0,IF(Adm!$O$4&gt;0,E280*Adm!$O$4,0))</f>
        <v>0</v>
      </c>
      <c r="L280" s="2145">
        <f t="shared" si="72"/>
        <v>0</v>
      </c>
      <c r="M280" s="2145">
        <f>IF(Adm!$G$4="si",MIN(N279+E280+H280+I280+J280-L280,Z280),0)</f>
        <v>0</v>
      </c>
      <c r="N280" s="2145">
        <f t="shared" si="73"/>
        <v>0</v>
      </c>
      <c r="O280" s="2146"/>
      <c r="P280" s="1101"/>
      <c r="V280" s="1352">
        <f t="shared" si="74"/>
        <v>1</v>
      </c>
      <c r="W280" s="1367">
        <f>IF(V280=1,Cal!$AB$127,0)</f>
        <v>0</v>
      </c>
      <c r="Y280" s="1368">
        <f t="shared" si="82"/>
        <v>0</v>
      </c>
      <c r="Z280" s="1369">
        <f t="shared" ca="1" si="75"/>
        <v>0</v>
      </c>
      <c r="AB280" s="1375">
        <f t="shared" si="83"/>
        <v>0</v>
      </c>
      <c r="AC280" s="1373">
        <f t="shared" si="84"/>
        <v>0</v>
      </c>
      <c r="AD280" s="1373">
        <f t="shared" si="88"/>
        <v>0</v>
      </c>
      <c r="AE280" s="1373">
        <f t="shared" si="85"/>
        <v>0</v>
      </c>
      <c r="AF280" s="1371">
        <f t="shared" ref="AF280:AF327" si="101">IF(AND($AD$82=2,O279&lt;0.01),0,IF($AD$82=2,(N279*AG280)+E280,0))</f>
        <v>0</v>
      </c>
      <c r="AG280" s="1359" t="e">
        <f>HLOOKUP($AG$83,anticipado,194,0)</f>
        <v>#N/A</v>
      </c>
      <c r="AI280" s="1360">
        <f t="shared" si="76"/>
        <v>0</v>
      </c>
      <c r="AJ280" s="1377">
        <f t="shared" si="89"/>
        <v>193</v>
      </c>
      <c r="AK280" s="1378">
        <f t="shared" si="77"/>
        <v>0</v>
      </c>
      <c r="AL280" s="1378">
        <f t="shared" si="90"/>
        <v>0</v>
      </c>
      <c r="AM280" s="1378">
        <f>MIN(AN279+AK280,AM279*(1+$AK$83))</f>
        <v>0</v>
      </c>
      <c r="AN280" s="1363">
        <f t="shared" si="78"/>
        <v>1000000</v>
      </c>
      <c r="AQ280" s="1382" t="str">
        <f t="shared" si="99"/>
        <v/>
      </c>
      <c r="AR280" s="1380">
        <f t="shared" si="79"/>
        <v>0</v>
      </c>
      <c r="AS280" s="1383">
        <f t="shared" ref="AS280:AS327" si="102">AT280-AR280</f>
        <v>0</v>
      </c>
      <c r="AT280" s="1383">
        <f>MIN(AU279+AR280,AT279*(1+$AR$83))</f>
        <v>0</v>
      </c>
      <c r="AU280" s="1363">
        <f t="shared" si="87"/>
        <v>0</v>
      </c>
    </row>
    <row r="281" spans="1:47">
      <c r="A281" s="1118">
        <f t="shared" ca="1" si="100"/>
        <v>5</v>
      </c>
      <c r="B281" s="1351">
        <f t="shared" ref="B281:B325" si="103">IF(N280&gt;0,B280-1,0)</f>
        <v>0</v>
      </c>
      <c r="C281" s="2143">
        <f t="shared" si="80"/>
        <v>0</v>
      </c>
      <c r="D281" s="2144">
        <f t="shared" si="81"/>
        <v>0</v>
      </c>
      <c r="E281" s="2145">
        <f t="shared" ref="E281:E327" si="104">IF(N280&lt;0.01,0,N280*D281*30.4166/360)</f>
        <v>0</v>
      </c>
      <c r="F281" s="2145">
        <f t="shared" si="93"/>
        <v>0</v>
      </c>
      <c r="G281" s="2145">
        <f t="shared" si="94"/>
        <v>0</v>
      </c>
      <c r="H281" s="2145">
        <f>IF(N280&lt;0.01,0,IF(Adm!$S$4=Adm!$S$8,0,N280*Adm!$V$4))</f>
        <v>0</v>
      </c>
      <c r="I281" s="2145">
        <f>IF(N280&lt;0.01,0,IF(Adm!$S$5=Adm!$S$8,0,Adm!$AA$11*Adm!$X$4))</f>
        <v>0</v>
      </c>
      <c r="J281" s="2145">
        <f>IF(N280&lt;0.01,0,Adm!$Q$4*1.16)</f>
        <v>0</v>
      </c>
      <c r="K281" s="2145">
        <f>IF(N280&lt;0.01,0,IF(Adm!$O$4&gt;0,E281*Adm!$O$4,0))</f>
        <v>0</v>
      </c>
      <c r="L281" s="2145">
        <f t="shared" ref="L281:L327" si="105">G281+H281+I281+J281+K281</f>
        <v>0</v>
      </c>
      <c r="M281" s="2145">
        <f>IF(Adm!$G$4="si",MIN(N280+E281+H281+I281+J281-L281,Z281),0)</f>
        <v>0</v>
      </c>
      <c r="N281" s="2145">
        <f t="shared" ref="N281:N327" si="106">IF(N280&lt;0.001,0,+N280-F281-M281-O281)</f>
        <v>0</v>
      </c>
      <c r="O281" s="2146"/>
      <c r="P281" s="1101"/>
      <c r="V281" s="1352">
        <f t="shared" ref="V281:V344" si="107">IF(V280=12,1,V280+1)</f>
        <v>2</v>
      </c>
      <c r="W281" s="1367">
        <f>IF(V281=1,Cal!$AB$127,0)</f>
        <v>0</v>
      </c>
      <c r="Y281" s="1368">
        <f t="shared" si="82"/>
        <v>0</v>
      </c>
      <c r="Z281" s="1369">
        <f t="shared" ref="Z281:Z327" ca="1" si="108">IF(MOD(A281,2)=0,Y281*0.05*2,0)</f>
        <v>0</v>
      </c>
      <c r="AB281" s="1375">
        <f t="shared" si="83"/>
        <v>0</v>
      </c>
      <c r="AC281" s="1373">
        <f t="shared" si="84"/>
        <v>0</v>
      </c>
      <c r="AD281" s="1373">
        <f t="shared" si="88"/>
        <v>0</v>
      </c>
      <c r="AE281" s="1373">
        <f t="shared" si="85"/>
        <v>0</v>
      </c>
      <c r="AF281" s="1371">
        <f t="shared" si="101"/>
        <v>0</v>
      </c>
      <c r="AG281" s="1359" t="e">
        <f>HLOOKUP($AG$83,anticipado,195,0)</f>
        <v>#N/A</v>
      </c>
      <c r="AI281" s="1360">
        <f t="shared" ref="AI281:AI327" si="109">AL281/AN280</f>
        <v>0</v>
      </c>
      <c r="AJ281" s="1361">
        <f t="shared" si="89"/>
        <v>194</v>
      </c>
      <c r="AK281" s="1362">
        <f t="shared" ref="AK281:AK327" si="110">AN280*$AK$81*30.4166/360</f>
        <v>0</v>
      </c>
      <c r="AL281" s="1362">
        <f t="shared" si="90"/>
        <v>0</v>
      </c>
      <c r="AM281" s="1362">
        <f t="shared" si="86"/>
        <v>0</v>
      </c>
      <c r="AN281" s="1363">
        <f t="shared" ref="AN281:AN327" si="111">IF(AN280&lt;0.001,0,AN280-AL281-AO281)</f>
        <v>1000000</v>
      </c>
      <c r="AQ281" s="1361" t="str">
        <f t="shared" si="99"/>
        <v/>
      </c>
      <c r="AR281" s="1362">
        <f t="shared" ref="AR281:AR327" si="112">AU280*$AR$81*30.4166/360</f>
        <v>0</v>
      </c>
      <c r="AS281" s="1362">
        <f t="shared" si="102"/>
        <v>0</v>
      </c>
      <c r="AT281" s="1362">
        <f t="shared" ref="AT281:AT291" si="113">MIN(AU280+AR281,AT280)</f>
        <v>0</v>
      </c>
      <c r="AU281" s="1363">
        <f t="shared" si="87"/>
        <v>0</v>
      </c>
    </row>
    <row r="282" spans="1:47">
      <c r="A282" s="1118">
        <f t="shared" ca="1" si="100"/>
        <v>6</v>
      </c>
      <c r="B282" s="1351">
        <f t="shared" si="103"/>
        <v>0</v>
      </c>
      <c r="C282" s="2143">
        <f t="shared" ref="C282:C327" si="114">IF(N281&lt;0.01,0,C281+1)</f>
        <v>0</v>
      </c>
      <c r="D282" s="2144">
        <f t="shared" ref="D282:D327" si="115">IF(N281&lt;0.01,0,D281)</f>
        <v>0</v>
      </c>
      <c r="E282" s="2145">
        <f t="shared" si="104"/>
        <v>0</v>
      </c>
      <c r="F282" s="2145">
        <f t="shared" si="93"/>
        <v>0</v>
      </c>
      <c r="G282" s="2145">
        <f t="shared" si="94"/>
        <v>0</v>
      </c>
      <c r="H282" s="2145">
        <f>IF(N281&lt;0.01,0,IF(Adm!$S$4=Adm!$S$8,0,N281*Adm!$V$4))</f>
        <v>0</v>
      </c>
      <c r="I282" s="2145">
        <f>IF(N281&lt;0.01,0,IF(Adm!$S$5=Adm!$S$8,0,Adm!$AA$11*Adm!$X$4))</f>
        <v>0</v>
      </c>
      <c r="J282" s="2145">
        <f>IF(N281&lt;0.01,0,Adm!$Q$4*1.16)</f>
        <v>0</v>
      </c>
      <c r="K282" s="2145">
        <f>IF(N281&lt;0.01,0,IF(Adm!$O$4&gt;0,E282*Adm!$O$4,0))</f>
        <v>0</v>
      </c>
      <c r="L282" s="2145">
        <f t="shared" si="105"/>
        <v>0</v>
      </c>
      <c r="M282" s="2145">
        <f>IF(Adm!$G$4="si",MIN(N281+E282+H282+I282+J282-L282,Z282),0)</f>
        <v>0</v>
      </c>
      <c r="N282" s="2145">
        <f t="shared" si="106"/>
        <v>0</v>
      </c>
      <c r="O282" s="2146"/>
      <c r="P282" s="1101"/>
      <c r="V282" s="1352">
        <f t="shared" si="107"/>
        <v>3</v>
      </c>
      <c r="W282" s="1367">
        <f>IF(V282=1,Cal!$AB$127,0)</f>
        <v>0</v>
      </c>
      <c r="Y282" s="1368">
        <f t="shared" ref="Y282:Y345" si="116">Y281</f>
        <v>0</v>
      </c>
      <c r="Z282" s="1369">
        <f t="shared" ca="1" si="108"/>
        <v>0</v>
      </c>
      <c r="AB282" s="1375">
        <f t="shared" ref="AB282:AB327" si="117">IF(AC282&gt;1,AC282,IF(AE282&gt;1,AE282,0))</f>
        <v>0</v>
      </c>
      <c r="AC282" s="1373">
        <f t="shared" ref="AC282:AC327" si="118">IF(AND($AD$82=1,O281&gt;0.1),AD282,0)</f>
        <v>0</v>
      </c>
      <c r="AD282" s="1373">
        <f t="shared" si="88"/>
        <v>0</v>
      </c>
      <c r="AE282" s="1373">
        <f t="shared" ref="AE282:AE327" si="119">IF(AND(AF282&gt;0.01,$AB$82=2),AF282,0)</f>
        <v>0</v>
      </c>
      <c r="AF282" s="1371">
        <f t="shared" si="101"/>
        <v>0</v>
      </c>
      <c r="AG282" s="1359" t="e">
        <f>HLOOKUP($AG$83,anticipado,196,0)</f>
        <v>#N/A</v>
      </c>
      <c r="AI282" s="1360">
        <f t="shared" si="109"/>
        <v>0</v>
      </c>
      <c r="AJ282" s="1361">
        <f t="shared" si="89"/>
        <v>195</v>
      </c>
      <c r="AK282" s="1362">
        <f t="shared" si="110"/>
        <v>0</v>
      </c>
      <c r="AL282" s="1362">
        <f t="shared" si="90"/>
        <v>0</v>
      </c>
      <c r="AM282" s="1362">
        <f t="shared" ref="AM282:AM327" si="120">MIN(AN281+AK282,AM281)</f>
        <v>0</v>
      </c>
      <c r="AN282" s="1363">
        <f t="shared" si="111"/>
        <v>1000000</v>
      </c>
      <c r="AQ282" s="1361" t="str">
        <f t="shared" si="99"/>
        <v/>
      </c>
      <c r="AR282" s="1362">
        <f t="shared" si="112"/>
        <v>0</v>
      </c>
      <c r="AS282" s="1362">
        <f t="shared" si="102"/>
        <v>0</v>
      </c>
      <c r="AT282" s="1362">
        <f t="shared" si="113"/>
        <v>0</v>
      </c>
      <c r="AU282" s="1363">
        <f t="shared" ref="AU282:AU327" si="121">IF(AU281&lt;0.001,0,AU281-AS282)</f>
        <v>0</v>
      </c>
    </row>
    <row r="283" spans="1:47">
      <c r="A283" s="1118">
        <f t="shared" ca="1" si="100"/>
        <v>7</v>
      </c>
      <c r="B283" s="1351">
        <f t="shared" si="103"/>
        <v>0</v>
      </c>
      <c r="C283" s="2143">
        <f t="shared" si="114"/>
        <v>0</v>
      </c>
      <c r="D283" s="2144">
        <f t="shared" si="115"/>
        <v>0</v>
      </c>
      <c r="E283" s="2145">
        <f t="shared" si="104"/>
        <v>0</v>
      </c>
      <c r="F283" s="2145">
        <f t="shared" si="93"/>
        <v>0</v>
      </c>
      <c r="G283" s="2145">
        <f t="shared" si="94"/>
        <v>0</v>
      </c>
      <c r="H283" s="2145">
        <f>IF(N282&lt;0.01,0,IF(Adm!$S$4=Adm!$S$8,0,N282*Adm!$V$4))</f>
        <v>0</v>
      </c>
      <c r="I283" s="2145">
        <f>IF(N282&lt;0.01,0,IF(Adm!$S$5=Adm!$S$8,0,Adm!$AA$11*Adm!$X$4))</f>
        <v>0</v>
      </c>
      <c r="J283" s="2145">
        <f>IF(N282&lt;0.01,0,Adm!$Q$4*1.16)</f>
        <v>0</v>
      </c>
      <c r="K283" s="2145">
        <f>IF(N282&lt;0.01,0,IF(Adm!$O$4&gt;0,E283*Adm!$O$4,0))</f>
        <v>0</v>
      </c>
      <c r="L283" s="2145">
        <f t="shared" si="105"/>
        <v>0</v>
      </c>
      <c r="M283" s="2145">
        <f>IF(Adm!$G$4="si",MIN(N282+E283+H283+I283+J283-L283,Z283),0)</f>
        <v>0</v>
      </c>
      <c r="N283" s="2145">
        <f t="shared" si="106"/>
        <v>0</v>
      </c>
      <c r="O283" s="2146"/>
      <c r="P283" s="1101"/>
      <c r="V283" s="1352">
        <f t="shared" si="107"/>
        <v>4</v>
      </c>
      <c r="W283" s="1367">
        <f>IF(V283=1,Cal!$AB$127,0)</f>
        <v>0</v>
      </c>
      <c r="Y283" s="1368">
        <f t="shared" si="116"/>
        <v>0</v>
      </c>
      <c r="Z283" s="1369">
        <f t="shared" ca="1" si="108"/>
        <v>0</v>
      </c>
      <c r="AB283" s="1375">
        <f t="shared" si="117"/>
        <v>0</v>
      </c>
      <c r="AC283" s="1373">
        <f t="shared" si="118"/>
        <v>0</v>
      </c>
      <c r="AD283" s="1373">
        <f t="shared" ref="AD283:AD327" si="122">IF(AND($AD$82=1,$AB$82=2),PMT((($D$88/360)*(365/12)),B282,-N282),0)</f>
        <v>0</v>
      </c>
      <c r="AE283" s="1373">
        <f t="shared" si="119"/>
        <v>0</v>
      </c>
      <c r="AF283" s="1371">
        <f t="shared" si="101"/>
        <v>0</v>
      </c>
      <c r="AG283" s="1359" t="e">
        <f>HLOOKUP($AG$83,anticipado,197,0)</f>
        <v>#N/A</v>
      </c>
      <c r="AI283" s="1360">
        <f t="shared" si="109"/>
        <v>0</v>
      </c>
      <c r="AJ283" s="1361">
        <f t="shared" ref="AJ283:AJ327" si="123">IF(AN282&lt;=0,"",AJ282+1)</f>
        <v>196</v>
      </c>
      <c r="AK283" s="1362">
        <f t="shared" si="110"/>
        <v>0</v>
      </c>
      <c r="AL283" s="1362">
        <f t="shared" ref="AL283:AL327" si="124">AM283-AK283</f>
        <v>0</v>
      </c>
      <c r="AM283" s="1362">
        <f t="shared" si="120"/>
        <v>0</v>
      </c>
      <c r="AN283" s="1363">
        <f t="shared" si="111"/>
        <v>1000000</v>
      </c>
      <c r="AQ283" s="1361" t="str">
        <f t="shared" si="99"/>
        <v/>
      </c>
      <c r="AR283" s="1362">
        <f t="shared" si="112"/>
        <v>0</v>
      </c>
      <c r="AS283" s="1362">
        <f t="shared" si="102"/>
        <v>0</v>
      </c>
      <c r="AT283" s="1362">
        <f t="shared" si="113"/>
        <v>0</v>
      </c>
      <c r="AU283" s="1363">
        <f t="shared" si="121"/>
        <v>0</v>
      </c>
    </row>
    <row r="284" spans="1:47">
      <c r="A284" s="1118">
        <f t="shared" ca="1" si="100"/>
        <v>8</v>
      </c>
      <c r="B284" s="1351">
        <f t="shared" si="103"/>
        <v>0</v>
      </c>
      <c r="C284" s="2143">
        <f t="shared" si="114"/>
        <v>0</v>
      </c>
      <c r="D284" s="2144">
        <f t="shared" si="115"/>
        <v>0</v>
      </c>
      <c r="E284" s="2145">
        <f t="shared" si="104"/>
        <v>0</v>
      </c>
      <c r="F284" s="2145">
        <f t="shared" si="93"/>
        <v>0</v>
      </c>
      <c r="G284" s="2145">
        <f t="shared" si="94"/>
        <v>0</v>
      </c>
      <c r="H284" s="2145">
        <f>IF(N283&lt;0.01,0,IF(Adm!$S$4=Adm!$S$8,0,N283*Adm!$V$4))</f>
        <v>0</v>
      </c>
      <c r="I284" s="2145">
        <f>IF(N283&lt;0.01,0,IF(Adm!$S$5=Adm!$S$8,0,Adm!$AA$11*Adm!$X$4))</f>
        <v>0</v>
      </c>
      <c r="J284" s="2145">
        <f>IF(N283&lt;0.01,0,Adm!$Q$4*1.16)</f>
        <v>0</v>
      </c>
      <c r="K284" s="2145">
        <f>IF(N283&lt;0.01,0,IF(Adm!$O$4&gt;0,E284*Adm!$O$4,0))</f>
        <v>0</v>
      </c>
      <c r="L284" s="2145">
        <f t="shared" si="105"/>
        <v>0</v>
      </c>
      <c r="M284" s="2145">
        <f>IF(Adm!$G$4="si",MIN(N283+E284+H284+I284+J284-L284,Z284),0)</f>
        <v>0</v>
      </c>
      <c r="N284" s="2145">
        <f t="shared" si="106"/>
        <v>0</v>
      </c>
      <c r="O284" s="2146"/>
      <c r="P284" s="1101"/>
      <c r="V284" s="1352">
        <f t="shared" si="107"/>
        <v>5</v>
      </c>
      <c r="W284" s="1367">
        <f>IF(V284=1,Cal!$AB$127,0)</f>
        <v>0</v>
      </c>
      <c r="Y284" s="1368">
        <f t="shared" si="116"/>
        <v>0</v>
      </c>
      <c r="Z284" s="1369">
        <f t="shared" ca="1" si="108"/>
        <v>0</v>
      </c>
      <c r="AB284" s="1375">
        <f t="shared" si="117"/>
        <v>0</v>
      </c>
      <c r="AC284" s="1373">
        <f t="shared" si="118"/>
        <v>0</v>
      </c>
      <c r="AD284" s="1373">
        <f t="shared" si="122"/>
        <v>0</v>
      </c>
      <c r="AE284" s="1373">
        <f t="shared" si="119"/>
        <v>0</v>
      </c>
      <c r="AF284" s="1371">
        <f t="shared" si="101"/>
        <v>0</v>
      </c>
      <c r="AG284" s="1359" t="e">
        <f>HLOOKUP($AG$83,anticipado,198,0)</f>
        <v>#N/A</v>
      </c>
      <c r="AI284" s="1360">
        <f t="shared" si="109"/>
        <v>0</v>
      </c>
      <c r="AJ284" s="1361">
        <f t="shared" si="123"/>
        <v>197</v>
      </c>
      <c r="AK284" s="1362">
        <f t="shared" si="110"/>
        <v>0</v>
      </c>
      <c r="AL284" s="1362">
        <f t="shared" si="124"/>
        <v>0</v>
      </c>
      <c r="AM284" s="1362">
        <f t="shared" si="120"/>
        <v>0</v>
      </c>
      <c r="AN284" s="1363">
        <f t="shared" si="111"/>
        <v>1000000</v>
      </c>
      <c r="AQ284" s="1361" t="str">
        <f t="shared" si="99"/>
        <v/>
      </c>
      <c r="AR284" s="1362">
        <f t="shared" si="112"/>
        <v>0</v>
      </c>
      <c r="AS284" s="1362">
        <f t="shared" si="102"/>
        <v>0</v>
      </c>
      <c r="AT284" s="1362">
        <f t="shared" si="113"/>
        <v>0</v>
      </c>
      <c r="AU284" s="1363">
        <f t="shared" si="121"/>
        <v>0</v>
      </c>
    </row>
    <row r="285" spans="1:47">
      <c r="A285" s="1118">
        <f t="shared" ca="1" si="100"/>
        <v>9</v>
      </c>
      <c r="B285" s="1351">
        <f t="shared" si="103"/>
        <v>0</v>
      </c>
      <c r="C285" s="2143">
        <f t="shared" si="114"/>
        <v>0</v>
      </c>
      <c r="D285" s="2144">
        <f t="shared" si="115"/>
        <v>0</v>
      </c>
      <c r="E285" s="2145">
        <f t="shared" si="104"/>
        <v>0</v>
      </c>
      <c r="F285" s="2145">
        <f t="shared" si="93"/>
        <v>0</v>
      </c>
      <c r="G285" s="2145">
        <f t="shared" si="94"/>
        <v>0</v>
      </c>
      <c r="H285" s="2145">
        <f>IF(N284&lt;0.01,0,IF(Adm!$S$4=Adm!$S$8,0,N284*Adm!$V$4))</f>
        <v>0</v>
      </c>
      <c r="I285" s="2145">
        <f>IF(N284&lt;0.01,0,IF(Adm!$S$5=Adm!$S$8,0,Adm!$AA$11*Adm!$X$4))</f>
        <v>0</v>
      </c>
      <c r="J285" s="2145">
        <f>IF(N284&lt;0.01,0,Adm!$Q$4*1.16)</f>
        <v>0</v>
      </c>
      <c r="K285" s="2145">
        <f>IF(N284&lt;0.01,0,IF(Adm!$O$4&gt;0,E285*Adm!$O$4,0))</f>
        <v>0</v>
      </c>
      <c r="L285" s="2145">
        <f t="shared" si="105"/>
        <v>0</v>
      </c>
      <c r="M285" s="2145">
        <f>IF(Adm!$G$4="si",MIN(N284+E285+H285+I285+J285-L285,Z285),0)</f>
        <v>0</v>
      </c>
      <c r="N285" s="2145">
        <f t="shared" si="106"/>
        <v>0</v>
      </c>
      <c r="O285" s="2146"/>
      <c r="P285" s="1101"/>
      <c r="V285" s="1352">
        <f t="shared" si="107"/>
        <v>6</v>
      </c>
      <c r="W285" s="1367">
        <f>IF(V285=1,Cal!$AB$127,0)</f>
        <v>0</v>
      </c>
      <c r="Y285" s="1368">
        <f t="shared" si="116"/>
        <v>0</v>
      </c>
      <c r="Z285" s="1369">
        <f t="shared" ca="1" si="108"/>
        <v>0</v>
      </c>
      <c r="AB285" s="1375">
        <f t="shared" si="117"/>
        <v>0</v>
      </c>
      <c r="AC285" s="1373">
        <f t="shared" si="118"/>
        <v>0</v>
      </c>
      <c r="AD285" s="1373">
        <f t="shared" si="122"/>
        <v>0</v>
      </c>
      <c r="AE285" s="1373">
        <f t="shared" si="119"/>
        <v>0</v>
      </c>
      <c r="AF285" s="1371">
        <f t="shared" si="101"/>
        <v>0</v>
      </c>
      <c r="AG285" s="1359" t="e">
        <f>HLOOKUP($AG$83,anticipado,199,0)</f>
        <v>#N/A</v>
      </c>
      <c r="AI285" s="1360">
        <f t="shared" si="109"/>
        <v>0</v>
      </c>
      <c r="AJ285" s="1361">
        <f t="shared" si="123"/>
        <v>198</v>
      </c>
      <c r="AK285" s="1362">
        <f t="shared" si="110"/>
        <v>0</v>
      </c>
      <c r="AL285" s="1362">
        <f t="shared" si="124"/>
        <v>0</v>
      </c>
      <c r="AM285" s="1362">
        <f t="shared" si="120"/>
        <v>0</v>
      </c>
      <c r="AN285" s="1363">
        <f t="shared" si="111"/>
        <v>1000000</v>
      </c>
      <c r="AQ285" s="1361" t="str">
        <f t="shared" si="99"/>
        <v/>
      </c>
      <c r="AR285" s="1362">
        <f t="shared" si="112"/>
        <v>0</v>
      </c>
      <c r="AS285" s="1362">
        <f t="shared" si="102"/>
        <v>0</v>
      </c>
      <c r="AT285" s="1362">
        <f t="shared" si="113"/>
        <v>0</v>
      </c>
      <c r="AU285" s="1363">
        <f t="shared" si="121"/>
        <v>0</v>
      </c>
    </row>
    <row r="286" spans="1:47">
      <c r="A286" s="1118">
        <f t="shared" ca="1" si="100"/>
        <v>10</v>
      </c>
      <c r="B286" s="1351">
        <f t="shared" si="103"/>
        <v>0</v>
      </c>
      <c r="C286" s="2143">
        <f t="shared" si="114"/>
        <v>0</v>
      </c>
      <c r="D286" s="2144">
        <f t="shared" si="115"/>
        <v>0</v>
      </c>
      <c r="E286" s="2145">
        <f t="shared" si="104"/>
        <v>0</v>
      </c>
      <c r="F286" s="2145">
        <f t="shared" si="93"/>
        <v>0</v>
      </c>
      <c r="G286" s="2145">
        <f t="shared" si="94"/>
        <v>0</v>
      </c>
      <c r="H286" s="2145">
        <f>IF(N285&lt;0.01,0,IF(Adm!$S$4=Adm!$S$8,0,N285*Adm!$V$4))</f>
        <v>0</v>
      </c>
      <c r="I286" s="2145">
        <f>IF(N285&lt;0.01,0,IF(Adm!$S$5=Adm!$S$8,0,Adm!$AA$11*Adm!$X$4))</f>
        <v>0</v>
      </c>
      <c r="J286" s="2145">
        <f>IF(N285&lt;0.01,0,Adm!$Q$4*1.16)</f>
        <v>0</v>
      </c>
      <c r="K286" s="2145">
        <f>IF(N285&lt;0.01,0,IF(Adm!$O$4&gt;0,E286*Adm!$O$4,0))</f>
        <v>0</v>
      </c>
      <c r="L286" s="2145">
        <f t="shared" si="105"/>
        <v>0</v>
      </c>
      <c r="M286" s="2145">
        <f>IF(Adm!$G$4="si",MIN(N285+E286+H286+I286+J286-L286,Z286),0)</f>
        <v>0</v>
      </c>
      <c r="N286" s="2145">
        <f t="shared" si="106"/>
        <v>0</v>
      </c>
      <c r="O286" s="2146"/>
      <c r="P286" s="1101"/>
      <c r="V286" s="1352">
        <f t="shared" si="107"/>
        <v>7</v>
      </c>
      <c r="W286" s="1367">
        <f>IF(V286=1,Cal!$AB$127,0)</f>
        <v>0</v>
      </c>
      <c r="Y286" s="1368">
        <f t="shared" si="116"/>
        <v>0</v>
      </c>
      <c r="Z286" s="1369">
        <f t="shared" ca="1" si="108"/>
        <v>0</v>
      </c>
      <c r="AB286" s="1375">
        <f t="shared" si="117"/>
        <v>0</v>
      </c>
      <c r="AC286" s="1373">
        <f t="shared" si="118"/>
        <v>0</v>
      </c>
      <c r="AD286" s="1373">
        <f t="shared" si="122"/>
        <v>0</v>
      </c>
      <c r="AE286" s="1373">
        <f t="shared" si="119"/>
        <v>0</v>
      </c>
      <c r="AF286" s="1371">
        <f t="shared" si="101"/>
        <v>0</v>
      </c>
      <c r="AG286" s="1359" t="e">
        <f>HLOOKUP($AG$83,anticipado,200,0)</f>
        <v>#N/A</v>
      </c>
      <c r="AI286" s="1360">
        <f t="shared" si="109"/>
        <v>0</v>
      </c>
      <c r="AJ286" s="1361">
        <f t="shared" si="123"/>
        <v>199</v>
      </c>
      <c r="AK286" s="1362">
        <f t="shared" si="110"/>
        <v>0</v>
      </c>
      <c r="AL286" s="1362">
        <f t="shared" si="124"/>
        <v>0</v>
      </c>
      <c r="AM286" s="1362">
        <f t="shared" si="120"/>
        <v>0</v>
      </c>
      <c r="AN286" s="1363">
        <f t="shared" si="111"/>
        <v>1000000</v>
      </c>
      <c r="AQ286" s="1361" t="str">
        <f t="shared" si="99"/>
        <v/>
      </c>
      <c r="AR286" s="1362">
        <f t="shared" si="112"/>
        <v>0</v>
      </c>
      <c r="AS286" s="1362">
        <f t="shared" si="102"/>
        <v>0</v>
      </c>
      <c r="AT286" s="1362">
        <f t="shared" si="113"/>
        <v>0</v>
      </c>
      <c r="AU286" s="1363">
        <f t="shared" si="121"/>
        <v>0</v>
      </c>
    </row>
    <row r="287" spans="1:47">
      <c r="A287" s="1118">
        <f t="shared" ca="1" si="100"/>
        <v>11</v>
      </c>
      <c r="B287" s="1351">
        <f t="shared" si="103"/>
        <v>0</v>
      </c>
      <c r="C287" s="2143">
        <f t="shared" si="114"/>
        <v>0</v>
      </c>
      <c r="D287" s="2144">
        <f t="shared" si="115"/>
        <v>0</v>
      </c>
      <c r="E287" s="2145">
        <f t="shared" si="104"/>
        <v>0</v>
      </c>
      <c r="F287" s="2145">
        <f t="shared" si="93"/>
        <v>0</v>
      </c>
      <c r="G287" s="2145">
        <f t="shared" si="94"/>
        <v>0</v>
      </c>
      <c r="H287" s="2145">
        <f>IF(N286&lt;0.01,0,IF(Adm!$S$4=Adm!$S$8,0,N286*Adm!$V$4))</f>
        <v>0</v>
      </c>
      <c r="I287" s="2145">
        <f>IF(N286&lt;0.01,0,IF(Adm!$S$5=Adm!$S$8,0,Adm!$AA$11*Adm!$X$4))</f>
        <v>0</v>
      </c>
      <c r="J287" s="2145">
        <f>IF(N286&lt;0.01,0,Adm!$Q$4*1.16)</f>
        <v>0</v>
      </c>
      <c r="K287" s="2145">
        <f>IF(N286&lt;0.01,0,IF(Adm!$O$4&gt;0,E287*Adm!$O$4,0))</f>
        <v>0</v>
      </c>
      <c r="L287" s="2145">
        <f t="shared" si="105"/>
        <v>0</v>
      </c>
      <c r="M287" s="2145">
        <f>IF(Adm!$G$4="si",MIN(N286+E287+H287+I287+J287-L287,Z287),0)</f>
        <v>0</v>
      </c>
      <c r="N287" s="2145">
        <f t="shared" si="106"/>
        <v>0</v>
      </c>
      <c r="O287" s="2146"/>
      <c r="P287" s="1101"/>
      <c r="V287" s="1352">
        <f t="shared" si="107"/>
        <v>8</v>
      </c>
      <c r="W287" s="1367">
        <f>IF(V287=1,Cal!$AB$127,0)</f>
        <v>0</v>
      </c>
      <c r="Y287" s="1368">
        <f t="shared" si="116"/>
        <v>0</v>
      </c>
      <c r="Z287" s="1369">
        <f t="shared" ca="1" si="108"/>
        <v>0</v>
      </c>
      <c r="AB287" s="1375">
        <f t="shared" si="117"/>
        <v>0</v>
      </c>
      <c r="AC287" s="1373">
        <f t="shared" si="118"/>
        <v>0</v>
      </c>
      <c r="AD287" s="1373">
        <f t="shared" si="122"/>
        <v>0</v>
      </c>
      <c r="AE287" s="1373">
        <f t="shared" si="119"/>
        <v>0</v>
      </c>
      <c r="AF287" s="1371">
        <f t="shared" si="101"/>
        <v>0</v>
      </c>
      <c r="AG287" s="1359" t="e">
        <f>HLOOKUP($AG$83,anticipado,201,0)</f>
        <v>#N/A</v>
      </c>
      <c r="AI287" s="1360">
        <f t="shared" si="109"/>
        <v>0</v>
      </c>
      <c r="AJ287" s="1361">
        <f t="shared" si="123"/>
        <v>200</v>
      </c>
      <c r="AK287" s="1362">
        <f t="shared" si="110"/>
        <v>0</v>
      </c>
      <c r="AL287" s="1362">
        <f t="shared" si="124"/>
        <v>0</v>
      </c>
      <c r="AM287" s="1362">
        <f t="shared" si="120"/>
        <v>0</v>
      </c>
      <c r="AN287" s="1363">
        <f t="shared" si="111"/>
        <v>1000000</v>
      </c>
      <c r="AQ287" s="1361" t="str">
        <f t="shared" si="99"/>
        <v/>
      </c>
      <c r="AR287" s="1362">
        <f t="shared" si="112"/>
        <v>0</v>
      </c>
      <c r="AS287" s="1362">
        <f t="shared" si="102"/>
        <v>0</v>
      </c>
      <c r="AT287" s="1362">
        <f t="shared" si="113"/>
        <v>0</v>
      </c>
      <c r="AU287" s="1363">
        <f t="shared" si="121"/>
        <v>0</v>
      </c>
    </row>
    <row r="288" spans="1:47">
      <c r="A288" s="1118">
        <f t="shared" ca="1" si="100"/>
        <v>12</v>
      </c>
      <c r="B288" s="1351">
        <f t="shared" si="103"/>
        <v>0</v>
      </c>
      <c r="C288" s="2143">
        <f t="shared" si="114"/>
        <v>0</v>
      </c>
      <c r="D288" s="2144">
        <f t="shared" si="115"/>
        <v>0</v>
      </c>
      <c r="E288" s="2145">
        <f t="shared" si="104"/>
        <v>0</v>
      </c>
      <c r="F288" s="2145">
        <f t="shared" si="93"/>
        <v>0</v>
      </c>
      <c r="G288" s="2145">
        <f t="shared" si="94"/>
        <v>0</v>
      </c>
      <c r="H288" s="2145">
        <f>IF(N287&lt;0.01,0,IF(Adm!$S$4=Adm!$S$8,0,N287*Adm!$V$4))</f>
        <v>0</v>
      </c>
      <c r="I288" s="2145">
        <f>IF(N287&lt;0.01,0,IF(Adm!$S$5=Adm!$S$8,0,Adm!$AA$11*Adm!$X$4))</f>
        <v>0</v>
      </c>
      <c r="J288" s="2145">
        <f>IF(N287&lt;0.01,0,Adm!$Q$4*1.16)</f>
        <v>0</v>
      </c>
      <c r="K288" s="2145">
        <f>IF(N287&lt;0.01,0,IF(Adm!$O$4&gt;0,E288*Adm!$O$4,0))</f>
        <v>0</v>
      </c>
      <c r="L288" s="2145">
        <f t="shared" si="105"/>
        <v>0</v>
      </c>
      <c r="M288" s="2145">
        <f>IF(Adm!$G$4="si",MIN(N287+E288+H288+I288+J288-L288,Z288),0)</f>
        <v>0</v>
      </c>
      <c r="N288" s="2145">
        <f t="shared" si="106"/>
        <v>0</v>
      </c>
      <c r="O288" s="2146"/>
      <c r="P288" s="1101"/>
      <c r="V288" s="1352">
        <f t="shared" si="107"/>
        <v>9</v>
      </c>
      <c r="W288" s="1367">
        <f>IF(V288=1,Cal!$AB$127,0)</f>
        <v>0</v>
      </c>
      <c r="Y288" s="1368">
        <f t="shared" si="116"/>
        <v>0</v>
      </c>
      <c r="Z288" s="1369">
        <f t="shared" ca="1" si="108"/>
        <v>0</v>
      </c>
      <c r="AB288" s="1375">
        <f t="shared" si="117"/>
        <v>0</v>
      </c>
      <c r="AC288" s="1373">
        <f t="shared" si="118"/>
        <v>0</v>
      </c>
      <c r="AD288" s="1373">
        <f t="shared" si="122"/>
        <v>0</v>
      </c>
      <c r="AE288" s="1373">
        <f t="shared" si="119"/>
        <v>0</v>
      </c>
      <c r="AF288" s="1371">
        <f t="shared" si="101"/>
        <v>0</v>
      </c>
      <c r="AG288" s="1359" t="e">
        <f>HLOOKUP($AG$83,anticipado,202,0)</f>
        <v>#N/A</v>
      </c>
      <c r="AI288" s="1360">
        <f t="shared" si="109"/>
        <v>0</v>
      </c>
      <c r="AJ288" s="1361">
        <f t="shared" si="123"/>
        <v>201</v>
      </c>
      <c r="AK288" s="1362">
        <f t="shared" si="110"/>
        <v>0</v>
      </c>
      <c r="AL288" s="1362">
        <f t="shared" si="124"/>
        <v>0</v>
      </c>
      <c r="AM288" s="1362">
        <f t="shared" si="120"/>
        <v>0</v>
      </c>
      <c r="AN288" s="1363">
        <f t="shared" si="111"/>
        <v>1000000</v>
      </c>
      <c r="AQ288" s="1361" t="str">
        <f t="shared" si="99"/>
        <v/>
      </c>
      <c r="AR288" s="1362">
        <f t="shared" si="112"/>
        <v>0</v>
      </c>
      <c r="AS288" s="1362">
        <f t="shared" si="102"/>
        <v>0</v>
      </c>
      <c r="AT288" s="1362">
        <f t="shared" si="113"/>
        <v>0</v>
      </c>
      <c r="AU288" s="1363">
        <f t="shared" si="121"/>
        <v>0</v>
      </c>
    </row>
    <row r="289" spans="1:47">
      <c r="A289" s="1118">
        <f t="shared" ca="1" si="100"/>
        <v>1</v>
      </c>
      <c r="B289" s="1351">
        <f t="shared" si="103"/>
        <v>0</v>
      </c>
      <c r="C289" s="2143">
        <f t="shared" si="114"/>
        <v>0</v>
      </c>
      <c r="D289" s="2144">
        <f t="shared" si="115"/>
        <v>0</v>
      </c>
      <c r="E289" s="2145">
        <f t="shared" si="104"/>
        <v>0</v>
      </c>
      <c r="F289" s="2145">
        <f t="shared" si="93"/>
        <v>0</v>
      </c>
      <c r="G289" s="2145">
        <f t="shared" si="94"/>
        <v>0</v>
      </c>
      <c r="H289" s="2145">
        <f>IF(N288&lt;0.01,0,IF(Adm!$S$4=Adm!$S$8,0,N288*Adm!$V$4))</f>
        <v>0</v>
      </c>
      <c r="I289" s="2145">
        <f>IF(N288&lt;0.01,0,IF(Adm!$S$5=Adm!$S$8,0,Adm!$AA$11*Adm!$X$4))</f>
        <v>0</v>
      </c>
      <c r="J289" s="2145">
        <f>IF(N288&lt;0.01,0,Adm!$Q$4*1.16)</f>
        <v>0</v>
      </c>
      <c r="K289" s="2145">
        <f>IF(N288&lt;0.01,0,IF(Adm!$O$4&gt;0,E289*Adm!$O$4,0))</f>
        <v>0</v>
      </c>
      <c r="L289" s="2145">
        <f t="shared" si="105"/>
        <v>0</v>
      </c>
      <c r="M289" s="2145">
        <f>IF(Adm!$G$4="si",MIN(N288+E289+H289+I289+J289-L289,Z289),0)</f>
        <v>0</v>
      </c>
      <c r="N289" s="2145">
        <f t="shared" si="106"/>
        <v>0</v>
      </c>
      <c r="O289" s="2146"/>
      <c r="P289" s="1101"/>
      <c r="V289" s="1352">
        <f t="shared" si="107"/>
        <v>10</v>
      </c>
      <c r="W289" s="1367">
        <f>IF(V289=1,Cal!$AB$127,0)</f>
        <v>0</v>
      </c>
      <c r="Y289" s="1368">
        <f t="shared" si="116"/>
        <v>0</v>
      </c>
      <c r="Z289" s="1369">
        <f t="shared" ca="1" si="108"/>
        <v>0</v>
      </c>
      <c r="AB289" s="1375">
        <f t="shared" si="117"/>
        <v>0</v>
      </c>
      <c r="AC289" s="1373">
        <f t="shared" si="118"/>
        <v>0</v>
      </c>
      <c r="AD289" s="1373">
        <f t="shared" si="122"/>
        <v>0</v>
      </c>
      <c r="AE289" s="1373">
        <f t="shared" si="119"/>
        <v>0</v>
      </c>
      <c r="AF289" s="1371">
        <f t="shared" si="101"/>
        <v>0</v>
      </c>
      <c r="AG289" s="1359" t="e">
        <f>HLOOKUP($AG$83,anticipado,203,0)</f>
        <v>#N/A</v>
      </c>
      <c r="AI289" s="1360">
        <f t="shared" si="109"/>
        <v>0</v>
      </c>
      <c r="AJ289" s="1361">
        <f t="shared" si="123"/>
        <v>202</v>
      </c>
      <c r="AK289" s="1362">
        <f t="shared" si="110"/>
        <v>0</v>
      </c>
      <c r="AL289" s="1362">
        <f t="shared" si="124"/>
        <v>0</v>
      </c>
      <c r="AM289" s="1362">
        <f t="shared" si="120"/>
        <v>0</v>
      </c>
      <c r="AN289" s="1363">
        <f t="shared" si="111"/>
        <v>1000000</v>
      </c>
      <c r="AQ289" s="1361" t="str">
        <f t="shared" si="99"/>
        <v/>
      </c>
      <c r="AR289" s="1362">
        <f t="shared" si="112"/>
        <v>0</v>
      </c>
      <c r="AS289" s="1362">
        <f t="shared" si="102"/>
        <v>0</v>
      </c>
      <c r="AT289" s="1362">
        <f t="shared" si="113"/>
        <v>0</v>
      </c>
      <c r="AU289" s="1363">
        <f t="shared" si="121"/>
        <v>0</v>
      </c>
    </row>
    <row r="290" spans="1:47">
      <c r="A290" s="1118">
        <f t="shared" ca="1" si="100"/>
        <v>2</v>
      </c>
      <c r="B290" s="1351">
        <f t="shared" si="103"/>
        <v>0</v>
      </c>
      <c r="C290" s="2143">
        <f t="shared" si="114"/>
        <v>0</v>
      </c>
      <c r="D290" s="2144">
        <f t="shared" si="115"/>
        <v>0</v>
      </c>
      <c r="E290" s="2145">
        <f t="shared" si="104"/>
        <v>0</v>
      </c>
      <c r="F290" s="2145">
        <f t="shared" si="93"/>
        <v>0</v>
      </c>
      <c r="G290" s="2145">
        <f t="shared" si="94"/>
        <v>0</v>
      </c>
      <c r="H290" s="2145">
        <f>IF(N289&lt;0.01,0,IF(Adm!$S$4=Adm!$S$8,0,N289*Adm!$V$4))</f>
        <v>0</v>
      </c>
      <c r="I290" s="2145">
        <f>IF(N289&lt;0.01,0,IF(Adm!$S$5=Adm!$S$8,0,Adm!$AA$11*Adm!$X$4))</f>
        <v>0</v>
      </c>
      <c r="J290" s="2145">
        <f>IF(N289&lt;0.01,0,Adm!$Q$4*1.16)</f>
        <v>0</v>
      </c>
      <c r="K290" s="2145">
        <f>IF(N289&lt;0.01,0,IF(Adm!$O$4&gt;0,E290*Adm!$O$4,0))</f>
        <v>0</v>
      </c>
      <c r="L290" s="2145">
        <f t="shared" si="105"/>
        <v>0</v>
      </c>
      <c r="M290" s="2145">
        <f>IF(Adm!$G$4="si",MIN(N289+E290+H290+I290+J290-L290,Z290),0)</f>
        <v>0</v>
      </c>
      <c r="N290" s="2145">
        <f t="shared" si="106"/>
        <v>0</v>
      </c>
      <c r="O290" s="2146"/>
      <c r="P290" s="1101"/>
      <c r="V290" s="1352">
        <f t="shared" si="107"/>
        <v>11</v>
      </c>
      <c r="W290" s="1367">
        <f>IF(V290=1,Cal!$AB$127,0)</f>
        <v>0</v>
      </c>
      <c r="Y290" s="1368">
        <f t="shared" si="116"/>
        <v>0</v>
      </c>
      <c r="Z290" s="1369">
        <f t="shared" ca="1" si="108"/>
        <v>0</v>
      </c>
      <c r="AB290" s="1375">
        <f t="shared" si="117"/>
        <v>0</v>
      </c>
      <c r="AC290" s="1373">
        <f t="shared" si="118"/>
        <v>0</v>
      </c>
      <c r="AD290" s="1373">
        <f t="shared" si="122"/>
        <v>0</v>
      </c>
      <c r="AE290" s="1373">
        <f t="shared" si="119"/>
        <v>0</v>
      </c>
      <c r="AF290" s="1371">
        <f t="shared" si="101"/>
        <v>0</v>
      </c>
      <c r="AG290" s="1359" t="e">
        <f>HLOOKUP($AG$83,anticipado,204,0)</f>
        <v>#N/A</v>
      </c>
      <c r="AI290" s="1360">
        <f t="shared" si="109"/>
        <v>0</v>
      </c>
      <c r="AJ290" s="1361">
        <f t="shared" si="123"/>
        <v>203</v>
      </c>
      <c r="AK290" s="1362">
        <f t="shared" si="110"/>
        <v>0</v>
      </c>
      <c r="AL290" s="1362">
        <f t="shared" si="124"/>
        <v>0</v>
      </c>
      <c r="AM290" s="1362">
        <f t="shared" si="120"/>
        <v>0</v>
      </c>
      <c r="AN290" s="1363">
        <f t="shared" si="111"/>
        <v>1000000</v>
      </c>
      <c r="AO290" s="1384"/>
      <c r="AP290" s="1384"/>
      <c r="AQ290" s="1361" t="str">
        <f t="shared" si="99"/>
        <v/>
      </c>
      <c r="AR290" s="1362">
        <f t="shared" si="112"/>
        <v>0</v>
      </c>
      <c r="AS290" s="1362">
        <f t="shared" si="102"/>
        <v>0</v>
      </c>
      <c r="AT290" s="1362">
        <f t="shared" si="113"/>
        <v>0</v>
      </c>
      <c r="AU290" s="1363">
        <f t="shared" si="121"/>
        <v>0</v>
      </c>
    </row>
    <row r="291" spans="1:47">
      <c r="A291" s="1118">
        <f t="shared" ca="1" si="100"/>
        <v>3</v>
      </c>
      <c r="B291" s="1351">
        <f t="shared" si="103"/>
        <v>0</v>
      </c>
      <c r="C291" s="2143">
        <f t="shared" si="114"/>
        <v>0</v>
      </c>
      <c r="D291" s="2144">
        <f t="shared" si="115"/>
        <v>0</v>
      </c>
      <c r="E291" s="2145">
        <f t="shared" si="104"/>
        <v>0</v>
      </c>
      <c r="F291" s="2145">
        <f t="shared" si="93"/>
        <v>0</v>
      </c>
      <c r="G291" s="2145">
        <f t="shared" si="94"/>
        <v>0</v>
      </c>
      <c r="H291" s="2145">
        <f>IF(N290&lt;0.01,0,IF(Adm!$S$4=Adm!$S$8,0,N290*Adm!$V$4))</f>
        <v>0</v>
      </c>
      <c r="I291" s="2145">
        <f>IF(N290&lt;0.01,0,IF(Adm!$S$5=Adm!$S$8,0,Adm!$AA$11*Adm!$X$4))</f>
        <v>0</v>
      </c>
      <c r="J291" s="2145">
        <f>IF(N290&lt;0.01,0,Adm!$Q$4*1.16)</f>
        <v>0</v>
      </c>
      <c r="K291" s="2145">
        <f>IF(N290&lt;0.01,0,IF(Adm!$O$4&gt;0,E291*Adm!$O$4,0))</f>
        <v>0</v>
      </c>
      <c r="L291" s="2145">
        <f t="shared" si="105"/>
        <v>0</v>
      </c>
      <c r="M291" s="2145">
        <f>IF(Adm!$G$4="si",MIN(N290+E291+H291+I291+J291-L291,Z291),0)</f>
        <v>0</v>
      </c>
      <c r="N291" s="2145">
        <f t="shared" si="106"/>
        <v>0</v>
      </c>
      <c r="O291" s="2146"/>
      <c r="P291" s="1101"/>
      <c r="V291" s="1352">
        <f t="shared" si="107"/>
        <v>12</v>
      </c>
      <c r="W291" s="1367">
        <f>IF(V291=1,Cal!$AB$127,0)</f>
        <v>0</v>
      </c>
      <c r="Y291" s="1368">
        <f t="shared" si="116"/>
        <v>0</v>
      </c>
      <c r="Z291" s="1369">
        <f t="shared" ca="1" si="108"/>
        <v>0</v>
      </c>
      <c r="AB291" s="1375">
        <f t="shared" si="117"/>
        <v>0</v>
      </c>
      <c r="AC291" s="1373">
        <f t="shared" si="118"/>
        <v>0</v>
      </c>
      <c r="AD291" s="1373">
        <f t="shared" si="122"/>
        <v>0</v>
      </c>
      <c r="AE291" s="1373">
        <f t="shared" si="119"/>
        <v>0</v>
      </c>
      <c r="AF291" s="1371">
        <f t="shared" si="101"/>
        <v>0</v>
      </c>
      <c r="AG291" s="1359" t="e">
        <f>HLOOKUP($AG$83,anticipado,205,0)</f>
        <v>#N/A</v>
      </c>
      <c r="AI291" s="1360">
        <f t="shared" si="109"/>
        <v>0</v>
      </c>
      <c r="AJ291" s="1361">
        <f t="shared" si="123"/>
        <v>204</v>
      </c>
      <c r="AK291" s="1362">
        <f t="shared" si="110"/>
        <v>0</v>
      </c>
      <c r="AL291" s="1362">
        <f t="shared" si="124"/>
        <v>0</v>
      </c>
      <c r="AM291" s="1362">
        <f t="shared" si="120"/>
        <v>0</v>
      </c>
      <c r="AN291" s="1363">
        <f t="shared" si="111"/>
        <v>1000000</v>
      </c>
      <c r="AO291" s="1384"/>
      <c r="AP291" s="1384"/>
      <c r="AQ291" s="1361" t="str">
        <f t="shared" si="99"/>
        <v/>
      </c>
      <c r="AR291" s="1362">
        <f t="shared" si="112"/>
        <v>0</v>
      </c>
      <c r="AS291" s="1362">
        <f t="shared" si="102"/>
        <v>0</v>
      </c>
      <c r="AT291" s="1362">
        <f t="shared" si="113"/>
        <v>0</v>
      </c>
      <c r="AU291" s="1363">
        <f t="shared" si="121"/>
        <v>0</v>
      </c>
    </row>
    <row r="292" spans="1:47">
      <c r="A292" s="1118">
        <f t="shared" ca="1" si="100"/>
        <v>4</v>
      </c>
      <c r="B292" s="1351">
        <f t="shared" si="103"/>
        <v>0</v>
      </c>
      <c r="C292" s="2143">
        <f t="shared" si="114"/>
        <v>0</v>
      </c>
      <c r="D292" s="2144">
        <f t="shared" si="115"/>
        <v>0</v>
      </c>
      <c r="E292" s="2145">
        <f t="shared" si="104"/>
        <v>0</v>
      </c>
      <c r="F292" s="2145">
        <f t="shared" si="93"/>
        <v>0</v>
      </c>
      <c r="G292" s="2145">
        <f t="shared" si="94"/>
        <v>0</v>
      </c>
      <c r="H292" s="2145">
        <f>IF(N291&lt;0.01,0,IF(Adm!$S$4=Adm!$S$8,0,N291*Adm!$V$4))</f>
        <v>0</v>
      </c>
      <c r="I292" s="2145">
        <f>IF(N291&lt;0.01,0,IF(Adm!$S$5=Adm!$S$8,0,Adm!$AA$11*Adm!$X$4))</f>
        <v>0</v>
      </c>
      <c r="J292" s="2145">
        <f>IF(N291&lt;0.01,0,Adm!$Q$4*1.16)</f>
        <v>0</v>
      </c>
      <c r="K292" s="2145">
        <f>IF(N291&lt;0.01,0,IF(Adm!$O$4&gt;0,E292*Adm!$O$4,0))</f>
        <v>0</v>
      </c>
      <c r="L292" s="2145">
        <f t="shared" si="105"/>
        <v>0</v>
      </c>
      <c r="M292" s="2145">
        <f>IF(Adm!$G$4="si",MIN(N291+E292+H292+I292+J292-L292,Z292),0)</f>
        <v>0</v>
      </c>
      <c r="N292" s="2145">
        <f t="shared" si="106"/>
        <v>0</v>
      </c>
      <c r="O292" s="2146"/>
      <c r="P292" s="1101"/>
      <c r="V292" s="1352">
        <f t="shared" si="107"/>
        <v>1</v>
      </c>
      <c r="W292" s="1367">
        <f>IF(V292=1,Cal!$AB$127,0)</f>
        <v>0</v>
      </c>
      <c r="Y292" s="1368">
        <f t="shared" si="116"/>
        <v>0</v>
      </c>
      <c r="Z292" s="1369">
        <f t="shared" ca="1" si="108"/>
        <v>0</v>
      </c>
      <c r="AB292" s="1375">
        <f t="shared" si="117"/>
        <v>0</v>
      </c>
      <c r="AC292" s="1373">
        <f t="shared" si="118"/>
        <v>0</v>
      </c>
      <c r="AD292" s="1373">
        <f t="shared" si="122"/>
        <v>0</v>
      </c>
      <c r="AE292" s="1373">
        <f t="shared" si="119"/>
        <v>0</v>
      </c>
      <c r="AF292" s="1371">
        <f t="shared" si="101"/>
        <v>0</v>
      </c>
      <c r="AG292" s="1359" t="e">
        <f>HLOOKUP($AG$83,anticipado,206,0)</f>
        <v>#N/A</v>
      </c>
      <c r="AI292" s="1360">
        <f t="shared" si="109"/>
        <v>0</v>
      </c>
      <c r="AJ292" s="1377">
        <f t="shared" si="123"/>
        <v>205</v>
      </c>
      <c r="AK292" s="1378">
        <f t="shared" si="110"/>
        <v>0</v>
      </c>
      <c r="AL292" s="1378">
        <f t="shared" si="124"/>
        <v>0</v>
      </c>
      <c r="AM292" s="1378">
        <f>MIN(AN291+AK292,AM291*(1+$AK$83))</f>
        <v>0</v>
      </c>
      <c r="AN292" s="1363">
        <f t="shared" si="111"/>
        <v>1000000</v>
      </c>
      <c r="AO292" s="1384"/>
      <c r="AP292" s="1384"/>
      <c r="AQ292" s="1379" t="str">
        <f t="shared" si="99"/>
        <v/>
      </c>
      <c r="AR292" s="1380">
        <f t="shared" si="112"/>
        <v>0</v>
      </c>
      <c r="AS292" s="1380">
        <f t="shared" si="102"/>
        <v>0</v>
      </c>
      <c r="AT292" s="1380">
        <f>MIN(AU291+AR292,AT291*(1+$AR$83))</f>
        <v>0</v>
      </c>
      <c r="AU292" s="1363">
        <f t="shared" si="121"/>
        <v>0</v>
      </c>
    </row>
    <row r="293" spans="1:47">
      <c r="A293" s="1118">
        <f t="shared" ca="1" si="100"/>
        <v>5</v>
      </c>
      <c r="B293" s="1351">
        <f t="shared" si="103"/>
        <v>0</v>
      </c>
      <c r="C293" s="2143">
        <f t="shared" si="114"/>
        <v>0</v>
      </c>
      <c r="D293" s="2144">
        <f t="shared" si="115"/>
        <v>0</v>
      </c>
      <c r="E293" s="2145">
        <f t="shared" si="104"/>
        <v>0</v>
      </c>
      <c r="F293" s="2145">
        <f t="shared" ref="F293:F327" si="125">IF(N292&lt;0.01,0,G293-E293)</f>
        <v>0</v>
      </c>
      <c r="G293" s="2145">
        <f t="shared" si="94"/>
        <v>0</v>
      </c>
      <c r="H293" s="2145">
        <f>IF(N292&lt;0.01,0,IF(Adm!$S$4=Adm!$S$8,0,N292*Adm!$V$4))</f>
        <v>0</v>
      </c>
      <c r="I293" s="2145">
        <f>IF(N292&lt;0.01,0,IF(Adm!$S$5=Adm!$S$8,0,Adm!$AA$11*Adm!$X$4))</f>
        <v>0</v>
      </c>
      <c r="J293" s="2145">
        <f>IF(N292&lt;0.01,0,Adm!$Q$4*1.16)</f>
        <v>0</v>
      </c>
      <c r="K293" s="2145">
        <f>IF(N292&lt;0.01,0,IF(Adm!$O$4&gt;0,E293*Adm!$O$4,0))</f>
        <v>0</v>
      </c>
      <c r="L293" s="2145">
        <f t="shared" si="105"/>
        <v>0</v>
      </c>
      <c r="M293" s="2145">
        <f>IF(Adm!$G$4="si",MIN(N292+E293+H293+I293+J293-L293,Z293),0)</f>
        <v>0</v>
      </c>
      <c r="N293" s="2145">
        <f t="shared" si="106"/>
        <v>0</v>
      </c>
      <c r="O293" s="2146"/>
      <c r="P293" s="1101"/>
      <c r="V293" s="1352">
        <f t="shared" si="107"/>
        <v>2</v>
      </c>
      <c r="W293" s="1367">
        <f>IF(V293=1,Cal!$AB$127,0)</f>
        <v>0</v>
      </c>
      <c r="Y293" s="1368">
        <f t="shared" si="116"/>
        <v>0</v>
      </c>
      <c r="Z293" s="1369">
        <f t="shared" ca="1" si="108"/>
        <v>0</v>
      </c>
      <c r="AB293" s="1375">
        <f t="shared" si="117"/>
        <v>0</v>
      </c>
      <c r="AC293" s="1373">
        <f t="shared" si="118"/>
        <v>0</v>
      </c>
      <c r="AD293" s="1373">
        <f t="shared" si="122"/>
        <v>0</v>
      </c>
      <c r="AE293" s="1373">
        <f t="shared" si="119"/>
        <v>0</v>
      </c>
      <c r="AF293" s="1371">
        <f t="shared" si="101"/>
        <v>0</v>
      </c>
      <c r="AG293" s="1359" t="e">
        <f>HLOOKUP($AG$83,anticipado,207,0)</f>
        <v>#N/A</v>
      </c>
      <c r="AI293" s="1360">
        <f t="shared" si="109"/>
        <v>0</v>
      </c>
      <c r="AJ293" s="1361">
        <f t="shared" si="123"/>
        <v>206</v>
      </c>
      <c r="AK293" s="1362">
        <f t="shared" si="110"/>
        <v>0</v>
      </c>
      <c r="AL293" s="1362">
        <f t="shared" si="124"/>
        <v>0</v>
      </c>
      <c r="AM293" s="1362">
        <f t="shared" si="120"/>
        <v>0</v>
      </c>
      <c r="AN293" s="1363">
        <f t="shared" si="111"/>
        <v>1000000</v>
      </c>
      <c r="AO293" s="1384"/>
      <c r="AP293" s="1384"/>
      <c r="AQ293" s="1361" t="str">
        <f t="shared" si="99"/>
        <v/>
      </c>
      <c r="AR293" s="1362">
        <f t="shared" si="112"/>
        <v>0</v>
      </c>
      <c r="AS293" s="1362">
        <f t="shared" si="102"/>
        <v>0</v>
      </c>
      <c r="AT293" s="1362">
        <f t="shared" ref="AT293:AT303" si="126">MIN(AU292+AR293,AT292)</f>
        <v>0</v>
      </c>
      <c r="AU293" s="1363">
        <f t="shared" si="121"/>
        <v>0</v>
      </c>
    </row>
    <row r="294" spans="1:47">
      <c r="A294" s="1118">
        <f t="shared" ca="1" si="100"/>
        <v>6</v>
      </c>
      <c r="B294" s="1351">
        <f t="shared" si="103"/>
        <v>0</v>
      </c>
      <c r="C294" s="2143">
        <f t="shared" si="114"/>
        <v>0</v>
      </c>
      <c r="D294" s="2144">
        <f t="shared" si="115"/>
        <v>0</v>
      </c>
      <c r="E294" s="2145">
        <f t="shared" si="104"/>
        <v>0</v>
      </c>
      <c r="F294" s="2145">
        <f t="shared" si="125"/>
        <v>0</v>
      </c>
      <c r="G294" s="2145">
        <f t="shared" ref="G294:G327" si="127">IF(N293&lt;0.1,0,MIN(N293+E294,IF(AB294&gt;0,AB294,G293*(1+W294))))</f>
        <v>0</v>
      </c>
      <c r="H294" s="2145">
        <f>IF(N293&lt;0.01,0,IF(Adm!$S$4=Adm!$S$8,0,N293*Adm!$V$4))</f>
        <v>0</v>
      </c>
      <c r="I294" s="2145">
        <f>IF(N293&lt;0.01,0,IF(Adm!$S$5=Adm!$S$8,0,Adm!$AA$11*Adm!$X$4))</f>
        <v>0</v>
      </c>
      <c r="J294" s="2145">
        <f>IF(N293&lt;0.01,0,Adm!$Q$4*1.16)</f>
        <v>0</v>
      </c>
      <c r="K294" s="2145">
        <f>IF(N293&lt;0.01,0,IF(Adm!$O$4&gt;0,E294*Adm!$O$4,0))</f>
        <v>0</v>
      </c>
      <c r="L294" s="2145">
        <f t="shared" si="105"/>
        <v>0</v>
      </c>
      <c r="M294" s="2145">
        <f>IF(Adm!$G$4="si",MIN(N293+E294+H294+I294+J294-L294,Z294),0)</f>
        <v>0</v>
      </c>
      <c r="N294" s="2145">
        <f t="shared" si="106"/>
        <v>0</v>
      </c>
      <c r="O294" s="2146"/>
      <c r="P294" s="1101"/>
      <c r="V294" s="1352">
        <f t="shared" si="107"/>
        <v>3</v>
      </c>
      <c r="W294" s="1367">
        <f>IF(V294=1,Cal!$AB$127,0)</f>
        <v>0</v>
      </c>
      <c r="Y294" s="1368">
        <f t="shared" si="116"/>
        <v>0</v>
      </c>
      <c r="Z294" s="1369">
        <f t="shared" ca="1" si="108"/>
        <v>0</v>
      </c>
      <c r="AB294" s="1375">
        <f t="shared" si="117"/>
        <v>0</v>
      </c>
      <c r="AC294" s="1373">
        <f t="shared" si="118"/>
        <v>0</v>
      </c>
      <c r="AD294" s="1373">
        <f t="shared" si="122"/>
        <v>0</v>
      </c>
      <c r="AE294" s="1373">
        <f t="shared" si="119"/>
        <v>0</v>
      </c>
      <c r="AF294" s="1371">
        <f t="shared" si="101"/>
        <v>0</v>
      </c>
      <c r="AG294" s="1359" t="e">
        <f>HLOOKUP($AG$83,anticipado,208,0)</f>
        <v>#N/A</v>
      </c>
      <c r="AI294" s="1360">
        <f t="shared" si="109"/>
        <v>0</v>
      </c>
      <c r="AJ294" s="1361">
        <f t="shared" si="123"/>
        <v>207</v>
      </c>
      <c r="AK294" s="1362">
        <f t="shared" si="110"/>
        <v>0</v>
      </c>
      <c r="AL294" s="1362">
        <f t="shared" si="124"/>
        <v>0</v>
      </c>
      <c r="AM294" s="1362">
        <f t="shared" si="120"/>
        <v>0</v>
      </c>
      <c r="AN294" s="1363">
        <f t="shared" si="111"/>
        <v>1000000</v>
      </c>
      <c r="AO294" s="1384"/>
      <c r="AP294" s="1384"/>
      <c r="AQ294" s="1361" t="str">
        <f t="shared" si="99"/>
        <v/>
      </c>
      <c r="AR294" s="1362">
        <f t="shared" si="112"/>
        <v>0</v>
      </c>
      <c r="AS294" s="1362">
        <f t="shared" si="102"/>
        <v>0</v>
      </c>
      <c r="AT294" s="1362">
        <f t="shared" si="126"/>
        <v>0</v>
      </c>
      <c r="AU294" s="1363">
        <f t="shared" si="121"/>
        <v>0</v>
      </c>
    </row>
    <row r="295" spans="1:47">
      <c r="A295" s="1118">
        <f t="shared" ca="1" si="100"/>
        <v>7</v>
      </c>
      <c r="B295" s="1351">
        <f t="shared" si="103"/>
        <v>0</v>
      </c>
      <c r="C295" s="2143">
        <f t="shared" si="114"/>
        <v>0</v>
      </c>
      <c r="D295" s="2144">
        <f t="shared" si="115"/>
        <v>0</v>
      </c>
      <c r="E295" s="2145">
        <f t="shared" si="104"/>
        <v>0</v>
      </c>
      <c r="F295" s="2145">
        <f t="shared" si="125"/>
        <v>0</v>
      </c>
      <c r="G295" s="2145">
        <f t="shared" si="127"/>
        <v>0</v>
      </c>
      <c r="H295" s="2145">
        <f>IF(N294&lt;0.01,0,IF(Adm!$S$4=Adm!$S$8,0,N294*Adm!$V$4))</f>
        <v>0</v>
      </c>
      <c r="I295" s="2145">
        <f>IF(N294&lt;0.01,0,IF(Adm!$S$5=Adm!$S$8,0,Adm!$AA$11*Adm!$X$4))</f>
        <v>0</v>
      </c>
      <c r="J295" s="2145">
        <f>IF(N294&lt;0.01,0,Adm!$Q$4*1.16)</f>
        <v>0</v>
      </c>
      <c r="K295" s="2145">
        <f>IF(N294&lt;0.01,0,IF(Adm!$O$4&gt;0,E295*Adm!$O$4,0))</f>
        <v>0</v>
      </c>
      <c r="L295" s="2145">
        <f t="shared" si="105"/>
        <v>0</v>
      </c>
      <c r="M295" s="2145">
        <f>IF(Adm!$G$4="si",MIN(N294+E295+H295+I295+J295-L295,Z295),0)</f>
        <v>0</v>
      </c>
      <c r="N295" s="2145">
        <f t="shared" si="106"/>
        <v>0</v>
      </c>
      <c r="O295" s="2146"/>
      <c r="P295" s="1101"/>
      <c r="V295" s="1352">
        <f t="shared" si="107"/>
        <v>4</v>
      </c>
      <c r="W295" s="1367">
        <f>IF(V295=1,Cal!$AB$127,0)</f>
        <v>0</v>
      </c>
      <c r="Y295" s="1368">
        <f t="shared" si="116"/>
        <v>0</v>
      </c>
      <c r="Z295" s="1369">
        <f t="shared" ca="1" si="108"/>
        <v>0</v>
      </c>
      <c r="AB295" s="1375">
        <f t="shared" si="117"/>
        <v>0</v>
      </c>
      <c r="AC295" s="1373">
        <f t="shared" si="118"/>
        <v>0</v>
      </c>
      <c r="AD295" s="1373">
        <f t="shared" si="122"/>
        <v>0</v>
      </c>
      <c r="AE295" s="1373">
        <f t="shared" si="119"/>
        <v>0</v>
      </c>
      <c r="AF295" s="1371">
        <f t="shared" si="101"/>
        <v>0</v>
      </c>
      <c r="AG295" s="1359" t="e">
        <f>HLOOKUP($AG$83,anticipado,209,0)</f>
        <v>#N/A</v>
      </c>
      <c r="AI295" s="1360">
        <f t="shared" si="109"/>
        <v>0</v>
      </c>
      <c r="AJ295" s="1361">
        <f t="shared" si="123"/>
        <v>208</v>
      </c>
      <c r="AK295" s="1362">
        <f t="shared" si="110"/>
        <v>0</v>
      </c>
      <c r="AL295" s="1362">
        <f t="shared" si="124"/>
        <v>0</v>
      </c>
      <c r="AM295" s="1362">
        <f t="shared" si="120"/>
        <v>0</v>
      </c>
      <c r="AN295" s="1363">
        <f t="shared" si="111"/>
        <v>1000000</v>
      </c>
      <c r="AO295" s="1384"/>
      <c r="AP295" s="1384"/>
      <c r="AQ295" s="1361" t="str">
        <f t="shared" si="99"/>
        <v/>
      </c>
      <c r="AR295" s="1362">
        <f t="shared" si="112"/>
        <v>0</v>
      </c>
      <c r="AS295" s="1362">
        <f t="shared" si="102"/>
        <v>0</v>
      </c>
      <c r="AT295" s="1362">
        <f t="shared" si="126"/>
        <v>0</v>
      </c>
      <c r="AU295" s="1363">
        <f t="shared" si="121"/>
        <v>0</v>
      </c>
    </row>
    <row r="296" spans="1:47">
      <c r="A296" s="1118">
        <f t="shared" ca="1" si="100"/>
        <v>8</v>
      </c>
      <c r="B296" s="1351">
        <f t="shared" si="103"/>
        <v>0</v>
      </c>
      <c r="C296" s="2143">
        <f t="shared" si="114"/>
        <v>0</v>
      </c>
      <c r="D296" s="2144">
        <f t="shared" si="115"/>
        <v>0</v>
      </c>
      <c r="E296" s="2145">
        <f t="shared" si="104"/>
        <v>0</v>
      </c>
      <c r="F296" s="2145">
        <f t="shared" si="125"/>
        <v>0</v>
      </c>
      <c r="G296" s="2145">
        <f t="shared" si="127"/>
        <v>0</v>
      </c>
      <c r="H296" s="2145">
        <f>IF(N295&lt;0.01,0,IF(Adm!$S$4=Adm!$S$8,0,N295*Adm!$V$4))</f>
        <v>0</v>
      </c>
      <c r="I296" s="2145">
        <f>IF(N295&lt;0.01,0,IF(Adm!$S$5=Adm!$S$8,0,Adm!$AA$11*Adm!$X$4))</f>
        <v>0</v>
      </c>
      <c r="J296" s="2145">
        <f>IF(N295&lt;0.01,0,Adm!$Q$4*1.16)</f>
        <v>0</v>
      </c>
      <c r="K296" s="2145">
        <f>IF(N295&lt;0.01,0,IF(Adm!$O$4&gt;0,E296*Adm!$O$4,0))</f>
        <v>0</v>
      </c>
      <c r="L296" s="2145">
        <f t="shared" si="105"/>
        <v>0</v>
      </c>
      <c r="M296" s="2145">
        <f>IF(Adm!$G$4="si",MIN(N295+E296+H296+I296+J296-L296,Z296),0)</f>
        <v>0</v>
      </c>
      <c r="N296" s="2145">
        <f t="shared" si="106"/>
        <v>0</v>
      </c>
      <c r="O296" s="2146"/>
      <c r="P296" s="1101"/>
      <c r="V296" s="1352">
        <f t="shared" si="107"/>
        <v>5</v>
      </c>
      <c r="W296" s="1367">
        <f>IF(V296=1,Cal!$AB$127,0)</f>
        <v>0</v>
      </c>
      <c r="Y296" s="1368">
        <f t="shared" si="116"/>
        <v>0</v>
      </c>
      <c r="Z296" s="1369">
        <f t="shared" ca="1" si="108"/>
        <v>0</v>
      </c>
      <c r="AB296" s="1375">
        <f t="shared" si="117"/>
        <v>0</v>
      </c>
      <c r="AC296" s="1373">
        <f t="shared" si="118"/>
        <v>0</v>
      </c>
      <c r="AD296" s="1373">
        <f t="shared" si="122"/>
        <v>0</v>
      </c>
      <c r="AE296" s="1373">
        <f t="shared" si="119"/>
        <v>0</v>
      </c>
      <c r="AF296" s="1371">
        <f t="shared" si="101"/>
        <v>0</v>
      </c>
      <c r="AG296" s="1359" t="e">
        <f>HLOOKUP($AG$83,anticipado,210,0)</f>
        <v>#N/A</v>
      </c>
      <c r="AI296" s="1360">
        <f t="shared" si="109"/>
        <v>0</v>
      </c>
      <c r="AJ296" s="1361">
        <f t="shared" si="123"/>
        <v>209</v>
      </c>
      <c r="AK296" s="1362">
        <f t="shared" si="110"/>
        <v>0</v>
      </c>
      <c r="AL296" s="1362">
        <f t="shared" si="124"/>
        <v>0</v>
      </c>
      <c r="AM296" s="1362">
        <f t="shared" si="120"/>
        <v>0</v>
      </c>
      <c r="AN296" s="1363">
        <f t="shared" si="111"/>
        <v>1000000</v>
      </c>
      <c r="AO296" s="1384"/>
      <c r="AP296" s="1384"/>
      <c r="AQ296" s="1361" t="str">
        <f t="shared" si="99"/>
        <v/>
      </c>
      <c r="AR296" s="1362">
        <f t="shared" si="112"/>
        <v>0</v>
      </c>
      <c r="AS296" s="1362">
        <f t="shared" si="102"/>
        <v>0</v>
      </c>
      <c r="AT296" s="1362">
        <f t="shared" si="126"/>
        <v>0</v>
      </c>
      <c r="AU296" s="1363">
        <f t="shared" si="121"/>
        <v>0</v>
      </c>
    </row>
    <row r="297" spans="1:47">
      <c r="A297" s="1118">
        <f t="shared" ca="1" si="100"/>
        <v>9</v>
      </c>
      <c r="B297" s="1351">
        <f t="shared" si="103"/>
        <v>0</v>
      </c>
      <c r="C297" s="2143">
        <f t="shared" si="114"/>
        <v>0</v>
      </c>
      <c r="D297" s="2144">
        <f t="shared" si="115"/>
        <v>0</v>
      </c>
      <c r="E297" s="2145">
        <f t="shared" si="104"/>
        <v>0</v>
      </c>
      <c r="F297" s="2145">
        <f t="shared" si="125"/>
        <v>0</v>
      </c>
      <c r="G297" s="2145">
        <f t="shared" si="127"/>
        <v>0</v>
      </c>
      <c r="H297" s="2145">
        <f>IF(N296&lt;0.01,0,IF(Adm!$S$4=Adm!$S$8,0,N296*Adm!$V$4))</f>
        <v>0</v>
      </c>
      <c r="I297" s="2145">
        <f>IF(N296&lt;0.01,0,IF(Adm!$S$5=Adm!$S$8,0,Adm!$AA$11*Adm!$X$4))</f>
        <v>0</v>
      </c>
      <c r="J297" s="2145">
        <f>IF(N296&lt;0.01,0,Adm!$Q$4*1.16)</f>
        <v>0</v>
      </c>
      <c r="K297" s="2145">
        <f>IF(N296&lt;0.01,0,IF(Adm!$O$4&gt;0,E297*Adm!$O$4,0))</f>
        <v>0</v>
      </c>
      <c r="L297" s="2145">
        <f t="shared" si="105"/>
        <v>0</v>
      </c>
      <c r="M297" s="2145">
        <f>IF(Adm!$G$4="si",MIN(N296+E297+H297+I297+J297-L297,Z297),0)</f>
        <v>0</v>
      </c>
      <c r="N297" s="2145">
        <f t="shared" si="106"/>
        <v>0</v>
      </c>
      <c r="O297" s="2146"/>
      <c r="P297" s="1101"/>
      <c r="V297" s="1352">
        <f t="shared" si="107"/>
        <v>6</v>
      </c>
      <c r="W297" s="1367">
        <f>IF(V297=1,Cal!$AB$127,0)</f>
        <v>0</v>
      </c>
      <c r="Y297" s="1368">
        <f t="shared" si="116"/>
        <v>0</v>
      </c>
      <c r="Z297" s="1369">
        <f t="shared" ca="1" si="108"/>
        <v>0</v>
      </c>
      <c r="AB297" s="1375">
        <f t="shared" si="117"/>
        <v>0</v>
      </c>
      <c r="AC297" s="1373">
        <f t="shared" si="118"/>
        <v>0</v>
      </c>
      <c r="AD297" s="1373">
        <f t="shared" si="122"/>
        <v>0</v>
      </c>
      <c r="AE297" s="1373">
        <f t="shared" si="119"/>
        <v>0</v>
      </c>
      <c r="AF297" s="1371">
        <f t="shared" si="101"/>
        <v>0</v>
      </c>
      <c r="AG297" s="1359" t="e">
        <f>HLOOKUP($AG$83,anticipado,211,0)</f>
        <v>#N/A</v>
      </c>
      <c r="AI297" s="1360">
        <f t="shared" si="109"/>
        <v>0</v>
      </c>
      <c r="AJ297" s="1361">
        <f t="shared" si="123"/>
        <v>210</v>
      </c>
      <c r="AK297" s="1362">
        <f t="shared" si="110"/>
        <v>0</v>
      </c>
      <c r="AL297" s="1362">
        <f t="shared" si="124"/>
        <v>0</v>
      </c>
      <c r="AM297" s="1362">
        <f t="shared" si="120"/>
        <v>0</v>
      </c>
      <c r="AN297" s="1363">
        <f t="shared" si="111"/>
        <v>1000000</v>
      </c>
      <c r="AO297" s="1384"/>
      <c r="AP297" s="1384"/>
      <c r="AQ297" s="1361" t="str">
        <f t="shared" si="99"/>
        <v/>
      </c>
      <c r="AR297" s="1362">
        <f t="shared" si="112"/>
        <v>0</v>
      </c>
      <c r="AS297" s="1362">
        <f t="shared" si="102"/>
        <v>0</v>
      </c>
      <c r="AT297" s="1362">
        <f t="shared" si="126"/>
        <v>0</v>
      </c>
      <c r="AU297" s="1363">
        <f t="shared" si="121"/>
        <v>0</v>
      </c>
    </row>
    <row r="298" spans="1:47">
      <c r="A298" s="1118">
        <f t="shared" ca="1" si="100"/>
        <v>10</v>
      </c>
      <c r="B298" s="1351">
        <f t="shared" si="103"/>
        <v>0</v>
      </c>
      <c r="C298" s="2143">
        <f t="shared" si="114"/>
        <v>0</v>
      </c>
      <c r="D298" s="2144">
        <f t="shared" si="115"/>
        <v>0</v>
      </c>
      <c r="E298" s="2145">
        <f t="shared" si="104"/>
        <v>0</v>
      </c>
      <c r="F298" s="2145">
        <f t="shared" si="125"/>
        <v>0</v>
      </c>
      <c r="G298" s="2145">
        <f t="shared" si="127"/>
        <v>0</v>
      </c>
      <c r="H298" s="2145">
        <f>IF(N297&lt;0.01,0,IF(Adm!$S$4=Adm!$S$8,0,N297*Adm!$V$4))</f>
        <v>0</v>
      </c>
      <c r="I298" s="2145">
        <f>IF(N297&lt;0.01,0,IF(Adm!$S$5=Adm!$S$8,0,Adm!$AA$11*Adm!$X$4))</f>
        <v>0</v>
      </c>
      <c r="J298" s="2145">
        <f>IF(N297&lt;0.01,0,Adm!$Q$4*1.16)</f>
        <v>0</v>
      </c>
      <c r="K298" s="2145">
        <f>IF(N297&lt;0.01,0,IF(Adm!$O$4&gt;0,E298*Adm!$O$4,0))</f>
        <v>0</v>
      </c>
      <c r="L298" s="2145">
        <f t="shared" si="105"/>
        <v>0</v>
      </c>
      <c r="M298" s="2145">
        <f>IF(Adm!$G$4="si",MIN(N297+E298+H298+I298+J298-L298,Z298),0)</f>
        <v>0</v>
      </c>
      <c r="N298" s="2145">
        <f t="shared" si="106"/>
        <v>0</v>
      </c>
      <c r="O298" s="2146"/>
      <c r="P298" s="1101"/>
      <c r="V298" s="1352">
        <f t="shared" si="107"/>
        <v>7</v>
      </c>
      <c r="W298" s="1367">
        <f>IF(V298=1,Cal!$AB$127,0)</f>
        <v>0</v>
      </c>
      <c r="Y298" s="1368">
        <f t="shared" si="116"/>
        <v>0</v>
      </c>
      <c r="Z298" s="1369">
        <f t="shared" ca="1" si="108"/>
        <v>0</v>
      </c>
      <c r="AB298" s="1375">
        <f t="shared" si="117"/>
        <v>0</v>
      </c>
      <c r="AC298" s="1373">
        <f t="shared" si="118"/>
        <v>0</v>
      </c>
      <c r="AD298" s="1373">
        <f t="shared" si="122"/>
        <v>0</v>
      </c>
      <c r="AE298" s="1373">
        <f t="shared" si="119"/>
        <v>0</v>
      </c>
      <c r="AF298" s="1371">
        <f t="shared" si="101"/>
        <v>0</v>
      </c>
      <c r="AG298" s="1359" t="e">
        <f>HLOOKUP($AG$83,anticipado,212,0)</f>
        <v>#N/A</v>
      </c>
      <c r="AI298" s="1360">
        <f t="shared" si="109"/>
        <v>0</v>
      </c>
      <c r="AJ298" s="1361">
        <f t="shared" si="123"/>
        <v>211</v>
      </c>
      <c r="AK298" s="1362">
        <f t="shared" si="110"/>
        <v>0</v>
      </c>
      <c r="AL298" s="1362">
        <f t="shared" si="124"/>
        <v>0</v>
      </c>
      <c r="AM298" s="1362">
        <f t="shared" si="120"/>
        <v>0</v>
      </c>
      <c r="AN298" s="1363">
        <f t="shared" si="111"/>
        <v>1000000</v>
      </c>
      <c r="AO298" s="1384"/>
      <c r="AP298" s="1384"/>
      <c r="AQ298" s="1361" t="str">
        <f t="shared" si="99"/>
        <v/>
      </c>
      <c r="AR298" s="1362">
        <f t="shared" si="112"/>
        <v>0</v>
      </c>
      <c r="AS298" s="1362">
        <f t="shared" si="102"/>
        <v>0</v>
      </c>
      <c r="AT298" s="1362">
        <f t="shared" si="126"/>
        <v>0</v>
      </c>
      <c r="AU298" s="1363">
        <f t="shared" si="121"/>
        <v>0</v>
      </c>
    </row>
    <row r="299" spans="1:47">
      <c r="A299" s="1118">
        <f t="shared" ca="1" si="100"/>
        <v>11</v>
      </c>
      <c r="B299" s="1351">
        <f t="shared" si="103"/>
        <v>0</v>
      </c>
      <c r="C299" s="2143">
        <f t="shared" si="114"/>
        <v>0</v>
      </c>
      <c r="D299" s="2144">
        <f t="shared" si="115"/>
        <v>0</v>
      </c>
      <c r="E299" s="2145">
        <f t="shared" si="104"/>
        <v>0</v>
      </c>
      <c r="F299" s="2145">
        <f t="shared" si="125"/>
        <v>0</v>
      </c>
      <c r="G299" s="2145">
        <f t="shared" si="127"/>
        <v>0</v>
      </c>
      <c r="H299" s="2145">
        <f>IF(N298&lt;0.01,0,IF(Adm!$S$4=Adm!$S$8,0,N298*Adm!$V$4))</f>
        <v>0</v>
      </c>
      <c r="I299" s="2145">
        <f>IF(N298&lt;0.01,0,IF(Adm!$S$5=Adm!$S$8,0,Adm!$AA$11*Adm!$X$4))</f>
        <v>0</v>
      </c>
      <c r="J299" s="2145">
        <f>IF(N298&lt;0.01,0,Adm!$Q$4*1.16)</f>
        <v>0</v>
      </c>
      <c r="K299" s="2145">
        <f>IF(N298&lt;0.01,0,IF(Adm!$O$4&gt;0,E299*Adm!$O$4,0))</f>
        <v>0</v>
      </c>
      <c r="L299" s="2145">
        <f t="shared" si="105"/>
        <v>0</v>
      </c>
      <c r="M299" s="2145">
        <f>IF(Adm!$G$4="si",MIN(N298+E299+H299+I299+J299-L299,Z299),0)</f>
        <v>0</v>
      </c>
      <c r="N299" s="2145">
        <f t="shared" si="106"/>
        <v>0</v>
      </c>
      <c r="O299" s="2146"/>
      <c r="P299" s="1101"/>
      <c r="V299" s="1352">
        <f t="shared" si="107"/>
        <v>8</v>
      </c>
      <c r="W299" s="1367">
        <f>IF(V299=1,Cal!$AB$127,0)</f>
        <v>0</v>
      </c>
      <c r="Y299" s="1368">
        <f t="shared" si="116"/>
        <v>0</v>
      </c>
      <c r="Z299" s="1369">
        <f t="shared" ca="1" si="108"/>
        <v>0</v>
      </c>
      <c r="AB299" s="1375">
        <f t="shared" si="117"/>
        <v>0</v>
      </c>
      <c r="AC299" s="1373">
        <f t="shared" si="118"/>
        <v>0</v>
      </c>
      <c r="AD299" s="1373">
        <f t="shared" si="122"/>
        <v>0</v>
      </c>
      <c r="AE299" s="1373">
        <f t="shared" si="119"/>
        <v>0</v>
      </c>
      <c r="AF299" s="1371">
        <f t="shared" si="101"/>
        <v>0</v>
      </c>
      <c r="AG299" s="1359" t="e">
        <f>HLOOKUP($AG$83,anticipado,213,0)</f>
        <v>#N/A</v>
      </c>
      <c r="AI299" s="1360">
        <f t="shared" si="109"/>
        <v>0</v>
      </c>
      <c r="AJ299" s="1361">
        <f t="shared" si="123"/>
        <v>212</v>
      </c>
      <c r="AK299" s="1362">
        <f t="shared" si="110"/>
        <v>0</v>
      </c>
      <c r="AL299" s="1362">
        <f t="shared" si="124"/>
        <v>0</v>
      </c>
      <c r="AM299" s="1362">
        <f t="shared" si="120"/>
        <v>0</v>
      </c>
      <c r="AN299" s="1363">
        <f t="shared" si="111"/>
        <v>1000000</v>
      </c>
      <c r="AO299" s="1384"/>
      <c r="AP299" s="1384"/>
      <c r="AQ299" s="1361" t="str">
        <f t="shared" si="99"/>
        <v/>
      </c>
      <c r="AR299" s="1362">
        <f t="shared" si="112"/>
        <v>0</v>
      </c>
      <c r="AS299" s="1362">
        <f t="shared" si="102"/>
        <v>0</v>
      </c>
      <c r="AT299" s="1362">
        <f t="shared" si="126"/>
        <v>0</v>
      </c>
      <c r="AU299" s="1363">
        <f t="shared" si="121"/>
        <v>0</v>
      </c>
    </row>
    <row r="300" spans="1:47">
      <c r="A300" s="1118">
        <f t="shared" ca="1" si="100"/>
        <v>12</v>
      </c>
      <c r="B300" s="1351">
        <f t="shared" si="103"/>
        <v>0</v>
      </c>
      <c r="C300" s="2143">
        <f t="shared" si="114"/>
        <v>0</v>
      </c>
      <c r="D300" s="2144">
        <f t="shared" si="115"/>
        <v>0</v>
      </c>
      <c r="E300" s="2145">
        <f t="shared" si="104"/>
        <v>0</v>
      </c>
      <c r="F300" s="2145">
        <f t="shared" si="125"/>
        <v>0</v>
      </c>
      <c r="G300" s="2145">
        <f t="shared" si="127"/>
        <v>0</v>
      </c>
      <c r="H300" s="2145">
        <f>IF(N299&lt;0.01,0,IF(Adm!$S$4=Adm!$S$8,0,N299*Adm!$V$4))</f>
        <v>0</v>
      </c>
      <c r="I300" s="2145">
        <f>IF(N299&lt;0.01,0,IF(Adm!$S$5=Adm!$S$8,0,Adm!$AA$11*Adm!$X$4))</f>
        <v>0</v>
      </c>
      <c r="J300" s="2145">
        <f>IF(N299&lt;0.01,0,Adm!$Q$4*1.16)</f>
        <v>0</v>
      </c>
      <c r="K300" s="2145">
        <f>IF(N299&lt;0.01,0,IF(Adm!$O$4&gt;0,E300*Adm!$O$4,0))</f>
        <v>0</v>
      </c>
      <c r="L300" s="2145">
        <f t="shared" si="105"/>
        <v>0</v>
      </c>
      <c r="M300" s="2145">
        <f>IF(Adm!$G$4="si",MIN(N299+E300+H300+I300+J300-L300,Z300),0)</f>
        <v>0</v>
      </c>
      <c r="N300" s="2145">
        <f t="shared" si="106"/>
        <v>0</v>
      </c>
      <c r="O300" s="2146"/>
      <c r="P300" s="1101"/>
      <c r="V300" s="1352">
        <f t="shared" si="107"/>
        <v>9</v>
      </c>
      <c r="W300" s="1367">
        <f>IF(V300=1,Cal!$AB$127,0)</f>
        <v>0</v>
      </c>
      <c r="Y300" s="1368">
        <f t="shared" si="116"/>
        <v>0</v>
      </c>
      <c r="Z300" s="1369">
        <f t="shared" ca="1" si="108"/>
        <v>0</v>
      </c>
      <c r="AB300" s="1375">
        <f t="shared" si="117"/>
        <v>0</v>
      </c>
      <c r="AC300" s="1373">
        <f t="shared" si="118"/>
        <v>0</v>
      </c>
      <c r="AD300" s="1373">
        <f t="shared" si="122"/>
        <v>0</v>
      </c>
      <c r="AE300" s="1373">
        <f t="shared" si="119"/>
        <v>0</v>
      </c>
      <c r="AF300" s="1371">
        <f t="shared" si="101"/>
        <v>0</v>
      </c>
      <c r="AG300" s="1359" t="e">
        <f>HLOOKUP($AG$83,anticipado,214,0)</f>
        <v>#N/A</v>
      </c>
      <c r="AI300" s="1360">
        <f t="shared" si="109"/>
        <v>0</v>
      </c>
      <c r="AJ300" s="1361">
        <f t="shared" si="123"/>
        <v>213</v>
      </c>
      <c r="AK300" s="1362">
        <f t="shared" si="110"/>
        <v>0</v>
      </c>
      <c r="AL300" s="1362">
        <f t="shared" si="124"/>
        <v>0</v>
      </c>
      <c r="AM300" s="1362">
        <f t="shared" si="120"/>
        <v>0</v>
      </c>
      <c r="AN300" s="1363">
        <f t="shared" si="111"/>
        <v>1000000</v>
      </c>
      <c r="AO300" s="1384"/>
      <c r="AP300" s="1384"/>
      <c r="AQ300" s="1361" t="str">
        <f t="shared" si="99"/>
        <v/>
      </c>
      <c r="AR300" s="1362">
        <f t="shared" si="112"/>
        <v>0</v>
      </c>
      <c r="AS300" s="1362">
        <f t="shared" si="102"/>
        <v>0</v>
      </c>
      <c r="AT300" s="1362">
        <f t="shared" si="126"/>
        <v>0</v>
      </c>
      <c r="AU300" s="1363">
        <f t="shared" si="121"/>
        <v>0</v>
      </c>
    </row>
    <row r="301" spans="1:47">
      <c r="A301" s="1118">
        <f t="shared" ca="1" si="100"/>
        <v>1</v>
      </c>
      <c r="B301" s="1351">
        <f t="shared" si="103"/>
        <v>0</v>
      </c>
      <c r="C301" s="2143">
        <f t="shared" si="114"/>
        <v>0</v>
      </c>
      <c r="D301" s="2144">
        <f t="shared" si="115"/>
        <v>0</v>
      </c>
      <c r="E301" s="2145">
        <f t="shared" si="104"/>
        <v>0</v>
      </c>
      <c r="F301" s="2145">
        <f t="shared" si="125"/>
        <v>0</v>
      </c>
      <c r="G301" s="2145">
        <f t="shared" si="127"/>
        <v>0</v>
      </c>
      <c r="H301" s="2145">
        <f>IF(N300&lt;0.01,0,IF(Adm!$S$4=Adm!$S$8,0,N300*Adm!$V$4))</f>
        <v>0</v>
      </c>
      <c r="I301" s="2145">
        <f>IF(N300&lt;0.01,0,IF(Adm!$S$5=Adm!$S$8,0,Adm!$AA$11*Adm!$X$4))</f>
        <v>0</v>
      </c>
      <c r="J301" s="2145">
        <f>IF(N300&lt;0.01,0,Adm!$Q$4*1.16)</f>
        <v>0</v>
      </c>
      <c r="K301" s="2145">
        <f>IF(N300&lt;0.01,0,IF(Adm!$O$4&gt;0,E301*Adm!$O$4,0))</f>
        <v>0</v>
      </c>
      <c r="L301" s="2145">
        <f t="shared" si="105"/>
        <v>0</v>
      </c>
      <c r="M301" s="2145">
        <f>IF(Adm!$G$4="si",MIN(N300+E301+H301+I301+J301-L301,Z301),0)</f>
        <v>0</v>
      </c>
      <c r="N301" s="2145">
        <f t="shared" si="106"/>
        <v>0</v>
      </c>
      <c r="O301" s="2146"/>
      <c r="P301" s="1101"/>
      <c r="V301" s="1352">
        <f t="shared" si="107"/>
        <v>10</v>
      </c>
      <c r="W301" s="1367">
        <f>IF(V301=1,Cal!$AB$127,0)</f>
        <v>0</v>
      </c>
      <c r="Y301" s="1368">
        <f t="shared" si="116"/>
        <v>0</v>
      </c>
      <c r="Z301" s="1369">
        <f t="shared" ca="1" si="108"/>
        <v>0</v>
      </c>
      <c r="AB301" s="1375">
        <f t="shared" si="117"/>
        <v>0</v>
      </c>
      <c r="AC301" s="1373">
        <f t="shared" si="118"/>
        <v>0</v>
      </c>
      <c r="AD301" s="1373">
        <f t="shared" si="122"/>
        <v>0</v>
      </c>
      <c r="AE301" s="1373">
        <f t="shared" si="119"/>
        <v>0</v>
      </c>
      <c r="AF301" s="1371">
        <f t="shared" si="101"/>
        <v>0</v>
      </c>
      <c r="AG301" s="1359" t="e">
        <f>HLOOKUP($AG$83,anticipado,215,0)</f>
        <v>#N/A</v>
      </c>
      <c r="AI301" s="1360">
        <f t="shared" si="109"/>
        <v>0</v>
      </c>
      <c r="AJ301" s="1361">
        <f t="shared" si="123"/>
        <v>214</v>
      </c>
      <c r="AK301" s="1362">
        <f t="shared" si="110"/>
        <v>0</v>
      </c>
      <c r="AL301" s="1362">
        <f t="shared" si="124"/>
        <v>0</v>
      </c>
      <c r="AM301" s="1362">
        <f t="shared" si="120"/>
        <v>0</v>
      </c>
      <c r="AN301" s="1363">
        <f t="shared" si="111"/>
        <v>1000000</v>
      </c>
      <c r="AQ301" s="1361" t="str">
        <f t="shared" si="99"/>
        <v/>
      </c>
      <c r="AR301" s="1362">
        <f t="shared" si="112"/>
        <v>0</v>
      </c>
      <c r="AS301" s="1362">
        <f t="shared" si="102"/>
        <v>0</v>
      </c>
      <c r="AT301" s="1362">
        <f t="shared" si="126"/>
        <v>0</v>
      </c>
      <c r="AU301" s="1363">
        <f t="shared" si="121"/>
        <v>0</v>
      </c>
    </row>
    <row r="302" spans="1:47">
      <c r="A302" s="1118">
        <f t="shared" ca="1" si="100"/>
        <v>2</v>
      </c>
      <c r="B302" s="1351">
        <f t="shared" si="103"/>
        <v>0</v>
      </c>
      <c r="C302" s="2143">
        <f t="shared" si="114"/>
        <v>0</v>
      </c>
      <c r="D302" s="2144">
        <f t="shared" si="115"/>
        <v>0</v>
      </c>
      <c r="E302" s="2145">
        <f t="shared" si="104"/>
        <v>0</v>
      </c>
      <c r="F302" s="2145">
        <f t="shared" si="125"/>
        <v>0</v>
      </c>
      <c r="G302" s="2145">
        <f t="shared" si="127"/>
        <v>0</v>
      </c>
      <c r="H302" s="2145">
        <f>IF(N301&lt;0.01,0,IF(Adm!$S$4=Adm!$S$8,0,N301*Adm!$V$4))</f>
        <v>0</v>
      </c>
      <c r="I302" s="2145">
        <f>IF(N301&lt;0.01,0,IF(Adm!$S$5=Adm!$S$8,0,Adm!$AA$11*Adm!$X$4))</f>
        <v>0</v>
      </c>
      <c r="J302" s="2145">
        <f>IF(N301&lt;0.01,0,Adm!$Q$4*1.16)</f>
        <v>0</v>
      </c>
      <c r="K302" s="2145">
        <f>IF(N301&lt;0.01,0,IF(Adm!$O$4&gt;0,E302*Adm!$O$4,0))</f>
        <v>0</v>
      </c>
      <c r="L302" s="2145">
        <f t="shared" si="105"/>
        <v>0</v>
      </c>
      <c r="M302" s="2145">
        <f>IF(Adm!$G$4="si",MIN(N301+E302+H302+I302+J302-L302,Z302),0)</f>
        <v>0</v>
      </c>
      <c r="N302" s="2145">
        <f t="shared" si="106"/>
        <v>0</v>
      </c>
      <c r="O302" s="2146"/>
      <c r="P302" s="1101"/>
      <c r="V302" s="1352">
        <f t="shared" si="107"/>
        <v>11</v>
      </c>
      <c r="W302" s="1367">
        <f>IF(V302=1,Cal!$AB$127,0)</f>
        <v>0</v>
      </c>
      <c r="Y302" s="1368">
        <f t="shared" si="116"/>
        <v>0</v>
      </c>
      <c r="Z302" s="1369">
        <f t="shared" ca="1" si="108"/>
        <v>0</v>
      </c>
      <c r="AB302" s="1375">
        <f t="shared" si="117"/>
        <v>0</v>
      </c>
      <c r="AC302" s="1373">
        <f t="shared" si="118"/>
        <v>0</v>
      </c>
      <c r="AD302" s="1373">
        <f t="shared" si="122"/>
        <v>0</v>
      </c>
      <c r="AE302" s="1373">
        <f t="shared" si="119"/>
        <v>0</v>
      </c>
      <c r="AF302" s="1371">
        <f t="shared" si="101"/>
        <v>0</v>
      </c>
      <c r="AG302" s="1359" t="e">
        <f>HLOOKUP($AG$83,anticipado,216,0)</f>
        <v>#N/A</v>
      </c>
      <c r="AI302" s="1360">
        <f t="shared" si="109"/>
        <v>0</v>
      </c>
      <c r="AJ302" s="1361">
        <f t="shared" si="123"/>
        <v>215</v>
      </c>
      <c r="AK302" s="1362">
        <f t="shared" si="110"/>
        <v>0</v>
      </c>
      <c r="AL302" s="1362">
        <f t="shared" si="124"/>
        <v>0</v>
      </c>
      <c r="AM302" s="1362">
        <f t="shared" si="120"/>
        <v>0</v>
      </c>
      <c r="AN302" s="1363">
        <f t="shared" si="111"/>
        <v>1000000</v>
      </c>
      <c r="AQ302" s="1361" t="str">
        <f t="shared" si="99"/>
        <v/>
      </c>
      <c r="AR302" s="1362">
        <f t="shared" si="112"/>
        <v>0</v>
      </c>
      <c r="AS302" s="1362">
        <f t="shared" si="102"/>
        <v>0</v>
      </c>
      <c r="AT302" s="1362">
        <f t="shared" si="126"/>
        <v>0</v>
      </c>
      <c r="AU302" s="1363">
        <f t="shared" si="121"/>
        <v>0</v>
      </c>
    </row>
    <row r="303" spans="1:47">
      <c r="A303" s="1118">
        <f t="shared" ca="1" si="100"/>
        <v>3</v>
      </c>
      <c r="B303" s="1351">
        <f t="shared" si="103"/>
        <v>0</v>
      </c>
      <c r="C303" s="2143">
        <f t="shared" si="114"/>
        <v>0</v>
      </c>
      <c r="D303" s="2144">
        <f t="shared" si="115"/>
        <v>0</v>
      </c>
      <c r="E303" s="2145">
        <f t="shared" si="104"/>
        <v>0</v>
      </c>
      <c r="F303" s="2145">
        <f t="shared" si="125"/>
        <v>0</v>
      </c>
      <c r="G303" s="2145">
        <f t="shared" si="127"/>
        <v>0</v>
      </c>
      <c r="H303" s="2145">
        <f>IF(N302&lt;0.01,0,IF(Adm!$S$4=Adm!$S$8,0,N302*Adm!$V$4))</f>
        <v>0</v>
      </c>
      <c r="I303" s="2145">
        <f>IF(N302&lt;0.01,0,IF(Adm!$S$5=Adm!$S$8,0,Adm!$AA$11*Adm!$X$4))</f>
        <v>0</v>
      </c>
      <c r="J303" s="2145">
        <f>IF(N302&lt;0.01,0,Adm!$Q$4*1.16)</f>
        <v>0</v>
      </c>
      <c r="K303" s="2145">
        <f>IF(N302&lt;0.01,0,IF(Adm!$O$4&gt;0,E303*Adm!$O$4,0))</f>
        <v>0</v>
      </c>
      <c r="L303" s="2145">
        <f t="shared" si="105"/>
        <v>0</v>
      </c>
      <c r="M303" s="2145">
        <f>IF(Adm!$G$4="si",MIN(N302+E303+H303+I303+J303-L303,Z303),0)</f>
        <v>0</v>
      </c>
      <c r="N303" s="2145">
        <f t="shared" si="106"/>
        <v>0</v>
      </c>
      <c r="O303" s="2146"/>
      <c r="P303" s="1101"/>
      <c r="V303" s="1352">
        <f t="shared" si="107"/>
        <v>12</v>
      </c>
      <c r="W303" s="1367">
        <f>IF(V303=1,Cal!$AB$127,0)</f>
        <v>0</v>
      </c>
      <c r="Y303" s="1368">
        <f t="shared" si="116"/>
        <v>0</v>
      </c>
      <c r="Z303" s="1369">
        <f t="shared" ca="1" si="108"/>
        <v>0</v>
      </c>
      <c r="AB303" s="1375">
        <f t="shared" si="117"/>
        <v>0</v>
      </c>
      <c r="AC303" s="1373">
        <f t="shared" si="118"/>
        <v>0</v>
      </c>
      <c r="AD303" s="1373">
        <f t="shared" si="122"/>
        <v>0</v>
      </c>
      <c r="AE303" s="1373">
        <f t="shared" si="119"/>
        <v>0</v>
      </c>
      <c r="AF303" s="1371">
        <f t="shared" si="101"/>
        <v>0</v>
      </c>
      <c r="AG303" s="1359" t="e">
        <f>HLOOKUP($AG$83,anticipado,217,0)</f>
        <v>#N/A</v>
      </c>
      <c r="AI303" s="1360">
        <f t="shared" si="109"/>
        <v>0</v>
      </c>
      <c r="AJ303" s="1361">
        <f t="shared" si="123"/>
        <v>216</v>
      </c>
      <c r="AK303" s="1362">
        <f t="shared" si="110"/>
        <v>0</v>
      </c>
      <c r="AL303" s="1362">
        <f t="shared" si="124"/>
        <v>0</v>
      </c>
      <c r="AM303" s="1362">
        <f t="shared" si="120"/>
        <v>0</v>
      </c>
      <c r="AN303" s="1363">
        <f t="shared" si="111"/>
        <v>1000000</v>
      </c>
      <c r="AQ303" s="1361" t="str">
        <f t="shared" si="99"/>
        <v/>
      </c>
      <c r="AR303" s="1362">
        <f t="shared" si="112"/>
        <v>0</v>
      </c>
      <c r="AS303" s="1362">
        <f t="shared" si="102"/>
        <v>0</v>
      </c>
      <c r="AT303" s="1362">
        <f t="shared" si="126"/>
        <v>0</v>
      </c>
      <c r="AU303" s="1363">
        <f t="shared" si="121"/>
        <v>0</v>
      </c>
    </row>
    <row r="304" spans="1:47">
      <c r="A304" s="1118">
        <f t="shared" ca="1" si="100"/>
        <v>4</v>
      </c>
      <c r="B304" s="1351">
        <f t="shared" si="103"/>
        <v>0</v>
      </c>
      <c r="C304" s="2143">
        <f t="shared" si="114"/>
        <v>0</v>
      </c>
      <c r="D304" s="2144">
        <f t="shared" si="115"/>
        <v>0</v>
      </c>
      <c r="E304" s="2145">
        <f t="shared" si="104"/>
        <v>0</v>
      </c>
      <c r="F304" s="2145">
        <f t="shared" si="125"/>
        <v>0</v>
      </c>
      <c r="G304" s="2145">
        <f t="shared" si="127"/>
        <v>0</v>
      </c>
      <c r="H304" s="2145">
        <f>IF(N303&lt;0.01,0,IF(Adm!$S$4=Adm!$S$8,0,N303*Adm!$V$4))</f>
        <v>0</v>
      </c>
      <c r="I304" s="2145">
        <f>IF(N303&lt;0.01,0,IF(Adm!$S$5=Adm!$S$8,0,Adm!$AA$11*Adm!$X$4))</f>
        <v>0</v>
      </c>
      <c r="J304" s="2145">
        <f>IF(N303&lt;0.01,0,Adm!$Q$4*1.16)</f>
        <v>0</v>
      </c>
      <c r="K304" s="2145">
        <f>IF(N303&lt;0.01,0,IF(Adm!$O$4&gt;0,E304*Adm!$O$4,0))</f>
        <v>0</v>
      </c>
      <c r="L304" s="2145">
        <f t="shared" si="105"/>
        <v>0</v>
      </c>
      <c r="M304" s="2145">
        <f>IF(Adm!$G$4="si",MIN(N303+E304+H304+I304+J304-L304,Z304),0)</f>
        <v>0</v>
      </c>
      <c r="N304" s="2145">
        <f t="shared" si="106"/>
        <v>0</v>
      </c>
      <c r="O304" s="2146"/>
      <c r="P304" s="1101"/>
      <c r="V304" s="1352">
        <f t="shared" si="107"/>
        <v>1</v>
      </c>
      <c r="W304" s="1367">
        <f>IF(V304=1,Cal!$AB$127,0)</f>
        <v>0</v>
      </c>
      <c r="Y304" s="1368">
        <f t="shared" si="116"/>
        <v>0</v>
      </c>
      <c r="Z304" s="1369">
        <f t="shared" ca="1" si="108"/>
        <v>0</v>
      </c>
      <c r="AB304" s="1375">
        <f t="shared" si="117"/>
        <v>0</v>
      </c>
      <c r="AC304" s="1373">
        <f t="shared" si="118"/>
        <v>0</v>
      </c>
      <c r="AD304" s="1373">
        <f t="shared" si="122"/>
        <v>0</v>
      </c>
      <c r="AE304" s="1373">
        <f t="shared" si="119"/>
        <v>0</v>
      </c>
      <c r="AF304" s="1371">
        <f t="shared" si="101"/>
        <v>0</v>
      </c>
      <c r="AG304" s="1359" t="e">
        <f>HLOOKUP($AG$83,anticipado,218,0)</f>
        <v>#N/A</v>
      </c>
      <c r="AI304" s="1360">
        <f t="shared" si="109"/>
        <v>0</v>
      </c>
      <c r="AJ304" s="1377">
        <f t="shared" si="123"/>
        <v>217</v>
      </c>
      <c r="AK304" s="1378">
        <f t="shared" si="110"/>
        <v>0</v>
      </c>
      <c r="AL304" s="1378">
        <f t="shared" si="124"/>
        <v>0</v>
      </c>
      <c r="AM304" s="1378">
        <f>MIN(AN303+AK304,AM303*(1+$AK$83))</f>
        <v>0</v>
      </c>
      <c r="AN304" s="1363">
        <f t="shared" si="111"/>
        <v>1000000</v>
      </c>
      <c r="AQ304" s="1379" t="str">
        <f t="shared" si="99"/>
        <v/>
      </c>
      <c r="AR304" s="1380">
        <f t="shared" si="112"/>
        <v>0</v>
      </c>
      <c r="AS304" s="1380">
        <f t="shared" si="102"/>
        <v>0</v>
      </c>
      <c r="AT304" s="1380">
        <f>MIN(AU303+AR304,AT303*(1+$AR$83))</f>
        <v>0</v>
      </c>
      <c r="AU304" s="1363">
        <f t="shared" si="121"/>
        <v>0</v>
      </c>
    </row>
    <row r="305" spans="1:47">
      <c r="A305" s="1118">
        <f t="shared" ca="1" si="100"/>
        <v>5</v>
      </c>
      <c r="B305" s="1351">
        <f t="shared" si="103"/>
        <v>0</v>
      </c>
      <c r="C305" s="2143">
        <f t="shared" si="114"/>
        <v>0</v>
      </c>
      <c r="D305" s="2144">
        <f t="shared" si="115"/>
        <v>0</v>
      </c>
      <c r="E305" s="2145">
        <f t="shared" si="104"/>
        <v>0</v>
      </c>
      <c r="F305" s="2145">
        <f t="shared" si="125"/>
        <v>0</v>
      </c>
      <c r="G305" s="2145">
        <f t="shared" si="127"/>
        <v>0</v>
      </c>
      <c r="H305" s="2145">
        <f>IF(N304&lt;0.01,0,IF(Adm!$S$4=Adm!$S$8,0,N304*Adm!$V$4))</f>
        <v>0</v>
      </c>
      <c r="I305" s="2145">
        <f>IF(N304&lt;0.01,0,IF(Adm!$S$5=Adm!$S$8,0,Adm!$AA$11*Adm!$X$4))</f>
        <v>0</v>
      </c>
      <c r="J305" s="2145">
        <f>IF(N304&lt;0.01,0,Adm!$Q$4*1.16)</f>
        <v>0</v>
      </c>
      <c r="K305" s="2145">
        <f>IF(N304&lt;0.01,0,IF(Adm!$O$4&gt;0,E305*Adm!$O$4,0))</f>
        <v>0</v>
      </c>
      <c r="L305" s="2145">
        <f t="shared" si="105"/>
        <v>0</v>
      </c>
      <c r="M305" s="2145">
        <f>IF(Adm!$G$4="si",MIN(N304+E305+H305+I305+J305-L305,Z305),0)</f>
        <v>0</v>
      </c>
      <c r="N305" s="2145">
        <f t="shared" si="106"/>
        <v>0</v>
      </c>
      <c r="O305" s="2146"/>
      <c r="P305" s="1101"/>
      <c r="V305" s="1352">
        <f t="shared" si="107"/>
        <v>2</v>
      </c>
      <c r="W305" s="1367">
        <f>IF(V305=1,Cal!$AB$127,0)</f>
        <v>0</v>
      </c>
      <c r="Y305" s="1368">
        <f t="shared" si="116"/>
        <v>0</v>
      </c>
      <c r="Z305" s="1369">
        <f t="shared" ca="1" si="108"/>
        <v>0</v>
      </c>
      <c r="AB305" s="1375">
        <f t="shared" si="117"/>
        <v>0</v>
      </c>
      <c r="AC305" s="1373">
        <f t="shared" si="118"/>
        <v>0</v>
      </c>
      <c r="AD305" s="1373">
        <f t="shared" si="122"/>
        <v>0</v>
      </c>
      <c r="AE305" s="1373">
        <f t="shared" si="119"/>
        <v>0</v>
      </c>
      <c r="AF305" s="1371">
        <f t="shared" si="101"/>
        <v>0</v>
      </c>
      <c r="AG305" s="1359" t="e">
        <f>HLOOKUP($AG$83,anticipado,219,0)</f>
        <v>#N/A</v>
      </c>
      <c r="AI305" s="1360">
        <f t="shared" si="109"/>
        <v>0</v>
      </c>
      <c r="AJ305" s="1361">
        <f t="shared" si="123"/>
        <v>218</v>
      </c>
      <c r="AK305" s="1362">
        <f t="shared" si="110"/>
        <v>0</v>
      </c>
      <c r="AL305" s="1362">
        <f t="shared" si="124"/>
        <v>0</v>
      </c>
      <c r="AM305" s="1362">
        <f t="shared" si="120"/>
        <v>0</v>
      </c>
      <c r="AN305" s="1363">
        <f t="shared" si="111"/>
        <v>1000000</v>
      </c>
      <c r="AQ305" s="1361" t="str">
        <f t="shared" si="99"/>
        <v/>
      </c>
      <c r="AR305" s="1362">
        <f t="shared" si="112"/>
        <v>0</v>
      </c>
      <c r="AS305" s="1362">
        <f t="shared" si="102"/>
        <v>0</v>
      </c>
      <c r="AT305" s="1362">
        <f t="shared" ref="AT305:AT315" si="128">MIN(AU304+AR305,AT304)</f>
        <v>0</v>
      </c>
      <c r="AU305" s="1363">
        <f t="shared" si="121"/>
        <v>0</v>
      </c>
    </row>
    <row r="306" spans="1:47">
      <c r="A306" s="1118">
        <f t="shared" ca="1" si="100"/>
        <v>6</v>
      </c>
      <c r="B306" s="1351">
        <f t="shared" si="103"/>
        <v>0</v>
      </c>
      <c r="C306" s="2143">
        <f t="shared" si="114"/>
        <v>0</v>
      </c>
      <c r="D306" s="2144">
        <f t="shared" si="115"/>
        <v>0</v>
      </c>
      <c r="E306" s="2145">
        <f t="shared" si="104"/>
        <v>0</v>
      </c>
      <c r="F306" s="2145">
        <f t="shared" si="125"/>
        <v>0</v>
      </c>
      <c r="G306" s="2145">
        <f t="shared" si="127"/>
        <v>0</v>
      </c>
      <c r="H306" s="2145">
        <f>IF(N305&lt;0.01,0,IF(Adm!$S$4=Adm!$S$8,0,N305*Adm!$V$4))</f>
        <v>0</v>
      </c>
      <c r="I306" s="2145">
        <f>IF(N305&lt;0.01,0,IF(Adm!$S$5=Adm!$S$8,0,Adm!$AA$11*Adm!$X$4))</f>
        <v>0</v>
      </c>
      <c r="J306" s="2145">
        <f>IF(N305&lt;0.01,0,Adm!$Q$4*1.16)</f>
        <v>0</v>
      </c>
      <c r="K306" s="2145">
        <f>IF(N305&lt;0.01,0,IF(Adm!$O$4&gt;0,E306*Adm!$O$4,0))</f>
        <v>0</v>
      </c>
      <c r="L306" s="2145">
        <f t="shared" si="105"/>
        <v>0</v>
      </c>
      <c r="M306" s="2145">
        <f>IF(Adm!$G$4="si",MIN(N305+E306+H306+I306+J306-L306,Z306),0)</f>
        <v>0</v>
      </c>
      <c r="N306" s="2145">
        <f t="shared" si="106"/>
        <v>0</v>
      </c>
      <c r="O306" s="2146"/>
      <c r="P306" s="1101"/>
      <c r="V306" s="1352">
        <f t="shared" si="107"/>
        <v>3</v>
      </c>
      <c r="W306" s="1367">
        <f>IF(V306=1,Cal!$AB$127,0)</f>
        <v>0</v>
      </c>
      <c r="Y306" s="1368">
        <f t="shared" si="116"/>
        <v>0</v>
      </c>
      <c r="Z306" s="1369">
        <f t="shared" ca="1" si="108"/>
        <v>0</v>
      </c>
      <c r="AB306" s="1375">
        <f t="shared" si="117"/>
        <v>0</v>
      </c>
      <c r="AC306" s="1373">
        <f t="shared" si="118"/>
        <v>0</v>
      </c>
      <c r="AD306" s="1373">
        <f t="shared" si="122"/>
        <v>0</v>
      </c>
      <c r="AE306" s="1373">
        <f t="shared" si="119"/>
        <v>0</v>
      </c>
      <c r="AF306" s="1371">
        <f t="shared" si="101"/>
        <v>0</v>
      </c>
      <c r="AG306" s="1359" t="e">
        <f>HLOOKUP($AG$83,anticipado,220,0)</f>
        <v>#N/A</v>
      </c>
      <c r="AI306" s="1360">
        <f t="shared" si="109"/>
        <v>0</v>
      </c>
      <c r="AJ306" s="1361">
        <f t="shared" si="123"/>
        <v>219</v>
      </c>
      <c r="AK306" s="1362">
        <f t="shared" si="110"/>
        <v>0</v>
      </c>
      <c r="AL306" s="1362">
        <f t="shared" si="124"/>
        <v>0</v>
      </c>
      <c r="AM306" s="1362">
        <f t="shared" si="120"/>
        <v>0</v>
      </c>
      <c r="AN306" s="1363">
        <f t="shared" si="111"/>
        <v>1000000</v>
      </c>
      <c r="AQ306" s="1361" t="str">
        <f t="shared" si="99"/>
        <v/>
      </c>
      <c r="AR306" s="1362">
        <f t="shared" si="112"/>
        <v>0</v>
      </c>
      <c r="AS306" s="1362">
        <f t="shared" si="102"/>
        <v>0</v>
      </c>
      <c r="AT306" s="1362">
        <f t="shared" si="128"/>
        <v>0</v>
      </c>
      <c r="AU306" s="1363">
        <f t="shared" si="121"/>
        <v>0</v>
      </c>
    </row>
    <row r="307" spans="1:47">
      <c r="A307" s="1118">
        <f t="shared" ca="1" si="100"/>
        <v>7</v>
      </c>
      <c r="B307" s="1351">
        <f t="shared" si="103"/>
        <v>0</v>
      </c>
      <c r="C307" s="2143">
        <f t="shared" si="114"/>
        <v>0</v>
      </c>
      <c r="D307" s="2144">
        <f t="shared" si="115"/>
        <v>0</v>
      </c>
      <c r="E307" s="2145">
        <f t="shared" si="104"/>
        <v>0</v>
      </c>
      <c r="F307" s="2145">
        <f t="shared" si="125"/>
        <v>0</v>
      </c>
      <c r="G307" s="2145">
        <f t="shared" si="127"/>
        <v>0</v>
      </c>
      <c r="H307" s="2145">
        <f>IF(N306&lt;0.01,0,IF(Adm!$S$4=Adm!$S$8,0,N306*Adm!$V$4))</f>
        <v>0</v>
      </c>
      <c r="I307" s="2145">
        <f>IF(N306&lt;0.01,0,IF(Adm!$S$5=Adm!$S$8,0,Adm!$AA$11*Adm!$X$4))</f>
        <v>0</v>
      </c>
      <c r="J307" s="2145">
        <f>IF(N306&lt;0.01,0,Adm!$Q$4*1.16)</f>
        <v>0</v>
      </c>
      <c r="K307" s="2145">
        <f>IF(N306&lt;0.01,0,IF(Adm!$O$4&gt;0,E307*Adm!$O$4,0))</f>
        <v>0</v>
      </c>
      <c r="L307" s="2145">
        <f t="shared" si="105"/>
        <v>0</v>
      </c>
      <c r="M307" s="2145">
        <f>IF(Adm!$G$4="si",MIN(N306+E307+H307+I307+J307-L307,Z307),0)</f>
        <v>0</v>
      </c>
      <c r="N307" s="2145">
        <f t="shared" si="106"/>
        <v>0</v>
      </c>
      <c r="O307" s="2146"/>
      <c r="P307" s="1101"/>
      <c r="V307" s="1352">
        <f t="shared" si="107"/>
        <v>4</v>
      </c>
      <c r="W307" s="1367">
        <f>IF(V307=1,Cal!$AB$127,0)</f>
        <v>0</v>
      </c>
      <c r="Y307" s="1368">
        <f t="shared" si="116"/>
        <v>0</v>
      </c>
      <c r="Z307" s="1369">
        <f t="shared" ca="1" si="108"/>
        <v>0</v>
      </c>
      <c r="AB307" s="1375">
        <f t="shared" si="117"/>
        <v>0</v>
      </c>
      <c r="AC307" s="1373">
        <f t="shared" si="118"/>
        <v>0</v>
      </c>
      <c r="AD307" s="1373">
        <f t="shared" si="122"/>
        <v>0</v>
      </c>
      <c r="AE307" s="1373">
        <f t="shared" si="119"/>
        <v>0</v>
      </c>
      <c r="AF307" s="1371">
        <f t="shared" si="101"/>
        <v>0</v>
      </c>
      <c r="AG307" s="1359" t="e">
        <f>HLOOKUP($AG$83,anticipado,221,0)</f>
        <v>#N/A</v>
      </c>
      <c r="AI307" s="1360">
        <f t="shared" si="109"/>
        <v>0</v>
      </c>
      <c r="AJ307" s="1361">
        <f t="shared" si="123"/>
        <v>220</v>
      </c>
      <c r="AK307" s="1362">
        <f t="shared" si="110"/>
        <v>0</v>
      </c>
      <c r="AL307" s="1362">
        <f t="shared" si="124"/>
        <v>0</v>
      </c>
      <c r="AM307" s="1362">
        <f t="shared" si="120"/>
        <v>0</v>
      </c>
      <c r="AN307" s="1363">
        <f t="shared" si="111"/>
        <v>1000000</v>
      </c>
      <c r="AQ307" s="1361" t="str">
        <f t="shared" si="99"/>
        <v/>
      </c>
      <c r="AR307" s="1362">
        <f t="shared" si="112"/>
        <v>0</v>
      </c>
      <c r="AS307" s="1362">
        <f t="shared" si="102"/>
        <v>0</v>
      </c>
      <c r="AT307" s="1362">
        <f t="shared" si="128"/>
        <v>0</v>
      </c>
      <c r="AU307" s="1363">
        <f t="shared" si="121"/>
        <v>0</v>
      </c>
    </row>
    <row r="308" spans="1:47">
      <c r="A308" s="1118">
        <f t="shared" ca="1" si="100"/>
        <v>8</v>
      </c>
      <c r="B308" s="1351">
        <f t="shared" si="103"/>
        <v>0</v>
      </c>
      <c r="C308" s="2143">
        <f t="shared" si="114"/>
        <v>0</v>
      </c>
      <c r="D308" s="2144">
        <f t="shared" si="115"/>
        <v>0</v>
      </c>
      <c r="E308" s="2145">
        <f t="shared" si="104"/>
        <v>0</v>
      </c>
      <c r="F308" s="2145">
        <f t="shared" si="125"/>
        <v>0</v>
      </c>
      <c r="G308" s="2145">
        <f t="shared" si="127"/>
        <v>0</v>
      </c>
      <c r="H308" s="2145">
        <f>IF(N307&lt;0.01,0,IF(Adm!$S$4=Adm!$S$8,0,N307*Adm!$V$4))</f>
        <v>0</v>
      </c>
      <c r="I308" s="2145">
        <f>IF(N307&lt;0.01,0,IF(Adm!$S$5=Adm!$S$8,0,Adm!$AA$11*Adm!$X$4))</f>
        <v>0</v>
      </c>
      <c r="J308" s="2145">
        <f>IF(N307&lt;0.01,0,Adm!$Q$4*1.16)</f>
        <v>0</v>
      </c>
      <c r="K308" s="2145">
        <f>IF(N307&lt;0.01,0,IF(Adm!$O$4&gt;0,E308*Adm!$O$4,0))</f>
        <v>0</v>
      </c>
      <c r="L308" s="2145">
        <f t="shared" si="105"/>
        <v>0</v>
      </c>
      <c r="M308" s="2145">
        <f>IF(Adm!$G$4="si",MIN(N307+E308+H308+I308+J308-L308,Z308),0)</f>
        <v>0</v>
      </c>
      <c r="N308" s="2145">
        <f t="shared" si="106"/>
        <v>0</v>
      </c>
      <c r="O308" s="2146"/>
      <c r="P308" s="1101"/>
      <c r="V308" s="1352">
        <f t="shared" si="107"/>
        <v>5</v>
      </c>
      <c r="W308" s="1367">
        <f>IF(V308=1,Cal!$AB$127,0)</f>
        <v>0</v>
      </c>
      <c r="Y308" s="1368">
        <f t="shared" si="116"/>
        <v>0</v>
      </c>
      <c r="Z308" s="1369">
        <f t="shared" ca="1" si="108"/>
        <v>0</v>
      </c>
      <c r="AB308" s="1375">
        <f t="shared" si="117"/>
        <v>0</v>
      </c>
      <c r="AC308" s="1373">
        <f t="shared" si="118"/>
        <v>0</v>
      </c>
      <c r="AD308" s="1373">
        <f t="shared" si="122"/>
        <v>0</v>
      </c>
      <c r="AE308" s="1373">
        <f t="shared" si="119"/>
        <v>0</v>
      </c>
      <c r="AF308" s="1371">
        <f t="shared" si="101"/>
        <v>0</v>
      </c>
      <c r="AG308" s="1359" t="e">
        <f>HLOOKUP($AG$83,anticipado,222,0)</f>
        <v>#N/A</v>
      </c>
      <c r="AI308" s="1360">
        <f t="shared" si="109"/>
        <v>0</v>
      </c>
      <c r="AJ308" s="1361">
        <f t="shared" si="123"/>
        <v>221</v>
      </c>
      <c r="AK308" s="1362">
        <f t="shared" si="110"/>
        <v>0</v>
      </c>
      <c r="AL308" s="1362">
        <f t="shared" si="124"/>
        <v>0</v>
      </c>
      <c r="AM308" s="1362">
        <f t="shared" si="120"/>
        <v>0</v>
      </c>
      <c r="AN308" s="1363">
        <f t="shared" si="111"/>
        <v>1000000</v>
      </c>
      <c r="AQ308" s="1361" t="str">
        <f t="shared" si="99"/>
        <v/>
      </c>
      <c r="AR308" s="1362">
        <f t="shared" si="112"/>
        <v>0</v>
      </c>
      <c r="AS308" s="1362">
        <f t="shared" si="102"/>
        <v>0</v>
      </c>
      <c r="AT308" s="1362">
        <f t="shared" si="128"/>
        <v>0</v>
      </c>
      <c r="AU308" s="1363">
        <f t="shared" si="121"/>
        <v>0</v>
      </c>
    </row>
    <row r="309" spans="1:47">
      <c r="A309" s="1118">
        <f t="shared" ca="1" si="100"/>
        <v>9</v>
      </c>
      <c r="B309" s="1351">
        <f t="shared" si="103"/>
        <v>0</v>
      </c>
      <c r="C309" s="2143">
        <f t="shared" si="114"/>
        <v>0</v>
      </c>
      <c r="D309" s="2144">
        <f t="shared" si="115"/>
        <v>0</v>
      </c>
      <c r="E309" s="2145">
        <f t="shared" si="104"/>
        <v>0</v>
      </c>
      <c r="F309" s="2145">
        <f t="shared" si="125"/>
        <v>0</v>
      </c>
      <c r="G309" s="2145">
        <f t="shared" si="127"/>
        <v>0</v>
      </c>
      <c r="H309" s="2145">
        <f>IF(N308&lt;0.01,0,IF(Adm!$S$4=Adm!$S$8,0,N308*Adm!$V$4))</f>
        <v>0</v>
      </c>
      <c r="I309" s="2145">
        <f>IF(N308&lt;0.01,0,IF(Adm!$S$5=Adm!$S$8,0,Adm!$AA$11*Adm!$X$4))</f>
        <v>0</v>
      </c>
      <c r="J309" s="2145">
        <f>IF(N308&lt;0.01,0,Adm!$Q$4*1.16)</f>
        <v>0</v>
      </c>
      <c r="K309" s="2145">
        <f>IF(N308&lt;0.01,0,IF(Adm!$O$4&gt;0,E309*Adm!$O$4,0))</f>
        <v>0</v>
      </c>
      <c r="L309" s="2145">
        <f t="shared" si="105"/>
        <v>0</v>
      </c>
      <c r="M309" s="2145">
        <f>IF(Adm!$G$4="si",MIN(N308+E309+H309+I309+J309-L309,Z309),0)</f>
        <v>0</v>
      </c>
      <c r="N309" s="2145">
        <f t="shared" si="106"/>
        <v>0</v>
      </c>
      <c r="O309" s="2146"/>
      <c r="P309" s="1101"/>
      <c r="V309" s="1352">
        <f t="shared" si="107"/>
        <v>6</v>
      </c>
      <c r="W309" s="1367">
        <f>IF(V309=1,Cal!$AB$127,0)</f>
        <v>0</v>
      </c>
      <c r="Y309" s="1368">
        <f t="shared" si="116"/>
        <v>0</v>
      </c>
      <c r="Z309" s="1369">
        <f t="shared" ca="1" si="108"/>
        <v>0</v>
      </c>
      <c r="AB309" s="1375">
        <f t="shared" si="117"/>
        <v>0</v>
      </c>
      <c r="AC309" s="1373">
        <f t="shared" si="118"/>
        <v>0</v>
      </c>
      <c r="AD309" s="1373">
        <f t="shared" si="122"/>
        <v>0</v>
      </c>
      <c r="AE309" s="1373">
        <f t="shared" si="119"/>
        <v>0</v>
      </c>
      <c r="AF309" s="1371">
        <f t="shared" si="101"/>
        <v>0</v>
      </c>
      <c r="AG309" s="1359" t="e">
        <f>HLOOKUP($AG$83,anticipado,223,0)</f>
        <v>#N/A</v>
      </c>
      <c r="AI309" s="1360">
        <f t="shared" si="109"/>
        <v>0</v>
      </c>
      <c r="AJ309" s="1361">
        <f t="shared" si="123"/>
        <v>222</v>
      </c>
      <c r="AK309" s="1362">
        <f t="shared" si="110"/>
        <v>0</v>
      </c>
      <c r="AL309" s="1362">
        <f t="shared" si="124"/>
        <v>0</v>
      </c>
      <c r="AM309" s="1362">
        <f t="shared" si="120"/>
        <v>0</v>
      </c>
      <c r="AN309" s="1363">
        <f t="shared" si="111"/>
        <v>1000000</v>
      </c>
      <c r="AQ309" s="1361" t="str">
        <f t="shared" si="99"/>
        <v/>
      </c>
      <c r="AR309" s="1362">
        <f t="shared" si="112"/>
        <v>0</v>
      </c>
      <c r="AS309" s="1362">
        <f t="shared" si="102"/>
        <v>0</v>
      </c>
      <c r="AT309" s="1362">
        <f t="shared" si="128"/>
        <v>0</v>
      </c>
      <c r="AU309" s="1363">
        <f t="shared" si="121"/>
        <v>0</v>
      </c>
    </row>
    <row r="310" spans="1:47">
      <c r="A310" s="1118">
        <f t="shared" ca="1" si="100"/>
        <v>10</v>
      </c>
      <c r="B310" s="1351">
        <f t="shared" si="103"/>
        <v>0</v>
      </c>
      <c r="C310" s="2143">
        <f t="shared" si="114"/>
        <v>0</v>
      </c>
      <c r="D310" s="2144">
        <f t="shared" si="115"/>
        <v>0</v>
      </c>
      <c r="E310" s="2145">
        <f t="shared" si="104"/>
        <v>0</v>
      </c>
      <c r="F310" s="2145">
        <f t="shared" si="125"/>
        <v>0</v>
      </c>
      <c r="G310" s="2145">
        <f t="shared" si="127"/>
        <v>0</v>
      </c>
      <c r="H310" s="2145">
        <f>IF(N309&lt;0.01,0,IF(Adm!$S$4=Adm!$S$8,0,N309*Adm!$V$4))</f>
        <v>0</v>
      </c>
      <c r="I310" s="2145">
        <f>IF(N309&lt;0.01,0,IF(Adm!$S$5=Adm!$S$8,0,Adm!$AA$11*Adm!$X$4))</f>
        <v>0</v>
      </c>
      <c r="J310" s="2145">
        <f>IF(N309&lt;0.01,0,Adm!$Q$4*1.16)</f>
        <v>0</v>
      </c>
      <c r="K310" s="2145">
        <f>IF(N309&lt;0.01,0,IF(Adm!$O$4&gt;0,E310*Adm!$O$4,0))</f>
        <v>0</v>
      </c>
      <c r="L310" s="2145">
        <f t="shared" si="105"/>
        <v>0</v>
      </c>
      <c r="M310" s="2145">
        <f>IF(Adm!$G$4="si",MIN(N309+E310+H310+I310+J310-L310,Z310),0)</f>
        <v>0</v>
      </c>
      <c r="N310" s="2145">
        <f t="shared" si="106"/>
        <v>0</v>
      </c>
      <c r="O310" s="2146"/>
      <c r="P310" s="1101"/>
      <c r="V310" s="1352">
        <f t="shared" si="107"/>
        <v>7</v>
      </c>
      <c r="W310" s="1367">
        <f>IF(V310=1,Cal!$AB$127,0)</f>
        <v>0</v>
      </c>
      <c r="Y310" s="1368">
        <f t="shared" si="116"/>
        <v>0</v>
      </c>
      <c r="Z310" s="1369">
        <f t="shared" ca="1" si="108"/>
        <v>0</v>
      </c>
      <c r="AB310" s="1375">
        <f t="shared" si="117"/>
        <v>0</v>
      </c>
      <c r="AC310" s="1373">
        <f t="shared" si="118"/>
        <v>0</v>
      </c>
      <c r="AD310" s="1373">
        <f t="shared" si="122"/>
        <v>0</v>
      </c>
      <c r="AE310" s="1373">
        <f t="shared" si="119"/>
        <v>0</v>
      </c>
      <c r="AF310" s="1371">
        <f t="shared" si="101"/>
        <v>0</v>
      </c>
      <c r="AG310" s="1359" t="e">
        <f>HLOOKUP($AG$83,anticipado,224,0)</f>
        <v>#N/A</v>
      </c>
      <c r="AI310" s="1360">
        <f t="shared" si="109"/>
        <v>0</v>
      </c>
      <c r="AJ310" s="1361">
        <f t="shared" si="123"/>
        <v>223</v>
      </c>
      <c r="AK310" s="1362">
        <f t="shared" si="110"/>
        <v>0</v>
      </c>
      <c r="AL310" s="1362">
        <f t="shared" si="124"/>
        <v>0</v>
      </c>
      <c r="AM310" s="1362">
        <f t="shared" si="120"/>
        <v>0</v>
      </c>
      <c r="AN310" s="1363">
        <f t="shared" si="111"/>
        <v>1000000</v>
      </c>
      <c r="AQ310" s="1361" t="str">
        <f t="shared" si="99"/>
        <v/>
      </c>
      <c r="AR310" s="1362">
        <f t="shared" si="112"/>
        <v>0</v>
      </c>
      <c r="AS310" s="1362">
        <f t="shared" si="102"/>
        <v>0</v>
      </c>
      <c r="AT310" s="1362">
        <f t="shared" si="128"/>
        <v>0</v>
      </c>
      <c r="AU310" s="1363">
        <f t="shared" si="121"/>
        <v>0</v>
      </c>
    </row>
    <row r="311" spans="1:47">
      <c r="A311" s="1118">
        <f t="shared" ca="1" si="100"/>
        <v>11</v>
      </c>
      <c r="B311" s="1351">
        <f t="shared" si="103"/>
        <v>0</v>
      </c>
      <c r="C311" s="2143">
        <f t="shared" si="114"/>
        <v>0</v>
      </c>
      <c r="D311" s="2144">
        <f t="shared" si="115"/>
        <v>0</v>
      </c>
      <c r="E311" s="2145">
        <f t="shared" si="104"/>
        <v>0</v>
      </c>
      <c r="F311" s="2145">
        <f t="shared" si="125"/>
        <v>0</v>
      </c>
      <c r="G311" s="2145">
        <f t="shared" si="127"/>
        <v>0</v>
      </c>
      <c r="H311" s="2145">
        <f>IF(N310&lt;0.01,0,IF(Adm!$S$4=Adm!$S$8,0,N310*Adm!$V$4))</f>
        <v>0</v>
      </c>
      <c r="I311" s="2145">
        <f>IF(N310&lt;0.01,0,IF(Adm!$S$5=Adm!$S$8,0,Adm!$AA$11*Adm!$X$4))</f>
        <v>0</v>
      </c>
      <c r="J311" s="2145">
        <f>IF(N310&lt;0.01,0,Adm!$Q$4*1.16)</f>
        <v>0</v>
      </c>
      <c r="K311" s="2145">
        <f>IF(N310&lt;0.01,0,IF(Adm!$O$4&gt;0,E311*Adm!$O$4,0))</f>
        <v>0</v>
      </c>
      <c r="L311" s="2145">
        <f t="shared" si="105"/>
        <v>0</v>
      </c>
      <c r="M311" s="2145">
        <f>IF(Adm!$G$4="si",MIN(N310+E311+H311+I311+J311-L311,Z311),0)</f>
        <v>0</v>
      </c>
      <c r="N311" s="2145">
        <f t="shared" si="106"/>
        <v>0</v>
      </c>
      <c r="O311" s="2146"/>
      <c r="P311" s="1101"/>
      <c r="V311" s="1352">
        <f t="shared" si="107"/>
        <v>8</v>
      </c>
      <c r="W311" s="1367">
        <f>IF(V311=1,Cal!$AB$127,0)</f>
        <v>0</v>
      </c>
      <c r="Y311" s="1368">
        <f t="shared" si="116"/>
        <v>0</v>
      </c>
      <c r="Z311" s="1369">
        <f t="shared" ca="1" si="108"/>
        <v>0</v>
      </c>
      <c r="AB311" s="1375">
        <f t="shared" si="117"/>
        <v>0</v>
      </c>
      <c r="AC311" s="1373">
        <f t="shared" si="118"/>
        <v>0</v>
      </c>
      <c r="AD311" s="1373">
        <f t="shared" si="122"/>
        <v>0</v>
      </c>
      <c r="AE311" s="1373">
        <f t="shared" si="119"/>
        <v>0</v>
      </c>
      <c r="AF311" s="1371">
        <f t="shared" si="101"/>
        <v>0</v>
      </c>
      <c r="AG311" s="1359" t="e">
        <f>HLOOKUP($AG$83,anticipado,225,0)</f>
        <v>#N/A</v>
      </c>
      <c r="AI311" s="1360">
        <f t="shared" si="109"/>
        <v>0</v>
      </c>
      <c r="AJ311" s="1361">
        <f t="shared" si="123"/>
        <v>224</v>
      </c>
      <c r="AK311" s="1362">
        <f t="shared" si="110"/>
        <v>0</v>
      </c>
      <c r="AL311" s="1362">
        <f t="shared" si="124"/>
        <v>0</v>
      </c>
      <c r="AM311" s="1362">
        <f t="shared" si="120"/>
        <v>0</v>
      </c>
      <c r="AN311" s="1363">
        <f t="shared" si="111"/>
        <v>1000000</v>
      </c>
      <c r="AQ311" s="1361" t="str">
        <f t="shared" si="99"/>
        <v/>
      </c>
      <c r="AR311" s="1362">
        <f t="shared" si="112"/>
        <v>0</v>
      </c>
      <c r="AS311" s="1362">
        <f t="shared" si="102"/>
        <v>0</v>
      </c>
      <c r="AT311" s="1362">
        <f t="shared" si="128"/>
        <v>0</v>
      </c>
      <c r="AU311" s="1363">
        <f t="shared" si="121"/>
        <v>0</v>
      </c>
    </row>
    <row r="312" spans="1:47">
      <c r="A312" s="1118">
        <f t="shared" ca="1" si="100"/>
        <v>12</v>
      </c>
      <c r="B312" s="1351">
        <f t="shared" si="103"/>
        <v>0</v>
      </c>
      <c r="C312" s="2143">
        <f t="shared" si="114"/>
        <v>0</v>
      </c>
      <c r="D312" s="2144">
        <f t="shared" si="115"/>
        <v>0</v>
      </c>
      <c r="E312" s="2145">
        <f t="shared" si="104"/>
        <v>0</v>
      </c>
      <c r="F312" s="2145">
        <f t="shared" si="125"/>
        <v>0</v>
      </c>
      <c r="G312" s="2145">
        <f t="shared" si="127"/>
        <v>0</v>
      </c>
      <c r="H312" s="2145">
        <f>IF(N311&lt;0.01,0,IF(Adm!$S$4=Adm!$S$8,0,N311*Adm!$V$4))</f>
        <v>0</v>
      </c>
      <c r="I312" s="2145">
        <f>IF(N311&lt;0.01,0,IF(Adm!$S$5=Adm!$S$8,0,Adm!$AA$11*Adm!$X$4))</f>
        <v>0</v>
      </c>
      <c r="J312" s="2145">
        <f>IF(N311&lt;0.01,0,Adm!$Q$4*1.16)</f>
        <v>0</v>
      </c>
      <c r="K312" s="2145">
        <f>IF(N311&lt;0.01,0,IF(Adm!$O$4&gt;0,E312*Adm!$O$4,0))</f>
        <v>0</v>
      </c>
      <c r="L312" s="2145">
        <f t="shared" si="105"/>
        <v>0</v>
      </c>
      <c r="M312" s="2145">
        <f>IF(Adm!$G$4="si",MIN(N311+E312+H312+I312+J312-L312,Z312),0)</f>
        <v>0</v>
      </c>
      <c r="N312" s="2145">
        <f t="shared" si="106"/>
        <v>0</v>
      </c>
      <c r="O312" s="2146"/>
      <c r="P312" s="1101"/>
      <c r="V312" s="1352">
        <f t="shared" si="107"/>
        <v>9</v>
      </c>
      <c r="W312" s="1367">
        <f>IF(V312=1,Cal!$AB$127,0)</f>
        <v>0</v>
      </c>
      <c r="Y312" s="1368">
        <f t="shared" si="116"/>
        <v>0</v>
      </c>
      <c r="Z312" s="1369">
        <f t="shared" ca="1" si="108"/>
        <v>0</v>
      </c>
      <c r="AB312" s="1375">
        <f t="shared" si="117"/>
        <v>0</v>
      </c>
      <c r="AC312" s="1373">
        <f t="shared" si="118"/>
        <v>0</v>
      </c>
      <c r="AD312" s="1373">
        <f t="shared" si="122"/>
        <v>0</v>
      </c>
      <c r="AE312" s="1373">
        <f t="shared" si="119"/>
        <v>0</v>
      </c>
      <c r="AF312" s="1371">
        <f t="shared" si="101"/>
        <v>0</v>
      </c>
      <c r="AG312" s="1359" t="e">
        <f>HLOOKUP($AG$83,anticipado,226,0)</f>
        <v>#N/A</v>
      </c>
      <c r="AI312" s="1360">
        <f t="shared" si="109"/>
        <v>0</v>
      </c>
      <c r="AJ312" s="1361">
        <f t="shared" si="123"/>
        <v>225</v>
      </c>
      <c r="AK312" s="1362">
        <f t="shared" si="110"/>
        <v>0</v>
      </c>
      <c r="AL312" s="1362">
        <f t="shared" si="124"/>
        <v>0</v>
      </c>
      <c r="AM312" s="1362">
        <f t="shared" si="120"/>
        <v>0</v>
      </c>
      <c r="AN312" s="1363">
        <f t="shared" si="111"/>
        <v>1000000</v>
      </c>
      <c r="AQ312" s="1361" t="str">
        <f t="shared" si="99"/>
        <v/>
      </c>
      <c r="AR312" s="1362">
        <f t="shared" si="112"/>
        <v>0</v>
      </c>
      <c r="AS312" s="1362">
        <f t="shared" si="102"/>
        <v>0</v>
      </c>
      <c r="AT312" s="1362">
        <f t="shared" si="128"/>
        <v>0</v>
      </c>
      <c r="AU312" s="1363">
        <f t="shared" si="121"/>
        <v>0</v>
      </c>
    </row>
    <row r="313" spans="1:47">
      <c r="A313" s="1118">
        <f t="shared" ca="1" si="100"/>
        <v>1</v>
      </c>
      <c r="B313" s="1351">
        <f t="shared" si="103"/>
        <v>0</v>
      </c>
      <c r="C313" s="2143">
        <f t="shared" si="114"/>
        <v>0</v>
      </c>
      <c r="D313" s="2144">
        <f t="shared" si="115"/>
        <v>0</v>
      </c>
      <c r="E313" s="2145">
        <f t="shared" si="104"/>
        <v>0</v>
      </c>
      <c r="F313" s="2145">
        <f t="shared" si="125"/>
        <v>0</v>
      </c>
      <c r="G313" s="2145">
        <f t="shared" si="127"/>
        <v>0</v>
      </c>
      <c r="H313" s="2145">
        <f>IF(N312&lt;0.01,0,IF(Adm!$S$4=Adm!$S$8,0,N312*Adm!$V$4))</f>
        <v>0</v>
      </c>
      <c r="I313" s="2145">
        <f>IF(N312&lt;0.01,0,IF(Adm!$S$5=Adm!$S$8,0,Adm!$AA$11*Adm!$X$4))</f>
        <v>0</v>
      </c>
      <c r="J313" s="2145">
        <f>IF(N312&lt;0.01,0,Adm!$Q$4*1.16)</f>
        <v>0</v>
      </c>
      <c r="K313" s="2145">
        <f>IF(N312&lt;0.01,0,IF(Adm!$O$4&gt;0,E313*Adm!$O$4,0))</f>
        <v>0</v>
      </c>
      <c r="L313" s="2145">
        <f t="shared" si="105"/>
        <v>0</v>
      </c>
      <c r="M313" s="2145">
        <f>IF(Adm!$G$4="si",MIN(N312+E313+H313+I313+J313-L313,Z313),0)</f>
        <v>0</v>
      </c>
      <c r="N313" s="2145">
        <f t="shared" si="106"/>
        <v>0</v>
      </c>
      <c r="O313" s="2146"/>
      <c r="P313" s="1101"/>
      <c r="V313" s="1352">
        <f t="shared" si="107"/>
        <v>10</v>
      </c>
      <c r="W313" s="1367">
        <f>IF(V313=1,Cal!$AB$127,0)</f>
        <v>0</v>
      </c>
      <c r="Y313" s="1368">
        <f t="shared" si="116"/>
        <v>0</v>
      </c>
      <c r="Z313" s="1369">
        <f t="shared" ca="1" si="108"/>
        <v>0</v>
      </c>
      <c r="AB313" s="1375">
        <f t="shared" si="117"/>
        <v>0</v>
      </c>
      <c r="AC313" s="1373">
        <f t="shared" si="118"/>
        <v>0</v>
      </c>
      <c r="AD313" s="1373">
        <f t="shared" si="122"/>
        <v>0</v>
      </c>
      <c r="AE313" s="1373">
        <f t="shared" si="119"/>
        <v>0</v>
      </c>
      <c r="AF313" s="1371">
        <f t="shared" si="101"/>
        <v>0</v>
      </c>
      <c r="AG313" s="1359" t="e">
        <f>HLOOKUP($AG$83,anticipado,227,0)</f>
        <v>#N/A</v>
      </c>
      <c r="AI313" s="1360">
        <f t="shared" si="109"/>
        <v>0</v>
      </c>
      <c r="AJ313" s="1361">
        <f t="shared" si="123"/>
        <v>226</v>
      </c>
      <c r="AK313" s="1362">
        <f t="shared" si="110"/>
        <v>0</v>
      </c>
      <c r="AL313" s="1362">
        <f t="shared" si="124"/>
        <v>0</v>
      </c>
      <c r="AM313" s="1362">
        <f t="shared" si="120"/>
        <v>0</v>
      </c>
      <c r="AN313" s="1363">
        <f t="shared" si="111"/>
        <v>1000000</v>
      </c>
      <c r="AQ313" s="1361" t="str">
        <f t="shared" si="99"/>
        <v/>
      </c>
      <c r="AR313" s="1362">
        <f t="shared" si="112"/>
        <v>0</v>
      </c>
      <c r="AS313" s="1362">
        <f t="shared" si="102"/>
        <v>0</v>
      </c>
      <c r="AT313" s="1362">
        <f t="shared" si="128"/>
        <v>0</v>
      </c>
      <c r="AU313" s="1363">
        <f t="shared" si="121"/>
        <v>0</v>
      </c>
    </row>
    <row r="314" spans="1:47">
      <c r="A314" s="1118">
        <f t="shared" ca="1" si="100"/>
        <v>2</v>
      </c>
      <c r="B314" s="1351">
        <f t="shared" si="103"/>
        <v>0</v>
      </c>
      <c r="C314" s="2143">
        <f t="shared" si="114"/>
        <v>0</v>
      </c>
      <c r="D314" s="2144">
        <f t="shared" si="115"/>
        <v>0</v>
      </c>
      <c r="E314" s="2145">
        <f t="shared" si="104"/>
        <v>0</v>
      </c>
      <c r="F314" s="2145">
        <f t="shared" si="125"/>
        <v>0</v>
      </c>
      <c r="G314" s="2145">
        <f t="shared" si="127"/>
        <v>0</v>
      </c>
      <c r="H314" s="2145">
        <f>IF(N313&lt;0.01,0,IF(Adm!$S$4=Adm!$S$8,0,N313*Adm!$V$4))</f>
        <v>0</v>
      </c>
      <c r="I314" s="2145">
        <f>IF(N313&lt;0.01,0,IF(Adm!$S$5=Adm!$S$8,0,Adm!$AA$11*Adm!$X$4))</f>
        <v>0</v>
      </c>
      <c r="J314" s="2145">
        <f>IF(N313&lt;0.01,0,Adm!$Q$4*1.16)</f>
        <v>0</v>
      </c>
      <c r="K314" s="2145">
        <f>IF(N313&lt;0.01,0,IF(Adm!$O$4&gt;0,E314*Adm!$O$4,0))</f>
        <v>0</v>
      </c>
      <c r="L314" s="2145">
        <f t="shared" si="105"/>
        <v>0</v>
      </c>
      <c r="M314" s="2145">
        <f>IF(Adm!$G$4="si",MIN(N313+E314+H314+I314+J314-L314,Z314),0)</f>
        <v>0</v>
      </c>
      <c r="N314" s="2145">
        <f t="shared" si="106"/>
        <v>0</v>
      </c>
      <c r="O314" s="2146"/>
      <c r="P314" s="1101"/>
      <c r="V314" s="1352">
        <f t="shared" si="107"/>
        <v>11</v>
      </c>
      <c r="W314" s="1367">
        <f>IF(V314=1,Cal!$AB$127,0)</f>
        <v>0</v>
      </c>
      <c r="Y314" s="1368">
        <f t="shared" si="116"/>
        <v>0</v>
      </c>
      <c r="Z314" s="1369">
        <f t="shared" ca="1" si="108"/>
        <v>0</v>
      </c>
      <c r="AB314" s="1375">
        <f t="shared" si="117"/>
        <v>0</v>
      </c>
      <c r="AC314" s="1373">
        <f t="shared" si="118"/>
        <v>0</v>
      </c>
      <c r="AD314" s="1373">
        <f t="shared" si="122"/>
        <v>0</v>
      </c>
      <c r="AE314" s="1373">
        <f t="shared" si="119"/>
        <v>0</v>
      </c>
      <c r="AF314" s="1371">
        <f t="shared" si="101"/>
        <v>0</v>
      </c>
      <c r="AG314" s="1359" t="e">
        <f>HLOOKUP($AG$83,anticipado,228,0)</f>
        <v>#N/A</v>
      </c>
      <c r="AI314" s="1360">
        <f t="shared" si="109"/>
        <v>0</v>
      </c>
      <c r="AJ314" s="1361">
        <f t="shared" si="123"/>
        <v>227</v>
      </c>
      <c r="AK314" s="1362">
        <f t="shared" si="110"/>
        <v>0</v>
      </c>
      <c r="AL314" s="1362">
        <f t="shared" si="124"/>
        <v>0</v>
      </c>
      <c r="AM314" s="1362">
        <f t="shared" si="120"/>
        <v>0</v>
      </c>
      <c r="AN314" s="1363">
        <f t="shared" si="111"/>
        <v>1000000</v>
      </c>
      <c r="AQ314" s="1361" t="str">
        <f t="shared" si="99"/>
        <v/>
      </c>
      <c r="AR314" s="1362">
        <f t="shared" si="112"/>
        <v>0</v>
      </c>
      <c r="AS314" s="1362">
        <f t="shared" si="102"/>
        <v>0</v>
      </c>
      <c r="AT314" s="1362">
        <f t="shared" si="128"/>
        <v>0</v>
      </c>
      <c r="AU314" s="1363">
        <f t="shared" si="121"/>
        <v>0</v>
      </c>
    </row>
    <row r="315" spans="1:47">
      <c r="A315" s="1118">
        <f t="shared" ca="1" si="100"/>
        <v>3</v>
      </c>
      <c r="B315" s="1351">
        <f t="shared" si="103"/>
        <v>0</v>
      </c>
      <c r="C315" s="2143">
        <f t="shared" si="114"/>
        <v>0</v>
      </c>
      <c r="D315" s="2144">
        <f t="shared" si="115"/>
        <v>0</v>
      </c>
      <c r="E315" s="2145">
        <f t="shared" si="104"/>
        <v>0</v>
      </c>
      <c r="F315" s="2145">
        <f t="shared" si="125"/>
        <v>0</v>
      </c>
      <c r="G315" s="2145">
        <f t="shared" si="127"/>
        <v>0</v>
      </c>
      <c r="H315" s="2145">
        <f>IF(N314&lt;0.01,0,IF(Adm!$S$4=Adm!$S$8,0,N314*Adm!$V$4))</f>
        <v>0</v>
      </c>
      <c r="I315" s="2145">
        <f>IF(N314&lt;0.01,0,IF(Adm!$S$5=Adm!$S$8,0,Adm!$AA$11*Adm!$X$4))</f>
        <v>0</v>
      </c>
      <c r="J315" s="2145">
        <f>IF(N314&lt;0.01,0,Adm!$Q$4*1.16)</f>
        <v>0</v>
      </c>
      <c r="K315" s="2145">
        <f>IF(N314&lt;0.01,0,IF(Adm!$O$4&gt;0,E315*Adm!$O$4,0))</f>
        <v>0</v>
      </c>
      <c r="L315" s="2145">
        <f t="shared" si="105"/>
        <v>0</v>
      </c>
      <c r="M315" s="2145">
        <f>IF(Adm!$G$4="si",MIN(N314+E315+H315+I315+J315-L315,Z315),0)</f>
        <v>0</v>
      </c>
      <c r="N315" s="2145">
        <f t="shared" si="106"/>
        <v>0</v>
      </c>
      <c r="O315" s="2146"/>
      <c r="P315" s="1101"/>
      <c r="V315" s="1352">
        <f t="shared" si="107"/>
        <v>12</v>
      </c>
      <c r="W315" s="1367">
        <f>IF(V315=1,Cal!$AB$127,0)</f>
        <v>0</v>
      </c>
      <c r="Y315" s="1368">
        <f t="shared" si="116"/>
        <v>0</v>
      </c>
      <c r="Z315" s="1369">
        <f t="shared" ca="1" si="108"/>
        <v>0</v>
      </c>
      <c r="AB315" s="1375">
        <f t="shared" si="117"/>
        <v>0</v>
      </c>
      <c r="AC315" s="1373">
        <f t="shared" si="118"/>
        <v>0</v>
      </c>
      <c r="AD315" s="1373">
        <f t="shared" si="122"/>
        <v>0</v>
      </c>
      <c r="AE315" s="1373">
        <f t="shared" si="119"/>
        <v>0</v>
      </c>
      <c r="AF315" s="1371">
        <f t="shared" si="101"/>
        <v>0</v>
      </c>
      <c r="AG315" s="1359" t="e">
        <f>HLOOKUP($AG$83,anticipado,229,0)</f>
        <v>#N/A</v>
      </c>
      <c r="AI315" s="1360">
        <f t="shared" si="109"/>
        <v>0</v>
      </c>
      <c r="AJ315" s="1361">
        <f t="shared" si="123"/>
        <v>228</v>
      </c>
      <c r="AK315" s="1362">
        <f t="shared" si="110"/>
        <v>0</v>
      </c>
      <c r="AL315" s="1362">
        <f t="shared" si="124"/>
        <v>0</v>
      </c>
      <c r="AM315" s="1362">
        <f t="shared" si="120"/>
        <v>0</v>
      </c>
      <c r="AN315" s="1363">
        <f t="shared" si="111"/>
        <v>1000000</v>
      </c>
      <c r="AQ315" s="1361" t="str">
        <f t="shared" si="99"/>
        <v/>
      </c>
      <c r="AR315" s="1362">
        <f t="shared" si="112"/>
        <v>0</v>
      </c>
      <c r="AS315" s="1362">
        <f t="shared" si="102"/>
        <v>0</v>
      </c>
      <c r="AT315" s="1362">
        <f t="shared" si="128"/>
        <v>0</v>
      </c>
      <c r="AU315" s="1363">
        <f t="shared" si="121"/>
        <v>0</v>
      </c>
    </row>
    <row r="316" spans="1:47">
      <c r="A316" s="1118">
        <f t="shared" ca="1" si="100"/>
        <v>4</v>
      </c>
      <c r="B316" s="1351">
        <f t="shared" si="103"/>
        <v>0</v>
      </c>
      <c r="C316" s="2143">
        <f t="shared" si="114"/>
        <v>0</v>
      </c>
      <c r="D316" s="2144">
        <f t="shared" si="115"/>
        <v>0</v>
      </c>
      <c r="E316" s="2145">
        <f t="shared" si="104"/>
        <v>0</v>
      </c>
      <c r="F316" s="2145">
        <f t="shared" si="125"/>
        <v>0</v>
      </c>
      <c r="G316" s="2145">
        <f t="shared" si="127"/>
        <v>0</v>
      </c>
      <c r="H316" s="2145">
        <f>IF(N315&lt;0.01,0,IF(Adm!$S$4=Adm!$S$8,0,N315*Adm!$V$4))</f>
        <v>0</v>
      </c>
      <c r="I316" s="2145">
        <f>IF(N315&lt;0.01,0,IF(Adm!$S$5=Adm!$S$8,0,Adm!$AA$11*Adm!$X$4))</f>
        <v>0</v>
      </c>
      <c r="J316" s="2145">
        <f>IF(N315&lt;0.01,0,Adm!$Q$4*1.16)</f>
        <v>0</v>
      </c>
      <c r="K316" s="2145">
        <f>IF(N315&lt;0.01,0,IF(Adm!$O$4&gt;0,E316*Adm!$O$4,0))</f>
        <v>0</v>
      </c>
      <c r="L316" s="2145">
        <f t="shared" si="105"/>
        <v>0</v>
      </c>
      <c r="M316" s="2145">
        <f>IF(Adm!$G$4="si",MIN(N315+E316+H316+I316+J316-L316,Z316),0)</f>
        <v>0</v>
      </c>
      <c r="N316" s="2145">
        <f t="shared" si="106"/>
        <v>0</v>
      </c>
      <c r="O316" s="2146"/>
      <c r="P316" s="1101"/>
      <c r="V316" s="1352">
        <f t="shared" si="107"/>
        <v>1</v>
      </c>
      <c r="W316" s="1367">
        <f>IF(V316=1,Cal!$AB$127,0)</f>
        <v>0</v>
      </c>
      <c r="Y316" s="1368">
        <f t="shared" si="116"/>
        <v>0</v>
      </c>
      <c r="Z316" s="1369">
        <f t="shared" ca="1" si="108"/>
        <v>0</v>
      </c>
      <c r="AB316" s="1375">
        <f t="shared" si="117"/>
        <v>0</v>
      </c>
      <c r="AC316" s="1373">
        <f t="shared" si="118"/>
        <v>0</v>
      </c>
      <c r="AD316" s="1373">
        <f t="shared" si="122"/>
        <v>0</v>
      </c>
      <c r="AE316" s="1373">
        <f t="shared" si="119"/>
        <v>0</v>
      </c>
      <c r="AF316" s="1371">
        <f t="shared" si="101"/>
        <v>0</v>
      </c>
      <c r="AG316" s="1359" t="e">
        <f>HLOOKUP($AG$83,anticipado,230,0)</f>
        <v>#N/A</v>
      </c>
      <c r="AI316" s="1360">
        <f t="shared" si="109"/>
        <v>0</v>
      </c>
      <c r="AJ316" s="1377">
        <f t="shared" si="123"/>
        <v>229</v>
      </c>
      <c r="AK316" s="1378">
        <f t="shared" si="110"/>
        <v>0</v>
      </c>
      <c r="AL316" s="1378">
        <f t="shared" si="124"/>
        <v>0</v>
      </c>
      <c r="AM316" s="1378">
        <f>MIN(AN315+AK316,AM315*(1+$AK$83))</f>
        <v>0</v>
      </c>
      <c r="AN316" s="1363">
        <f t="shared" si="111"/>
        <v>1000000</v>
      </c>
      <c r="AQ316" s="1379" t="str">
        <f t="shared" si="99"/>
        <v/>
      </c>
      <c r="AR316" s="1380">
        <f t="shared" si="112"/>
        <v>0</v>
      </c>
      <c r="AS316" s="1380">
        <f t="shared" si="102"/>
        <v>0</v>
      </c>
      <c r="AT316" s="1380">
        <f>MIN(AU315+AR316,AT315*(1+$AR$83))</f>
        <v>0</v>
      </c>
      <c r="AU316" s="1363">
        <f t="shared" si="121"/>
        <v>0</v>
      </c>
    </row>
    <row r="317" spans="1:47">
      <c r="A317" s="1118">
        <f t="shared" ca="1" si="100"/>
        <v>5</v>
      </c>
      <c r="B317" s="1351">
        <f t="shared" si="103"/>
        <v>0</v>
      </c>
      <c r="C317" s="2143">
        <f t="shared" si="114"/>
        <v>0</v>
      </c>
      <c r="D317" s="2144">
        <f t="shared" si="115"/>
        <v>0</v>
      </c>
      <c r="E317" s="2145">
        <f t="shared" si="104"/>
        <v>0</v>
      </c>
      <c r="F317" s="2145">
        <f t="shared" si="125"/>
        <v>0</v>
      </c>
      <c r="G317" s="2145">
        <f t="shared" si="127"/>
        <v>0</v>
      </c>
      <c r="H317" s="2145">
        <f>IF(N316&lt;0.01,0,IF(Adm!$S$4=Adm!$S$8,0,N316*Adm!$V$4))</f>
        <v>0</v>
      </c>
      <c r="I317" s="2145">
        <f>IF(N316&lt;0.01,0,IF(Adm!$S$5=Adm!$S$8,0,Adm!$AA$11*Adm!$X$4))</f>
        <v>0</v>
      </c>
      <c r="J317" s="2145">
        <f>IF(N316&lt;0.01,0,Adm!$Q$4*1.16)</f>
        <v>0</v>
      </c>
      <c r="K317" s="2145">
        <f>IF(N316&lt;0.01,0,IF(Adm!$O$4&gt;0,E317*Adm!$O$4,0))</f>
        <v>0</v>
      </c>
      <c r="L317" s="2145">
        <f t="shared" si="105"/>
        <v>0</v>
      </c>
      <c r="M317" s="2145">
        <f>IF(Adm!$G$4="si",MIN(N316+E317+H317+I317+J317-L317,Z317),0)</f>
        <v>0</v>
      </c>
      <c r="N317" s="2145">
        <f t="shared" si="106"/>
        <v>0</v>
      </c>
      <c r="O317" s="2146"/>
      <c r="P317" s="1101"/>
      <c r="V317" s="1352">
        <f t="shared" si="107"/>
        <v>2</v>
      </c>
      <c r="W317" s="1367">
        <f>IF(V317=1,Cal!$AB$127,0)</f>
        <v>0</v>
      </c>
      <c r="Y317" s="1368">
        <f t="shared" si="116"/>
        <v>0</v>
      </c>
      <c r="Z317" s="1369">
        <f t="shared" ca="1" si="108"/>
        <v>0</v>
      </c>
      <c r="AB317" s="1375">
        <f t="shared" si="117"/>
        <v>0</v>
      </c>
      <c r="AC317" s="1373">
        <f t="shared" si="118"/>
        <v>0</v>
      </c>
      <c r="AD317" s="1373">
        <f t="shared" si="122"/>
        <v>0</v>
      </c>
      <c r="AE317" s="1373">
        <f t="shared" si="119"/>
        <v>0</v>
      </c>
      <c r="AF317" s="1371">
        <f t="shared" si="101"/>
        <v>0</v>
      </c>
      <c r="AG317" s="1359" t="e">
        <f>HLOOKUP($AG$83,anticipado,231,0)</f>
        <v>#N/A</v>
      </c>
      <c r="AI317" s="1360">
        <f t="shared" si="109"/>
        <v>0</v>
      </c>
      <c r="AJ317" s="1361">
        <f t="shared" si="123"/>
        <v>230</v>
      </c>
      <c r="AK317" s="1362">
        <f t="shared" si="110"/>
        <v>0</v>
      </c>
      <c r="AL317" s="1362">
        <f t="shared" si="124"/>
        <v>0</v>
      </c>
      <c r="AM317" s="1362">
        <f t="shared" si="120"/>
        <v>0</v>
      </c>
      <c r="AN317" s="1363">
        <f t="shared" si="111"/>
        <v>1000000</v>
      </c>
      <c r="AQ317" s="1361" t="str">
        <f t="shared" si="99"/>
        <v/>
      </c>
      <c r="AR317" s="1362">
        <f t="shared" si="112"/>
        <v>0</v>
      </c>
      <c r="AS317" s="1362">
        <f t="shared" si="102"/>
        <v>0</v>
      </c>
      <c r="AT317" s="1362">
        <f t="shared" ref="AT317:AT327" si="129">MIN(AU316+AR317,AT316)</f>
        <v>0</v>
      </c>
      <c r="AU317" s="1363">
        <f t="shared" si="121"/>
        <v>0</v>
      </c>
    </row>
    <row r="318" spans="1:47">
      <c r="A318" s="1118">
        <f t="shared" ca="1" si="100"/>
        <v>6</v>
      </c>
      <c r="B318" s="1351">
        <f t="shared" si="103"/>
        <v>0</v>
      </c>
      <c r="C318" s="2143">
        <f t="shared" si="114"/>
        <v>0</v>
      </c>
      <c r="D318" s="2144">
        <f t="shared" si="115"/>
        <v>0</v>
      </c>
      <c r="E318" s="2145">
        <f t="shared" si="104"/>
        <v>0</v>
      </c>
      <c r="F318" s="2145">
        <f t="shared" si="125"/>
        <v>0</v>
      </c>
      <c r="G318" s="2145">
        <f t="shared" si="127"/>
        <v>0</v>
      </c>
      <c r="H318" s="2145">
        <f>IF(N317&lt;0.01,0,IF(Adm!$S$4=Adm!$S$8,0,N317*Adm!$V$4))</f>
        <v>0</v>
      </c>
      <c r="I318" s="2145">
        <f>IF(N317&lt;0.01,0,IF(Adm!$S$5=Adm!$S$8,0,Adm!$AA$11*Adm!$X$4))</f>
        <v>0</v>
      </c>
      <c r="J318" s="2145">
        <f>IF(N317&lt;0.01,0,Adm!$Q$4*1.16)</f>
        <v>0</v>
      </c>
      <c r="K318" s="2145">
        <f>IF(N317&lt;0.01,0,IF(Adm!$O$4&gt;0,E318*Adm!$O$4,0))</f>
        <v>0</v>
      </c>
      <c r="L318" s="2145">
        <f t="shared" si="105"/>
        <v>0</v>
      </c>
      <c r="M318" s="2145">
        <f>IF(Adm!$G$4="si",MIN(N317+E318+H318+I318+J318-L318,Z318),0)</f>
        <v>0</v>
      </c>
      <c r="N318" s="2145">
        <f t="shared" si="106"/>
        <v>0</v>
      </c>
      <c r="O318" s="2146"/>
      <c r="P318" s="1101"/>
      <c r="V318" s="1352">
        <f t="shared" si="107"/>
        <v>3</v>
      </c>
      <c r="W318" s="1367">
        <f>IF(V318=1,Cal!$AB$127,0)</f>
        <v>0</v>
      </c>
      <c r="Y318" s="1368">
        <f t="shared" si="116"/>
        <v>0</v>
      </c>
      <c r="Z318" s="1369">
        <f t="shared" ca="1" si="108"/>
        <v>0</v>
      </c>
      <c r="AB318" s="1375">
        <f t="shared" si="117"/>
        <v>0</v>
      </c>
      <c r="AC318" s="1373">
        <f t="shared" si="118"/>
        <v>0</v>
      </c>
      <c r="AD318" s="1373">
        <f t="shared" si="122"/>
        <v>0</v>
      </c>
      <c r="AE318" s="1373">
        <f t="shared" si="119"/>
        <v>0</v>
      </c>
      <c r="AF318" s="1371">
        <f t="shared" si="101"/>
        <v>0</v>
      </c>
      <c r="AG318" s="1359" t="e">
        <f>HLOOKUP($AG$83,anticipado,232,0)</f>
        <v>#N/A</v>
      </c>
      <c r="AI318" s="1360">
        <f t="shared" si="109"/>
        <v>0</v>
      </c>
      <c r="AJ318" s="1361">
        <f t="shared" si="123"/>
        <v>231</v>
      </c>
      <c r="AK318" s="1362">
        <f t="shared" si="110"/>
        <v>0</v>
      </c>
      <c r="AL318" s="1362">
        <f t="shared" si="124"/>
        <v>0</v>
      </c>
      <c r="AM318" s="1362">
        <f t="shared" si="120"/>
        <v>0</v>
      </c>
      <c r="AN318" s="1363">
        <f t="shared" si="111"/>
        <v>1000000</v>
      </c>
      <c r="AQ318" s="1361" t="str">
        <f t="shared" si="99"/>
        <v/>
      </c>
      <c r="AR318" s="1362">
        <f t="shared" si="112"/>
        <v>0</v>
      </c>
      <c r="AS318" s="1362">
        <f t="shared" si="102"/>
        <v>0</v>
      </c>
      <c r="AT318" s="1362">
        <f t="shared" si="129"/>
        <v>0</v>
      </c>
      <c r="AU318" s="1363">
        <f t="shared" si="121"/>
        <v>0</v>
      </c>
    </row>
    <row r="319" spans="1:47">
      <c r="A319" s="1118">
        <f t="shared" ca="1" si="100"/>
        <v>7</v>
      </c>
      <c r="B319" s="1351">
        <f t="shared" si="103"/>
        <v>0</v>
      </c>
      <c r="C319" s="2143">
        <f t="shared" si="114"/>
        <v>0</v>
      </c>
      <c r="D319" s="2144">
        <f t="shared" si="115"/>
        <v>0</v>
      </c>
      <c r="E319" s="2145">
        <f t="shared" si="104"/>
        <v>0</v>
      </c>
      <c r="F319" s="2145">
        <f t="shared" si="125"/>
        <v>0</v>
      </c>
      <c r="G319" s="2145">
        <f t="shared" si="127"/>
        <v>0</v>
      </c>
      <c r="H319" s="2145">
        <f>IF(N318&lt;0.01,0,IF(Adm!$S$4=Adm!$S$8,0,N318*Adm!$V$4))</f>
        <v>0</v>
      </c>
      <c r="I319" s="2145">
        <f>IF(N318&lt;0.01,0,IF(Adm!$S$5=Adm!$S$8,0,Adm!$AA$11*Adm!$X$4))</f>
        <v>0</v>
      </c>
      <c r="J319" s="2145">
        <f>IF(N318&lt;0.01,0,Adm!$Q$4*1.16)</f>
        <v>0</v>
      </c>
      <c r="K319" s="2145">
        <f>IF(N318&lt;0.01,0,IF(Adm!$O$4&gt;0,E319*Adm!$O$4,0))</f>
        <v>0</v>
      </c>
      <c r="L319" s="2145">
        <f t="shared" si="105"/>
        <v>0</v>
      </c>
      <c r="M319" s="2145">
        <f>IF(Adm!$G$4="si",MIN(N318+E319+H319+I319+J319-L319,Z319),0)</f>
        <v>0</v>
      </c>
      <c r="N319" s="2145">
        <f t="shared" si="106"/>
        <v>0</v>
      </c>
      <c r="O319" s="2146"/>
      <c r="P319" s="1101"/>
      <c r="V319" s="1352">
        <f t="shared" si="107"/>
        <v>4</v>
      </c>
      <c r="W319" s="1367">
        <f>IF(V319=1,Cal!$AB$127,0)</f>
        <v>0</v>
      </c>
      <c r="Y319" s="1368">
        <f t="shared" si="116"/>
        <v>0</v>
      </c>
      <c r="Z319" s="1369">
        <f t="shared" ca="1" si="108"/>
        <v>0</v>
      </c>
      <c r="AB319" s="1375">
        <f t="shared" si="117"/>
        <v>0</v>
      </c>
      <c r="AC319" s="1373">
        <f t="shared" si="118"/>
        <v>0</v>
      </c>
      <c r="AD319" s="1373">
        <f t="shared" si="122"/>
        <v>0</v>
      </c>
      <c r="AE319" s="1373">
        <f t="shared" si="119"/>
        <v>0</v>
      </c>
      <c r="AF319" s="1371">
        <f t="shared" si="101"/>
        <v>0</v>
      </c>
      <c r="AG319" s="1359" t="e">
        <f>HLOOKUP($AG$83,anticipado,233,0)</f>
        <v>#N/A</v>
      </c>
      <c r="AI319" s="1360">
        <f t="shared" si="109"/>
        <v>0</v>
      </c>
      <c r="AJ319" s="1361">
        <f t="shared" si="123"/>
        <v>232</v>
      </c>
      <c r="AK319" s="1362">
        <f t="shared" si="110"/>
        <v>0</v>
      </c>
      <c r="AL319" s="1362">
        <f t="shared" si="124"/>
        <v>0</v>
      </c>
      <c r="AM319" s="1362">
        <f t="shared" si="120"/>
        <v>0</v>
      </c>
      <c r="AN319" s="1363">
        <f t="shared" si="111"/>
        <v>1000000</v>
      </c>
      <c r="AQ319" s="1361" t="str">
        <f t="shared" si="99"/>
        <v/>
      </c>
      <c r="AR319" s="1362">
        <f t="shared" si="112"/>
        <v>0</v>
      </c>
      <c r="AS319" s="1362">
        <f t="shared" si="102"/>
        <v>0</v>
      </c>
      <c r="AT319" s="1362">
        <f t="shared" si="129"/>
        <v>0</v>
      </c>
      <c r="AU319" s="1363">
        <f t="shared" si="121"/>
        <v>0</v>
      </c>
    </row>
    <row r="320" spans="1:47">
      <c r="A320" s="1118">
        <f t="shared" ca="1" si="100"/>
        <v>8</v>
      </c>
      <c r="B320" s="1351">
        <f t="shared" si="103"/>
        <v>0</v>
      </c>
      <c r="C320" s="2143">
        <f t="shared" si="114"/>
        <v>0</v>
      </c>
      <c r="D320" s="2144">
        <f t="shared" si="115"/>
        <v>0</v>
      </c>
      <c r="E320" s="2145">
        <f t="shared" si="104"/>
        <v>0</v>
      </c>
      <c r="F320" s="2145">
        <f t="shared" si="125"/>
        <v>0</v>
      </c>
      <c r="G320" s="2145">
        <f t="shared" si="127"/>
        <v>0</v>
      </c>
      <c r="H320" s="2145">
        <f>IF(N319&lt;0.01,0,IF(Adm!$S$4=Adm!$S$8,0,N319*Adm!$V$4))</f>
        <v>0</v>
      </c>
      <c r="I320" s="2145">
        <f>IF(N319&lt;0.01,0,IF(Adm!$S$5=Adm!$S$8,0,Adm!$AA$11*Adm!$X$4))</f>
        <v>0</v>
      </c>
      <c r="J320" s="2145">
        <f>IF(N319&lt;0.01,0,Adm!$Q$4*1.16)</f>
        <v>0</v>
      </c>
      <c r="K320" s="2145">
        <f>IF(N319&lt;0.01,0,IF(Adm!$O$4&gt;0,E320*Adm!$O$4,0))</f>
        <v>0</v>
      </c>
      <c r="L320" s="2145">
        <f t="shared" si="105"/>
        <v>0</v>
      </c>
      <c r="M320" s="2145">
        <f>IF(Adm!$G$4="si",MIN(N319+E320+H320+I320+J320-L320,Z320),0)</f>
        <v>0</v>
      </c>
      <c r="N320" s="2145">
        <f t="shared" si="106"/>
        <v>0</v>
      </c>
      <c r="O320" s="2146"/>
      <c r="P320" s="1101"/>
      <c r="V320" s="1352">
        <f t="shared" si="107"/>
        <v>5</v>
      </c>
      <c r="W320" s="1367">
        <f>IF(V320=1,Cal!$AB$127,0)</f>
        <v>0</v>
      </c>
      <c r="Y320" s="1368">
        <f t="shared" si="116"/>
        <v>0</v>
      </c>
      <c r="Z320" s="1369">
        <f t="shared" ca="1" si="108"/>
        <v>0</v>
      </c>
      <c r="AB320" s="1375">
        <f t="shared" si="117"/>
        <v>0</v>
      </c>
      <c r="AC320" s="1373">
        <f t="shared" si="118"/>
        <v>0</v>
      </c>
      <c r="AD320" s="1373">
        <f t="shared" si="122"/>
        <v>0</v>
      </c>
      <c r="AE320" s="1373">
        <f t="shared" si="119"/>
        <v>0</v>
      </c>
      <c r="AF320" s="1371">
        <f t="shared" si="101"/>
        <v>0</v>
      </c>
      <c r="AG320" s="1359" t="e">
        <f>HLOOKUP($AG$83,anticipado,234,0)</f>
        <v>#N/A</v>
      </c>
      <c r="AI320" s="1360">
        <f t="shared" si="109"/>
        <v>0</v>
      </c>
      <c r="AJ320" s="1361">
        <f t="shared" si="123"/>
        <v>233</v>
      </c>
      <c r="AK320" s="1362">
        <f t="shared" si="110"/>
        <v>0</v>
      </c>
      <c r="AL320" s="1362">
        <f t="shared" si="124"/>
        <v>0</v>
      </c>
      <c r="AM320" s="1362">
        <f t="shared" si="120"/>
        <v>0</v>
      </c>
      <c r="AN320" s="1363">
        <f t="shared" si="111"/>
        <v>1000000</v>
      </c>
      <c r="AQ320" s="1361" t="str">
        <f t="shared" si="99"/>
        <v/>
      </c>
      <c r="AR320" s="1362">
        <f t="shared" si="112"/>
        <v>0</v>
      </c>
      <c r="AS320" s="1362">
        <f t="shared" si="102"/>
        <v>0</v>
      </c>
      <c r="AT320" s="1362">
        <f t="shared" si="129"/>
        <v>0</v>
      </c>
      <c r="AU320" s="1363">
        <f t="shared" si="121"/>
        <v>0</v>
      </c>
    </row>
    <row r="321" spans="1:47">
      <c r="A321" s="1118">
        <f t="shared" ca="1" si="100"/>
        <v>9</v>
      </c>
      <c r="B321" s="1351">
        <f t="shared" si="103"/>
        <v>0</v>
      </c>
      <c r="C321" s="2143">
        <f t="shared" si="114"/>
        <v>0</v>
      </c>
      <c r="D321" s="2144">
        <f t="shared" si="115"/>
        <v>0</v>
      </c>
      <c r="E321" s="2145">
        <f t="shared" si="104"/>
        <v>0</v>
      </c>
      <c r="F321" s="2145">
        <f t="shared" si="125"/>
        <v>0</v>
      </c>
      <c r="G321" s="2145">
        <f t="shared" si="127"/>
        <v>0</v>
      </c>
      <c r="H321" s="2145">
        <f>IF(N320&lt;0.01,0,IF(Adm!$S$4=Adm!$S$8,0,N320*Adm!$V$4))</f>
        <v>0</v>
      </c>
      <c r="I321" s="2145">
        <f>IF(N320&lt;0.01,0,IF(Adm!$S$5=Adm!$S$8,0,Adm!$AA$11*Adm!$X$4))</f>
        <v>0</v>
      </c>
      <c r="J321" s="2145">
        <f>IF(N320&lt;0.01,0,Adm!$Q$4*1.16)</f>
        <v>0</v>
      </c>
      <c r="K321" s="2145">
        <f>IF(N320&lt;0.01,0,IF(Adm!$O$4&gt;0,E321*Adm!$O$4,0))</f>
        <v>0</v>
      </c>
      <c r="L321" s="2145">
        <f t="shared" si="105"/>
        <v>0</v>
      </c>
      <c r="M321" s="2145">
        <f>IF(Adm!$G$4="si",MIN(N320+E321+H321+I321+J321-L321,Z321),0)</f>
        <v>0</v>
      </c>
      <c r="N321" s="2145">
        <f t="shared" si="106"/>
        <v>0</v>
      </c>
      <c r="O321" s="2146"/>
      <c r="P321" s="1101"/>
      <c r="V321" s="1352">
        <f t="shared" si="107"/>
        <v>6</v>
      </c>
      <c r="W321" s="1367">
        <f>IF(V321=1,Cal!$AB$127,0)</f>
        <v>0</v>
      </c>
      <c r="Y321" s="1368">
        <f t="shared" si="116"/>
        <v>0</v>
      </c>
      <c r="Z321" s="1369">
        <f t="shared" ca="1" si="108"/>
        <v>0</v>
      </c>
      <c r="AB321" s="1375">
        <f t="shared" si="117"/>
        <v>0</v>
      </c>
      <c r="AC321" s="1373">
        <f t="shared" si="118"/>
        <v>0</v>
      </c>
      <c r="AD321" s="1373">
        <f t="shared" si="122"/>
        <v>0</v>
      </c>
      <c r="AE321" s="1373">
        <f t="shared" si="119"/>
        <v>0</v>
      </c>
      <c r="AF321" s="1371">
        <f t="shared" si="101"/>
        <v>0</v>
      </c>
      <c r="AG321" s="1359" t="e">
        <f>HLOOKUP($AG$83,anticipado,235,0)</f>
        <v>#N/A</v>
      </c>
      <c r="AI321" s="1360">
        <f t="shared" si="109"/>
        <v>0</v>
      </c>
      <c r="AJ321" s="1361">
        <f t="shared" si="123"/>
        <v>234</v>
      </c>
      <c r="AK321" s="1362">
        <f t="shared" si="110"/>
        <v>0</v>
      </c>
      <c r="AL321" s="1362">
        <f t="shared" si="124"/>
        <v>0</v>
      </c>
      <c r="AM321" s="1362">
        <f t="shared" si="120"/>
        <v>0</v>
      </c>
      <c r="AN321" s="1363">
        <f t="shared" si="111"/>
        <v>1000000</v>
      </c>
      <c r="AQ321" s="1361" t="str">
        <f t="shared" si="99"/>
        <v/>
      </c>
      <c r="AR321" s="1362">
        <f t="shared" si="112"/>
        <v>0</v>
      </c>
      <c r="AS321" s="1362">
        <f t="shared" si="102"/>
        <v>0</v>
      </c>
      <c r="AT321" s="1362">
        <f t="shared" si="129"/>
        <v>0</v>
      </c>
      <c r="AU321" s="1363">
        <f t="shared" si="121"/>
        <v>0</v>
      </c>
    </row>
    <row r="322" spans="1:47">
      <c r="A322" s="1118">
        <f t="shared" ca="1" si="100"/>
        <v>10</v>
      </c>
      <c r="B322" s="1351">
        <f t="shared" si="103"/>
        <v>0</v>
      </c>
      <c r="C322" s="2143">
        <f t="shared" si="114"/>
        <v>0</v>
      </c>
      <c r="D322" s="2144">
        <f t="shared" si="115"/>
        <v>0</v>
      </c>
      <c r="E322" s="2145">
        <f t="shared" si="104"/>
        <v>0</v>
      </c>
      <c r="F322" s="2145">
        <f t="shared" si="125"/>
        <v>0</v>
      </c>
      <c r="G322" s="2145">
        <f t="shared" si="127"/>
        <v>0</v>
      </c>
      <c r="H322" s="2145">
        <f>IF(N321&lt;0.01,0,IF(Adm!$S$4=Adm!$S$8,0,N321*Adm!$V$4))</f>
        <v>0</v>
      </c>
      <c r="I322" s="2145">
        <f>IF(N321&lt;0.01,0,IF(Adm!$S$5=Adm!$S$8,0,Adm!$AA$11*Adm!$X$4))</f>
        <v>0</v>
      </c>
      <c r="J322" s="2145">
        <f>IF(N321&lt;0.01,0,Adm!$Q$4*1.16)</f>
        <v>0</v>
      </c>
      <c r="K322" s="2145">
        <f>IF(N321&lt;0.01,0,IF(Adm!$O$4&gt;0,E322*Adm!$O$4,0))</f>
        <v>0</v>
      </c>
      <c r="L322" s="2145">
        <f t="shared" si="105"/>
        <v>0</v>
      </c>
      <c r="M322" s="2145">
        <f>IF(Adm!$G$4="si",MIN(N321+E322+H322+I322+J322-L322,Z322),0)</f>
        <v>0</v>
      </c>
      <c r="N322" s="2145">
        <f t="shared" si="106"/>
        <v>0</v>
      </c>
      <c r="O322" s="2146"/>
      <c r="P322" s="1101"/>
      <c r="V322" s="1352">
        <f t="shared" si="107"/>
        <v>7</v>
      </c>
      <c r="W322" s="1367">
        <f>IF(V322=1,Cal!$AB$127,0)</f>
        <v>0</v>
      </c>
      <c r="Y322" s="1368">
        <f t="shared" si="116"/>
        <v>0</v>
      </c>
      <c r="Z322" s="1369">
        <f t="shared" ca="1" si="108"/>
        <v>0</v>
      </c>
      <c r="AB322" s="1375">
        <f t="shared" si="117"/>
        <v>0</v>
      </c>
      <c r="AC322" s="1373">
        <f t="shared" si="118"/>
        <v>0</v>
      </c>
      <c r="AD322" s="1373">
        <f t="shared" si="122"/>
        <v>0</v>
      </c>
      <c r="AE322" s="1373">
        <f t="shared" si="119"/>
        <v>0</v>
      </c>
      <c r="AF322" s="1371">
        <f t="shared" si="101"/>
        <v>0</v>
      </c>
      <c r="AG322" s="1359" t="e">
        <f>HLOOKUP($AG$83,anticipado,236,0)</f>
        <v>#N/A</v>
      </c>
      <c r="AI322" s="1360">
        <f t="shared" si="109"/>
        <v>0</v>
      </c>
      <c r="AJ322" s="1361">
        <f t="shared" si="123"/>
        <v>235</v>
      </c>
      <c r="AK322" s="1362">
        <f t="shared" si="110"/>
        <v>0</v>
      </c>
      <c r="AL322" s="1362">
        <f t="shared" si="124"/>
        <v>0</v>
      </c>
      <c r="AM322" s="1362">
        <f t="shared" si="120"/>
        <v>0</v>
      </c>
      <c r="AN322" s="1363">
        <f t="shared" si="111"/>
        <v>1000000</v>
      </c>
      <c r="AQ322" s="1361" t="str">
        <f t="shared" si="99"/>
        <v/>
      </c>
      <c r="AR322" s="1362">
        <f t="shared" si="112"/>
        <v>0</v>
      </c>
      <c r="AS322" s="1362">
        <f t="shared" si="102"/>
        <v>0</v>
      </c>
      <c r="AT322" s="1362">
        <f t="shared" si="129"/>
        <v>0</v>
      </c>
      <c r="AU322" s="1363">
        <f t="shared" si="121"/>
        <v>0</v>
      </c>
    </row>
    <row r="323" spans="1:47">
      <c r="A323" s="1118">
        <f t="shared" ca="1" si="100"/>
        <v>11</v>
      </c>
      <c r="B323" s="1351">
        <f t="shared" si="103"/>
        <v>0</v>
      </c>
      <c r="C323" s="2143">
        <f t="shared" si="114"/>
        <v>0</v>
      </c>
      <c r="D323" s="2144">
        <f t="shared" si="115"/>
        <v>0</v>
      </c>
      <c r="E323" s="2145">
        <f t="shared" si="104"/>
        <v>0</v>
      </c>
      <c r="F323" s="2145">
        <f t="shared" si="125"/>
        <v>0</v>
      </c>
      <c r="G323" s="2145">
        <f t="shared" si="127"/>
        <v>0</v>
      </c>
      <c r="H323" s="2145">
        <f>IF(N322&lt;0.01,0,IF(Adm!$S$4=Adm!$S$8,0,N322*Adm!$V$4))</f>
        <v>0</v>
      </c>
      <c r="I323" s="2145">
        <f>IF(N322&lt;0.01,0,IF(Adm!$S$5=Adm!$S$8,0,Adm!$AA$11*Adm!$X$4))</f>
        <v>0</v>
      </c>
      <c r="J323" s="2145">
        <f>IF(N322&lt;0.01,0,Adm!$Q$4*1.16)</f>
        <v>0</v>
      </c>
      <c r="K323" s="2145">
        <f>IF(N322&lt;0.01,0,IF(Adm!$O$4&gt;0,E323*Adm!$O$4,0))</f>
        <v>0</v>
      </c>
      <c r="L323" s="2145">
        <f t="shared" si="105"/>
        <v>0</v>
      </c>
      <c r="M323" s="2145">
        <f>IF(Adm!$G$4="si",MIN(N322+E323+H323+I323+J323-L323,Z323),0)</f>
        <v>0</v>
      </c>
      <c r="N323" s="2145">
        <f t="shared" si="106"/>
        <v>0</v>
      </c>
      <c r="O323" s="2146"/>
      <c r="P323" s="1101"/>
      <c r="V323" s="1352">
        <f t="shared" si="107"/>
        <v>8</v>
      </c>
      <c r="W323" s="1367">
        <f>IF(V323=1,Cal!$AB$127,0)</f>
        <v>0</v>
      </c>
      <c r="Y323" s="1368">
        <f t="shared" si="116"/>
        <v>0</v>
      </c>
      <c r="Z323" s="1369">
        <f t="shared" ca="1" si="108"/>
        <v>0</v>
      </c>
      <c r="AB323" s="1375">
        <f t="shared" si="117"/>
        <v>0</v>
      </c>
      <c r="AC323" s="1373">
        <f t="shared" si="118"/>
        <v>0</v>
      </c>
      <c r="AD323" s="1373">
        <f t="shared" si="122"/>
        <v>0</v>
      </c>
      <c r="AE323" s="1373">
        <f t="shared" si="119"/>
        <v>0</v>
      </c>
      <c r="AF323" s="1371">
        <f t="shared" si="101"/>
        <v>0</v>
      </c>
      <c r="AG323" s="1359" t="e">
        <f>HLOOKUP($AG$83,anticipado,237,0)</f>
        <v>#N/A</v>
      </c>
      <c r="AI323" s="1360">
        <f t="shared" si="109"/>
        <v>0</v>
      </c>
      <c r="AJ323" s="1361">
        <f t="shared" si="123"/>
        <v>236</v>
      </c>
      <c r="AK323" s="1362">
        <f t="shared" si="110"/>
        <v>0</v>
      </c>
      <c r="AL323" s="1362">
        <f t="shared" si="124"/>
        <v>0</v>
      </c>
      <c r="AM323" s="1362">
        <f t="shared" si="120"/>
        <v>0</v>
      </c>
      <c r="AN323" s="1363">
        <f t="shared" si="111"/>
        <v>1000000</v>
      </c>
      <c r="AQ323" s="1361" t="str">
        <f t="shared" si="99"/>
        <v/>
      </c>
      <c r="AR323" s="1362">
        <f t="shared" si="112"/>
        <v>0</v>
      </c>
      <c r="AS323" s="1362">
        <f t="shared" si="102"/>
        <v>0</v>
      </c>
      <c r="AT323" s="1362">
        <f t="shared" si="129"/>
        <v>0</v>
      </c>
      <c r="AU323" s="1363">
        <f t="shared" si="121"/>
        <v>0</v>
      </c>
    </row>
    <row r="324" spans="1:47">
      <c r="A324" s="1118">
        <f t="shared" ca="1" si="100"/>
        <v>12</v>
      </c>
      <c r="B324" s="1351">
        <f t="shared" si="103"/>
        <v>0</v>
      </c>
      <c r="C324" s="2143">
        <f t="shared" si="114"/>
        <v>0</v>
      </c>
      <c r="D324" s="2144">
        <f t="shared" si="115"/>
        <v>0</v>
      </c>
      <c r="E324" s="2145">
        <f t="shared" si="104"/>
        <v>0</v>
      </c>
      <c r="F324" s="2145">
        <f t="shared" si="125"/>
        <v>0</v>
      </c>
      <c r="G324" s="2145">
        <f t="shared" si="127"/>
        <v>0</v>
      </c>
      <c r="H324" s="2145">
        <f>IF(N323&lt;0.01,0,IF(Adm!$S$4=Adm!$S$8,0,N323*Adm!$V$4))</f>
        <v>0</v>
      </c>
      <c r="I324" s="2145">
        <f>IF(N323&lt;0.01,0,IF(Adm!$S$5=Adm!$S$8,0,Adm!$AA$11*Adm!$X$4))</f>
        <v>0</v>
      </c>
      <c r="J324" s="2145">
        <f>IF(N323&lt;0.01,0,Adm!$Q$4*1.16)</f>
        <v>0</v>
      </c>
      <c r="K324" s="2145">
        <f>IF(N323&lt;0.01,0,IF(Adm!$O$4&gt;0,E324*Adm!$O$4,0))</f>
        <v>0</v>
      </c>
      <c r="L324" s="2145">
        <f t="shared" si="105"/>
        <v>0</v>
      </c>
      <c r="M324" s="2145">
        <f>IF(Adm!$G$4="si",MIN(N323+E324+H324+I324+J324-L324,Z324),0)</f>
        <v>0</v>
      </c>
      <c r="N324" s="2145">
        <f t="shared" si="106"/>
        <v>0</v>
      </c>
      <c r="O324" s="2146"/>
      <c r="P324" s="1101"/>
      <c r="V324" s="1352">
        <f t="shared" si="107"/>
        <v>9</v>
      </c>
      <c r="W324" s="1367">
        <f>IF(V324=1,Cal!$AB$127,0)</f>
        <v>0</v>
      </c>
      <c r="Y324" s="1368">
        <f t="shared" si="116"/>
        <v>0</v>
      </c>
      <c r="Z324" s="1369">
        <f t="shared" ca="1" si="108"/>
        <v>0</v>
      </c>
      <c r="AB324" s="1375">
        <f t="shared" si="117"/>
        <v>0</v>
      </c>
      <c r="AC324" s="1373">
        <f t="shared" si="118"/>
        <v>0</v>
      </c>
      <c r="AD324" s="1373">
        <f t="shared" si="122"/>
        <v>0</v>
      </c>
      <c r="AE324" s="1373">
        <f t="shared" si="119"/>
        <v>0</v>
      </c>
      <c r="AF324" s="1371">
        <f t="shared" si="101"/>
        <v>0</v>
      </c>
      <c r="AG324" s="1359" t="e">
        <f>HLOOKUP($AG$83,anticipado,238,0)</f>
        <v>#N/A</v>
      </c>
      <c r="AI324" s="1360">
        <f t="shared" si="109"/>
        <v>0</v>
      </c>
      <c r="AJ324" s="1361">
        <f t="shared" si="123"/>
        <v>237</v>
      </c>
      <c r="AK324" s="1362">
        <f t="shared" si="110"/>
        <v>0</v>
      </c>
      <c r="AL324" s="1362">
        <f t="shared" si="124"/>
        <v>0</v>
      </c>
      <c r="AM324" s="1362">
        <f t="shared" si="120"/>
        <v>0</v>
      </c>
      <c r="AN324" s="1363">
        <f t="shared" si="111"/>
        <v>1000000</v>
      </c>
      <c r="AQ324" s="1361" t="str">
        <f t="shared" si="99"/>
        <v/>
      </c>
      <c r="AR324" s="1362">
        <f t="shared" si="112"/>
        <v>0</v>
      </c>
      <c r="AS324" s="1362">
        <f t="shared" si="102"/>
        <v>0</v>
      </c>
      <c r="AT324" s="1362">
        <f t="shared" si="129"/>
        <v>0</v>
      </c>
      <c r="AU324" s="1363">
        <f t="shared" si="121"/>
        <v>0</v>
      </c>
    </row>
    <row r="325" spans="1:47">
      <c r="A325" s="1118">
        <f t="shared" ca="1" si="100"/>
        <v>1</v>
      </c>
      <c r="B325" s="1351">
        <f t="shared" si="103"/>
        <v>0</v>
      </c>
      <c r="C325" s="2143">
        <f t="shared" si="114"/>
        <v>0</v>
      </c>
      <c r="D325" s="2144">
        <f t="shared" si="115"/>
        <v>0</v>
      </c>
      <c r="E325" s="2145">
        <f t="shared" si="104"/>
        <v>0</v>
      </c>
      <c r="F325" s="2145">
        <f t="shared" si="125"/>
        <v>0</v>
      </c>
      <c r="G325" s="2145">
        <f t="shared" si="127"/>
        <v>0</v>
      </c>
      <c r="H325" s="2145">
        <f>IF(N324&lt;0.01,0,IF(Adm!$S$4=Adm!$S$8,0,N324*Adm!$V$4))</f>
        <v>0</v>
      </c>
      <c r="I325" s="2145">
        <f>IF(N324&lt;0.01,0,IF(Adm!$S$5=Adm!$S$8,0,Adm!$AA$11*Adm!$X$4))</f>
        <v>0</v>
      </c>
      <c r="J325" s="2145">
        <f>IF(N324&lt;0.01,0,Adm!$Q$4*1.16)</f>
        <v>0</v>
      </c>
      <c r="K325" s="2145">
        <f>IF(N324&lt;0.01,0,IF(Adm!$O$4&gt;0,E325*Adm!$O$4,0))</f>
        <v>0</v>
      </c>
      <c r="L325" s="2145">
        <f t="shared" si="105"/>
        <v>0</v>
      </c>
      <c r="M325" s="2145">
        <f>IF(Adm!$G$4="si",MIN(N324+E325+H325+I325+J325-L325,Z325),0)</f>
        <v>0</v>
      </c>
      <c r="N325" s="2145">
        <f t="shared" si="106"/>
        <v>0</v>
      </c>
      <c r="O325" s="2146"/>
      <c r="P325" s="1101"/>
      <c r="V325" s="1352">
        <f t="shared" si="107"/>
        <v>10</v>
      </c>
      <c r="W325" s="1367">
        <f>IF(V325=1,Cal!$AB$127,0)</f>
        <v>0</v>
      </c>
      <c r="Y325" s="1368">
        <f t="shared" si="116"/>
        <v>0</v>
      </c>
      <c r="Z325" s="1369">
        <f t="shared" ca="1" si="108"/>
        <v>0</v>
      </c>
      <c r="AB325" s="1375">
        <f t="shared" si="117"/>
        <v>0</v>
      </c>
      <c r="AC325" s="1373">
        <f t="shared" si="118"/>
        <v>0</v>
      </c>
      <c r="AD325" s="1373">
        <f t="shared" si="122"/>
        <v>0</v>
      </c>
      <c r="AE325" s="1373">
        <f t="shared" si="119"/>
        <v>0</v>
      </c>
      <c r="AF325" s="1371">
        <f t="shared" si="101"/>
        <v>0</v>
      </c>
      <c r="AG325" s="1359" t="e">
        <f>HLOOKUP($AG$83,anticipado,239,0)</f>
        <v>#N/A</v>
      </c>
      <c r="AI325" s="1360">
        <f t="shared" si="109"/>
        <v>0</v>
      </c>
      <c r="AJ325" s="1361">
        <f t="shared" si="123"/>
        <v>238</v>
      </c>
      <c r="AK325" s="1362">
        <f t="shared" si="110"/>
        <v>0</v>
      </c>
      <c r="AL325" s="1362">
        <f t="shared" si="124"/>
        <v>0</v>
      </c>
      <c r="AM325" s="1362">
        <f t="shared" si="120"/>
        <v>0</v>
      </c>
      <c r="AN325" s="1363">
        <f t="shared" si="111"/>
        <v>1000000</v>
      </c>
      <c r="AQ325" s="1361" t="str">
        <f t="shared" si="99"/>
        <v/>
      </c>
      <c r="AR325" s="1362">
        <f t="shared" si="112"/>
        <v>0</v>
      </c>
      <c r="AS325" s="1362">
        <f t="shared" si="102"/>
        <v>0</v>
      </c>
      <c r="AT325" s="1362">
        <f t="shared" si="129"/>
        <v>0</v>
      </c>
      <c r="AU325" s="1363">
        <f t="shared" si="121"/>
        <v>0</v>
      </c>
    </row>
    <row r="326" spans="1:47">
      <c r="A326" s="1118">
        <f t="shared" ca="1" si="100"/>
        <v>2</v>
      </c>
      <c r="B326" s="1351">
        <f t="shared" ref="B326:B387" si="130">IF(N325&gt;0,B325-1,0)</f>
        <v>0</v>
      </c>
      <c r="C326" s="2143">
        <f t="shared" si="114"/>
        <v>0</v>
      </c>
      <c r="D326" s="2144">
        <f t="shared" si="115"/>
        <v>0</v>
      </c>
      <c r="E326" s="2145">
        <f t="shared" si="104"/>
        <v>0</v>
      </c>
      <c r="F326" s="2145">
        <f t="shared" si="125"/>
        <v>0</v>
      </c>
      <c r="G326" s="2145">
        <f t="shared" si="127"/>
        <v>0</v>
      </c>
      <c r="H326" s="2145">
        <f>IF(N325&lt;0.01,0,IF(Adm!$S$4=Adm!$S$8,0,N325*Adm!$V$4))</f>
        <v>0</v>
      </c>
      <c r="I326" s="2145">
        <f>IF(N325&lt;0.01,0,IF(Adm!$S$5=Adm!$S$8,0,Adm!$AA$11*Adm!$X$4))</f>
        <v>0</v>
      </c>
      <c r="J326" s="2145">
        <f>IF(N325&lt;0.01,0,Adm!$Q$4*1.16)</f>
        <v>0</v>
      </c>
      <c r="K326" s="2145">
        <f>IF(N325&lt;0.01,0,IF(Adm!$O$4&gt;0,E326*Adm!$O$4,0))</f>
        <v>0</v>
      </c>
      <c r="L326" s="2145">
        <f t="shared" si="105"/>
        <v>0</v>
      </c>
      <c r="M326" s="2145">
        <f>IF(Adm!$G$4="si",MIN(N325+E326+H326+I326+J326-L326,Z326),0)</f>
        <v>0</v>
      </c>
      <c r="N326" s="2145">
        <f t="shared" si="106"/>
        <v>0</v>
      </c>
      <c r="O326" s="2147"/>
      <c r="V326" s="1352">
        <f t="shared" si="107"/>
        <v>11</v>
      </c>
      <c r="W326" s="1367">
        <f>IF(V326=1,Cal!$AB$127,0)</f>
        <v>0</v>
      </c>
      <c r="Y326" s="1368">
        <f t="shared" si="116"/>
        <v>0</v>
      </c>
      <c r="Z326" s="1369">
        <f t="shared" ca="1" si="108"/>
        <v>0</v>
      </c>
      <c r="AB326" s="1375">
        <f t="shared" si="117"/>
        <v>0</v>
      </c>
      <c r="AC326" s="1373">
        <f t="shared" si="118"/>
        <v>0</v>
      </c>
      <c r="AD326" s="1373">
        <f t="shared" si="122"/>
        <v>0</v>
      </c>
      <c r="AE326" s="1373">
        <f t="shared" si="119"/>
        <v>0</v>
      </c>
      <c r="AF326" s="1371">
        <f t="shared" si="101"/>
        <v>0</v>
      </c>
      <c r="AG326" s="1359" t="e">
        <f>HLOOKUP($AG$83,anticipado,240,0)</f>
        <v>#N/A</v>
      </c>
      <c r="AI326" s="1360">
        <f t="shared" si="109"/>
        <v>0</v>
      </c>
      <c r="AJ326" s="1361">
        <f t="shared" si="123"/>
        <v>239</v>
      </c>
      <c r="AK326" s="1362">
        <f t="shared" si="110"/>
        <v>0</v>
      </c>
      <c r="AL326" s="1362">
        <f t="shared" si="124"/>
        <v>0</v>
      </c>
      <c r="AM326" s="1362">
        <f t="shared" si="120"/>
        <v>0</v>
      </c>
      <c r="AN326" s="1363">
        <f t="shared" si="111"/>
        <v>1000000</v>
      </c>
      <c r="AQ326" s="1361" t="str">
        <f t="shared" si="99"/>
        <v/>
      </c>
      <c r="AR326" s="1362">
        <f t="shared" si="112"/>
        <v>0</v>
      </c>
      <c r="AS326" s="1362">
        <f t="shared" si="102"/>
        <v>0</v>
      </c>
      <c r="AT326" s="1362">
        <f t="shared" si="129"/>
        <v>0</v>
      </c>
      <c r="AU326" s="1363">
        <f t="shared" si="121"/>
        <v>0</v>
      </c>
    </row>
    <row r="327" spans="1:47">
      <c r="A327" s="1118">
        <f t="shared" ca="1" si="100"/>
        <v>3</v>
      </c>
      <c r="B327" s="1351">
        <f t="shared" si="130"/>
        <v>0</v>
      </c>
      <c r="C327" s="2143">
        <f t="shared" si="114"/>
        <v>0</v>
      </c>
      <c r="D327" s="2144">
        <f t="shared" si="115"/>
        <v>0</v>
      </c>
      <c r="E327" s="2145">
        <f t="shared" si="104"/>
        <v>0</v>
      </c>
      <c r="F327" s="2145">
        <f t="shared" si="125"/>
        <v>0</v>
      </c>
      <c r="G327" s="2145">
        <f t="shared" si="127"/>
        <v>0</v>
      </c>
      <c r="H327" s="2145">
        <f>IF(N326&lt;0.01,0,IF(Adm!$S$4=Adm!$S$8,0,N326*Adm!$V$4))</f>
        <v>0</v>
      </c>
      <c r="I327" s="2145">
        <f>IF(N326&lt;0.01,0,IF(Adm!$S$5=Adm!$S$8,0,Adm!$AA$11*Adm!$X$4))</f>
        <v>0</v>
      </c>
      <c r="J327" s="2145">
        <f>IF(N326&lt;0.01,0,Adm!$Q$4*1.16)</f>
        <v>0</v>
      </c>
      <c r="K327" s="2145">
        <f>IF(N326&lt;0.01,0,IF(Adm!$O$4&gt;0,E327*Adm!$O$4,0))</f>
        <v>0</v>
      </c>
      <c r="L327" s="2145">
        <f t="shared" si="105"/>
        <v>0</v>
      </c>
      <c r="M327" s="2145">
        <f>IF(Adm!$G$4="si",MIN(N326+E327+H327+I327+J327-L327,Z327),0)</f>
        <v>0</v>
      </c>
      <c r="N327" s="2145">
        <f t="shared" si="106"/>
        <v>0</v>
      </c>
      <c r="O327" s="2147"/>
      <c r="V327" s="1352">
        <f t="shared" si="107"/>
        <v>12</v>
      </c>
      <c r="W327" s="1367">
        <f>IF(V327=1,Cal!$AB$127,0)</f>
        <v>0</v>
      </c>
      <c r="Y327" s="1368">
        <f t="shared" si="116"/>
        <v>0</v>
      </c>
      <c r="Z327" s="1369">
        <f t="shared" ca="1" si="108"/>
        <v>0</v>
      </c>
      <c r="AB327" s="1963">
        <f t="shared" si="117"/>
        <v>0</v>
      </c>
      <c r="AC327" s="1963">
        <f t="shared" si="118"/>
        <v>0</v>
      </c>
      <c r="AD327" s="1963">
        <f t="shared" si="122"/>
        <v>0</v>
      </c>
      <c r="AE327" s="1963">
        <f t="shared" si="119"/>
        <v>0</v>
      </c>
      <c r="AF327" s="1963">
        <f t="shared" si="101"/>
        <v>0</v>
      </c>
      <c r="AG327" s="1964" t="e">
        <f>HLOOKUP($AG$83,anticipado,241,0)</f>
        <v>#N/A</v>
      </c>
      <c r="AI327" s="1965">
        <f t="shared" si="109"/>
        <v>0</v>
      </c>
      <c r="AJ327" s="1361">
        <f t="shared" si="123"/>
        <v>240</v>
      </c>
      <c r="AK327" s="1362">
        <f t="shared" si="110"/>
        <v>0</v>
      </c>
      <c r="AL327" s="1362">
        <f t="shared" si="124"/>
        <v>0</v>
      </c>
      <c r="AM327" s="1362">
        <f t="shared" si="120"/>
        <v>0</v>
      </c>
      <c r="AN327" s="1363">
        <f t="shared" si="111"/>
        <v>1000000</v>
      </c>
      <c r="AQ327" s="1361" t="str">
        <f t="shared" si="99"/>
        <v/>
      </c>
      <c r="AR327" s="1362">
        <f t="shared" si="112"/>
        <v>0</v>
      </c>
      <c r="AS327" s="1362">
        <f t="shared" si="102"/>
        <v>0</v>
      </c>
      <c r="AT327" s="1362">
        <f t="shared" si="129"/>
        <v>0</v>
      </c>
      <c r="AU327" s="1363">
        <f t="shared" si="121"/>
        <v>0</v>
      </c>
    </row>
    <row r="328" spans="1:47">
      <c r="A328" s="1118">
        <f t="shared" ca="1" si="100"/>
        <v>4</v>
      </c>
      <c r="B328" s="1351">
        <f t="shared" si="130"/>
        <v>0</v>
      </c>
      <c r="C328" s="2143">
        <f t="shared" ref="C328:C364" si="131">IF(N327&lt;0.01,0,C327+1)</f>
        <v>0</v>
      </c>
      <c r="D328" s="2144">
        <f t="shared" ref="D328:D364" si="132">IF(N327&lt;0.01,0,D327)</f>
        <v>0</v>
      </c>
      <c r="E328" s="2145">
        <f t="shared" ref="E328:E364" si="133">IF(N327&lt;0.01,0,N327*D328*30.4166/360)</f>
        <v>0</v>
      </c>
      <c r="F328" s="2145">
        <f t="shared" ref="F328:F364" si="134">IF(N327&lt;0.01,0,G328-E328)</f>
        <v>0</v>
      </c>
      <c r="G328" s="2145">
        <f t="shared" ref="G328:G364" si="135">IF(N327&lt;0.1,0,MIN(N327+E328,IF(AB328&gt;0,AB328,G327*(1+W328))))</f>
        <v>0</v>
      </c>
      <c r="H328" s="2145">
        <f>IF(N327&lt;0.01,0,IF(Adm!$S$4=Adm!$S$8,0,N327*Adm!$V$4))</f>
        <v>0</v>
      </c>
      <c r="I328" s="2145">
        <f>IF(N327&lt;0.01,0,IF(Adm!$S$5=Adm!$S$8,0,Adm!$AA$11*Adm!$X$4))</f>
        <v>0</v>
      </c>
      <c r="J328" s="2145">
        <f>IF(N327&lt;0.01,0,Adm!$Q$4*1.16)</f>
        <v>0</v>
      </c>
      <c r="K328" s="2145">
        <f>IF(N327&lt;0.01,0,IF(Adm!$O$4&gt;0,E328*Adm!$O$4,0))</f>
        <v>0</v>
      </c>
      <c r="L328" s="2145">
        <f t="shared" ref="L328:L364" si="136">G328+H328+I328+J328+K328</f>
        <v>0</v>
      </c>
      <c r="M328" s="2145">
        <f>IF(Adm!$G$4="si",MIN(N327+E328+H328+I328+J328-L328,Z328),0)</f>
        <v>0</v>
      </c>
      <c r="N328" s="2145">
        <f t="shared" ref="N328:N364" si="137">IF(N327&lt;0.001,0,+N327-F328-M328-O328)</f>
        <v>0</v>
      </c>
      <c r="O328" s="2147"/>
      <c r="V328" s="1352">
        <f t="shared" si="107"/>
        <v>1</v>
      </c>
      <c r="W328" s="1367">
        <f>IF(V328=1,Cal!$AB$127,0)</f>
        <v>0</v>
      </c>
      <c r="Y328" s="1368">
        <f t="shared" si="116"/>
        <v>0</v>
      </c>
      <c r="Z328" s="1369">
        <f t="shared" ref="Z328:Z387" ca="1" si="138">IF(MOD(A328,2)=0,Y328*0.05*2,0)</f>
        <v>0</v>
      </c>
      <c r="AB328" s="1963">
        <f t="shared" ref="AB328:AB386" si="139">IF(AC328&gt;1,AC328,IF(AE328&gt;1,AE328,0))</f>
        <v>0</v>
      </c>
      <c r="AC328" s="1963">
        <f t="shared" ref="AC328:AC386" si="140">IF(AND($AD$82=1,O327&gt;0.1),AD328,0)</f>
        <v>0</v>
      </c>
      <c r="AD328" s="1963">
        <f t="shared" ref="AD328:AD386" si="141">IF(AND($AD$82=1,$AB$82=2),PMT((($D$88/360)*(365/12)),B327,-N327),0)</f>
        <v>0</v>
      </c>
      <c r="AE328" s="1963">
        <f t="shared" ref="AE328:AE386" si="142">IF(AND(AF328&gt;0.01,$AB$82=2),AF328,0)</f>
        <v>0</v>
      </c>
      <c r="AF328" s="1963">
        <f t="shared" ref="AF328:AF386" si="143">IF(AND($AD$82=2,O327&lt;0.01),0,IF($AD$82=2,(N327*AG328)+E328,0))</f>
        <v>0</v>
      </c>
      <c r="AG328" s="1964" t="e">
        <f>HLOOKUP($AG$83,anticipado,242,0)</f>
        <v>#N/A</v>
      </c>
      <c r="AI328" s="1966">
        <f t="shared" ref="AI328:AI386" si="144">AL328/AN327</f>
        <v>0</v>
      </c>
      <c r="AJ328" s="1377">
        <f t="shared" ref="AJ328:AJ386" si="145">IF(AN327&lt;=0,"",AJ327+1)</f>
        <v>241</v>
      </c>
      <c r="AK328" s="1378">
        <f t="shared" ref="AK328:AK386" si="146">AN327*$AK$81*30.4166/360</f>
        <v>0</v>
      </c>
      <c r="AL328" s="1378">
        <f t="shared" ref="AL328:AL386" si="147">AM328-AK328</f>
        <v>0</v>
      </c>
      <c r="AM328" s="1378">
        <f>MIN(AN327+AK328,AM327*(1+$AK$83))</f>
        <v>0</v>
      </c>
      <c r="AN328" s="1363">
        <f t="shared" ref="AN328:AN386" si="148">IF(AN327&lt;0.001,0,AN327-AL328-AO328)</f>
        <v>1000000</v>
      </c>
      <c r="AQ328" s="1379" t="str">
        <f t="shared" ref="AQ328:AQ387" si="149">IF(AU327&lt;=0,"",AQ327+1)</f>
        <v/>
      </c>
      <c r="AR328" s="1380">
        <f t="shared" ref="AR328:AR387" si="150">AU327*$AR$81*30.4166/360</f>
        <v>0</v>
      </c>
      <c r="AS328" s="1380">
        <f t="shared" ref="AS328:AS387" si="151">AT328-AR328</f>
        <v>0</v>
      </c>
      <c r="AT328" s="1380">
        <f>MIN(AU327+AR328,AT327*(1+$AR$83))</f>
        <v>0</v>
      </c>
      <c r="AU328" s="1363">
        <f t="shared" ref="AU328:AU387" si="152">IF(AU327&lt;0.001,0,AU327-AS328)</f>
        <v>0</v>
      </c>
    </row>
    <row r="329" spans="1:47">
      <c r="A329" s="1118">
        <f t="shared" ca="1" si="100"/>
        <v>5</v>
      </c>
      <c r="B329" s="1351">
        <f t="shared" si="130"/>
        <v>0</v>
      </c>
      <c r="C329" s="2143">
        <f t="shared" si="131"/>
        <v>0</v>
      </c>
      <c r="D329" s="2144">
        <f t="shared" si="132"/>
        <v>0</v>
      </c>
      <c r="E329" s="2145">
        <f t="shared" si="133"/>
        <v>0</v>
      </c>
      <c r="F329" s="2145">
        <f t="shared" si="134"/>
        <v>0</v>
      </c>
      <c r="G329" s="2145">
        <f t="shared" si="135"/>
        <v>0</v>
      </c>
      <c r="H329" s="2145">
        <f>IF(N328&lt;0.01,0,IF(Adm!$S$4=Adm!$S$8,0,N328*Adm!$V$4))</f>
        <v>0</v>
      </c>
      <c r="I329" s="2145">
        <f>IF(N328&lt;0.01,0,IF(Adm!$S$5=Adm!$S$8,0,Adm!$AA$11*Adm!$X$4))</f>
        <v>0</v>
      </c>
      <c r="J329" s="2145">
        <f>IF(N328&lt;0.01,0,Adm!$Q$4*1.16)</f>
        <v>0</v>
      </c>
      <c r="K329" s="2145">
        <f>IF(N328&lt;0.01,0,IF(Adm!$O$4&gt;0,E329*Adm!$O$4,0))</f>
        <v>0</v>
      </c>
      <c r="L329" s="2145">
        <f t="shared" si="136"/>
        <v>0</v>
      </c>
      <c r="M329" s="2145">
        <f>IF(Adm!$G$4="si",MIN(N328+E329+H329+I329+J329-L329,Z329),0)</f>
        <v>0</v>
      </c>
      <c r="N329" s="2145">
        <f t="shared" si="137"/>
        <v>0</v>
      </c>
      <c r="O329" s="2147"/>
      <c r="V329" s="1352">
        <f t="shared" si="107"/>
        <v>2</v>
      </c>
      <c r="W329" s="1367">
        <f>IF(V329=1,Cal!$AB$127,0)</f>
        <v>0</v>
      </c>
      <c r="Y329" s="1368">
        <f t="shared" si="116"/>
        <v>0</v>
      </c>
      <c r="Z329" s="1369">
        <f t="shared" ca="1" si="138"/>
        <v>0</v>
      </c>
      <c r="AB329" s="1963">
        <f t="shared" si="139"/>
        <v>0</v>
      </c>
      <c r="AC329" s="1963">
        <f t="shared" si="140"/>
        <v>0</v>
      </c>
      <c r="AD329" s="1963">
        <f t="shared" si="141"/>
        <v>0</v>
      </c>
      <c r="AE329" s="1963">
        <f t="shared" si="142"/>
        <v>0</v>
      </c>
      <c r="AF329" s="1963">
        <f t="shared" si="143"/>
        <v>0</v>
      </c>
      <c r="AG329" s="1964" t="e">
        <f>HLOOKUP($AG$83,anticipado,243,0)</f>
        <v>#N/A</v>
      </c>
      <c r="AI329" s="1966">
        <f t="shared" si="144"/>
        <v>0</v>
      </c>
      <c r="AJ329" s="1361">
        <f t="shared" si="145"/>
        <v>242</v>
      </c>
      <c r="AK329" s="1362">
        <f t="shared" si="146"/>
        <v>0</v>
      </c>
      <c r="AL329" s="1362">
        <f t="shared" si="147"/>
        <v>0</v>
      </c>
      <c r="AM329" s="1362">
        <f t="shared" ref="AM329:AM386" si="153">MIN(AN328+AK329,AM328)</f>
        <v>0</v>
      </c>
      <c r="AN329" s="1363">
        <f t="shared" si="148"/>
        <v>1000000</v>
      </c>
      <c r="AQ329" s="1361" t="str">
        <f t="shared" si="149"/>
        <v/>
      </c>
      <c r="AR329" s="1362">
        <f t="shared" si="150"/>
        <v>0</v>
      </c>
      <c r="AS329" s="1362">
        <f t="shared" si="151"/>
        <v>0</v>
      </c>
      <c r="AT329" s="1362">
        <f t="shared" ref="AT329:AT387" si="154">MIN(AU328+AR329,AT328)</f>
        <v>0</v>
      </c>
      <c r="AU329" s="1363">
        <f t="shared" si="152"/>
        <v>0</v>
      </c>
    </row>
    <row r="330" spans="1:47">
      <c r="A330" s="1118">
        <f t="shared" ca="1" si="100"/>
        <v>6</v>
      </c>
      <c r="B330" s="1351">
        <f t="shared" si="130"/>
        <v>0</v>
      </c>
      <c r="C330" s="2143">
        <f t="shared" si="131"/>
        <v>0</v>
      </c>
      <c r="D330" s="2144">
        <f t="shared" si="132"/>
        <v>0</v>
      </c>
      <c r="E330" s="2145">
        <f t="shared" si="133"/>
        <v>0</v>
      </c>
      <c r="F330" s="2145">
        <f t="shared" si="134"/>
        <v>0</v>
      </c>
      <c r="G330" s="2145">
        <f t="shared" si="135"/>
        <v>0</v>
      </c>
      <c r="H330" s="2145">
        <f>IF(N329&lt;0.01,0,IF(Adm!$S$4=Adm!$S$8,0,N329*Adm!$V$4))</f>
        <v>0</v>
      </c>
      <c r="I330" s="2145">
        <f>IF(N329&lt;0.01,0,IF(Adm!$S$5=Adm!$S$8,0,Adm!$AA$11*Adm!$X$4))</f>
        <v>0</v>
      </c>
      <c r="J330" s="2145">
        <f>IF(N329&lt;0.01,0,Adm!$Q$4*1.16)</f>
        <v>0</v>
      </c>
      <c r="K330" s="2145">
        <f>IF(N329&lt;0.01,0,IF(Adm!$O$4&gt;0,E330*Adm!$O$4,0))</f>
        <v>0</v>
      </c>
      <c r="L330" s="2145">
        <f t="shared" si="136"/>
        <v>0</v>
      </c>
      <c r="M330" s="2145">
        <f>IF(Adm!$G$4="si",MIN(N329+E330+H330+I330+J330-L330,Z330),0)</f>
        <v>0</v>
      </c>
      <c r="N330" s="2145">
        <f t="shared" si="137"/>
        <v>0</v>
      </c>
      <c r="O330" s="2147"/>
      <c r="V330" s="1352">
        <f t="shared" si="107"/>
        <v>3</v>
      </c>
      <c r="W330" s="1367">
        <f>IF(V330=1,Cal!$AB$127,0)</f>
        <v>0</v>
      </c>
      <c r="Y330" s="1368">
        <f t="shared" si="116"/>
        <v>0</v>
      </c>
      <c r="Z330" s="1369">
        <f t="shared" ca="1" si="138"/>
        <v>0</v>
      </c>
      <c r="AB330" s="1963">
        <f t="shared" si="139"/>
        <v>0</v>
      </c>
      <c r="AC330" s="1963">
        <f t="shared" si="140"/>
        <v>0</v>
      </c>
      <c r="AD330" s="1963">
        <f t="shared" si="141"/>
        <v>0</v>
      </c>
      <c r="AE330" s="1963">
        <f t="shared" si="142"/>
        <v>0</v>
      </c>
      <c r="AF330" s="1963">
        <f t="shared" si="143"/>
        <v>0</v>
      </c>
      <c r="AG330" s="1964" t="e">
        <f>HLOOKUP($AG$83,anticipado,244,0)</f>
        <v>#N/A</v>
      </c>
      <c r="AI330" s="1966">
        <f t="shared" si="144"/>
        <v>0</v>
      </c>
      <c r="AJ330" s="1361">
        <f t="shared" si="145"/>
        <v>243</v>
      </c>
      <c r="AK330" s="1362">
        <f t="shared" si="146"/>
        <v>0</v>
      </c>
      <c r="AL330" s="1362">
        <f t="shared" si="147"/>
        <v>0</v>
      </c>
      <c r="AM330" s="1362">
        <f t="shared" si="153"/>
        <v>0</v>
      </c>
      <c r="AN330" s="1363">
        <f t="shared" si="148"/>
        <v>1000000</v>
      </c>
      <c r="AQ330" s="1361" t="str">
        <f t="shared" si="149"/>
        <v/>
      </c>
      <c r="AR330" s="1362">
        <f t="shared" si="150"/>
        <v>0</v>
      </c>
      <c r="AS330" s="1362">
        <f t="shared" si="151"/>
        <v>0</v>
      </c>
      <c r="AT330" s="1362">
        <f t="shared" si="154"/>
        <v>0</v>
      </c>
      <c r="AU330" s="1363">
        <f t="shared" si="152"/>
        <v>0</v>
      </c>
    </row>
    <row r="331" spans="1:47">
      <c r="A331" s="1118">
        <f t="shared" ca="1" si="100"/>
        <v>7</v>
      </c>
      <c r="B331" s="1351">
        <f t="shared" si="130"/>
        <v>0</v>
      </c>
      <c r="C331" s="2143">
        <f t="shared" si="131"/>
        <v>0</v>
      </c>
      <c r="D331" s="2144">
        <f t="shared" si="132"/>
        <v>0</v>
      </c>
      <c r="E331" s="2145">
        <f t="shared" si="133"/>
        <v>0</v>
      </c>
      <c r="F331" s="2145">
        <f t="shared" si="134"/>
        <v>0</v>
      </c>
      <c r="G331" s="2145">
        <f t="shared" si="135"/>
        <v>0</v>
      </c>
      <c r="H331" s="2145">
        <f>IF(N330&lt;0.01,0,IF(Adm!$S$4=Adm!$S$8,0,N330*Adm!$V$4))</f>
        <v>0</v>
      </c>
      <c r="I331" s="2145">
        <f>IF(N330&lt;0.01,0,IF(Adm!$S$5=Adm!$S$8,0,Adm!$AA$11*Adm!$X$4))</f>
        <v>0</v>
      </c>
      <c r="J331" s="2145">
        <f>IF(N330&lt;0.01,0,Adm!$Q$4*1.16)</f>
        <v>0</v>
      </c>
      <c r="K331" s="2145">
        <f>IF(N330&lt;0.01,0,IF(Adm!$O$4&gt;0,E331*Adm!$O$4,0))</f>
        <v>0</v>
      </c>
      <c r="L331" s="2145">
        <f t="shared" si="136"/>
        <v>0</v>
      </c>
      <c r="M331" s="2145">
        <f>IF(Adm!$G$4="si",MIN(N330+E331+H331+I331+J331-L331,Z331),0)</f>
        <v>0</v>
      </c>
      <c r="N331" s="2145">
        <f t="shared" si="137"/>
        <v>0</v>
      </c>
      <c r="O331" s="2147"/>
      <c r="V331" s="1352">
        <f t="shared" si="107"/>
        <v>4</v>
      </c>
      <c r="W331" s="1367">
        <f>IF(V331=1,Cal!$AB$127,0)</f>
        <v>0</v>
      </c>
      <c r="Y331" s="1368">
        <f t="shared" si="116"/>
        <v>0</v>
      </c>
      <c r="Z331" s="1369">
        <f t="shared" ca="1" si="138"/>
        <v>0</v>
      </c>
      <c r="AB331" s="1963">
        <f t="shared" si="139"/>
        <v>0</v>
      </c>
      <c r="AC331" s="1963">
        <f t="shared" si="140"/>
        <v>0</v>
      </c>
      <c r="AD331" s="1963">
        <f t="shared" si="141"/>
        <v>0</v>
      </c>
      <c r="AE331" s="1963">
        <f t="shared" si="142"/>
        <v>0</v>
      </c>
      <c r="AF331" s="1963">
        <f t="shared" si="143"/>
        <v>0</v>
      </c>
      <c r="AG331" s="1964" t="e">
        <f>HLOOKUP($AG$83,anticipado,245,0)</f>
        <v>#N/A</v>
      </c>
      <c r="AI331" s="1966">
        <f t="shared" si="144"/>
        <v>0</v>
      </c>
      <c r="AJ331" s="1361">
        <f t="shared" si="145"/>
        <v>244</v>
      </c>
      <c r="AK331" s="1362">
        <f t="shared" si="146"/>
        <v>0</v>
      </c>
      <c r="AL331" s="1362">
        <f t="shared" si="147"/>
        <v>0</v>
      </c>
      <c r="AM331" s="1362">
        <f t="shared" si="153"/>
        <v>0</v>
      </c>
      <c r="AN331" s="1363">
        <f t="shared" si="148"/>
        <v>1000000</v>
      </c>
      <c r="AQ331" s="1361" t="str">
        <f t="shared" si="149"/>
        <v/>
      </c>
      <c r="AR331" s="1362">
        <f t="shared" si="150"/>
        <v>0</v>
      </c>
      <c r="AS331" s="1362">
        <f t="shared" si="151"/>
        <v>0</v>
      </c>
      <c r="AT331" s="1362">
        <f t="shared" si="154"/>
        <v>0</v>
      </c>
      <c r="AU331" s="1363">
        <f t="shared" si="152"/>
        <v>0</v>
      </c>
    </row>
    <row r="332" spans="1:47">
      <c r="A332" s="1118">
        <f t="shared" ca="1" si="100"/>
        <v>8</v>
      </c>
      <c r="B332" s="1351">
        <f t="shared" si="130"/>
        <v>0</v>
      </c>
      <c r="C332" s="2143">
        <f t="shared" si="131"/>
        <v>0</v>
      </c>
      <c r="D332" s="2144">
        <f t="shared" si="132"/>
        <v>0</v>
      </c>
      <c r="E332" s="2145">
        <f t="shared" si="133"/>
        <v>0</v>
      </c>
      <c r="F332" s="2145">
        <f t="shared" si="134"/>
        <v>0</v>
      </c>
      <c r="G332" s="2145">
        <f t="shared" si="135"/>
        <v>0</v>
      </c>
      <c r="H332" s="2145">
        <f>IF(N331&lt;0.01,0,IF(Adm!$S$4=Adm!$S$8,0,N331*Adm!$V$4))</f>
        <v>0</v>
      </c>
      <c r="I332" s="2145">
        <f>IF(N331&lt;0.01,0,IF(Adm!$S$5=Adm!$S$8,0,Adm!$AA$11*Adm!$X$4))</f>
        <v>0</v>
      </c>
      <c r="J332" s="2145">
        <f>IF(N331&lt;0.01,0,Adm!$Q$4*1.16)</f>
        <v>0</v>
      </c>
      <c r="K332" s="2145">
        <f>IF(N331&lt;0.01,0,IF(Adm!$O$4&gt;0,E332*Adm!$O$4,0))</f>
        <v>0</v>
      </c>
      <c r="L332" s="2145">
        <f t="shared" si="136"/>
        <v>0</v>
      </c>
      <c r="M332" s="2145">
        <f>IF(Adm!$G$4="si",MIN(N331+E332+H332+I332+J332-L332,Z332),0)</f>
        <v>0</v>
      </c>
      <c r="N332" s="2145">
        <f t="shared" si="137"/>
        <v>0</v>
      </c>
      <c r="O332" s="2147"/>
      <c r="V332" s="1352">
        <f t="shared" si="107"/>
        <v>5</v>
      </c>
      <c r="W332" s="1367">
        <f>IF(V332=1,Cal!$AB$127,0)</f>
        <v>0</v>
      </c>
      <c r="Y332" s="1368">
        <f t="shared" si="116"/>
        <v>0</v>
      </c>
      <c r="Z332" s="1369">
        <f t="shared" ca="1" si="138"/>
        <v>0</v>
      </c>
      <c r="AB332" s="1963">
        <f t="shared" si="139"/>
        <v>0</v>
      </c>
      <c r="AC332" s="1963">
        <f t="shared" si="140"/>
        <v>0</v>
      </c>
      <c r="AD332" s="1963">
        <f t="shared" si="141"/>
        <v>0</v>
      </c>
      <c r="AE332" s="1963">
        <f t="shared" si="142"/>
        <v>0</v>
      </c>
      <c r="AF332" s="1963">
        <f t="shared" si="143"/>
        <v>0</v>
      </c>
      <c r="AG332" s="1964" t="e">
        <f>HLOOKUP($AG$83,anticipado,246,0)</f>
        <v>#N/A</v>
      </c>
      <c r="AI332" s="1966">
        <f t="shared" si="144"/>
        <v>0</v>
      </c>
      <c r="AJ332" s="1361">
        <f t="shared" si="145"/>
        <v>245</v>
      </c>
      <c r="AK332" s="1362">
        <f t="shared" si="146"/>
        <v>0</v>
      </c>
      <c r="AL332" s="1362">
        <f t="shared" si="147"/>
        <v>0</v>
      </c>
      <c r="AM332" s="1362">
        <f t="shared" si="153"/>
        <v>0</v>
      </c>
      <c r="AN332" s="1363">
        <f t="shared" si="148"/>
        <v>1000000</v>
      </c>
      <c r="AQ332" s="1361" t="str">
        <f t="shared" si="149"/>
        <v/>
      </c>
      <c r="AR332" s="1362">
        <f t="shared" si="150"/>
        <v>0</v>
      </c>
      <c r="AS332" s="1362">
        <f t="shared" si="151"/>
        <v>0</v>
      </c>
      <c r="AT332" s="1362">
        <f t="shared" si="154"/>
        <v>0</v>
      </c>
      <c r="AU332" s="1363">
        <f t="shared" si="152"/>
        <v>0</v>
      </c>
    </row>
    <row r="333" spans="1:47">
      <c r="A333" s="1118">
        <f t="shared" ca="1" si="100"/>
        <v>9</v>
      </c>
      <c r="B333" s="1351">
        <f t="shared" si="130"/>
        <v>0</v>
      </c>
      <c r="C333" s="2143">
        <f t="shared" si="131"/>
        <v>0</v>
      </c>
      <c r="D333" s="2144">
        <f t="shared" si="132"/>
        <v>0</v>
      </c>
      <c r="E333" s="2145">
        <f t="shared" si="133"/>
        <v>0</v>
      </c>
      <c r="F333" s="2145">
        <f t="shared" si="134"/>
        <v>0</v>
      </c>
      <c r="G333" s="2145">
        <f t="shared" si="135"/>
        <v>0</v>
      </c>
      <c r="H333" s="2145">
        <f>IF(N332&lt;0.01,0,IF(Adm!$S$4=Adm!$S$8,0,N332*Adm!$V$4))</f>
        <v>0</v>
      </c>
      <c r="I333" s="2145">
        <f>IF(N332&lt;0.01,0,IF(Adm!$S$5=Adm!$S$8,0,Adm!$AA$11*Adm!$X$4))</f>
        <v>0</v>
      </c>
      <c r="J333" s="2145">
        <f>IF(N332&lt;0.01,0,Adm!$Q$4*1.16)</f>
        <v>0</v>
      </c>
      <c r="K333" s="2145">
        <f>IF(N332&lt;0.01,0,IF(Adm!$O$4&gt;0,E333*Adm!$O$4,0))</f>
        <v>0</v>
      </c>
      <c r="L333" s="2145">
        <f t="shared" si="136"/>
        <v>0</v>
      </c>
      <c r="M333" s="2145">
        <f>IF(Adm!$G$4="si",MIN(N332+E333+H333+I333+J333-L333,Z333),0)</f>
        <v>0</v>
      </c>
      <c r="N333" s="2145">
        <f t="shared" si="137"/>
        <v>0</v>
      </c>
      <c r="O333" s="2147"/>
      <c r="V333" s="1352">
        <f t="shared" si="107"/>
        <v>6</v>
      </c>
      <c r="W333" s="1367">
        <f>IF(V333=1,Cal!$AB$127,0)</f>
        <v>0</v>
      </c>
      <c r="Y333" s="1368">
        <f t="shared" si="116"/>
        <v>0</v>
      </c>
      <c r="Z333" s="1369">
        <f t="shared" ca="1" si="138"/>
        <v>0</v>
      </c>
      <c r="AB333" s="1963">
        <f t="shared" si="139"/>
        <v>0</v>
      </c>
      <c r="AC333" s="1963">
        <f t="shared" si="140"/>
        <v>0</v>
      </c>
      <c r="AD333" s="1963">
        <f t="shared" si="141"/>
        <v>0</v>
      </c>
      <c r="AE333" s="1963">
        <f t="shared" si="142"/>
        <v>0</v>
      </c>
      <c r="AF333" s="1963">
        <f t="shared" si="143"/>
        <v>0</v>
      </c>
      <c r="AG333" s="1964" t="e">
        <f>HLOOKUP($AG$83,anticipado,247,0)</f>
        <v>#N/A</v>
      </c>
      <c r="AI333" s="1966">
        <f t="shared" si="144"/>
        <v>0</v>
      </c>
      <c r="AJ333" s="1361">
        <f t="shared" si="145"/>
        <v>246</v>
      </c>
      <c r="AK333" s="1362">
        <f t="shared" si="146"/>
        <v>0</v>
      </c>
      <c r="AL333" s="1362">
        <f t="shared" si="147"/>
        <v>0</v>
      </c>
      <c r="AM333" s="1362">
        <f t="shared" si="153"/>
        <v>0</v>
      </c>
      <c r="AN333" s="1363">
        <f t="shared" si="148"/>
        <v>1000000</v>
      </c>
      <c r="AQ333" s="1361" t="str">
        <f t="shared" si="149"/>
        <v/>
      </c>
      <c r="AR333" s="1362">
        <f t="shared" si="150"/>
        <v>0</v>
      </c>
      <c r="AS333" s="1362">
        <f t="shared" si="151"/>
        <v>0</v>
      </c>
      <c r="AT333" s="1362">
        <f t="shared" si="154"/>
        <v>0</v>
      </c>
      <c r="AU333" s="1363">
        <f t="shared" si="152"/>
        <v>0</v>
      </c>
    </row>
    <row r="334" spans="1:47">
      <c r="A334" s="1118">
        <f t="shared" ca="1" si="100"/>
        <v>10</v>
      </c>
      <c r="B334" s="1351">
        <f t="shared" si="130"/>
        <v>0</v>
      </c>
      <c r="C334" s="2143">
        <f t="shared" si="131"/>
        <v>0</v>
      </c>
      <c r="D334" s="2144">
        <f t="shared" si="132"/>
        <v>0</v>
      </c>
      <c r="E334" s="2145">
        <f t="shared" si="133"/>
        <v>0</v>
      </c>
      <c r="F334" s="2145">
        <f t="shared" si="134"/>
        <v>0</v>
      </c>
      <c r="G334" s="2145">
        <f t="shared" si="135"/>
        <v>0</v>
      </c>
      <c r="H334" s="2145">
        <f>IF(N333&lt;0.01,0,IF(Adm!$S$4=Adm!$S$8,0,N333*Adm!$V$4))</f>
        <v>0</v>
      </c>
      <c r="I334" s="2145">
        <f>IF(N333&lt;0.01,0,IF(Adm!$S$5=Adm!$S$8,0,Adm!$AA$11*Adm!$X$4))</f>
        <v>0</v>
      </c>
      <c r="J334" s="2145">
        <f>IF(N333&lt;0.01,0,Adm!$Q$4*1.16)</f>
        <v>0</v>
      </c>
      <c r="K334" s="2145">
        <f>IF(N333&lt;0.01,0,IF(Adm!$O$4&gt;0,E334*Adm!$O$4,0))</f>
        <v>0</v>
      </c>
      <c r="L334" s="2145">
        <f t="shared" si="136"/>
        <v>0</v>
      </c>
      <c r="M334" s="2145">
        <f>IF(Adm!$G$4="si",MIN(N333+E334+H334+I334+J334-L334,Z334),0)</f>
        <v>0</v>
      </c>
      <c r="N334" s="2145">
        <f t="shared" si="137"/>
        <v>0</v>
      </c>
      <c r="O334" s="2147"/>
      <c r="V334" s="1352">
        <f t="shared" si="107"/>
        <v>7</v>
      </c>
      <c r="W334" s="1367">
        <f>IF(V334=1,Cal!$AB$127,0)</f>
        <v>0</v>
      </c>
      <c r="Y334" s="1368">
        <f t="shared" si="116"/>
        <v>0</v>
      </c>
      <c r="Z334" s="1369">
        <f t="shared" ca="1" si="138"/>
        <v>0</v>
      </c>
      <c r="AB334" s="1963">
        <f t="shared" si="139"/>
        <v>0</v>
      </c>
      <c r="AC334" s="1963">
        <f t="shared" si="140"/>
        <v>0</v>
      </c>
      <c r="AD334" s="1963">
        <f t="shared" si="141"/>
        <v>0</v>
      </c>
      <c r="AE334" s="1963">
        <f t="shared" si="142"/>
        <v>0</v>
      </c>
      <c r="AF334" s="1963">
        <f t="shared" si="143"/>
        <v>0</v>
      </c>
      <c r="AG334" s="1964" t="e">
        <f>HLOOKUP($AG$83,anticipado,248,0)</f>
        <v>#N/A</v>
      </c>
      <c r="AI334" s="1966">
        <f t="shared" si="144"/>
        <v>0</v>
      </c>
      <c r="AJ334" s="1361">
        <f t="shared" si="145"/>
        <v>247</v>
      </c>
      <c r="AK334" s="1362">
        <f t="shared" si="146"/>
        <v>0</v>
      </c>
      <c r="AL334" s="1362">
        <f t="shared" si="147"/>
        <v>0</v>
      </c>
      <c r="AM334" s="1362">
        <f t="shared" si="153"/>
        <v>0</v>
      </c>
      <c r="AN334" s="1363">
        <f t="shared" si="148"/>
        <v>1000000</v>
      </c>
      <c r="AQ334" s="1361" t="str">
        <f t="shared" si="149"/>
        <v/>
      </c>
      <c r="AR334" s="1362">
        <f t="shared" si="150"/>
        <v>0</v>
      </c>
      <c r="AS334" s="1362">
        <f t="shared" si="151"/>
        <v>0</v>
      </c>
      <c r="AT334" s="1362">
        <f t="shared" si="154"/>
        <v>0</v>
      </c>
      <c r="AU334" s="1363">
        <f t="shared" si="152"/>
        <v>0</v>
      </c>
    </row>
    <row r="335" spans="1:47">
      <c r="A335" s="1118">
        <f t="shared" ca="1" si="100"/>
        <v>11</v>
      </c>
      <c r="B335" s="1351">
        <f t="shared" si="130"/>
        <v>0</v>
      </c>
      <c r="C335" s="2143">
        <f t="shared" si="131"/>
        <v>0</v>
      </c>
      <c r="D335" s="2144">
        <f t="shared" si="132"/>
        <v>0</v>
      </c>
      <c r="E335" s="2145">
        <f t="shared" si="133"/>
        <v>0</v>
      </c>
      <c r="F335" s="2145">
        <f t="shared" si="134"/>
        <v>0</v>
      </c>
      <c r="G335" s="2145">
        <f t="shared" si="135"/>
        <v>0</v>
      </c>
      <c r="H335" s="2145">
        <f>IF(N334&lt;0.01,0,IF(Adm!$S$4=Adm!$S$8,0,N334*Adm!$V$4))</f>
        <v>0</v>
      </c>
      <c r="I335" s="2145">
        <f>IF(N334&lt;0.01,0,IF(Adm!$S$5=Adm!$S$8,0,Adm!$AA$11*Adm!$X$4))</f>
        <v>0</v>
      </c>
      <c r="J335" s="2145">
        <f>IF(N334&lt;0.01,0,Adm!$Q$4*1.16)</f>
        <v>0</v>
      </c>
      <c r="K335" s="2145">
        <f>IF(N334&lt;0.01,0,IF(Adm!$O$4&gt;0,E335*Adm!$O$4,0))</f>
        <v>0</v>
      </c>
      <c r="L335" s="2145">
        <f t="shared" si="136"/>
        <v>0</v>
      </c>
      <c r="M335" s="2145">
        <f>IF(Adm!$G$4="si",MIN(N334+E335+H335+I335+J335-L335,Z335),0)</f>
        <v>0</v>
      </c>
      <c r="N335" s="2145">
        <f t="shared" si="137"/>
        <v>0</v>
      </c>
      <c r="O335" s="2147"/>
      <c r="V335" s="1352">
        <f t="shared" si="107"/>
        <v>8</v>
      </c>
      <c r="W335" s="1367">
        <f>IF(V335=1,Cal!$AB$127,0)</f>
        <v>0</v>
      </c>
      <c r="Y335" s="1368">
        <f t="shared" si="116"/>
        <v>0</v>
      </c>
      <c r="Z335" s="1369">
        <f t="shared" ca="1" si="138"/>
        <v>0</v>
      </c>
      <c r="AB335" s="1963">
        <f t="shared" si="139"/>
        <v>0</v>
      </c>
      <c r="AC335" s="1963">
        <f t="shared" si="140"/>
        <v>0</v>
      </c>
      <c r="AD335" s="1963">
        <f t="shared" si="141"/>
        <v>0</v>
      </c>
      <c r="AE335" s="1963">
        <f t="shared" si="142"/>
        <v>0</v>
      </c>
      <c r="AF335" s="1963">
        <f t="shared" si="143"/>
        <v>0</v>
      </c>
      <c r="AG335" s="1964" t="e">
        <f>HLOOKUP($AG$83,anticipado,249,0)</f>
        <v>#N/A</v>
      </c>
      <c r="AI335" s="1966">
        <f t="shared" si="144"/>
        <v>0</v>
      </c>
      <c r="AJ335" s="1361">
        <f t="shared" si="145"/>
        <v>248</v>
      </c>
      <c r="AK335" s="1362">
        <f t="shared" si="146"/>
        <v>0</v>
      </c>
      <c r="AL335" s="1362">
        <f t="shared" si="147"/>
        <v>0</v>
      </c>
      <c r="AM335" s="1362">
        <f t="shared" si="153"/>
        <v>0</v>
      </c>
      <c r="AN335" s="1363">
        <f t="shared" si="148"/>
        <v>1000000</v>
      </c>
      <c r="AQ335" s="1361" t="str">
        <f t="shared" si="149"/>
        <v/>
      </c>
      <c r="AR335" s="1362">
        <f t="shared" si="150"/>
        <v>0</v>
      </c>
      <c r="AS335" s="1362">
        <f t="shared" si="151"/>
        <v>0</v>
      </c>
      <c r="AT335" s="1362">
        <f t="shared" si="154"/>
        <v>0</v>
      </c>
      <c r="AU335" s="1363">
        <f t="shared" si="152"/>
        <v>0</v>
      </c>
    </row>
    <row r="336" spans="1:47">
      <c r="A336" s="1118">
        <f t="shared" ca="1" si="100"/>
        <v>12</v>
      </c>
      <c r="B336" s="1351">
        <f t="shared" si="130"/>
        <v>0</v>
      </c>
      <c r="C336" s="2143">
        <f t="shared" si="131"/>
        <v>0</v>
      </c>
      <c r="D336" s="2144">
        <f t="shared" si="132"/>
        <v>0</v>
      </c>
      <c r="E336" s="2145">
        <f t="shared" si="133"/>
        <v>0</v>
      </c>
      <c r="F336" s="2145">
        <f t="shared" si="134"/>
        <v>0</v>
      </c>
      <c r="G336" s="2145">
        <f t="shared" si="135"/>
        <v>0</v>
      </c>
      <c r="H336" s="2145">
        <f>IF(N335&lt;0.01,0,IF(Adm!$S$4=Adm!$S$8,0,N335*Adm!$V$4))</f>
        <v>0</v>
      </c>
      <c r="I336" s="2145">
        <f>IF(N335&lt;0.01,0,IF(Adm!$S$5=Adm!$S$8,0,Adm!$AA$11*Adm!$X$4))</f>
        <v>0</v>
      </c>
      <c r="J336" s="2145">
        <f>IF(N335&lt;0.01,0,Adm!$Q$4*1.16)</f>
        <v>0</v>
      </c>
      <c r="K336" s="2145">
        <f>IF(N335&lt;0.01,0,IF(Adm!$O$4&gt;0,E336*Adm!$O$4,0))</f>
        <v>0</v>
      </c>
      <c r="L336" s="2145">
        <f t="shared" si="136"/>
        <v>0</v>
      </c>
      <c r="M336" s="2145">
        <f>IF(Adm!$G$4="si",MIN(N335+E336+H336+I336+J336-L336,Z336),0)</f>
        <v>0</v>
      </c>
      <c r="N336" s="2145">
        <f t="shared" si="137"/>
        <v>0</v>
      </c>
      <c r="O336" s="2147"/>
      <c r="V336" s="1352">
        <f t="shared" si="107"/>
        <v>9</v>
      </c>
      <c r="W336" s="1367">
        <f>IF(V336=1,Cal!$AB$127,0)</f>
        <v>0</v>
      </c>
      <c r="Y336" s="1368">
        <f t="shared" si="116"/>
        <v>0</v>
      </c>
      <c r="Z336" s="1369">
        <f t="shared" ca="1" si="138"/>
        <v>0</v>
      </c>
      <c r="AB336" s="1963">
        <f t="shared" si="139"/>
        <v>0</v>
      </c>
      <c r="AC336" s="1963">
        <f t="shared" si="140"/>
        <v>0</v>
      </c>
      <c r="AD336" s="1963">
        <f t="shared" si="141"/>
        <v>0</v>
      </c>
      <c r="AE336" s="1963">
        <f t="shared" si="142"/>
        <v>0</v>
      </c>
      <c r="AF336" s="1963">
        <f t="shared" si="143"/>
        <v>0</v>
      </c>
      <c r="AG336" s="1964" t="e">
        <f>HLOOKUP($AG$83,anticipado,250,0)</f>
        <v>#N/A</v>
      </c>
      <c r="AI336" s="1966">
        <f t="shared" si="144"/>
        <v>0</v>
      </c>
      <c r="AJ336" s="1361">
        <f t="shared" si="145"/>
        <v>249</v>
      </c>
      <c r="AK336" s="1362">
        <f t="shared" si="146"/>
        <v>0</v>
      </c>
      <c r="AL336" s="1362">
        <f t="shared" si="147"/>
        <v>0</v>
      </c>
      <c r="AM336" s="1362">
        <f t="shared" si="153"/>
        <v>0</v>
      </c>
      <c r="AN336" s="1363">
        <f t="shared" si="148"/>
        <v>1000000</v>
      </c>
      <c r="AQ336" s="1361" t="str">
        <f t="shared" si="149"/>
        <v/>
      </c>
      <c r="AR336" s="1362">
        <f t="shared" si="150"/>
        <v>0</v>
      </c>
      <c r="AS336" s="1362">
        <f t="shared" si="151"/>
        <v>0</v>
      </c>
      <c r="AT336" s="1362">
        <f t="shared" si="154"/>
        <v>0</v>
      </c>
      <c r="AU336" s="1363">
        <f t="shared" si="152"/>
        <v>0</v>
      </c>
    </row>
    <row r="337" spans="1:47">
      <c r="A337" s="1118">
        <f t="shared" ca="1" si="100"/>
        <v>1</v>
      </c>
      <c r="B337" s="1351">
        <f t="shared" si="130"/>
        <v>0</v>
      </c>
      <c r="C337" s="2143">
        <f t="shared" si="131"/>
        <v>0</v>
      </c>
      <c r="D337" s="2144">
        <f t="shared" si="132"/>
        <v>0</v>
      </c>
      <c r="E337" s="2145">
        <f t="shared" si="133"/>
        <v>0</v>
      </c>
      <c r="F337" s="2145">
        <f t="shared" si="134"/>
        <v>0</v>
      </c>
      <c r="G337" s="2145">
        <f t="shared" si="135"/>
        <v>0</v>
      </c>
      <c r="H337" s="2145">
        <f>IF(N336&lt;0.01,0,IF(Adm!$S$4=Adm!$S$8,0,N336*Adm!$V$4))</f>
        <v>0</v>
      </c>
      <c r="I337" s="2145">
        <f>IF(N336&lt;0.01,0,IF(Adm!$S$5=Adm!$S$8,0,Adm!$AA$11*Adm!$X$4))</f>
        <v>0</v>
      </c>
      <c r="J337" s="2145">
        <f>IF(N336&lt;0.01,0,Adm!$Q$4*1.16)</f>
        <v>0</v>
      </c>
      <c r="K337" s="2145">
        <f>IF(N336&lt;0.01,0,IF(Adm!$O$4&gt;0,E337*Adm!$O$4,0))</f>
        <v>0</v>
      </c>
      <c r="L337" s="2145">
        <f t="shared" si="136"/>
        <v>0</v>
      </c>
      <c r="M337" s="2145">
        <f>IF(Adm!$G$4="si",MIN(N336+E337+H337+I337+J337-L337,Z337),0)</f>
        <v>0</v>
      </c>
      <c r="N337" s="2145">
        <f t="shared" si="137"/>
        <v>0</v>
      </c>
      <c r="O337" s="2147"/>
      <c r="V337" s="1352">
        <f t="shared" si="107"/>
        <v>10</v>
      </c>
      <c r="W337" s="1367">
        <f>IF(V337=1,Cal!$AB$127,0)</f>
        <v>0</v>
      </c>
      <c r="Y337" s="1368">
        <f t="shared" si="116"/>
        <v>0</v>
      </c>
      <c r="Z337" s="1369">
        <f t="shared" ca="1" si="138"/>
        <v>0</v>
      </c>
      <c r="AB337" s="1963">
        <f t="shared" si="139"/>
        <v>0</v>
      </c>
      <c r="AC337" s="1963">
        <f t="shared" si="140"/>
        <v>0</v>
      </c>
      <c r="AD337" s="1963">
        <f t="shared" si="141"/>
        <v>0</v>
      </c>
      <c r="AE337" s="1963">
        <f t="shared" si="142"/>
        <v>0</v>
      </c>
      <c r="AF337" s="1963">
        <f t="shared" si="143"/>
        <v>0</v>
      </c>
      <c r="AG337" s="1964" t="e">
        <f>HLOOKUP($AG$83,anticipado,251,0)</f>
        <v>#N/A</v>
      </c>
      <c r="AI337" s="1966">
        <f t="shared" si="144"/>
        <v>0</v>
      </c>
      <c r="AJ337" s="1361">
        <f t="shared" si="145"/>
        <v>250</v>
      </c>
      <c r="AK337" s="1362">
        <f t="shared" si="146"/>
        <v>0</v>
      </c>
      <c r="AL337" s="1362">
        <f t="shared" si="147"/>
        <v>0</v>
      </c>
      <c r="AM337" s="1362">
        <f t="shared" si="153"/>
        <v>0</v>
      </c>
      <c r="AN337" s="1363">
        <f t="shared" si="148"/>
        <v>1000000</v>
      </c>
      <c r="AQ337" s="1361" t="str">
        <f t="shared" si="149"/>
        <v/>
      </c>
      <c r="AR337" s="1362">
        <f t="shared" si="150"/>
        <v>0</v>
      </c>
      <c r="AS337" s="1362">
        <f t="shared" si="151"/>
        <v>0</v>
      </c>
      <c r="AT337" s="1362">
        <f t="shared" si="154"/>
        <v>0</v>
      </c>
      <c r="AU337" s="1363">
        <f t="shared" si="152"/>
        <v>0</v>
      </c>
    </row>
    <row r="338" spans="1:47">
      <c r="A338" s="1118">
        <f t="shared" ca="1" si="100"/>
        <v>2</v>
      </c>
      <c r="B338" s="1351">
        <f t="shared" si="130"/>
        <v>0</v>
      </c>
      <c r="C338" s="2143">
        <f t="shared" si="131"/>
        <v>0</v>
      </c>
      <c r="D338" s="2144">
        <f t="shared" si="132"/>
        <v>0</v>
      </c>
      <c r="E338" s="2145">
        <f t="shared" si="133"/>
        <v>0</v>
      </c>
      <c r="F338" s="2145">
        <f t="shared" si="134"/>
        <v>0</v>
      </c>
      <c r="G338" s="2145">
        <f t="shared" si="135"/>
        <v>0</v>
      </c>
      <c r="H338" s="2145">
        <f>IF(N337&lt;0.01,0,IF(Adm!$S$4=Adm!$S$8,0,N337*Adm!$V$4))</f>
        <v>0</v>
      </c>
      <c r="I338" s="2145">
        <f>IF(N337&lt;0.01,0,IF(Adm!$S$5=Adm!$S$8,0,Adm!$AA$11*Adm!$X$4))</f>
        <v>0</v>
      </c>
      <c r="J338" s="2145">
        <f>IF(N337&lt;0.01,0,Adm!$Q$4*1.16)</f>
        <v>0</v>
      </c>
      <c r="K338" s="2145">
        <f>IF(N337&lt;0.01,0,IF(Adm!$O$4&gt;0,E338*Adm!$O$4,0))</f>
        <v>0</v>
      </c>
      <c r="L338" s="2145">
        <f t="shared" si="136"/>
        <v>0</v>
      </c>
      <c r="M338" s="2145">
        <f>IF(Adm!$G$4="si",MIN(N337+E338+H338+I338+J338-L338,Z338),0)</f>
        <v>0</v>
      </c>
      <c r="N338" s="2145">
        <f t="shared" si="137"/>
        <v>0</v>
      </c>
      <c r="O338" s="2147"/>
      <c r="V338" s="1352">
        <f t="shared" si="107"/>
        <v>11</v>
      </c>
      <c r="W338" s="1367">
        <f>IF(V338=1,Cal!$AB$127,0)</f>
        <v>0</v>
      </c>
      <c r="Y338" s="1368">
        <f t="shared" si="116"/>
        <v>0</v>
      </c>
      <c r="Z338" s="1369">
        <f t="shared" ca="1" si="138"/>
        <v>0</v>
      </c>
      <c r="AB338" s="1963">
        <f t="shared" si="139"/>
        <v>0</v>
      </c>
      <c r="AC338" s="1963">
        <f t="shared" si="140"/>
        <v>0</v>
      </c>
      <c r="AD338" s="1963">
        <f t="shared" si="141"/>
        <v>0</v>
      </c>
      <c r="AE338" s="1963">
        <f t="shared" si="142"/>
        <v>0</v>
      </c>
      <c r="AF338" s="1963">
        <f t="shared" si="143"/>
        <v>0</v>
      </c>
      <c r="AG338" s="1964" t="e">
        <f>HLOOKUP($AG$83,anticipado,252,0)</f>
        <v>#N/A</v>
      </c>
      <c r="AI338" s="1966">
        <f t="shared" si="144"/>
        <v>0</v>
      </c>
      <c r="AJ338" s="1361">
        <f t="shared" si="145"/>
        <v>251</v>
      </c>
      <c r="AK338" s="1362">
        <f t="shared" si="146"/>
        <v>0</v>
      </c>
      <c r="AL338" s="1362">
        <f t="shared" si="147"/>
        <v>0</v>
      </c>
      <c r="AM338" s="1362">
        <f t="shared" si="153"/>
        <v>0</v>
      </c>
      <c r="AN338" s="1363">
        <f t="shared" si="148"/>
        <v>1000000</v>
      </c>
      <c r="AQ338" s="1361" t="str">
        <f t="shared" si="149"/>
        <v/>
      </c>
      <c r="AR338" s="1362">
        <f t="shared" si="150"/>
        <v>0</v>
      </c>
      <c r="AS338" s="1362">
        <f t="shared" si="151"/>
        <v>0</v>
      </c>
      <c r="AT338" s="1362">
        <f t="shared" si="154"/>
        <v>0</v>
      </c>
      <c r="AU338" s="1363">
        <f t="shared" si="152"/>
        <v>0</v>
      </c>
    </row>
    <row r="339" spans="1:47">
      <c r="A339" s="1118">
        <f t="shared" ca="1" si="100"/>
        <v>3</v>
      </c>
      <c r="B339" s="1351">
        <f t="shared" si="130"/>
        <v>0</v>
      </c>
      <c r="C339" s="2143">
        <f t="shared" si="131"/>
        <v>0</v>
      </c>
      <c r="D339" s="2144">
        <f t="shared" si="132"/>
        <v>0</v>
      </c>
      <c r="E339" s="2145">
        <f t="shared" si="133"/>
        <v>0</v>
      </c>
      <c r="F339" s="2145">
        <f t="shared" si="134"/>
        <v>0</v>
      </c>
      <c r="G339" s="2145">
        <f t="shared" si="135"/>
        <v>0</v>
      </c>
      <c r="H339" s="2145">
        <f>IF(N338&lt;0.01,0,IF(Adm!$S$4=Adm!$S$8,0,N338*Adm!$V$4))</f>
        <v>0</v>
      </c>
      <c r="I339" s="2145">
        <f>IF(N338&lt;0.01,0,IF(Adm!$S$5=Adm!$S$8,0,Adm!$AA$11*Adm!$X$4))</f>
        <v>0</v>
      </c>
      <c r="J339" s="2145">
        <f>IF(N338&lt;0.01,0,Adm!$Q$4*1.16)</f>
        <v>0</v>
      </c>
      <c r="K339" s="2145">
        <f>IF(N338&lt;0.01,0,IF(Adm!$O$4&gt;0,E339*Adm!$O$4,0))</f>
        <v>0</v>
      </c>
      <c r="L339" s="2145">
        <f t="shared" si="136"/>
        <v>0</v>
      </c>
      <c r="M339" s="2145">
        <f>IF(Adm!$G$4="si",MIN(N338+E339+H339+I339+J339-L339,Z339),0)</f>
        <v>0</v>
      </c>
      <c r="N339" s="2145">
        <f t="shared" si="137"/>
        <v>0</v>
      </c>
      <c r="O339" s="2147"/>
      <c r="V339" s="1352">
        <f t="shared" si="107"/>
        <v>12</v>
      </c>
      <c r="W339" s="1367">
        <f>IF(V339=1,Cal!$AB$127,0)</f>
        <v>0</v>
      </c>
      <c r="Y339" s="1368">
        <f t="shared" si="116"/>
        <v>0</v>
      </c>
      <c r="Z339" s="1369">
        <f t="shared" ca="1" si="138"/>
        <v>0</v>
      </c>
      <c r="AB339" s="1963">
        <f t="shared" si="139"/>
        <v>0</v>
      </c>
      <c r="AC339" s="1963">
        <f t="shared" si="140"/>
        <v>0</v>
      </c>
      <c r="AD339" s="1963">
        <f t="shared" si="141"/>
        <v>0</v>
      </c>
      <c r="AE339" s="1963">
        <f t="shared" si="142"/>
        <v>0</v>
      </c>
      <c r="AF339" s="1963">
        <f t="shared" si="143"/>
        <v>0</v>
      </c>
      <c r="AG339" s="1964" t="e">
        <f>HLOOKUP($AG$83,anticipado,253,0)</f>
        <v>#N/A</v>
      </c>
      <c r="AI339" s="1966">
        <f t="shared" si="144"/>
        <v>0</v>
      </c>
      <c r="AJ339" s="1361">
        <f t="shared" si="145"/>
        <v>252</v>
      </c>
      <c r="AK339" s="1362">
        <f t="shared" si="146"/>
        <v>0</v>
      </c>
      <c r="AL339" s="1362">
        <f t="shared" si="147"/>
        <v>0</v>
      </c>
      <c r="AM339" s="1362">
        <f t="shared" si="153"/>
        <v>0</v>
      </c>
      <c r="AN339" s="1363">
        <f t="shared" si="148"/>
        <v>1000000</v>
      </c>
      <c r="AQ339" s="1361" t="str">
        <f t="shared" si="149"/>
        <v/>
      </c>
      <c r="AR339" s="1362">
        <f t="shared" si="150"/>
        <v>0</v>
      </c>
      <c r="AS339" s="1362">
        <f t="shared" si="151"/>
        <v>0</v>
      </c>
      <c r="AT339" s="1362">
        <f t="shared" si="154"/>
        <v>0</v>
      </c>
      <c r="AU339" s="1363">
        <f t="shared" si="152"/>
        <v>0</v>
      </c>
    </row>
    <row r="340" spans="1:47">
      <c r="A340" s="1118">
        <f t="shared" ca="1" si="100"/>
        <v>4</v>
      </c>
      <c r="B340" s="1351">
        <f t="shared" si="130"/>
        <v>0</v>
      </c>
      <c r="C340" s="2143">
        <f t="shared" si="131"/>
        <v>0</v>
      </c>
      <c r="D340" s="2144">
        <f t="shared" si="132"/>
        <v>0</v>
      </c>
      <c r="E340" s="2145">
        <f t="shared" si="133"/>
        <v>0</v>
      </c>
      <c r="F340" s="2145">
        <f t="shared" si="134"/>
        <v>0</v>
      </c>
      <c r="G340" s="2145">
        <f t="shared" si="135"/>
        <v>0</v>
      </c>
      <c r="H340" s="2145">
        <f>IF(N339&lt;0.01,0,IF(Adm!$S$4=Adm!$S$8,0,N339*Adm!$V$4))</f>
        <v>0</v>
      </c>
      <c r="I340" s="2145">
        <f>IF(N339&lt;0.01,0,IF(Adm!$S$5=Adm!$S$8,0,Adm!$AA$11*Adm!$X$4))</f>
        <v>0</v>
      </c>
      <c r="J340" s="2145">
        <f>IF(N339&lt;0.01,0,Adm!$Q$4*1.16)</f>
        <v>0</v>
      </c>
      <c r="K340" s="2145">
        <f>IF(N339&lt;0.01,0,IF(Adm!$O$4&gt;0,E340*Adm!$O$4,0))</f>
        <v>0</v>
      </c>
      <c r="L340" s="2145">
        <f t="shared" si="136"/>
        <v>0</v>
      </c>
      <c r="M340" s="2145">
        <f>IF(Adm!$G$4="si",MIN(N339+E340+H340+I340+J340-L340,Z340),0)</f>
        <v>0</v>
      </c>
      <c r="N340" s="2145">
        <f t="shared" si="137"/>
        <v>0</v>
      </c>
      <c r="O340" s="2147"/>
      <c r="V340" s="1352">
        <f t="shared" si="107"/>
        <v>1</v>
      </c>
      <c r="W340" s="1367">
        <f>IF(V340=1,Cal!$AB$127,0)</f>
        <v>0</v>
      </c>
      <c r="Y340" s="1368">
        <f t="shared" si="116"/>
        <v>0</v>
      </c>
      <c r="Z340" s="1369">
        <f t="shared" ca="1" si="138"/>
        <v>0</v>
      </c>
      <c r="AB340" s="1963">
        <f t="shared" si="139"/>
        <v>0</v>
      </c>
      <c r="AC340" s="1963">
        <f t="shared" si="140"/>
        <v>0</v>
      </c>
      <c r="AD340" s="1963">
        <f t="shared" si="141"/>
        <v>0</v>
      </c>
      <c r="AE340" s="1963">
        <f t="shared" si="142"/>
        <v>0</v>
      </c>
      <c r="AF340" s="1963">
        <f t="shared" si="143"/>
        <v>0</v>
      </c>
      <c r="AG340" s="1964" t="e">
        <f>HLOOKUP($AG$83,anticipado,254,0)</f>
        <v>#N/A</v>
      </c>
      <c r="AI340" s="1966">
        <f t="shared" si="144"/>
        <v>0</v>
      </c>
      <c r="AJ340" s="1377">
        <f t="shared" si="145"/>
        <v>253</v>
      </c>
      <c r="AK340" s="1378">
        <f t="shared" si="146"/>
        <v>0</v>
      </c>
      <c r="AL340" s="1378">
        <f t="shared" si="147"/>
        <v>0</v>
      </c>
      <c r="AM340" s="1378">
        <f>MIN(AN339+AK340,AM339*(1+$AK$83))</f>
        <v>0</v>
      </c>
      <c r="AN340" s="1363">
        <f t="shared" si="148"/>
        <v>1000000</v>
      </c>
      <c r="AQ340" s="1379" t="str">
        <f t="shared" si="149"/>
        <v/>
      </c>
      <c r="AR340" s="1380">
        <f t="shared" si="150"/>
        <v>0</v>
      </c>
      <c r="AS340" s="1380">
        <f t="shared" si="151"/>
        <v>0</v>
      </c>
      <c r="AT340" s="1380">
        <f>MIN(AU339+AR340,AT339*(1+$AR$83))</f>
        <v>0</v>
      </c>
      <c r="AU340" s="1363">
        <f t="shared" si="152"/>
        <v>0</v>
      </c>
    </row>
    <row r="341" spans="1:47">
      <c r="A341" s="1118">
        <f t="shared" ca="1" si="100"/>
        <v>5</v>
      </c>
      <c r="B341" s="1351">
        <f t="shared" si="130"/>
        <v>0</v>
      </c>
      <c r="C341" s="2143">
        <f t="shared" si="131"/>
        <v>0</v>
      </c>
      <c r="D341" s="2144">
        <f t="shared" si="132"/>
        <v>0</v>
      </c>
      <c r="E341" s="2145">
        <f t="shared" si="133"/>
        <v>0</v>
      </c>
      <c r="F341" s="2145">
        <f t="shared" si="134"/>
        <v>0</v>
      </c>
      <c r="G341" s="2145">
        <f t="shared" si="135"/>
        <v>0</v>
      </c>
      <c r="H341" s="2145">
        <f>IF(N340&lt;0.01,0,IF(Adm!$S$4=Adm!$S$8,0,N340*Adm!$V$4))</f>
        <v>0</v>
      </c>
      <c r="I341" s="2145">
        <f>IF(N340&lt;0.01,0,IF(Adm!$S$5=Adm!$S$8,0,Adm!$AA$11*Adm!$X$4))</f>
        <v>0</v>
      </c>
      <c r="J341" s="2145">
        <f>IF(N340&lt;0.01,0,Adm!$Q$4*1.16)</f>
        <v>0</v>
      </c>
      <c r="K341" s="2145">
        <f>IF(N340&lt;0.01,0,IF(Adm!$O$4&gt;0,E341*Adm!$O$4,0))</f>
        <v>0</v>
      </c>
      <c r="L341" s="2145">
        <f t="shared" si="136"/>
        <v>0</v>
      </c>
      <c r="M341" s="2145">
        <f>IF(Adm!$G$4="si",MIN(N340+E341+H341+I341+J341-L341,Z341),0)</f>
        <v>0</v>
      </c>
      <c r="N341" s="2145">
        <f t="shared" si="137"/>
        <v>0</v>
      </c>
      <c r="O341" s="2147"/>
      <c r="V341" s="1352">
        <f t="shared" si="107"/>
        <v>2</v>
      </c>
      <c r="W341" s="1367">
        <f>IF(V341=1,Cal!$AB$127,0)</f>
        <v>0</v>
      </c>
      <c r="Y341" s="1368">
        <f t="shared" si="116"/>
        <v>0</v>
      </c>
      <c r="Z341" s="1369">
        <f t="shared" ca="1" si="138"/>
        <v>0</v>
      </c>
      <c r="AB341" s="1963">
        <f t="shared" si="139"/>
        <v>0</v>
      </c>
      <c r="AC341" s="1963">
        <f t="shared" si="140"/>
        <v>0</v>
      </c>
      <c r="AD341" s="1963">
        <f t="shared" si="141"/>
        <v>0</v>
      </c>
      <c r="AE341" s="1963">
        <f t="shared" si="142"/>
        <v>0</v>
      </c>
      <c r="AF341" s="1963">
        <f t="shared" si="143"/>
        <v>0</v>
      </c>
      <c r="AG341" s="1964" t="e">
        <f>HLOOKUP($AG$83,anticipado,255,0)</f>
        <v>#N/A</v>
      </c>
      <c r="AI341" s="1966">
        <f t="shared" si="144"/>
        <v>0</v>
      </c>
      <c r="AJ341" s="1361">
        <f t="shared" si="145"/>
        <v>254</v>
      </c>
      <c r="AK341" s="1362">
        <f t="shared" si="146"/>
        <v>0</v>
      </c>
      <c r="AL341" s="1362">
        <f t="shared" si="147"/>
        <v>0</v>
      </c>
      <c r="AM341" s="1362">
        <f t="shared" si="153"/>
        <v>0</v>
      </c>
      <c r="AN341" s="1363">
        <f t="shared" si="148"/>
        <v>1000000</v>
      </c>
      <c r="AQ341" s="1361" t="str">
        <f t="shared" si="149"/>
        <v/>
      </c>
      <c r="AR341" s="1362">
        <f t="shared" si="150"/>
        <v>0</v>
      </c>
      <c r="AS341" s="1362">
        <f t="shared" si="151"/>
        <v>0</v>
      </c>
      <c r="AT341" s="1362">
        <f t="shared" si="154"/>
        <v>0</v>
      </c>
      <c r="AU341" s="1363">
        <f t="shared" si="152"/>
        <v>0</v>
      </c>
    </row>
    <row r="342" spans="1:47">
      <c r="A342" s="1118">
        <f t="shared" ca="1" si="100"/>
        <v>6</v>
      </c>
      <c r="B342" s="1351">
        <f t="shared" si="130"/>
        <v>0</v>
      </c>
      <c r="C342" s="2143">
        <f t="shared" si="131"/>
        <v>0</v>
      </c>
      <c r="D342" s="2144">
        <f t="shared" si="132"/>
        <v>0</v>
      </c>
      <c r="E342" s="2145">
        <f t="shared" si="133"/>
        <v>0</v>
      </c>
      <c r="F342" s="2145">
        <f t="shared" si="134"/>
        <v>0</v>
      </c>
      <c r="G342" s="2145">
        <f t="shared" si="135"/>
        <v>0</v>
      </c>
      <c r="H342" s="2145">
        <f>IF(N341&lt;0.01,0,IF(Adm!$S$4=Adm!$S$8,0,N341*Adm!$V$4))</f>
        <v>0</v>
      </c>
      <c r="I342" s="2145">
        <f>IF(N341&lt;0.01,0,IF(Adm!$S$5=Adm!$S$8,0,Adm!$AA$11*Adm!$X$4))</f>
        <v>0</v>
      </c>
      <c r="J342" s="2145">
        <f>IF(N341&lt;0.01,0,Adm!$Q$4*1.16)</f>
        <v>0</v>
      </c>
      <c r="K342" s="2145">
        <f>IF(N341&lt;0.01,0,IF(Adm!$O$4&gt;0,E342*Adm!$O$4,0))</f>
        <v>0</v>
      </c>
      <c r="L342" s="2145">
        <f t="shared" si="136"/>
        <v>0</v>
      </c>
      <c r="M342" s="2145">
        <f>IF(Adm!$G$4="si",MIN(N341+E342+H342+I342+J342-L342,Z342),0)</f>
        <v>0</v>
      </c>
      <c r="N342" s="2145">
        <f t="shared" si="137"/>
        <v>0</v>
      </c>
      <c r="O342" s="2147"/>
      <c r="V342" s="1352">
        <f t="shared" si="107"/>
        <v>3</v>
      </c>
      <c r="W342" s="1367">
        <f>IF(V342=1,Cal!$AB$127,0)</f>
        <v>0</v>
      </c>
      <c r="Y342" s="1368">
        <f t="shared" si="116"/>
        <v>0</v>
      </c>
      <c r="Z342" s="1369">
        <f t="shared" ca="1" si="138"/>
        <v>0</v>
      </c>
      <c r="AB342" s="1963">
        <f t="shared" si="139"/>
        <v>0</v>
      </c>
      <c r="AC342" s="1963">
        <f t="shared" si="140"/>
        <v>0</v>
      </c>
      <c r="AD342" s="1963">
        <f t="shared" si="141"/>
        <v>0</v>
      </c>
      <c r="AE342" s="1963">
        <f t="shared" si="142"/>
        <v>0</v>
      </c>
      <c r="AF342" s="1963">
        <f t="shared" si="143"/>
        <v>0</v>
      </c>
      <c r="AG342" s="1964" t="e">
        <f>HLOOKUP($AG$83,anticipado,256,0)</f>
        <v>#N/A</v>
      </c>
      <c r="AI342" s="1966">
        <f t="shared" si="144"/>
        <v>0</v>
      </c>
      <c r="AJ342" s="1361">
        <f t="shared" si="145"/>
        <v>255</v>
      </c>
      <c r="AK342" s="1362">
        <f t="shared" si="146"/>
        <v>0</v>
      </c>
      <c r="AL342" s="1362">
        <f t="shared" si="147"/>
        <v>0</v>
      </c>
      <c r="AM342" s="1362">
        <f t="shared" si="153"/>
        <v>0</v>
      </c>
      <c r="AN342" s="1363">
        <f t="shared" si="148"/>
        <v>1000000</v>
      </c>
      <c r="AQ342" s="1361" t="str">
        <f t="shared" si="149"/>
        <v/>
      </c>
      <c r="AR342" s="1362">
        <f t="shared" si="150"/>
        <v>0</v>
      </c>
      <c r="AS342" s="1362">
        <f t="shared" si="151"/>
        <v>0</v>
      </c>
      <c r="AT342" s="1362">
        <f t="shared" si="154"/>
        <v>0</v>
      </c>
      <c r="AU342" s="1363">
        <f t="shared" si="152"/>
        <v>0</v>
      </c>
    </row>
    <row r="343" spans="1:47">
      <c r="A343" s="1118">
        <f t="shared" ca="1" si="100"/>
        <v>7</v>
      </c>
      <c r="B343" s="1351">
        <f t="shared" si="130"/>
        <v>0</v>
      </c>
      <c r="C343" s="2143">
        <f t="shared" si="131"/>
        <v>0</v>
      </c>
      <c r="D343" s="2144">
        <f t="shared" si="132"/>
        <v>0</v>
      </c>
      <c r="E343" s="2145">
        <f t="shared" si="133"/>
        <v>0</v>
      </c>
      <c r="F343" s="2145">
        <f t="shared" si="134"/>
        <v>0</v>
      </c>
      <c r="G343" s="2145">
        <f t="shared" si="135"/>
        <v>0</v>
      </c>
      <c r="H343" s="2145">
        <f>IF(N342&lt;0.01,0,IF(Adm!$S$4=Adm!$S$8,0,N342*Adm!$V$4))</f>
        <v>0</v>
      </c>
      <c r="I343" s="2145">
        <f>IF(N342&lt;0.01,0,IF(Adm!$S$5=Adm!$S$8,0,Adm!$AA$11*Adm!$X$4))</f>
        <v>0</v>
      </c>
      <c r="J343" s="2145">
        <f>IF(N342&lt;0.01,0,Adm!$Q$4*1.16)</f>
        <v>0</v>
      </c>
      <c r="K343" s="2145">
        <f>IF(N342&lt;0.01,0,IF(Adm!$O$4&gt;0,E343*Adm!$O$4,0))</f>
        <v>0</v>
      </c>
      <c r="L343" s="2145">
        <f t="shared" si="136"/>
        <v>0</v>
      </c>
      <c r="M343" s="2145">
        <f>IF(Adm!$G$4="si",MIN(N342+E343+H343+I343+J343-L343,Z343),0)</f>
        <v>0</v>
      </c>
      <c r="N343" s="2145">
        <f t="shared" si="137"/>
        <v>0</v>
      </c>
      <c r="O343" s="2147"/>
      <c r="V343" s="1352">
        <f t="shared" si="107"/>
        <v>4</v>
      </c>
      <c r="W343" s="1367">
        <f>IF(V343=1,Cal!$AB$127,0)</f>
        <v>0</v>
      </c>
      <c r="Y343" s="1368">
        <f t="shared" si="116"/>
        <v>0</v>
      </c>
      <c r="Z343" s="1369">
        <f t="shared" ca="1" si="138"/>
        <v>0</v>
      </c>
      <c r="AB343" s="1963">
        <f t="shared" si="139"/>
        <v>0</v>
      </c>
      <c r="AC343" s="1963">
        <f t="shared" si="140"/>
        <v>0</v>
      </c>
      <c r="AD343" s="1963">
        <f t="shared" si="141"/>
        <v>0</v>
      </c>
      <c r="AE343" s="1963">
        <f t="shared" si="142"/>
        <v>0</v>
      </c>
      <c r="AF343" s="1963">
        <f t="shared" si="143"/>
        <v>0</v>
      </c>
      <c r="AG343" s="1964" t="e">
        <f>HLOOKUP($AG$83,anticipado,257,0)</f>
        <v>#N/A</v>
      </c>
      <c r="AI343" s="1966">
        <f t="shared" si="144"/>
        <v>0</v>
      </c>
      <c r="AJ343" s="1361">
        <f t="shared" si="145"/>
        <v>256</v>
      </c>
      <c r="AK343" s="1362">
        <f t="shared" si="146"/>
        <v>0</v>
      </c>
      <c r="AL343" s="1362">
        <f t="shared" si="147"/>
        <v>0</v>
      </c>
      <c r="AM343" s="1362">
        <f t="shared" si="153"/>
        <v>0</v>
      </c>
      <c r="AN343" s="1363">
        <f t="shared" si="148"/>
        <v>1000000</v>
      </c>
      <c r="AQ343" s="1361" t="str">
        <f t="shared" si="149"/>
        <v/>
      </c>
      <c r="AR343" s="1362">
        <f t="shared" si="150"/>
        <v>0</v>
      </c>
      <c r="AS343" s="1362">
        <f t="shared" si="151"/>
        <v>0</v>
      </c>
      <c r="AT343" s="1362">
        <f t="shared" si="154"/>
        <v>0</v>
      </c>
      <c r="AU343" s="1363">
        <f t="shared" si="152"/>
        <v>0</v>
      </c>
    </row>
    <row r="344" spans="1:47">
      <c r="A344" s="1118">
        <f t="shared" ref="A344:A387" ca="1" si="155">IF(A343=12,1,A343+1)</f>
        <v>8</v>
      </c>
      <c r="B344" s="1351">
        <f t="shared" si="130"/>
        <v>0</v>
      </c>
      <c r="C344" s="2143">
        <f t="shared" si="131"/>
        <v>0</v>
      </c>
      <c r="D344" s="2144">
        <f t="shared" si="132"/>
        <v>0</v>
      </c>
      <c r="E344" s="2145">
        <f t="shared" si="133"/>
        <v>0</v>
      </c>
      <c r="F344" s="2145">
        <f t="shared" si="134"/>
        <v>0</v>
      </c>
      <c r="G344" s="2145">
        <f t="shared" si="135"/>
        <v>0</v>
      </c>
      <c r="H344" s="2145">
        <f>IF(N343&lt;0.01,0,IF(Adm!$S$4=Adm!$S$8,0,N343*Adm!$V$4))</f>
        <v>0</v>
      </c>
      <c r="I344" s="2145">
        <f>IF(N343&lt;0.01,0,IF(Adm!$S$5=Adm!$S$8,0,Adm!$AA$11*Adm!$X$4))</f>
        <v>0</v>
      </c>
      <c r="J344" s="2145">
        <f>IF(N343&lt;0.01,0,Adm!$Q$4*1.16)</f>
        <v>0</v>
      </c>
      <c r="K344" s="2145">
        <f>IF(N343&lt;0.01,0,IF(Adm!$O$4&gt;0,E344*Adm!$O$4,0))</f>
        <v>0</v>
      </c>
      <c r="L344" s="2145">
        <f t="shared" si="136"/>
        <v>0</v>
      </c>
      <c r="M344" s="2145">
        <f>IF(Adm!$G$4="si",MIN(N343+E344+H344+I344+J344-L344,Z344),0)</f>
        <v>0</v>
      </c>
      <c r="N344" s="2145">
        <f t="shared" si="137"/>
        <v>0</v>
      </c>
      <c r="O344" s="2147"/>
      <c r="V344" s="1352">
        <f t="shared" si="107"/>
        <v>5</v>
      </c>
      <c r="W344" s="1367">
        <f>IF(V344=1,Cal!$AB$127,0)</f>
        <v>0</v>
      </c>
      <c r="Y344" s="1368">
        <f t="shared" si="116"/>
        <v>0</v>
      </c>
      <c r="Z344" s="1369">
        <f t="shared" ca="1" si="138"/>
        <v>0</v>
      </c>
      <c r="AB344" s="1963">
        <f t="shared" si="139"/>
        <v>0</v>
      </c>
      <c r="AC344" s="1963">
        <f t="shared" si="140"/>
        <v>0</v>
      </c>
      <c r="AD344" s="1963">
        <f t="shared" si="141"/>
        <v>0</v>
      </c>
      <c r="AE344" s="1963">
        <f t="shared" si="142"/>
        <v>0</v>
      </c>
      <c r="AF344" s="1963">
        <f t="shared" si="143"/>
        <v>0</v>
      </c>
      <c r="AG344" s="1964" t="e">
        <f>HLOOKUP($AG$83,anticipado,258,0)</f>
        <v>#N/A</v>
      </c>
      <c r="AI344" s="1966">
        <f t="shared" si="144"/>
        <v>0</v>
      </c>
      <c r="AJ344" s="1361">
        <f t="shared" si="145"/>
        <v>257</v>
      </c>
      <c r="AK344" s="1362">
        <f t="shared" si="146"/>
        <v>0</v>
      </c>
      <c r="AL344" s="1362">
        <f t="shared" si="147"/>
        <v>0</v>
      </c>
      <c r="AM344" s="1362">
        <f t="shared" si="153"/>
        <v>0</v>
      </c>
      <c r="AN344" s="1363">
        <f t="shared" si="148"/>
        <v>1000000</v>
      </c>
      <c r="AQ344" s="1361" t="str">
        <f t="shared" si="149"/>
        <v/>
      </c>
      <c r="AR344" s="1362">
        <f t="shared" si="150"/>
        <v>0</v>
      </c>
      <c r="AS344" s="1362">
        <f t="shared" si="151"/>
        <v>0</v>
      </c>
      <c r="AT344" s="1362">
        <f t="shared" si="154"/>
        <v>0</v>
      </c>
      <c r="AU344" s="1363">
        <f t="shared" si="152"/>
        <v>0</v>
      </c>
    </row>
    <row r="345" spans="1:47">
      <c r="A345" s="1118">
        <f t="shared" ca="1" si="155"/>
        <v>9</v>
      </c>
      <c r="B345" s="1351">
        <f t="shared" si="130"/>
        <v>0</v>
      </c>
      <c r="C345" s="2143">
        <f t="shared" si="131"/>
        <v>0</v>
      </c>
      <c r="D345" s="2144">
        <f t="shared" si="132"/>
        <v>0</v>
      </c>
      <c r="E345" s="2145">
        <f t="shared" si="133"/>
        <v>0</v>
      </c>
      <c r="F345" s="2145">
        <f t="shared" si="134"/>
        <v>0</v>
      </c>
      <c r="G345" s="2145">
        <f t="shared" si="135"/>
        <v>0</v>
      </c>
      <c r="H345" s="2145">
        <f>IF(N344&lt;0.01,0,IF(Adm!$S$4=Adm!$S$8,0,N344*Adm!$V$4))</f>
        <v>0</v>
      </c>
      <c r="I345" s="2145">
        <f>IF(N344&lt;0.01,0,IF(Adm!$S$5=Adm!$S$8,0,Adm!$AA$11*Adm!$X$4))</f>
        <v>0</v>
      </c>
      <c r="J345" s="2145">
        <f>IF(N344&lt;0.01,0,Adm!$Q$4*1.16)</f>
        <v>0</v>
      </c>
      <c r="K345" s="2145">
        <f>IF(N344&lt;0.01,0,IF(Adm!$O$4&gt;0,E345*Adm!$O$4,0))</f>
        <v>0</v>
      </c>
      <c r="L345" s="2145">
        <f t="shared" si="136"/>
        <v>0</v>
      </c>
      <c r="M345" s="2145">
        <f>IF(Adm!$G$4="si",MIN(N344+E345+H345+I345+J345-L345,Z345),0)</f>
        <v>0</v>
      </c>
      <c r="N345" s="2145">
        <f t="shared" si="137"/>
        <v>0</v>
      </c>
      <c r="O345" s="2147"/>
      <c r="V345" s="1352">
        <f t="shared" ref="V345:V387" si="156">IF(V344=12,1,V344+1)</f>
        <v>6</v>
      </c>
      <c r="W345" s="1367">
        <f>IF(V345=1,Cal!$AB$127,0)</f>
        <v>0</v>
      </c>
      <c r="Y345" s="1368">
        <f t="shared" si="116"/>
        <v>0</v>
      </c>
      <c r="Z345" s="1369">
        <f t="shared" ca="1" si="138"/>
        <v>0</v>
      </c>
      <c r="AB345" s="1963">
        <f t="shared" si="139"/>
        <v>0</v>
      </c>
      <c r="AC345" s="1963">
        <f t="shared" si="140"/>
        <v>0</v>
      </c>
      <c r="AD345" s="1963">
        <f t="shared" si="141"/>
        <v>0</v>
      </c>
      <c r="AE345" s="1963">
        <f t="shared" si="142"/>
        <v>0</v>
      </c>
      <c r="AF345" s="1963">
        <f t="shared" si="143"/>
        <v>0</v>
      </c>
      <c r="AG345" s="1964" t="e">
        <f>HLOOKUP($AG$83,anticipado,259,0)</f>
        <v>#N/A</v>
      </c>
      <c r="AI345" s="1966">
        <f t="shared" si="144"/>
        <v>0</v>
      </c>
      <c r="AJ345" s="1361">
        <f t="shared" si="145"/>
        <v>258</v>
      </c>
      <c r="AK345" s="1362">
        <f t="shared" si="146"/>
        <v>0</v>
      </c>
      <c r="AL345" s="1362">
        <f t="shared" si="147"/>
        <v>0</v>
      </c>
      <c r="AM345" s="1362">
        <f t="shared" si="153"/>
        <v>0</v>
      </c>
      <c r="AN345" s="1363">
        <f t="shared" si="148"/>
        <v>1000000</v>
      </c>
      <c r="AQ345" s="1361" t="str">
        <f t="shared" si="149"/>
        <v/>
      </c>
      <c r="AR345" s="1362">
        <f t="shared" si="150"/>
        <v>0</v>
      </c>
      <c r="AS345" s="1362">
        <f t="shared" si="151"/>
        <v>0</v>
      </c>
      <c r="AT345" s="1362">
        <f t="shared" si="154"/>
        <v>0</v>
      </c>
      <c r="AU345" s="1363">
        <f t="shared" si="152"/>
        <v>0</v>
      </c>
    </row>
    <row r="346" spans="1:47">
      <c r="A346" s="1118">
        <f t="shared" ca="1" si="155"/>
        <v>10</v>
      </c>
      <c r="B346" s="1351">
        <f t="shared" si="130"/>
        <v>0</v>
      </c>
      <c r="C346" s="2143">
        <f t="shared" si="131"/>
        <v>0</v>
      </c>
      <c r="D346" s="2144">
        <f t="shared" si="132"/>
        <v>0</v>
      </c>
      <c r="E346" s="2145">
        <f t="shared" si="133"/>
        <v>0</v>
      </c>
      <c r="F346" s="2145">
        <f t="shared" si="134"/>
        <v>0</v>
      </c>
      <c r="G346" s="2145">
        <f t="shared" si="135"/>
        <v>0</v>
      </c>
      <c r="H346" s="2145">
        <f>IF(N345&lt;0.01,0,IF(Adm!$S$4=Adm!$S$8,0,N345*Adm!$V$4))</f>
        <v>0</v>
      </c>
      <c r="I346" s="2145">
        <f>IF(N345&lt;0.01,0,IF(Adm!$S$5=Adm!$S$8,0,Adm!$AA$11*Adm!$X$4))</f>
        <v>0</v>
      </c>
      <c r="J346" s="2145">
        <f>IF(N345&lt;0.01,0,Adm!$Q$4*1.16)</f>
        <v>0</v>
      </c>
      <c r="K346" s="2145">
        <f>IF(N345&lt;0.01,0,IF(Adm!$O$4&gt;0,E346*Adm!$O$4,0))</f>
        <v>0</v>
      </c>
      <c r="L346" s="2145">
        <f t="shared" si="136"/>
        <v>0</v>
      </c>
      <c r="M346" s="2145">
        <f>IF(Adm!$G$4="si",MIN(N345+E346+H346+I346+J346-L346,Z346),0)</f>
        <v>0</v>
      </c>
      <c r="N346" s="2145">
        <f t="shared" si="137"/>
        <v>0</v>
      </c>
      <c r="O346" s="2147"/>
      <c r="V346" s="1352">
        <f t="shared" si="156"/>
        <v>7</v>
      </c>
      <c r="W346" s="1367">
        <f>IF(V346=1,Cal!$AB$127,0)</f>
        <v>0</v>
      </c>
      <c r="Y346" s="1368">
        <f t="shared" ref="Y346:Y387" si="157">Y345</f>
        <v>0</v>
      </c>
      <c r="Z346" s="1369">
        <f t="shared" ca="1" si="138"/>
        <v>0</v>
      </c>
      <c r="AB346" s="1963">
        <f t="shared" si="139"/>
        <v>0</v>
      </c>
      <c r="AC346" s="1963">
        <f t="shared" si="140"/>
        <v>0</v>
      </c>
      <c r="AD346" s="1963">
        <f t="shared" si="141"/>
        <v>0</v>
      </c>
      <c r="AE346" s="1963">
        <f t="shared" si="142"/>
        <v>0</v>
      </c>
      <c r="AF346" s="1963">
        <f t="shared" si="143"/>
        <v>0</v>
      </c>
      <c r="AG346" s="1964" t="e">
        <f>HLOOKUP($AG$83,anticipado,260,0)</f>
        <v>#N/A</v>
      </c>
      <c r="AI346" s="1966">
        <f t="shared" si="144"/>
        <v>0</v>
      </c>
      <c r="AJ346" s="1361">
        <f t="shared" si="145"/>
        <v>259</v>
      </c>
      <c r="AK346" s="1362">
        <f t="shared" si="146"/>
        <v>0</v>
      </c>
      <c r="AL346" s="1362">
        <f t="shared" si="147"/>
        <v>0</v>
      </c>
      <c r="AM346" s="1362">
        <f t="shared" si="153"/>
        <v>0</v>
      </c>
      <c r="AN346" s="1363">
        <f t="shared" si="148"/>
        <v>1000000</v>
      </c>
      <c r="AQ346" s="1361" t="str">
        <f t="shared" si="149"/>
        <v/>
      </c>
      <c r="AR346" s="1362">
        <f t="shared" si="150"/>
        <v>0</v>
      </c>
      <c r="AS346" s="1362">
        <f t="shared" si="151"/>
        <v>0</v>
      </c>
      <c r="AT346" s="1362">
        <f t="shared" si="154"/>
        <v>0</v>
      </c>
      <c r="AU346" s="1363">
        <f t="shared" si="152"/>
        <v>0</v>
      </c>
    </row>
    <row r="347" spans="1:47">
      <c r="A347" s="1118">
        <f t="shared" ca="1" si="155"/>
        <v>11</v>
      </c>
      <c r="B347" s="1351">
        <f t="shared" si="130"/>
        <v>0</v>
      </c>
      <c r="C347" s="2143">
        <f t="shared" si="131"/>
        <v>0</v>
      </c>
      <c r="D347" s="2144">
        <f t="shared" si="132"/>
        <v>0</v>
      </c>
      <c r="E347" s="2145">
        <f t="shared" si="133"/>
        <v>0</v>
      </c>
      <c r="F347" s="2145">
        <f t="shared" si="134"/>
        <v>0</v>
      </c>
      <c r="G347" s="2145">
        <f t="shared" si="135"/>
        <v>0</v>
      </c>
      <c r="H347" s="2145">
        <f>IF(N346&lt;0.01,0,IF(Adm!$S$4=Adm!$S$8,0,N346*Adm!$V$4))</f>
        <v>0</v>
      </c>
      <c r="I347" s="2145">
        <f>IF(N346&lt;0.01,0,IF(Adm!$S$5=Adm!$S$8,0,Adm!$AA$11*Adm!$X$4))</f>
        <v>0</v>
      </c>
      <c r="J347" s="2145">
        <f>IF(N346&lt;0.01,0,Adm!$Q$4*1.16)</f>
        <v>0</v>
      </c>
      <c r="K347" s="2145">
        <f>IF(N346&lt;0.01,0,IF(Adm!$O$4&gt;0,E347*Adm!$O$4,0))</f>
        <v>0</v>
      </c>
      <c r="L347" s="2145">
        <f t="shared" si="136"/>
        <v>0</v>
      </c>
      <c r="M347" s="2145">
        <f>IF(Adm!$G$4="si",MIN(N346+E347+H347+I347+J347-L347,Z347),0)</f>
        <v>0</v>
      </c>
      <c r="N347" s="2145">
        <f t="shared" si="137"/>
        <v>0</v>
      </c>
      <c r="O347" s="2147"/>
      <c r="V347" s="1352">
        <f t="shared" si="156"/>
        <v>8</v>
      </c>
      <c r="W347" s="1367">
        <f>IF(V347=1,Cal!$AB$127,0)</f>
        <v>0</v>
      </c>
      <c r="Y347" s="1368">
        <f t="shared" si="157"/>
        <v>0</v>
      </c>
      <c r="Z347" s="1369">
        <f t="shared" ca="1" si="138"/>
        <v>0</v>
      </c>
      <c r="AB347" s="1963">
        <f t="shared" si="139"/>
        <v>0</v>
      </c>
      <c r="AC347" s="1963">
        <f t="shared" si="140"/>
        <v>0</v>
      </c>
      <c r="AD347" s="1963">
        <f t="shared" si="141"/>
        <v>0</v>
      </c>
      <c r="AE347" s="1963">
        <f t="shared" si="142"/>
        <v>0</v>
      </c>
      <c r="AF347" s="1963">
        <f t="shared" si="143"/>
        <v>0</v>
      </c>
      <c r="AG347" s="1964" t="e">
        <f>HLOOKUP($AG$83,anticipado,261,0)</f>
        <v>#N/A</v>
      </c>
      <c r="AI347" s="1966">
        <f t="shared" si="144"/>
        <v>0</v>
      </c>
      <c r="AJ347" s="1361">
        <f t="shared" si="145"/>
        <v>260</v>
      </c>
      <c r="AK347" s="1362">
        <f t="shared" si="146"/>
        <v>0</v>
      </c>
      <c r="AL347" s="1362">
        <f t="shared" si="147"/>
        <v>0</v>
      </c>
      <c r="AM347" s="1362">
        <f t="shared" si="153"/>
        <v>0</v>
      </c>
      <c r="AN347" s="1363">
        <f t="shared" si="148"/>
        <v>1000000</v>
      </c>
      <c r="AQ347" s="1361" t="str">
        <f t="shared" si="149"/>
        <v/>
      </c>
      <c r="AR347" s="1362">
        <f t="shared" si="150"/>
        <v>0</v>
      </c>
      <c r="AS347" s="1362">
        <f t="shared" si="151"/>
        <v>0</v>
      </c>
      <c r="AT347" s="1362">
        <f t="shared" si="154"/>
        <v>0</v>
      </c>
      <c r="AU347" s="1363">
        <f t="shared" si="152"/>
        <v>0</v>
      </c>
    </row>
    <row r="348" spans="1:47">
      <c r="A348" s="1118">
        <f t="shared" ca="1" si="155"/>
        <v>12</v>
      </c>
      <c r="B348" s="1351">
        <f t="shared" si="130"/>
        <v>0</v>
      </c>
      <c r="C348" s="2143">
        <f t="shared" si="131"/>
        <v>0</v>
      </c>
      <c r="D348" s="2144">
        <f t="shared" si="132"/>
        <v>0</v>
      </c>
      <c r="E348" s="2145">
        <f t="shared" si="133"/>
        <v>0</v>
      </c>
      <c r="F348" s="2145">
        <f t="shared" si="134"/>
        <v>0</v>
      </c>
      <c r="G348" s="2145">
        <f t="shared" si="135"/>
        <v>0</v>
      </c>
      <c r="H348" s="2145">
        <f>IF(N347&lt;0.01,0,IF(Adm!$S$4=Adm!$S$8,0,N347*Adm!$V$4))</f>
        <v>0</v>
      </c>
      <c r="I348" s="2145">
        <f>IF(N347&lt;0.01,0,IF(Adm!$S$5=Adm!$S$8,0,Adm!$AA$11*Adm!$X$4))</f>
        <v>0</v>
      </c>
      <c r="J348" s="2145">
        <f>IF(N347&lt;0.01,0,Adm!$Q$4*1.16)</f>
        <v>0</v>
      </c>
      <c r="K348" s="2145">
        <f>IF(N347&lt;0.01,0,IF(Adm!$O$4&gt;0,E348*Adm!$O$4,0))</f>
        <v>0</v>
      </c>
      <c r="L348" s="2145">
        <f t="shared" si="136"/>
        <v>0</v>
      </c>
      <c r="M348" s="2145">
        <f>IF(Adm!$G$4="si",MIN(N347+E348+H348+I348+J348-L348,Z348),0)</f>
        <v>0</v>
      </c>
      <c r="N348" s="2145">
        <f t="shared" si="137"/>
        <v>0</v>
      </c>
      <c r="O348" s="2147"/>
      <c r="V348" s="1352">
        <f t="shared" si="156"/>
        <v>9</v>
      </c>
      <c r="W348" s="1367">
        <f>IF(V348=1,Cal!$AB$127,0)</f>
        <v>0</v>
      </c>
      <c r="Y348" s="1368">
        <f t="shared" si="157"/>
        <v>0</v>
      </c>
      <c r="Z348" s="1369">
        <f t="shared" ca="1" si="138"/>
        <v>0</v>
      </c>
      <c r="AB348" s="1963">
        <f t="shared" si="139"/>
        <v>0</v>
      </c>
      <c r="AC348" s="1963">
        <f t="shared" si="140"/>
        <v>0</v>
      </c>
      <c r="AD348" s="1963">
        <f t="shared" si="141"/>
        <v>0</v>
      </c>
      <c r="AE348" s="1963">
        <f t="shared" si="142"/>
        <v>0</v>
      </c>
      <c r="AF348" s="1963">
        <f t="shared" si="143"/>
        <v>0</v>
      </c>
      <c r="AG348" s="1964" t="e">
        <f>HLOOKUP($AG$83,anticipado,262,0)</f>
        <v>#N/A</v>
      </c>
      <c r="AI348" s="1966">
        <f t="shared" si="144"/>
        <v>0</v>
      </c>
      <c r="AJ348" s="1361">
        <f t="shared" si="145"/>
        <v>261</v>
      </c>
      <c r="AK348" s="1362">
        <f t="shared" si="146"/>
        <v>0</v>
      </c>
      <c r="AL348" s="1362">
        <f t="shared" si="147"/>
        <v>0</v>
      </c>
      <c r="AM348" s="1362">
        <f t="shared" si="153"/>
        <v>0</v>
      </c>
      <c r="AN348" s="1363">
        <f t="shared" si="148"/>
        <v>1000000</v>
      </c>
      <c r="AQ348" s="1361" t="str">
        <f t="shared" si="149"/>
        <v/>
      </c>
      <c r="AR348" s="1362">
        <f t="shared" si="150"/>
        <v>0</v>
      </c>
      <c r="AS348" s="1362">
        <f t="shared" si="151"/>
        <v>0</v>
      </c>
      <c r="AT348" s="1362">
        <f t="shared" si="154"/>
        <v>0</v>
      </c>
      <c r="AU348" s="1363">
        <f t="shared" si="152"/>
        <v>0</v>
      </c>
    </row>
    <row r="349" spans="1:47">
      <c r="A349" s="1118">
        <f t="shared" ca="1" si="155"/>
        <v>1</v>
      </c>
      <c r="B349" s="1351">
        <f t="shared" si="130"/>
        <v>0</v>
      </c>
      <c r="C349" s="2143">
        <f t="shared" si="131"/>
        <v>0</v>
      </c>
      <c r="D349" s="2144">
        <f t="shared" si="132"/>
        <v>0</v>
      </c>
      <c r="E349" s="2145">
        <f t="shared" si="133"/>
        <v>0</v>
      </c>
      <c r="F349" s="2145">
        <f t="shared" si="134"/>
        <v>0</v>
      </c>
      <c r="G349" s="2145">
        <f t="shared" si="135"/>
        <v>0</v>
      </c>
      <c r="H349" s="2145">
        <f>IF(N348&lt;0.01,0,IF(Adm!$S$4=Adm!$S$8,0,N348*Adm!$V$4))</f>
        <v>0</v>
      </c>
      <c r="I349" s="2145">
        <f>IF(N348&lt;0.01,0,IF(Adm!$S$5=Adm!$S$8,0,Adm!$AA$11*Adm!$X$4))</f>
        <v>0</v>
      </c>
      <c r="J349" s="2145">
        <f>IF(N348&lt;0.01,0,Adm!$Q$4*1.16)</f>
        <v>0</v>
      </c>
      <c r="K349" s="2145">
        <f>IF(N348&lt;0.01,0,IF(Adm!$O$4&gt;0,E349*Adm!$O$4,0))</f>
        <v>0</v>
      </c>
      <c r="L349" s="2145">
        <f t="shared" si="136"/>
        <v>0</v>
      </c>
      <c r="M349" s="2145">
        <f>IF(Adm!$G$4="si",MIN(N348+E349+H349+I349+J349-L349,Z349),0)</f>
        <v>0</v>
      </c>
      <c r="N349" s="2145">
        <f t="shared" si="137"/>
        <v>0</v>
      </c>
      <c r="O349" s="2147"/>
      <c r="V349" s="1352">
        <f t="shared" si="156"/>
        <v>10</v>
      </c>
      <c r="W349" s="1367">
        <f>IF(V349=1,Cal!$AB$127,0)</f>
        <v>0</v>
      </c>
      <c r="Y349" s="1368">
        <f t="shared" si="157"/>
        <v>0</v>
      </c>
      <c r="Z349" s="1369">
        <f t="shared" ca="1" si="138"/>
        <v>0</v>
      </c>
      <c r="AB349" s="1963">
        <f t="shared" si="139"/>
        <v>0</v>
      </c>
      <c r="AC349" s="1963">
        <f t="shared" si="140"/>
        <v>0</v>
      </c>
      <c r="AD349" s="1963">
        <f t="shared" si="141"/>
        <v>0</v>
      </c>
      <c r="AE349" s="1963">
        <f t="shared" si="142"/>
        <v>0</v>
      </c>
      <c r="AF349" s="1963">
        <f t="shared" si="143"/>
        <v>0</v>
      </c>
      <c r="AG349" s="1964" t="e">
        <f>HLOOKUP($AG$83,anticipado,263,0)</f>
        <v>#N/A</v>
      </c>
      <c r="AI349" s="1966">
        <f t="shared" si="144"/>
        <v>0</v>
      </c>
      <c r="AJ349" s="1361">
        <f t="shared" si="145"/>
        <v>262</v>
      </c>
      <c r="AK349" s="1362">
        <f t="shared" si="146"/>
        <v>0</v>
      </c>
      <c r="AL349" s="1362">
        <f t="shared" si="147"/>
        <v>0</v>
      </c>
      <c r="AM349" s="1362">
        <f t="shared" si="153"/>
        <v>0</v>
      </c>
      <c r="AN349" s="1363">
        <f t="shared" si="148"/>
        <v>1000000</v>
      </c>
      <c r="AQ349" s="1361" t="str">
        <f t="shared" si="149"/>
        <v/>
      </c>
      <c r="AR349" s="1362">
        <f t="shared" si="150"/>
        <v>0</v>
      </c>
      <c r="AS349" s="1362">
        <f t="shared" si="151"/>
        <v>0</v>
      </c>
      <c r="AT349" s="1362">
        <f t="shared" si="154"/>
        <v>0</v>
      </c>
      <c r="AU349" s="1363">
        <f t="shared" si="152"/>
        <v>0</v>
      </c>
    </row>
    <row r="350" spans="1:47">
      <c r="A350" s="1118">
        <f t="shared" ca="1" si="155"/>
        <v>2</v>
      </c>
      <c r="B350" s="1351">
        <f t="shared" si="130"/>
        <v>0</v>
      </c>
      <c r="C350" s="2143">
        <f t="shared" si="131"/>
        <v>0</v>
      </c>
      <c r="D350" s="2144">
        <f t="shared" si="132"/>
        <v>0</v>
      </c>
      <c r="E350" s="2145">
        <f t="shared" si="133"/>
        <v>0</v>
      </c>
      <c r="F350" s="2145">
        <f t="shared" si="134"/>
        <v>0</v>
      </c>
      <c r="G350" s="2145">
        <f t="shared" si="135"/>
        <v>0</v>
      </c>
      <c r="H350" s="2145">
        <f>IF(N349&lt;0.01,0,IF(Adm!$S$4=Adm!$S$8,0,N349*Adm!$V$4))</f>
        <v>0</v>
      </c>
      <c r="I350" s="2145">
        <f>IF(N349&lt;0.01,0,IF(Adm!$S$5=Adm!$S$8,0,Adm!$AA$11*Adm!$X$4))</f>
        <v>0</v>
      </c>
      <c r="J350" s="2145">
        <f>IF(N349&lt;0.01,0,Adm!$Q$4*1.16)</f>
        <v>0</v>
      </c>
      <c r="K350" s="2145">
        <f>IF(N349&lt;0.01,0,IF(Adm!$O$4&gt;0,E350*Adm!$O$4,0))</f>
        <v>0</v>
      </c>
      <c r="L350" s="2145">
        <f t="shared" si="136"/>
        <v>0</v>
      </c>
      <c r="M350" s="2145">
        <f>IF(Adm!$G$4="si",MIN(N349+E350+H350+I350+J350-L350,Z350),0)</f>
        <v>0</v>
      </c>
      <c r="N350" s="2145">
        <f t="shared" si="137"/>
        <v>0</v>
      </c>
      <c r="O350" s="2147"/>
      <c r="V350" s="1352">
        <f t="shared" si="156"/>
        <v>11</v>
      </c>
      <c r="W350" s="1367">
        <f>IF(V350=1,Cal!$AB$127,0)</f>
        <v>0</v>
      </c>
      <c r="Y350" s="1368">
        <f t="shared" si="157"/>
        <v>0</v>
      </c>
      <c r="Z350" s="1369">
        <f t="shared" ca="1" si="138"/>
        <v>0</v>
      </c>
      <c r="AB350" s="1963">
        <f t="shared" si="139"/>
        <v>0</v>
      </c>
      <c r="AC350" s="1963">
        <f t="shared" si="140"/>
        <v>0</v>
      </c>
      <c r="AD350" s="1963">
        <f t="shared" si="141"/>
        <v>0</v>
      </c>
      <c r="AE350" s="1963">
        <f t="shared" si="142"/>
        <v>0</v>
      </c>
      <c r="AF350" s="1963">
        <f t="shared" si="143"/>
        <v>0</v>
      </c>
      <c r="AG350" s="1964" t="e">
        <f>HLOOKUP($AG$83,anticipado,264,0)</f>
        <v>#N/A</v>
      </c>
      <c r="AI350" s="1966">
        <f t="shared" si="144"/>
        <v>0</v>
      </c>
      <c r="AJ350" s="1361">
        <f t="shared" si="145"/>
        <v>263</v>
      </c>
      <c r="AK350" s="1362">
        <f t="shared" si="146"/>
        <v>0</v>
      </c>
      <c r="AL350" s="1362">
        <f t="shared" si="147"/>
        <v>0</v>
      </c>
      <c r="AM350" s="1362">
        <f t="shared" si="153"/>
        <v>0</v>
      </c>
      <c r="AN350" s="1363">
        <f t="shared" si="148"/>
        <v>1000000</v>
      </c>
      <c r="AQ350" s="1361" t="str">
        <f t="shared" si="149"/>
        <v/>
      </c>
      <c r="AR350" s="1362">
        <f t="shared" si="150"/>
        <v>0</v>
      </c>
      <c r="AS350" s="1362">
        <f t="shared" si="151"/>
        <v>0</v>
      </c>
      <c r="AT350" s="1362">
        <f t="shared" si="154"/>
        <v>0</v>
      </c>
      <c r="AU350" s="1363">
        <f t="shared" si="152"/>
        <v>0</v>
      </c>
    </row>
    <row r="351" spans="1:47">
      <c r="A351" s="1118">
        <f t="shared" ca="1" si="155"/>
        <v>3</v>
      </c>
      <c r="B351" s="1351">
        <f t="shared" si="130"/>
        <v>0</v>
      </c>
      <c r="C351" s="2143">
        <f t="shared" si="131"/>
        <v>0</v>
      </c>
      <c r="D351" s="2144">
        <f t="shared" si="132"/>
        <v>0</v>
      </c>
      <c r="E351" s="2145">
        <f t="shared" si="133"/>
        <v>0</v>
      </c>
      <c r="F351" s="2145">
        <f t="shared" si="134"/>
        <v>0</v>
      </c>
      <c r="G351" s="2145">
        <f t="shared" si="135"/>
        <v>0</v>
      </c>
      <c r="H351" s="2145">
        <f>IF(N350&lt;0.01,0,IF(Adm!$S$4=Adm!$S$8,0,N350*Adm!$V$4))</f>
        <v>0</v>
      </c>
      <c r="I351" s="2145">
        <f>IF(N350&lt;0.01,0,IF(Adm!$S$5=Adm!$S$8,0,Adm!$AA$11*Adm!$X$4))</f>
        <v>0</v>
      </c>
      <c r="J351" s="2145">
        <f>IF(N350&lt;0.01,0,Adm!$Q$4*1.16)</f>
        <v>0</v>
      </c>
      <c r="K351" s="2145">
        <f>IF(N350&lt;0.01,0,IF(Adm!$O$4&gt;0,E351*Adm!$O$4,0))</f>
        <v>0</v>
      </c>
      <c r="L351" s="2145">
        <f t="shared" si="136"/>
        <v>0</v>
      </c>
      <c r="M351" s="2145">
        <f>IF(Adm!$G$4="si",MIN(N350+E351+H351+I351+J351-L351,Z351),0)</f>
        <v>0</v>
      </c>
      <c r="N351" s="2145">
        <f t="shared" si="137"/>
        <v>0</v>
      </c>
      <c r="O351" s="2147"/>
      <c r="V351" s="1352">
        <f t="shared" si="156"/>
        <v>12</v>
      </c>
      <c r="W351" s="1367">
        <f>IF(V351=1,Cal!$AB$127,0)</f>
        <v>0</v>
      </c>
      <c r="Y351" s="1368">
        <f t="shared" si="157"/>
        <v>0</v>
      </c>
      <c r="Z351" s="1369">
        <f t="shared" ca="1" si="138"/>
        <v>0</v>
      </c>
      <c r="AB351" s="1963">
        <f t="shared" si="139"/>
        <v>0</v>
      </c>
      <c r="AC351" s="1963">
        <f t="shared" si="140"/>
        <v>0</v>
      </c>
      <c r="AD351" s="1963">
        <f t="shared" si="141"/>
        <v>0</v>
      </c>
      <c r="AE351" s="1963">
        <f t="shared" si="142"/>
        <v>0</v>
      </c>
      <c r="AF351" s="1963">
        <f t="shared" si="143"/>
        <v>0</v>
      </c>
      <c r="AG351" s="1964" t="e">
        <f>HLOOKUP($AG$83,anticipado,265,0)</f>
        <v>#N/A</v>
      </c>
      <c r="AI351" s="1966">
        <f t="shared" si="144"/>
        <v>0</v>
      </c>
      <c r="AJ351" s="1361">
        <f t="shared" si="145"/>
        <v>264</v>
      </c>
      <c r="AK351" s="1362">
        <f t="shared" si="146"/>
        <v>0</v>
      </c>
      <c r="AL351" s="1362">
        <f t="shared" si="147"/>
        <v>0</v>
      </c>
      <c r="AM351" s="1362">
        <f t="shared" si="153"/>
        <v>0</v>
      </c>
      <c r="AN351" s="1363">
        <f t="shared" si="148"/>
        <v>1000000</v>
      </c>
      <c r="AQ351" s="1361" t="str">
        <f t="shared" si="149"/>
        <v/>
      </c>
      <c r="AR351" s="1362">
        <f t="shared" si="150"/>
        <v>0</v>
      </c>
      <c r="AS351" s="1362">
        <f t="shared" si="151"/>
        <v>0</v>
      </c>
      <c r="AT351" s="1362">
        <f t="shared" si="154"/>
        <v>0</v>
      </c>
      <c r="AU351" s="1363">
        <f t="shared" si="152"/>
        <v>0</v>
      </c>
    </row>
    <row r="352" spans="1:47">
      <c r="A352" s="1118">
        <f t="shared" ca="1" si="155"/>
        <v>4</v>
      </c>
      <c r="B352" s="1351">
        <f t="shared" si="130"/>
        <v>0</v>
      </c>
      <c r="C352" s="2143">
        <f t="shared" si="131"/>
        <v>0</v>
      </c>
      <c r="D352" s="2144">
        <f t="shared" si="132"/>
        <v>0</v>
      </c>
      <c r="E352" s="2145">
        <f t="shared" si="133"/>
        <v>0</v>
      </c>
      <c r="F352" s="2145">
        <f t="shared" si="134"/>
        <v>0</v>
      </c>
      <c r="G352" s="2145">
        <f t="shared" si="135"/>
        <v>0</v>
      </c>
      <c r="H352" s="2145">
        <f>IF(N351&lt;0.01,0,IF(Adm!$S$4=Adm!$S$8,0,N351*Adm!$V$4))</f>
        <v>0</v>
      </c>
      <c r="I352" s="2145">
        <f>IF(N351&lt;0.01,0,IF(Adm!$S$5=Adm!$S$8,0,Adm!$AA$11*Adm!$X$4))</f>
        <v>0</v>
      </c>
      <c r="J352" s="2145">
        <f>IF(N351&lt;0.01,0,Adm!$Q$4*1.16)</f>
        <v>0</v>
      </c>
      <c r="K352" s="2145">
        <f>IF(N351&lt;0.01,0,IF(Adm!$O$4&gt;0,E352*Adm!$O$4,0))</f>
        <v>0</v>
      </c>
      <c r="L352" s="2145">
        <f t="shared" si="136"/>
        <v>0</v>
      </c>
      <c r="M352" s="2145">
        <f>IF(Adm!$G$4="si",MIN(N351+E352+H352+I352+J352-L352,Z352),0)</f>
        <v>0</v>
      </c>
      <c r="N352" s="2145">
        <f t="shared" si="137"/>
        <v>0</v>
      </c>
      <c r="O352" s="2147"/>
      <c r="V352" s="1352">
        <f t="shared" si="156"/>
        <v>1</v>
      </c>
      <c r="W352" s="1367">
        <f>IF(V352=1,Cal!$AB$127,0)</f>
        <v>0</v>
      </c>
      <c r="Y352" s="1368">
        <f t="shared" si="157"/>
        <v>0</v>
      </c>
      <c r="Z352" s="1369">
        <f t="shared" ca="1" si="138"/>
        <v>0</v>
      </c>
      <c r="AB352" s="1963">
        <f t="shared" si="139"/>
        <v>0</v>
      </c>
      <c r="AC352" s="1963">
        <f t="shared" si="140"/>
        <v>0</v>
      </c>
      <c r="AD352" s="1963">
        <f t="shared" si="141"/>
        <v>0</v>
      </c>
      <c r="AE352" s="1963">
        <f t="shared" si="142"/>
        <v>0</v>
      </c>
      <c r="AF352" s="1963">
        <f t="shared" si="143"/>
        <v>0</v>
      </c>
      <c r="AG352" s="1964" t="e">
        <f>HLOOKUP($AG$83,anticipado,266,0)</f>
        <v>#N/A</v>
      </c>
      <c r="AI352" s="1966">
        <f t="shared" si="144"/>
        <v>0</v>
      </c>
      <c r="AJ352" s="1377">
        <f t="shared" si="145"/>
        <v>265</v>
      </c>
      <c r="AK352" s="1378">
        <f t="shared" si="146"/>
        <v>0</v>
      </c>
      <c r="AL352" s="1378">
        <f t="shared" si="147"/>
        <v>0</v>
      </c>
      <c r="AM352" s="1378">
        <f>MIN(AN351+AK352,AM351*(1+$AK$83))</f>
        <v>0</v>
      </c>
      <c r="AN352" s="1363">
        <f t="shared" si="148"/>
        <v>1000000</v>
      </c>
      <c r="AQ352" s="1379" t="str">
        <f t="shared" si="149"/>
        <v/>
      </c>
      <c r="AR352" s="1380">
        <f t="shared" si="150"/>
        <v>0</v>
      </c>
      <c r="AS352" s="1380">
        <f t="shared" si="151"/>
        <v>0</v>
      </c>
      <c r="AT352" s="1380">
        <f>MIN(AU351+AR352,AT351*(1+$AR$83))</f>
        <v>0</v>
      </c>
      <c r="AU352" s="1363">
        <f t="shared" si="152"/>
        <v>0</v>
      </c>
    </row>
    <row r="353" spans="1:47">
      <c r="A353" s="1118">
        <f t="shared" ca="1" si="155"/>
        <v>5</v>
      </c>
      <c r="B353" s="1351">
        <f t="shared" si="130"/>
        <v>0</v>
      </c>
      <c r="C353" s="2143">
        <f t="shared" si="131"/>
        <v>0</v>
      </c>
      <c r="D353" s="2144">
        <f t="shared" si="132"/>
        <v>0</v>
      </c>
      <c r="E353" s="2145">
        <f t="shared" si="133"/>
        <v>0</v>
      </c>
      <c r="F353" s="2145">
        <f t="shared" si="134"/>
        <v>0</v>
      </c>
      <c r="G353" s="2145">
        <f t="shared" si="135"/>
        <v>0</v>
      </c>
      <c r="H353" s="2145">
        <f>IF(N352&lt;0.01,0,IF(Adm!$S$4=Adm!$S$8,0,N352*Adm!$V$4))</f>
        <v>0</v>
      </c>
      <c r="I353" s="2145">
        <f>IF(N352&lt;0.01,0,IF(Adm!$S$5=Adm!$S$8,0,Adm!$AA$11*Adm!$X$4))</f>
        <v>0</v>
      </c>
      <c r="J353" s="2145">
        <f>IF(N352&lt;0.01,0,Adm!$Q$4*1.16)</f>
        <v>0</v>
      </c>
      <c r="K353" s="2145">
        <f>IF(N352&lt;0.01,0,IF(Adm!$O$4&gt;0,E353*Adm!$O$4,0))</f>
        <v>0</v>
      </c>
      <c r="L353" s="2145">
        <f t="shared" si="136"/>
        <v>0</v>
      </c>
      <c r="M353" s="2145">
        <f>IF(Adm!$G$4="si",MIN(N352+E353+H353+I353+J353-L353,Z353),0)</f>
        <v>0</v>
      </c>
      <c r="N353" s="2145">
        <f t="shared" si="137"/>
        <v>0</v>
      </c>
      <c r="O353" s="2147"/>
      <c r="V353" s="1352">
        <f t="shared" si="156"/>
        <v>2</v>
      </c>
      <c r="W353" s="1367">
        <f>IF(V353=1,Cal!$AB$127,0)</f>
        <v>0</v>
      </c>
      <c r="Y353" s="1368">
        <f t="shared" si="157"/>
        <v>0</v>
      </c>
      <c r="Z353" s="1369">
        <f t="shared" ca="1" si="138"/>
        <v>0</v>
      </c>
      <c r="AB353" s="1963">
        <f t="shared" si="139"/>
        <v>0</v>
      </c>
      <c r="AC353" s="1963">
        <f t="shared" si="140"/>
        <v>0</v>
      </c>
      <c r="AD353" s="1963">
        <f t="shared" si="141"/>
        <v>0</v>
      </c>
      <c r="AE353" s="1963">
        <f t="shared" si="142"/>
        <v>0</v>
      </c>
      <c r="AF353" s="1963">
        <f t="shared" si="143"/>
        <v>0</v>
      </c>
      <c r="AG353" s="1964" t="e">
        <f>HLOOKUP($AG$83,anticipado,267,0)</f>
        <v>#N/A</v>
      </c>
      <c r="AI353" s="1966">
        <f t="shared" si="144"/>
        <v>0</v>
      </c>
      <c r="AJ353" s="1361">
        <f t="shared" si="145"/>
        <v>266</v>
      </c>
      <c r="AK353" s="1362">
        <f t="shared" si="146"/>
        <v>0</v>
      </c>
      <c r="AL353" s="1362">
        <f t="shared" si="147"/>
        <v>0</v>
      </c>
      <c r="AM353" s="1362">
        <f t="shared" si="153"/>
        <v>0</v>
      </c>
      <c r="AN353" s="1363">
        <f t="shared" si="148"/>
        <v>1000000</v>
      </c>
      <c r="AQ353" s="1361" t="str">
        <f t="shared" si="149"/>
        <v/>
      </c>
      <c r="AR353" s="1362">
        <f t="shared" si="150"/>
        <v>0</v>
      </c>
      <c r="AS353" s="1362">
        <f t="shared" si="151"/>
        <v>0</v>
      </c>
      <c r="AT353" s="1362">
        <f t="shared" si="154"/>
        <v>0</v>
      </c>
      <c r="AU353" s="1363">
        <f t="shared" si="152"/>
        <v>0</v>
      </c>
    </row>
    <row r="354" spans="1:47">
      <c r="A354" s="1118">
        <f t="shared" ca="1" si="155"/>
        <v>6</v>
      </c>
      <c r="B354" s="1351">
        <f t="shared" si="130"/>
        <v>0</v>
      </c>
      <c r="C354" s="2143">
        <f t="shared" si="131"/>
        <v>0</v>
      </c>
      <c r="D354" s="2144">
        <f t="shared" si="132"/>
        <v>0</v>
      </c>
      <c r="E354" s="2145">
        <f t="shared" si="133"/>
        <v>0</v>
      </c>
      <c r="F354" s="2145">
        <f t="shared" si="134"/>
        <v>0</v>
      </c>
      <c r="G354" s="2145">
        <f t="shared" si="135"/>
        <v>0</v>
      </c>
      <c r="H354" s="2145">
        <f>IF(N353&lt;0.01,0,IF(Adm!$S$4=Adm!$S$8,0,N353*Adm!$V$4))</f>
        <v>0</v>
      </c>
      <c r="I354" s="2145">
        <f>IF(N353&lt;0.01,0,IF(Adm!$S$5=Adm!$S$8,0,Adm!$AA$11*Adm!$X$4))</f>
        <v>0</v>
      </c>
      <c r="J354" s="2145">
        <f>IF(N353&lt;0.01,0,Adm!$Q$4*1.16)</f>
        <v>0</v>
      </c>
      <c r="K354" s="2145">
        <f>IF(N353&lt;0.01,0,IF(Adm!$O$4&gt;0,E354*Adm!$O$4,0))</f>
        <v>0</v>
      </c>
      <c r="L354" s="2145">
        <f t="shared" si="136"/>
        <v>0</v>
      </c>
      <c r="M354" s="2145">
        <f>IF(Adm!$G$4="si",MIN(N353+E354+H354+I354+J354-L354,Z354),0)</f>
        <v>0</v>
      </c>
      <c r="N354" s="2145">
        <f t="shared" si="137"/>
        <v>0</v>
      </c>
      <c r="O354" s="2147"/>
      <c r="V354" s="1352">
        <f t="shared" si="156"/>
        <v>3</v>
      </c>
      <c r="W354" s="1367">
        <f>IF(V354=1,Cal!$AB$127,0)</f>
        <v>0</v>
      </c>
      <c r="Y354" s="1368">
        <f t="shared" si="157"/>
        <v>0</v>
      </c>
      <c r="Z354" s="1369">
        <f t="shared" ca="1" si="138"/>
        <v>0</v>
      </c>
      <c r="AB354" s="1963">
        <f t="shared" si="139"/>
        <v>0</v>
      </c>
      <c r="AC354" s="1963">
        <f t="shared" si="140"/>
        <v>0</v>
      </c>
      <c r="AD354" s="1963">
        <f t="shared" si="141"/>
        <v>0</v>
      </c>
      <c r="AE354" s="1963">
        <f t="shared" si="142"/>
        <v>0</v>
      </c>
      <c r="AF354" s="1963">
        <f t="shared" si="143"/>
        <v>0</v>
      </c>
      <c r="AG354" s="1964" t="e">
        <f>HLOOKUP($AG$83,anticipado,268,0)</f>
        <v>#N/A</v>
      </c>
      <c r="AI354" s="1966">
        <f t="shared" si="144"/>
        <v>0</v>
      </c>
      <c r="AJ354" s="1361">
        <f t="shared" si="145"/>
        <v>267</v>
      </c>
      <c r="AK354" s="1362">
        <f t="shared" si="146"/>
        <v>0</v>
      </c>
      <c r="AL354" s="1362">
        <f t="shared" si="147"/>
        <v>0</v>
      </c>
      <c r="AM354" s="1362">
        <f t="shared" si="153"/>
        <v>0</v>
      </c>
      <c r="AN354" s="1363">
        <f t="shared" si="148"/>
        <v>1000000</v>
      </c>
      <c r="AQ354" s="1361" t="str">
        <f t="shared" si="149"/>
        <v/>
      </c>
      <c r="AR354" s="1362">
        <f t="shared" si="150"/>
        <v>0</v>
      </c>
      <c r="AS354" s="1362">
        <f t="shared" si="151"/>
        <v>0</v>
      </c>
      <c r="AT354" s="1362">
        <f t="shared" si="154"/>
        <v>0</v>
      </c>
      <c r="AU354" s="1363">
        <f t="shared" si="152"/>
        <v>0</v>
      </c>
    </row>
    <row r="355" spans="1:47">
      <c r="A355" s="1118">
        <f t="shared" ca="1" si="155"/>
        <v>7</v>
      </c>
      <c r="B355" s="1351">
        <f t="shared" si="130"/>
        <v>0</v>
      </c>
      <c r="C355" s="2143">
        <f t="shared" si="131"/>
        <v>0</v>
      </c>
      <c r="D355" s="2144">
        <f t="shared" si="132"/>
        <v>0</v>
      </c>
      <c r="E355" s="2145">
        <f t="shared" si="133"/>
        <v>0</v>
      </c>
      <c r="F355" s="2145">
        <f t="shared" si="134"/>
        <v>0</v>
      </c>
      <c r="G355" s="2145">
        <f t="shared" si="135"/>
        <v>0</v>
      </c>
      <c r="H355" s="2145">
        <f>IF(N354&lt;0.01,0,IF(Adm!$S$4=Adm!$S$8,0,N354*Adm!$V$4))</f>
        <v>0</v>
      </c>
      <c r="I355" s="2145">
        <f>IF(N354&lt;0.01,0,IF(Adm!$S$5=Adm!$S$8,0,Adm!$AA$11*Adm!$X$4))</f>
        <v>0</v>
      </c>
      <c r="J355" s="2145">
        <f>IF(N354&lt;0.01,0,Adm!$Q$4*1.16)</f>
        <v>0</v>
      </c>
      <c r="K355" s="2145">
        <f>IF(N354&lt;0.01,0,IF(Adm!$O$4&gt;0,E355*Adm!$O$4,0))</f>
        <v>0</v>
      </c>
      <c r="L355" s="2145">
        <f t="shared" si="136"/>
        <v>0</v>
      </c>
      <c r="M355" s="2145">
        <f>IF(Adm!$G$4="si",MIN(N354+E355+H355+I355+J355-L355,Z355),0)</f>
        <v>0</v>
      </c>
      <c r="N355" s="2145">
        <f t="shared" si="137"/>
        <v>0</v>
      </c>
      <c r="O355" s="2147"/>
      <c r="V355" s="1352">
        <f t="shared" si="156"/>
        <v>4</v>
      </c>
      <c r="W355" s="1367">
        <f>IF(V355=1,Cal!$AB$127,0)</f>
        <v>0</v>
      </c>
      <c r="Y355" s="1368">
        <f t="shared" si="157"/>
        <v>0</v>
      </c>
      <c r="Z355" s="1369">
        <f t="shared" ca="1" si="138"/>
        <v>0</v>
      </c>
      <c r="AB355" s="1963">
        <f t="shared" si="139"/>
        <v>0</v>
      </c>
      <c r="AC355" s="1963">
        <f t="shared" si="140"/>
        <v>0</v>
      </c>
      <c r="AD355" s="1963">
        <f t="shared" si="141"/>
        <v>0</v>
      </c>
      <c r="AE355" s="1963">
        <f t="shared" si="142"/>
        <v>0</v>
      </c>
      <c r="AF355" s="1963">
        <f t="shared" si="143"/>
        <v>0</v>
      </c>
      <c r="AG355" s="1964" t="e">
        <f>HLOOKUP($AG$83,anticipado,269,0)</f>
        <v>#N/A</v>
      </c>
      <c r="AI355" s="1966">
        <f t="shared" si="144"/>
        <v>0</v>
      </c>
      <c r="AJ355" s="1361">
        <f t="shared" si="145"/>
        <v>268</v>
      </c>
      <c r="AK355" s="1362">
        <f t="shared" si="146"/>
        <v>0</v>
      </c>
      <c r="AL355" s="1362">
        <f t="shared" si="147"/>
        <v>0</v>
      </c>
      <c r="AM355" s="1362">
        <f t="shared" si="153"/>
        <v>0</v>
      </c>
      <c r="AN355" s="1363">
        <f t="shared" si="148"/>
        <v>1000000</v>
      </c>
      <c r="AQ355" s="1361" t="str">
        <f t="shared" si="149"/>
        <v/>
      </c>
      <c r="AR355" s="1362">
        <f t="shared" si="150"/>
        <v>0</v>
      </c>
      <c r="AS355" s="1362">
        <f t="shared" si="151"/>
        <v>0</v>
      </c>
      <c r="AT355" s="1362">
        <f t="shared" si="154"/>
        <v>0</v>
      </c>
      <c r="AU355" s="1363">
        <f t="shared" si="152"/>
        <v>0</v>
      </c>
    </row>
    <row r="356" spans="1:47">
      <c r="A356" s="1118">
        <f t="shared" ca="1" si="155"/>
        <v>8</v>
      </c>
      <c r="B356" s="1351">
        <f t="shared" si="130"/>
        <v>0</v>
      </c>
      <c r="C356" s="2143">
        <f t="shared" si="131"/>
        <v>0</v>
      </c>
      <c r="D356" s="2144">
        <f t="shared" si="132"/>
        <v>0</v>
      </c>
      <c r="E356" s="2145">
        <f t="shared" si="133"/>
        <v>0</v>
      </c>
      <c r="F356" s="2145">
        <f t="shared" si="134"/>
        <v>0</v>
      </c>
      <c r="G356" s="2145">
        <f t="shared" si="135"/>
        <v>0</v>
      </c>
      <c r="H356" s="2145">
        <f>IF(N355&lt;0.01,0,IF(Adm!$S$4=Adm!$S$8,0,N355*Adm!$V$4))</f>
        <v>0</v>
      </c>
      <c r="I356" s="2145">
        <f>IF(N355&lt;0.01,0,IF(Adm!$S$5=Adm!$S$8,0,Adm!$AA$11*Adm!$X$4))</f>
        <v>0</v>
      </c>
      <c r="J356" s="2145">
        <f>IF(N355&lt;0.01,0,Adm!$Q$4*1.16)</f>
        <v>0</v>
      </c>
      <c r="K356" s="2145">
        <f>IF(N355&lt;0.01,0,IF(Adm!$O$4&gt;0,E356*Adm!$O$4,0))</f>
        <v>0</v>
      </c>
      <c r="L356" s="2145">
        <f t="shared" si="136"/>
        <v>0</v>
      </c>
      <c r="M356" s="2145">
        <f>IF(Adm!$G$4="si",MIN(N355+E356+H356+I356+J356-L356,Z356),0)</f>
        <v>0</v>
      </c>
      <c r="N356" s="2145">
        <f t="shared" si="137"/>
        <v>0</v>
      </c>
      <c r="O356" s="2147"/>
      <c r="V356" s="1352">
        <f t="shared" si="156"/>
        <v>5</v>
      </c>
      <c r="W356" s="1367">
        <f>IF(V356=1,Cal!$AB$127,0)</f>
        <v>0</v>
      </c>
      <c r="Y356" s="1368">
        <f t="shared" si="157"/>
        <v>0</v>
      </c>
      <c r="Z356" s="1369">
        <f t="shared" ca="1" si="138"/>
        <v>0</v>
      </c>
      <c r="AB356" s="1963">
        <f t="shared" si="139"/>
        <v>0</v>
      </c>
      <c r="AC356" s="1963">
        <f t="shared" si="140"/>
        <v>0</v>
      </c>
      <c r="AD356" s="1963">
        <f t="shared" si="141"/>
        <v>0</v>
      </c>
      <c r="AE356" s="1963">
        <f t="shared" si="142"/>
        <v>0</v>
      </c>
      <c r="AF356" s="1963">
        <f t="shared" si="143"/>
        <v>0</v>
      </c>
      <c r="AG356" s="1964" t="e">
        <f>HLOOKUP($AG$83,anticipado,270,0)</f>
        <v>#N/A</v>
      </c>
      <c r="AI356" s="1966">
        <f t="shared" si="144"/>
        <v>0</v>
      </c>
      <c r="AJ356" s="1361">
        <f t="shared" si="145"/>
        <v>269</v>
      </c>
      <c r="AK356" s="1362">
        <f t="shared" si="146"/>
        <v>0</v>
      </c>
      <c r="AL356" s="1362">
        <f t="shared" si="147"/>
        <v>0</v>
      </c>
      <c r="AM356" s="1362">
        <f t="shared" si="153"/>
        <v>0</v>
      </c>
      <c r="AN356" s="1363">
        <f t="shared" si="148"/>
        <v>1000000</v>
      </c>
      <c r="AQ356" s="1361" t="str">
        <f t="shared" si="149"/>
        <v/>
      </c>
      <c r="AR356" s="1362">
        <f t="shared" si="150"/>
        <v>0</v>
      </c>
      <c r="AS356" s="1362">
        <f t="shared" si="151"/>
        <v>0</v>
      </c>
      <c r="AT356" s="1362">
        <f t="shared" si="154"/>
        <v>0</v>
      </c>
      <c r="AU356" s="1363">
        <f t="shared" si="152"/>
        <v>0</v>
      </c>
    </row>
    <row r="357" spans="1:47">
      <c r="A357" s="1118">
        <f t="shared" ca="1" si="155"/>
        <v>9</v>
      </c>
      <c r="B357" s="1351">
        <f t="shared" si="130"/>
        <v>0</v>
      </c>
      <c r="C357" s="2143">
        <f t="shared" si="131"/>
        <v>0</v>
      </c>
      <c r="D357" s="2144">
        <f t="shared" si="132"/>
        <v>0</v>
      </c>
      <c r="E357" s="2145">
        <f t="shared" si="133"/>
        <v>0</v>
      </c>
      <c r="F357" s="2145">
        <f t="shared" si="134"/>
        <v>0</v>
      </c>
      <c r="G357" s="2145">
        <f t="shared" si="135"/>
        <v>0</v>
      </c>
      <c r="H357" s="2145">
        <f>IF(N356&lt;0.01,0,IF(Adm!$S$4=Adm!$S$8,0,N356*Adm!$V$4))</f>
        <v>0</v>
      </c>
      <c r="I357" s="2145">
        <f>IF(N356&lt;0.01,0,IF(Adm!$S$5=Adm!$S$8,0,Adm!$AA$11*Adm!$X$4))</f>
        <v>0</v>
      </c>
      <c r="J357" s="2145">
        <f>IF(N356&lt;0.01,0,Adm!$Q$4*1.16)</f>
        <v>0</v>
      </c>
      <c r="K357" s="2145">
        <f>IF(N356&lt;0.01,0,IF(Adm!$O$4&gt;0,E357*Adm!$O$4,0))</f>
        <v>0</v>
      </c>
      <c r="L357" s="2145">
        <f t="shared" si="136"/>
        <v>0</v>
      </c>
      <c r="M357" s="2145">
        <f>IF(Adm!$G$4="si",MIN(N356+E357+H357+I357+J357-L357,Z357),0)</f>
        <v>0</v>
      </c>
      <c r="N357" s="2145">
        <f t="shared" si="137"/>
        <v>0</v>
      </c>
      <c r="O357" s="2147"/>
      <c r="V357" s="1352">
        <f t="shared" si="156"/>
        <v>6</v>
      </c>
      <c r="W357" s="1367">
        <f>IF(V357=1,Cal!$AB$127,0)</f>
        <v>0</v>
      </c>
      <c r="Y357" s="1368">
        <f t="shared" si="157"/>
        <v>0</v>
      </c>
      <c r="Z357" s="1369">
        <f t="shared" ca="1" si="138"/>
        <v>0</v>
      </c>
      <c r="AB357" s="1963">
        <f t="shared" si="139"/>
        <v>0</v>
      </c>
      <c r="AC357" s="1963">
        <f t="shared" si="140"/>
        <v>0</v>
      </c>
      <c r="AD357" s="1963">
        <f t="shared" si="141"/>
        <v>0</v>
      </c>
      <c r="AE357" s="1963">
        <f t="shared" si="142"/>
        <v>0</v>
      </c>
      <c r="AF357" s="1963">
        <f t="shared" si="143"/>
        <v>0</v>
      </c>
      <c r="AG357" s="1964" t="e">
        <f>HLOOKUP($AG$83,anticipado,271,0)</f>
        <v>#N/A</v>
      </c>
      <c r="AI357" s="1966">
        <f t="shared" si="144"/>
        <v>0</v>
      </c>
      <c r="AJ357" s="1361">
        <f t="shared" si="145"/>
        <v>270</v>
      </c>
      <c r="AK357" s="1362">
        <f t="shared" si="146"/>
        <v>0</v>
      </c>
      <c r="AL357" s="1362">
        <f t="shared" si="147"/>
        <v>0</v>
      </c>
      <c r="AM357" s="1362">
        <f t="shared" si="153"/>
        <v>0</v>
      </c>
      <c r="AN357" s="1363">
        <f t="shared" si="148"/>
        <v>1000000</v>
      </c>
      <c r="AQ357" s="1361" t="str">
        <f t="shared" si="149"/>
        <v/>
      </c>
      <c r="AR357" s="1362">
        <f t="shared" si="150"/>
        <v>0</v>
      </c>
      <c r="AS357" s="1362">
        <f t="shared" si="151"/>
        <v>0</v>
      </c>
      <c r="AT357" s="1362">
        <f t="shared" si="154"/>
        <v>0</v>
      </c>
      <c r="AU357" s="1363">
        <f t="shared" si="152"/>
        <v>0</v>
      </c>
    </row>
    <row r="358" spans="1:47">
      <c r="A358" s="1118">
        <f t="shared" ca="1" si="155"/>
        <v>10</v>
      </c>
      <c r="B358" s="1351">
        <f t="shared" si="130"/>
        <v>0</v>
      </c>
      <c r="C358" s="2143">
        <f t="shared" si="131"/>
        <v>0</v>
      </c>
      <c r="D358" s="2144">
        <f t="shared" si="132"/>
        <v>0</v>
      </c>
      <c r="E358" s="2145">
        <f t="shared" si="133"/>
        <v>0</v>
      </c>
      <c r="F358" s="2145">
        <f t="shared" si="134"/>
        <v>0</v>
      </c>
      <c r="G358" s="2145">
        <f t="shared" si="135"/>
        <v>0</v>
      </c>
      <c r="H358" s="2145">
        <f>IF(N357&lt;0.01,0,IF(Adm!$S$4=Adm!$S$8,0,N357*Adm!$V$4))</f>
        <v>0</v>
      </c>
      <c r="I358" s="2145">
        <f>IF(N357&lt;0.01,0,IF(Adm!$S$5=Adm!$S$8,0,Adm!$AA$11*Adm!$X$4))</f>
        <v>0</v>
      </c>
      <c r="J358" s="2145">
        <f>IF(N357&lt;0.01,0,Adm!$Q$4*1.16)</f>
        <v>0</v>
      </c>
      <c r="K358" s="2145">
        <f>IF(N357&lt;0.01,0,IF(Adm!$O$4&gt;0,E358*Adm!$O$4,0))</f>
        <v>0</v>
      </c>
      <c r="L358" s="2145">
        <f t="shared" si="136"/>
        <v>0</v>
      </c>
      <c r="M358" s="2145">
        <f>IF(Adm!$G$4="si",MIN(N357+E358+H358+I358+J358-L358,Z358),0)</f>
        <v>0</v>
      </c>
      <c r="N358" s="2145">
        <f t="shared" si="137"/>
        <v>0</v>
      </c>
      <c r="O358" s="2147"/>
      <c r="V358" s="1352">
        <f t="shared" si="156"/>
        <v>7</v>
      </c>
      <c r="W358" s="1367">
        <f>IF(V358=1,Cal!$AB$127,0)</f>
        <v>0</v>
      </c>
      <c r="Y358" s="1368">
        <f t="shared" si="157"/>
        <v>0</v>
      </c>
      <c r="Z358" s="1369">
        <f t="shared" ca="1" si="138"/>
        <v>0</v>
      </c>
      <c r="AB358" s="1963">
        <f t="shared" si="139"/>
        <v>0</v>
      </c>
      <c r="AC358" s="1963">
        <f t="shared" si="140"/>
        <v>0</v>
      </c>
      <c r="AD358" s="1963">
        <f t="shared" si="141"/>
        <v>0</v>
      </c>
      <c r="AE358" s="1963">
        <f t="shared" si="142"/>
        <v>0</v>
      </c>
      <c r="AF358" s="1963">
        <f t="shared" si="143"/>
        <v>0</v>
      </c>
      <c r="AG358" s="1964" t="e">
        <f>HLOOKUP($AG$83,anticipado,272,0)</f>
        <v>#N/A</v>
      </c>
      <c r="AI358" s="1966">
        <f t="shared" si="144"/>
        <v>0</v>
      </c>
      <c r="AJ358" s="1361">
        <f t="shared" si="145"/>
        <v>271</v>
      </c>
      <c r="AK358" s="1362">
        <f t="shared" si="146"/>
        <v>0</v>
      </c>
      <c r="AL358" s="1362">
        <f t="shared" si="147"/>
        <v>0</v>
      </c>
      <c r="AM358" s="1362">
        <f t="shared" si="153"/>
        <v>0</v>
      </c>
      <c r="AN358" s="1363">
        <f t="shared" si="148"/>
        <v>1000000</v>
      </c>
      <c r="AQ358" s="1361" t="str">
        <f t="shared" si="149"/>
        <v/>
      </c>
      <c r="AR358" s="1362">
        <f t="shared" si="150"/>
        <v>0</v>
      </c>
      <c r="AS358" s="1362">
        <f t="shared" si="151"/>
        <v>0</v>
      </c>
      <c r="AT358" s="1362">
        <f t="shared" si="154"/>
        <v>0</v>
      </c>
      <c r="AU358" s="1363">
        <f t="shared" si="152"/>
        <v>0</v>
      </c>
    </row>
    <row r="359" spans="1:47">
      <c r="A359" s="1118">
        <f t="shared" ca="1" si="155"/>
        <v>11</v>
      </c>
      <c r="B359" s="1351">
        <f t="shared" si="130"/>
        <v>0</v>
      </c>
      <c r="C359" s="2143">
        <f t="shared" si="131"/>
        <v>0</v>
      </c>
      <c r="D359" s="2144">
        <f t="shared" si="132"/>
        <v>0</v>
      </c>
      <c r="E359" s="2145">
        <f t="shared" si="133"/>
        <v>0</v>
      </c>
      <c r="F359" s="2145">
        <f t="shared" si="134"/>
        <v>0</v>
      </c>
      <c r="G359" s="2145">
        <f t="shared" si="135"/>
        <v>0</v>
      </c>
      <c r="H359" s="2145">
        <f>IF(N358&lt;0.01,0,IF(Adm!$S$4=Adm!$S$8,0,N358*Adm!$V$4))</f>
        <v>0</v>
      </c>
      <c r="I359" s="2145">
        <f>IF(N358&lt;0.01,0,IF(Adm!$S$5=Adm!$S$8,0,Adm!$AA$11*Adm!$X$4))</f>
        <v>0</v>
      </c>
      <c r="J359" s="2145">
        <f>IF(N358&lt;0.01,0,Adm!$Q$4*1.16)</f>
        <v>0</v>
      </c>
      <c r="K359" s="2145">
        <f>IF(N358&lt;0.01,0,IF(Adm!$O$4&gt;0,E359*Adm!$O$4,0))</f>
        <v>0</v>
      </c>
      <c r="L359" s="2145">
        <f t="shared" si="136"/>
        <v>0</v>
      </c>
      <c r="M359" s="2145">
        <f>IF(Adm!$G$4="si",MIN(N358+E359+H359+I359+J359-L359,Z359),0)</f>
        <v>0</v>
      </c>
      <c r="N359" s="2145">
        <f t="shared" si="137"/>
        <v>0</v>
      </c>
      <c r="O359" s="2147"/>
      <c r="V359" s="1352">
        <f t="shared" si="156"/>
        <v>8</v>
      </c>
      <c r="W359" s="1367">
        <f>IF(V359=1,Cal!$AB$127,0)</f>
        <v>0</v>
      </c>
      <c r="Y359" s="1368">
        <f t="shared" si="157"/>
        <v>0</v>
      </c>
      <c r="Z359" s="1369">
        <f t="shared" ca="1" si="138"/>
        <v>0</v>
      </c>
      <c r="AB359" s="1963">
        <f t="shared" si="139"/>
        <v>0</v>
      </c>
      <c r="AC359" s="1963">
        <f t="shared" si="140"/>
        <v>0</v>
      </c>
      <c r="AD359" s="1963">
        <f t="shared" si="141"/>
        <v>0</v>
      </c>
      <c r="AE359" s="1963">
        <f t="shared" si="142"/>
        <v>0</v>
      </c>
      <c r="AF359" s="1963">
        <f t="shared" si="143"/>
        <v>0</v>
      </c>
      <c r="AG359" s="1964" t="e">
        <f>HLOOKUP($AG$83,anticipado,273,0)</f>
        <v>#N/A</v>
      </c>
      <c r="AI359" s="1966">
        <f t="shared" si="144"/>
        <v>0</v>
      </c>
      <c r="AJ359" s="1361">
        <f t="shared" si="145"/>
        <v>272</v>
      </c>
      <c r="AK359" s="1362">
        <f t="shared" si="146"/>
        <v>0</v>
      </c>
      <c r="AL359" s="1362">
        <f t="shared" si="147"/>
        <v>0</v>
      </c>
      <c r="AM359" s="1362">
        <f t="shared" si="153"/>
        <v>0</v>
      </c>
      <c r="AN359" s="1363">
        <f t="shared" si="148"/>
        <v>1000000</v>
      </c>
      <c r="AQ359" s="1361" t="str">
        <f t="shared" si="149"/>
        <v/>
      </c>
      <c r="AR359" s="1362">
        <f t="shared" si="150"/>
        <v>0</v>
      </c>
      <c r="AS359" s="1362">
        <f t="shared" si="151"/>
        <v>0</v>
      </c>
      <c r="AT359" s="1362">
        <f t="shared" si="154"/>
        <v>0</v>
      </c>
      <c r="AU359" s="1363">
        <f t="shared" si="152"/>
        <v>0</v>
      </c>
    </row>
    <row r="360" spans="1:47">
      <c r="A360" s="1118">
        <f t="shared" ca="1" si="155"/>
        <v>12</v>
      </c>
      <c r="B360" s="1351">
        <f t="shared" si="130"/>
        <v>0</v>
      </c>
      <c r="C360" s="2143">
        <f t="shared" si="131"/>
        <v>0</v>
      </c>
      <c r="D360" s="2144">
        <f t="shared" si="132"/>
        <v>0</v>
      </c>
      <c r="E360" s="2145">
        <f t="shared" si="133"/>
        <v>0</v>
      </c>
      <c r="F360" s="2145">
        <f t="shared" si="134"/>
        <v>0</v>
      </c>
      <c r="G360" s="2145">
        <f t="shared" si="135"/>
        <v>0</v>
      </c>
      <c r="H360" s="2145">
        <f>IF(N359&lt;0.01,0,IF(Adm!$S$4=Adm!$S$8,0,N359*Adm!$V$4))</f>
        <v>0</v>
      </c>
      <c r="I360" s="2145">
        <f>IF(N359&lt;0.01,0,IF(Adm!$S$5=Adm!$S$8,0,Adm!$AA$11*Adm!$X$4))</f>
        <v>0</v>
      </c>
      <c r="J360" s="2145">
        <f>IF(N359&lt;0.01,0,Adm!$Q$4*1.16)</f>
        <v>0</v>
      </c>
      <c r="K360" s="2145">
        <f>IF(N359&lt;0.01,0,IF(Adm!$O$4&gt;0,E360*Adm!$O$4,0))</f>
        <v>0</v>
      </c>
      <c r="L360" s="2145">
        <f t="shared" si="136"/>
        <v>0</v>
      </c>
      <c r="M360" s="2145">
        <f>IF(Adm!$G$4="si",MIN(N359+E360+H360+I360+J360-L360,Z360),0)</f>
        <v>0</v>
      </c>
      <c r="N360" s="2145">
        <f t="shared" si="137"/>
        <v>0</v>
      </c>
      <c r="O360" s="2147"/>
      <c r="V360" s="1352">
        <f t="shared" si="156"/>
        <v>9</v>
      </c>
      <c r="W360" s="1367">
        <f>IF(V360=1,Cal!$AB$127,0)</f>
        <v>0</v>
      </c>
      <c r="Y360" s="1368">
        <f t="shared" si="157"/>
        <v>0</v>
      </c>
      <c r="Z360" s="1369">
        <f t="shared" ca="1" si="138"/>
        <v>0</v>
      </c>
      <c r="AB360" s="1963">
        <f t="shared" si="139"/>
        <v>0</v>
      </c>
      <c r="AC360" s="1963">
        <f t="shared" si="140"/>
        <v>0</v>
      </c>
      <c r="AD360" s="1963">
        <f t="shared" si="141"/>
        <v>0</v>
      </c>
      <c r="AE360" s="1963">
        <f t="shared" si="142"/>
        <v>0</v>
      </c>
      <c r="AF360" s="1963">
        <f t="shared" si="143"/>
        <v>0</v>
      </c>
      <c r="AG360" s="1964" t="e">
        <f>HLOOKUP($AG$83,anticipado,274,0)</f>
        <v>#N/A</v>
      </c>
      <c r="AI360" s="1966">
        <f t="shared" si="144"/>
        <v>0</v>
      </c>
      <c r="AJ360" s="1361">
        <f t="shared" si="145"/>
        <v>273</v>
      </c>
      <c r="AK360" s="1362">
        <f t="shared" si="146"/>
        <v>0</v>
      </c>
      <c r="AL360" s="1362">
        <f t="shared" si="147"/>
        <v>0</v>
      </c>
      <c r="AM360" s="1362">
        <f t="shared" si="153"/>
        <v>0</v>
      </c>
      <c r="AN360" s="1363">
        <f t="shared" si="148"/>
        <v>1000000</v>
      </c>
      <c r="AQ360" s="1361" t="str">
        <f t="shared" si="149"/>
        <v/>
      </c>
      <c r="AR360" s="1362">
        <f t="shared" si="150"/>
        <v>0</v>
      </c>
      <c r="AS360" s="1362">
        <f t="shared" si="151"/>
        <v>0</v>
      </c>
      <c r="AT360" s="1362">
        <f t="shared" si="154"/>
        <v>0</v>
      </c>
      <c r="AU360" s="1363">
        <f t="shared" si="152"/>
        <v>0</v>
      </c>
    </row>
    <row r="361" spans="1:47">
      <c r="A361" s="1118">
        <f t="shared" ca="1" si="155"/>
        <v>1</v>
      </c>
      <c r="B361" s="1351">
        <f t="shared" si="130"/>
        <v>0</v>
      </c>
      <c r="C361" s="2143">
        <f t="shared" si="131"/>
        <v>0</v>
      </c>
      <c r="D361" s="2144">
        <f t="shared" si="132"/>
        <v>0</v>
      </c>
      <c r="E361" s="2145">
        <f t="shared" si="133"/>
        <v>0</v>
      </c>
      <c r="F361" s="2145">
        <f t="shared" si="134"/>
        <v>0</v>
      </c>
      <c r="G361" s="2145">
        <f t="shared" si="135"/>
        <v>0</v>
      </c>
      <c r="H361" s="2145">
        <f>IF(N360&lt;0.01,0,IF(Adm!$S$4=Adm!$S$8,0,N360*Adm!$V$4))</f>
        <v>0</v>
      </c>
      <c r="I361" s="2145">
        <f>IF(N360&lt;0.01,0,IF(Adm!$S$5=Adm!$S$8,0,Adm!$AA$11*Adm!$X$4))</f>
        <v>0</v>
      </c>
      <c r="J361" s="2145">
        <f>IF(N360&lt;0.01,0,Adm!$Q$4*1.16)</f>
        <v>0</v>
      </c>
      <c r="K361" s="2145">
        <f>IF(N360&lt;0.01,0,IF(Adm!$O$4&gt;0,E361*Adm!$O$4,0))</f>
        <v>0</v>
      </c>
      <c r="L361" s="2145">
        <f t="shared" si="136"/>
        <v>0</v>
      </c>
      <c r="M361" s="2145">
        <f>IF(Adm!$G$4="si",MIN(N360+E361+H361+I361+J361-L361,Z361),0)</f>
        <v>0</v>
      </c>
      <c r="N361" s="2145">
        <f t="shared" si="137"/>
        <v>0</v>
      </c>
      <c r="O361" s="2147"/>
      <c r="V361" s="1352">
        <f t="shared" si="156"/>
        <v>10</v>
      </c>
      <c r="W361" s="1367">
        <f>IF(V361=1,Cal!$AB$127,0)</f>
        <v>0</v>
      </c>
      <c r="Y361" s="1368">
        <f t="shared" si="157"/>
        <v>0</v>
      </c>
      <c r="Z361" s="1369">
        <f t="shared" ca="1" si="138"/>
        <v>0</v>
      </c>
      <c r="AB361" s="1963">
        <f t="shared" si="139"/>
        <v>0</v>
      </c>
      <c r="AC361" s="1963">
        <f t="shared" si="140"/>
        <v>0</v>
      </c>
      <c r="AD361" s="1963">
        <f t="shared" si="141"/>
        <v>0</v>
      </c>
      <c r="AE361" s="1963">
        <f t="shared" si="142"/>
        <v>0</v>
      </c>
      <c r="AF361" s="1963">
        <f t="shared" si="143"/>
        <v>0</v>
      </c>
      <c r="AG361" s="1964" t="e">
        <f>HLOOKUP($AG$83,anticipado,275,0)</f>
        <v>#N/A</v>
      </c>
      <c r="AI361" s="1966">
        <f t="shared" si="144"/>
        <v>0</v>
      </c>
      <c r="AJ361" s="1361">
        <f t="shared" si="145"/>
        <v>274</v>
      </c>
      <c r="AK361" s="1362">
        <f t="shared" si="146"/>
        <v>0</v>
      </c>
      <c r="AL361" s="1362">
        <f t="shared" si="147"/>
        <v>0</v>
      </c>
      <c r="AM361" s="1362">
        <f t="shared" si="153"/>
        <v>0</v>
      </c>
      <c r="AN361" s="1363">
        <f t="shared" si="148"/>
        <v>1000000</v>
      </c>
      <c r="AQ361" s="1361" t="str">
        <f t="shared" si="149"/>
        <v/>
      </c>
      <c r="AR361" s="1362">
        <f t="shared" si="150"/>
        <v>0</v>
      </c>
      <c r="AS361" s="1362">
        <f t="shared" si="151"/>
        <v>0</v>
      </c>
      <c r="AT361" s="1362">
        <f t="shared" si="154"/>
        <v>0</v>
      </c>
      <c r="AU361" s="1363">
        <f t="shared" si="152"/>
        <v>0</v>
      </c>
    </row>
    <row r="362" spans="1:47">
      <c r="A362" s="1118">
        <f t="shared" ca="1" si="155"/>
        <v>2</v>
      </c>
      <c r="B362" s="1351">
        <f t="shared" si="130"/>
        <v>0</v>
      </c>
      <c r="C362" s="2143">
        <f t="shared" si="131"/>
        <v>0</v>
      </c>
      <c r="D362" s="2144">
        <f t="shared" si="132"/>
        <v>0</v>
      </c>
      <c r="E362" s="2145">
        <f t="shared" si="133"/>
        <v>0</v>
      </c>
      <c r="F362" s="2145">
        <f t="shared" si="134"/>
        <v>0</v>
      </c>
      <c r="G362" s="2145">
        <f t="shared" si="135"/>
        <v>0</v>
      </c>
      <c r="H362" s="2145">
        <f>IF(N361&lt;0.01,0,IF(Adm!$S$4=Adm!$S$8,0,N361*Adm!$V$4))</f>
        <v>0</v>
      </c>
      <c r="I362" s="2145">
        <f>IF(N361&lt;0.01,0,IF(Adm!$S$5=Adm!$S$8,0,Adm!$AA$11*Adm!$X$4))</f>
        <v>0</v>
      </c>
      <c r="J362" s="2145">
        <f>IF(N361&lt;0.01,0,Adm!$Q$4*1.16)</f>
        <v>0</v>
      </c>
      <c r="K362" s="2145">
        <f>IF(N361&lt;0.01,0,IF(Adm!$O$4&gt;0,E362*Adm!$O$4,0))</f>
        <v>0</v>
      </c>
      <c r="L362" s="2145">
        <f t="shared" si="136"/>
        <v>0</v>
      </c>
      <c r="M362" s="2145">
        <f>IF(Adm!$G$4="si",MIN(N361+E362+H362+I362+J362-L362,Z362),0)</f>
        <v>0</v>
      </c>
      <c r="N362" s="2145">
        <f t="shared" si="137"/>
        <v>0</v>
      </c>
      <c r="O362" s="2147"/>
      <c r="V362" s="1352">
        <f t="shared" si="156"/>
        <v>11</v>
      </c>
      <c r="W362" s="1367">
        <f>IF(V362=1,Cal!$AB$127,0)</f>
        <v>0</v>
      </c>
      <c r="Y362" s="1368">
        <f t="shared" si="157"/>
        <v>0</v>
      </c>
      <c r="Z362" s="1369">
        <f t="shared" ca="1" si="138"/>
        <v>0</v>
      </c>
      <c r="AB362" s="1963">
        <f t="shared" si="139"/>
        <v>0</v>
      </c>
      <c r="AC362" s="1963">
        <f t="shared" si="140"/>
        <v>0</v>
      </c>
      <c r="AD362" s="1963">
        <f t="shared" si="141"/>
        <v>0</v>
      </c>
      <c r="AE362" s="1963">
        <f t="shared" si="142"/>
        <v>0</v>
      </c>
      <c r="AF362" s="1963">
        <f t="shared" si="143"/>
        <v>0</v>
      </c>
      <c r="AG362" s="1964" t="e">
        <f>HLOOKUP($AG$83,anticipado,276,0)</f>
        <v>#N/A</v>
      </c>
      <c r="AI362" s="1966">
        <f t="shared" si="144"/>
        <v>0</v>
      </c>
      <c r="AJ362" s="1361">
        <f t="shared" si="145"/>
        <v>275</v>
      </c>
      <c r="AK362" s="1362">
        <f t="shared" si="146"/>
        <v>0</v>
      </c>
      <c r="AL362" s="1362">
        <f t="shared" si="147"/>
        <v>0</v>
      </c>
      <c r="AM362" s="1362">
        <f t="shared" si="153"/>
        <v>0</v>
      </c>
      <c r="AN362" s="1363">
        <f t="shared" si="148"/>
        <v>1000000</v>
      </c>
      <c r="AQ362" s="1361" t="str">
        <f t="shared" si="149"/>
        <v/>
      </c>
      <c r="AR362" s="1362">
        <f t="shared" si="150"/>
        <v>0</v>
      </c>
      <c r="AS362" s="1362">
        <f t="shared" si="151"/>
        <v>0</v>
      </c>
      <c r="AT362" s="1362">
        <f t="shared" si="154"/>
        <v>0</v>
      </c>
      <c r="AU362" s="1363">
        <f t="shared" si="152"/>
        <v>0</v>
      </c>
    </row>
    <row r="363" spans="1:47">
      <c r="A363" s="1118">
        <f t="shared" ca="1" si="155"/>
        <v>3</v>
      </c>
      <c r="B363" s="1351">
        <f t="shared" si="130"/>
        <v>0</v>
      </c>
      <c r="C363" s="2143">
        <f t="shared" si="131"/>
        <v>0</v>
      </c>
      <c r="D363" s="2144">
        <f t="shared" si="132"/>
        <v>0</v>
      </c>
      <c r="E363" s="2145">
        <f t="shared" si="133"/>
        <v>0</v>
      </c>
      <c r="F363" s="2145">
        <f t="shared" si="134"/>
        <v>0</v>
      </c>
      <c r="G363" s="2145">
        <f t="shared" si="135"/>
        <v>0</v>
      </c>
      <c r="H363" s="2145">
        <f>IF(N362&lt;0.01,0,IF(Adm!$S$4=Adm!$S$8,0,N362*Adm!$V$4))</f>
        <v>0</v>
      </c>
      <c r="I363" s="2145">
        <f>IF(N362&lt;0.01,0,IF(Adm!$S$5=Adm!$S$8,0,Adm!$AA$11*Adm!$X$4))</f>
        <v>0</v>
      </c>
      <c r="J363" s="2145">
        <f>IF(N362&lt;0.01,0,Adm!$Q$4*1.16)</f>
        <v>0</v>
      </c>
      <c r="K363" s="2145">
        <f>IF(N362&lt;0.01,0,IF(Adm!$O$4&gt;0,E363*Adm!$O$4,0))</f>
        <v>0</v>
      </c>
      <c r="L363" s="2145">
        <f t="shared" si="136"/>
        <v>0</v>
      </c>
      <c r="M363" s="2145">
        <f>IF(Adm!$G$4="si",MIN(N362+E363+H363+I363+J363-L363,Z363),0)</f>
        <v>0</v>
      </c>
      <c r="N363" s="2145">
        <f t="shared" si="137"/>
        <v>0</v>
      </c>
      <c r="O363" s="2147"/>
      <c r="V363" s="1352">
        <f t="shared" si="156"/>
        <v>12</v>
      </c>
      <c r="W363" s="1367">
        <f>IF(V363=1,Cal!$AB$127,0)</f>
        <v>0</v>
      </c>
      <c r="Y363" s="1368">
        <f t="shared" si="157"/>
        <v>0</v>
      </c>
      <c r="Z363" s="1369">
        <f t="shared" ca="1" si="138"/>
        <v>0</v>
      </c>
      <c r="AB363" s="1963">
        <f t="shared" si="139"/>
        <v>0</v>
      </c>
      <c r="AC363" s="1963">
        <f t="shared" si="140"/>
        <v>0</v>
      </c>
      <c r="AD363" s="1963">
        <f t="shared" si="141"/>
        <v>0</v>
      </c>
      <c r="AE363" s="1963">
        <f t="shared" si="142"/>
        <v>0</v>
      </c>
      <c r="AF363" s="1963">
        <f t="shared" si="143"/>
        <v>0</v>
      </c>
      <c r="AG363" s="1964" t="e">
        <f>HLOOKUP($AG$83,anticipado,277,0)</f>
        <v>#N/A</v>
      </c>
      <c r="AI363" s="1966">
        <f t="shared" si="144"/>
        <v>0</v>
      </c>
      <c r="AJ363" s="1361">
        <f t="shared" si="145"/>
        <v>276</v>
      </c>
      <c r="AK363" s="1362">
        <f t="shared" si="146"/>
        <v>0</v>
      </c>
      <c r="AL363" s="1362">
        <f t="shared" si="147"/>
        <v>0</v>
      </c>
      <c r="AM363" s="1362">
        <f t="shared" si="153"/>
        <v>0</v>
      </c>
      <c r="AN363" s="1363">
        <f t="shared" si="148"/>
        <v>1000000</v>
      </c>
      <c r="AQ363" s="1361" t="str">
        <f t="shared" si="149"/>
        <v/>
      </c>
      <c r="AR363" s="1362">
        <f t="shared" si="150"/>
        <v>0</v>
      </c>
      <c r="AS363" s="1362">
        <f t="shared" si="151"/>
        <v>0</v>
      </c>
      <c r="AT363" s="1362">
        <f t="shared" si="154"/>
        <v>0</v>
      </c>
      <c r="AU363" s="1363">
        <f t="shared" si="152"/>
        <v>0</v>
      </c>
    </row>
    <row r="364" spans="1:47">
      <c r="A364" s="1118">
        <f t="shared" ca="1" si="155"/>
        <v>4</v>
      </c>
      <c r="B364" s="1351">
        <f t="shared" si="130"/>
        <v>0</v>
      </c>
      <c r="C364" s="2143">
        <f t="shared" si="131"/>
        <v>0</v>
      </c>
      <c r="D364" s="2144">
        <f t="shared" si="132"/>
        <v>0</v>
      </c>
      <c r="E364" s="2145">
        <f t="shared" si="133"/>
        <v>0</v>
      </c>
      <c r="F364" s="2145">
        <f t="shared" si="134"/>
        <v>0</v>
      </c>
      <c r="G364" s="2145">
        <f t="shared" si="135"/>
        <v>0</v>
      </c>
      <c r="H364" s="2145">
        <f>IF(N363&lt;0.01,0,IF(Adm!$S$4=Adm!$S$8,0,N363*Adm!$V$4))</f>
        <v>0</v>
      </c>
      <c r="I364" s="2145">
        <f>IF(N363&lt;0.01,0,IF(Adm!$S$5=Adm!$S$8,0,Adm!$AA$11*Adm!$X$4))</f>
        <v>0</v>
      </c>
      <c r="J364" s="2145">
        <f>IF(N363&lt;0.01,0,Adm!$Q$4*1.16)</f>
        <v>0</v>
      </c>
      <c r="K364" s="2145">
        <f>IF(N363&lt;0.01,0,IF(Adm!$O$4&gt;0,E364*Adm!$O$4,0))</f>
        <v>0</v>
      </c>
      <c r="L364" s="2145">
        <f t="shared" si="136"/>
        <v>0</v>
      </c>
      <c r="M364" s="2145">
        <f>IF(Adm!$G$4="si",MIN(N363+E364+H364+I364+J364-L364,Z364),0)</f>
        <v>0</v>
      </c>
      <c r="N364" s="2145">
        <f t="shared" si="137"/>
        <v>0</v>
      </c>
      <c r="O364" s="2147"/>
      <c r="V364" s="1352">
        <f t="shared" si="156"/>
        <v>1</v>
      </c>
      <c r="W364" s="1367">
        <f>IF(V364=1,Cal!$AB$127,0)</f>
        <v>0</v>
      </c>
      <c r="Y364" s="1368">
        <f t="shared" si="157"/>
        <v>0</v>
      </c>
      <c r="Z364" s="1369">
        <f t="shared" ca="1" si="138"/>
        <v>0</v>
      </c>
      <c r="AB364" s="1963">
        <f t="shared" si="139"/>
        <v>0</v>
      </c>
      <c r="AC364" s="1963">
        <f t="shared" si="140"/>
        <v>0</v>
      </c>
      <c r="AD364" s="1963">
        <f t="shared" si="141"/>
        <v>0</v>
      </c>
      <c r="AE364" s="1963">
        <f t="shared" si="142"/>
        <v>0</v>
      </c>
      <c r="AF364" s="1963">
        <f t="shared" si="143"/>
        <v>0</v>
      </c>
      <c r="AG364" s="1964" t="e">
        <f>HLOOKUP($AG$83,anticipado,278,0)</f>
        <v>#N/A</v>
      </c>
      <c r="AI364" s="1966">
        <f t="shared" si="144"/>
        <v>0</v>
      </c>
      <c r="AJ364" s="1377">
        <f t="shared" si="145"/>
        <v>277</v>
      </c>
      <c r="AK364" s="1378">
        <f t="shared" si="146"/>
        <v>0</v>
      </c>
      <c r="AL364" s="1378">
        <f t="shared" si="147"/>
        <v>0</v>
      </c>
      <c r="AM364" s="1378">
        <f>MIN(AN363+AK364,AM363*(1+$AK$83))</f>
        <v>0</v>
      </c>
      <c r="AN364" s="1363">
        <f t="shared" si="148"/>
        <v>1000000</v>
      </c>
      <c r="AQ364" s="1379" t="str">
        <f t="shared" si="149"/>
        <v/>
      </c>
      <c r="AR364" s="1380">
        <f t="shared" si="150"/>
        <v>0</v>
      </c>
      <c r="AS364" s="1380">
        <f t="shared" si="151"/>
        <v>0</v>
      </c>
      <c r="AT364" s="1380">
        <f>MIN(AU363+AR364,AT363*(1+$AR$83))</f>
        <v>0</v>
      </c>
      <c r="AU364" s="1363">
        <f t="shared" si="152"/>
        <v>0</v>
      </c>
    </row>
    <row r="365" spans="1:47">
      <c r="A365" s="1118">
        <f t="shared" ca="1" si="155"/>
        <v>5</v>
      </c>
      <c r="B365" s="1351">
        <f t="shared" si="130"/>
        <v>0</v>
      </c>
      <c r="C365" s="2143">
        <f t="shared" ref="C365:C387" si="158">IF(N364&lt;0.01,0,C364+1)</f>
        <v>0</v>
      </c>
      <c r="D365" s="2144">
        <f t="shared" ref="D365:D387" si="159">IF(N364&lt;0.01,0,D364)</f>
        <v>0</v>
      </c>
      <c r="E365" s="2145">
        <f t="shared" ref="E365:E387" si="160">IF(N364&lt;0.01,0,N364*D365*30.4166/360)</f>
        <v>0</v>
      </c>
      <c r="F365" s="2145">
        <f t="shared" ref="F365:F387" si="161">IF(N364&lt;0.01,0,G365-E365)</f>
        <v>0</v>
      </c>
      <c r="G365" s="2145">
        <f t="shared" ref="G365:G387" si="162">IF(N364&lt;0.1,0,MIN(N364+E365,IF(AB365&gt;0,AB365,G364*(1+W365))))</f>
        <v>0</v>
      </c>
      <c r="H365" s="2145">
        <f>IF(N364&lt;0.01,0,IF(Adm!$S$4=Adm!$S$8,0,N364*Adm!$V$4))</f>
        <v>0</v>
      </c>
      <c r="I365" s="2145">
        <f>IF(N364&lt;0.01,0,IF(Adm!$S$5=Adm!$S$8,0,Adm!$AA$11*Adm!$X$4))</f>
        <v>0</v>
      </c>
      <c r="J365" s="2145">
        <f>IF(N364&lt;0.01,0,Adm!$Q$4*1.16)</f>
        <v>0</v>
      </c>
      <c r="K365" s="2145">
        <f>IF(N364&lt;0.01,0,IF(Adm!$O$4&gt;0,E365*Adm!$O$4,0))</f>
        <v>0</v>
      </c>
      <c r="L365" s="2145">
        <f t="shared" ref="L365:L387" si="163">G365+H365+I365+J365+K365</f>
        <v>0</v>
      </c>
      <c r="M365" s="2145">
        <f>IF(Adm!$G$4="si",MIN(N364+E365+H365+I365+J365-L365,Z365),0)</f>
        <v>0</v>
      </c>
      <c r="N365" s="2145">
        <f t="shared" ref="N365:N387" si="164">IF(N364&lt;0.001,0,+N364-F365-M365-O365)</f>
        <v>0</v>
      </c>
      <c r="O365" s="2147"/>
      <c r="V365" s="1352">
        <f t="shared" si="156"/>
        <v>2</v>
      </c>
      <c r="W365" s="1367">
        <f>IF(V365=1,Cal!$AB$127,0)</f>
        <v>0</v>
      </c>
      <c r="Y365" s="1368">
        <f t="shared" si="157"/>
        <v>0</v>
      </c>
      <c r="Z365" s="1369">
        <f t="shared" ca="1" si="138"/>
        <v>0</v>
      </c>
      <c r="AB365" s="1963">
        <f t="shared" si="139"/>
        <v>0</v>
      </c>
      <c r="AC365" s="1963">
        <f t="shared" si="140"/>
        <v>0</v>
      </c>
      <c r="AD365" s="1963">
        <f t="shared" si="141"/>
        <v>0</v>
      </c>
      <c r="AE365" s="1963">
        <f t="shared" si="142"/>
        <v>0</v>
      </c>
      <c r="AF365" s="1963">
        <f t="shared" si="143"/>
        <v>0</v>
      </c>
      <c r="AG365" s="1964" t="e">
        <f>HLOOKUP($AG$83,anticipado,279,0)</f>
        <v>#N/A</v>
      </c>
      <c r="AI365" s="1966">
        <f t="shared" si="144"/>
        <v>0</v>
      </c>
      <c r="AJ365" s="1361">
        <f t="shared" si="145"/>
        <v>278</v>
      </c>
      <c r="AK365" s="1362">
        <f t="shared" si="146"/>
        <v>0</v>
      </c>
      <c r="AL365" s="1362">
        <f t="shared" si="147"/>
        <v>0</v>
      </c>
      <c r="AM365" s="1362">
        <f t="shared" si="153"/>
        <v>0</v>
      </c>
      <c r="AN365" s="1363">
        <f t="shared" si="148"/>
        <v>1000000</v>
      </c>
      <c r="AQ365" s="1361" t="str">
        <f t="shared" si="149"/>
        <v/>
      </c>
      <c r="AR365" s="1362">
        <f t="shared" si="150"/>
        <v>0</v>
      </c>
      <c r="AS365" s="1362">
        <f t="shared" si="151"/>
        <v>0</v>
      </c>
      <c r="AT365" s="1362">
        <f t="shared" si="154"/>
        <v>0</v>
      </c>
      <c r="AU365" s="1363">
        <f t="shared" si="152"/>
        <v>0</v>
      </c>
    </row>
    <row r="366" spans="1:47">
      <c r="A366" s="1118">
        <f t="shared" ca="1" si="155"/>
        <v>6</v>
      </c>
      <c r="B366" s="1351">
        <f t="shared" si="130"/>
        <v>0</v>
      </c>
      <c r="C366" s="2143">
        <f t="shared" si="158"/>
        <v>0</v>
      </c>
      <c r="D366" s="2144">
        <f t="shared" si="159"/>
        <v>0</v>
      </c>
      <c r="E366" s="2145">
        <f t="shared" si="160"/>
        <v>0</v>
      </c>
      <c r="F366" s="2145">
        <f t="shared" si="161"/>
        <v>0</v>
      </c>
      <c r="G366" s="2145">
        <f t="shared" si="162"/>
        <v>0</v>
      </c>
      <c r="H366" s="2145">
        <f>IF(N365&lt;0.01,0,IF(Adm!$S$4=Adm!$S$8,0,N365*Adm!$V$4))</f>
        <v>0</v>
      </c>
      <c r="I366" s="2145">
        <f>IF(N365&lt;0.01,0,IF(Adm!$S$5=Adm!$S$8,0,Adm!$AA$11*Adm!$X$4))</f>
        <v>0</v>
      </c>
      <c r="J366" s="2145">
        <f>IF(N365&lt;0.01,0,Adm!$Q$4*1.16)</f>
        <v>0</v>
      </c>
      <c r="K366" s="2145">
        <f>IF(N365&lt;0.01,0,IF(Adm!$O$4&gt;0,E366*Adm!$O$4,0))</f>
        <v>0</v>
      </c>
      <c r="L366" s="2145">
        <f t="shared" si="163"/>
        <v>0</v>
      </c>
      <c r="M366" s="2145">
        <f>IF(Adm!$G$4="si",MIN(N365+E366+H366+I366+J366-L366,Z366),0)</f>
        <v>0</v>
      </c>
      <c r="N366" s="2145">
        <f t="shared" si="164"/>
        <v>0</v>
      </c>
      <c r="O366" s="2147"/>
      <c r="V366" s="1352">
        <f t="shared" si="156"/>
        <v>3</v>
      </c>
      <c r="W366" s="1367">
        <f>IF(V366=1,Cal!$AB$127,0)</f>
        <v>0</v>
      </c>
      <c r="Y366" s="1368">
        <f t="shared" si="157"/>
        <v>0</v>
      </c>
      <c r="Z366" s="1369">
        <f t="shared" ca="1" si="138"/>
        <v>0</v>
      </c>
      <c r="AB366" s="1963">
        <f t="shared" si="139"/>
        <v>0</v>
      </c>
      <c r="AC366" s="1963">
        <f t="shared" si="140"/>
        <v>0</v>
      </c>
      <c r="AD366" s="1963">
        <f t="shared" si="141"/>
        <v>0</v>
      </c>
      <c r="AE366" s="1963">
        <f t="shared" si="142"/>
        <v>0</v>
      </c>
      <c r="AF366" s="1963">
        <f t="shared" si="143"/>
        <v>0</v>
      </c>
      <c r="AG366" s="1964" t="e">
        <f>HLOOKUP($AG$83,anticipado,280,0)</f>
        <v>#N/A</v>
      </c>
      <c r="AI366" s="1966">
        <f t="shared" si="144"/>
        <v>0</v>
      </c>
      <c r="AJ366" s="1361">
        <f t="shared" si="145"/>
        <v>279</v>
      </c>
      <c r="AK366" s="1362">
        <f t="shared" si="146"/>
        <v>0</v>
      </c>
      <c r="AL366" s="1362">
        <f t="shared" si="147"/>
        <v>0</v>
      </c>
      <c r="AM366" s="1362">
        <f t="shared" si="153"/>
        <v>0</v>
      </c>
      <c r="AN366" s="1363">
        <f t="shared" si="148"/>
        <v>1000000</v>
      </c>
      <c r="AQ366" s="1361" t="str">
        <f t="shared" si="149"/>
        <v/>
      </c>
      <c r="AR366" s="1362">
        <f t="shared" si="150"/>
        <v>0</v>
      </c>
      <c r="AS366" s="1362">
        <f t="shared" si="151"/>
        <v>0</v>
      </c>
      <c r="AT366" s="1362">
        <f t="shared" si="154"/>
        <v>0</v>
      </c>
      <c r="AU366" s="1363">
        <f t="shared" si="152"/>
        <v>0</v>
      </c>
    </row>
    <row r="367" spans="1:47">
      <c r="A367" s="1118">
        <f t="shared" ca="1" si="155"/>
        <v>7</v>
      </c>
      <c r="B367" s="1351">
        <f t="shared" si="130"/>
        <v>0</v>
      </c>
      <c r="C367" s="2143">
        <f t="shared" si="158"/>
        <v>0</v>
      </c>
      <c r="D367" s="2144">
        <f t="shared" si="159"/>
        <v>0</v>
      </c>
      <c r="E367" s="2145">
        <f t="shared" si="160"/>
        <v>0</v>
      </c>
      <c r="F367" s="2145">
        <f t="shared" si="161"/>
        <v>0</v>
      </c>
      <c r="G367" s="2145">
        <f t="shared" si="162"/>
        <v>0</v>
      </c>
      <c r="H367" s="2145">
        <f>IF(N366&lt;0.01,0,IF(Adm!$S$4=Adm!$S$8,0,N366*Adm!$V$4))</f>
        <v>0</v>
      </c>
      <c r="I367" s="2145">
        <f>IF(N366&lt;0.01,0,IF(Adm!$S$5=Adm!$S$8,0,Adm!$AA$11*Adm!$X$4))</f>
        <v>0</v>
      </c>
      <c r="J367" s="2145">
        <f>IF(N366&lt;0.01,0,Adm!$Q$4*1.16)</f>
        <v>0</v>
      </c>
      <c r="K367" s="2145">
        <f>IF(N366&lt;0.01,0,IF(Adm!$O$4&gt;0,E367*Adm!$O$4,0))</f>
        <v>0</v>
      </c>
      <c r="L367" s="2145">
        <f t="shared" si="163"/>
        <v>0</v>
      </c>
      <c r="M367" s="2145">
        <f>IF(Adm!$G$4="si",MIN(N366+E367+H367+I367+J367-L367,Z367),0)</f>
        <v>0</v>
      </c>
      <c r="N367" s="2145">
        <f t="shared" si="164"/>
        <v>0</v>
      </c>
      <c r="O367" s="2147"/>
      <c r="V367" s="1352">
        <f t="shared" si="156"/>
        <v>4</v>
      </c>
      <c r="W367" s="1367">
        <f>IF(V367=1,Cal!$AB$127,0)</f>
        <v>0</v>
      </c>
      <c r="Y367" s="1368">
        <f t="shared" si="157"/>
        <v>0</v>
      </c>
      <c r="Z367" s="1369">
        <f t="shared" ca="1" si="138"/>
        <v>0</v>
      </c>
      <c r="AB367" s="1963">
        <f t="shared" si="139"/>
        <v>0</v>
      </c>
      <c r="AC367" s="1963">
        <f t="shared" si="140"/>
        <v>0</v>
      </c>
      <c r="AD367" s="1963">
        <f t="shared" si="141"/>
        <v>0</v>
      </c>
      <c r="AE367" s="1963">
        <f t="shared" si="142"/>
        <v>0</v>
      </c>
      <c r="AF367" s="1963">
        <f t="shared" si="143"/>
        <v>0</v>
      </c>
      <c r="AG367" s="1964" t="e">
        <f>HLOOKUP($AG$83,anticipado,281,0)</f>
        <v>#N/A</v>
      </c>
      <c r="AI367" s="1966">
        <f t="shared" si="144"/>
        <v>0</v>
      </c>
      <c r="AJ367" s="1361">
        <f t="shared" si="145"/>
        <v>280</v>
      </c>
      <c r="AK367" s="1362">
        <f t="shared" si="146"/>
        <v>0</v>
      </c>
      <c r="AL367" s="1362">
        <f t="shared" si="147"/>
        <v>0</v>
      </c>
      <c r="AM367" s="1362">
        <f t="shared" si="153"/>
        <v>0</v>
      </c>
      <c r="AN367" s="1363">
        <f t="shared" si="148"/>
        <v>1000000</v>
      </c>
      <c r="AQ367" s="1361" t="str">
        <f t="shared" si="149"/>
        <v/>
      </c>
      <c r="AR367" s="1362">
        <f t="shared" si="150"/>
        <v>0</v>
      </c>
      <c r="AS367" s="1362">
        <f t="shared" si="151"/>
        <v>0</v>
      </c>
      <c r="AT367" s="1362">
        <f t="shared" si="154"/>
        <v>0</v>
      </c>
      <c r="AU367" s="1363">
        <f t="shared" si="152"/>
        <v>0</v>
      </c>
    </row>
    <row r="368" spans="1:47">
      <c r="A368" s="1118">
        <f t="shared" ca="1" si="155"/>
        <v>8</v>
      </c>
      <c r="B368" s="1351">
        <f t="shared" si="130"/>
        <v>0</v>
      </c>
      <c r="C368" s="2143">
        <f t="shared" si="158"/>
        <v>0</v>
      </c>
      <c r="D368" s="2144">
        <f t="shared" si="159"/>
        <v>0</v>
      </c>
      <c r="E368" s="2145">
        <f t="shared" si="160"/>
        <v>0</v>
      </c>
      <c r="F368" s="2145">
        <f t="shared" si="161"/>
        <v>0</v>
      </c>
      <c r="G368" s="2145">
        <f t="shared" si="162"/>
        <v>0</v>
      </c>
      <c r="H368" s="2145">
        <f>IF(N367&lt;0.01,0,IF(Adm!$S$4=Adm!$S$8,0,N367*Adm!$V$4))</f>
        <v>0</v>
      </c>
      <c r="I368" s="2145">
        <f>IF(N367&lt;0.01,0,IF(Adm!$S$5=Adm!$S$8,0,Adm!$AA$11*Adm!$X$4))</f>
        <v>0</v>
      </c>
      <c r="J368" s="2145">
        <f>IF(N367&lt;0.01,0,Adm!$Q$4*1.16)</f>
        <v>0</v>
      </c>
      <c r="K368" s="2145">
        <f>IF(N367&lt;0.01,0,IF(Adm!$O$4&gt;0,E368*Adm!$O$4,0))</f>
        <v>0</v>
      </c>
      <c r="L368" s="2145">
        <f t="shared" si="163"/>
        <v>0</v>
      </c>
      <c r="M368" s="2145">
        <f>IF(Adm!$G$4="si",MIN(N367+E368+H368+I368+J368-L368,Z368),0)</f>
        <v>0</v>
      </c>
      <c r="N368" s="2145">
        <f t="shared" si="164"/>
        <v>0</v>
      </c>
      <c r="O368" s="2147"/>
      <c r="V368" s="1352">
        <f t="shared" si="156"/>
        <v>5</v>
      </c>
      <c r="W368" s="1367">
        <f>IF(V368=1,Cal!$AB$127,0)</f>
        <v>0</v>
      </c>
      <c r="Y368" s="1368">
        <f t="shared" si="157"/>
        <v>0</v>
      </c>
      <c r="Z368" s="1369">
        <f t="shared" ca="1" si="138"/>
        <v>0</v>
      </c>
      <c r="AB368" s="1963">
        <f t="shared" si="139"/>
        <v>0</v>
      </c>
      <c r="AC368" s="1963">
        <f t="shared" si="140"/>
        <v>0</v>
      </c>
      <c r="AD368" s="1963">
        <f t="shared" si="141"/>
        <v>0</v>
      </c>
      <c r="AE368" s="1963">
        <f t="shared" si="142"/>
        <v>0</v>
      </c>
      <c r="AF368" s="1963">
        <f t="shared" si="143"/>
        <v>0</v>
      </c>
      <c r="AG368" s="1964" t="e">
        <f>HLOOKUP($AG$83,anticipado,282,0)</f>
        <v>#N/A</v>
      </c>
      <c r="AI368" s="1966">
        <f t="shared" si="144"/>
        <v>0</v>
      </c>
      <c r="AJ368" s="1361">
        <f t="shared" si="145"/>
        <v>281</v>
      </c>
      <c r="AK368" s="1362">
        <f t="shared" si="146"/>
        <v>0</v>
      </c>
      <c r="AL368" s="1362">
        <f t="shared" si="147"/>
        <v>0</v>
      </c>
      <c r="AM368" s="1362">
        <f t="shared" si="153"/>
        <v>0</v>
      </c>
      <c r="AN368" s="1363">
        <f t="shared" si="148"/>
        <v>1000000</v>
      </c>
      <c r="AQ368" s="1361" t="str">
        <f t="shared" si="149"/>
        <v/>
      </c>
      <c r="AR368" s="1362">
        <f t="shared" si="150"/>
        <v>0</v>
      </c>
      <c r="AS368" s="1362">
        <f t="shared" si="151"/>
        <v>0</v>
      </c>
      <c r="AT368" s="1362">
        <f t="shared" si="154"/>
        <v>0</v>
      </c>
      <c r="AU368" s="1363">
        <f t="shared" si="152"/>
        <v>0</v>
      </c>
    </row>
    <row r="369" spans="1:47">
      <c r="A369" s="1118">
        <f t="shared" ca="1" si="155"/>
        <v>9</v>
      </c>
      <c r="B369" s="1351">
        <f t="shared" si="130"/>
        <v>0</v>
      </c>
      <c r="C369" s="2143">
        <f t="shared" si="158"/>
        <v>0</v>
      </c>
      <c r="D369" s="2144">
        <f t="shared" si="159"/>
        <v>0</v>
      </c>
      <c r="E369" s="2145">
        <f t="shared" si="160"/>
        <v>0</v>
      </c>
      <c r="F369" s="2145">
        <f t="shared" si="161"/>
        <v>0</v>
      </c>
      <c r="G369" s="2145">
        <f t="shared" si="162"/>
        <v>0</v>
      </c>
      <c r="H369" s="2145">
        <f>IF(N368&lt;0.01,0,IF(Adm!$S$4=Adm!$S$8,0,N368*Adm!$V$4))</f>
        <v>0</v>
      </c>
      <c r="I369" s="2145">
        <f>IF(N368&lt;0.01,0,IF(Adm!$S$5=Adm!$S$8,0,Adm!$AA$11*Adm!$X$4))</f>
        <v>0</v>
      </c>
      <c r="J369" s="2145">
        <f>IF(N368&lt;0.01,0,Adm!$Q$4*1.16)</f>
        <v>0</v>
      </c>
      <c r="K369" s="2145">
        <f>IF(N368&lt;0.01,0,IF(Adm!$O$4&gt;0,E369*Adm!$O$4,0))</f>
        <v>0</v>
      </c>
      <c r="L369" s="2145">
        <f t="shared" si="163"/>
        <v>0</v>
      </c>
      <c r="M369" s="2145">
        <f>IF(Adm!$G$4="si",MIN(N368+E369+H369+I369+J369-L369,Z369),0)</f>
        <v>0</v>
      </c>
      <c r="N369" s="2145">
        <f t="shared" si="164"/>
        <v>0</v>
      </c>
      <c r="O369" s="2147"/>
      <c r="V369" s="1352">
        <f t="shared" si="156"/>
        <v>6</v>
      </c>
      <c r="W369" s="1367">
        <f>IF(V369=1,Cal!$AB$127,0)</f>
        <v>0</v>
      </c>
      <c r="Y369" s="1368">
        <f t="shared" si="157"/>
        <v>0</v>
      </c>
      <c r="Z369" s="1369">
        <f t="shared" ca="1" si="138"/>
        <v>0</v>
      </c>
      <c r="AB369" s="1963">
        <f t="shared" si="139"/>
        <v>0</v>
      </c>
      <c r="AC369" s="1963">
        <f t="shared" si="140"/>
        <v>0</v>
      </c>
      <c r="AD369" s="1963">
        <f t="shared" si="141"/>
        <v>0</v>
      </c>
      <c r="AE369" s="1963">
        <f t="shared" si="142"/>
        <v>0</v>
      </c>
      <c r="AF369" s="1963">
        <f t="shared" si="143"/>
        <v>0</v>
      </c>
      <c r="AG369" s="1964" t="e">
        <f>HLOOKUP($AG$83,anticipado,283,0)</f>
        <v>#N/A</v>
      </c>
      <c r="AI369" s="1966">
        <f t="shared" si="144"/>
        <v>0</v>
      </c>
      <c r="AJ369" s="1361">
        <f t="shared" si="145"/>
        <v>282</v>
      </c>
      <c r="AK369" s="1362">
        <f t="shared" si="146"/>
        <v>0</v>
      </c>
      <c r="AL369" s="1362">
        <f t="shared" si="147"/>
        <v>0</v>
      </c>
      <c r="AM369" s="1362">
        <f t="shared" si="153"/>
        <v>0</v>
      </c>
      <c r="AN369" s="1363">
        <f t="shared" si="148"/>
        <v>1000000</v>
      </c>
      <c r="AQ369" s="1361" t="str">
        <f t="shared" si="149"/>
        <v/>
      </c>
      <c r="AR369" s="1362">
        <f t="shared" si="150"/>
        <v>0</v>
      </c>
      <c r="AS369" s="1362">
        <f t="shared" si="151"/>
        <v>0</v>
      </c>
      <c r="AT369" s="1362">
        <f t="shared" si="154"/>
        <v>0</v>
      </c>
      <c r="AU369" s="1363">
        <f t="shared" si="152"/>
        <v>0</v>
      </c>
    </row>
    <row r="370" spans="1:47">
      <c r="A370" s="1118">
        <f t="shared" ca="1" si="155"/>
        <v>10</v>
      </c>
      <c r="B370" s="1351">
        <f t="shared" si="130"/>
        <v>0</v>
      </c>
      <c r="C370" s="2143">
        <f t="shared" si="158"/>
        <v>0</v>
      </c>
      <c r="D370" s="2144">
        <f t="shared" si="159"/>
        <v>0</v>
      </c>
      <c r="E370" s="2145">
        <f t="shared" si="160"/>
        <v>0</v>
      </c>
      <c r="F370" s="2145">
        <f t="shared" si="161"/>
        <v>0</v>
      </c>
      <c r="G370" s="2145">
        <f t="shared" si="162"/>
        <v>0</v>
      </c>
      <c r="H370" s="2145">
        <f>IF(N369&lt;0.01,0,IF(Adm!$S$4=Adm!$S$8,0,N369*Adm!$V$4))</f>
        <v>0</v>
      </c>
      <c r="I370" s="2145">
        <f>IF(N369&lt;0.01,0,IF(Adm!$S$5=Adm!$S$8,0,Adm!$AA$11*Adm!$X$4))</f>
        <v>0</v>
      </c>
      <c r="J370" s="2145">
        <f>IF(N369&lt;0.01,0,Adm!$Q$4*1.16)</f>
        <v>0</v>
      </c>
      <c r="K370" s="2145">
        <f>IF(N369&lt;0.01,0,IF(Adm!$O$4&gt;0,E370*Adm!$O$4,0))</f>
        <v>0</v>
      </c>
      <c r="L370" s="2145">
        <f t="shared" si="163"/>
        <v>0</v>
      </c>
      <c r="M370" s="2145">
        <f>IF(Adm!$G$4="si",MIN(N369+E370+H370+I370+J370-L370,Z370),0)</f>
        <v>0</v>
      </c>
      <c r="N370" s="2145">
        <f t="shared" si="164"/>
        <v>0</v>
      </c>
      <c r="O370" s="2147"/>
      <c r="V370" s="1352">
        <f t="shared" si="156"/>
        <v>7</v>
      </c>
      <c r="W370" s="1367">
        <f>IF(V370=1,Cal!$AB$127,0)</f>
        <v>0</v>
      </c>
      <c r="Y370" s="1368">
        <f t="shared" si="157"/>
        <v>0</v>
      </c>
      <c r="Z370" s="1369">
        <f t="shared" ca="1" si="138"/>
        <v>0</v>
      </c>
      <c r="AB370" s="1963">
        <f t="shared" si="139"/>
        <v>0</v>
      </c>
      <c r="AC370" s="1963">
        <f t="shared" si="140"/>
        <v>0</v>
      </c>
      <c r="AD370" s="1963">
        <f t="shared" si="141"/>
        <v>0</v>
      </c>
      <c r="AE370" s="1963">
        <f t="shared" si="142"/>
        <v>0</v>
      </c>
      <c r="AF370" s="1963">
        <f t="shared" si="143"/>
        <v>0</v>
      </c>
      <c r="AG370" s="1964" t="e">
        <f>HLOOKUP($AG$83,anticipado,284,0)</f>
        <v>#N/A</v>
      </c>
      <c r="AI370" s="1966">
        <f t="shared" si="144"/>
        <v>0</v>
      </c>
      <c r="AJ370" s="1361">
        <f t="shared" si="145"/>
        <v>283</v>
      </c>
      <c r="AK370" s="1362">
        <f t="shared" si="146"/>
        <v>0</v>
      </c>
      <c r="AL370" s="1362">
        <f t="shared" si="147"/>
        <v>0</v>
      </c>
      <c r="AM370" s="1362">
        <f t="shared" si="153"/>
        <v>0</v>
      </c>
      <c r="AN370" s="1363">
        <f t="shared" si="148"/>
        <v>1000000</v>
      </c>
      <c r="AQ370" s="1361" t="str">
        <f t="shared" si="149"/>
        <v/>
      </c>
      <c r="AR370" s="1362">
        <f t="shared" si="150"/>
        <v>0</v>
      </c>
      <c r="AS370" s="1362">
        <f t="shared" si="151"/>
        <v>0</v>
      </c>
      <c r="AT370" s="1362">
        <f t="shared" si="154"/>
        <v>0</v>
      </c>
      <c r="AU370" s="1363">
        <f t="shared" si="152"/>
        <v>0</v>
      </c>
    </row>
    <row r="371" spans="1:47">
      <c r="A371" s="1118">
        <f t="shared" ca="1" si="155"/>
        <v>11</v>
      </c>
      <c r="B371" s="1351">
        <f t="shared" si="130"/>
        <v>0</v>
      </c>
      <c r="C371" s="2143">
        <f t="shared" si="158"/>
        <v>0</v>
      </c>
      <c r="D371" s="2144">
        <f t="shared" si="159"/>
        <v>0</v>
      </c>
      <c r="E371" s="2145">
        <f t="shared" si="160"/>
        <v>0</v>
      </c>
      <c r="F371" s="2145">
        <f t="shared" si="161"/>
        <v>0</v>
      </c>
      <c r="G371" s="2145">
        <f t="shared" si="162"/>
        <v>0</v>
      </c>
      <c r="H371" s="2145">
        <f>IF(N370&lt;0.01,0,IF(Adm!$S$4=Adm!$S$8,0,N370*Adm!$V$4))</f>
        <v>0</v>
      </c>
      <c r="I371" s="2145">
        <f>IF(N370&lt;0.01,0,IF(Adm!$S$5=Adm!$S$8,0,Adm!$AA$11*Adm!$X$4))</f>
        <v>0</v>
      </c>
      <c r="J371" s="2145">
        <f>IF(N370&lt;0.01,0,Adm!$Q$4*1.16)</f>
        <v>0</v>
      </c>
      <c r="K371" s="2145">
        <f>IF(N370&lt;0.01,0,IF(Adm!$O$4&gt;0,E371*Adm!$O$4,0))</f>
        <v>0</v>
      </c>
      <c r="L371" s="2145">
        <f t="shared" si="163"/>
        <v>0</v>
      </c>
      <c r="M371" s="2145">
        <f>IF(Adm!$G$4="si",MIN(N370+E371+H371+I371+J371-L371,Z371),0)</f>
        <v>0</v>
      </c>
      <c r="N371" s="2145">
        <f t="shared" si="164"/>
        <v>0</v>
      </c>
      <c r="O371" s="2147"/>
      <c r="V371" s="1352">
        <f t="shared" si="156"/>
        <v>8</v>
      </c>
      <c r="W371" s="1367">
        <f>IF(V371=1,Cal!$AB$127,0)</f>
        <v>0</v>
      </c>
      <c r="Y371" s="1368">
        <f t="shared" si="157"/>
        <v>0</v>
      </c>
      <c r="Z371" s="1369">
        <f t="shared" ca="1" si="138"/>
        <v>0</v>
      </c>
      <c r="AB371" s="1963">
        <f t="shared" si="139"/>
        <v>0</v>
      </c>
      <c r="AC371" s="1963">
        <f t="shared" si="140"/>
        <v>0</v>
      </c>
      <c r="AD371" s="1963">
        <f t="shared" si="141"/>
        <v>0</v>
      </c>
      <c r="AE371" s="1963">
        <f t="shared" si="142"/>
        <v>0</v>
      </c>
      <c r="AF371" s="1963">
        <f t="shared" si="143"/>
        <v>0</v>
      </c>
      <c r="AG371" s="1964" t="e">
        <f>HLOOKUP($AG$83,anticipado,285,0)</f>
        <v>#N/A</v>
      </c>
      <c r="AI371" s="1966">
        <f t="shared" si="144"/>
        <v>0</v>
      </c>
      <c r="AJ371" s="1361">
        <f t="shared" si="145"/>
        <v>284</v>
      </c>
      <c r="AK371" s="1362">
        <f t="shared" si="146"/>
        <v>0</v>
      </c>
      <c r="AL371" s="1362">
        <f t="shared" si="147"/>
        <v>0</v>
      </c>
      <c r="AM371" s="1362">
        <f t="shared" si="153"/>
        <v>0</v>
      </c>
      <c r="AN371" s="1363">
        <f t="shared" si="148"/>
        <v>1000000</v>
      </c>
      <c r="AQ371" s="1361" t="str">
        <f t="shared" si="149"/>
        <v/>
      </c>
      <c r="AR371" s="1362">
        <f t="shared" si="150"/>
        <v>0</v>
      </c>
      <c r="AS371" s="1362">
        <f t="shared" si="151"/>
        <v>0</v>
      </c>
      <c r="AT371" s="1362">
        <f t="shared" si="154"/>
        <v>0</v>
      </c>
      <c r="AU371" s="1363">
        <f t="shared" si="152"/>
        <v>0</v>
      </c>
    </row>
    <row r="372" spans="1:47">
      <c r="A372" s="1118">
        <f t="shared" ca="1" si="155"/>
        <v>12</v>
      </c>
      <c r="B372" s="1351">
        <f t="shared" si="130"/>
        <v>0</v>
      </c>
      <c r="C372" s="2143">
        <f t="shared" si="158"/>
        <v>0</v>
      </c>
      <c r="D372" s="2144">
        <f t="shared" si="159"/>
        <v>0</v>
      </c>
      <c r="E372" s="2145">
        <f t="shared" si="160"/>
        <v>0</v>
      </c>
      <c r="F372" s="2145">
        <f t="shared" si="161"/>
        <v>0</v>
      </c>
      <c r="G372" s="2145">
        <f t="shared" si="162"/>
        <v>0</v>
      </c>
      <c r="H372" s="2145">
        <f>IF(N371&lt;0.01,0,IF(Adm!$S$4=Adm!$S$8,0,N371*Adm!$V$4))</f>
        <v>0</v>
      </c>
      <c r="I372" s="2145">
        <f>IF(N371&lt;0.01,0,IF(Adm!$S$5=Adm!$S$8,0,Adm!$AA$11*Adm!$X$4))</f>
        <v>0</v>
      </c>
      <c r="J372" s="2145">
        <f>IF(N371&lt;0.01,0,Adm!$Q$4*1.16)</f>
        <v>0</v>
      </c>
      <c r="K372" s="2145">
        <f>IF(N371&lt;0.01,0,IF(Adm!$O$4&gt;0,E372*Adm!$O$4,0))</f>
        <v>0</v>
      </c>
      <c r="L372" s="2145">
        <f t="shared" si="163"/>
        <v>0</v>
      </c>
      <c r="M372" s="2145">
        <f>IF(Adm!$G$4="si",MIN(N371+E372+H372+I372+J372-L372,Z372),0)</f>
        <v>0</v>
      </c>
      <c r="N372" s="2145">
        <f t="shared" si="164"/>
        <v>0</v>
      </c>
      <c r="O372" s="2147"/>
      <c r="V372" s="1352">
        <f t="shared" si="156"/>
        <v>9</v>
      </c>
      <c r="W372" s="1367">
        <f>IF(V372=1,Cal!$AB$127,0)</f>
        <v>0</v>
      </c>
      <c r="Y372" s="1368">
        <f t="shared" si="157"/>
        <v>0</v>
      </c>
      <c r="Z372" s="1369">
        <f t="shared" ca="1" si="138"/>
        <v>0</v>
      </c>
      <c r="AB372" s="1963">
        <f t="shared" si="139"/>
        <v>0</v>
      </c>
      <c r="AC372" s="1963">
        <f t="shared" si="140"/>
        <v>0</v>
      </c>
      <c r="AD372" s="1963">
        <f t="shared" si="141"/>
        <v>0</v>
      </c>
      <c r="AE372" s="1963">
        <f t="shared" si="142"/>
        <v>0</v>
      </c>
      <c r="AF372" s="1963">
        <f t="shared" si="143"/>
        <v>0</v>
      </c>
      <c r="AG372" s="1964" t="e">
        <f>HLOOKUP($AG$83,anticipado,286,0)</f>
        <v>#N/A</v>
      </c>
      <c r="AI372" s="1966">
        <f t="shared" si="144"/>
        <v>0</v>
      </c>
      <c r="AJ372" s="1361">
        <f t="shared" si="145"/>
        <v>285</v>
      </c>
      <c r="AK372" s="1362">
        <f t="shared" si="146"/>
        <v>0</v>
      </c>
      <c r="AL372" s="1362">
        <f t="shared" si="147"/>
        <v>0</v>
      </c>
      <c r="AM372" s="1362">
        <f t="shared" si="153"/>
        <v>0</v>
      </c>
      <c r="AN372" s="1363">
        <f t="shared" si="148"/>
        <v>1000000</v>
      </c>
      <c r="AQ372" s="1361" t="str">
        <f t="shared" si="149"/>
        <v/>
      </c>
      <c r="AR372" s="1362">
        <f t="shared" si="150"/>
        <v>0</v>
      </c>
      <c r="AS372" s="1362">
        <f t="shared" si="151"/>
        <v>0</v>
      </c>
      <c r="AT372" s="1362">
        <f t="shared" si="154"/>
        <v>0</v>
      </c>
      <c r="AU372" s="1363">
        <f t="shared" si="152"/>
        <v>0</v>
      </c>
    </row>
    <row r="373" spans="1:47">
      <c r="A373" s="1118">
        <f t="shared" ca="1" si="155"/>
        <v>1</v>
      </c>
      <c r="B373" s="1351">
        <f t="shared" si="130"/>
        <v>0</v>
      </c>
      <c r="C373" s="2143">
        <f t="shared" si="158"/>
        <v>0</v>
      </c>
      <c r="D373" s="2144">
        <f t="shared" si="159"/>
        <v>0</v>
      </c>
      <c r="E373" s="2145">
        <f t="shared" si="160"/>
        <v>0</v>
      </c>
      <c r="F373" s="2145">
        <f t="shared" si="161"/>
        <v>0</v>
      </c>
      <c r="G373" s="2145">
        <f t="shared" si="162"/>
        <v>0</v>
      </c>
      <c r="H373" s="2145">
        <f>IF(N372&lt;0.01,0,IF(Adm!$S$4=Adm!$S$8,0,N372*Adm!$V$4))</f>
        <v>0</v>
      </c>
      <c r="I373" s="2145">
        <f>IF(N372&lt;0.01,0,IF(Adm!$S$5=Adm!$S$8,0,Adm!$AA$11*Adm!$X$4))</f>
        <v>0</v>
      </c>
      <c r="J373" s="2145">
        <f>IF(N372&lt;0.01,0,Adm!$Q$4*1.16)</f>
        <v>0</v>
      </c>
      <c r="K373" s="2145">
        <f>IF(N372&lt;0.01,0,IF(Adm!$O$4&gt;0,E373*Adm!$O$4,0))</f>
        <v>0</v>
      </c>
      <c r="L373" s="2145">
        <f t="shared" si="163"/>
        <v>0</v>
      </c>
      <c r="M373" s="2145">
        <f>IF(Adm!$G$4="si",MIN(N372+E373+H373+I373+J373-L373,Z373),0)</f>
        <v>0</v>
      </c>
      <c r="N373" s="2145">
        <f t="shared" si="164"/>
        <v>0</v>
      </c>
      <c r="O373" s="2147"/>
      <c r="V373" s="1352">
        <f t="shared" si="156"/>
        <v>10</v>
      </c>
      <c r="W373" s="1367">
        <f>IF(V373=1,Cal!$AB$127,0)</f>
        <v>0</v>
      </c>
      <c r="Y373" s="1368">
        <f t="shared" si="157"/>
        <v>0</v>
      </c>
      <c r="Z373" s="1369">
        <f t="shared" ca="1" si="138"/>
        <v>0</v>
      </c>
      <c r="AB373" s="1963">
        <f t="shared" si="139"/>
        <v>0</v>
      </c>
      <c r="AC373" s="1963">
        <f t="shared" si="140"/>
        <v>0</v>
      </c>
      <c r="AD373" s="1963">
        <f t="shared" si="141"/>
        <v>0</v>
      </c>
      <c r="AE373" s="1963">
        <f t="shared" si="142"/>
        <v>0</v>
      </c>
      <c r="AF373" s="1963">
        <f t="shared" si="143"/>
        <v>0</v>
      </c>
      <c r="AG373" s="1964" t="e">
        <f>HLOOKUP($AG$83,anticipado,287,0)</f>
        <v>#N/A</v>
      </c>
      <c r="AI373" s="1966">
        <f t="shared" si="144"/>
        <v>0</v>
      </c>
      <c r="AJ373" s="1361">
        <f t="shared" si="145"/>
        <v>286</v>
      </c>
      <c r="AK373" s="1362">
        <f t="shared" si="146"/>
        <v>0</v>
      </c>
      <c r="AL373" s="1362">
        <f t="shared" si="147"/>
        <v>0</v>
      </c>
      <c r="AM373" s="1362">
        <f t="shared" si="153"/>
        <v>0</v>
      </c>
      <c r="AN373" s="1363">
        <f t="shared" si="148"/>
        <v>1000000</v>
      </c>
      <c r="AQ373" s="1361" t="str">
        <f t="shared" si="149"/>
        <v/>
      </c>
      <c r="AR373" s="1362">
        <f t="shared" si="150"/>
        <v>0</v>
      </c>
      <c r="AS373" s="1362">
        <f t="shared" si="151"/>
        <v>0</v>
      </c>
      <c r="AT373" s="1362">
        <f t="shared" si="154"/>
        <v>0</v>
      </c>
      <c r="AU373" s="1363">
        <f t="shared" si="152"/>
        <v>0</v>
      </c>
    </row>
    <row r="374" spans="1:47">
      <c r="A374" s="1118">
        <f t="shared" ca="1" si="155"/>
        <v>2</v>
      </c>
      <c r="B374" s="1351">
        <f t="shared" si="130"/>
        <v>0</v>
      </c>
      <c r="C374" s="2143">
        <f t="shared" si="158"/>
        <v>0</v>
      </c>
      <c r="D374" s="2144">
        <f t="shared" si="159"/>
        <v>0</v>
      </c>
      <c r="E374" s="2145">
        <f t="shared" si="160"/>
        <v>0</v>
      </c>
      <c r="F374" s="2145">
        <f t="shared" si="161"/>
        <v>0</v>
      </c>
      <c r="G374" s="2145">
        <f t="shared" si="162"/>
        <v>0</v>
      </c>
      <c r="H374" s="2145">
        <f>IF(N373&lt;0.01,0,IF(Adm!$S$4=Adm!$S$8,0,N373*Adm!$V$4))</f>
        <v>0</v>
      </c>
      <c r="I374" s="2145">
        <f>IF(N373&lt;0.01,0,IF(Adm!$S$5=Adm!$S$8,0,Adm!$AA$11*Adm!$X$4))</f>
        <v>0</v>
      </c>
      <c r="J374" s="2145">
        <f>IF(N373&lt;0.01,0,Adm!$Q$4*1.16)</f>
        <v>0</v>
      </c>
      <c r="K374" s="2145">
        <f>IF(N373&lt;0.01,0,IF(Adm!$O$4&gt;0,E374*Adm!$O$4,0))</f>
        <v>0</v>
      </c>
      <c r="L374" s="2145">
        <f t="shared" si="163"/>
        <v>0</v>
      </c>
      <c r="M374" s="2145">
        <f>IF(Adm!$G$4="si",MIN(N373+E374+H374+I374+J374-L374,Z374),0)</f>
        <v>0</v>
      </c>
      <c r="N374" s="2145">
        <f t="shared" si="164"/>
        <v>0</v>
      </c>
      <c r="O374" s="2147"/>
      <c r="V374" s="1352">
        <f t="shared" si="156"/>
        <v>11</v>
      </c>
      <c r="W374" s="1367">
        <f>IF(V374=1,Cal!$AB$127,0)</f>
        <v>0</v>
      </c>
      <c r="Y374" s="1368">
        <f t="shared" si="157"/>
        <v>0</v>
      </c>
      <c r="Z374" s="1369">
        <f t="shared" ca="1" si="138"/>
        <v>0</v>
      </c>
      <c r="AB374" s="1963">
        <f t="shared" si="139"/>
        <v>0</v>
      </c>
      <c r="AC374" s="1963">
        <f t="shared" si="140"/>
        <v>0</v>
      </c>
      <c r="AD374" s="1963">
        <f t="shared" si="141"/>
        <v>0</v>
      </c>
      <c r="AE374" s="1963">
        <f t="shared" si="142"/>
        <v>0</v>
      </c>
      <c r="AF374" s="1963">
        <f t="shared" si="143"/>
        <v>0</v>
      </c>
      <c r="AG374" s="1964" t="e">
        <f>HLOOKUP($AG$83,anticipado,288,0)</f>
        <v>#N/A</v>
      </c>
      <c r="AI374" s="1966">
        <f t="shared" si="144"/>
        <v>0</v>
      </c>
      <c r="AJ374" s="1361">
        <f t="shared" si="145"/>
        <v>287</v>
      </c>
      <c r="AK374" s="1362">
        <f t="shared" si="146"/>
        <v>0</v>
      </c>
      <c r="AL374" s="1362">
        <f t="shared" si="147"/>
        <v>0</v>
      </c>
      <c r="AM374" s="1362">
        <f t="shared" si="153"/>
        <v>0</v>
      </c>
      <c r="AN374" s="1363">
        <f t="shared" si="148"/>
        <v>1000000</v>
      </c>
      <c r="AQ374" s="1361" t="str">
        <f t="shared" si="149"/>
        <v/>
      </c>
      <c r="AR374" s="1362">
        <f t="shared" si="150"/>
        <v>0</v>
      </c>
      <c r="AS374" s="1362">
        <f t="shared" si="151"/>
        <v>0</v>
      </c>
      <c r="AT374" s="1362">
        <f t="shared" si="154"/>
        <v>0</v>
      </c>
      <c r="AU374" s="1363">
        <f t="shared" si="152"/>
        <v>0</v>
      </c>
    </row>
    <row r="375" spans="1:47">
      <c r="A375" s="1118">
        <f t="shared" ca="1" si="155"/>
        <v>3</v>
      </c>
      <c r="B375" s="1351">
        <f t="shared" si="130"/>
        <v>0</v>
      </c>
      <c r="C375" s="2143">
        <f t="shared" si="158"/>
        <v>0</v>
      </c>
      <c r="D375" s="2144">
        <f t="shared" si="159"/>
        <v>0</v>
      </c>
      <c r="E375" s="2145">
        <f t="shared" si="160"/>
        <v>0</v>
      </c>
      <c r="F375" s="2145">
        <f t="shared" si="161"/>
        <v>0</v>
      </c>
      <c r="G375" s="2145">
        <f t="shared" si="162"/>
        <v>0</v>
      </c>
      <c r="H375" s="2145">
        <f>IF(N374&lt;0.01,0,IF(Adm!$S$4=Adm!$S$8,0,N374*Adm!$V$4))</f>
        <v>0</v>
      </c>
      <c r="I375" s="2145">
        <f>IF(N374&lt;0.01,0,IF(Adm!$S$5=Adm!$S$8,0,Adm!$AA$11*Adm!$X$4))</f>
        <v>0</v>
      </c>
      <c r="J375" s="2145">
        <f>IF(N374&lt;0.01,0,Adm!$Q$4*1.16)</f>
        <v>0</v>
      </c>
      <c r="K375" s="2145">
        <f>IF(N374&lt;0.01,0,IF(Adm!$O$4&gt;0,E375*Adm!$O$4,0))</f>
        <v>0</v>
      </c>
      <c r="L375" s="2145">
        <f t="shared" si="163"/>
        <v>0</v>
      </c>
      <c r="M375" s="2145">
        <f>IF(Adm!$G$4="si",MIN(N374+E375+H375+I375+J375-L375,Z375),0)</f>
        <v>0</v>
      </c>
      <c r="N375" s="2145">
        <f t="shared" si="164"/>
        <v>0</v>
      </c>
      <c r="O375" s="2147"/>
      <c r="V375" s="1352">
        <f t="shared" si="156"/>
        <v>12</v>
      </c>
      <c r="W375" s="1367">
        <f>IF(V375=1,Cal!$AB$127,0)</f>
        <v>0</v>
      </c>
      <c r="Y375" s="1368">
        <f t="shared" si="157"/>
        <v>0</v>
      </c>
      <c r="Z375" s="1369">
        <f t="shared" ca="1" si="138"/>
        <v>0</v>
      </c>
      <c r="AB375" s="1963">
        <f t="shared" si="139"/>
        <v>0</v>
      </c>
      <c r="AC375" s="1963">
        <f t="shared" si="140"/>
        <v>0</v>
      </c>
      <c r="AD375" s="1963">
        <f t="shared" si="141"/>
        <v>0</v>
      </c>
      <c r="AE375" s="1963">
        <f t="shared" si="142"/>
        <v>0</v>
      </c>
      <c r="AF375" s="1963">
        <f t="shared" si="143"/>
        <v>0</v>
      </c>
      <c r="AG375" s="1964" t="e">
        <f>HLOOKUP($AG$83,anticipado,289,0)</f>
        <v>#N/A</v>
      </c>
      <c r="AI375" s="1966">
        <f t="shared" si="144"/>
        <v>0</v>
      </c>
      <c r="AJ375" s="1361">
        <f t="shared" si="145"/>
        <v>288</v>
      </c>
      <c r="AK375" s="1362">
        <f t="shared" si="146"/>
        <v>0</v>
      </c>
      <c r="AL375" s="1362">
        <f t="shared" si="147"/>
        <v>0</v>
      </c>
      <c r="AM375" s="1362">
        <f t="shared" si="153"/>
        <v>0</v>
      </c>
      <c r="AN375" s="1363">
        <f t="shared" si="148"/>
        <v>1000000</v>
      </c>
      <c r="AQ375" s="1361" t="str">
        <f t="shared" si="149"/>
        <v/>
      </c>
      <c r="AR375" s="1362">
        <f t="shared" si="150"/>
        <v>0</v>
      </c>
      <c r="AS375" s="1362">
        <f t="shared" si="151"/>
        <v>0</v>
      </c>
      <c r="AT375" s="1362">
        <f t="shared" si="154"/>
        <v>0</v>
      </c>
      <c r="AU375" s="1363">
        <f t="shared" si="152"/>
        <v>0</v>
      </c>
    </row>
    <row r="376" spans="1:47">
      <c r="A376" s="1118">
        <f t="shared" ca="1" si="155"/>
        <v>4</v>
      </c>
      <c r="B376" s="1351">
        <f t="shared" si="130"/>
        <v>0</v>
      </c>
      <c r="C376" s="2143">
        <f t="shared" si="158"/>
        <v>0</v>
      </c>
      <c r="D376" s="2144">
        <f t="shared" si="159"/>
        <v>0</v>
      </c>
      <c r="E376" s="2145">
        <f t="shared" si="160"/>
        <v>0</v>
      </c>
      <c r="F376" s="2145">
        <f t="shared" si="161"/>
        <v>0</v>
      </c>
      <c r="G376" s="2145">
        <f t="shared" si="162"/>
        <v>0</v>
      </c>
      <c r="H376" s="2145">
        <f>IF(N375&lt;0.01,0,IF(Adm!$S$4=Adm!$S$8,0,N375*Adm!$V$4))</f>
        <v>0</v>
      </c>
      <c r="I376" s="2145">
        <f>IF(N375&lt;0.01,0,IF(Adm!$S$5=Adm!$S$8,0,Adm!$AA$11*Adm!$X$4))</f>
        <v>0</v>
      </c>
      <c r="J376" s="2145">
        <f>IF(N375&lt;0.01,0,Adm!$Q$4*1.16)</f>
        <v>0</v>
      </c>
      <c r="K376" s="2145">
        <f>IF(N375&lt;0.01,0,IF(Adm!$O$4&gt;0,E376*Adm!$O$4,0))</f>
        <v>0</v>
      </c>
      <c r="L376" s="2145">
        <f t="shared" si="163"/>
        <v>0</v>
      </c>
      <c r="M376" s="2145">
        <f>IF(Adm!$G$4="si",MIN(N375+E376+H376+I376+J376-L376,Z376),0)</f>
        <v>0</v>
      </c>
      <c r="N376" s="2145">
        <f t="shared" si="164"/>
        <v>0</v>
      </c>
      <c r="O376" s="2147"/>
      <c r="V376" s="1352">
        <f t="shared" si="156"/>
        <v>1</v>
      </c>
      <c r="W376" s="1367">
        <f>IF(V376=1,Cal!$AB$127,0)</f>
        <v>0</v>
      </c>
      <c r="Y376" s="1368">
        <f t="shared" si="157"/>
        <v>0</v>
      </c>
      <c r="Z376" s="1369">
        <f t="shared" ca="1" si="138"/>
        <v>0</v>
      </c>
      <c r="AB376" s="1963">
        <f t="shared" si="139"/>
        <v>0</v>
      </c>
      <c r="AC376" s="1963">
        <f t="shared" si="140"/>
        <v>0</v>
      </c>
      <c r="AD376" s="1963">
        <f t="shared" si="141"/>
        <v>0</v>
      </c>
      <c r="AE376" s="1963">
        <f t="shared" si="142"/>
        <v>0</v>
      </c>
      <c r="AF376" s="1963">
        <f t="shared" si="143"/>
        <v>0</v>
      </c>
      <c r="AG376" s="1964" t="e">
        <f>HLOOKUP($AG$83,anticipado,290,0)</f>
        <v>#N/A</v>
      </c>
      <c r="AI376" s="1966">
        <f t="shared" si="144"/>
        <v>0</v>
      </c>
      <c r="AJ376" s="1377">
        <f t="shared" si="145"/>
        <v>289</v>
      </c>
      <c r="AK376" s="1378">
        <f t="shared" si="146"/>
        <v>0</v>
      </c>
      <c r="AL376" s="1378">
        <f t="shared" si="147"/>
        <v>0</v>
      </c>
      <c r="AM376" s="1378">
        <f>MIN(AN375+AK376,AM375*(1+$AK$83))</f>
        <v>0</v>
      </c>
      <c r="AN376" s="1363">
        <f t="shared" si="148"/>
        <v>1000000</v>
      </c>
      <c r="AQ376" s="1379" t="str">
        <f t="shared" si="149"/>
        <v/>
      </c>
      <c r="AR376" s="1380">
        <f t="shared" si="150"/>
        <v>0</v>
      </c>
      <c r="AS376" s="1380">
        <f t="shared" si="151"/>
        <v>0</v>
      </c>
      <c r="AT376" s="1380">
        <f>MIN(AU375+AR376,AT375*(1+$AR$83))</f>
        <v>0</v>
      </c>
      <c r="AU376" s="1363">
        <f t="shared" si="152"/>
        <v>0</v>
      </c>
    </row>
    <row r="377" spans="1:47">
      <c r="A377" s="1118">
        <f t="shared" ca="1" si="155"/>
        <v>5</v>
      </c>
      <c r="B377" s="1351">
        <f t="shared" si="130"/>
        <v>0</v>
      </c>
      <c r="C377" s="2143">
        <f t="shared" si="158"/>
        <v>0</v>
      </c>
      <c r="D377" s="2144">
        <f t="shared" si="159"/>
        <v>0</v>
      </c>
      <c r="E377" s="2145">
        <f t="shared" si="160"/>
        <v>0</v>
      </c>
      <c r="F377" s="2145">
        <f t="shared" si="161"/>
        <v>0</v>
      </c>
      <c r="G377" s="2145">
        <f t="shared" si="162"/>
        <v>0</v>
      </c>
      <c r="H377" s="2145">
        <f>IF(N376&lt;0.01,0,IF(Adm!$S$4=Adm!$S$8,0,N376*Adm!$V$4))</f>
        <v>0</v>
      </c>
      <c r="I377" s="2145">
        <f>IF(N376&lt;0.01,0,IF(Adm!$S$5=Adm!$S$8,0,Adm!$AA$11*Adm!$X$4))</f>
        <v>0</v>
      </c>
      <c r="J377" s="2145">
        <f>IF(N376&lt;0.01,0,Adm!$Q$4*1.16)</f>
        <v>0</v>
      </c>
      <c r="K377" s="2145">
        <f>IF(N376&lt;0.01,0,IF(Adm!$O$4&gt;0,E377*Adm!$O$4,0))</f>
        <v>0</v>
      </c>
      <c r="L377" s="2145">
        <f t="shared" si="163"/>
        <v>0</v>
      </c>
      <c r="M377" s="2145">
        <f>IF(Adm!$G$4="si",MIN(N376+E377+H377+I377+J377-L377,Z377),0)</f>
        <v>0</v>
      </c>
      <c r="N377" s="2145">
        <f t="shared" si="164"/>
        <v>0</v>
      </c>
      <c r="O377" s="2147"/>
      <c r="V377" s="1352">
        <f t="shared" si="156"/>
        <v>2</v>
      </c>
      <c r="W377" s="1367">
        <f>IF(V377=1,Cal!$AB$127,0)</f>
        <v>0</v>
      </c>
      <c r="Y377" s="1368">
        <f t="shared" si="157"/>
        <v>0</v>
      </c>
      <c r="Z377" s="1369">
        <f t="shared" ca="1" si="138"/>
        <v>0</v>
      </c>
      <c r="AB377" s="1963">
        <f t="shared" si="139"/>
        <v>0</v>
      </c>
      <c r="AC377" s="1963">
        <f t="shared" si="140"/>
        <v>0</v>
      </c>
      <c r="AD377" s="1963">
        <f t="shared" si="141"/>
        <v>0</v>
      </c>
      <c r="AE377" s="1963">
        <f t="shared" si="142"/>
        <v>0</v>
      </c>
      <c r="AF377" s="1963">
        <f t="shared" si="143"/>
        <v>0</v>
      </c>
      <c r="AG377" s="1964" t="e">
        <f>HLOOKUP($AG$83,anticipado,291,0)</f>
        <v>#N/A</v>
      </c>
      <c r="AI377" s="1966">
        <f t="shared" si="144"/>
        <v>0</v>
      </c>
      <c r="AJ377" s="1361">
        <f t="shared" si="145"/>
        <v>290</v>
      </c>
      <c r="AK377" s="1362">
        <f t="shared" si="146"/>
        <v>0</v>
      </c>
      <c r="AL377" s="1362">
        <f t="shared" si="147"/>
        <v>0</v>
      </c>
      <c r="AM377" s="1362">
        <f t="shared" si="153"/>
        <v>0</v>
      </c>
      <c r="AN377" s="1363">
        <f t="shared" si="148"/>
        <v>1000000</v>
      </c>
      <c r="AQ377" s="1361" t="str">
        <f t="shared" si="149"/>
        <v/>
      </c>
      <c r="AR377" s="1362">
        <f t="shared" si="150"/>
        <v>0</v>
      </c>
      <c r="AS377" s="1362">
        <f t="shared" si="151"/>
        <v>0</v>
      </c>
      <c r="AT377" s="1362">
        <f t="shared" si="154"/>
        <v>0</v>
      </c>
      <c r="AU377" s="1363">
        <f t="shared" si="152"/>
        <v>0</v>
      </c>
    </row>
    <row r="378" spans="1:47">
      <c r="A378" s="1118">
        <f t="shared" ca="1" si="155"/>
        <v>6</v>
      </c>
      <c r="B378" s="1351">
        <f t="shared" si="130"/>
        <v>0</v>
      </c>
      <c r="C378" s="2143">
        <f t="shared" si="158"/>
        <v>0</v>
      </c>
      <c r="D378" s="2144">
        <f t="shared" si="159"/>
        <v>0</v>
      </c>
      <c r="E378" s="2145">
        <f t="shared" si="160"/>
        <v>0</v>
      </c>
      <c r="F378" s="2145">
        <f t="shared" si="161"/>
        <v>0</v>
      </c>
      <c r="G378" s="2145">
        <f t="shared" si="162"/>
        <v>0</v>
      </c>
      <c r="H378" s="2145">
        <f>IF(N377&lt;0.01,0,IF(Adm!$S$4=Adm!$S$8,0,N377*Adm!$V$4))</f>
        <v>0</v>
      </c>
      <c r="I378" s="2145">
        <f>IF(N377&lt;0.01,0,IF(Adm!$S$5=Adm!$S$8,0,Adm!$AA$11*Adm!$X$4))</f>
        <v>0</v>
      </c>
      <c r="J378" s="2145">
        <f>IF(N377&lt;0.01,0,Adm!$Q$4*1.16)</f>
        <v>0</v>
      </c>
      <c r="K378" s="2145">
        <f>IF(N377&lt;0.01,0,IF(Adm!$O$4&gt;0,E378*Adm!$O$4,0))</f>
        <v>0</v>
      </c>
      <c r="L378" s="2145">
        <f t="shared" si="163"/>
        <v>0</v>
      </c>
      <c r="M378" s="2145">
        <f>IF(Adm!$G$4="si",MIN(N377+E378+H378+I378+J378-L378,Z378),0)</f>
        <v>0</v>
      </c>
      <c r="N378" s="2145">
        <f t="shared" si="164"/>
        <v>0</v>
      </c>
      <c r="O378" s="2147"/>
      <c r="V378" s="1352">
        <f t="shared" si="156"/>
        <v>3</v>
      </c>
      <c r="W378" s="1367">
        <f>IF(V378=1,Cal!$AB$127,0)</f>
        <v>0</v>
      </c>
      <c r="Y378" s="1368">
        <f t="shared" si="157"/>
        <v>0</v>
      </c>
      <c r="Z378" s="1369">
        <f t="shared" ca="1" si="138"/>
        <v>0</v>
      </c>
      <c r="AB378" s="1963">
        <f t="shared" si="139"/>
        <v>0</v>
      </c>
      <c r="AC378" s="1963">
        <f t="shared" si="140"/>
        <v>0</v>
      </c>
      <c r="AD378" s="1963">
        <f t="shared" si="141"/>
        <v>0</v>
      </c>
      <c r="AE378" s="1963">
        <f t="shared" si="142"/>
        <v>0</v>
      </c>
      <c r="AF378" s="1963">
        <f t="shared" si="143"/>
        <v>0</v>
      </c>
      <c r="AG378" s="1964" t="e">
        <f>HLOOKUP($AG$83,anticipado,292,0)</f>
        <v>#N/A</v>
      </c>
      <c r="AI378" s="1966">
        <f t="shared" si="144"/>
        <v>0</v>
      </c>
      <c r="AJ378" s="1361">
        <f t="shared" si="145"/>
        <v>291</v>
      </c>
      <c r="AK378" s="1362">
        <f t="shared" si="146"/>
        <v>0</v>
      </c>
      <c r="AL378" s="1362">
        <f t="shared" si="147"/>
        <v>0</v>
      </c>
      <c r="AM378" s="1362">
        <f t="shared" si="153"/>
        <v>0</v>
      </c>
      <c r="AN378" s="1363">
        <f t="shared" si="148"/>
        <v>1000000</v>
      </c>
      <c r="AQ378" s="1361" t="str">
        <f t="shared" si="149"/>
        <v/>
      </c>
      <c r="AR378" s="1362">
        <f t="shared" si="150"/>
        <v>0</v>
      </c>
      <c r="AS378" s="1362">
        <f t="shared" si="151"/>
        <v>0</v>
      </c>
      <c r="AT378" s="1362">
        <f t="shared" si="154"/>
        <v>0</v>
      </c>
      <c r="AU378" s="1363">
        <f t="shared" si="152"/>
        <v>0</v>
      </c>
    </row>
    <row r="379" spans="1:47">
      <c r="A379" s="1118">
        <f t="shared" ca="1" si="155"/>
        <v>7</v>
      </c>
      <c r="B379" s="1351">
        <f t="shared" si="130"/>
        <v>0</v>
      </c>
      <c r="C379" s="2143">
        <f t="shared" si="158"/>
        <v>0</v>
      </c>
      <c r="D379" s="2144">
        <f t="shared" si="159"/>
        <v>0</v>
      </c>
      <c r="E379" s="2145">
        <f t="shared" si="160"/>
        <v>0</v>
      </c>
      <c r="F379" s="2145">
        <f t="shared" si="161"/>
        <v>0</v>
      </c>
      <c r="G379" s="2145">
        <f t="shared" si="162"/>
        <v>0</v>
      </c>
      <c r="H379" s="2145">
        <f>IF(N378&lt;0.01,0,IF(Adm!$S$4=Adm!$S$8,0,N378*Adm!$V$4))</f>
        <v>0</v>
      </c>
      <c r="I379" s="2145">
        <f>IF(N378&lt;0.01,0,IF(Adm!$S$5=Adm!$S$8,0,Adm!$AA$11*Adm!$X$4))</f>
        <v>0</v>
      </c>
      <c r="J379" s="2145">
        <f>IF(N378&lt;0.01,0,Adm!$Q$4*1.16)</f>
        <v>0</v>
      </c>
      <c r="K379" s="2145">
        <f>IF(N378&lt;0.01,0,IF(Adm!$O$4&gt;0,E379*Adm!$O$4,0))</f>
        <v>0</v>
      </c>
      <c r="L379" s="2145">
        <f t="shared" si="163"/>
        <v>0</v>
      </c>
      <c r="M379" s="2145">
        <f>IF(Adm!$G$4="si",MIN(N378+E379+H379+I379+J379-L379,Z379),0)</f>
        <v>0</v>
      </c>
      <c r="N379" s="2145">
        <f t="shared" si="164"/>
        <v>0</v>
      </c>
      <c r="O379" s="2147"/>
      <c r="V379" s="1352">
        <f t="shared" si="156"/>
        <v>4</v>
      </c>
      <c r="W379" s="1367">
        <f>IF(V379=1,Cal!$AB$127,0)</f>
        <v>0</v>
      </c>
      <c r="Y379" s="1368">
        <f t="shared" si="157"/>
        <v>0</v>
      </c>
      <c r="Z379" s="1369">
        <f t="shared" ca="1" si="138"/>
        <v>0</v>
      </c>
      <c r="AB379" s="1963">
        <f t="shared" si="139"/>
        <v>0</v>
      </c>
      <c r="AC379" s="1963">
        <f t="shared" si="140"/>
        <v>0</v>
      </c>
      <c r="AD379" s="1963">
        <f t="shared" si="141"/>
        <v>0</v>
      </c>
      <c r="AE379" s="1963">
        <f t="shared" si="142"/>
        <v>0</v>
      </c>
      <c r="AF379" s="1963">
        <f t="shared" si="143"/>
        <v>0</v>
      </c>
      <c r="AG379" s="1964" t="e">
        <f>HLOOKUP($AG$83,anticipado,293,0)</f>
        <v>#N/A</v>
      </c>
      <c r="AI379" s="1966">
        <f t="shared" si="144"/>
        <v>0</v>
      </c>
      <c r="AJ379" s="1361">
        <f t="shared" si="145"/>
        <v>292</v>
      </c>
      <c r="AK379" s="1362">
        <f t="shared" si="146"/>
        <v>0</v>
      </c>
      <c r="AL379" s="1362">
        <f t="shared" si="147"/>
        <v>0</v>
      </c>
      <c r="AM379" s="1362">
        <f t="shared" si="153"/>
        <v>0</v>
      </c>
      <c r="AN379" s="1363">
        <f t="shared" si="148"/>
        <v>1000000</v>
      </c>
      <c r="AQ379" s="1361" t="str">
        <f t="shared" si="149"/>
        <v/>
      </c>
      <c r="AR379" s="1362">
        <f t="shared" si="150"/>
        <v>0</v>
      </c>
      <c r="AS379" s="1362">
        <f t="shared" si="151"/>
        <v>0</v>
      </c>
      <c r="AT379" s="1362">
        <f t="shared" si="154"/>
        <v>0</v>
      </c>
      <c r="AU379" s="1363">
        <f t="shared" si="152"/>
        <v>0</v>
      </c>
    </row>
    <row r="380" spans="1:47">
      <c r="A380" s="1118">
        <f t="shared" ca="1" si="155"/>
        <v>8</v>
      </c>
      <c r="B380" s="1351">
        <f t="shared" si="130"/>
        <v>0</v>
      </c>
      <c r="C380" s="2143">
        <f t="shared" si="158"/>
        <v>0</v>
      </c>
      <c r="D380" s="2144">
        <f t="shared" si="159"/>
        <v>0</v>
      </c>
      <c r="E380" s="2145">
        <f t="shared" si="160"/>
        <v>0</v>
      </c>
      <c r="F380" s="2145">
        <f t="shared" si="161"/>
        <v>0</v>
      </c>
      <c r="G380" s="2145">
        <f t="shared" si="162"/>
        <v>0</v>
      </c>
      <c r="H380" s="2145">
        <f>IF(N379&lt;0.01,0,IF(Adm!$S$4=Adm!$S$8,0,N379*Adm!$V$4))</f>
        <v>0</v>
      </c>
      <c r="I380" s="2145">
        <f>IF(N379&lt;0.01,0,IF(Adm!$S$5=Adm!$S$8,0,Adm!$AA$11*Adm!$X$4))</f>
        <v>0</v>
      </c>
      <c r="J380" s="2145">
        <f>IF(N379&lt;0.01,0,Adm!$Q$4*1.16)</f>
        <v>0</v>
      </c>
      <c r="K380" s="2145">
        <f>IF(N379&lt;0.01,0,IF(Adm!$O$4&gt;0,E380*Adm!$O$4,0))</f>
        <v>0</v>
      </c>
      <c r="L380" s="2145">
        <f t="shared" si="163"/>
        <v>0</v>
      </c>
      <c r="M380" s="2145">
        <f>IF(Adm!$G$4="si",MIN(N379+E380+H380+I380+J380-L380,Z380),0)</f>
        <v>0</v>
      </c>
      <c r="N380" s="2145">
        <f t="shared" si="164"/>
        <v>0</v>
      </c>
      <c r="O380" s="2147"/>
      <c r="V380" s="1352">
        <f t="shared" si="156"/>
        <v>5</v>
      </c>
      <c r="W380" s="1367">
        <f>IF(V380=1,Cal!$AB$127,0)</f>
        <v>0</v>
      </c>
      <c r="Y380" s="1368">
        <f t="shared" si="157"/>
        <v>0</v>
      </c>
      <c r="Z380" s="1369">
        <f t="shared" ca="1" si="138"/>
        <v>0</v>
      </c>
      <c r="AB380" s="1963">
        <f t="shared" si="139"/>
        <v>0</v>
      </c>
      <c r="AC380" s="1963">
        <f t="shared" si="140"/>
        <v>0</v>
      </c>
      <c r="AD380" s="1963">
        <f t="shared" si="141"/>
        <v>0</v>
      </c>
      <c r="AE380" s="1963">
        <f t="shared" si="142"/>
        <v>0</v>
      </c>
      <c r="AF380" s="1963">
        <f t="shared" si="143"/>
        <v>0</v>
      </c>
      <c r="AG380" s="1964" t="e">
        <f>HLOOKUP($AG$83,anticipado,294,0)</f>
        <v>#N/A</v>
      </c>
      <c r="AI380" s="1966">
        <f t="shared" si="144"/>
        <v>0</v>
      </c>
      <c r="AJ380" s="1361">
        <f t="shared" si="145"/>
        <v>293</v>
      </c>
      <c r="AK380" s="1362">
        <f t="shared" si="146"/>
        <v>0</v>
      </c>
      <c r="AL380" s="1362">
        <f t="shared" si="147"/>
        <v>0</v>
      </c>
      <c r="AM380" s="1362">
        <f t="shared" si="153"/>
        <v>0</v>
      </c>
      <c r="AN380" s="1363">
        <f t="shared" si="148"/>
        <v>1000000</v>
      </c>
      <c r="AQ380" s="1361" t="str">
        <f t="shared" si="149"/>
        <v/>
      </c>
      <c r="AR380" s="1362">
        <f t="shared" si="150"/>
        <v>0</v>
      </c>
      <c r="AS380" s="1362">
        <f t="shared" si="151"/>
        <v>0</v>
      </c>
      <c r="AT380" s="1362">
        <f t="shared" si="154"/>
        <v>0</v>
      </c>
      <c r="AU380" s="1363">
        <f t="shared" si="152"/>
        <v>0</v>
      </c>
    </row>
    <row r="381" spans="1:47">
      <c r="A381" s="1118">
        <f t="shared" ca="1" si="155"/>
        <v>9</v>
      </c>
      <c r="B381" s="1351">
        <f t="shared" si="130"/>
        <v>0</v>
      </c>
      <c r="C381" s="2143">
        <f t="shared" si="158"/>
        <v>0</v>
      </c>
      <c r="D381" s="2144">
        <f t="shared" si="159"/>
        <v>0</v>
      </c>
      <c r="E381" s="2145">
        <f t="shared" si="160"/>
        <v>0</v>
      </c>
      <c r="F381" s="2145">
        <f t="shared" si="161"/>
        <v>0</v>
      </c>
      <c r="G381" s="2145">
        <f t="shared" si="162"/>
        <v>0</v>
      </c>
      <c r="H381" s="2145">
        <f>IF(N380&lt;0.01,0,IF(Adm!$S$4=Adm!$S$8,0,N380*Adm!$V$4))</f>
        <v>0</v>
      </c>
      <c r="I381" s="2145">
        <f>IF(N380&lt;0.01,0,IF(Adm!$S$5=Adm!$S$8,0,Adm!$AA$11*Adm!$X$4))</f>
        <v>0</v>
      </c>
      <c r="J381" s="2145">
        <f>IF(N380&lt;0.01,0,Adm!$Q$4*1.16)</f>
        <v>0</v>
      </c>
      <c r="K381" s="2145">
        <f>IF(N380&lt;0.01,0,IF(Adm!$O$4&gt;0,E381*Adm!$O$4,0))</f>
        <v>0</v>
      </c>
      <c r="L381" s="2145">
        <f t="shared" si="163"/>
        <v>0</v>
      </c>
      <c r="M381" s="2145">
        <f>IF(Adm!$G$4="si",MIN(N380+E381+H381+I381+J381-L381,Z381),0)</f>
        <v>0</v>
      </c>
      <c r="N381" s="2145">
        <f t="shared" si="164"/>
        <v>0</v>
      </c>
      <c r="O381" s="2147"/>
      <c r="V381" s="1352">
        <f t="shared" si="156"/>
        <v>6</v>
      </c>
      <c r="W381" s="1367">
        <f>IF(V381=1,Cal!$AB$127,0)</f>
        <v>0</v>
      </c>
      <c r="Y381" s="1368">
        <f t="shared" si="157"/>
        <v>0</v>
      </c>
      <c r="Z381" s="1369">
        <f t="shared" ca="1" si="138"/>
        <v>0</v>
      </c>
      <c r="AB381" s="1963">
        <f t="shared" si="139"/>
        <v>0</v>
      </c>
      <c r="AC381" s="1963">
        <f t="shared" si="140"/>
        <v>0</v>
      </c>
      <c r="AD381" s="1963">
        <f t="shared" si="141"/>
        <v>0</v>
      </c>
      <c r="AE381" s="1963">
        <f t="shared" si="142"/>
        <v>0</v>
      </c>
      <c r="AF381" s="1963">
        <f t="shared" si="143"/>
        <v>0</v>
      </c>
      <c r="AG381" s="1964" t="e">
        <f>HLOOKUP($AG$83,anticipado,295,0)</f>
        <v>#N/A</v>
      </c>
      <c r="AI381" s="1966">
        <f t="shared" si="144"/>
        <v>0</v>
      </c>
      <c r="AJ381" s="1361">
        <f t="shared" si="145"/>
        <v>294</v>
      </c>
      <c r="AK381" s="1362">
        <f t="shared" si="146"/>
        <v>0</v>
      </c>
      <c r="AL381" s="1362">
        <f t="shared" si="147"/>
        <v>0</v>
      </c>
      <c r="AM381" s="1362">
        <f t="shared" si="153"/>
        <v>0</v>
      </c>
      <c r="AN381" s="1363">
        <f t="shared" si="148"/>
        <v>1000000</v>
      </c>
      <c r="AQ381" s="1361" t="str">
        <f t="shared" si="149"/>
        <v/>
      </c>
      <c r="AR381" s="1362">
        <f t="shared" si="150"/>
        <v>0</v>
      </c>
      <c r="AS381" s="1362">
        <f t="shared" si="151"/>
        <v>0</v>
      </c>
      <c r="AT381" s="1362">
        <f t="shared" si="154"/>
        <v>0</v>
      </c>
      <c r="AU381" s="1363">
        <f t="shared" si="152"/>
        <v>0</v>
      </c>
    </row>
    <row r="382" spans="1:47">
      <c r="A382" s="1118">
        <f t="shared" ca="1" si="155"/>
        <v>10</v>
      </c>
      <c r="B382" s="1351">
        <f t="shared" si="130"/>
        <v>0</v>
      </c>
      <c r="C382" s="2143">
        <f t="shared" si="158"/>
        <v>0</v>
      </c>
      <c r="D382" s="2144">
        <f t="shared" si="159"/>
        <v>0</v>
      </c>
      <c r="E382" s="2145">
        <f t="shared" si="160"/>
        <v>0</v>
      </c>
      <c r="F382" s="2145">
        <f t="shared" si="161"/>
        <v>0</v>
      </c>
      <c r="G382" s="2145">
        <f t="shared" si="162"/>
        <v>0</v>
      </c>
      <c r="H382" s="2145">
        <f>IF(N381&lt;0.01,0,IF(Adm!$S$4=Adm!$S$8,0,N381*Adm!$V$4))</f>
        <v>0</v>
      </c>
      <c r="I382" s="2145">
        <f>IF(N381&lt;0.01,0,IF(Adm!$S$5=Adm!$S$8,0,Adm!$AA$11*Adm!$X$4))</f>
        <v>0</v>
      </c>
      <c r="J382" s="2145">
        <f>IF(N381&lt;0.01,0,Adm!$Q$4*1.16)</f>
        <v>0</v>
      </c>
      <c r="K382" s="2145">
        <f>IF(N381&lt;0.01,0,IF(Adm!$O$4&gt;0,E382*Adm!$O$4,0))</f>
        <v>0</v>
      </c>
      <c r="L382" s="2145">
        <f t="shared" si="163"/>
        <v>0</v>
      </c>
      <c r="M382" s="2145">
        <f>IF(Adm!$G$4="si",MIN(N381+E382+H382+I382+J382-L382,Z382),0)</f>
        <v>0</v>
      </c>
      <c r="N382" s="2145">
        <f t="shared" si="164"/>
        <v>0</v>
      </c>
      <c r="O382" s="2147"/>
      <c r="V382" s="1352">
        <f t="shared" si="156"/>
        <v>7</v>
      </c>
      <c r="W382" s="1367">
        <f>IF(V382=1,Cal!$AB$127,0)</f>
        <v>0</v>
      </c>
      <c r="Y382" s="1368">
        <f t="shared" si="157"/>
        <v>0</v>
      </c>
      <c r="Z382" s="1369">
        <f t="shared" ca="1" si="138"/>
        <v>0</v>
      </c>
      <c r="AB382" s="1963">
        <f t="shared" si="139"/>
        <v>0</v>
      </c>
      <c r="AC382" s="1963">
        <f t="shared" si="140"/>
        <v>0</v>
      </c>
      <c r="AD382" s="1963">
        <f t="shared" si="141"/>
        <v>0</v>
      </c>
      <c r="AE382" s="1963">
        <f t="shared" si="142"/>
        <v>0</v>
      </c>
      <c r="AF382" s="1963">
        <f t="shared" si="143"/>
        <v>0</v>
      </c>
      <c r="AG382" s="1964" t="e">
        <f>HLOOKUP($AG$83,anticipado,296,0)</f>
        <v>#N/A</v>
      </c>
      <c r="AI382" s="1966">
        <f t="shared" si="144"/>
        <v>0</v>
      </c>
      <c r="AJ382" s="1361">
        <f t="shared" si="145"/>
        <v>295</v>
      </c>
      <c r="AK382" s="1362">
        <f t="shared" si="146"/>
        <v>0</v>
      </c>
      <c r="AL382" s="1362">
        <f t="shared" si="147"/>
        <v>0</v>
      </c>
      <c r="AM382" s="1362">
        <f t="shared" si="153"/>
        <v>0</v>
      </c>
      <c r="AN382" s="1363">
        <f t="shared" si="148"/>
        <v>1000000</v>
      </c>
      <c r="AQ382" s="1361" t="str">
        <f t="shared" si="149"/>
        <v/>
      </c>
      <c r="AR382" s="1362">
        <f t="shared" si="150"/>
        <v>0</v>
      </c>
      <c r="AS382" s="1362">
        <f t="shared" si="151"/>
        <v>0</v>
      </c>
      <c r="AT382" s="1362">
        <f t="shared" si="154"/>
        <v>0</v>
      </c>
      <c r="AU382" s="1363">
        <f t="shared" si="152"/>
        <v>0</v>
      </c>
    </row>
    <row r="383" spans="1:47">
      <c r="A383" s="1118">
        <f t="shared" ca="1" si="155"/>
        <v>11</v>
      </c>
      <c r="B383" s="1351">
        <f t="shared" si="130"/>
        <v>0</v>
      </c>
      <c r="C383" s="2143">
        <f t="shared" si="158"/>
        <v>0</v>
      </c>
      <c r="D383" s="2144">
        <f t="shared" si="159"/>
        <v>0</v>
      </c>
      <c r="E383" s="2145">
        <f t="shared" si="160"/>
        <v>0</v>
      </c>
      <c r="F383" s="2145">
        <f t="shared" si="161"/>
        <v>0</v>
      </c>
      <c r="G383" s="2145">
        <f t="shared" si="162"/>
        <v>0</v>
      </c>
      <c r="H383" s="2145">
        <f>IF(N382&lt;0.01,0,IF(Adm!$S$4=Adm!$S$8,0,N382*Adm!$V$4))</f>
        <v>0</v>
      </c>
      <c r="I383" s="2145">
        <f>IF(N382&lt;0.01,0,IF(Adm!$S$5=Adm!$S$8,0,Adm!$AA$11*Adm!$X$4))</f>
        <v>0</v>
      </c>
      <c r="J383" s="2145">
        <f>IF(N382&lt;0.01,0,Adm!$Q$4*1.16)</f>
        <v>0</v>
      </c>
      <c r="K383" s="2145">
        <f>IF(N382&lt;0.01,0,IF(Adm!$O$4&gt;0,E383*Adm!$O$4,0))</f>
        <v>0</v>
      </c>
      <c r="L383" s="2145">
        <f t="shared" si="163"/>
        <v>0</v>
      </c>
      <c r="M383" s="2145">
        <f>IF(Adm!$G$4="si",MIN(N382+E383+H383+I383+J383-L383,Z383),0)</f>
        <v>0</v>
      </c>
      <c r="N383" s="2145">
        <f t="shared" si="164"/>
        <v>0</v>
      </c>
      <c r="O383" s="2147"/>
      <c r="V383" s="1352">
        <f t="shared" si="156"/>
        <v>8</v>
      </c>
      <c r="W383" s="1367">
        <f>IF(V383=1,Cal!$AB$127,0)</f>
        <v>0</v>
      </c>
      <c r="Y383" s="1368">
        <f t="shared" si="157"/>
        <v>0</v>
      </c>
      <c r="Z383" s="1369">
        <f t="shared" ca="1" si="138"/>
        <v>0</v>
      </c>
      <c r="AB383" s="1963">
        <f t="shared" si="139"/>
        <v>0</v>
      </c>
      <c r="AC383" s="1963">
        <f t="shared" si="140"/>
        <v>0</v>
      </c>
      <c r="AD383" s="1963">
        <f t="shared" si="141"/>
        <v>0</v>
      </c>
      <c r="AE383" s="1963">
        <f t="shared" si="142"/>
        <v>0</v>
      </c>
      <c r="AF383" s="1963">
        <f t="shared" si="143"/>
        <v>0</v>
      </c>
      <c r="AG383" s="1964" t="e">
        <f>HLOOKUP($AG$83,anticipado,297,0)</f>
        <v>#N/A</v>
      </c>
      <c r="AI383" s="1966">
        <f t="shared" si="144"/>
        <v>0</v>
      </c>
      <c r="AJ383" s="1361">
        <f t="shared" si="145"/>
        <v>296</v>
      </c>
      <c r="AK383" s="1362">
        <f t="shared" si="146"/>
        <v>0</v>
      </c>
      <c r="AL383" s="1362">
        <f t="shared" si="147"/>
        <v>0</v>
      </c>
      <c r="AM383" s="1362">
        <f t="shared" si="153"/>
        <v>0</v>
      </c>
      <c r="AN383" s="1363">
        <f t="shared" si="148"/>
        <v>1000000</v>
      </c>
      <c r="AQ383" s="1361" t="str">
        <f t="shared" si="149"/>
        <v/>
      </c>
      <c r="AR383" s="1362">
        <f t="shared" si="150"/>
        <v>0</v>
      </c>
      <c r="AS383" s="1362">
        <f t="shared" si="151"/>
        <v>0</v>
      </c>
      <c r="AT383" s="1362">
        <f t="shared" si="154"/>
        <v>0</v>
      </c>
      <c r="AU383" s="1363">
        <f t="shared" si="152"/>
        <v>0</v>
      </c>
    </row>
    <row r="384" spans="1:47">
      <c r="A384" s="1118">
        <f t="shared" ca="1" si="155"/>
        <v>12</v>
      </c>
      <c r="B384" s="1351">
        <f t="shared" si="130"/>
        <v>0</v>
      </c>
      <c r="C384" s="2143">
        <f t="shared" si="158"/>
        <v>0</v>
      </c>
      <c r="D384" s="2144">
        <f t="shared" si="159"/>
        <v>0</v>
      </c>
      <c r="E384" s="2145">
        <f t="shared" si="160"/>
        <v>0</v>
      </c>
      <c r="F384" s="2145">
        <f t="shared" si="161"/>
        <v>0</v>
      </c>
      <c r="G384" s="2145">
        <f t="shared" si="162"/>
        <v>0</v>
      </c>
      <c r="H384" s="2145">
        <f>IF(N383&lt;0.01,0,IF(Adm!$S$4=Adm!$S$8,0,N383*Adm!$V$4))</f>
        <v>0</v>
      </c>
      <c r="I384" s="2145">
        <f>IF(N383&lt;0.01,0,IF(Adm!$S$5=Adm!$S$8,0,Adm!$AA$11*Adm!$X$4))</f>
        <v>0</v>
      </c>
      <c r="J384" s="2145">
        <f>IF(N383&lt;0.01,0,Adm!$Q$4*1.16)</f>
        <v>0</v>
      </c>
      <c r="K384" s="2145">
        <f>IF(N383&lt;0.01,0,IF(Adm!$O$4&gt;0,E384*Adm!$O$4,0))</f>
        <v>0</v>
      </c>
      <c r="L384" s="2145">
        <f t="shared" si="163"/>
        <v>0</v>
      </c>
      <c r="M384" s="2145">
        <f>IF(Adm!$G$4="si",MIN(N383+E384+H384+I384+J384-L384,Z384),0)</f>
        <v>0</v>
      </c>
      <c r="N384" s="2145">
        <f t="shared" si="164"/>
        <v>0</v>
      </c>
      <c r="O384" s="2147"/>
      <c r="V384" s="1352">
        <f t="shared" si="156"/>
        <v>9</v>
      </c>
      <c r="W384" s="1367">
        <f>IF(V384=1,Cal!$AB$127,0)</f>
        <v>0</v>
      </c>
      <c r="Y384" s="1368">
        <f t="shared" si="157"/>
        <v>0</v>
      </c>
      <c r="Z384" s="1369">
        <f t="shared" ca="1" si="138"/>
        <v>0</v>
      </c>
      <c r="AB384" s="1963">
        <f t="shared" si="139"/>
        <v>0</v>
      </c>
      <c r="AC384" s="1963">
        <f t="shared" si="140"/>
        <v>0</v>
      </c>
      <c r="AD384" s="1963">
        <f t="shared" si="141"/>
        <v>0</v>
      </c>
      <c r="AE384" s="1963">
        <f t="shared" si="142"/>
        <v>0</v>
      </c>
      <c r="AF384" s="1963">
        <f t="shared" si="143"/>
        <v>0</v>
      </c>
      <c r="AG384" s="1964" t="e">
        <f>HLOOKUP($AG$83,anticipado,298,0)</f>
        <v>#N/A</v>
      </c>
      <c r="AI384" s="1966">
        <f t="shared" si="144"/>
        <v>0</v>
      </c>
      <c r="AJ384" s="1361">
        <f t="shared" si="145"/>
        <v>297</v>
      </c>
      <c r="AK384" s="1362">
        <f t="shared" si="146"/>
        <v>0</v>
      </c>
      <c r="AL384" s="1362">
        <f t="shared" si="147"/>
        <v>0</v>
      </c>
      <c r="AM384" s="1362">
        <f t="shared" si="153"/>
        <v>0</v>
      </c>
      <c r="AN384" s="1363">
        <f t="shared" si="148"/>
        <v>1000000</v>
      </c>
      <c r="AQ384" s="1361" t="str">
        <f t="shared" si="149"/>
        <v/>
      </c>
      <c r="AR384" s="1362">
        <f t="shared" si="150"/>
        <v>0</v>
      </c>
      <c r="AS384" s="1362">
        <f t="shared" si="151"/>
        <v>0</v>
      </c>
      <c r="AT384" s="1362">
        <f t="shared" si="154"/>
        <v>0</v>
      </c>
      <c r="AU384" s="1363">
        <f t="shared" si="152"/>
        <v>0</v>
      </c>
    </row>
    <row r="385" spans="1:47">
      <c r="A385" s="1118">
        <f t="shared" ca="1" si="155"/>
        <v>1</v>
      </c>
      <c r="B385" s="1351">
        <f t="shared" si="130"/>
        <v>0</v>
      </c>
      <c r="C385" s="2143">
        <f t="shared" si="158"/>
        <v>0</v>
      </c>
      <c r="D385" s="2144">
        <f t="shared" si="159"/>
        <v>0</v>
      </c>
      <c r="E385" s="2145">
        <f t="shared" si="160"/>
        <v>0</v>
      </c>
      <c r="F385" s="2145">
        <f t="shared" si="161"/>
        <v>0</v>
      </c>
      <c r="G385" s="2145">
        <f t="shared" si="162"/>
        <v>0</v>
      </c>
      <c r="H385" s="2145">
        <f>IF(N384&lt;0.01,0,IF(Adm!$S$4=Adm!$S$8,0,N384*Adm!$V$4))</f>
        <v>0</v>
      </c>
      <c r="I385" s="2145">
        <f>IF(N384&lt;0.01,0,IF(Adm!$S$5=Adm!$S$8,0,Adm!$AA$11*Adm!$X$4))</f>
        <v>0</v>
      </c>
      <c r="J385" s="2145">
        <f>IF(N384&lt;0.01,0,Adm!$Q$4*1.16)</f>
        <v>0</v>
      </c>
      <c r="K385" s="2145">
        <f>IF(N384&lt;0.01,0,IF(Adm!$O$4&gt;0,E385*Adm!$O$4,0))</f>
        <v>0</v>
      </c>
      <c r="L385" s="2145">
        <f t="shared" si="163"/>
        <v>0</v>
      </c>
      <c r="M385" s="2145">
        <f>IF(Adm!$G$4="si",MIN(N384+E385+H385+I385+J385-L385,Z385),0)</f>
        <v>0</v>
      </c>
      <c r="N385" s="2145">
        <f t="shared" si="164"/>
        <v>0</v>
      </c>
      <c r="O385" s="2147"/>
      <c r="V385" s="1352">
        <f t="shared" si="156"/>
        <v>10</v>
      </c>
      <c r="W385" s="1367">
        <f>IF(V385=1,Cal!$AB$127,0)</f>
        <v>0</v>
      </c>
      <c r="Y385" s="1368">
        <f t="shared" si="157"/>
        <v>0</v>
      </c>
      <c r="Z385" s="1369">
        <f t="shared" ca="1" si="138"/>
        <v>0</v>
      </c>
      <c r="AB385" s="1963">
        <f t="shared" si="139"/>
        <v>0</v>
      </c>
      <c r="AC385" s="1963">
        <f t="shared" si="140"/>
        <v>0</v>
      </c>
      <c r="AD385" s="1963">
        <f t="shared" si="141"/>
        <v>0</v>
      </c>
      <c r="AE385" s="1963">
        <f t="shared" si="142"/>
        <v>0</v>
      </c>
      <c r="AF385" s="1963">
        <f t="shared" si="143"/>
        <v>0</v>
      </c>
      <c r="AG385" s="1964" t="e">
        <f>HLOOKUP($AG$83,anticipado,299,0)</f>
        <v>#N/A</v>
      </c>
      <c r="AI385" s="1966">
        <f t="shared" si="144"/>
        <v>0</v>
      </c>
      <c r="AJ385" s="1361">
        <f t="shared" si="145"/>
        <v>298</v>
      </c>
      <c r="AK385" s="1362">
        <f t="shared" si="146"/>
        <v>0</v>
      </c>
      <c r="AL385" s="1362">
        <f t="shared" si="147"/>
        <v>0</v>
      </c>
      <c r="AM385" s="1362">
        <f t="shared" si="153"/>
        <v>0</v>
      </c>
      <c r="AN385" s="1363">
        <f t="shared" si="148"/>
        <v>1000000</v>
      </c>
      <c r="AQ385" s="1361" t="str">
        <f t="shared" si="149"/>
        <v/>
      </c>
      <c r="AR385" s="1362">
        <f t="shared" si="150"/>
        <v>0</v>
      </c>
      <c r="AS385" s="1362">
        <f t="shared" si="151"/>
        <v>0</v>
      </c>
      <c r="AT385" s="1362">
        <f t="shared" si="154"/>
        <v>0</v>
      </c>
      <c r="AU385" s="1363">
        <f t="shared" si="152"/>
        <v>0</v>
      </c>
    </row>
    <row r="386" spans="1:47">
      <c r="A386" s="1118">
        <f t="shared" ca="1" si="155"/>
        <v>2</v>
      </c>
      <c r="B386" s="1351">
        <f t="shared" si="130"/>
        <v>0</v>
      </c>
      <c r="C386" s="2143">
        <f t="shared" si="158"/>
        <v>0</v>
      </c>
      <c r="D386" s="2144">
        <f t="shared" si="159"/>
        <v>0</v>
      </c>
      <c r="E386" s="2145">
        <f t="shared" si="160"/>
        <v>0</v>
      </c>
      <c r="F386" s="2145">
        <f t="shared" si="161"/>
        <v>0</v>
      </c>
      <c r="G386" s="2145">
        <f t="shared" si="162"/>
        <v>0</v>
      </c>
      <c r="H386" s="2145">
        <f>IF(N385&lt;0.01,0,IF(Adm!$S$4=Adm!$S$8,0,N385*Adm!$V$4))</f>
        <v>0</v>
      </c>
      <c r="I386" s="2145">
        <f>IF(N385&lt;0.01,0,IF(Adm!$S$5=Adm!$S$8,0,Adm!$AA$11*Adm!$X$4))</f>
        <v>0</v>
      </c>
      <c r="J386" s="2145">
        <f>IF(N385&lt;0.01,0,Adm!$Q$4*1.16)</f>
        <v>0</v>
      </c>
      <c r="K386" s="2145">
        <f>IF(N385&lt;0.01,0,IF(Adm!$O$4&gt;0,E386*Adm!$O$4,0))</f>
        <v>0</v>
      </c>
      <c r="L386" s="2145">
        <f t="shared" si="163"/>
        <v>0</v>
      </c>
      <c r="M386" s="2145">
        <f>IF(Adm!$G$4="si",MIN(N385+E386+H386+I386+J386-L386,Z386),0)</f>
        <v>0</v>
      </c>
      <c r="N386" s="2145">
        <f t="shared" si="164"/>
        <v>0</v>
      </c>
      <c r="O386" s="2147"/>
      <c r="V386" s="1352">
        <f t="shared" si="156"/>
        <v>11</v>
      </c>
      <c r="W386" s="1367">
        <f>IF(V386=1,Cal!$AB$127,0)</f>
        <v>0</v>
      </c>
      <c r="Y386" s="1368">
        <f t="shared" si="157"/>
        <v>0</v>
      </c>
      <c r="Z386" s="1369">
        <f t="shared" ca="1" si="138"/>
        <v>0</v>
      </c>
      <c r="AB386" s="1963">
        <f t="shared" si="139"/>
        <v>0</v>
      </c>
      <c r="AC386" s="1963">
        <f t="shared" si="140"/>
        <v>0</v>
      </c>
      <c r="AD386" s="1963">
        <f t="shared" si="141"/>
        <v>0</v>
      </c>
      <c r="AE386" s="1963">
        <f t="shared" si="142"/>
        <v>0</v>
      </c>
      <c r="AF386" s="1963">
        <f t="shared" si="143"/>
        <v>0</v>
      </c>
      <c r="AG386" s="1964" t="e">
        <f>HLOOKUP($AG$83,anticipado,300,0)</f>
        <v>#N/A</v>
      </c>
      <c r="AI386" s="1967">
        <f t="shared" si="144"/>
        <v>0</v>
      </c>
      <c r="AJ386" s="1390">
        <f t="shared" si="145"/>
        <v>299</v>
      </c>
      <c r="AK386" s="1391">
        <f t="shared" si="146"/>
        <v>0</v>
      </c>
      <c r="AL386" s="1391">
        <f t="shared" si="147"/>
        <v>0</v>
      </c>
      <c r="AM386" s="1391">
        <f t="shared" si="153"/>
        <v>0</v>
      </c>
      <c r="AN386" s="1392">
        <f t="shared" si="148"/>
        <v>1000000</v>
      </c>
      <c r="AQ386" s="1361" t="str">
        <f t="shared" si="149"/>
        <v/>
      </c>
      <c r="AR386" s="1362">
        <f t="shared" si="150"/>
        <v>0</v>
      </c>
      <c r="AS386" s="1362">
        <f t="shared" si="151"/>
        <v>0</v>
      </c>
      <c r="AT386" s="1362">
        <f t="shared" si="154"/>
        <v>0</v>
      </c>
      <c r="AU386" s="1363">
        <f t="shared" si="152"/>
        <v>0</v>
      </c>
    </row>
    <row r="387" spans="1:47">
      <c r="A387" s="1118">
        <f t="shared" ca="1" si="155"/>
        <v>3</v>
      </c>
      <c r="B387" s="1351">
        <f t="shared" si="130"/>
        <v>0</v>
      </c>
      <c r="C387" s="2143">
        <f t="shared" si="158"/>
        <v>0</v>
      </c>
      <c r="D387" s="2144">
        <f t="shared" si="159"/>
        <v>0</v>
      </c>
      <c r="E387" s="2145">
        <f t="shared" si="160"/>
        <v>0</v>
      </c>
      <c r="F387" s="2145">
        <f t="shared" si="161"/>
        <v>0</v>
      </c>
      <c r="G387" s="2145">
        <f t="shared" si="162"/>
        <v>0</v>
      </c>
      <c r="H387" s="2145">
        <f>IF(N386&lt;0.01,0,IF(Adm!$S$4=Adm!$S$8,0,N386*Adm!$V$4))</f>
        <v>0</v>
      </c>
      <c r="I387" s="2145">
        <f>IF(N386&lt;0.01,0,IF(Adm!$S$5=Adm!$S$8,0,Adm!$AA$11*Adm!$X$4))</f>
        <v>0</v>
      </c>
      <c r="J387" s="2145">
        <f>IF(N386&lt;0.01,0,Adm!$Q$4*1.16)</f>
        <v>0</v>
      </c>
      <c r="K387" s="2145">
        <f>IF(N386&lt;0.01,0,IF(Adm!$O$4&gt;0,E387*Adm!$O$4,0))</f>
        <v>0</v>
      </c>
      <c r="L387" s="2145">
        <f t="shared" si="163"/>
        <v>0</v>
      </c>
      <c r="M387" s="2145">
        <f>IF(Adm!$G$4="si",MIN(N386+E387+H387+I387+J387-L387,Z387),0)</f>
        <v>0</v>
      </c>
      <c r="N387" s="2145">
        <f t="shared" si="164"/>
        <v>0</v>
      </c>
      <c r="O387" s="2148"/>
      <c r="V387" s="1386">
        <f t="shared" si="156"/>
        <v>12</v>
      </c>
      <c r="W387" s="1932">
        <f>IF(V387=1,Cal!$AB$127,0)</f>
        <v>0</v>
      </c>
      <c r="Y387" s="1387">
        <f t="shared" si="157"/>
        <v>0</v>
      </c>
      <c r="Z387" s="1388">
        <f t="shared" ca="1" si="138"/>
        <v>0</v>
      </c>
      <c r="AB387" s="1963">
        <f t="shared" ref="AB387" si="165">IF(AC387&gt;1,AC387,IF(AE387&gt;1,AE387,0))</f>
        <v>0</v>
      </c>
      <c r="AC387" s="1963">
        <f t="shared" ref="AC387" si="166">IF(AND($AD$82=1,O386&gt;0.1),AD387,0)</f>
        <v>0</v>
      </c>
      <c r="AD387" s="1963">
        <f t="shared" ref="AD387" si="167">IF(AND($AD$82=1,$AB$82=2),PMT((($D$88/360)*(365/12)),B386,-N386),0)</f>
        <v>0</v>
      </c>
      <c r="AE387" s="1963">
        <f t="shared" ref="AE387" si="168">IF(AND(AF387&gt;0.01,$AB$82=2),AF387,0)</f>
        <v>0</v>
      </c>
      <c r="AF387" s="1963">
        <f t="shared" ref="AF387" si="169">IF(AND($AD$82=2,O386&lt;0.01),0,IF($AD$82=2,(N386*AG387)+E387,0))</f>
        <v>0</v>
      </c>
      <c r="AG387" s="1964" t="e">
        <f>HLOOKUP($AG$83,anticipado,300,0)</f>
        <v>#N/A</v>
      </c>
      <c r="AI387" s="1967">
        <f t="shared" ref="AI387" si="170">AL387/AN386</f>
        <v>0</v>
      </c>
      <c r="AJ387" s="1390">
        <f t="shared" ref="AJ387" si="171">IF(AN386&lt;=0,"",AJ386+1)</f>
        <v>300</v>
      </c>
      <c r="AK387" s="1391">
        <f t="shared" ref="AK387" si="172">AN386*$AK$81*30.4166/360</f>
        <v>0</v>
      </c>
      <c r="AL387" s="1391">
        <f t="shared" ref="AL387" si="173">AM387-AK387</f>
        <v>0</v>
      </c>
      <c r="AM387" s="1391">
        <f t="shared" ref="AM387" si="174">MIN(AN386+AK387,AM386)</f>
        <v>0</v>
      </c>
      <c r="AN387" s="1392">
        <f t="shared" ref="AN387" si="175">IF(AN386&lt;0.001,0,AN386-AL387-AO387)</f>
        <v>1000000</v>
      </c>
      <c r="AQ387" s="1390" t="str">
        <f t="shared" si="149"/>
        <v/>
      </c>
      <c r="AR387" s="1391">
        <f t="shared" si="150"/>
        <v>0</v>
      </c>
      <c r="AS387" s="1391">
        <f t="shared" si="151"/>
        <v>0</v>
      </c>
      <c r="AT387" s="1391">
        <f t="shared" si="154"/>
        <v>0</v>
      </c>
      <c r="AU387" s="1392">
        <f t="shared" si="152"/>
        <v>0</v>
      </c>
    </row>
    <row r="388" spans="1:47" s="1102" customFormat="1">
      <c r="A388" s="1118"/>
      <c r="C388" s="1393"/>
      <c r="D388" s="1224"/>
      <c r="E388" s="1394"/>
      <c r="F388" s="1394"/>
      <c r="G388" s="1394"/>
      <c r="H388" s="1394"/>
      <c r="I388" s="1394"/>
      <c r="J388" s="1394"/>
      <c r="K388" s="1394"/>
      <c r="L388" s="1394"/>
      <c r="M388" s="1394"/>
      <c r="N388" s="1394"/>
      <c r="O388" s="1117"/>
      <c r="V388" s="1993"/>
      <c r="W388" s="1696"/>
      <c r="Y388" s="1994"/>
      <c r="Z388" s="1995"/>
      <c r="AB388" s="1373"/>
      <c r="AC388" s="1373"/>
      <c r="AD388" s="1373"/>
      <c r="AE388" s="1373"/>
      <c r="AF388" s="1373"/>
      <c r="AG388" s="1996"/>
      <c r="AI388" s="1364"/>
      <c r="AJ388" s="1101"/>
      <c r="AK388" s="1997"/>
      <c r="AL388" s="1997"/>
      <c r="AM388" s="1997"/>
      <c r="AN388" s="1997"/>
      <c r="AO388" s="1107"/>
      <c r="AP388" s="1107"/>
      <c r="AQ388" s="1101"/>
      <c r="AR388" s="1997"/>
      <c r="AS388" s="1997"/>
      <c r="AT388" s="1997"/>
      <c r="AU388" s="1997"/>
    </row>
    <row r="389" spans="1:47">
      <c r="C389" s="1396" t="s">
        <v>466</v>
      </c>
      <c r="D389" s="1397"/>
      <c r="E389" s="1398">
        <f t="shared" ref="E389:M389" si="176">SUM(E88:E327)</f>
        <v>0</v>
      </c>
      <c r="F389" s="1398">
        <f t="shared" si="176"/>
        <v>0</v>
      </c>
      <c r="G389" s="1398">
        <f t="shared" si="176"/>
        <v>0</v>
      </c>
      <c r="H389" s="1398">
        <f t="shared" si="176"/>
        <v>0</v>
      </c>
      <c r="I389" s="1398">
        <f t="shared" si="176"/>
        <v>0</v>
      </c>
      <c r="J389" s="1398">
        <f t="shared" si="176"/>
        <v>0</v>
      </c>
      <c r="K389" s="1398">
        <f t="shared" si="176"/>
        <v>0</v>
      </c>
      <c r="L389" s="1398">
        <f t="shared" si="176"/>
        <v>0</v>
      </c>
      <c r="M389" s="1399">
        <f t="shared" si="176"/>
        <v>0</v>
      </c>
      <c r="N389" s="1397"/>
      <c r="O389" s="1400">
        <f>SUM(O88:O327)</f>
        <v>0</v>
      </c>
      <c r="V389" s="1395"/>
      <c r="W389" s="1395"/>
    </row>
    <row r="390" spans="1:47" ht="21.75" customHeight="1">
      <c r="C390" s="1135" t="s">
        <v>467</v>
      </c>
      <c r="D390" s="1119"/>
      <c r="E390" s="1374"/>
      <c r="F390" s="1374"/>
      <c r="G390" s="1374"/>
      <c r="H390" s="1374"/>
      <c r="I390" s="1374"/>
      <c r="J390" s="1374"/>
      <c r="K390" s="1374"/>
      <c r="L390" s="1374"/>
      <c r="M390" s="1401"/>
      <c r="N390" s="1119"/>
      <c r="O390" s="1402"/>
      <c r="V390" s="1395"/>
      <c r="W390" s="1395"/>
    </row>
    <row r="391" spans="1:47" ht="31.5" customHeight="1">
      <c r="C391" s="2255" t="s">
        <v>468</v>
      </c>
      <c r="D391" s="2255"/>
      <c r="E391" s="2255"/>
      <c r="F391" s="2255"/>
      <c r="G391" s="2255"/>
      <c r="H391" s="2255"/>
      <c r="I391" s="2255"/>
      <c r="J391" s="2255"/>
      <c r="K391" s="2255"/>
      <c r="L391" s="2255"/>
      <c r="M391" s="2255"/>
      <c r="N391" s="2255"/>
      <c r="O391" s="2255"/>
    </row>
    <row r="392" spans="1:47" ht="12.75" customHeight="1">
      <c r="C392" s="2255" t="s">
        <v>469</v>
      </c>
      <c r="D392" s="2255"/>
      <c r="E392" s="2255"/>
      <c r="F392" s="2255"/>
      <c r="G392" s="2255"/>
      <c r="H392" s="2255"/>
      <c r="I392" s="2255"/>
      <c r="J392" s="2255"/>
      <c r="K392" s="2255"/>
      <c r="L392" s="2255"/>
      <c r="M392" s="2255"/>
      <c r="N392" s="2255"/>
      <c r="O392" s="2255"/>
    </row>
    <row r="393" spans="1:47" ht="12.75" customHeight="1">
      <c r="C393" s="2255" t="s">
        <v>470</v>
      </c>
      <c r="D393" s="2255"/>
      <c r="E393" s="2255"/>
      <c r="F393" s="2255"/>
      <c r="G393" s="2255"/>
      <c r="H393" s="2255"/>
      <c r="I393" s="2255"/>
      <c r="J393" s="2255"/>
      <c r="K393" s="2255"/>
      <c r="L393" s="2255"/>
      <c r="M393" s="2255"/>
      <c r="N393" s="2255"/>
      <c r="O393" s="2255"/>
    </row>
    <row r="394" spans="1:47" ht="15" customHeight="1">
      <c r="C394" s="2255" t="s">
        <v>471</v>
      </c>
      <c r="D394" s="2255"/>
      <c r="E394" s="2255"/>
      <c r="F394" s="2255"/>
      <c r="G394" s="2255"/>
      <c r="H394" s="2255"/>
      <c r="I394" s="2255"/>
      <c r="J394" s="2255"/>
      <c r="K394" s="2255"/>
      <c r="L394" s="2255"/>
      <c r="M394" s="2255"/>
      <c r="N394" s="2255"/>
      <c r="O394" s="2255"/>
    </row>
    <row r="395" spans="1:47" ht="15" customHeight="1">
      <c r="C395" s="2255" t="s">
        <v>472</v>
      </c>
      <c r="D395" s="2255"/>
      <c r="E395" s="2255"/>
      <c r="F395" s="2255"/>
      <c r="G395" s="2255"/>
      <c r="H395" s="2255"/>
      <c r="I395" s="2255"/>
      <c r="J395" s="2255"/>
      <c r="K395" s="2255"/>
      <c r="L395" s="2255"/>
      <c r="M395" s="2255"/>
      <c r="N395" s="2255"/>
      <c r="O395" s="2255"/>
    </row>
    <row r="396" spans="1:47" ht="15" customHeight="1">
      <c r="C396" s="2255" t="s">
        <v>473</v>
      </c>
      <c r="D396" s="2255"/>
      <c r="E396" s="2255"/>
      <c r="F396" s="2255"/>
      <c r="G396" s="2255"/>
      <c r="H396" s="2255"/>
      <c r="I396" s="2255"/>
      <c r="J396" s="2255"/>
      <c r="K396" s="2255"/>
      <c r="L396" s="2255"/>
      <c r="M396" s="2255"/>
      <c r="N396" s="2255"/>
      <c r="O396" s="2255"/>
    </row>
    <row r="397" spans="1:47" ht="27.75" customHeight="1">
      <c r="C397" s="2255" t="s">
        <v>474</v>
      </c>
      <c r="D397" s="2255"/>
      <c r="E397" s="2255"/>
      <c r="F397" s="2255"/>
      <c r="G397" s="2255"/>
      <c r="H397" s="2255"/>
      <c r="I397" s="2255"/>
      <c r="J397" s="2255"/>
      <c r="K397" s="2255"/>
      <c r="L397" s="2255"/>
      <c r="M397" s="2255"/>
      <c r="N397" s="2255"/>
      <c r="O397" s="2255"/>
    </row>
    <row r="398" spans="1:47">
      <c r="C398" s="2253" t="s">
        <v>475</v>
      </c>
      <c r="D398" s="2253"/>
      <c r="E398" s="2253"/>
      <c r="F398" s="2253"/>
      <c r="G398" s="2253"/>
      <c r="H398" s="2253"/>
      <c r="I398" s="2253"/>
      <c r="J398" s="2253"/>
      <c r="K398" s="2253"/>
      <c r="L398" s="2253"/>
      <c r="M398" s="2253"/>
      <c r="N398" s="2253"/>
    </row>
    <row r="399" spans="1:47">
      <c r="C399" s="2254" t="str">
        <f>IF(Adm!AR3="SI","La oferta de embajadores Santander es únicamente aplicable para empleados y familiares de trabajadores de Banco Santander México S.A.","")</f>
        <v/>
      </c>
      <c r="D399" s="2254"/>
      <c r="E399" s="2254"/>
      <c r="F399" s="2254"/>
      <c r="G399" s="2254"/>
      <c r="H399" s="2254"/>
      <c r="I399" s="2254"/>
      <c r="J399" s="2254"/>
      <c r="K399" s="2254"/>
      <c r="L399" s="2254"/>
      <c r="M399" s="2254"/>
      <c r="N399" s="2254"/>
    </row>
    <row r="400" spans="1:47">
      <c r="C400" s="2254" t="str">
        <f>IF(F17="Ninguno","","Las ofertas especiales para los Colectivos, están condicionadas al cumplimiento del perfil y requisitos específicos para esa oferta. Para más información, consulta con tu ejecutivo hipotecario.")</f>
        <v/>
      </c>
      <c r="D400" s="2254"/>
      <c r="E400" s="2254"/>
      <c r="F400" s="2254"/>
      <c r="G400" s="2254"/>
      <c r="H400" s="2254"/>
      <c r="I400" s="2254"/>
      <c r="J400" s="2254"/>
      <c r="K400" s="2254"/>
      <c r="L400" s="2254"/>
      <c r="M400" s="2254"/>
      <c r="N400" s="2254"/>
    </row>
    <row r="401" spans="3:15">
      <c r="C401" s="2256" t="str">
        <f>IF(AND(Adm!B4=Adm!A118,Adm!G4=Adm!G15),"* Las aportaciones patronales que deba entregar el INFONAVIT al Banco no son responsabilidad de Banco Santander México, S.A. y su aplicación al crédito dependerá de la entrega de recursos que realice el INFONAVIT.",IF(Adm!B4=Adm!A113,"* Las aportaciones patronales  que deba entregar el INFONAVIT al Banco no son responsabilidad de Banco Santander México, S.A. y su aplicación al crédito dependerá de la entrega de recursos que realice el INFONAVIT.",""))</f>
        <v/>
      </c>
      <c r="D401" s="2256"/>
      <c r="E401" s="2256"/>
      <c r="F401" s="2256"/>
      <c r="G401" s="2256"/>
      <c r="H401" s="2256"/>
      <c r="I401" s="2256"/>
      <c r="J401" s="2256"/>
      <c r="K401" s="2256"/>
      <c r="L401" s="2256"/>
      <c r="M401" s="2256"/>
      <c r="N401" s="2256"/>
      <c r="O401" s="1107"/>
    </row>
    <row r="402" spans="3:15">
      <c r="C402" s="2255" t="str">
        <f>IF(AND(Adm!S4=Adm!S8,Adm!S5=Adm!S8),"Le recordamos que al elegir contratar los seguros con otra Aseguradora, el pago mensual de su crédito no incluye el pago de las primas de seguros.","")</f>
        <v/>
      </c>
      <c r="D402" s="2255"/>
      <c r="E402" s="2255"/>
      <c r="F402" s="2255"/>
      <c r="G402" s="2255"/>
      <c r="H402" s="2255"/>
      <c r="I402" s="2255"/>
      <c r="J402" s="2255"/>
      <c r="K402" s="2255"/>
      <c r="L402" s="2255"/>
      <c r="M402" s="2255"/>
      <c r="N402" s="2255"/>
      <c r="O402" s="2255"/>
    </row>
    <row r="403" spans="3:15">
      <c r="C403" s="2248" t="str">
        <f>IF(AND(O389&gt;0,OR(AB82=1,AB82=0)),"Este documento simula pagos anticipados supuestos, con efecto en la reducción del plazo unicamente a modo de ejemplo. La tabla real de amortización se le entregará por los medios establecidos en su contrato de Crédito Hipotecario. ",IF(AND(O389&gt;0,AB82=2),"Este documento simula pagos anticipados supuestos, con efecto en la reducción de cuota unicamente a modo de ejemplo. La tabla real de amortización se le entregará por los medios establecidos en su contrato de Crédito Hipotecario. ",""))</f>
        <v/>
      </c>
      <c r="D403" s="2248"/>
      <c r="E403" s="2248"/>
      <c r="F403" s="2248"/>
      <c r="G403" s="2248"/>
      <c r="H403" s="2248"/>
      <c r="I403" s="2248"/>
      <c r="J403" s="2248"/>
      <c r="K403" s="2248"/>
      <c r="L403" s="2248"/>
      <c r="M403" s="2248"/>
      <c r="N403" s="2248"/>
    </row>
    <row r="404" spans="3:15">
      <c r="C404" s="1102" t="str">
        <f>inicio!C22</f>
        <v>Versión. 2026-1 Ro (09 marzo 2026)</v>
      </c>
      <c r="O404" s="1102" t="str">
        <f>inicio!L22</f>
        <v>BHF-034 (032026)</v>
      </c>
    </row>
  </sheetData>
  <sheetProtection algorithmName="SHA-512" hashValue="AFz/RXZPBzfmLyn+4KMFz9739grXWkGzMd5+lOhdH2Vq+S/6iU11+FyTH+/zLHRyKiPPHODUFnzhtA0tDQqFOQ==" saltValue="NQm/ZHhihx6OazwLD+Gr/g==" spinCount="100000" sheet="1" objects="1" scenarios="1"/>
  <mergeCells count="47">
    <mergeCell ref="C400:N400"/>
    <mergeCell ref="K29:O29"/>
    <mergeCell ref="N23:O23"/>
    <mergeCell ref="C391:O391"/>
    <mergeCell ref="C392:O392"/>
    <mergeCell ref="C393:O393"/>
    <mergeCell ref="C394:O394"/>
    <mergeCell ref="C395:O395"/>
    <mergeCell ref="F23:G23"/>
    <mergeCell ref="N31:O31"/>
    <mergeCell ref="N33:O33"/>
    <mergeCell ref="N35:O35"/>
    <mergeCell ref="C44:E44"/>
    <mergeCell ref="C50:D51"/>
    <mergeCell ref="K27:O27"/>
    <mergeCell ref="F29:G29"/>
    <mergeCell ref="C403:N403"/>
    <mergeCell ref="N25:O25"/>
    <mergeCell ref="F78:G78"/>
    <mergeCell ref="C39:O39"/>
    <mergeCell ref="F37:G37"/>
    <mergeCell ref="F33:G33"/>
    <mergeCell ref="C398:N398"/>
    <mergeCell ref="C399:N399"/>
    <mergeCell ref="F35:G35"/>
    <mergeCell ref="C402:O402"/>
    <mergeCell ref="C401:N401"/>
    <mergeCell ref="F27:G27"/>
    <mergeCell ref="F31:G31"/>
    <mergeCell ref="F25:G25"/>
    <mergeCell ref="C396:O396"/>
    <mergeCell ref="C397:O397"/>
    <mergeCell ref="N19:O19"/>
    <mergeCell ref="N21:O21"/>
    <mergeCell ref="N15:O15"/>
    <mergeCell ref="F15:G15"/>
    <mergeCell ref="N1:O1"/>
    <mergeCell ref="F6:I6"/>
    <mergeCell ref="F8:I8"/>
    <mergeCell ref="N8:O8"/>
    <mergeCell ref="N13:O13"/>
    <mergeCell ref="L74:M74"/>
    <mergeCell ref="I74:J74"/>
    <mergeCell ref="F21:G21"/>
    <mergeCell ref="F19:G19"/>
    <mergeCell ref="F13:G13"/>
    <mergeCell ref="F17:G17"/>
  </mergeCells>
  <conditionalFormatting sqref="E83:E84">
    <cfRule type="expression" dxfId="275" priority="471" stopIfTrue="1">
      <formula>#REF!&gt;0</formula>
    </cfRule>
  </conditionalFormatting>
  <conditionalFormatting sqref="C39:O39">
    <cfRule type="cellIs" dxfId="274" priority="470" operator="greaterThan">
      <formula>""""""</formula>
    </cfRule>
  </conditionalFormatting>
  <conditionalFormatting sqref="K86">
    <cfRule type="containsBlanks" dxfId="273" priority="469">
      <formula>LEN(TRIM(K86))=0</formula>
    </cfRule>
  </conditionalFormatting>
  <conditionalFormatting sqref="M86">
    <cfRule type="containsBlanks" dxfId="272" priority="457">
      <formula>LEN(TRIM(M86))=0</formula>
    </cfRule>
  </conditionalFormatting>
  <conditionalFormatting sqref="P86">
    <cfRule type="cellIs" dxfId="271" priority="456" stopIfTrue="1" operator="greaterThan">
      <formula>""""""</formula>
    </cfRule>
  </conditionalFormatting>
  <conditionalFormatting sqref="N90">
    <cfRule type="expression" dxfId="270" priority="454">
      <formula>$P$90&gt;0</formula>
    </cfRule>
  </conditionalFormatting>
  <conditionalFormatting sqref="N96">
    <cfRule type="expression" dxfId="269" priority="451">
      <formula>$P$96&gt;0</formula>
    </cfRule>
  </conditionalFormatting>
  <conditionalFormatting sqref="P90">
    <cfRule type="cellIs" dxfId="268" priority="449" operator="greaterThan">
      <formula>0</formula>
    </cfRule>
  </conditionalFormatting>
  <conditionalFormatting sqref="P96">
    <cfRule type="cellIs" dxfId="267" priority="446" operator="greaterThan">
      <formula>0</formula>
    </cfRule>
  </conditionalFormatting>
  <conditionalFormatting sqref="F15:G15">
    <cfRule type="cellIs" dxfId="266" priority="440" operator="greaterThan">
      <formula>0</formula>
    </cfRule>
  </conditionalFormatting>
  <conditionalFormatting sqref="F21:G21">
    <cfRule type="cellIs" dxfId="265" priority="439" operator="greaterThan">
      <formula>0</formula>
    </cfRule>
  </conditionalFormatting>
  <conditionalFormatting sqref="F27:G27">
    <cfRule type="cellIs" dxfId="264" priority="438" operator="greaterThan">
      <formula>0</formula>
    </cfRule>
  </conditionalFormatting>
  <conditionalFormatting sqref="F33:G33">
    <cfRule type="cellIs" dxfId="263" priority="436" operator="greaterThan">
      <formula>0</formula>
    </cfRule>
  </conditionalFormatting>
  <conditionalFormatting sqref="N15:O15">
    <cfRule type="expression" dxfId="262" priority="429">
      <formula>$K$15=""</formula>
    </cfRule>
    <cfRule type="cellIs" dxfId="261" priority="430" operator="greaterThan">
      <formula>0</formula>
    </cfRule>
    <cfRule type="expression" dxfId="260" priority="431">
      <formula>$K$15&gt;""</formula>
    </cfRule>
  </conditionalFormatting>
  <conditionalFormatting sqref="N19:O19">
    <cfRule type="expression" dxfId="259" priority="423">
      <formula>$K$19=""</formula>
    </cfRule>
    <cfRule type="cellIs" dxfId="258" priority="424" operator="greaterThan">
      <formula>0</formula>
    </cfRule>
    <cfRule type="expression" dxfId="257" priority="425">
      <formula>$K$19&gt;""</formula>
    </cfRule>
  </conditionalFormatting>
  <conditionalFormatting sqref="N13:O13">
    <cfRule type="expression" dxfId="256" priority="398">
      <formula>$K$13=""</formula>
    </cfRule>
    <cfRule type="cellIs" dxfId="255" priority="472" operator="greaterThan">
      <formula>0</formula>
    </cfRule>
    <cfRule type="expression" dxfId="254" priority="473">
      <formula>$K$13&gt;""</formula>
    </cfRule>
  </conditionalFormatting>
  <conditionalFormatting sqref="H86">
    <cfRule type="containsBlanks" dxfId="253" priority="338">
      <formula>LEN(TRIM(H86))=0</formula>
    </cfRule>
  </conditionalFormatting>
  <conditionalFormatting sqref="I86">
    <cfRule type="containsBlanks" dxfId="252" priority="337">
      <formula>LEN(TRIM(I86))=0</formula>
    </cfRule>
  </conditionalFormatting>
  <conditionalFormatting sqref="F25:G25">
    <cfRule type="expression" dxfId="251" priority="318">
      <formula>$C$25=""</formula>
    </cfRule>
  </conditionalFormatting>
  <conditionalFormatting sqref="F31:G31">
    <cfRule type="cellIs" dxfId="250" priority="317" operator="greaterThan">
      <formula>""""""</formula>
    </cfRule>
  </conditionalFormatting>
  <conditionalFormatting sqref="N21:O21">
    <cfRule type="expression" dxfId="249" priority="294">
      <formula>$K$21=""</formula>
    </cfRule>
    <cfRule type="cellIs" dxfId="248" priority="295" operator="greaterThan">
      <formula>0</formula>
    </cfRule>
    <cfRule type="expression" dxfId="247" priority="296">
      <formula>$K$21&gt;""</formula>
    </cfRule>
  </conditionalFormatting>
  <conditionalFormatting sqref="F35:G35">
    <cfRule type="expression" dxfId="246" priority="254">
      <formula>$C$35=0</formula>
    </cfRule>
    <cfRule type="cellIs" dxfId="245" priority="255" operator="greaterThan">
      <formula>0</formula>
    </cfRule>
    <cfRule type="expression" dxfId="244" priority="256">
      <formula>$C$35&gt;""</formula>
    </cfRule>
  </conditionalFormatting>
  <conditionalFormatting sqref="F37:G37">
    <cfRule type="expression" dxfId="243" priority="248">
      <formula>$C$37=""</formula>
    </cfRule>
    <cfRule type="expression" dxfId="242" priority="249">
      <formula>AND($C$37&gt;0,$F$37&gt;0)</formula>
    </cfRule>
    <cfRule type="expression" dxfId="241" priority="250">
      <formula>$C$37&gt;""</formula>
    </cfRule>
  </conditionalFormatting>
  <conditionalFormatting sqref="I23">
    <cfRule type="expression" dxfId="240" priority="156">
      <formula>$H$23=""</formula>
    </cfRule>
    <cfRule type="cellIs" dxfId="239" priority="157" operator="greaterThanOrEqual">
      <formula>""""""</formula>
    </cfRule>
  </conditionalFormatting>
  <conditionalFormatting sqref="AJ80:AJ81">
    <cfRule type="cellIs" dxfId="238" priority="155" stopIfTrue="1" operator="greaterThan">
      <formula>0</formula>
    </cfRule>
  </conditionalFormatting>
  <conditionalFormatting sqref="AL89:AM89 AM90:AM388">
    <cfRule type="cellIs" dxfId="237" priority="151" stopIfTrue="1" operator="lessThanOrEqual">
      <formula>0</formula>
    </cfRule>
  </conditionalFormatting>
  <conditionalFormatting sqref="AL90:AL388">
    <cfRule type="cellIs" dxfId="236" priority="150" stopIfTrue="1" operator="lessThanOrEqual">
      <formula>0</formula>
    </cfRule>
  </conditionalFormatting>
  <conditionalFormatting sqref="AK88:AN88 AN89:AN388 AK89:AK388">
    <cfRule type="cellIs" dxfId="235" priority="152" stopIfTrue="1" operator="lessThanOrEqual">
      <formula>0</formula>
    </cfRule>
  </conditionalFormatting>
  <conditionalFormatting sqref="I23">
    <cfRule type="expression" dxfId="234" priority="158">
      <formula>AND($H$23&gt;"",$I$23="")</formula>
    </cfRule>
  </conditionalFormatting>
  <conditionalFormatting sqref="P93">
    <cfRule type="cellIs" dxfId="233" priority="143" operator="greaterThan">
      <formula>0</formula>
    </cfRule>
  </conditionalFormatting>
  <conditionalFormatting sqref="N93">
    <cfRule type="expression" dxfId="232" priority="142">
      <formula>$P$90&gt;0</formula>
    </cfRule>
  </conditionalFormatting>
  <conditionalFormatting sqref="P91">
    <cfRule type="cellIs" dxfId="231" priority="141" operator="greaterThan">
      <formula>0</formula>
    </cfRule>
  </conditionalFormatting>
  <conditionalFormatting sqref="P95">
    <cfRule type="cellIs" dxfId="230" priority="140" operator="greaterThan">
      <formula>0</formula>
    </cfRule>
  </conditionalFormatting>
  <conditionalFormatting sqref="P99">
    <cfRule type="cellIs" dxfId="229" priority="139" operator="greaterThan">
      <formula>0</formula>
    </cfRule>
  </conditionalFormatting>
  <conditionalFormatting sqref="P103">
    <cfRule type="cellIs" dxfId="228" priority="138" operator="greaterThan">
      <formula>0</formula>
    </cfRule>
  </conditionalFormatting>
  <conditionalFormatting sqref="N91">
    <cfRule type="expression" dxfId="227" priority="137">
      <formula>$P$91&gt;0</formula>
    </cfRule>
  </conditionalFormatting>
  <conditionalFormatting sqref="N95">
    <cfRule type="expression" dxfId="226" priority="136">
      <formula>$P$95&gt;0</formula>
    </cfRule>
  </conditionalFormatting>
  <conditionalFormatting sqref="N99">
    <cfRule type="expression" dxfId="225" priority="135">
      <formula>$P$99&gt;0</formula>
    </cfRule>
  </conditionalFormatting>
  <conditionalFormatting sqref="N103">
    <cfRule type="expression" dxfId="224" priority="132">
      <formula>$P$103&gt;0</formula>
    </cfRule>
  </conditionalFormatting>
  <conditionalFormatting sqref="AS89:AT89 AT90:AT388">
    <cfRule type="cellIs" dxfId="223" priority="130" stopIfTrue="1" operator="lessThanOrEqual">
      <formula>0</formula>
    </cfRule>
  </conditionalFormatting>
  <conditionalFormatting sqref="AS90:AS388">
    <cfRule type="cellIs" dxfId="222" priority="129" stopIfTrue="1" operator="lessThanOrEqual">
      <formula>0</formula>
    </cfRule>
  </conditionalFormatting>
  <conditionalFormatting sqref="AR88:AU88 AU89:AU388 AR89:AR388">
    <cfRule type="cellIs" dxfId="221" priority="131" stopIfTrue="1" operator="lessThanOrEqual">
      <formula>0</formula>
    </cfRule>
  </conditionalFormatting>
  <conditionalFormatting sqref="F13:G13">
    <cfRule type="cellIs" dxfId="220" priority="121" operator="greaterThan">
      <formula>0</formula>
    </cfRule>
  </conditionalFormatting>
  <conditionalFormatting sqref="N25:O25">
    <cfRule type="expression" dxfId="219" priority="538">
      <formula>$M$25=""</formula>
    </cfRule>
    <cfRule type="cellIs" dxfId="218" priority="539" operator="greaterThan">
      <formula>0</formula>
    </cfRule>
    <cfRule type="expression" dxfId="217" priority="540">
      <formula>$M$25&gt;""</formula>
    </cfRule>
  </conditionalFormatting>
  <conditionalFormatting sqref="N23">
    <cfRule type="expression" dxfId="216" priority="547">
      <formula>$J$23&gt;""</formula>
    </cfRule>
  </conditionalFormatting>
  <conditionalFormatting sqref="N31:O31">
    <cfRule type="expression" dxfId="215" priority="420">
      <formula>$K$31=""</formula>
    </cfRule>
    <cfRule type="cellIs" dxfId="214" priority="421" operator="greaterThan">
      <formula>0</formula>
    </cfRule>
    <cfRule type="expression" dxfId="213" priority="422">
      <formula>$K$31&gt;""</formula>
    </cfRule>
  </conditionalFormatting>
  <conditionalFormatting sqref="N33:O33">
    <cfRule type="expression" dxfId="212" priority="144">
      <formula>$K$31=""</formula>
    </cfRule>
    <cfRule type="cellIs" dxfId="211" priority="145" operator="greaterThan">
      <formula>0</formula>
    </cfRule>
    <cfRule type="expression" dxfId="210" priority="146">
      <formula>$K$31&gt;""</formula>
    </cfRule>
  </conditionalFormatting>
  <conditionalFormatting sqref="N35:O35">
    <cfRule type="expression" dxfId="209" priority="414">
      <formula>$K$35=""</formula>
    </cfRule>
    <cfRule type="cellIs" dxfId="208" priority="415" operator="greaterThan">
      <formula>0</formula>
    </cfRule>
    <cfRule type="expression" dxfId="207" priority="416">
      <formula>$K$35&gt;""</formula>
    </cfRule>
  </conditionalFormatting>
  <conditionalFormatting sqref="H45">
    <cfRule type="cellIs" dxfId="206" priority="41" operator="greaterThan">
      <formula>""""""</formula>
    </cfRule>
  </conditionalFormatting>
  <conditionalFormatting sqref="I45">
    <cfRule type="cellIs" dxfId="205" priority="40" operator="greaterThan">
      <formula>""""""</formula>
    </cfRule>
  </conditionalFormatting>
  <conditionalFormatting sqref="J45">
    <cfRule type="cellIs" dxfId="204" priority="39" operator="greaterThan">
      <formula>""""""</formula>
    </cfRule>
  </conditionalFormatting>
  <conditionalFormatting sqref="L45">
    <cfRule type="cellIs" dxfId="203" priority="36" operator="greaterThan">
      <formula>""""""</formula>
    </cfRule>
  </conditionalFormatting>
  <conditionalFormatting sqref="M45">
    <cfRule type="cellIs" dxfId="202" priority="34" operator="greaterThan">
      <formula>""""""</formula>
    </cfRule>
  </conditionalFormatting>
  <conditionalFormatting sqref="N45">
    <cfRule type="cellIs" dxfId="201" priority="33" operator="greaterThan">
      <formula>""""""</formula>
    </cfRule>
  </conditionalFormatting>
  <conditionalFormatting sqref="H48">
    <cfRule type="cellIs" dxfId="200" priority="15" operator="greaterThan">
      <formula>0</formula>
    </cfRule>
  </conditionalFormatting>
  <conditionalFormatting sqref="F78">
    <cfRule type="expression" dxfId="199" priority="567">
      <formula>$C$78=""</formula>
    </cfRule>
    <cfRule type="expression" dxfId="198" priority="568">
      <formula>$C$78&gt;""</formula>
    </cfRule>
  </conditionalFormatting>
  <conditionalFormatting sqref="G76">
    <cfRule type="expression" dxfId="197" priority="575">
      <formula>$H$80&gt;""</formula>
    </cfRule>
  </conditionalFormatting>
  <conditionalFormatting sqref="J81">
    <cfRule type="cellIs" dxfId="196" priority="14" operator="greaterThan">
      <formula>0</formula>
    </cfRule>
  </conditionalFormatting>
  <conditionalFormatting sqref="M81">
    <cfRule type="cellIs" dxfId="195" priority="13" operator="greaterThan">
      <formula>0</formula>
    </cfRule>
  </conditionalFormatting>
  <conditionalFormatting sqref="G46:G71">
    <cfRule type="expression" dxfId="194" priority="10">
      <formula>$H$45&gt;""</formula>
    </cfRule>
  </conditionalFormatting>
  <conditionalFormatting sqref="I48">
    <cfRule type="cellIs" dxfId="193" priority="9" operator="greaterThan">
      <formula>0</formula>
    </cfRule>
  </conditionalFormatting>
  <conditionalFormatting sqref="J48">
    <cfRule type="cellIs" dxfId="192" priority="8" operator="greaterThan">
      <formula>0</formula>
    </cfRule>
  </conditionalFormatting>
  <conditionalFormatting sqref="L48">
    <cfRule type="cellIs" dxfId="191" priority="7" operator="greaterThan">
      <formula>0</formula>
    </cfRule>
  </conditionalFormatting>
  <conditionalFormatting sqref="M48">
    <cfRule type="cellIs" dxfId="190" priority="6" operator="greaterThan">
      <formula>0</formula>
    </cfRule>
  </conditionalFormatting>
  <conditionalFormatting sqref="N48">
    <cfRule type="cellIs" dxfId="189" priority="5" operator="greaterThan">
      <formula>0</formula>
    </cfRule>
  </conditionalFormatting>
  <conditionalFormatting sqref="L84">
    <cfRule type="expression" dxfId="188" priority="580">
      <formula>$K$84&gt;""</formula>
    </cfRule>
  </conditionalFormatting>
  <conditionalFormatting sqref="N23:O23">
    <cfRule type="expression" dxfId="187" priority="4">
      <formula>$J$23=""</formula>
    </cfRule>
  </conditionalFormatting>
  <conditionalFormatting sqref="F19:G19">
    <cfRule type="expression" dxfId="186" priority="585">
      <formula>$C$19=""</formula>
    </cfRule>
    <cfRule type="cellIs" dxfId="185" priority="586" operator="greaterThanOrEqual">
      <formula>""""""</formula>
    </cfRule>
    <cfRule type="expression" dxfId="184" priority="587">
      <formula>AND($C$19&gt;"",$F$19="")</formula>
    </cfRule>
  </conditionalFormatting>
  <conditionalFormatting sqref="I17">
    <cfRule type="expression" dxfId="183" priority="1">
      <formula>$H$17=""</formula>
    </cfRule>
    <cfRule type="cellIs" dxfId="182" priority="2" operator="greaterThan">
      <formula>""""""</formula>
    </cfRule>
    <cfRule type="expression" dxfId="181" priority="3">
      <formula>"y($I$17="""",$H$17&gt;"""""</formula>
    </cfRule>
  </conditionalFormatting>
  <dataValidations count="4">
    <dataValidation type="list" allowBlank="1" showInputMessage="1" showErrorMessage="1" sqref="F15" xr:uid="{00000000-0002-0000-0600-000000000000}">
      <formula1>DestinosSantander</formula1>
    </dataValidation>
    <dataValidation type="list" allowBlank="1" showInputMessage="1" showErrorMessage="1" sqref="F29" xr:uid="{00000000-0002-0000-0600-000001000000}">
      <formula1>Intervinientes</formula1>
    </dataValidation>
    <dataValidation type="list" allowBlank="1" showInputMessage="1" showErrorMessage="1" sqref="N31" xr:uid="{00000000-0002-0000-0600-000002000000}">
      <formula1>construcción</formula1>
    </dataValidation>
    <dataValidation type="list" allowBlank="1" showInputMessage="1" showErrorMessage="1" sqref="O83" xr:uid="{00000000-0002-0000-0600-000003000000}">
      <formula1>$AB$80:$AB$81</formula1>
    </dataValidation>
  </dataValidations>
  <hyperlinks>
    <hyperlink ref="D80" location="Liquidez!A1" display="Liquidez!A1" xr:uid="{00000000-0004-0000-0600-000000000000}"/>
    <hyperlink ref="F80" location="Sustitución!A1" display="Sustitución!A1" xr:uid="{00000000-0004-0000-0600-000002000000}"/>
  </hyperlinks>
  <pageMargins left="0" right="0" top="0" bottom="0" header="0" footer="0"/>
  <pageSetup scale="50" orientation="landscape" horizontalDpi="4294967294" verticalDpi="4294967294" r:id="rId1"/>
  <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600-000006000000}">
          <x14:formula1>
            <xm:f>Cal!$AA$104:$AA$108</xm:f>
          </x14:formula1>
          <xm:sqref>G76</xm:sqref>
        </x14:dataValidation>
        <x14:dataValidation type="list" allowBlank="1" showInputMessage="1" showErrorMessage="1" xr:uid="{00000000-0002-0000-0600-00000B000000}">
          <x14:formula1>
            <xm:f>Adm!$D$6:$D$7</xm:f>
          </x14:formula1>
          <xm:sqref>F31</xm:sqref>
        </x14:dataValidation>
        <x14:dataValidation type="list" allowBlank="1" showInputMessage="1" showErrorMessage="1" xr:uid="{00000000-0002-0000-0600-000007000000}">
          <x14:formula1>
            <xm:f>Adm!$G$15:$G$16</xm:f>
          </x14:formula1>
          <xm:sqref>N25</xm:sqref>
        </x14:dataValidation>
        <x14:dataValidation type="list" allowBlank="1" showInputMessage="1" showErrorMessage="1" xr:uid="{00000000-0002-0000-0600-000004000000}">
          <x14:formula1>
            <xm:f>OFFSET(Adm!$AC$6,1,,COUNTA(origen))</xm:f>
          </x14:formula1>
          <xm:sqref>N19:O19</xm:sqref>
        </x14:dataValidation>
        <x14:dataValidation type="list" allowBlank="1" showInputMessage="1" showErrorMessage="1" xr:uid="{00000000-0002-0000-0600-000005000000}">
          <x14:formula1>
            <xm:f>OFFSET(Adm!$AB$6,1,,COUNTA(gastos))</xm:f>
          </x14:formula1>
          <xm:sqref>N21:O21</xm:sqref>
        </x14:dataValidation>
        <x14:dataValidation type="list" allowBlank="1" showInputMessage="1" showErrorMessage="1" xr:uid="{079D1244-3017-4A20-B452-3C22DEFD2704}">
          <x14:formula1>
            <xm:f>Adm!$AS$7:$AS$8</xm:f>
          </x14:formula1>
          <xm:sqref>F19</xm:sqref>
        </x14:dataValidation>
        <x14:dataValidation type="list" allowBlank="1" showInputMessage="1" showErrorMessage="1" xr:uid="{347E6E44-328A-4C52-BECE-973C29041B59}">
          <x14:formula1>
            <xm:f>_xlfn.ANCHORARRAY(Adm!$BN$11)</xm:f>
          </x14:formula1>
          <xm:sqref>F78:G78</xm:sqref>
        </x14:dataValidation>
        <x14:dataValidation type="list" allowBlank="1" showInputMessage="1" showErrorMessage="1" xr:uid="{00000000-0002-0000-0600-00000D000000}">
          <x14:formula1>
            <xm:f>OFFSET(Adm!$BF$23,0,,COUNTIF(ofertassantander,"&lt;&gt;X"))</xm:f>
          </x14:formula1>
          <xm:sqref>F17</xm:sqref>
        </x14:dataValidation>
        <x14:dataValidation type="list" allowBlank="1" showInputMessage="1" showErrorMessage="1" xr:uid="{7BCC0DEC-C15D-4FD4-ABFA-DAFE67B21DE2}">
          <x14:formula1>
            <xm:f>Adm!$I$7:$I$8</xm:f>
          </x14:formula1>
          <xm:sqref>F13:G13</xm:sqref>
        </x14:dataValidation>
        <x14:dataValidation type="list" allowBlank="1" showInputMessage="1" showErrorMessage="1" xr:uid="{40B81591-3370-4375-96D0-B12E278A706D}">
          <x14:formula1>
            <xm:f>Adm!$BU$12:$BU$16</xm:f>
          </x14:formula1>
          <xm:sqref>E51</xm:sqref>
        </x14:dataValidation>
        <x14:dataValidation type="list" allowBlank="1" showInputMessage="1" showErrorMessage="1" xr:uid="{00000000-0002-0000-0600-00000A000000}">
          <x14:formula1>
            <xm:f>Adm!$S$7:$S$8</xm:f>
          </x14:formula1>
          <xm:sqref>F23 F25:G25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
    <tabColor rgb="FF00B050"/>
  </sheetPr>
  <dimension ref="A1:CI275"/>
  <sheetViews>
    <sheetView showGridLines="0" showRowColHeaders="0" showZeros="0" topLeftCell="C1" zoomScale="80" zoomScaleNormal="80" workbookViewId="0">
      <selection activeCell="C1" sqref="C1"/>
    </sheetView>
  </sheetViews>
  <sheetFormatPr baseColWidth="10" defaultColWidth="11.44140625" defaultRowHeight="13.2"/>
  <cols>
    <col min="1" max="1" width="9.44140625" style="1102" hidden="1" customWidth="1"/>
    <col min="2" max="2" width="12.21875" style="1101" hidden="1" customWidth="1"/>
    <col min="3" max="3" width="16.5546875" style="1102" customWidth="1"/>
    <col min="4" max="4" width="16.77734375" style="1102" customWidth="1"/>
    <col min="5" max="7" width="19.77734375" style="1102" customWidth="1"/>
    <col min="8" max="8" width="16.77734375" style="1102" customWidth="1"/>
    <col min="9" max="9" width="15.21875" style="1102" customWidth="1"/>
    <col min="10" max="10" width="16.77734375" style="1102" customWidth="1"/>
    <col min="11" max="11" width="21.44140625" style="1102" customWidth="1"/>
    <col min="12" max="12" width="22.21875" style="1102" customWidth="1"/>
    <col min="13" max="13" width="0" style="1102" hidden="1" customWidth="1"/>
    <col min="14" max="25" width="11.44140625" style="1102" hidden="1" customWidth="1"/>
    <col min="26" max="26" width="17.77734375" style="1102" hidden="1" customWidth="1"/>
    <col min="27" max="28" width="11.44140625" style="1102" hidden="1" customWidth="1"/>
    <col min="29" max="29" width="18.21875" style="1102" hidden="1" customWidth="1"/>
    <col min="30" max="30" width="14.5546875" style="1102" hidden="1" customWidth="1"/>
    <col min="31" max="31" width="18.21875" style="1102" hidden="1" customWidth="1"/>
    <col min="32" max="32" width="19" style="1102" hidden="1" customWidth="1"/>
    <col min="33" max="33" width="20" style="1102" hidden="1" customWidth="1"/>
    <col min="34" max="34" width="20.21875" style="1102" hidden="1" customWidth="1"/>
    <col min="35" max="87" width="11.44140625" style="1102" hidden="1" customWidth="1"/>
    <col min="88" max="125" width="11.44140625" style="1102" customWidth="1"/>
    <col min="126" max="16384" width="11.44140625" style="1102"/>
  </cols>
  <sheetData>
    <row r="1" spans="1:36" ht="21">
      <c r="F1" s="1407" t="s">
        <v>476</v>
      </c>
      <c r="G1" s="1104"/>
      <c r="H1" s="1104"/>
      <c r="I1" s="1104"/>
      <c r="J1" s="1316"/>
      <c r="K1" s="2241">
        <f ca="1">TODAY()</f>
        <v>46098</v>
      </c>
      <c r="L1" s="2241"/>
    </row>
    <row r="2" spans="1:36" ht="28.5" customHeight="1">
      <c r="L2" s="1101" t="s">
        <v>477</v>
      </c>
    </row>
    <row r="3" spans="1:36" ht="15.6">
      <c r="C3" s="1403" t="s">
        <v>389</v>
      </c>
      <c r="D3" s="1112"/>
      <c r="E3" s="1113"/>
      <c r="F3" s="1114"/>
      <c r="G3" s="1114"/>
      <c r="H3" s="1114"/>
      <c r="I3" s="1114"/>
      <c r="J3" s="1115"/>
      <c r="K3" s="1115"/>
      <c r="L3" s="1115"/>
    </row>
    <row r="4" spans="1:36">
      <c r="C4" s="1117"/>
      <c r="D4" s="1117"/>
      <c r="E4" s="1107"/>
      <c r="F4" s="1107"/>
      <c r="G4" s="1107"/>
      <c r="H4" s="1107"/>
      <c r="I4" s="1107"/>
      <c r="J4" s="1118"/>
      <c r="K4" s="1118"/>
      <c r="AJ4" s="1408"/>
    </row>
    <row r="5" spans="1:36">
      <c r="C5" s="1119" t="s">
        <v>390</v>
      </c>
      <c r="D5" s="1119"/>
      <c r="E5" s="2268">
        <f>Captura!F6</f>
        <v>0</v>
      </c>
      <c r="F5" s="2268"/>
      <c r="G5" s="2268"/>
      <c r="H5" s="2268"/>
      <c r="I5" s="1101"/>
      <c r="K5" s="1120"/>
      <c r="AJ5" s="1408"/>
    </row>
    <row r="6" spans="1:36">
      <c r="C6" s="1107"/>
      <c r="D6" s="1107"/>
      <c r="F6" s="1107"/>
      <c r="G6" s="1107"/>
      <c r="H6" s="1107"/>
      <c r="I6" s="1107"/>
      <c r="J6" s="1118"/>
      <c r="K6" s="1118"/>
      <c r="Z6" s="1266" t="s">
        <v>424</v>
      </c>
      <c r="AJ6" s="1408"/>
    </row>
    <row r="7" spans="1:36">
      <c r="C7" s="1119" t="s">
        <v>391</v>
      </c>
      <c r="D7" s="1119"/>
      <c r="E7" s="2268">
        <f>Captura!F8</f>
        <v>0</v>
      </c>
      <c r="F7" s="2268"/>
      <c r="G7" s="2268"/>
      <c r="H7" s="2268"/>
      <c r="I7" s="1101"/>
      <c r="J7" s="1121" t="s">
        <v>392</v>
      </c>
      <c r="K7" s="2269">
        <f>Captura!N8</f>
        <v>0</v>
      </c>
      <c r="L7" s="2269"/>
      <c r="Z7" s="1282">
        <f>MAXA(C18:C257)</f>
        <v>0</v>
      </c>
      <c r="AJ7" s="1408"/>
    </row>
    <row r="8" spans="1:36">
      <c r="C8" s="1119"/>
      <c r="D8" s="1119"/>
      <c r="F8" s="1120"/>
      <c r="G8" s="1120"/>
      <c r="H8" s="1120"/>
      <c r="I8" s="1120"/>
      <c r="J8" s="1121"/>
      <c r="K8" s="1118"/>
      <c r="L8" s="1118"/>
      <c r="Z8" s="1409">
        <f>Z7/12</f>
        <v>0</v>
      </c>
      <c r="AJ8" s="1116"/>
    </row>
    <row r="9" spans="1:36" ht="6" customHeight="1">
      <c r="C9" s="1410"/>
      <c r="D9" s="1410"/>
      <c r="E9" s="1411"/>
      <c r="F9" s="1412"/>
      <c r="G9" s="1412"/>
      <c r="H9" s="1412"/>
      <c r="I9" s="1412"/>
      <c r="J9" s="1413"/>
      <c r="K9" s="1414"/>
      <c r="L9" s="1414"/>
      <c r="AC9" s="1126" t="s">
        <v>425</v>
      </c>
    </row>
    <row r="10" spans="1:36">
      <c r="C10" s="1119"/>
      <c r="D10" s="1119"/>
      <c r="F10" s="1120"/>
      <c r="G10" s="1120"/>
      <c r="H10" s="1120"/>
      <c r="I10" s="1120"/>
      <c r="J10" s="1121"/>
      <c r="K10" s="1118"/>
      <c r="L10" s="1118"/>
      <c r="AC10" s="1102" t="s">
        <v>430</v>
      </c>
      <c r="AE10" s="1107" t="s">
        <v>426</v>
      </c>
    </row>
    <row r="11" spans="1:36">
      <c r="C11" s="1415"/>
      <c r="D11" s="1415"/>
      <c r="F11" s="1416"/>
      <c r="G11" s="1120"/>
      <c r="H11" s="1417"/>
      <c r="I11" s="1120"/>
      <c r="J11" s="1121" t="s">
        <v>439</v>
      </c>
      <c r="K11" s="1418">
        <f>Z7</f>
        <v>0</v>
      </c>
      <c r="L11" s="1119" t="str">
        <f>IF(K11&gt;0,"meses","")</f>
        <v/>
      </c>
    </row>
    <row r="12" spans="1:36">
      <c r="C12" s="1119"/>
      <c r="D12" s="1119"/>
      <c r="F12" s="1120"/>
      <c r="G12" s="1120"/>
      <c r="H12" s="1120"/>
      <c r="I12" s="1120"/>
      <c r="J12" s="1121"/>
      <c r="K12" s="1349"/>
      <c r="L12" s="1119"/>
      <c r="AC12" s="1419">
        <f>IF(L14=AC9,1,IF(L14=AC10,2,0))</f>
        <v>0</v>
      </c>
      <c r="AD12" s="1290" t="s">
        <v>432</v>
      </c>
      <c r="AE12" s="1291">
        <f>IF(Adm!D4="Fijos",1,2)</f>
        <v>2</v>
      </c>
      <c r="AH12" s="1420" t="s">
        <v>433</v>
      </c>
    </row>
    <row r="13" spans="1:36" ht="15.6">
      <c r="C13" s="1152" t="s">
        <v>435</v>
      </c>
      <c r="D13" s="1421" t="e">
        <f>CAT!AB20</f>
        <v>#NUM!</v>
      </c>
      <c r="E13" s="1135" t="s">
        <v>436</v>
      </c>
      <c r="G13" s="1422"/>
      <c r="AH13" s="1423">
        <f>IF(Adm!D4="Crecientes",1,0)</f>
        <v>0</v>
      </c>
    </row>
    <row r="14" spans="1:36">
      <c r="C14" s="1120" t="str">
        <f ca="1">CONCATENATE("Calculado al"," ",Captura!O2," ",".Para fines informativos y de comparación.")</f>
        <v>Calculado al 17 mar 2026 .Para fines informativos y de comparación.</v>
      </c>
      <c r="D14" s="1120"/>
      <c r="K14" s="1302" t="s">
        <v>478</v>
      </c>
      <c r="L14" s="1303"/>
    </row>
    <row r="15" spans="1:36" ht="22.5" customHeight="1">
      <c r="C15" s="2267" t="s">
        <v>479</v>
      </c>
      <c r="D15" s="2267"/>
      <c r="E15" s="2267"/>
      <c r="F15" s="2267"/>
      <c r="G15" s="2267"/>
      <c r="H15" s="2267"/>
      <c r="I15" s="2267"/>
      <c r="J15" s="2267"/>
      <c r="K15" s="2267"/>
      <c r="L15" s="2267"/>
      <c r="AC15" s="1424" t="s">
        <v>442</v>
      </c>
    </row>
    <row r="16" spans="1:36" ht="38.25" customHeight="1">
      <c r="A16" s="1321" t="s">
        <v>444</v>
      </c>
      <c r="B16" s="1322" t="s">
        <v>445</v>
      </c>
      <c r="C16" s="1323" t="s">
        <v>446</v>
      </c>
      <c r="D16" s="1323" t="s">
        <v>447</v>
      </c>
      <c r="E16" s="1323" t="s">
        <v>448</v>
      </c>
      <c r="F16" s="1323" t="s">
        <v>449</v>
      </c>
      <c r="G16" s="1323" t="s">
        <v>450</v>
      </c>
      <c r="H16" s="1425" t="str">
        <f>IF(Captura!H86&gt;"","Seguro Vida","")</f>
        <v/>
      </c>
      <c r="I16" s="1426" t="str">
        <f>IF(OR(Adm!$AB$4=Adm!$AB$17,Adm!$AB$4=Adm!$AB$18),"","IVA de intereses")</f>
        <v>IVA de intereses</v>
      </c>
      <c r="J16" s="1323" t="s">
        <v>452</v>
      </c>
      <c r="K16" s="1323" t="s">
        <v>453</v>
      </c>
      <c r="L16" s="1440" t="s">
        <v>480</v>
      </c>
      <c r="W16" s="1326" t="s">
        <v>444</v>
      </c>
      <c r="X16" s="1327" t="s">
        <v>454</v>
      </c>
      <c r="Z16" s="1332"/>
      <c r="AC16" s="1427" t="s">
        <v>455</v>
      </c>
      <c r="AD16" s="1331" t="s">
        <v>456</v>
      </c>
      <c r="AE16" s="1332" t="s">
        <v>457</v>
      </c>
      <c r="AF16" s="1333" t="s">
        <v>458</v>
      </c>
      <c r="AG16" s="1334" t="s">
        <v>459</v>
      </c>
      <c r="AH16" s="1349" t="s">
        <v>460</v>
      </c>
      <c r="AJ16" s="1293"/>
    </row>
    <row r="17" spans="1:36">
      <c r="A17" s="1101">
        <f ca="1">MONTH(K1)</f>
        <v>3</v>
      </c>
      <c r="B17" s="1101">
        <f>Adm!H4</f>
        <v>0</v>
      </c>
      <c r="C17" s="1101">
        <v>0</v>
      </c>
      <c r="D17" s="1101"/>
      <c r="E17" s="1101"/>
      <c r="F17" s="1101"/>
      <c r="G17" s="1101"/>
      <c r="H17" s="1101"/>
      <c r="I17" s="1101"/>
      <c r="J17" s="1101"/>
      <c r="K17" s="1428">
        <f>IF(Adm!B4=0,0,IF(Captura!C39&lt;&gt;"",0,IF(Captura!G76="",0,IF(OR(Adm!B4=Adm!A116,Adm!B4=Adm!A117),Cal!AC119,0))))</f>
        <v>0</v>
      </c>
      <c r="L17" s="1429"/>
      <c r="W17" s="1340">
        <v>12</v>
      </c>
      <c r="X17" s="1341" t="s">
        <v>463</v>
      </c>
      <c r="AH17" s="1344" t="s">
        <v>464</v>
      </c>
      <c r="AJ17" s="1345">
        <v>1</v>
      </c>
    </row>
    <row r="18" spans="1:36">
      <c r="A18" s="1118">
        <f t="shared" ref="A18:A81" ca="1" si="0">IF(A17=12,1,A17+1)</f>
        <v>4</v>
      </c>
      <c r="B18" s="1101">
        <f t="shared" ref="B18:B81" si="1">IF(K17&lt;0.01,0,B17-1)</f>
        <v>0</v>
      </c>
      <c r="C18" s="2149">
        <f t="shared" ref="C18:C81" si="2">IF(K17&lt;0.01,0,C17+1)</f>
        <v>0</v>
      </c>
      <c r="D18" s="2144">
        <f>IF(K17&lt;0.01,0,Adm!AE6)</f>
        <v>0</v>
      </c>
      <c r="E18" s="2145">
        <f>IF(K17&lt;0.01,0,K17*D18*30.4166/360)</f>
        <v>0</v>
      </c>
      <c r="F18" s="2145">
        <f t="shared" ref="F18:F81" si="3">IF(K17&lt;0.01,0,G18-E18)</f>
        <v>0</v>
      </c>
      <c r="G18" s="2145">
        <f>IF(K17&lt;0.01,0,IF(Adm!D4=Adm!D7,K17*Adm!AF4/1000,IF(OR(Adm!B4=Adm!A116,Adm!B4=Adm!A117),PMT(((Adm!AE6/360)*(365/12)),Cal!AC109,-K17))))</f>
        <v>0</v>
      </c>
      <c r="H18" s="2145">
        <f>IF(K17&lt;0.01,0,IF(Adm!$S$4=Adm!$S$8,0,K17*Adm!$V$4))</f>
        <v>0</v>
      </c>
      <c r="I18" s="2145">
        <f>IF(K17&lt;0.01,0,IF($I$16&lt;&gt;"",E18*Adm!$O$8,0))</f>
        <v>0</v>
      </c>
      <c r="J18" s="2145">
        <f t="shared" ref="J18:J81" si="4">G18+H18+I18</f>
        <v>0</v>
      </c>
      <c r="K18" s="2145">
        <f t="shared" ref="K18:K81" si="5">IF(K17&lt;0.01,0,K17-F18-L18)</f>
        <v>0</v>
      </c>
      <c r="L18" s="2146"/>
      <c r="W18" s="1352">
        <f>IF(W17=12,1,W17+1)</f>
        <v>1</v>
      </c>
      <c r="X18" s="1430"/>
      <c r="AC18" s="1357"/>
      <c r="AD18" s="1339"/>
      <c r="AE18" s="1339"/>
      <c r="AF18" s="1358"/>
      <c r="AG18" s="1358"/>
      <c r="AH18" s="1359" t="e">
        <f>HLOOKUP($AH$13,liquidez,2,0)</f>
        <v>#N/A</v>
      </c>
      <c r="AJ18" s="1360">
        <f>Captura!AI88</f>
        <v>0</v>
      </c>
    </row>
    <row r="19" spans="1:36">
      <c r="A19" s="1118">
        <f t="shared" ca="1" si="0"/>
        <v>5</v>
      </c>
      <c r="B19" s="1101">
        <f t="shared" si="1"/>
        <v>0</v>
      </c>
      <c r="C19" s="2149">
        <f t="shared" si="2"/>
        <v>0</v>
      </c>
      <c r="D19" s="2150">
        <f t="shared" ref="D19:D82" si="6">IF(K18&lt;0.01,0,D18)</f>
        <v>0</v>
      </c>
      <c r="E19" s="2145">
        <f t="shared" ref="E19:E82" si="7">IF(K18&lt;0.01,0,K18*D19*30.4166/360)</f>
        <v>0</v>
      </c>
      <c r="F19" s="2145">
        <f t="shared" si="3"/>
        <v>0</v>
      </c>
      <c r="G19" s="2145">
        <f t="shared" ref="G19:G82" si="8">IF(K18&lt;0.1,0,MIN(K18+E19,IF(AC19&gt;0,AC19,G18*(1+X19))))</f>
        <v>0</v>
      </c>
      <c r="H19" s="2145">
        <f>IF(K18&lt;0.01,0,IF(Adm!$S$4=Adm!$S$8,0,K18*Adm!$V$4))</f>
        <v>0</v>
      </c>
      <c r="I19" s="2145">
        <f>IF(K18&lt;0.01,0,IF($I$16&lt;&gt;"",E19*Adm!$O$8,0))</f>
        <v>0</v>
      </c>
      <c r="J19" s="2145">
        <f t="shared" si="4"/>
        <v>0</v>
      </c>
      <c r="K19" s="2145">
        <f t="shared" si="5"/>
        <v>0</v>
      </c>
      <c r="L19" s="2146"/>
      <c r="W19" s="1352">
        <f t="shared" ref="W19:W82" si="9">IF(W18=12,1,W18+1)</f>
        <v>2</v>
      </c>
      <c r="X19" s="1367">
        <f>IF(W19=1,Cal!$AC$127,0)</f>
        <v>0</v>
      </c>
      <c r="Z19" s="1153"/>
      <c r="AC19" s="1370">
        <f>IF(AD19&gt;1,AD19,IF(AF19&gt;1,AF19,0))</f>
        <v>0</v>
      </c>
      <c r="AD19" s="1371">
        <f>IF(AND($AE$12=1,L18&gt;0.1),AE19,0)</f>
        <v>0</v>
      </c>
      <c r="AE19" s="1371">
        <f>IF(AND($AE$12=1,$AC$12=2),PMT((($D$18/360)*(365/12)),B18,-K18),0)</f>
        <v>0</v>
      </c>
      <c r="AF19" s="1373">
        <f>IF(AND(AG19&gt;0.01,$AC$12=2),AG19,0)</f>
        <v>0</v>
      </c>
      <c r="AG19" s="1371">
        <f t="shared" ref="AG19:AG82" si="10">IF(AND($AE$12=2,L18&lt;0.01),0,IF($AE$12=2,(K18*AH19)+E19,0))</f>
        <v>0</v>
      </c>
      <c r="AH19" s="1359" t="e">
        <f>HLOOKUP($AH$13,liquidez,3,0)</f>
        <v>#N/A</v>
      </c>
      <c r="AJ19" s="1360">
        <f>Captura!AI89</f>
        <v>0</v>
      </c>
    </row>
    <row r="20" spans="1:36">
      <c r="A20" s="1118">
        <f t="shared" ca="1" si="0"/>
        <v>6</v>
      </c>
      <c r="B20" s="1101">
        <f t="shared" si="1"/>
        <v>0</v>
      </c>
      <c r="C20" s="2149">
        <f t="shared" si="2"/>
        <v>0</v>
      </c>
      <c r="D20" s="2150">
        <f t="shared" si="6"/>
        <v>0</v>
      </c>
      <c r="E20" s="2145">
        <f t="shared" si="7"/>
        <v>0</v>
      </c>
      <c r="F20" s="2145">
        <f t="shared" si="3"/>
        <v>0</v>
      </c>
      <c r="G20" s="2145">
        <f t="shared" si="8"/>
        <v>0</v>
      </c>
      <c r="H20" s="2145">
        <f>IF(K19&lt;0.01,0,IF(Adm!$S$4=Adm!$S$8,0,K19*Adm!$V$4))</f>
        <v>0</v>
      </c>
      <c r="I20" s="2145">
        <f>IF(K19&lt;0.01,0,IF($I$16&lt;&gt;"",E20*Adm!$O$8,0))</f>
        <v>0</v>
      </c>
      <c r="J20" s="2145">
        <f t="shared" si="4"/>
        <v>0</v>
      </c>
      <c r="K20" s="2145">
        <f t="shared" si="5"/>
        <v>0</v>
      </c>
      <c r="L20" s="2146"/>
      <c r="W20" s="1352">
        <f t="shared" si="9"/>
        <v>3</v>
      </c>
      <c r="X20" s="1367">
        <f>IF(W20=1,Cal!$AC$127,0)</f>
        <v>0</v>
      </c>
      <c r="Z20" s="1153"/>
      <c r="AC20" s="1375">
        <f>IF(AD20&gt;1,AD20,IF(AF20&gt;1,AF20,0))</f>
        <v>0</v>
      </c>
      <c r="AD20" s="1373">
        <f>IF(AND($AE$12=1,L19&gt;0.1),AE20,0)</f>
        <v>0</v>
      </c>
      <c r="AE20" s="1373">
        <f>IF(AND($AE$12=1,$AC$12=2),PMT((($D$18/360)*(365/12)),B19,-K19),0)</f>
        <v>0</v>
      </c>
      <c r="AF20" s="1373">
        <f t="shared" ref="AF20:AF83" si="11">IF(AND(AG20&gt;0.01,$AC$12=2),AG20,0)</f>
        <v>0</v>
      </c>
      <c r="AG20" s="1371">
        <f t="shared" si="10"/>
        <v>0</v>
      </c>
      <c r="AH20" s="1359" t="e">
        <f>HLOOKUP($AH$13,liquidez,4,0)</f>
        <v>#N/A</v>
      </c>
      <c r="AJ20" s="1360">
        <f>Captura!AI90</f>
        <v>0</v>
      </c>
    </row>
    <row r="21" spans="1:36">
      <c r="A21" s="1118">
        <f t="shared" ca="1" si="0"/>
        <v>7</v>
      </c>
      <c r="B21" s="1101">
        <f t="shared" si="1"/>
        <v>0</v>
      </c>
      <c r="C21" s="2149">
        <f t="shared" si="2"/>
        <v>0</v>
      </c>
      <c r="D21" s="2150">
        <f t="shared" si="6"/>
        <v>0</v>
      </c>
      <c r="E21" s="2145">
        <f t="shared" si="7"/>
        <v>0</v>
      </c>
      <c r="F21" s="2145">
        <f t="shared" si="3"/>
        <v>0</v>
      </c>
      <c r="G21" s="2145">
        <f t="shared" si="8"/>
        <v>0</v>
      </c>
      <c r="H21" s="2145">
        <f>IF(K20&lt;0.01,0,IF(Adm!$S$4=Adm!$S$8,0,K20*Adm!$V$4))</f>
        <v>0</v>
      </c>
      <c r="I21" s="2145">
        <f>IF(K20&lt;0.01,0,IF($I$16&lt;&gt;"",E21*Adm!$O$8,0))</f>
        <v>0</v>
      </c>
      <c r="J21" s="2145">
        <f t="shared" si="4"/>
        <v>0</v>
      </c>
      <c r="K21" s="2145">
        <f t="shared" si="5"/>
        <v>0</v>
      </c>
      <c r="L21" s="2146"/>
      <c r="W21" s="1352">
        <f t="shared" si="9"/>
        <v>4</v>
      </c>
      <c r="X21" s="1367">
        <f>IF(W21=1,Cal!$AC$127,0)</f>
        <v>0</v>
      </c>
      <c r="Z21" s="1153"/>
      <c r="AC21" s="1375">
        <f t="shared" ref="AC21:AC84" si="12">IF(AD21&gt;1,AD21,IF(AF21&gt;1,AF21,0))</f>
        <v>0</v>
      </c>
      <c r="AD21" s="1373">
        <f t="shared" ref="AD21:AD84" si="13">IF(AND($AE$12=1,L20&gt;0.1),AE21,0)</f>
        <v>0</v>
      </c>
      <c r="AE21" s="1373">
        <f t="shared" ref="AE21:AE84" si="14">IF(AND($AE$12=1,$AC$12=2),PMT((($D$18/360)*(365/12)),B20,-K20),0)</f>
        <v>0</v>
      </c>
      <c r="AF21" s="1373">
        <f t="shared" si="11"/>
        <v>0</v>
      </c>
      <c r="AG21" s="1371">
        <f t="shared" si="10"/>
        <v>0</v>
      </c>
      <c r="AH21" s="1359" t="e">
        <f>HLOOKUP($AH$13,liquidez,5,0)</f>
        <v>#N/A</v>
      </c>
      <c r="AJ21" s="1360">
        <f>Captura!AI91</f>
        <v>0</v>
      </c>
    </row>
    <row r="22" spans="1:36">
      <c r="A22" s="1118">
        <f t="shared" ca="1" si="0"/>
        <v>8</v>
      </c>
      <c r="B22" s="1101">
        <f t="shared" si="1"/>
        <v>0</v>
      </c>
      <c r="C22" s="2149">
        <f t="shared" si="2"/>
        <v>0</v>
      </c>
      <c r="D22" s="2150">
        <f t="shared" si="6"/>
        <v>0</v>
      </c>
      <c r="E22" s="2145">
        <f t="shared" si="7"/>
        <v>0</v>
      </c>
      <c r="F22" s="2145">
        <f t="shared" si="3"/>
        <v>0</v>
      </c>
      <c r="G22" s="2145">
        <f t="shared" si="8"/>
        <v>0</v>
      </c>
      <c r="H22" s="2145">
        <f>IF(K21&lt;0.01,0,IF(Adm!$S$4=Adm!$S$8,0,K21*Adm!$V$4))</f>
        <v>0</v>
      </c>
      <c r="I22" s="2145">
        <f>IF(K21&lt;0.01,0,IF($I$16&lt;&gt;"",E22*Adm!$O$8,0))</f>
        <v>0</v>
      </c>
      <c r="J22" s="2145">
        <f t="shared" si="4"/>
        <v>0</v>
      </c>
      <c r="K22" s="2145">
        <f t="shared" si="5"/>
        <v>0</v>
      </c>
      <c r="L22" s="2146"/>
      <c r="W22" s="1352">
        <f t="shared" si="9"/>
        <v>5</v>
      </c>
      <c r="X22" s="1367">
        <f>IF(W22=1,Cal!$AC$127,0)</f>
        <v>0</v>
      </c>
      <c r="Z22" s="1153"/>
      <c r="AC22" s="1375">
        <f t="shared" si="12"/>
        <v>0</v>
      </c>
      <c r="AD22" s="1373">
        <f t="shared" si="13"/>
        <v>0</v>
      </c>
      <c r="AE22" s="1373">
        <f t="shared" si="14"/>
        <v>0</v>
      </c>
      <c r="AF22" s="1373">
        <f t="shared" si="11"/>
        <v>0</v>
      </c>
      <c r="AG22" s="1371">
        <f t="shared" si="10"/>
        <v>0</v>
      </c>
      <c r="AH22" s="1359" t="e">
        <f>HLOOKUP($AH$13,liquidez,6,0)</f>
        <v>#N/A</v>
      </c>
      <c r="AJ22" s="1360">
        <f>Captura!AI92</f>
        <v>0</v>
      </c>
    </row>
    <row r="23" spans="1:36">
      <c r="A23" s="1118">
        <f t="shared" ca="1" si="0"/>
        <v>9</v>
      </c>
      <c r="B23" s="1101">
        <f t="shared" si="1"/>
        <v>0</v>
      </c>
      <c r="C23" s="2149">
        <f t="shared" si="2"/>
        <v>0</v>
      </c>
      <c r="D23" s="2150">
        <f t="shared" si="6"/>
        <v>0</v>
      </c>
      <c r="E23" s="2145">
        <f t="shared" si="7"/>
        <v>0</v>
      </c>
      <c r="F23" s="2145">
        <f t="shared" si="3"/>
        <v>0</v>
      </c>
      <c r="G23" s="2145">
        <f t="shared" si="8"/>
        <v>0</v>
      </c>
      <c r="H23" s="2145">
        <f>IF(K22&lt;0.01,0,IF(Adm!$S$4=Adm!$S$8,0,K22*Adm!$V$4))</f>
        <v>0</v>
      </c>
      <c r="I23" s="2145">
        <f>IF(K22&lt;0.01,0,IF($I$16&lt;&gt;"",E23*Adm!$O$8,0))</f>
        <v>0</v>
      </c>
      <c r="J23" s="2145">
        <f t="shared" si="4"/>
        <v>0</v>
      </c>
      <c r="K23" s="2145">
        <f t="shared" si="5"/>
        <v>0</v>
      </c>
      <c r="L23" s="2146"/>
      <c r="W23" s="1352">
        <f t="shared" si="9"/>
        <v>6</v>
      </c>
      <c r="X23" s="1367">
        <f>IF(W23=1,Cal!$AC$127,0)</f>
        <v>0</v>
      </c>
      <c r="Z23" s="1153"/>
      <c r="AC23" s="1375">
        <f t="shared" si="12"/>
        <v>0</v>
      </c>
      <c r="AD23" s="1373">
        <f t="shared" si="13"/>
        <v>0</v>
      </c>
      <c r="AE23" s="1373">
        <f t="shared" si="14"/>
        <v>0</v>
      </c>
      <c r="AF23" s="1373">
        <f t="shared" si="11"/>
        <v>0</v>
      </c>
      <c r="AG23" s="1371">
        <f t="shared" si="10"/>
        <v>0</v>
      </c>
      <c r="AH23" s="1359" t="e">
        <f>HLOOKUP($AH$13,liquidez,7,0)</f>
        <v>#N/A</v>
      </c>
      <c r="AJ23" s="1360">
        <f>Captura!AI93</f>
        <v>0</v>
      </c>
    </row>
    <row r="24" spans="1:36">
      <c r="A24" s="1118">
        <f t="shared" ca="1" si="0"/>
        <v>10</v>
      </c>
      <c r="B24" s="1101">
        <f t="shared" si="1"/>
        <v>0</v>
      </c>
      <c r="C24" s="2149">
        <f t="shared" si="2"/>
        <v>0</v>
      </c>
      <c r="D24" s="2150">
        <f t="shared" si="6"/>
        <v>0</v>
      </c>
      <c r="E24" s="2145">
        <f t="shared" si="7"/>
        <v>0</v>
      </c>
      <c r="F24" s="2145">
        <f t="shared" si="3"/>
        <v>0</v>
      </c>
      <c r="G24" s="2145">
        <f t="shared" si="8"/>
        <v>0</v>
      </c>
      <c r="H24" s="2145">
        <f>IF(K23&lt;0.01,0,IF(Adm!$S$4=Adm!$S$8,0,K23*Adm!$V$4))</f>
        <v>0</v>
      </c>
      <c r="I24" s="2145">
        <f>IF(K23&lt;0.01,0,IF($I$16&lt;&gt;"",E24*Adm!$O$8,0))</f>
        <v>0</v>
      </c>
      <c r="J24" s="2145">
        <f t="shared" si="4"/>
        <v>0</v>
      </c>
      <c r="K24" s="2145">
        <f t="shared" si="5"/>
        <v>0</v>
      </c>
      <c r="L24" s="2146"/>
      <c r="W24" s="1352">
        <f t="shared" si="9"/>
        <v>7</v>
      </c>
      <c r="X24" s="1367">
        <f>IF(W24=1,Cal!$AC$127,0)</f>
        <v>0</v>
      </c>
      <c r="Z24" s="1153"/>
      <c r="AC24" s="1375">
        <f t="shared" si="12"/>
        <v>0</v>
      </c>
      <c r="AD24" s="1373">
        <f t="shared" si="13"/>
        <v>0</v>
      </c>
      <c r="AE24" s="1373">
        <f t="shared" si="14"/>
        <v>0</v>
      </c>
      <c r="AF24" s="1373">
        <f t="shared" si="11"/>
        <v>0</v>
      </c>
      <c r="AG24" s="1371">
        <f t="shared" si="10"/>
        <v>0</v>
      </c>
      <c r="AH24" s="1359" t="e">
        <f>HLOOKUP($AH$13,liquidez,8,0)</f>
        <v>#N/A</v>
      </c>
      <c r="AJ24" s="1360">
        <f>Captura!AI94</f>
        <v>0</v>
      </c>
    </row>
    <row r="25" spans="1:36">
      <c r="A25" s="1118">
        <f t="shared" ca="1" si="0"/>
        <v>11</v>
      </c>
      <c r="B25" s="1101">
        <f t="shared" si="1"/>
        <v>0</v>
      </c>
      <c r="C25" s="2149">
        <f t="shared" si="2"/>
        <v>0</v>
      </c>
      <c r="D25" s="2150">
        <f t="shared" si="6"/>
        <v>0</v>
      </c>
      <c r="E25" s="2145">
        <f t="shared" si="7"/>
        <v>0</v>
      </c>
      <c r="F25" s="2145">
        <f t="shared" si="3"/>
        <v>0</v>
      </c>
      <c r="G25" s="2145">
        <f t="shared" si="8"/>
        <v>0</v>
      </c>
      <c r="H25" s="2145">
        <f>IF(K24&lt;0.01,0,IF(Adm!$S$4=Adm!$S$8,0,K24*Adm!$V$4))</f>
        <v>0</v>
      </c>
      <c r="I25" s="2145">
        <f>IF(K24&lt;0.01,0,IF($I$16&lt;&gt;"",E25*Adm!$O$8,0))</f>
        <v>0</v>
      </c>
      <c r="J25" s="2145">
        <f t="shared" si="4"/>
        <v>0</v>
      </c>
      <c r="K25" s="2145">
        <f t="shared" si="5"/>
        <v>0</v>
      </c>
      <c r="L25" s="2146"/>
      <c r="W25" s="1352">
        <f t="shared" si="9"/>
        <v>8</v>
      </c>
      <c r="X25" s="1367">
        <f>IF(W25=1,Cal!$AC$127,0)</f>
        <v>0</v>
      </c>
      <c r="Z25" s="1153"/>
      <c r="AC25" s="1375">
        <f t="shared" si="12"/>
        <v>0</v>
      </c>
      <c r="AD25" s="1373">
        <f t="shared" si="13"/>
        <v>0</v>
      </c>
      <c r="AE25" s="1373">
        <f t="shared" si="14"/>
        <v>0</v>
      </c>
      <c r="AF25" s="1373">
        <f t="shared" si="11"/>
        <v>0</v>
      </c>
      <c r="AG25" s="1371">
        <f t="shared" si="10"/>
        <v>0</v>
      </c>
      <c r="AH25" s="1359" t="e">
        <f>HLOOKUP($AH$13,liquidez,9,0)</f>
        <v>#N/A</v>
      </c>
      <c r="AJ25" s="1360">
        <f>Captura!AI95</f>
        <v>0</v>
      </c>
    </row>
    <row r="26" spans="1:36">
      <c r="A26" s="1118">
        <f t="shared" ca="1" si="0"/>
        <v>12</v>
      </c>
      <c r="B26" s="1101">
        <f t="shared" si="1"/>
        <v>0</v>
      </c>
      <c r="C26" s="2149">
        <f t="shared" si="2"/>
        <v>0</v>
      </c>
      <c r="D26" s="2150">
        <f t="shared" si="6"/>
        <v>0</v>
      </c>
      <c r="E26" s="2145">
        <f t="shared" si="7"/>
        <v>0</v>
      </c>
      <c r="F26" s="2145">
        <f t="shared" si="3"/>
        <v>0</v>
      </c>
      <c r="G26" s="2145">
        <f t="shared" si="8"/>
        <v>0</v>
      </c>
      <c r="H26" s="2145">
        <f>IF(K25&lt;0.01,0,IF(Adm!$S$4=Adm!$S$8,0,K25*Adm!$V$4))</f>
        <v>0</v>
      </c>
      <c r="I26" s="2145">
        <f>IF(K25&lt;0.01,0,IF($I$16&lt;&gt;"",E26*Adm!$O$8,0))</f>
        <v>0</v>
      </c>
      <c r="J26" s="2145">
        <f t="shared" si="4"/>
        <v>0</v>
      </c>
      <c r="K26" s="2145">
        <f t="shared" si="5"/>
        <v>0</v>
      </c>
      <c r="L26" s="2146"/>
      <c r="W26" s="1352">
        <f t="shared" si="9"/>
        <v>9</v>
      </c>
      <c r="X26" s="1367">
        <f>IF(W26=1,Cal!$AC$127,0)</f>
        <v>0</v>
      </c>
      <c r="Z26" s="1153"/>
      <c r="AC26" s="1375">
        <f t="shared" si="12"/>
        <v>0</v>
      </c>
      <c r="AD26" s="1373">
        <f t="shared" si="13"/>
        <v>0</v>
      </c>
      <c r="AE26" s="1373">
        <f t="shared" si="14"/>
        <v>0</v>
      </c>
      <c r="AF26" s="1373">
        <f t="shared" si="11"/>
        <v>0</v>
      </c>
      <c r="AG26" s="1371">
        <f t="shared" si="10"/>
        <v>0</v>
      </c>
      <c r="AH26" s="1359" t="e">
        <f>HLOOKUP($AH$13,liquidez,10,0)</f>
        <v>#N/A</v>
      </c>
      <c r="AJ26" s="1360">
        <f>Captura!AI96</f>
        <v>0</v>
      </c>
    </row>
    <row r="27" spans="1:36">
      <c r="A27" s="1118">
        <f t="shared" ca="1" si="0"/>
        <v>1</v>
      </c>
      <c r="B27" s="1101">
        <f t="shared" si="1"/>
        <v>0</v>
      </c>
      <c r="C27" s="2149">
        <f t="shared" si="2"/>
        <v>0</v>
      </c>
      <c r="D27" s="2150">
        <f t="shared" si="6"/>
        <v>0</v>
      </c>
      <c r="E27" s="2145">
        <f t="shared" si="7"/>
        <v>0</v>
      </c>
      <c r="F27" s="2145">
        <f t="shared" si="3"/>
        <v>0</v>
      </c>
      <c r="G27" s="2145">
        <f t="shared" si="8"/>
        <v>0</v>
      </c>
      <c r="H27" s="2145">
        <f>IF(K26&lt;0.01,0,IF(Adm!$S$4=Adm!$S$8,0,K26*Adm!$V$4))</f>
        <v>0</v>
      </c>
      <c r="I27" s="2145">
        <f>IF(K26&lt;0.01,0,IF($I$16&lt;&gt;"",E27*Adm!$O$8,0))</f>
        <v>0</v>
      </c>
      <c r="J27" s="2145">
        <f t="shared" si="4"/>
        <v>0</v>
      </c>
      <c r="K27" s="2145">
        <f t="shared" si="5"/>
        <v>0</v>
      </c>
      <c r="L27" s="2146"/>
      <c r="W27" s="1352">
        <f t="shared" si="9"/>
        <v>10</v>
      </c>
      <c r="X27" s="1367">
        <f>IF(W27=1,Cal!$AC$127,0)</f>
        <v>0</v>
      </c>
      <c r="Z27" s="1153"/>
      <c r="AC27" s="1375">
        <f t="shared" si="12"/>
        <v>0</v>
      </c>
      <c r="AD27" s="1373">
        <f t="shared" si="13"/>
        <v>0</v>
      </c>
      <c r="AE27" s="1373">
        <f t="shared" si="14"/>
        <v>0</v>
      </c>
      <c r="AF27" s="1373">
        <f t="shared" si="11"/>
        <v>0</v>
      </c>
      <c r="AG27" s="1371">
        <f t="shared" si="10"/>
        <v>0</v>
      </c>
      <c r="AH27" s="1359" t="e">
        <f>HLOOKUP($AH$13,liquidez,11,0)</f>
        <v>#N/A</v>
      </c>
      <c r="AJ27" s="1360">
        <f>Captura!AI97</f>
        <v>0</v>
      </c>
    </row>
    <row r="28" spans="1:36">
      <c r="A28" s="1118">
        <f t="shared" ca="1" si="0"/>
        <v>2</v>
      </c>
      <c r="B28" s="1101">
        <f t="shared" si="1"/>
        <v>0</v>
      </c>
      <c r="C28" s="2149">
        <f t="shared" si="2"/>
        <v>0</v>
      </c>
      <c r="D28" s="2150">
        <f t="shared" si="6"/>
        <v>0</v>
      </c>
      <c r="E28" s="2145">
        <f t="shared" si="7"/>
        <v>0</v>
      </c>
      <c r="F28" s="2145">
        <f t="shared" si="3"/>
        <v>0</v>
      </c>
      <c r="G28" s="2145">
        <f t="shared" si="8"/>
        <v>0</v>
      </c>
      <c r="H28" s="2145">
        <f>IF(K27&lt;0.01,0,IF(Adm!$S$4=Adm!$S$8,0,K27*Adm!$V$4))</f>
        <v>0</v>
      </c>
      <c r="I28" s="2145">
        <f>IF(K27&lt;0.01,0,IF($I$16&lt;&gt;"",E28*Adm!$O$8,0))</f>
        <v>0</v>
      </c>
      <c r="J28" s="2145">
        <f t="shared" si="4"/>
        <v>0</v>
      </c>
      <c r="K28" s="2145">
        <f t="shared" si="5"/>
        <v>0</v>
      </c>
      <c r="L28" s="2146"/>
      <c r="W28" s="1352">
        <f t="shared" si="9"/>
        <v>11</v>
      </c>
      <c r="X28" s="1367">
        <f>IF(W28=1,Cal!$AC$127,0)</f>
        <v>0</v>
      </c>
      <c r="Z28" s="1153"/>
      <c r="AC28" s="1375">
        <f t="shared" si="12"/>
        <v>0</v>
      </c>
      <c r="AD28" s="1373">
        <f t="shared" si="13"/>
        <v>0</v>
      </c>
      <c r="AE28" s="1373">
        <f t="shared" si="14"/>
        <v>0</v>
      </c>
      <c r="AF28" s="1373">
        <f t="shared" si="11"/>
        <v>0</v>
      </c>
      <c r="AG28" s="1371">
        <f t="shared" si="10"/>
        <v>0</v>
      </c>
      <c r="AH28" s="1359" t="e">
        <f>HLOOKUP($AH$13,liquidez,12,0)</f>
        <v>#N/A</v>
      </c>
      <c r="AJ28" s="1360">
        <f>Captura!AI98</f>
        <v>0</v>
      </c>
    </row>
    <row r="29" spans="1:36">
      <c r="A29" s="1118">
        <f t="shared" ca="1" si="0"/>
        <v>3</v>
      </c>
      <c r="B29" s="1101">
        <f t="shared" si="1"/>
        <v>0</v>
      </c>
      <c r="C29" s="2149">
        <f t="shared" si="2"/>
        <v>0</v>
      </c>
      <c r="D29" s="2150">
        <f t="shared" si="6"/>
        <v>0</v>
      </c>
      <c r="E29" s="2145">
        <f t="shared" si="7"/>
        <v>0</v>
      </c>
      <c r="F29" s="2145">
        <f t="shared" si="3"/>
        <v>0</v>
      </c>
      <c r="G29" s="2145">
        <f t="shared" si="8"/>
        <v>0</v>
      </c>
      <c r="H29" s="2145">
        <f>IF(K28&lt;0.01,0,IF(Adm!$S$4=Adm!$S$8,0,K28*Adm!$V$4))</f>
        <v>0</v>
      </c>
      <c r="I29" s="2145">
        <f>IF(K28&lt;0.01,0,IF($I$16&lt;&gt;"",E29*Adm!$O$8,0))</f>
        <v>0</v>
      </c>
      <c r="J29" s="2145">
        <f t="shared" si="4"/>
        <v>0</v>
      </c>
      <c r="K29" s="2145">
        <f t="shared" si="5"/>
        <v>0</v>
      </c>
      <c r="L29" s="2146"/>
      <c r="W29" s="1352">
        <f t="shared" si="9"/>
        <v>12</v>
      </c>
      <c r="X29" s="1367">
        <f>IF(W29=1,Cal!$AC$127,0)</f>
        <v>0</v>
      </c>
      <c r="Z29" s="1153"/>
      <c r="AC29" s="1375">
        <f t="shared" si="12"/>
        <v>0</v>
      </c>
      <c r="AD29" s="1373">
        <f t="shared" si="13"/>
        <v>0</v>
      </c>
      <c r="AE29" s="1373">
        <f t="shared" si="14"/>
        <v>0</v>
      </c>
      <c r="AF29" s="1373">
        <f t="shared" si="11"/>
        <v>0</v>
      </c>
      <c r="AG29" s="1371">
        <f t="shared" si="10"/>
        <v>0</v>
      </c>
      <c r="AH29" s="1359" t="e">
        <f>HLOOKUP($AH$13,liquidez,13,0)</f>
        <v>#N/A</v>
      </c>
      <c r="AJ29" s="1360">
        <f>Captura!AI99</f>
        <v>0</v>
      </c>
    </row>
    <row r="30" spans="1:36">
      <c r="A30" s="1118">
        <f t="shared" ca="1" si="0"/>
        <v>4</v>
      </c>
      <c r="B30" s="1101">
        <f t="shared" si="1"/>
        <v>0</v>
      </c>
      <c r="C30" s="2149">
        <f t="shared" si="2"/>
        <v>0</v>
      </c>
      <c r="D30" s="2150">
        <f t="shared" si="6"/>
        <v>0</v>
      </c>
      <c r="E30" s="2145">
        <f t="shared" si="7"/>
        <v>0</v>
      </c>
      <c r="F30" s="2145">
        <f t="shared" si="3"/>
        <v>0</v>
      </c>
      <c r="G30" s="2145">
        <f t="shared" si="8"/>
        <v>0</v>
      </c>
      <c r="H30" s="2145">
        <f>IF(K29&lt;0.01,0,IF(Adm!$S$4=Adm!$S$8,0,K29*Adm!$V$4))</f>
        <v>0</v>
      </c>
      <c r="I30" s="2145">
        <f>IF(K29&lt;0.01,0,IF($I$16&lt;&gt;"",E30*Adm!$O$8,0))</f>
        <v>0</v>
      </c>
      <c r="J30" s="2145">
        <f t="shared" si="4"/>
        <v>0</v>
      </c>
      <c r="K30" s="2145">
        <f t="shared" si="5"/>
        <v>0</v>
      </c>
      <c r="L30" s="2146"/>
      <c r="W30" s="1352">
        <f t="shared" si="9"/>
        <v>1</v>
      </c>
      <c r="X30" s="1367">
        <f>IF(W30=1,Cal!$AC$127,0)</f>
        <v>0</v>
      </c>
      <c r="Z30" s="1153"/>
      <c r="AC30" s="1375">
        <f t="shared" si="12"/>
        <v>0</v>
      </c>
      <c r="AD30" s="1373">
        <f t="shared" si="13"/>
        <v>0</v>
      </c>
      <c r="AE30" s="1373">
        <f t="shared" si="14"/>
        <v>0</v>
      </c>
      <c r="AF30" s="1373">
        <f t="shared" si="11"/>
        <v>0</v>
      </c>
      <c r="AG30" s="1371">
        <f t="shared" si="10"/>
        <v>0</v>
      </c>
      <c r="AH30" s="1359" t="e">
        <f>HLOOKUP($AH$13,liquidez,14,0)</f>
        <v>#N/A</v>
      </c>
      <c r="AJ30" s="1360">
        <f>Captura!AI100</f>
        <v>0</v>
      </c>
    </row>
    <row r="31" spans="1:36">
      <c r="A31" s="1118">
        <f t="shared" ca="1" si="0"/>
        <v>5</v>
      </c>
      <c r="B31" s="1101">
        <f t="shared" si="1"/>
        <v>0</v>
      </c>
      <c r="C31" s="2149">
        <f t="shared" si="2"/>
        <v>0</v>
      </c>
      <c r="D31" s="2150">
        <f t="shared" si="6"/>
        <v>0</v>
      </c>
      <c r="E31" s="2145">
        <f t="shared" si="7"/>
        <v>0</v>
      </c>
      <c r="F31" s="2145">
        <f t="shared" si="3"/>
        <v>0</v>
      </c>
      <c r="G31" s="2145">
        <f t="shared" si="8"/>
        <v>0</v>
      </c>
      <c r="H31" s="2145">
        <f>IF(K30&lt;0.01,0,IF(Adm!$S$4=Adm!$S$8,0,K30*Adm!$V$4))</f>
        <v>0</v>
      </c>
      <c r="I31" s="2145">
        <f>IF(K30&lt;0.01,0,IF($I$16&lt;&gt;"",E31*Adm!$O$8,0))</f>
        <v>0</v>
      </c>
      <c r="J31" s="2145">
        <f t="shared" si="4"/>
        <v>0</v>
      </c>
      <c r="K31" s="2145">
        <f t="shared" si="5"/>
        <v>0</v>
      </c>
      <c r="L31" s="2146"/>
      <c r="W31" s="1352">
        <f t="shared" si="9"/>
        <v>2</v>
      </c>
      <c r="X31" s="1367">
        <f>IF(W31=1,Cal!$AC$127,0)</f>
        <v>0</v>
      </c>
      <c r="Z31" s="1153"/>
      <c r="AC31" s="1375">
        <f t="shared" si="12"/>
        <v>0</v>
      </c>
      <c r="AD31" s="1373">
        <f t="shared" si="13"/>
        <v>0</v>
      </c>
      <c r="AE31" s="1373">
        <f t="shared" si="14"/>
        <v>0</v>
      </c>
      <c r="AF31" s="1373">
        <f t="shared" si="11"/>
        <v>0</v>
      </c>
      <c r="AG31" s="1371">
        <f t="shared" si="10"/>
        <v>0</v>
      </c>
      <c r="AH31" s="1359" t="e">
        <f>HLOOKUP($AH$13,liquidez,15,0)</f>
        <v>#N/A</v>
      </c>
      <c r="AJ31" s="1360">
        <f>Captura!AI101</f>
        <v>0</v>
      </c>
    </row>
    <row r="32" spans="1:36">
      <c r="A32" s="1118">
        <f t="shared" ca="1" si="0"/>
        <v>6</v>
      </c>
      <c r="B32" s="1101">
        <f t="shared" si="1"/>
        <v>0</v>
      </c>
      <c r="C32" s="2149">
        <f t="shared" si="2"/>
        <v>0</v>
      </c>
      <c r="D32" s="2150">
        <f t="shared" si="6"/>
        <v>0</v>
      </c>
      <c r="E32" s="2145">
        <f t="shared" si="7"/>
        <v>0</v>
      </c>
      <c r="F32" s="2145">
        <f t="shared" si="3"/>
        <v>0</v>
      </c>
      <c r="G32" s="2145">
        <f t="shared" si="8"/>
        <v>0</v>
      </c>
      <c r="H32" s="2145">
        <f>IF(K31&lt;0.01,0,IF(Adm!$S$4=Adm!$S$8,0,K31*Adm!$V$4))</f>
        <v>0</v>
      </c>
      <c r="I32" s="2145">
        <f>IF(K31&lt;0.01,0,IF($I$16&lt;&gt;"",E32*Adm!$O$8,0))</f>
        <v>0</v>
      </c>
      <c r="J32" s="2145">
        <f t="shared" si="4"/>
        <v>0</v>
      </c>
      <c r="K32" s="2145">
        <f t="shared" si="5"/>
        <v>0</v>
      </c>
      <c r="L32" s="2146"/>
      <c r="W32" s="1352">
        <f t="shared" si="9"/>
        <v>3</v>
      </c>
      <c r="X32" s="1367">
        <f>IF(W32=1,Cal!$AC$127,0)</f>
        <v>0</v>
      </c>
      <c r="Z32" s="1153"/>
      <c r="AC32" s="1375">
        <f t="shared" si="12"/>
        <v>0</v>
      </c>
      <c r="AD32" s="1373">
        <f t="shared" si="13"/>
        <v>0</v>
      </c>
      <c r="AE32" s="1373">
        <f t="shared" si="14"/>
        <v>0</v>
      </c>
      <c r="AF32" s="1373">
        <f t="shared" si="11"/>
        <v>0</v>
      </c>
      <c r="AG32" s="1371">
        <f t="shared" si="10"/>
        <v>0</v>
      </c>
      <c r="AH32" s="1359" t="e">
        <f>HLOOKUP($AH$13,liquidez,16,0)</f>
        <v>#N/A</v>
      </c>
      <c r="AJ32" s="1360">
        <f>Captura!AI102</f>
        <v>0</v>
      </c>
    </row>
    <row r="33" spans="1:36">
      <c r="A33" s="1118">
        <f t="shared" ca="1" si="0"/>
        <v>7</v>
      </c>
      <c r="B33" s="1101">
        <f t="shared" si="1"/>
        <v>0</v>
      </c>
      <c r="C33" s="2149">
        <f t="shared" si="2"/>
        <v>0</v>
      </c>
      <c r="D33" s="2150">
        <f t="shared" si="6"/>
        <v>0</v>
      </c>
      <c r="E33" s="2145">
        <f t="shared" si="7"/>
        <v>0</v>
      </c>
      <c r="F33" s="2145">
        <f t="shared" si="3"/>
        <v>0</v>
      </c>
      <c r="G33" s="2145">
        <f t="shared" si="8"/>
        <v>0</v>
      </c>
      <c r="H33" s="2145">
        <f>IF(K32&lt;0.01,0,IF(Adm!$S$4=Adm!$S$8,0,K32*Adm!$V$4))</f>
        <v>0</v>
      </c>
      <c r="I33" s="2145">
        <f>IF(K32&lt;0.01,0,IF($I$16&lt;&gt;"",E33*Adm!$O$8,0))</f>
        <v>0</v>
      </c>
      <c r="J33" s="2145">
        <f t="shared" si="4"/>
        <v>0</v>
      </c>
      <c r="K33" s="2145">
        <f t="shared" si="5"/>
        <v>0</v>
      </c>
      <c r="L33" s="2146"/>
      <c r="W33" s="1352">
        <f t="shared" si="9"/>
        <v>4</v>
      </c>
      <c r="X33" s="1367">
        <f>IF(W33=1,Cal!$AC$127,0)</f>
        <v>0</v>
      </c>
      <c r="Z33" s="1153"/>
      <c r="AC33" s="1375">
        <f t="shared" si="12"/>
        <v>0</v>
      </c>
      <c r="AD33" s="1373">
        <f t="shared" si="13"/>
        <v>0</v>
      </c>
      <c r="AE33" s="1373">
        <f t="shared" si="14"/>
        <v>0</v>
      </c>
      <c r="AF33" s="1373">
        <f t="shared" si="11"/>
        <v>0</v>
      </c>
      <c r="AG33" s="1371">
        <f t="shared" si="10"/>
        <v>0</v>
      </c>
      <c r="AH33" s="1359" t="e">
        <f>HLOOKUP($AH$13,liquidez,17,0)</f>
        <v>#N/A</v>
      </c>
      <c r="AJ33" s="1360">
        <f>Captura!AI103</f>
        <v>0</v>
      </c>
    </row>
    <row r="34" spans="1:36">
      <c r="A34" s="1118">
        <f t="shared" ca="1" si="0"/>
        <v>8</v>
      </c>
      <c r="B34" s="1101">
        <f t="shared" si="1"/>
        <v>0</v>
      </c>
      <c r="C34" s="2149">
        <f t="shared" si="2"/>
        <v>0</v>
      </c>
      <c r="D34" s="2150">
        <f t="shared" si="6"/>
        <v>0</v>
      </c>
      <c r="E34" s="2145">
        <f t="shared" si="7"/>
        <v>0</v>
      </c>
      <c r="F34" s="2145">
        <f t="shared" si="3"/>
        <v>0</v>
      </c>
      <c r="G34" s="2145">
        <f t="shared" si="8"/>
        <v>0</v>
      </c>
      <c r="H34" s="2145">
        <f>IF(K33&lt;0.01,0,IF(Adm!$S$4=Adm!$S$8,0,K33*Adm!$V$4))</f>
        <v>0</v>
      </c>
      <c r="I34" s="2145">
        <f>IF(K33&lt;0.01,0,IF($I$16&lt;&gt;"",E34*Adm!$O$8,0))</f>
        <v>0</v>
      </c>
      <c r="J34" s="2145">
        <f t="shared" si="4"/>
        <v>0</v>
      </c>
      <c r="K34" s="2145">
        <f t="shared" si="5"/>
        <v>0</v>
      </c>
      <c r="L34" s="2146"/>
      <c r="W34" s="1352">
        <f t="shared" si="9"/>
        <v>5</v>
      </c>
      <c r="X34" s="1367">
        <f>IF(W34=1,Cal!$AC$127,0)</f>
        <v>0</v>
      </c>
      <c r="Z34" s="1153"/>
      <c r="AC34" s="1375">
        <f t="shared" si="12"/>
        <v>0</v>
      </c>
      <c r="AD34" s="1373">
        <f t="shared" si="13"/>
        <v>0</v>
      </c>
      <c r="AE34" s="1373">
        <f t="shared" si="14"/>
        <v>0</v>
      </c>
      <c r="AF34" s="1373">
        <f t="shared" si="11"/>
        <v>0</v>
      </c>
      <c r="AG34" s="1371">
        <f t="shared" si="10"/>
        <v>0</v>
      </c>
      <c r="AH34" s="1359" t="e">
        <f>HLOOKUP($AH$13,liquidez,18,0)</f>
        <v>#N/A</v>
      </c>
      <c r="AJ34" s="1360">
        <f>Captura!AI104</f>
        <v>0</v>
      </c>
    </row>
    <row r="35" spans="1:36">
      <c r="A35" s="1118">
        <f t="shared" ca="1" si="0"/>
        <v>9</v>
      </c>
      <c r="B35" s="1101">
        <f t="shared" si="1"/>
        <v>0</v>
      </c>
      <c r="C35" s="2149">
        <f t="shared" si="2"/>
        <v>0</v>
      </c>
      <c r="D35" s="2150">
        <f t="shared" si="6"/>
        <v>0</v>
      </c>
      <c r="E35" s="2145">
        <f t="shared" si="7"/>
        <v>0</v>
      </c>
      <c r="F35" s="2145">
        <f t="shared" si="3"/>
        <v>0</v>
      </c>
      <c r="G35" s="2145">
        <f t="shared" si="8"/>
        <v>0</v>
      </c>
      <c r="H35" s="2145">
        <f>IF(K34&lt;0.01,0,IF(Adm!$S$4=Adm!$S$8,0,K34*Adm!$V$4))</f>
        <v>0</v>
      </c>
      <c r="I35" s="2145">
        <f>IF(K34&lt;0.01,0,IF($I$16&lt;&gt;"",E35*Adm!$O$8,0))</f>
        <v>0</v>
      </c>
      <c r="J35" s="2145">
        <f t="shared" si="4"/>
        <v>0</v>
      </c>
      <c r="K35" s="2145">
        <f t="shared" si="5"/>
        <v>0</v>
      </c>
      <c r="L35" s="2146"/>
      <c r="W35" s="1352">
        <f t="shared" si="9"/>
        <v>6</v>
      </c>
      <c r="X35" s="1367">
        <f>IF(W35=1,Cal!$AC$127,0)</f>
        <v>0</v>
      </c>
      <c r="Z35" s="1153"/>
      <c r="AC35" s="1375">
        <f t="shared" si="12"/>
        <v>0</v>
      </c>
      <c r="AD35" s="1373">
        <f t="shared" si="13"/>
        <v>0</v>
      </c>
      <c r="AE35" s="1373">
        <f t="shared" si="14"/>
        <v>0</v>
      </c>
      <c r="AF35" s="1373">
        <f t="shared" si="11"/>
        <v>0</v>
      </c>
      <c r="AG35" s="1371">
        <f t="shared" si="10"/>
        <v>0</v>
      </c>
      <c r="AH35" s="1359" t="e">
        <f>HLOOKUP($AH$13,liquidez,19,0)</f>
        <v>#N/A</v>
      </c>
      <c r="AJ35" s="1360">
        <f>Captura!AI105</f>
        <v>0</v>
      </c>
    </row>
    <row r="36" spans="1:36">
      <c r="A36" s="1118">
        <f t="shared" ca="1" si="0"/>
        <v>10</v>
      </c>
      <c r="B36" s="1101">
        <f t="shared" si="1"/>
        <v>0</v>
      </c>
      <c r="C36" s="2149">
        <f t="shared" si="2"/>
        <v>0</v>
      </c>
      <c r="D36" s="2150">
        <f t="shared" si="6"/>
        <v>0</v>
      </c>
      <c r="E36" s="2145">
        <f t="shared" si="7"/>
        <v>0</v>
      </c>
      <c r="F36" s="2145">
        <f t="shared" si="3"/>
        <v>0</v>
      </c>
      <c r="G36" s="2145">
        <f t="shared" si="8"/>
        <v>0</v>
      </c>
      <c r="H36" s="2145">
        <f>IF(K35&lt;0.01,0,IF(Adm!$S$4=Adm!$S$8,0,K35*Adm!$V$4))</f>
        <v>0</v>
      </c>
      <c r="I36" s="2145">
        <f>IF(K35&lt;0.01,0,IF($I$16&lt;&gt;"",E36*Adm!$O$8,0))</f>
        <v>0</v>
      </c>
      <c r="J36" s="2145">
        <f t="shared" si="4"/>
        <v>0</v>
      </c>
      <c r="K36" s="2145">
        <f t="shared" si="5"/>
        <v>0</v>
      </c>
      <c r="L36" s="2146"/>
      <c r="W36" s="1352">
        <f t="shared" si="9"/>
        <v>7</v>
      </c>
      <c r="X36" s="1367">
        <f>IF(W36=1,Cal!$AC$127,0)</f>
        <v>0</v>
      </c>
      <c r="Z36" s="1153"/>
      <c r="AC36" s="1375">
        <f t="shared" si="12"/>
        <v>0</v>
      </c>
      <c r="AD36" s="1373">
        <f t="shared" si="13"/>
        <v>0</v>
      </c>
      <c r="AE36" s="1373">
        <f t="shared" si="14"/>
        <v>0</v>
      </c>
      <c r="AF36" s="1373">
        <f t="shared" si="11"/>
        <v>0</v>
      </c>
      <c r="AG36" s="1371">
        <f t="shared" si="10"/>
        <v>0</v>
      </c>
      <c r="AH36" s="1359" t="e">
        <f>HLOOKUP($AH$13,liquidez,20,0)</f>
        <v>#N/A</v>
      </c>
      <c r="AJ36" s="1360">
        <f>Captura!AI106</f>
        <v>0</v>
      </c>
    </row>
    <row r="37" spans="1:36">
      <c r="A37" s="1118">
        <f t="shared" ca="1" si="0"/>
        <v>11</v>
      </c>
      <c r="B37" s="1101">
        <f t="shared" si="1"/>
        <v>0</v>
      </c>
      <c r="C37" s="2149">
        <f t="shared" si="2"/>
        <v>0</v>
      </c>
      <c r="D37" s="2150">
        <f t="shared" si="6"/>
        <v>0</v>
      </c>
      <c r="E37" s="2145">
        <f t="shared" si="7"/>
        <v>0</v>
      </c>
      <c r="F37" s="2145">
        <f t="shared" si="3"/>
        <v>0</v>
      </c>
      <c r="G37" s="2145">
        <f t="shared" si="8"/>
        <v>0</v>
      </c>
      <c r="H37" s="2145">
        <f>IF(K36&lt;0.01,0,IF(Adm!$S$4=Adm!$S$8,0,K36*Adm!$V$4))</f>
        <v>0</v>
      </c>
      <c r="I37" s="2145">
        <f>IF(K36&lt;0.01,0,IF($I$16&lt;&gt;"",E37*Adm!$O$8,0))</f>
        <v>0</v>
      </c>
      <c r="J37" s="2145">
        <f t="shared" si="4"/>
        <v>0</v>
      </c>
      <c r="K37" s="2145">
        <f t="shared" si="5"/>
        <v>0</v>
      </c>
      <c r="L37" s="2146"/>
      <c r="W37" s="1352">
        <f t="shared" si="9"/>
        <v>8</v>
      </c>
      <c r="X37" s="1367">
        <f>IF(W37=1,Cal!$AC$127,0)</f>
        <v>0</v>
      </c>
      <c r="Z37" s="1153"/>
      <c r="AC37" s="1375">
        <f t="shared" si="12"/>
        <v>0</v>
      </c>
      <c r="AD37" s="1373">
        <f t="shared" si="13"/>
        <v>0</v>
      </c>
      <c r="AE37" s="1373">
        <f t="shared" si="14"/>
        <v>0</v>
      </c>
      <c r="AF37" s="1373">
        <f t="shared" si="11"/>
        <v>0</v>
      </c>
      <c r="AG37" s="1371">
        <f t="shared" si="10"/>
        <v>0</v>
      </c>
      <c r="AH37" s="1359" t="e">
        <f>HLOOKUP($AH$13,liquidez,21,0)</f>
        <v>#N/A</v>
      </c>
      <c r="AJ37" s="1360">
        <f>Captura!AI107</f>
        <v>0</v>
      </c>
    </row>
    <row r="38" spans="1:36">
      <c r="A38" s="1118">
        <f t="shared" ca="1" si="0"/>
        <v>12</v>
      </c>
      <c r="B38" s="1101">
        <f t="shared" si="1"/>
        <v>0</v>
      </c>
      <c r="C38" s="2149">
        <f t="shared" si="2"/>
        <v>0</v>
      </c>
      <c r="D38" s="2150">
        <f t="shared" si="6"/>
        <v>0</v>
      </c>
      <c r="E38" s="2145">
        <f t="shared" si="7"/>
        <v>0</v>
      </c>
      <c r="F38" s="2145">
        <f t="shared" si="3"/>
        <v>0</v>
      </c>
      <c r="G38" s="2145">
        <f t="shared" si="8"/>
        <v>0</v>
      </c>
      <c r="H38" s="2145">
        <f>IF(K37&lt;0.01,0,IF(Adm!$S$4=Adm!$S$8,0,K37*Adm!$V$4))</f>
        <v>0</v>
      </c>
      <c r="I38" s="2145">
        <f>IF(K37&lt;0.01,0,IF($I$16&lt;&gt;"",E38*Adm!$O$8,0))</f>
        <v>0</v>
      </c>
      <c r="J38" s="2145">
        <f t="shared" si="4"/>
        <v>0</v>
      </c>
      <c r="K38" s="2145">
        <f t="shared" si="5"/>
        <v>0</v>
      </c>
      <c r="L38" s="2146"/>
      <c r="W38" s="1352">
        <f t="shared" si="9"/>
        <v>9</v>
      </c>
      <c r="X38" s="1367">
        <f>IF(W38=1,Cal!$AC$127,0)</f>
        <v>0</v>
      </c>
      <c r="Z38" s="1153"/>
      <c r="AC38" s="1375">
        <f t="shared" si="12"/>
        <v>0</v>
      </c>
      <c r="AD38" s="1373">
        <f t="shared" si="13"/>
        <v>0</v>
      </c>
      <c r="AE38" s="1373">
        <f t="shared" si="14"/>
        <v>0</v>
      </c>
      <c r="AF38" s="1373">
        <f t="shared" si="11"/>
        <v>0</v>
      </c>
      <c r="AG38" s="1371">
        <f t="shared" si="10"/>
        <v>0</v>
      </c>
      <c r="AH38" s="1359" t="e">
        <f>HLOOKUP($AH$13,liquidez,22,0)</f>
        <v>#N/A</v>
      </c>
      <c r="AJ38" s="1360">
        <f>Captura!AI108</f>
        <v>0</v>
      </c>
    </row>
    <row r="39" spans="1:36">
      <c r="A39" s="1118">
        <f t="shared" ca="1" si="0"/>
        <v>1</v>
      </c>
      <c r="B39" s="1101">
        <f t="shared" si="1"/>
        <v>0</v>
      </c>
      <c r="C39" s="2149">
        <f t="shared" si="2"/>
        <v>0</v>
      </c>
      <c r="D39" s="2150">
        <f t="shared" si="6"/>
        <v>0</v>
      </c>
      <c r="E39" s="2145">
        <f t="shared" si="7"/>
        <v>0</v>
      </c>
      <c r="F39" s="2145">
        <f t="shared" si="3"/>
        <v>0</v>
      </c>
      <c r="G39" s="2145">
        <f t="shared" si="8"/>
        <v>0</v>
      </c>
      <c r="H39" s="2145">
        <f>IF(K38&lt;0.01,0,IF(Adm!$S$4=Adm!$S$8,0,K38*Adm!$V$4))</f>
        <v>0</v>
      </c>
      <c r="I39" s="2145">
        <f>IF(K38&lt;0.01,0,IF($I$16&lt;&gt;"",E39*Adm!$O$8,0))</f>
        <v>0</v>
      </c>
      <c r="J39" s="2145">
        <f t="shared" si="4"/>
        <v>0</v>
      </c>
      <c r="K39" s="2145">
        <f t="shared" si="5"/>
        <v>0</v>
      </c>
      <c r="L39" s="2146"/>
      <c r="W39" s="1352">
        <f t="shared" si="9"/>
        <v>10</v>
      </c>
      <c r="X39" s="1367">
        <f>IF(W39=1,Cal!$AC$127,0)</f>
        <v>0</v>
      </c>
      <c r="Z39" s="1153"/>
      <c r="AC39" s="1375">
        <f t="shared" si="12"/>
        <v>0</v>
      </c>
      <c r="AD39" s="1373">
        <f t="shared" si="13"/>
        <v>0</v>
      </c>
      <c r="AE39" s="1373">
        <f t="shared" si="14"/>
        <v>0</v>
      </c>
      <c r="AF39" s="1373">
        <f t="shared" si="11"/>
        <v>0</v>
      </c>
      <c r="AG39" s="1371">
        <f t="shared" si="10"/>
        <v>0</v>
      </c>
      <c r="AH39" s="1359" t="e">
        <f>HLOOKUP($AH$13,liquidez,23,0)</f>
        <v>#N/A</v>
      </c>
      <c r="AJ39" s="1360">
        <f>Captura!AI109</f>
        <v>0</v>
      </c>
    </row>
    <row r="40" spans="1:36">
      <c r="A40" s="1118">
        <f t="shared" ca="1" si="0"/>
        <v>2</v>
      </c>
      <c r="B40" s="1101">
        <f t="shared" si="1"/>
        <v>0</v>
      </c>
      <c r="C40" s="2149">
        <f t="shared" si="2"/>
        <v>0</v>
      </c>
      <c r="D40" s="2150">
        <f t="shared" si="6"/>
        <v>0</v>
      </c>
      <c r="E40" s="2145">
        <f t="shared" si="7"/>
        <v>0</v>
      </c>
      <c r="F40" s="2145">
        <f t="shared" si="3"/>
        <v>0</v>
      </c>
      <c r="G40" s="2145">
        <f t="shared" si="8"/>
        <v>0</v>
      </c>
      <c r="H40" s="2145">
        <f>IF(K39&lt;0.01,0,IF(Adm!$S$4=Adm!$S$8,0,K39*Adm!$V$4))</f>
        <v>0</v>
      </c>
      <c r="I40" s="2145">
        <f>IF(K39&lt;0.01,0,IF($I$16&lt;&gt;"",E40*Adm!$O$8,0))</f>
        <v>0</v>
      </c>
      <c r="J40" s="2145">
        <f t="shared" si="4"/>
        <v>0</v>
      </c>
      <c r="K40" s="2145">
        <f t="shared" si="5"/>
        <v>0</v>
      </c>
      <c r="L40" s="2146"/>
      <c r="W40" s="1352">
        <f t="shared" si="9"/>
        <v>11</v>
      </c>
      <c r="X40" s="1367">
        <f>IF(W40=1,Cal!$AC$127,0)</f>
        <v>0</v>
      </c>
      <c r="Z40" s="1153"/>
      <c r="AC40" s="1375">
        <f t="shared" si="12"/>
        <v>0</v>
      </c>
      <c r="AD40" s="1373">
        <f t="shared" si="13"/>
        <v>0</v>
      </c>
      <c r="AE40" s="1373">
        <f t="shared" si="14"/>
        <v>0</v>
      </c>
      <c r="AF40" s="1373">
        <f t="shared" si="11"/>
        <v>0</v>
      </c>
      <c r="AG40" s="1371">
        <f t="shared" si="10"/>
        <v>0</v>
      </c>
      <c r="AH40" s="1359" t="e">
        <f>HLOOKUP($AH$13,liquidez,24,0)</f>
        <v>#N/A</v>
      </c>
      <c r="AJ40" s="1360">
        <f>Captura!AI110</f>
        <v>0</v>
      </c>
    </row>
    <row r="41" spans="1:36">
      <c r="A41" s="1118">
        <f t="shared" ca="1" si="0"/>
        <v>3</v>
      </c>
      <c r="B41" s="1101">
        <f t="shared" si="1"/>
        <v>0</v>
      </c>
      <c r="C41" s="2149">
        <f t="shared" si="2"/>
        <v>0</v>
      </c>
      <c r="D41" s="2150">
        <f t="shared" si="6"/>
        <v>0</v>
      </c>
      <c r="E41" s="2145">
        <f t="shared" si="7"/>
        <v>0</v>
      </c>
      <c r="F41" s="2145">
        <f t="shared" si="3"/>
        <v>0</v>
      </c>
      <c r="G41" s="2145">
        <f t="shared" si="8"/>
        <v>0</v>
      </c>
      <c r="H41" s="2145">
        <f>IF(K40&lt;0.01,0,IF(Adm!$S$4=Adm!$S$8,0,K40*Adm!$V$4))</f>
        <v>0</v>
      </c>
      <c r="I41" s="2145">
        <f>IF(K40&lt;0.01,0,IF($I$16&lt;&gt;"",E41*Adm!$O$8,0))</f>
        <v>0</v>
      </c>
      <c r="J41" s="2145">
        <f t="shared" si="4"/>
        <v>0</v>
      </c>
      <c r="K41" s="2145">
        <f t="shared" si="5"/>
        <v>0</v>
      </c>
      <c r="L41" s="2146"/>
      <c r="W41" s="1352">
        <f t="shared" si="9"/>
        <v>12</v>
      </c>
      <c r="X41" s="1367">
        <f>IF(W41=1,Cal!$AC$127,0)</f>
        <v>0</v>
      </c>
      <c r="Z41" s="1153"/>
      <c r="AC41" s="1375">
        <f t="shared" si="12"/>
        <v>0</v>
      </c>
      <c r="AD41" s="1373">
        <f t="shared" si="13"/>
        <v>0</v>
      </c>
      <c r="AE41" s="1373">
        <f t="shared" si="14"/>
        <v>0</v>
      </c>
      <c r="AF41" s="1373">
        <f t="shared" si="11"/>
        <v>0</v>
      </c>
      <c r="AG41" s="1371">
        <f t="shared" si="10"/>
        <v>0</v>
      </c>
      <c r="AH41" s="1359" t="e">
        <f>HLOOKUP($AH$13,liquidez,25,0)</f>
        <v>#N/A</v>
      </c>
      <c r="AJ41" s="1360">
        <f>Captura!AI111</f>
        <v>0</v>
      </c>
    </row>
    <row r="42" spans="1:36">
      <c r="A42" s="1118">
        <f t="shared" ca="1" si="0"/>
        <v>4</v>
      </c>
      <c r="B42" s="1101">
        <f t="shared" si="1"/>
        <v>0</v>
      </c>
      <c r="C42" s="2149">
        <f t="shared" si="2"/>
        <v>0</v>
      </c>
      <c r="D42" s="2150">
        <f t="shared" si="6"/>
        <v>0</v>
      </c>
      <c r="E42" s="2145">
        <f t="shared" si="7"/>
        <v>0</v>
      </c>
      <c r="F42" s="2145">
        <f t="shared" si="3"/>
        <v>0</v>
      </c>
      <c r="G42" s="2145">
        <f t="shared" si="8"/>
        <v>0</v>
      </c>
      <c r="H42" s="2145">
        <f>IF(K41&lt;0.01,0,IF(Adm!$S$4=Adm!$S$8,0,K41*Adm!$V$4))</f>
        <v>0</v>
      </c>
      <c r="I42" s="2145">
        <f>IF(K41&lt;0.01,0,IF($I$16&lt;&gt;"",E42*Adm!$O$8,0))</f>
        <v>0</v>
      </c>
      <c r="J42" s="2145">
        <f t="shared" si="4"/>
        <v>0</v>
      </c>
      <c r="K42" s="2145">
        <f t="shared" si="5"/>
        <v>0</v>
      </c>
      <c r="L42" s="2146"/>
      <c r="W42" s="1352">
        <f t="shared" si="9"/>
        <v>1</v>
      </c>
      <c r="X42" s="1367">
        <f>IF(W42=1,Cal!$AC$127,0)</f>
        <v>0</v>
      </c>
      <c r="Z42" s="1153"/>
      <c r="AC42" s="1375">
        <f t="shared" si="12"/>
        <v>0</v>
      </c>
      <c r="AD42" s="1373">
        <f t="shared" si="13"/>
        <v>0</v>
      </c>
      <c r="AE42" s="1373">
        <f t="shared" si="14"/>
        <v>0</v>
      </c>
      <c r="AF42" s="1373">
        <f t="shared" si="11"/>
        <v>0</v>
      </c>
      <c r="AG42" s="1371">
        <f t="shared" si="10"/>
        <v>0</v>
      </c>
      <c r="AH42" s="1359" t="e">
        <f>HLOOKUP($AH$13,liquidez,26,0)</f>
        <v>#N/A</v>
      </c>
      <c r="AJ42" s="1360">
        <f>Captura!AI112</f>
        <v>0</v>
      </c>
    </row>
    <row r="43" spans="1:36">
      <c r="A43" s="1118">
        <f t="shared" ca="1" si="0"/>
        <v>5</v>
      </c>
      <c r="B43" s="1101">
        <f t="shared" si="1"/>
        <v>0</v>
      </c>
      <c r="C43" s="2149">
        <f t="shared" si="2"/>
        <v>0</v>
      </c>
      <c r="D43" s="2150">
        <f t="shared" si="6"/>
        <v>0</v>
      </c>
      <c r="E43" s="2145">
        <f t="shared" si="7"/>
        <v>0</v>
      </c>
      <c r="F43" s="2145">
        <f t="shared" si="3"/>
        <v>0</v>
      </c>
      <c r="G43" s="2145">
        <f t="shared" si="8"/>
        <v>0</v>
      </c>
      <c r="H43" s="2145">
        <f>IF(K42&lt;0.01,0,IF(Adm!$S$4=Adm!$S$8,0,K42*Adm!$V$4))</f>
        <v>0</v>
      </c>
      <c r="I43" s="2145">
        <f>IF(K42&lt;0.01,0,IF($I$16&lt;&gt;"",E43*Adm!$O$8,0))</f>
        <v>0</v>
      </c>
      <c r="J43" s="2145">
        <f t="shared" si="4"/>
        <v>0</v>
      </c>
      <c r="K43" s="2145">
        <f t="shared" si="5"/>
        <v>0</v>
      </c>
      <c r="L43" s="2146"/>
      <c r="W43" s="1352">
        <f t="shared" si="9"/>
        <v>2</v>
      </c>
      <c r="X43" s="1367">
        <f>IF(W43=1,Cal!$AC$127,0)</f>
        <v>0</v>
      </c>
      <c r="Z43" s="1153"/>
      <c r="AC43" s="1375">
        <f t="shared" si="12"/>
        <v>0</v>
      </c>
      <c r="AD43" s="1373">
        <f t="shared" si="13"/>
        <v>0</v>
      </c>
      <c r="AE43" s="1373">
        <f t="shared" si="14"/>
        <v>0</v>
      </c>
      <c r="AF43" s="1373">
        <f t="shared" si="11"/>
        <v>0</v>
      </c>
      <c r="AG43" s="1371">
        <f t="shared" si="10"/>
        <v>0</v>
      </c>
      <c r="AH43" s="1359" t="e">
        <f>HLOOKUP($AH$13,liquidez,27,0)</f>
        <v>#N/A</v>
      </c>
      <c r="AJ43" s="1360">
        <f>Captura!AI113</f>
        <v>0</v>
      </c>
    </row>
    <row r="44" spans="1:36">
      <c r="A44" s="1118">
        <f t="shared" ca="1" si="0"/>
        <v>6</v>
      </c>
      <c r="B44" s="1101">
        <f t="shared" si="1"/>
        <v>0</v>
      </c>
      <c r="C44" s="2149">
        <f t="shared" si="2"/>
        <v>0</v>
      </c>
      <c r="D44" s="2150">
        <f t="shared" si="6"/>
        <v>0</v>
      </c>
      <c r="E44" s="2145">
        <f t="shared" si="7"/>
        <v>0</v>
      </c>
      <c r="F44" s="2145">
        <f t="shared" si="3"/>
        <v>0</v>
      </c>
      <c r="G44" s="2145">
        <f t="shared" si="8"/>
        <v>0</v>
      </c>
      <c r="H44" s="2145">
        <f>IF(K43&lt;0.01,0,IF(Adm!$S$4=Adm!$S$8,0,K43*Adm!$V$4))</f>
        <v>0</v>
      </c>
      <c r="I44" s="2145">
        <f>IF(K43&lt;0.01,0,IF($I$16&lt;&gt;"",E44*Adm!$O$8,0))</f>
        <v>0</v>
      </c>
      <c r="J44" s="2145">
        <f t="shared" si="4"/>
        <v>0</v>
      </c>
      <c r="K44" s="2145">
        <f t="shared" si="5"/>
        <v>0</v>
      </c>
      <c r="L44" s="2146"/>
      <c r="W44" s="1352">
        <f t="shared" si="9"/>
        <v>3</v>
      </c>
      <c r="X44" s="1367">
        <f>IF(W44=1,Cal!$AC$127,0)</f>
        <v>0</v>
      </c>
      <c r="Z44" s="1153"/>
      <c r="AC44" s="1375">
        <f t="shared" si="12"/>
        <v>0</v>
      </c>
      <c r="AD44" s="1373">
        <f t="shared" si="13"/>
        <v>0</v>
      </c>
      <c r="AE44" s="1373">
        <f t="shared" si="14"/>
        <v>0</v>
      </c>
      <c r="AF44" s="1373">
        <f t="shared" si="11"/>
        <v>0</v>
      </c>
      <c r="AG44" s="1371">
        <f t="shared" si="10"/>
        <v>0</v>
      </c>
      <c r="AH44" s="1359" t="e">
        <f>HLOOKUP($AH$13,liquidez,28,0)</f>
        <v>#N/A</v>
      </c>
      <c r="AJ44" s="1360">
        <f>Captura!AI114</f>
        <v>0</v>
      </c>
    </row>
    <row r="45" spans="1:36">
      <c r="A45" s="1118">
        <f t="shared" ca="1" si="0"/>
        <v>7</v>
      </c>
      <c r="B45" s="1101">
        <f t="shared" si="1"/>
        <v>0</v>
      </c>
      <c r="C45" s="2149">
        <f t="shared" si="2"/>
        <v>0</v>
      </c>
      <c r="D45" s="2150">
        <f t="shared" si="6"/>
        <v>0</v>
      </c>
      <c r="E45" s="2145">
        <f t="shared" si="7"/>
        <v>0</v>
      </c>
      <c r="F45" s="2145">
        <f t="shared" si="3"/>
        <v>0</v>
      </c>
      <c r="G45" s="2145">
        <f t="shared" si="8"/>
        <v>0</v>
      </c>
      <c r="H45" s="2145">
        <f>IF(K44&lt;0.01,0,IF(Adm!$S$4=Adm!$S$8,0,K44*Adm!$V$4))</f>
        <v>0</v>
      </c>
      <c r="I45" s="2145">
        <f>IF(K44&lt;0.01,0,IF($I$16&lt;&gt;"",E45*Adm!$O$8,0))</f>
        <v>0</v>
      </c>
      <c r="J45" s="2145">
        <f t="shared" si="4"/>
        <v>0</v>
      </c>
      <c r="K45" s="2145">
        <f t="shared" si="5"/>
        <v>0</v>
      </c>
      <c r="L45" s="2146"/>
      <c r="W45" s="1352">
        <f t="shared" si="9"/>
        <v>4</v>
      </c>
      <c r="X45" s="1367">
        <f>IF(W45=1,Cal!$AC$127,0)</f>
        <v>0</v>
      </c>
      <c r="Z45" s="1153"/>
      <c r="AC45" s="1375">
        <f t="shared" si="12"/>
        <v>0</v>
      </c>
      <c r="AD45" s="1373">
        <f t="shared" si="13"/>
        <v>0</v>
      </c>
      <c r="AE45" s="1373">
        <f t="shared" si="14"/>
        <v>0</v>
      </c>
      <c r="AF45" s="1373">
        <f t="shared" si="11"/>
        <v>0</v>
      </c>
      <c r="AG45" s="1371">
        <f t="shared" si="10"/>
        <v>0</v>
      </c>
      <c r="AH45" s="1359" t="e">
        <f>HLOOKUP($AH$13,liquidez,29,0)</f>
        <v>#N/A</v>
      </c>
      <c r="AJ45" s="1360">
        <f>Captura!AI115</f>
        <v>0</v>
      </c>
    </row>
    <row r="46" spans="1:36">
      <c r="A46" s="1118">
        <f t="shared" ca="1" si="0"/>
        <v>8</v>
      </c>
      <c r="B46" s="1101">
        <f t="shared" si="1"/>
        <v>0</v>
      </c>
      <c r="C46" s="2149">
        <f t="shared" si="2"/>
        <v>0</v>
      </c>
      <c r="D46" s="2150">
        <f t="shared" si="6"/>
        <v>0</v>
      </c>
      <c r="E46" s="2145">
        <f t="shared" si="7"/>
        <v>0</v>
      </c>
      <c r="F46" s="2145">
        <f t="shared" si="3"/>
        <v>0</v>
      </c>
      <c r="G46" s="2145">
        <f t="shared" si="8"/>
        <v>0</v>
      </c>
      <c r="H46" s="2145">
        <f>IF(K45&lt;0.01,0,IF(Adm!$S$4=Adm!$S$8,0,K45*Adm!$V$4))</f>
        <v>0</v>
      </c>
      <c r="I46" s="2145">
        <f>IF(K45&lt;0.01,0,IF($I$16&lt;&gt;"",E46*Adm!$O$8,0))</f>
        <v>0</v>
      </c>
      <c r="J46" s="2145">
        <f t="shared" si="4"/>
        <v>0</v>
      </c>
      <c r="K46" s="2145">
        <f t="shared" si="5"/>
        <v>0</v>
      </c>
      <c r="L46" s="2146"/>
      <c r="W46" s="1352">
        <f t="shared" si="9"/>
        <v>5</v>
      </c>
      <c r="X46" s="1367">
        <f>IF(W46=1,Cal!$AC$127,0)</f>
        <v>0</v>
      </c>
      <c r="Z46" s="1153"/>
      <c r="AC46" s="1375">
        <f t="shared" si="12"/>
        <v>0</v>
      </c>
      <c r="AD46" s="1373">
        <f t="shared" si="13"/>
        <v>0</v>
      </c>
      <c r="AE46" s="1373">
        <f t="shared" si="14"/>
        <v>0</v>
      </c>
      <c r="AF46" s="1373">
        <f t="shared" si="11"/>
        <v>0</v>
      </c>
      <c r="AG46" s="1371">
        <f t="shared" si="10"/>
        <v>0</v>
      </c>
      <c r="AH46" s="1359" t="e">
        <f>HLOOKUP($AH$13,liquidez,30,0)</f>
        <v>#N/A</v>
      </c>
      <c r="AJ46" s="1360">
        <f>Captura!AI116</f>
        <v>0</v>
      </c>
    </row>
    <row r="47" spans="1:36">
      <c r="A47" s="1118">
        <f t="shared" ca="1" si="0"/>
        <v>9</v>
      </c>
      <c r="B47" s="1101">
        <f t="shared" si="1"/>
        <v>0</v>
      </c>
      <c r="C47" s="2149">
        <f t="shared" si="2"/>
        <v>0</v>
      </c>
      <c r="D47" s="2150">
        <f t="shared" si="6"/>
        <v>0</v>
      </c>
      <c r="E47" s="2145">
        <f t="shared" si="7"/>
        <v>0</v>
      </c>
      <c r="F47" s="2145">
        <f t="shared" si="3"/>
        <v>0</v>
      </c>
      <c r="G47" s="2145">
        <f t="shared" si="8"/>
        <v>0</v>
      </c>
      <c r="H47" s="2145">
        <f>IF(K46&lt;0.01,0,IF(Adm!$S$4=Adm!$S$8,0,K46*Adm!$V$4))</f>
        <v>0</v>
      </c>
      <c r="I47" s="2145">
        <f>IF(K46&lt;0.01,0,IF($I$16&lt;&gt;"",E47*Adm!$O$8,0))</f>
        <v>0</v>
      </c>
      <c r="J47" s="2145">
        <f t="shared" si="4"/>
        <v>0</v>
      </c>
      <c r="K47" s="2145">
        <f t="shared" si="5"/>
        <v>0</v>
      </c>
      <c r="L47" s="2146"/>
      <c r="W47" s="1352">
        <f t="shared" si="9"/>
        <v>6</v>
      </c>
      <c r="X47" s="1367">
        <f>IF(W47=1,Cal!$AC$127,0)</f>
        <v>0</v>
      </c>
      <c r="Z47" s="1153"/>
      <c r="AC47" s="1375">
        <f t="shared" si="12"/>
        <v>0</v>
      </c>
      <c r="AD47" s="1373">
        <f t="shared" si="13"/>
        <v>0</v>
      </c>
      <c r="AE47" s="1373">
        <f t="shared" si="14"/>
        <v>0</v>
      </c>
      <c r="AF47" s="1373">
        <f t="shared" si="11"/>
        <v>0</v>
      </c>
      <c r="AG47" s="1371">
        <f t="shared" si="10"/>
        <v>0</v>
      </c>
      <c r="AH47" s="1359" t="e">
        <f>HLOOKUP($AH$13,liquidez,31,0)</f>
        <v>#N/A</v>
      </c>
      <c r="AJ47" s="1360">
        <f>Captura!AI117</f>
        <v>0</v>
      </c>
    </row>
    <row r="48" spans="1:36">
      <c r="A48" s="1118">
        <f t="shared" ca="1" si="0"/>
        <v>10</v>
      </c>
      <c r="B48" s="1101">
        <f t="shared" si="1"/>
        <v>0</v>
      </c>
      <c r="C48" s="2149">
        <f t="shared" si="2"/>
        <v>0</v>
      </c>
      <c r="D48" s="2150">
        <f t="shared" si="6"/>
        <v>0</v>
      </c>
      <c r="E48" s="2145">
        <f t="shared" si="7"/>
        <v>0</v>
      </c>
      <c r="F48" s="2145">
        <f t="shared" si="3"/>
        <v>0</v>
      </c>
      <c r="G48" s="2145">
        <f t="shared" si="8"/>
        <v>0</v>
      </c>
      <c r="H48" s="2145">
        <f>IF(K47&lt;0.01,0,IF(Adm!$S$4=Adm!$S$8,0,K47*Adm!$V$4))</f>
        <v>0</v>
      </c>
      <c r="I48" s="2145">
        <f>IF(K47&lt;0.01,0,IF($I$16&lt;&gt;"",E48*Adm!$O$8,0))</f>
        <v>0</v>
      </c>
      <c r="J48" s="2145">
        <f t="shared" si="4"/>
        <v>0</v>
      </c>
      <c r="K48" s="2145">
        <f t="shared" si="5"/>
        <v>0</v>
      </c>
      <c r="L48" s="2146"/>
      <c r="W48" s="1352">
        <f t="shared" si="9"/>
        <v>7</v>
      </c>
      <c r="X48" s="1367">
        <f>IF(W48=1,Cal!$AC$127,0)</f>
        <v>0</v>
      </c>
      <c r="Z48" s="1153"/>
      <c r="AC48" s="1375">
        <f t="shared" si="12"/>
        <v>0</v>
      </c>
      <c r="AD48" s="1373">
        <f t="shared" si="13"/>
        <v>0</v>
      </c>
      <c r="AE48" s="1373">
        <f t="shared" si="14"/>
        <v>0</v>
      </c>
      <c r="AF48" s="1373">
        <f t="shared" si="11"/>
        <v>0</v>
      </c>
      <c r="AG48" s="1371">
        <f t="shared" si="10"/>
        <v>0</v>
      </c>
      <c r="AH48" s="1359" t="e">
        <f>HLOOKUP($AH$13,liquidez,32,0)</f>
        <v>#N/A</v>
      </c>
      <c r="AJ48" s="1360">
        <f>Captura!AI118</f>
        <v>0</v>
      </c>
    </row>
    <row r="49" spans="1:36">
      <c r="A49" s="1118">
        <f t="shared" ca="1" si="0"/>
        <v>11</v>
      </c>
      <c r="B49" s="1101">
        <f t="shared" si="1"/>
        <v>0</v>
      </c>
      <c r="C49" s="2149">
        <f t="shared" si="2"/>
        <v>0</v>
      </c>
      <c r="D49" s="2150">
        <f t="shared" si="6"/>
        <v>0</v>
      </c>
      <c r="E49" s="2145">
        <f t="shared" si="7"/>
        <v>0</v>
      </c>
      <c r="F49" s="2145">
        <f t="shared" si="3"/>
        <v>0</v>
      </c>
      <c r="G49" s="2145">
        <f t="shared" si="8"/>
        <v>0</v>
      </c>
      <c r="H49" s="2145">
        <f>IF(K48&lt;0.01,0,IF(Adm!$S$4=Adm!$S$8,0,K48*Adm!$V$4))</f>
        <v>0</v>
      </c>
      <c r="I49" s="2145">
        <f>IF(K48&lt;0.01,0,IF($I$16&lt;&gt;"",E49*Adm!$O$8,0))</f>
        <v>0</v>
      </c>
      <c r="J49" s="2145">
        <f t="shared" si="4"/>
        <v>0</v>
      </c>
      <c r="K49" s="2145">
        <f t="shared" si="5"/>
        <v>0</v>
      </c>
      <c r="L49" s="2146"/>
      <c r="W49" s="1352">
        <f t="shared" si="9"/>
        <v>8</v>
      </c>
      <c r="X49" s="1367">
        <f>IF(W49=1,Cal!$AC$127,0)</f>
        <v>0</v>
      </c>
      <c r="Z49" s="1153"/>
      <c r="AC49" s="1375">
        <f t="shared" si="12"/>
        <v>0</v>
      </c>
      <c r="AD49" s="1373">
        <f t="shared" si="13"/>
        <v>0</v>
      </c>
      <c r="AE49" s="1373">
        <f t="shared" si="14"/>
        <v>0</v>
      </c>
      <c r="AF49" s="1373">
        <f t="shared" si="11"/>
        <v>0</v>
      </c>
      <c r="AG49" s="1371">
        <f t="shared" si="10"/>
        <v>0</v>
      </c>
      <c r="AH49" s="1359" t="e">
        <f>HLOOKUP($AH$13,liquidez,33,0)</f>
        <v>#N/A</v>
      </c>
      <c r="AJ49" s="1360">
        <f>Captura!AI119</f>
        <v>0</v>
      </c>
    </row>
    <row r="50" spans="1:36">
      <c r="A50" s="1118">
        <f t="shared" ca="1" si="0"/>
        <v>12</v>
      </c>
      <c r="B50" s="1101">
        <f t="shared" si="1"/>
        <v>0</v>
      </c>
      <c r="C50" s="2149">
        <f t="shared" si="2"/>
        <v>0</v>
      </c>
      <c r="D50" s="2150">
        <f t="shared" si="6"/>
        <v>0</v>
      </c>
      <c r="E50" s="2145">
        <f t="shared" si="7"/>
        <v>0</v>
      </c>
      <c r="F50" s="2145">
        <f t="shared" si="3"/>
        <v>0</v>
      </c>
      <c r="G50" s="2145">
        <f t="shared" si="8"/>
        <v>0</v>
      </c>
      <c r="H50" s="2145">
        <f>IF(K49&lt;0.01,0,IF(Adm!$S$4=Adm!$S$8,0,K49*Adm!$V$4))</f>
        <v>0</v>
      </c>
      <c r="I50" s="2145">
        <f>IF(K49&lt;0.01,0,IF($I$16&lt;&gt;"",E50*Adm!$O$8,0))</f>
        <v>0</v>
      </c>
      <c r="J50" s="2145">
        <f t="shared" si="4"/>
        <v>0</v>
      </c>
      <c r="K50" s="2145">
        <f t="shared" si="5"/>
        <v>0</v>
      </c>
      <c r="L50" s="2146"/>
      <c r="W50" s="1352">
        <f t="shared" si="9"/>
        <v>9</v>
      </c>
      <c r="X50" s="1367">
        <f>IF(W50=1,Cal!$AC$127,0)</f>
        <v>0</v>
      </c>
      <c r="Z50" s="1153"/>
      <c r="AC50" s="1375">
        <f t="shared" si="12"/>
        <v>0</v>
      </c>
      <c r="AD50" s="1373">
        <f t="shared" si="13"/>
        <v>0</v>
      </c>
      <c r="AE50" s="1373">
        <f t="shared" si="14"/>
        <v>0</v>
      </c>
      <c r="AF50" s="1373">
        <f t="shared" si="11"/>
        <v>0</v>
      </c>
      <c r="AG50" s="1371">
        <f t="shared" si="10"/>
        <v>0</v>
      </c>
      <c r="AH50" s="1359" t="e">
        <f>HLOOKUP($AH$13,liquidez,34,0)</f>
        <v>#N/A</v>
      </c>
      <c r="AJ50" s="1360">
        <f>Captura!AI120</f>
        <v>0</v>
      </c>
    </row>
    <row r="51" spans="1:36">
      <c r="A51" s="1118">
        <f t="shared" ca="1" si="0"/>
        <v>1</v>
      </c>
      <c r="B51" s="1101">
        <f t="shared" si="1"/>
        <v>0</v>
      </c>
      <c r="C51" s="2149">
        <f t="shared" si="2"/>
        <v>0</v>
      </c>
      <c r="D51" s="2150">
        <f t="shared" si="6"/>
        <v>0</v>
      </c>
      <c r="E51" s="2145">
        <f t="shared" si="7"/>
        <v>0</v>
      </c>
      <c r="F51" s="2145">
        <f t="shared" si="3"/>
        <v>0</v>
      </c>
      <c r="G51" s="2145">
        <f t="shared" si="8"/>
        <v>0</v>
      </c>
      <c r="H51" s="2145">
        <f>IF(K50&lt;0.01,0,IF(Adm!$S$4=Adm!$S$8,0,K50*Adm!$V$4))</f>
        <v>0</v>
      </c>
      <c r="I51" s="2145">
        <f>IF(K50&lt;0.01,0,IF($I$16&lt;&gt;"",E51*Adm!$O$8,0))</f>
        <v>0</v>
      </c>
      <c r="J51" s="2145">
        <f t="shared" si="4"/>
        <v>0</v>
      </c>
      <c r="K51" s="2145">
        <f t="shared" si="5"/>
        <v>0</v>
      </c>
      <c r="L51" s="2146"/>
      <c r="W51" s="1352">
        <f t="shared" si="9"/>
        <v>10</v>
      </c>
      <c r="X51" s="1367">
        <f>IF(W51=1,Cal!$AC$127,0)</f>
        <v>0</v>
      </c>
      <c r="Z51" s="1153"/>
      <c r="AC51" s="1375">
        <f t="shared" si="12"/>
        <v>0</v>
      </c>
      <c r="AD51" s="1373">
        <f t="shared" si="13"/>
        <v>0</v>
      </c>
      <c r="AE51" s="1373">
        <f t="shared" si="14"/>
        <v>0</v>
      </c>
      <c r="AF51" s="1373">
        <f t="shared" si="11"/>
        <v>0</v>
      </c>
      <c r="AG51" s="1371">
        <f t="shared" si="10"/>
        <v>0</v>
      </c>
      <c r="AH51" s="1359" t="e">
        <f>HLOOKUP($AH$13,liquidez,35,0)</f>
        <v>#N/A</v>
      </c>
      <c r="AJ51" s="1360">
        <f>Captura!AI121</f>
        <v>0</v>
      </c>
    </row>
    <row r="52" spans="1:36">
      <c r="A52" s="1118">
        <f t="shared" ca="1" si="0"/>
        <v>2</v>
      </c>
      <c r="B52" s="1101">
        <f t="shared" si="1"/>
        <v>0</v>
      </c>
      <c r="C52" s="2149">
        <f t="shared" si="2"/>
        <v>0</v>
      </c>
      <c r="D52" s="2150">
        <f t="shared" si="6"/>
        <v>0</v>
      </c>
      <c r="E52" s="2145">
        <f t="shared" si="7"/>
        <v>0</v>
      </c>
      <c r="F52" s="2145">
        <f t="shared" si="3"/>
        <v>0</v>
      </c>
      <c r="G52" s="2145">
        <f t="shared" si="8"/>
        <v>0</v>
      </c>
      <c r="H52" s="2145">
        <f>IF(K51&lt;0.01,0,IF(Adm!$S$4=Adm!$S$8,0,K51*Adm!$V$4))</f>
        <v>0</v>
      </c>
      <c r="I52" s="2145">
        <f>IF(K51&lt;0.01,0,IF($I$16&lt;&gt;"",E52*Adm!$O$8,0))</f>
        <v>0</v>
      </c>
      <c r="J52" s="2145">
        <f t="shared" si="4"/>
        <v>0</v>
      </c>
      <c r="K52" s="2145">
        <f t="shared" si="5"/>
        <v>0</v>
      </c>
      <c r="L52" s="2146"/>
      <c r="W52" s="1352">
        <f t="shared" si="9"/>
        <v>11</v>
      </c>
      <c r="X52" s="1367">
        <f>IF(W52=1,Cal!$AC$127,0)</f>
        <v>0</v>
      </c>
      <c r="Z52" s="1153"/>
      <c r="AC52" s="1375">
        <f t="shared" si="12"/>
        <v>0</v>
      </c>
      <c r="AD52" s="1373">
        <f t="shared" si="13"/>
        <v>0</v>
      </c>
      <c r="AE52" s="1373">
        <f t="shared" si="14"/>
        <v>0</v>
      </c>
      <c r="AF52" s="1373">
        <f t="shared" si="11"/>
        <v>0</v>
      </c>
      <c r="AG52" s="1371">
        <f t="shared" si="10"/>
        <v>0</v>
      </c>
      <c r="AH52" s="1359" t="e">
        <f>HLOOKUP($AH$13,liquidez,36,0)</f>
        <v>#N/A</v>
      </c>
      <c r="AJ52" s="1360">
        <f>Captura!AI122</f>
        <v>0</v>
      </c>
    </row>
    <row r="53" spans="1:36">
      <c r="A53" s="1118">
        <f t="shared" ca="1" si="0"/>
        <v>3</v>
      </c>
      <c r="B53" s="1101">
        <f t="shared" si="1"/>
        <v>0</v>
      </c>
      <c r="C53" s="2149">
        <f t="shared" si="2"/>
        <v>0</v>
      </c>
      <c r="D53" s="2150">
        <f t="shared" si="6"/>
        <v>0</v>
      </c>
      <c r="E53" s="2145">
        <f t="shared" si="7"/>
        <v>0</v>
      </c>
      <c r="F53" s="2145">
        <f t="shared" si="3"/>
        <v>0</v>
      </c>
      <c r="G53" s="2145">
        <f t="shared" si="8"/>
        <v>0</v>
      </c>
      <c r="H53" s="2145">
        <f>IF(K52&lt;0.01,0,IF(Adm!$S$4=Adm!$S$8,0,K52*Adm!$V$4))</f>
        <v>0</v>
      </c>
      <c r="I53" s="2145">
        <f>IF(K52&lt;0.01,0,IF($I$16&lt;&gt;"",E53*Adm!$O$8,0))</f>
        <v>0</v>
      </c>
      <c r="J53" s="2145">
        <f t="shared" si="4"/>
        <v>0</v>
      </c>
      <c r="K53" s="2145">
        <f t="shared" si="5"/>
        <v>0</v>
      </c>
      <c r="L53" s="2146"/>
      <c r="W53" s="1352">
        <f t="shared" si="9"/>
        <v>12</v>
      </c>
      <c r="X53" s="1367">
        <f>IF(W53=1,Cal!$AC$127,0)</f>
        <v>0</v>
      </c>
      <c r="Z53" s="1153"/>
      <c r="AC53" s="1375">
        <f t="shared" si="12"/>
        <v>0</v>
      </c>
      <c r="AD53" s="1373">
        <f t="shared" si="13"/>
        <v>0</v>
      </c>
      <c r="AE53" s="1373">
        <f t="shared" si="14"/>
        <v>0</v>
      </c>
      <c r="AF53" s="1373">
        <f t="shared" si="11"/>
        <v>0</v>
      </c>
      <c r="AG53" s="1371">
        <f t="shared" si="10"/>
        <v>0</v>
      </c>
      <c r="AH53" s="1359" t="e">
        <f>HLOOKUP($AH$13,liquidez,37,0)</f>
        <v>#N/A</v>
      </c>
      <c r="AJ53" s="1360">
        <f>Captura!AI123</f>
        <v>0</v>
      </c>
    </row>
    <row r="54" spans="1:36">
      <c r="A54" s="1118">
        <f t="shared" ca="1" si="0"/>
        <v>4</v>
      </c>
      <c r="B54" s="1101">
        <f t="shared" si="1"/>
        <v>0</v>
      </c>
      <c r="C54" s="2149">
        <f t="shared" si="2"/>
        <v>0</v>
      </c>
      <c r="D54" s="2150">
        <f t="shared" si="6"/>
        <v>0</v>
      </c>
      <c r="E54" s="2145">
        <f t="shared" si="7"/>
        <v>0</v>
      </c>
      <c r="F54" s="2145">
        <f t="shared" si="3"/>
        <v>0</v>
      </c>
      <c r="G54" s="2145">
        <f t="shared" si="8"/>
        <v>0</v>
      </c>
      <c r="H54" s="2145">
        <f>IF(K53&lt;0.01,0,IF(Adm!$S$4=Adm!$S$8,0,K53*Adm!$V$4))</f>
        <v>0</v>
      </c>
      <c r="I54" s="2145">
        <f>IF(K53&lt;0.01,0,IF($I$16&lt;&gt;"",E54*Adm!$O$8,0))</f>
        <v>0</v>
      </c>
      <c r="J54" s="2145">
        <f t="shared" si="4"/>
        <v>0</v>
      </c>
      <c r="K54" s="2145">
        <f t="shared" si="5"/>
        <v>0</v>
      </c>
      <c r="L54" s="2146"/>
      <c r="W54" s="1352">
        <f t="shared" si="9"/>
        <v>1</v>
      </c>
      <c r="X54" s="1367">
        <f>IF(W54=1,Cal!$AC$127,0)</f>
        <v>0</v>
      </c>
      <c r="Z54" s="1153"/>
      <c r="AC54" s="1375">
        <f t="shared" si="12"/>
        <v>0</v>
      </c>
      <c r="AD54" s="1373">
        <f t="shared" si="13"/>
        <v>0</v>
      </c>
      <c r="AE54" s="1373">
        <f t="shared" si="14"/>
        <v>0</v>
      </c>
      <c r="AF54" s="1373">
        <f t="shared" si="11"/>
        <v>0</v>
      </c>
      <c r="AG54" s="1371">
        <f t="shared" si="10"/>
        <v>0</v>
      </c>
      <c r="AH54" s="1359" t="e">
        <f>HLOOKUP($AH$13,liquidez,38,0)</f>
        <v>#N/A</v>
      </c>
      <c r="AJ54" s="1360">
        <f>Captura!AI124</f>
        <v>0</v>
      </c>
    </row>
    <row r="55" spans="1:36">
      <c r="A55" s="1118">
        <f t="shared" ca="1" si="0"/>
        <v>5</v>
      </c>
      <c r="B55" s="1101">
        <f t="shared" si="1"/>
        <v>0</v>
      </c>
      <c r="C55" s="2149">
        <f t="shared" si="2"/>
        <v>0</v>
      </c>
      <c r="D55" s="2150">
        <f t="shared" si="6"/>
        <v>0</v>
      </c>
      <c r="E55" s="2145">
        <f t="shared" si="7"/>
        <v>0</v>
      </c>
      <c r="F55" s="2145">
        <f t="shared" si="3"/>
        <v>0</v>
      </c>
      <c r="G55" s="2145">
        <f t="shared" si="8"/>
        <v>0</v>
      </c>
      <c r="H55" s="2145">
        <f>IF(K54&lt;0.01,0,IF(Adm!$S$4=Adm!$S$8,0,K54*Adm!$V$4))</f>
        <v>0</v>
      </c>
      <c r="I55" s="2145">
        <f>IF(K54&lt;0.01,0,IF($I$16&lt;&gt;"",E55*Adm!$O$8,0))</f>
        <v>0</v>
      </c>
      <c r="J55" s="2145">
        <f t="shared" si="4"/>
        <v>0</v>
      </c>
      <c r="K55" s="2145">
        <f t="shared" si="5"/>
        <v>0</v>
      </c>
      <c r="L55" s="2146"/>
      <c r="W55" s="1352">
        <f t="shared" si="9"/>
        <v>2</v>
      </c>
      <c r="X55" s="1367">
        <f>IF(W55=1,Cal!$AC$127,0)</f>
        <v>0</v>
      </c>
      <c r="Z55" s="1153"/>
      <c r="AC55" s="1375">
        <f t="shared" si="12"/>
        <v>0</v>
      </c>
      <c r="AD55" s="1373">
        <f t="shared" si="13"/>
        <v>0</v>
      </c>
      <c r="AE55" s="1373">
        <f t="shared" si="14"/>
        <v>0</v>
      </c>
      <c r="AF55" s="1373">
        <f t="shared" si="11"/>
        <v>0</v>
      </c>
      <c r="AG55" s="1371">
        <f t="shared" si="10"/>
        <v>0</v>
      </c>
      <c r="AH55" s="1359" t="e">
        <f>HLOOKUP($AH$13,liquidez,39,0)</f>
        <v>#N/A</v>
      </c>
      <c r="AJ55" s="1360">
        <f>Captura!AI125</f>
        <v>0</v>
      </c>
    </row>
    <row r="56" spans="1:36">
      <c r="A56" s="1118">
        <f t="shared" ca="1" si="0"/>
        <v>6</v>
      </c>
      <c r="B56" s="1101">
        <f t="shared" si="1"/>
        <v>0</v>
      </c>
      <c r="C56" s="2149">
        <f t="shared" si="2"/>
        <v>0</v>
      </c>
      <c r="D56" s="2150">
        <f t="shared" si="6"/>
        <v>0</v>
      </c>
      <c r="E56" s="2145">
        <f t="shared" si="7"/>
        <v>0</v>
      </c>
      <c r="F56" s="2145">
        <f t="shared" si="3"/>
        <v>0</v>
      </c>
      <c r="G56" s="2145">
        <f t="shared" si="8"/>
        <v>0</v>
      </c>
      <c r="H56" s="2145">
        <f>IF(K55&lt;0.01,0,IF(Adm!$S$4=Adm!$S$8,0,K55*Adm!$V$4))</f>
        <v>0</v>
      </c>
      <c r="I56" s="2145">
        <f>IF(K55&lt;0.01,0,IF($I$16&lt;&gt;"",E56*Adm!$O$8,0))</f>
        <v>0</v>
      </c>
      <c r="J56" s="2145">
        <f t="shared" si="4"/>
        <v>0</v>
      </c>
      <c r="K56" s="2145">
        <f t="shared" si="5"/>
        <v>0</v>
      </c>
      <c r="L56" s="2146"/>
      <c r="W56" s="1352">
        <f t="shared" si="9"/>
        <v>3</v>
      </c>
      <c r="X56" s="1367">
        <f>IF(W56=1,Cal!$AC$127,0)</f>
        <v>0</v>
      </c>
      <c r="Z56" s="1153"/>
      <c r="AC56" s="1375">
        <f t="shared" si="12"/>
        <v>0</v>
      </c>
      <c r="AD56" s="1373">
        <f t="shared" si="13"/>
        <v>0</v>
      </c>
      <c r="AE56" s="1373">
        <f t="shared" si="14"/>
        <v>0</v>
      </c>
      <c r="AF56" s="1373">
        <f t="shared" si="11"/>
        <v>0</v>
      </c>
      <c r="AG56" s="1371">
        <f t="shared" si="10"/>
        <v>0</v>
      </c>
      <c r="AH56" s="1359" t="e">
        <f>HLOOKUP($AH$13,liquidez,40,0)</f>
        <v>#N/A</v>
      </c>
      <c r="AJ56" s="1360">
        <f>Captura!AI126</f>
        <v>0</v>
      </c>
    </row>
    <row r="57" spans="1:36">
      <c r="A57" s="1118">
        <f t="shared" ca="1" si="0"/>
        <v>7</v>
      </c>
      <c r="B57" s="1101">
        <f t="shared" si="1"/>
        <v>0</v>
      </c>
      <c r="C57" s="2149">
        <f t="shared" si="2"/>
        <v>0</v>
      </c>
      <c r="D57" s="2150">
        <f t="shared" si="6"/>
        <v>0</v>
      </c>
      <c r="E57" s="2145">
        <f t="shared" si="7"/>
        <v>0</v>
      </c>
      <c r="F57" s="2145">
        <f t="shared" si="3"/>
        <v>0</v>
      </c>
      <c r="G57" s="2145">
        <f t="shared" si="8"/>
        <v>0</v>
      </c>
      <c r="H57" s="2145">
        <f>IF(K56&lt;0.01,0,IF(Adm!$S$4=Adm!$S$8,0,K56*Adm!$V$4))</f>
        <v>0</v>
      </c>
      <c r="I57" s="2145">
        <f>IF(K56&lt;0.01,0,IF($I$16&lt;&gt;"",E57*Adm!$O$8,0))</f>
        <v>0</v>
      </c>
      <c r="J57" s="2145">
        <f t="shared" si="4"/>
        <v>0</v>
      </c>
      <c r="K57" s="2145">
        <f t="shared" si="5"/>
        <v>0</v>
      </c>
      <c r="L57" s="2146"/>
      <c r="W57" s="1352">
        <f t="shared" si="9"/>
        <v>4</v>
      </c>
      <c r="X57" s="1367">
        <f>IF(W57=1,Cal!$AC$127,0)</f>
        <v>0</v>
      </c>
      <c r="Z57" s="1153"/>
      <c r="AC57" s="1375">
        <f t="shared" si="12"/>
        <v>0</v>
      </c>
      <c r="AD57" s="1373">
        <f t="shared" si="13"/>
        <v>0</v>
      </c>
      <c r="AE57" s="1373">
        <f t="shared" si="14"/>
        <v>0</v>
      </c>
      <c r="AF57" s="1373">
        <f t="shared" si="11"/>
        <v>0</v>
      </c>
      <c r="AG57" s="1371">
        <f t="shared" si="10"/>
        <v>0</v>
      </c>
      <c r="AH57" s="1359" t="e">
        <f>HLOOKUP($AH$13,liquidez,41,0)</f>
        <v>#N/A</v>
      </c>
      <c r="AJ57" s="1360">
        <f>Captura!AI127</f>
        <v>0</v>
      </c>
    </row>
    <row r="58" spans="1:36">
      <c r="A58" s="1118">
        <f t="shared" ca="1" si="0"/>
        <v>8</v>
      </c>
      <c r="B58" s="1101">
        <f t="shared" si="1"/>
        <v>0</v>
      </c>
      <c r="C58" s="2149">
        <f t="shared" si="2"/>
        <v>0</v>
      </c>
      <c r="D58" s="2150">
        <f t="shared" si="6"/>
        <v>0</v>
      </c>
      <c r="E58" s="2145">
        <f t="shared" si="7"/>
        <v>0</v>
      </c>
      <c r="F58" s="2145">
        <f t="shared" si="3"/>
        <v>0</v>
      </c>
      <c r="G58" s="2145">
        <f t="shared" si="8"/>
        <v>0</v>
      </c>
      <c r="H58" s="2145">
        <f>IF(K57&lt;0.01,0,IF(Adm!$S$4=Adm!$S$8,0,K57*Adm!$V$4))</f>
        <v>0</v>
      </c>
      <c r="I58" s="2145">
        <f>IF(K57&lt;0.01,0,IF($I$16&lt;&gt;"",E58*Adm!$O$8,0))</f>
        <v>0</v>
      </c>
      <c r="J58" s="2145">
        <f t="shared" si="4"/>
        <v>0</v>
      </c>
      <c r="K58" s="2145">
        <f t="shared" si="5"/>
        <v>0</v>
      </c>
      <c r="L58" s="2146"/>
      <c r="W58" s="1352">
        <f t="shared" si="9"/>
        <v>5</v>
      </c>
      <c r="X58" s="1367">
        <f>IF(W58=1,Cal!$AC$127,0)</f>
        <v>0</v>
      </c>
      <c r="Z58" s="1153"/>
      <c r="AC58" s="1375">
        <f t="shared" si="12"/>
        <v>0</v>
      </c>
      <c r="AD58" s="1373">
        <f t="shared" si="13"/>
        <v>0</v>
      </c>
      <c r="AE58" s="1373">
        <f t="shared" si="14"/>
        <v>0</v>
      </c>
      <c r="AF58" s="1373">
        <f t="shared" si="11"/>
        <v>0</v>
      </c>
      <c r="AG58" s="1371">
        <f t="shared" si="10"/>
        <v>0</v>
      </c>
      <c r="AH58" s="1359" t="e">
        <f>HLOOKUP($AH$13,liquidez,42,0)</f>
        <v>#N/A</v>
      </c>
      <c r="AJ58" s="1360">
        <f>Captura!AI128</f>
        <v>0</v>
      </c>
    </row>
    <row r="59" spans="1:36">
      <c r="A59" s="1118">
        <f t="shared" ca="1" si="0"/>
        <v>9</v>
      </c>
      <c r="B59" s="1101">
        <f t="shared" si="1"/>
        <v>0</v>
      </c>
      <c r="C59" s="2149">
        <f t="shared" si="2"/>
        <v>0</v>
      </c>
      <c r="D59" s="2150">
        <f t="shared" si="6"/>
        <v>0</v>
      </c>
      <c r="E59" s="2145">
        <f t="shared" si="7"/>
        <v>0</v>
      </c>
      <c r="F59" s="2145">
        <f t="shared" si="3"/>
        <v>0</v>
      </c>
      <c r="G59" s="2145">
        <f t="shared" si="8"/>
        <v>0</v>
      </c>
      <c r="H59" s="2145">
        <f>IF(K58&lt;0.01,0,IF(Adm!$S$4=Adm!$S$8,0,K58*Adm!$V$4))</f>
        <v>0</v>
      </c>
      <c r="I59" s="2145">
        <f>IF(K58&lt;0.01,0,IF($I$16&lt;&gt;"",E59*Adm!$O$8,0))</f>
        <v>0</v>
      </c>
      <c r="J59" s="2145">
        <f t="shared" si="4"/>
        <v>0</v>
      </c>
      <c r="K59" s="2145">
        <f t="shared" si="5"/>
        <v>0</v>
      </c>
      <c r="L59" s="2146"/>
      <c r="W59" s="1352">
        <f t="shared" si="9"/>
        <v>6</v>
      </c>
      <c r="X59" s="1367">
        <f>IF(W59=1,Cal!$AC$127,0)</f>
        <v>0</v>
      </c>
      <c r="Z59" s="1153"/>
      <c r="AC59" s="1375">
        <f t="shared" si="12"/>
        <v>0</v>
      </c>
      <c r="AD59" s="1373">
        <f t="shared" si="13"/>
        <v>0</v>
      </c>
      <c r="AE59" s="1373">
        <f t="shared" si="14"/>
        <v>0</v>
      </c>
      <c r="AF59" s="1373">
        <f t="shared" si="11"/>
        <v>0</v>
      </c>
      <c r="AG59" s="1371">
        <f t="shared" si="10"/>
        <v>0</v>
      </c>
      <c r="AH59" s="1359" t="e">
        <f>HLOOKUP($AH$13,liquidez,43,0)</f>
        <v>#N/A</v>
      </c>
      <c r="AJ59" s="1360">
        <f>Captura!AI129</f>
        <v>0</v>
      </c>
    </row>
    <row r="60" spans="1:36">
      <c r="A60" s="1118">
        <f t="shared" ca="1" si="0"/>
        <v>10</v>
      </c>
      <c r="B60" s="1101">
        <f t="shared" si="1"/>
        <v>0</v>
      </c>
      <c r="C60" s="2149">
        <f t="shared" si="2"/>
        <v>0</v>
      </c>
      <c r="D60" s="2150">
        <f t="shared" si="6"/>
        <v>0</v>
      </c>
      <c r="E60" s="2145">
        <f t="shared" si="7"/>
        <v>0</v>
      </c>
      <c r="F60" s="2145">
        <f t="shared" si="3"/>
        <v>0</v>
      </c>
      <c r="G60" s="2145">
        <f t="shared" si="8"/>
        <v>0</v>
      </c>
      <c r="H60" s="2145">
        <f>IF(K59&lt;0.01,0,IF(Adm!$S$4=Adm!$S$8,0,K59*Adm!$V$4))</f>
        <v>0</v>
      </c>
      <c r="I60" s="2145">
        <f>IF(K59&lt;0.01,0,IF($I$16&lt;&gt;"",E60*Adm!$O$8,0))</f>
        <v>0</v>
      </c>
      <c r="J60" s="2145">
        <f t="shared" si="4"/>
        <v>0</v>
      </c>
      <c r="K60" s="2145">
        <f t="shared" si="5"/>
        <v>0</v>
      </c>
      <c r="L60" s="2146"/>
      <c r="W60" s="1352">
        <f t="shared" si="9"/>
        <v>7</v>
      </c>
      <c r="X60" s="1367">
        <f>IF(W60=1,Cal!$AC$127,0)</f>
        <v>0</v>
      </c>
      <c r="Z60" s="1153"/>
      <c r="AC60" s="1375">
        <f t="shared" si="12"/>
        <v>0</v>
      </c>
      <c r="AD60" s="1373">
        <f t="shared" si="13"/>
        <v>0</v>
      </c>
      <c r="AE60" s="1373">
        <f t="shared" si="14"/>
        <v>0</v>
      </c>
      <c r="AF60" s="1373">
        <f t="shared" si="11"/>
        <v>0</v>
      </c>
      <c r="AG60" s="1371">
        <f t="shared" si="10"/>
        <v>0</v>
      </c>
      <c r="AH60" s="1359" t="e">
        <f>HLOOKUP($AH$13,liquidez,44,0)</f>
        <v>#N/A</v>
      </c>
      <c r="AJ60" s="1360">
        <f>Captura!AI130</f>
        <v>0</v>
      </c>
    </row>
    <row r="61" spans="1:36">
      <c r="A61" s="1118">
        <f t="shared" ca="1" si="0"/>
        <v>11</v>
      </c>
      <c r="B61" s="1101">
        <f t="shared" si="1"/>
        <v>0</v>
      </c>
      <c r="C61" s="2149">
        <f t="shared" si="2"/>
        <v>0</v>
      </c>
      <c r="D61" s="2150">
        <f t="shared" si="6"/>
        <v>0</v>
      </c>
      <c r="E61" s="2145">
        <f t="shared" si="7"/>
        <v>0</v>
      </c>
      <c r="F61" s="2145">
        <f t="shared" si="3"/>
        <v>0</v>
      </c>
      <c r="G61" s="2145">
        <f t="shared" si="8"/>
        <v>0</v>
      </c>
      <c r="H61" s="2145">
        <f>IF(K60&lt;0.01,0,IF(Adm!$S$4=Adm!$S$8,0,K60*Adm!$V$4))</f>
        <v>0</v>
      </c>
      <c r="I61" s="2145">
        <f>IF(K60&lt;0.01,0,IF($I$16&lt;&gt;"",E61*Adm!$O$8,0))</f>
        <v>0</v>
      </c>
      <c r="J61" s="2145">
        <f t="shared" si="4"/>
        <v>0</v>
      </c>
      <c r="K61" s="2145">
        <f t="shared" si="5"/>
        <v>0</v>
      </c>
      <c r="L61" s="2146"/>
      <c r="W61" s="1352">
        <f t="shared" si="9"/>
        <v>8</v>
      </c>
      <c r="X61" s="1367">
        <f>IF(W61=1,Cal!$AC$127,0)</f>
        <v>0</v>
      </c>
      <c r="Z61" s="1153"/>
      <c r="AC61" s="1375">
        <f t="shared" si="12"/>
        <v>0</v>
      </c>
      <c r="AD61" s="1373">
        <f t="shared" si="13"/>
        <v>0</v>
      </c>
      <c r="AE61" s="1373">
        <f t="shared" si="14"/>
        <v>0</v>
      </c>
      <c r="AF61" s="1373">
        <f t="shared" si="11"/>
        <v>0</v>
      </c>
      <c r="AG61" s="1371">
        <f t="shared" si="10"/>
        <v>0</v>
      </c>
      <c r="AH61" s="1359" t="e">
        <f>HLOOKUP($AH$13,liquidez,45,0)</f>
        <v>#N/A</v>
      </c>
      <c r="AJ61" s="1360">
        <f>Captura!AI131</f>
        <v>0</v>
      </c>
    </row>
    <row r="62" spans="1:36">
      <c r="A62" s="1118">
        <f t="shared" ca="1" si="0"/>
        <v>12</v>
      </c>
      <c r="B62" s="1101">
        <f t="shared" si="1"/>
        <v>0</v>
      </c>
      <c r="C62" s="2149">
        <f t="shared" si="2"/>
        <v>0</v>
      </c>
      <c r="D62" s="2150">
        <f t="shared" si="6"/>
        <v>0</v>
      </c>
      <c r="E62" s="2145">
        <f t="shared" si="7"/>
        <v>0</v>
      </c>
      <c r="F62" s="2145">
        <f t="shared" si="3"/>
        <v>0</v>
      </c>
      <c r="G62" s="2145">
        <f t="shared" si="8"/>
        <v>0</v>
      </c>
      <c r="H62" s="2145">
        <f>IF(K61&lt;0.01,0,IF(Adm!$S$4=Adm!$S$8,0,K61*Adm!$V$4))</f>
        <v>0</v>
      </c>
      <c r="I62" s="2145">
        <f>IF(K61&lt;0.01,0,IF($I$16&lt;&gt;"",E62*Adm!$O$8,0))</f>
        <v>0</v>
      </c>
      <c r="J62" s="2145">
        <f t="shared" si="4"/>
        <v>0</v>
      </c>
      <c r="K62" s="2145">
        <f t="shared" si="5"/>
        <v>0</v>
      </c>
      <c r="L62" s="2146"/>
      <c r="W62" s="1352">
        <f t="shared" si="9"/>
        <v>9</v>
      </c>
      <c r="X62" s="1367">
        <f>IF(W62=1,Cal!$AC$127,0)</f>
        <v>0</v>
      </c>
      <c r="Z62" s="1153"/>
      <c r="AC62" s="1375">
        <f t="shared" si="12"/>
        <v>0</v>
      </c>
      <c r="AD62" s="1373">
        <f t="shared" si="13"/>
        <v>0</v>
      </c>
      <c r="AE62" s="1373">
        <f t="shared" si="14"/>
        <v>0</v>
      </c>
      <c r="AF62" s="1373">
        <f t="shared" si="11"/>
        <v>0</v>
      </c>
      <c r="AG62" s="1371">
        <f t="shared" si="10"/>
        <v>0</v>
      </c>
      <c r="AH62" s="1359" t="e">
        <f>HLOOKUP($AH$13,liquidez,46,0)</f>
        <v>#N/A</v>
      </c>
      <c r="AJ62" s="1360">
        <f>Captura!AI132</f>
        <v>0</v>
      </c>
    </row>
    <row r="63" spans="1:36">
      <c r="A63" s="1118">
        <f t="shared" ca="1" si="0"/>
        <v>1</v>
      </c>
      <c r="B63" s="1101">
        <f t="shared" si="1"/>
        <v>0</v>
      </c>
      <c r="C63" s="2149">
        <f t="shared" si="2"/>
        <v>0</v>
      </c>
      <c r="D63" s="2150">
        <f t="shared" si="6"/>
        <v>0</v>
      </c>
      <c r="E63" s="2145">
        <f t="shared" si="7"/>
        <v>0</v>
      </c>
      <c r="F63" s="2145">
        <f t="shared" si="3"/>
        <v>0</v>
      </c>
      <c r="G63" s="2145">
        <f t="shared" si="8"/>
        <v>0</v>
      </c>
      <c r="H63" s="2145">
        <f>IF(K62&lt;0.01,0,IF(Adm!$S$4=Adm!$S$8,0,K62*Adm!$V$4))</f>
        <v>0</v>
      </c>
      <c r="I63" s="2145">
        <f>IF(K62&lt;0.01,0,IF($I$16&lt;&gt;"",E63*Adm!$O$8,0))</f>
        <v>0</v>
      </c>
      <c r="J63" s="2145">
        <f t="shared" si="4"/>
        <v>0</v>
      </c>
      <c r="K63" s="2145">
        <f t="shared" si="5"/>
        <v>0</v>
      </c>
      <c r="L63" s="2146"/>
      <c r="W63" s="1352">
        <f t="shared" si="9"/>
        <v>10</v>
      </c>
      <c r="X63" s="1367">
        <f>IF(W63=1,Cal!$AC$127,0)</f>
        <v>0</v>
      </c>
      <c r="Z63" s="1153"/>
      <c r="AC63" s="1375">
        <f t="shared" si="12"/>
        <v>0</v>
      </c>
      <c r="AD63" s="1373">
        <f t="shared" si="13"/>
        <v>0</v>
      </c>
      <c r="AE63" s="1373">
        <f t="shared" si="14"/>
        <v>0</v>
      </c>
      <c r="AF63" s="1373">
        <f t="shared" si="11"/>
        <v>0</v>
      </c>
      <c r="AG63" s="1371">
        <f t="shared" si="10"/>
        <v>0</v>
      </c>
      <c r="AH63" s="1359" t="e">
        <f>HLOOKUP($AH$13,liquidez,47,0)</f>
        <v>#N/A</v>
      </c>
      <c r="AJ63" s="1360">
        <f>Captura!AI133</f>
        <v>0</v>
      </c>
    </row>
    <row r="64" spans="1:36">
      <c r="A64" s="1118">
        <f t="shared" ca="1" si="0"/>
        <v>2</v>
      </c>
      <c r="B64" s="1101">
        <f t="shared" si="1"/>
        <v>0</v>
      </c>
      <c r="C64" s="2149">
        <f t="shared" si="2"/>
        <v>0</v>
      </c>
      <c r="D64" s="2150">
        <f t="shared" si="6"/>
        <v>0</v>
      </c>
      <c r="E64" s="2145">
        <f t="shared" si="7"/>
        <v>0</v>
      </c>
      <c r="F64" s="2145">
        <f t="shared" si="3"/>
        <v>0</v>
      </c>
      <c r="G64" s="2145">
        <f t="shared" si="8"/>
        <v>0</v>
      </c>
      <c r="H64" s="2145">
        <f>IF(K63&lt;0.01,0,IF(Adm!$S$4=Adm!$S$8,0,K63*Adm!$V$4))</f>
        <v>0</v>
      </c>
      <c r="I64" s="2145">
        <f>IF(K63&lt;0.01,0,IF($I$16&lt;&gt;"",E64*Adm!$O$8,0))</f>
        <v>0</v>
      </c>
      <c r="J64" s="2145">
        <f t="shared" si="4"/>
        <v>0</v>
      </c>
      <c r="K64" s="2145">
        <f t="shared" si="5"/>
        <v>0</v>
      </c>
      <c r="L64" s="2146"/>
      <c r="W64" s="1352">
        <f t="shared" si="9"/>
        <v>11</v>
      </c>
      <c r="X64" s="1367">
        <f>IF(W64=1,Cal!$AC$127,0)</f>
        <v>0</v>
      </c>
      <c r="Z64" s="1153"/>
      <c r="AC64" s="1375">
        <f t="shared" si="12"/>
        <v>0</v>
      </c>
      <c r="AD64" s="1373">
        <f t="shared" si="13"/>
        <v>0</v>
      </c>
      <c r="AE64" s="1373">
        <f t="shared" si="14"/>
        <v>0</v>
      </c>
      <c r="AF64" s="1373">
        <f t="shared" si="11"/>
        <v>0</v>
      </c>
      <c r="AG64" s="1371">
        <f t="shared" si="10"/>
        <v>0</v>
      </c>
      <c r="AH64" s="1359" t="e">
        <f>HLOOKUP($AH$13,liquidez,48,0)</f>
        <v>#N/A</v>
      </c>
      <c r="AJ64" s="1360">
        <f>Captura!AI134</f>
        <v>0</v>
      </c>
    </row>
    <row r="65" spans="1:36">
      <c r="A65" s="1118">
        <f t="shared" ca="1" si="0"/>
        <v>3</v>
      </c>
      <c r="B65" s="1101">
        <f t="shared" si="1"/>
        <v>0</v>
      </c>
      <c r="C65" s="2149">
        <f t="shared" si="2"/>
        <v>0</v>
      </c>
      <c r="D65" s="2150">
        <f t="shared" si="6"/>
        <v>0</v>
      </c>
      <c r="E65" s="2145">
        <f t="shared" si="7"/>
        <v>0</v>
      </c>
      <c r="F65" s="2145">
        <f t="shared" si="3"/>
        <v>0</v>
      </c>
      <c r="G65" s="2145">
        <f t="shared" si="8"/>
        <v>0</v>
      </c>
      <c r="H65" s="2145">
        <f>IF(K64&lt;0.01,0,IF(Adm!$S$4=Adm!$S$8,0,K64*Adm!$V$4))</f>
        <v>0</v>
      </c>
      <c r="I65" s="2145">
        <f>IF(K64&lt;0.01,0,IF($I$16&lt;&gt;"",E65*Adm!$O$8,0))</f>
        <v>0</v>
      </c>
      <c r="J65" s="2145">
        <f t="shared" si="4"/>
        <v>0</v>
      </c>
      <c r="K65" s="2145">
        <f t="shared" si="5"/>
        <v>0</v>
      </c>
      <c r="L65" s="2146"/>
      <c r="W65" s="1352">
        <f t="shared" si="9"/>
        <v>12</v>
      </c>
      <c r="X65" s="1367">
        <f>IF(W65=1,Cal!$AC$127,0)</f>
        <v>0</v>
      </c>
      <c r="Z65" s="1153"/>
      <c r="AC65" s="1375">
        <f t="shared" si="12"/>
        <v>0</v>
      </c>
      <c r="AD65" s="1373">
        <f t="shared" si="13"/>
        <v>0</v>
      </c>
      <c r="AE65" s="1373">
        <f t="shared" si="14"/>
        <v>0</v>
      </c>
      <c r="AF65" s="1373">
        <f t="shared" si="11"/>
        <v>0</v>
      </c>
      <c r="AG65" s="1371">
        <f t="shared" si="10"/>
        <v>0</v>
      </c>
      <c r="AH65" s="1359" t="e">
        <f>HLOOKUP($AH$13,liquidez,49,0)</f>
        <v>#N/A</v>
      </c>
      <c r="AJ65" s="1360">
        <f>Captura!AI135</f>
        <v>0</v>
      </c>
    </row>
    <row r="66" spans="1:36">
      <c r="A66" s="1118">
        <f t="shared" ca="1" si="0"/>
        <v>4</v>
      </c>
      <c r="B66" s="1101">
        <f t="shared" si="1"/>
        <v>0</v>
      </c>
      <c r="C66" s="2149">
        <f t="shared" si="2"/>
        <v>0</v>
      </c>
      <c r="D66" s="2150">
        <f t="shared" si="6"/>
        <v>0</v>
      </c>
      <c r="E66" s="2145">
        <f t="shared" si="7"/>
        <v>0</v>
      </c>
      <c r="F66" s="2145">
        <f t="shared" si="3"/>
        <v>0</v>
      </c>
      <c r="G66" s="2145">
        <f t="shared" si="8"/>
        <v>0</v>
      </c>
      <c r="H66" s="2145">
        <f>IF(K65&lt;0.01,0,IF(Adm!$S$4=Adm!$S$8,0,K65*Adm!$V$4))</f>
        <v>0</v>
      </c>
      <c r="I66" s="2145">
        <f>IF(K65&lt;0.01,0,IF($I$16&lt;&gt;"",E66*Adm!$O$8,0))</f>
        <v>0</v>
      </c>
      <c r="J66" s="2145">
        <f t="shared" si="4"/>
        <v>0</v>
      </c>
      <c r="K66" s="2145">
        <f t="shared" si="5"/>
        <v>0</v>
      </c>
      <c r="L66" s="2146"/>
      <c r="W66" s="1352">
        <f t="shared" si="9"/>
        <v>1</v>
      </c>
      <c r="X66" s="1367">
        <f>IF(W66=1,Cal!$AC$127,0)</f>
        <v>0</v>
      </c>
      <c r="Z66" s="1153"/>
      <c r="AC66" s="1375">
        <f t="shared" si="12"/>
        <v>0</v>
      </c>
      <c r="AD66" s="1373">
        <f t="shared" si="13"/>
        <v>0</v>
      </c>
      <c r="AE66" s="1373">
        <f t="shared" si="14"/>
        <v>0</v>
      </c>
      <c r="AF66" s="1373">
        <f t="shared" si="11"/>
        <v>0</v>
      </c>
      <c r="AG66" s="1371">
        <f t="shared" si="10"/>
        <v>0</v>
      </c>
      <c r="AH66" s="1359" t="e">
        <f>HLOOKUP($AH$13,liquidez,50,0)</f>
        <v>#N/A</v>
      </c>
      <c r="AJ66" s="1360">
        <f>Captura!AI136</f>
        <v>0</v>
      </c>
    </row>
    <row r="67" spans="1:36">
      <c r="A67" s="1118">
        <f t="shared" ca="1" si="0"/>
        <v>5</v>
      </c>
      <c r="B67" s="1101">
        <f t="shared" si="1"/>
        <v>0</v>
      </c>
      <c r="C67" s="2149">
        <f t="shared" si="2"/>
        <v>0</v>
      </c>
      <c r="D67" s="2150">
        <f t="shared" si="6"/>
        <v>0</v>
      </c>
      <c r="E67" s="2145">
        <f t="shared" si="7"/>
        <v>0</v>
      </c>
      <c r="F67" s="2145">
        <f t="shared" si="3"/>
        <v>0</v>
      </c>
      <c r="G67" s="2145">
        <f t="shared" si="8"/>
        <v>0</v>
      </c>
      <c r="H67" s="2145">
        <f>IF(K66&lt;0.01,0,IF(Adm!$S$4=Adm!$S$8,0,K66*Adm!$V$4))</f>
        <v>0</v>
      </c>
      <c r="I67" s="2145">
        <f>IF(K66&lt;0.01,0,IF($I$16&lt;&gt;"",E67*Adm!$O$8,0))</f>
        <v>0</v>
      </c>
      <c r="J67" s="2145">
        <f t="shared" si="4"/>
        <v>0</v>
      </c>
      <c r="K67" s="2145">
        <f t="shared" si="5"/>
        <v>0</v>
      </c>
      <c r="L67" s="2146"/>
      <c r="W67" s="1352">
        <f t="shared" si="9"/>
        <v>2</v>
      </c>
      <c r="X67" s="1367">
        <f>IF(W67=1,Cal!$AC$127,0)</f>
        <v>0</v>
      </c>
      <c r="Z67" s="1153"/>
      <c r="AC67" s="1375">
        <f t="shared" si="12"/>
        <v>0</v>
      </c>
      <c r="AD67" s="1373">
        <f t="shared" si="13"/>
        <v>0</v>
      </c>
      <c r="AE67" s="1373">
        <f t="shared" si="14"/>
        <v>0</v>
      </c>
      <c r="AF67" s="1373">
        <f t="shared" si="11"/>
        <v>0</v>
      </c>
      <c r="AG67" s="1371">
        <f t="shared" si="10"/>
        <v>0</v>
      </c>
      <c r="AH67" s="1359" t="e">
        <f>HLOOKUP($AH$13,liquidez,51,0)</f>
        <v>#N/A</v>
      </c>
      <c r="AJ67" s="1360">
        <f>Captura!AI137</f>
        <v>0</v>
      </c>
    </row>
    <row r="68" spans="1:36">
      <c r="A68" s="1118">
        <f t="shared" ca="1" si="0"/>
        <v>6</v>
      </c>
      <c r="B68" s="1101">
        <f t="shared" si="1"/>
        <v>0</v>
      </c>
      <c r="C68" s="2149">
        <f t="shared" si="2"/>
        <v>0</v>
      </c>
      <c r="D68" s="2150">
        <f t="shared" si="6"/>
        <v>0</v>
      </c>
      <c r="E68" s="2145">
        <f t="shared" si="7"/>
        <v>0</v>
      </c>
      <c r="F68" s="2145">
        <f t="shared" si="3"/>
        <v>0</v>
      </c>
      <c r="G68" s="2145">
        <f t="shared" si="8"/>
        <v>0</v>
      </c>
      <c r="H68" s="2145">
        <f>IF(K67&lt;0.01,0,IF(Adm!$S$4=Adm!$S$8,0,K67*Adm!$V$4))</f>
        <v>0</v>
      </c>
      <c r="I68" s="2145">
        <f>IF(K67&lt;0.01,0,IF($I$16&lt;&gt;"",E68*Adm!$O$8,0))</f>
        <v>0</v>
      </c>
      <c r="J68" s="2145">
        <f t="shared" si="4"/>
        <v>0</v>
      </c>
      <c r="K68" s="2145">
        <f t="shared" si="5"/>
        <v>0</v>
      </c>
      <c r="L68" s="2146"/>
      <c r="W68" s="1352">
        <f t="shared" si="9"/>
        <v>3</v>
      </c>
      <c r="X68" s="1367">
        <f>IF(W68=1,Cal!$AC$127,0)</f>
        <v>0</v>
      </c>
      <c r="Z68" s="1153"/>
      <c r="AC68" s="1375">
        <f t="shared" si="12"/>
        <v>0</v>
      </c>
      <c r="AD68" s="1373">
        <f t="shared" si="13"/>
        <v>0</v>
      </c>
      <c r="AE68" s="1373">
        <f t="shared" si="14"/>
        <v>0</v>
      </c>
      <c r="AF68" s="1373">
        <f t="shared" si="11"/>
        <v>0</v>
      </c>
      <c r="AG68" s="1371">
        <f t="shared" si="10"/>
        <v>0</v>
      </c>
      <c r="AH68" s="1359" t="e">
        <f>HLOOKUP($AH$13,liquidez,52,0)</f>
        <v>#N/A</v>
      </c>
      <c r="AJ68" s="1360">
        <f>Captura!AI138</f>
        <v>0</v>
      </c>
    </row>
    <row r="69" spans="1:36">
      <c r="A69" s="1118">
        <f t="shared" ca="1" si="0"/>
        <v>7</v>
      </c>
      <c r="B69" s="1101">
        <f t="shared" si="1"/>
        <v>0</v>
      </c>
      <c r="C69" s="2149">
        <f t="shared" si="2"/>
        <v>0</v>
      </c>
      <c r="D69" s="2150">
        <f t="shared" si="6"/>
        <v>0</v>
      </c>
      <c r="E69" s="2145">
        <f t="shared" si="7"/>
        <v>0</v>
      </c>
      <c r="F69" s="2145">
        <f t="shared" si="3"/>
        <v>0</v>
      </c>
      <c r="G69" s="2145">
        <f t="shared" si="8"/>
        <v>0</v>
      </c>
      <c r="H69" s="2145">
        <f>IF(K68&lt;0.01,0,IF(Adm!$S$4=Adm!$S$8,0,K68*Adm!$V$4))</f>
        <v>0</v>
      </c>
      <c r="I69" s="2145">
        <f>IF(K68&lt;0.01,0,IF($I$16&lt;&gt;"",E69*Adm!$O$8,0))</f>
        <v>0</v>
      </c>
      <c r="J69" s="2145">
        <f t="shared" si="4"/>
        <v>0</v>
      </c>
      <c r="K69" s="2145">
        <f t="shared" si="5"/>
        <v>0</v>
      </c>
      <c r="L69" s="2146"/>
      <c r="W69" s="1352">
        <f t="shared" si="9"/>
        <v>4</v>
      </c>
      <c r="X69" s="1367">
        <f>IF(W69=1,Cal!$AC$127,0)</f>
        <v>0</v>
      </c>
      <c r="Z69" s="1153"/>
      <c r="AC69" s="1375">
        <f t="shared" si="12"/>
        <v>0</v>
      </c>
      <c r="AD69" s="1373">
        <f t="shared" si="13"/>
        <v>0</v>
      </c>
      <c r="AE69" s="1373">
        <f t="shared" si="14"/>
        <v>0</v>
      </c>
      <c r="AF69" s="1373">
        <f t="shared" si="11"/>
        <v>0</v>
      </c>
      <c r="AG69" s="1371">
        <f t="shared" si="10"/>
        <v>0</v>
      </c>
      <c r="AH69" s="1359" t="e">
        <f>HLOOKUP($AH$13,liquidez,53,0)</f>
        <v>#N/A</v>
      </c>
      <c r="AJ69" s="1360">
        <f>Captura!AI139</f>
        <v>0</v>
      </c>
    </row>
    <row r="70" spans="1:36">
      <c r="A70" s="1118">
        <f t="shared" ca="1" si="0"/>
        <v>8</v>
      </c>
      <c r="B70" s="1101">
        <f t="shared" si="1"/>
        <v>0</v>
      </c>
      <c r="C70" s="2149">
        <f t="shared" si="2"/>
        <v>0</v>
      </c>
      <c r="D70" s="2150">
        <f t="shared" si="6"/>
        <v>0</v>
      </c>
      <c r="E70" s="2145">
        <f t="shared" si="7"/>
        <v>0</v>
      </c>
      <c r="F70" s="2145">
        <f t="shared" si="3"/>
        <v>0</v>
      </c>
      <c r="G70" s="2145">
        <f t="shared" si="8"/>
        <v>0</v>
      </c>
      <c r="H70" s="2145">
        <f>IF(K69&lt;0.01,0,IF(Adm!$S$4=Adm!$S$8,0,K69*Adm!$V$4))</f>
        <v>0</v>
      </c>
      <c r="I70" s="2145">
        <f>IF(K69&lt;0.01,0,IF($I$16&lt;&gt;"",E70*Adm!$O$8,0))</f>
        <v>0</v>
      </c>
      <c r="J70" s="2145">
        <f t="shared" si="4"/>
        <v>0</v>
      </c>
      <c r="K70" s="2145">
        <f t="shared" si="5"/>
        <v>0</v>
      </c>
      <c r="L70" s="2146"/>
      <c r="W70" s="1352">
        <f t="shared" si="9"/>
        <v>5</v>
      </c>
      <c r="X70" s="1367">
        <f>IF(W70=1,Cal!$AC$127,0)</f>
        <v>0</v>
      </c>
      <c r="Z70" s="1153"/>
      <c r="AC70" s="1375">
        <f t="shared" si="12"/>
        <v>0</v>
      </c>
      <c r="AD70" s="1373">
        <f t="shared" si="13"/>
        <v>0</v>
      </c>
      <c r="AE70" s="1373">
        <f t="shared" si="14"/>
        <v>0</v>
      </c>
      <c r="AF70" s="1373">
        <f t="shared" si="11"/>
        <v>0</v>
      </c>
      <c r="AG70" s="1371">
        <f t="shared" si="10"/>
        <v>0</v>
      </c>
      <c r="AH70" s="1359" t="e">
        <f>HLOOKUP($AH$13,liquidez,54,0)</f>
        <v>#N/A</v>
      </c>
      <c r="AJ70" s="1360">
        <f>Captura!AI140</f>
        <v>0</v>
      </c>
    </row>
    <row r="71" spans="1:36">
      <c r="A71" s="1118">
        <f t="shared" ca="1" si="0"/>
        <v>9</v>
      </c>
      <c r="B71" s="1101">
        <f t="shared" si="1"/>
        <v>0</v>
      </c>
      <c r="C71" s="2149">
        <f t="shared" si="2"/>
        <v>0</v>
      </c>
      <c r="D71" s="2150">
        <f t="shared" si="6"/>
        <v>0</v>
      </c>
      <c r="E71" s="2145">
        <f t="shared" si="7"/>
        <v>0</v>
      </c>
      <c r="F71" s="2145">
        <f t="shared" si="3"/>
        <v>0</v>
      </c>
      <c r="G71" s="2145">
        <f t="shared" si="8"/>
        <v>0</v>
      </c>
      <c r="H71" s="2145">
        <f>IF(K70&lt;0.01,0,IF(Adm!$S$4=Adm!$S$8,0,K70*Adm!$V$4))</f>
        <v>0</v>
      </c>
      <c r="I71" s="2145">
        <f>IF(K70&lt;0.01,0,IF($I$16&lt;&gt;"",E71*Adm!$O$8,0))</f>
        <v>0</v>
      </c>
      <c r="J71" s="2145">
        <f t="shared" si="4"/>
        <v>0</v>
      </c>
      <c r="K71" s="2145">
        <f t="shared" si="5"/>
        <v>0</v>
      </c>
      <c r="L71" s="2146"/>
      <c r="W71" s="1352">
        <f t="shared" si="9"/>
        <v>6</v>
      </c>
      <c r="X71" s="1367">
        <f>IF(W71=1,Cal!$AC$127,0)</f>
        <v>0</v>
      </c>
      <c r="Z71" s="1153"/>
      <c r="AC71" s="1375">
        <f t="shared" si="12"/>
        <v>0</v>
      </c>
      <c r="AD71" s="1373">
        <f t="shared" si="13"/>
        <v>0</v>
      </c>
      <c r="AE71" s="1373">
        <f t="shared" si="14"/>
        <v>0</v>
      </c>
      <c r="AF71" s="1373">
        <f t="shared" si="11"/>
        <v>0</v>
      </c>
      <c r="AG71" s="1371">
        <f t="shared" si="10"/>
        <v>0</v>
      </c>
      <c r="AH71" s="1359" t="e">
        <f>HLOOKUP($AH$13,liquidez,55,0)</f>
        <v>#N/A</v>
      </c>
      <c r="AJ71" s="1360">
        <f>Captura!AI141</f>
        <v>0</v>
      </c>
    </row>
    <row r="72" spans="1:36">
      <c r="A72" s="1118">
        <f t="shared" ca="1" si="0"/>
        <v>10</v>
      </c>
      <c r="B72" s="1101">
        <f t="shared" si="1"/>
        <v>0</v>
      </c>
      <c r="C72" s="2149">
        <f t="shared" si="2"/>
        <v>0</v>
      </c>
      <c r="D72" s="2150">
        <f t="shared" si="6"/>
        <v>0</v>
      </c>
      <c r="E72" s="2145">
        <f t="shared" si="7"/>
        <v>0</v>
      </c>
      <c r="F72" s="2145">
        <f t="shared" si="3"/>
        <v>0</v>
      </c>
      <c r="G72" s="2145">
        <f t="shared" si="8"/>
        <v>0</v>
      </c>
      <c r="H72" s="2145">
        <f>IF(K71&lt;0.01,0,IF(Adm!$S$4=Adm!$S$8,0,K71*Adm!$V$4))</f>
        <v>0</v>
      </c>
      <c r="I72" s="2145">
        <f>IF(K71&lt;0.01,0,IF($I$16&lt;&gt;"",E72*Adm!$O$8,0))</f>
        <v>0</v>
      </c>
      <c r="J72" s="2145">
        <f t="shared" si="4"/>
        <v>0</v>
      </c>
      <c r="K72" s="2145">
        <f t="shared" si="5"/>
        <v>0</v>
      </c>
      <c r="L72" s="2146"/>
      <c r="W72" s="1352">
        <f t="shared" si="9"/>
        <v>7</v>
      </c>
      <c r="X72" s="1367">
        <f>IF(W72=1,Cal!$AC$127,0)</f>
        <v>0</v>
      </c>
      <c r="Z72" s="1153"/>
      <c r="AC72" s="1375">
        <f t="shared" si="12"/>
        <v>0</v>
      </c>
      <c r="AD72" s="1373">
        <f t="shared" si="13"/>
        <v>0</v>
      </c>
      <c r="AE72" s="1373">
        <f t="shared" si="14"/>
        <v>0</v>
      </c>
      <c r="AF72" s="1373">
        <f t="shared" si="11"/>
        <v>0</v>
      </c>
      <c r="AG72" s="1371">
        <f t="shared" si="10"/>
        <v>0</v>
      </c>
      <c r="AH72" s="1359" t="e">
        <f>HLOOKUP($AH$13,liquidez,56,0)</f>
        <v>#N/A</v>
      </c>
      <c r="AJ72" s="1360">
        <f>Captura!AI142</f>
        <v>0</v>
      </c>
    </row>
    <row r="73" spans="1:36">
      <c r="A73" s="1118">
        <f t="shared" ca="1" si="0"/>
        <v>11</v>
      </c>
      <c r="B73" s="1101">
        <f t="shared" si="1"/>
        <v>0</v>
      </c>
      <c r="C73" s="2149">
        <f t="shared" si="2"/>
        <v>0</v>
      </c>
      <c r="D73" s="2150">
        <f t="shared" si="6"/>
        <v>0</v>
      </c>
      <c r="E73" s="2145">
        <f t="shared" si="7"/>
        <v>0</v>
      </c>
      <c r="F73" s="2145">
        <f t="shared" si="3"/>
        <v>0</v>
      </c>
      <c r="G73" s="2145">
        <f t="shared" si="8"/>
        <v>0</v>
      </c>
      <c r="H73" s="2145">
        <f>IF(K72&lt;0.01,0,IF(Adm!$S$4=Adm!$S$8,0,K72*Adm!$V$4))</f>
        <v>0</v>
      </c>
      <c r="I73" s="2145">
        <f>IF(K72&lt;0.01,0,IF($I$16&lt;&gt;"",E73*Adm!$O$8,0))</f>
        <v>0</v>
      </c>
      <c r="J73" s="2145">
        <f t="shared" si="4"/>
        <v>0</v>
      </c>
      <c r="K73" s="2145">
        <f t="shared" si="5"/>
        <v>0</v>
      </c>
      <c r="L73" s="2146"/>
      <c r="W73" s="1352">
        <f t="shared" si="9"/>
        <v>8</v>
      </c>
      <c r="X73" s="1367">
        <f>IF(W73=1,Cal!$AC$127,0)</f>
        <v>0</v>
      </c>
      <c r="Z73" s="1153"/>
      <c r="AC73" s="1375">
        <f t="shared" si="12"/>
        <v>0</v>
      </c>
      <c r="AD73" s="1373">
        <f t="shared" si="13"/>
        <v>0</v>
      </c>
      <c r="AE73" s="1373">
        <f t="shared" si="14"/>
        <v>0</v>
      </c>
      <c r="AF73" s="1373">
        <f t="shared" si="11"/>
        <v>0</v>
      </c>
      <c r="AG73" s="1371">
        <f t="shared" si="10"/>
        <v>0</v>
      </c>
      <c r="AH73" s="1359" t="e">
        <f>HLOOKUP($AH$13,liquidez,57,0)</f>
        <v>#N/A</v>
      </c>
      <c r="AJ73" s="1360">
        <f>Captura!AI143</f>
        <v>0</v>
      </c>
    </row>
    <row r="74" spans="1:36">
      <c r="A74" s="1118">
        <f t="shared" ca="1" si="0"/>
        <v>12</v>
      </c>
      <c r="B74" s="1101">
        <f t="shared" si="1"/>
        <v>0</v>
      </c>
      <c r="C74" s="2149">
        <f t="shared" si="2"/>
        <v>0</v>
      </c>
      <c r="D74" s="2150">
        <f t="shared" si="6"/>
        <v>0</v>
      </c>
      <c r="E74" s="2145">
        <f t="shared" si="7"/>
        <v>0</v>
      </c>
      <c r="F74" s="2145">
        <f t="shared" si="3"/>
        <v>0</v>
      </c>
      <c r="G74" s="2145">
        <f t="shared" si="8"/>
        <v>0</v>
      </c>
      <c r="H74" s="2145">
        <f>IF(K73&lt;0.01,0,IF(Adm!$S$4=Adm!$S$8,0,K73*Adm!$V$4))</f>
        <v>0</v>
      </c>
      <c r="I74" s="2145">
        <f>IF(K73&lt;0.01,0,IF($I$16&lt;&gt;"",E74*Adm!$O$8,0))</f>
        <v>0</v>
      </c>
      <c r="J74" s="2145">
        <f t="shared" si="4"/>
        <v>0</v>
      </c>
      <c r="K74" s="2145">
        <f t="shared" si="5"/>
        <v>0</v>
      </c>
      <c r="L74" s="2146"/>
      <c r="W74" s="1352">
        <f t="shared" si="9"/>
        <v>9</v>
      </c>
      <c r="X74" s="1367">
        <f>IF(W74=1,Cal!$AC$127,0)</f>
        <v>0</v>
      </c>
      <c r="Z74" s="1153"/>
      <c r="AC74" s="1375">
        <f t="shared" si="12"/>
        <v>0</v>
      </c>
      <c r="AD74" s="1373">
        <f t="shared" si="13"/>
        <v>0</v>
      </c>
      <c r="AE74" s="1373">
        <f t="shared" si="14"/>
        <v>0</v>
      </c>
      <c r="AF74" s="1373">
        <f t="shared" si="11"/>
        <v>0</v>
      </c>
      <c r="AG74" s="1371">
        <f t="shared" si="10"/>
        <v>0</v>
      </c>
      <c r="AH74" s="1359" t="e">
        <f>HLOOKUP($AH$13,liquidez,58,0)</f>
        <v>#N/A</v>
      </c>
      <c r="AJ74" s="1360">
        <f>Captura!AI144</f>
        <v>0</v>
      </c>
    </row>
    <row r="75" spans="1:36">
      <c r="A75" s="1118">
        <f t="shared" ca="1" si="0"/>
        <v>1</v>
      </c>
      <c r="B75" s="1101">
        <f t="shared" si="1"/>
        <v>0</v>
      </c>
      <c r="C75" s="2149">
        <f t="shared" si="2"/>
        <v>0</v>
      </c>
      <c r="D75" s="2150">
        <f t="shared" si="6"/>
        <v>0</v>
      </c>
      <c r="E75" s="2145">
        <f t="shared" si="7"/>
        <v>0</v>
      </c>
      <c r="F75" s="2145">
        <f t="shared" si="3"/>
        <v>0</v>
      </c>
      <c r="G75" s="2145">
        <f t="shared" si="8"/>
        <v>0</v>
      </c>
      <c r="H75" s="2145">
        <f>IF(K74&lt;0.01,0,IF(Adm!$S$4=Adm!$S$8,0,K74*Adm!$V$4))</f>
        <v>0</v>
      </c>
      <c r="I75" s="2145">
        <f>IF(K74&lt;0.01,0,IF($I$16&lt;&gt;"",E75*Adm!$O$8,0))</f>
        <v>0</v>
      </c>
      <c r="J75" s="2145">
        <f t="shared" si="4"/>
        <v>0</v>
      </c>
      <c r="K75" s="2145">
        <f t="shared" si="5"/>
        <v>0</v>
      </c>
      <c r="L75" s="2146"/>
      <c r="W75" s="1352">
        <f t="shared" si="9"/>
        <v>10</v>
      </c>
      <c r="X75" s="1367">
        <f>IF(W75=1,Cal!$AC$127,0)</f>
        <v>0</v>
      </c>
      <c r="Z75" s="1153"/>
      <c r="AC75" s="1375">
        <f t="shared" si="12"/>
        <v>0</v>
      </c>
      <c r="AD75" s="1373">
        <f t="shared" si="13"/>
        <v>0</v>
      </c>
      <c r="AE75" s="1373">
        <f t="shared" si="14"/>
        <v>0</v>
      </c>
      <c r="AF75" s="1373">
        <f t="shared" si="11"/>
        <v>0</v>
      </c>
      <c r="AG75" s="1371">
        <f t="shared" si="10"/>
        <v>0</v>
      </c>
      <c r="AH75" s="1359" t="e">
        <f>HLOOKUP($AH$13,liquidez,59,0)</f>
        <v>#N/A</v>
      </c>
      <c r="AJ75" s="1360">
        <f>Captura!AI145</f>
        <v>0</v>
      </c>
    </row>
    <row r="76" spans="1:36">
      <c r="A76" s="1118">
        <f t="shared" ca="1" si="0"/>
        <v>2</v>
      </c>
      <c r="B76" s="1101">
        <f t="shared" si="1"/>
        <v>0</v>
      </c>
      <c r="C76" s="2149">
        <f t="shared" si="2"/>
        <v>0</v>
      </c>
      <c r="D76" s="2150">
        <f t="shared" si="6"/>
        <v>0</v>
      </c>
      <c r="E76" s="2145">
        <f t="shared" si="7"/>
        <v>0</v>
      </c>
      <c r="F76" s="2145">
        <f t="shared" si="3"/>
        <v>0</v>
      </c>
      <c r="G76" s="2145">
        <f t="shared" si="8"/>
        <v>0</v>
      </c>
      <c r="H76" s="2145">
        <f>IF(K75&lt;0.01,0,IF(Adm!$S$4=Adm!$S$8,0,K75*Adm!$V$4))</f>
        <v>0</v>
      </c>
      <c r="I76" s="2145">
        <f>IF(K75&lt;0.01,0,IF($I$16&lt;&gt;"",E76*Adm!$O$8,0))</f>
        <v>0</v>
      </c>
      <c r="J76" s="2145">
        <f t="shared" si="4"/>
        <v>0</v>
      </c>
      <c r="K76" s="2145">
        <f t="shared" si="5"/>
        <v>0</v>
      </c>
      <c r="L76" s="2146"/>
      <c r="W76" s="1352">
        <f t="shared" si="9"/>
        <v>11</v>
      </c>
      <c r="X76" s="1367">
        <f>IF(W76=1,Cal!$AC$127,0)</f>
        <v>0</v>
      </c>
      <c r="Z76" s="1153"/>
      <c r="AC76" s="1375">
        <f t="shared" si="12"/>
        <v>0</v>
      </c>
      <c r="AD76" s="1373">
        <f t="shared" si="13"/>
        <v>0</v>
      </c>
      <c r="AE76" s="1373">
        <f t="shared" si="14"/>
        <v>0</v>
      </c>
      <c r="AF76" s="1373">
        <f t="shared" si="11"/>
        <v>0</v>
      </c>
      <c r="AG76" s="1371">
        <f t="shared" si="10"/>
        <v>0</v>
      </c>
      <c r="AH76" s="1359" t="e">
        <f>HLOOKUP($AH$13,liquidez,60,0)</f>
        <v>#N/A</v>
      </c>
      <c r="AJ76" s="1360">
        <f>Captura!AI146</f>
        <v>0</v>
      </c>
    </row>
    <row r="77" spans="1:36">
      <c r="A77" s="1118">
        <f t="shared" ca="1" si="0"/>
        <v>3</v>
      </c>
      <c r="B77" s="1101">
        <f t="shared" si="1"/>
        <v>0</v>
      </c>
      <c r="C77" s="2149">
        <f t="shared" si="2"/>
        <v>0</v>
      </c>
      <c r="D77" s="2150">
        <f t="shared" si="6"/>
        <v>0</v>
      </c>
      <c r="E77" s="2145">
        <f t="shared" si="7"/>
        <v>0</v>
      </c>
      <c r="F77" s="2145">
        <f t="shared" si="3"/>
        <v>0</v>
      </c>
      <c r="G77" s="2145">
        <f t="shared" si="8"/>
        <v>0</v>
      </c>
      <c r="H77" s="2145">
        <f>IF(K76&lt;0.01,0,IF(Adm!$S$4=Adm!$S$8,0,K76*Adm!$V$4))</f>
        <v>0</v>
      </c>
      <c r="I77" s="2145">
        <f>IF(K76&lt;0.01,0,IF($I$16&lt;&gt;"",E77*Adm!$O$8,0))</f>
        <v>0</v>
      </c>
      <c r="J77" s="2145">
        <f t="shared" si="4"/>
        <v>0</v>
      </c>
      <c r="K77" s="2145">
        <f t="shared" si="5"/>
        <v>0</v>
      </c>
      <c r="L77" s="2146"/>
      <c r="W77" s="1352">
        <f t="shared" si="9"/>
        <v>12</v>
      </c>
      <c r="X77" s="1367">
        <f>IF(W77=1,Cal!$AC$127,0)</f>
        <v>0</v>
      </c>
      <c r="Z77" s="1153"/>
      <c r="AC77" s="1375">
        <f t="shared" si="12"/>
        <v>0</v>
      </c>
      <c r="AD77" s="1373">
        <f t="shared" si="13"/>
        <v>0</v>
      </c>
      <c r="AE77" s="1373">
        <f t="shared" si="14"/>
        <v>0</v>
      </c>
      <c r="AF77" s="1373">
        <f t="shared" si="11"/>
        <v>0</v>
      </c>
      <c r="AG77" s="1371">
        <f t="shared" si="10"/>
        <v>0</v>
      </c>
      <c r="AH77" s="1359" t="e">
        <f>HLOOKUP($AH$13,liquidez,61,0)</f>
        <v>#N/A</v>
      </c>
      <c r="AJ77" s="1360">
        <f>Captura!AI147</f>
        <v>0</v>
      </c>
    </row>
    <row r="78" spans="1:36">
      <c r="A78" s="1118">
        <f t="shared" ca="1" si="0"/>
        <v>4</v>
      </c>
      <c r="B78" s="1101">
        <f t="shared" si="1"/>
        <v>0</v>
      </c>
      <c r="C78" s="2149">
        <f t="shared" si="2"/>
        <v>0</v>
      </c>
      <c r="D78" s="2150">
        <f t="shared" si="6"/>
        <v>0</v>
      </c>
      <c r="E78" s="2145">
        <f t="shared" si="7"/>
        <v>0</v>
      </c>
      <c r="F78" s="2145">
        <f t="shared" si="3"/>
        <v>0</v>
      </c>
      <c r="G78" s="2145">
        <f t="shared" si="8"/>
        <v>0</v>
      </c>
      <c r="H78" s="2145">
        <f>IF(K77&lt;0.01,0,IF(Adm!$S$4=Adm!$S$8,0,K77*Adm!$V$4))</f>
        <v>0</v>
      </c>
      <c r="I78" s="2145">
        <f>IF(K77&lt;0.01,0,IF($I$16&lt;&gt;"",E78*Adm!$O$8,0))</f>
        <v>0</v>
      </c>
      <c r="J78" s="2145">
        <f t="shared" si="4"/>
        <v>0</v>
      </c>
      <c r="K78" s="2145">
        <f t="shared" si="5"/>
        <v>0</v>
      </c>
      <c r="L78" s="2146"/>
      <c r="W78" s="1352">
        <f t="shared" si="9"/>
        <v>1</v>
      </c>
      <c r="X78" s="1367">
        <f>IF(W78=1,Cal!$AC$127,0)</f>
        <v>0</v>
      </c>
      <c r="Z78" s="1153"/>
      <c r="AC78" s="1375">
        <f t="shared" si="12"/>
        <v>0</v>
      </c>
      <c r="AD78" s="1373">
        <f t="shared" si="13"/>
        <v>0</v>
      </c>
      <c r="AE78" s="1373">
        <f t="shared" si="14"/>
        <v>0</v>
      </c>
      <c r="AF78" s="1373">
        <f t="shared" si="11"/>
        <v>0</v>
      </c>
      <c r="AG78" s="1371">
        <f t="shared" si="10"/>
        <v>0</v>
      </c>
      <c r="AH78" s="1359" t="e">
        <f>HLOOKUP($AH$13,liquidez,62,0)</f>
        <v>#N/A</v>
      </c>
      <c r="AJ78" s="1360">
        <f>Captura!AI148</f>
        <v>0</v>
      </c>
    </row>
    <row r="79" spans="1:36">
      <c r="A79" s="1118">
        <f t="shared" ca="1" si="0"/>
        <v>5</v>
      </c>
      <c r="B79" s="1101">
        <f t="shared" si="1"/>
        <v>0</v>
      </c>
      <c r="C79" s="2149">
        <f t="shared" si="2"/>
        <v>0</v>
      </c>
      <c r="D79" s="2150">
        <f t="shared" si="6"/>
        <v>0</v>
      </c>
      <c r="E79" s="2145">
        <f t="shared" si="7"/>
        <v>0</v>
      </c>
      <c r="F79" s="2145">
        <f t="shared" si="3"/>
        <v>0</v>
      </c>
      <c r="G79" s="2145">
        <f t="shared" si="8"/>
        <v>0</v>
      </c>
      <c r="H79" s="2145">
        <f>IF(K78&lt;0.01,0,IF(Adm!$S$4=Adm!$S$8,0,K78*Adm!$V$4))</f>
        <v>0</v>
      </c>
      <c r="I79" s="2145">
        <f>IF(K78&lt;0.01,0,IF($I$16&lt;&gt;"",E79*Adm!$O$8,0))</f>
        <v>0</v>
      </c>
      <c r="J79" s="2145">
        <f t="shared" si="4"/>
        <v>0</v>
      </c>
      <c r="K79" s="2145">
        <f t="shared" si="5"/>
        <v>0</v>
      </c>
      <c r="L79" s="2146"/>
      <c r="W79" s="1352">
        <f t="shared" si="9"/>
        <v>2</v>
      </c>
      <c r="X79" s="1367">
        <f>IF(W79=1,Cal!$AC$127,0)</f>
        <v>0</v>
      </c>
      <c r="Z79" s="1153"/>
      <c r="AC79" s="1375">
        <f t="shared" si="12"/>
        <v>0</v>
      </c>
      <c r="AD79" s="1373">
        <f t="shared" si="13"/>
        <v>0</v>
      </c>
      <c r="AE79" s="1373">
        <f t="shared" si="14"/>
        <v>0</v>
      </c>
      <c r="AF79" s="1373">
        <f t="shared" si="11"/>
        <v>0</v>
      </c>
      <c r="AG79" s="1371">
        <f t="shared" si="10"/>
        <v>0</v>
      </c>
      <c r="AH79" s="1359" t="e">
        <f>HLOOKUP($AH$13,liquidez,63,0)</f>
        <v>#N/A</v>
      </c>
      <c r="AJ79" s="1360">
        <f>Captura!AI149</f>
        <v>0</v>
      </c>
    </row>
    <row r="80" spans="1:36">
      <c r="A80" s="1118">
        <f t="shared" ca="1" si="0"/>
        <v>6</v>
      </c>
      <c r="B80" s="1101">
        <f t="shared" si="1"/>
        <v>0</v>
      </c>
      <c r="C80" s="2149">
        <f t="shared" si="2"/>
        <v>0</v>
      </c>
      <c r="D80" s="2150">
        <f t="shared" si="6"/>
        <v>0</v>
      </c>
      <c r="E80" s="2145">
        <f t="shared" si="7"/>
        <v>0</v>
      </c>
      <c r="F80" s="2145">
        <f t="shared" si="3"/>
        <v>0</v>
      </c>
      <c r="G80" s="2145">
        <f t="shared" si="8"/>
        <v>0</v>
      </c>
      <c r="H80" s="2145">
        <f>IF(K79&lt;0.01,0,IF(Adm!$S$4=Adm!$S$8,0,K79*Adm!$V$4))</f>
        <v>0</v>
      </c>
      <c r="I80" s="2145">
        <f>IF(K79&lt;0.01,0,IF($I$16&lt;&gt;"",E80*Adm!$O$8,0))</f>
        <v>0</v>
      </c>
      <c r="J80" s="2145">
        <f t="shared" si="4"/>
        <v>0</v>
      </c>
      <c r="K80" s="2145">
        <f t="shared" si="5"/>
        <v>0</v>
      </c>
      <c r="L80" s="2146"/>
      <c r="W80" s="1352">
        <f t="shared" si="9"/>
        <v>3</v>
      </c>
      <c r="X80" s="1367">
        <f>IF(W80=1,Cal!$AC$127,0)</f>
        <v>0</v>
      </c>
      <c r="Z80" s="1153"/>
      <c r="AC80" s="1375">
        <f t="shared" si="12"/>
        <v>0</v>
      </c>
      <c r="AD80" s="1373">
        <f t="shared" si="13"/>
        <v>0</v>
      </c>
      <c r="AE80" s="1373">
        <f t="shared" si="14"/>
        <v>0</v>
      </c>
      <c r="AF80" s="1373">
        <f t="shared" si="11"/>
        <v>0</v>
      </c>
      <c r="AG80" s="1371">
        <f t="shared" si="10"/>
        <v>0</v>
      </c>
      <c r="AH80" s="1359" t="e">
        <f>HLOOKUP($AH$13,liquidez,64,0)</f>
        <v>#N/A</v>
      </c>
      <c r="AJ80" s="1360">
        <f>Captura!AI150</f>
        <v>0</v>
      </c>
    </row>
    <row r="81" spans="1:36">
      <c r="A81" s="1118">
        <f t="shared" ca="1" si="0"/>
        <v>7</v>
      </c>
      <c r="B81" s="1101">
        <f t="shared" si="1"/>
        <v>0</v>
      </c>
      <c r="C81" s="2149">
        <f t="shared" si="2"/>
        <v>0</v>
      </c>
      <c r="D81" s="2150">
        <f t="shared" si="6"/>
        <v>0</v>
      </c>
      <c r="E81" s="2145">
        <f t="shared" si="7"/>
        <v>0</v>
      </c>
      <c r="F81" s="2145">
        <f t="shared" si="3"/>
        <v>0</v>
      </c>
      <c r="G81" s="2145">
        <f t="shared" si="8"/>
        <v>0</v>
      </c>
      <c r="H81" s="2145">
        <f>IF(K80&lt;0.01,0,IF(Adm!$S$4=Adm!$S$8,0,K80*Adm!$V$4))</f>
        <v>0</v>
      </c>
      <c r="I81" s="2145">
        <f>IF(K80&lt;0.01,0,IF($I$16&lt;&gt;"",E81*Adm!$O$8,0))</f>
        <v>0</v>
      </c>
      <c r="J81" s="2145">
        <f t="shared" si="4"/>
        <v>0</v>
      </c>
      <c r="K81" s="2145">
        <f t="shared" si="5"/>
        <v>0</v>
      </c>
      <c r="L81" s="2146"/>
      <c r="W81" s="1352">
        <f t="shared" si="9"/>
        <v>4</v>
      </c>
      <c r="X81" s="1367">
        <f>IF(W81=1,Cal!$AC$127,0)</f>
        <v>0</v>
      </c>
      <c r="Z81" s="1153"/>
      <c r="AC81" s="1375">
        <f t="shared" si="12"/>
        <v>0</v>
      </c>
      <c r="AD81" s="1373">
        <f t="shared" si="13"/>
        <v>0</v>
      </c>
      <c r="AE81" s="1373">
        <f t="shared" si="14"/>
        <v>0</v>
      </c>
      <c r="AF81" s="1373">
        <f t="shared" si="11"/>
        <v>0</v>
      </c>
      <c r="AG81" s="1371">
        <f t="shared" si="10"/>
        <v>0</v>
      </c>
      <c r="AH81" s="1359" t="e">
        <f>HLOOKUP($AH$13,liquidez,65,0)</f>
        <v>#N/A</v>
      </c>
      <c r="AJ81" s="1360">
        <f>Captura!AI151</f>
        <v>0</v>
      </c>
    </row>
    <row r="82" spans="1:36">
      <c r="A82" s="1118">
        <f t="shared" ref="A82:A145" ca="1" si="15">IF(A81=12,1,A81+1)</f>
        <v>8</v>
      </c>
      <c r="B82" s="1101">
        <f t="shared" ref="B82:B145" si="16">IF(K81&lt;0.01,0,B81-1)</f>
        <v>0</v>
      </c>
      <c r="C82" s="2149">
        <f t="shared" ref="C82:C145" si="17">IF(K81&lt;0.01,0,C81+1)</f>
        <v>0</v>
      </c>
      <c r="D82" s="2150">
        <f t="shared" si="6"/>
        <v>0</v>
      </c>
      <c r="E82" s="2145">
        <f t="shared" si="7"/>
        <v>0</v>
      </c>
      <c r="F82" s="2145">
        <f t="shared" ref="F82:F145" si="18">IF(K81&lt;0.01,0,G82-E82)</f>
        <v>0</v>
      </c>
      <c r="G82" s="2145">
        <f t="shared" si="8"/>
        <v>0</v>
      </c>
      <c r="H82" s="2145">
        <f>IF(K81&lt;0.01,0,IF(Adm!$S$4=Adm!$S$8,0,K81*Adm!$V$4))</f>
        <v>0</v>
      </c>
      <c r="I82" s="2145">
        <f>IF(K81&lt;0.01,0,IF($I$16&lt;&gt;"",E82*Adm!$O$8,0))</f>
        <v>0</v>
      </c>
      <c r="J82" s="2145">
        <f t="shared" ref="J82:J145" si="19">G82+H82+I82</f>
        <v>0</v>
      </c>
      <c r="K82" s="2145">
        <f t="shared" ref="K82:K145" si="20">IF(K81&lt;0.01,0,K81-F82-L82)</f>
        <v>0</v>
      </c>
      <c r="L82" s="2146"/>
      <c r="W82" s="1352">
        <f t="shared" si="9"/>
        <v>5</v>
      </c>
      <c r="X82" s="1367">
        <f>IF(W82=1,Cal!$AC$127,0)</f>
        <v>0</v>
      </c>
      <c r="Z82" s="1153"/>
      <c r="AC82" s="1375">
        <f t="shared" si="12"/>
        <v>0</v>
      </c>
      <c r="AD82" s="1373">
        <f t="shared" si="13"/>
        <v>0</v>
      </c>
      <c r="AE82" s="1373">
        <f t="shared" si="14"/>
        <v>0</v>
      </c>
      <c r="AF82" s="1373">
        <f t="shared" si="11"/>
        <v>0</v>
      </c>
      <c r="AG82" s="1371">
        <f t="shared" si="10"/>
        <v>0</v>
      </c>
      <c r="AH82" s="1359" t="e">
        <f>HLOOKUP($AH$13,liquidez,66,0)</f>
        <v>#N/A</v>
      </c>
      <c r="AJ82" s="1360">
        <f>Captura!AI152</f>
        <v>0</v>
      </c>
    </row>
    <row r="83" spans="1:36">
      <c r="A83" s="1118">
        <f t="shared" ca="1" si="15"/>
        <v>9</v>
      </c>
      <c r="B83" s="1101">
        <f t="shared" si="16"/>
        <v>0</v>
      </c>
      <c r="C83" s="2149">
        <f t="shared" si="17"/>
        <v>0</v>
      </c>
      <c r="D83" s="2150">
        <f t="shared" ref="D83:D146" si="21">IF(K82&lt;0.01,0,D82)</f>
        <v>0</v>
      </c>
      <c r="E83" s="2145">
        <f t="shared" ref="E83:E146" si="22">IF(K82&lt;0.01,0,K82*D83*30.4166/360)</f>
        <v>0</v>
      </c>
      <c r="F83" s="2145">
        <f t="shared" si="18"/>
        <v>0</v>
      </c>
      <c r="G83" s="2145">
        <f t="shared" ref="G83:G146" si="23">IF(K82&lt;0.1,0,MIN(K82+E83,IF(AC83&gt;0,AC83,G82*(1+X83))))</f>
        <v>0</v>
      </c>
      <c r="H83" s="2145">
        <f>IF(K82&lt;0.01,0,IF(Adm!$S$4=Adm!$S$8,0,K82*Adm!$V$4))</f>
        <v>0</v>
      </c>
      <c r="I83" s="2145">
        <f>IF(K82&lt;0.01,0,IF($I$16&lt;&gt;"",E83*Adm!$O$8,0))</f>
        <v>0</v>
      </c>
      <c r="J83" s="2145">
        <f t="shared" si="19"/>
        <v>0</v>
      </c>
      <c r="K83" s="2145">
        <f t="shared" si="20"/>
        <v>0</v>
      </c>
      <c r="L83" s="2146"/>
      <c r="W83" s="1352">
        <f t="shared" ref="W83:W146" si="24">IF(W82=12,1,W82+1)</f>
        <v>6</v>
      </c>
      <c r="X83" s="1367">
        <f>IF(W83=1,Cal!$AC$127,0)</f>
        <v>0</v>
      </c>
      <c r="Z83" s="1153"/>
      <c r="AC83" s="1375">
        <f t="shared" si="12"/>
        <v>0</v>
      </c>
      <c r="AD83" s="1373">
        <f t="shared" si="13"/>
        <v>0</v>
      </c>
      <c r="AE83" s="1373">
        <f t="shared" si="14"/>
        <v>0</v>
      </c>
      <c r="AF83" s="1373">
        <f t="shared" si="11"/>
        <v>0</v>
      </c>
      <c r="AG83" s="1371">
        <f t="shared" ref="AG83:AG146" si="25">IF(AND($AE$12=2,L82&lt;0.01),0,IF($AE$12=2,(K82*AH83)+E83,0))</f>
        <v>0</v>
      </c>
      <c r="AH83" s="1359" t="e">
        <f>HLOOKUP($AH$13,liquidez,67,0)</f>
        <v>#N/A</v>
      </c>
      <c r="AJ83" s="1360">
        <f>Captura!AI153</f>
        <v>0</v>
      </c>
    </row>
    <row r="84" spans="1:36">
      <c r="A84" s="1118">
        <f t="shared" ca="1" si="15"/>
        <v>10</v>
      </c>
      <c r="B84" s="1101">
        <f t="shared" si="16"/>
        <v>0</v>
      </c>
      <c r="C84" s="2149">
        <f t="shared" si="17"/>
        <v>0</v>
      </c>
      <c r="D84" s="2150">
        <f t="shared" si="21"/>
        <v>0</v>
      </c>
      <c r="E84" s="2145">
        <f t="shared" si="22"/>
        <v>0</v>
      </c>
      <c r="F84" s="2145">
        <f t="shared" si="18"/>
        <v>0</v>
      </c>
      <c r="G84" s="2145">
        <f t="shared" si="23"/>
        <v>0</v>
      </c>
      <c r="H84" s="2145">
        <f>IF(K83&lt;0.01,0,IF(Adm!$S$4=Adm!$S$8,0,K83*Adm!$V$4))</f>
        <v>0</v>
      </c>
      <c r="I84" s="2145">
        <f>IF(K83&lt;0.01,0,IF($I$16&lt;&gt;"",E84*Adm!$O$8,0))</f>
        <v>0</v>
      </c>
      <c r="J84" s="2145">
        <f t="shared" si="19"/>
        <v>0</v>
      </c>
      <c r="K84" s="2145">
        <f t="shared" si="20"/>
        <v>0</v>
      </c>
      <c r="L84" s="2146"/>
      <c r="W84" s="1352">
        <f t="shared" si="24"/>
        <v>7</v>
      </c>
      <c r="X84" s="1367">
        <f>IF(W84=1,Cal!$AC$127,0)</f>
        <v>0</v>
      </c>
      <c r="Z84" s="1153"/>
      <c r="AC84" s="1375">
        <f t="shared" si="12"/>
        <v>0</v>
      </c>
      <c r="AD84" s="1373">
        <f t="shared" si="13"/>
        <v>0</v>
      </c>
      <c r="AE84" s="1373">
        <f t="shared" si="14"/>
        <v>0</v>
      </c>
      <c r="AF84" s="1373">
        <f t="shared" ref="AF84:AF147" si="26">IF(AND(AG84&gt;0.01,$AC$12=2),AG84,0)</f>
        <v>0</v>
      </c>
      <c r="AG84" s="1371">
        <f t="shared" si="25"/>
        <v>0</v>
      </c>
      <c r="AH84" s="1359" t="e">
        <f>HLOOKUP($AH$13,liquidez,68,0)</f>
        <v>#N/A</v>
      </c>
      <c r="AJ84" s="1360">
        <f>Captura!AI154</f>
        <v>0</v>
      </c>
    </row>
    <row r="85" spans="1:36">
      <c r="A85" s="1118">
        <f t="shared" ca="1" si="15"/>
        <v>11</v>
      </c>
      <c r="B85" s="1101">
        <f t="shared" si="16"/>
        <v>0</v>
      </c>
      <c r="C85" s="2149">
        <f t="shared" si="17"/>
        <v>0</v>
      </c>
      <c r="D85" s="2150">
        <f t="shared" si="21"/>
        <v>0</v>
      </c>
      <c r="E85" s="2145">
        <f t="shared" si="22"/>
        <v>0</v>
      </c>
      <c r="F85" s="2145">
        <f t="shared" si="18"/>
        <v>0</v>
      </c>
      <c r="G85" s="2145">
        <f t="shared" si="23"/>
        <v>0</v>
      </c>
      <c r="H85" s="2145">
        <f>IF(K84&lt;0.01,0,IF(Adm!$S$4=Adm!$S$8,0,K84*Adm!$V$4))</f>
        <v>0</v>
      </c>
      <c r="I85" s="2145">
        <f>IF(K84&lt;0.01,0,IF($I$16&lt;&gt;"",E85*Adm!$O$8,0))</f>
        <v>0</v>
      </c>
      <c r="J85" s="2145">
        <f t="shared" si="19"/>
        <v>0</v>
      </c>
      <c r="K85" s="2145">
        <f t="shared" si="20"/>
        <v>0</v>
      </c>
      <c r="L85" s="2146"/>
      <c r="W85" s="1352">
        <f t="shared" si="24"/>
        <v>8</v>
      </c>
      <c r="X85" s="1367">
        <f>IF(W85=1,Cal!$AC$127,0)</f>
        <v>0</v>
      </c>
      <c r="Z85" s="1153"/>
      <c r="AC85" s="1375">
        <f t="shared" ref="AC85:AC148" si="27">IF(AD85&gt;1,AD85,IF(AF85&gt;1,AF85,0))</f>
        <v>0</v>
      </c>
      <c r="AD85" s="1373">
        <f t="shared" ref="AD85:AD148" si="28">IF(AND($AE$12=1,L84&gt;0.1),AE85,0)</f>
        <v>0</v>
      </c>
      <c r="AE85" s="1373">
        <f t="shared" ref="AE85:AE148" si="29">IF(AND($AE$12=1,$AC$12=2),PMT((($D$18/360)*(365/12)),B84,-K84),0)</f>
        <v>0</v>
      </c>
      <c r="AF85" s="1373">
        <f t="shared" si="26"/>
        <v>0</v>
      </c>
      <c r="AG85" s="1371">
        <f t="shared" si="25"/>
        <v>0</v>
      </c>
      <c r="AH85" s="1359" t="e">
        <f>HLOOKUP($AH$13,liquidez,69,0)</f>
        <v>#N/A</v>
      </c>
      <c r="AJ85" s="1360">
        <f>Captura!AI155</f>
        <v>0</v>
      </c>
    </row>
    <row r="86" spans="1:36">
      <c r="A86" s="1118">
        <f t="shared" ca="1" si="15"/>
        <v>12</v>
      </c>
      <c r="B86" s="1101">
        <f t="shared" si="16"/>
        <v>0</v>
      </c>
      <c r="C86" s="2149">
        <f t="shared" si="17"/>
        <v>0</v>
      </c>
      <c r="D86" s="2150">
        <f t="shared" si="21"/>
        <v>0</v>
      </c>
      <c r="E86" s="2145">
        <f t="shared" si="22"/>
        <v>0</v>
      </c>
      <c r="F86" s="2145">
        <f t="shared" si="18"/>
        <v>0</v>
      </c>
      <c r="G86" s="2145">
        <f t="shared" si="23"/>
        <v>0</v>
      </c>
      <c r="H86" s="2145">
        <f>IF(K85&lt;0.01,0,IF(Adm!$S$4=Adm!$S$8,0,K85*Adm!$V$4))</f>
        <v>0</v>
      </c>
      <c r="I86" s="2145">
        <f>IF(K85&lt;0.01,0,IF($I$16&lt;&gt;"",E86*Adm!$O$8,0))</f>
        <v>0</v>
      </c>
      <c r="J86" s="2145">
        <f t="shared" si="19"/>
        <v>0</v>
      </c>
      <c r="K86" s="2145">
        <f t="shared" si="20"/>
        <v>0</v>
      </c>
      <c r="L86" s="2146"/>
      <c r="W86" s="1352">
        <f t="shared" si="24"/>
        <v>9</v>
      </c>
      <c r="X86" s="1367">
        <f>IF(W86=1,Cal!$AC$127,0)</f>
        <v>0</v>
      </c>
      <c r="Z86" s="1153"/>
      <c r="AC86" s="1375">
        <f t="shared" si="27"/>
        <v>0</v>
      </c>
      <c r="AD86" s="1373">
        <f t="shared" si="28"/>
        <v>0</v>
      </c>
      <c r="AE86" s="1373">
        <f t="shared" si="29"/>
        <v>0</v>
      </c>
      <c r="AF86" s="1373">
        <f t="shared" si="26"/>
        <v>0</v>
      </c>
      <c r="AG86" s="1371">
        <f t="shared" si="25"/>
        <v>0</v>
      </c>
      <c r="AH86" s="1359" t="e">
        <f>HLOOKUP($AH$13,liquidez,70,0)</f>
        <v>#N/A</v>
      </c>
      <c r="AJ86" s="1360">
        <f>Captura!AI156</f>
        <v>0</v>
      </c>
    </row>
    <row r="87" spans="1:36">
      <c r="A87" s="1118">
        <f t="shared" ca="1" si="15"/>
        <v>1</v>
      </c>
      <c r="B87" s="1101">
        <f t="shared" si="16"/>
        <v>0</v>
      </c>
      <c r="C87" s="2149">
        <f t="shared" si="17"/>
        <v>0</v>
      </c>
      <c r="D87" s="2150">
        <f t="shared" si="21"/>
        <v>0</v>
      </c>
      <c r="E87" s="2145">
        <f t="shared" si="22"/>
        <v>0</v>
      </c>
      <c r="F87" s="2145">
        <f t="shared" si="18"/>
        <v>0</v>
      </c>
      <c r="G87" s="2145">
        <f t="shared" si="23"/>
        <v>0</v>
      </c>
      <c r="H87" s="2145">
        <f>IF(K86&lt;0.01,0,IF(Adm!$S$4=Adm!$S$8,0,K86*Adm!$V$4))</f>
        <v>0</v>
      </c>
      <c r="I87" s="2145">
        <f>IF(K86&lt;0.01,0,IF($I$16&lt;&gt;"",E87*Adm!$O$8,0))</f>
        <v>0</v>
      </c>
      <c r="J87" s="2145">
        <f t="shared" si="19"/>
        <v>0</v>
      </c>
      <c r="K87" s="2145">
        <f t="shared" si="20"/>
        <v>0</v>
      </c>
      <c r="L87" s="2146"/>
      <c r="W87" s="1352">
        <f t="shared" si="24"/>
        <v>10</v>
      </c>
      <c r="X87" s="1367">
        <f>IF(W87=1,Cal!$AC$127,0)</f>
        <v>0</v>
      </c>
      <c r="Z87" s="1153"/>
      <c r="AC87" s="1375">
        <f t="shared" si="27"/>
        <v>0</v>
      </c>
      <c r="AD87" s="1373">
        <f t="shared" si="28"/>
        <v>0</v>
      </c>
      <c r="AE87" s="1373">
        <f t="shared" si="29"/>
        <v>0</v>
      </c>
      <c r="AF87" s="1373">
        <f t="shared" si="26"/>
        <v>0</v>
      </c>
      <c r="AG87" s="1371">
        <f t="shared" si="25"/>
        <v>0</v>
      </c>
      <c r="AH87" s="1359" t="e">
        <f>HLOOKUP($AH$13,liquidez,71,0)</f>
        <v>#N/A</v>
      </c>
      <c r="AJ87" s="1360">
        <f>Captura!AI157</f>
        <v>0</v>
      </c>
    </row>
    <row r="88" spans="1:36">
      <c r="A88" s="1118">
        <f t="shared" ca="1" si="15"/>
        <v>2</v>
      </c>
      <c r="B88" s="1101">
        <f t="shared" si="16"/>
        <v>0</v>
      </c>
      <c r="C88" s="2149">
        <f t="shared" si="17"/>
        <v>0</v>
      </c>
      <c r="D88" s="2150">
        <f t="shared" si="21"/>
        <v>0</v>
      </c>
      <c r="E88" s="2145">
        <f t="shared" si="22"/>
        <v>0</v>
      </c>
      <c r="F88" s="2145">
        <f t="shared" si="18"/>
        <v>0</v>
      </c>
      <c r="G88" s="2145">
        <f t="shared" si="23"/>
        <v>0</v>
      </c>
      <c r="H88" s="2145">
        <f>IF(K87&lt;0.01,0,IF(Adm!$S$4=Adm!$S$8,0,K87*Adm!$V$4))</f>
        <v>0</v>
      </c>
      <c r="I88" s="2145">
        <f>IF(K87&lt;0.01,0,IF($I$16&lt;&gt;"",E88*Adm!$O$8,0))</f>
        <v>0</v>
      </c>
      <c r="J88" s="2145">
        <f t="shared" si="19"/>
        <v>0</v>
      </c>
      <c r="K88" s="2145">
        <f t="shared" si="20"/>
        <v>0</v>
      </c>
      <c r="L88" s="2146"/>
      <c r="W88" s="1352">
        <f t="shared" si="24"/>
        <v>11</v>
      </c>
      <c r="X88" s="1367">
        <f>IF(W88=1,Cal!$AC$127,0)</f>
        <v>0</v>
      </c>
      <c r="Z88" s="1153"/>
      <c r="AC88" s="1375">
        <f t="shared" si="27"/>
        <v>0</v>
      </c>
      <c r="AD88" s="1373">
        <f t="shared" si="28"/>
        <v>0</v>
      </c>
      <c r="AE88" s="1373">
        <f t="shared" si="29"/>
        <v>0</v>
      </c>
      <c r="AF88" s="1373">
        <f t="shared" si="26"/>
        <v>0</v>
      </c>
      <c r="AG88" s="1371">
        <f t="shared" si="25"/>
        <v>0</v>
      </c>
      <c r="AH88" s="1359" t="e">
        <f>HLOOKUP($AH$13,liquidez,72,0)</f>
        <v>#N/A</v>
      </c>
      <c r="AJ88" s="1360">
        <f>Captura!AI158</f>
        <v>0</v>
      </c>
    </row>
    <row r="89" spans="1:36">
      <c r="A89" s="1118">
        <f t="shared" ca="1" si="15"/>
        <v>3</v>
      </c>
      <c r="B89" s="1101">
        <f t="shared" si="16"/>
        <v>0</v>
      </c>
      <c r="C89" s="2149">
        <f t="shared" si="17"/>
        <v>0</v>
      </c>
      <c r="D89" s="2150">
        <f t="shared" si="21"/>
        <v>0</v>
      </c>
      <c r="E89" s="2145">
        <f t="shared" si="22"/>
        <v>0</v>
      </c>
      <c r="F89" s="2145">
        <f t="shared" si="18"/>
        <v>0</v>
      </c>
      <c r="G89" s="2145">
        <f t="shared" si="23"/>
        <v>0</v>
      </c>
      <c r="H89" s="2145">
        <f>IF(K88&lt;0.01,0,IF(Adm!$S$4=Adm!$S$8,0,K88*Adm!$V$4))</f>
        <v>0</v>
      </c>
      <c r="I89" s="2145">
        <f>IF(K88&lt;0.01,0,IF($I$16&lt;&gt;"",E89*Adm!$O$8,0))</f>
        <v>0</v>
      </c>
      <c r="J89" s="2145">
        <f t="shared" si="19"/>
        <v>0</v>
      </c>
      <c r="K89" s="2145">
        <f t="shared" si="20"/>
        <v>0</v>
      </c>
      <c r="L89" s="2146"/>
      <c r="W89" s="1352">
        <f t="shared" si="24"/>
        <v>12</v>
      </c>
      <c r="X89" s="1367">
        <f>IF(W89=1,Cal!$AC$127,0)</f>
        <v>0</v>
      </c>
      <c r="Z89" s="1153"/>
      <c r="AC89" s="1375">
        <f t="shared" si="27"/>
        <v>0</v>
      </c>
      <c r="AD89" s="1373">
        <f t="shared" si="28"/>
        <v>0</v>
      </c>
      <c r="AE89" s="1373">
        <f t="shared" si="29"/>
        <v>0</v>
      </c>
      <c r="AF89" s="1373">
        <f t="shared" si="26"/>
        <v>0</v>
      </c>
      <c r="AG89" s="1371">
        <f t="shared" si="25"/>
        <v>0</v>
      </c>
      <c r="AH89" s="1359" t="e">
        <f>HLOOKUP($AH$13,liquidez,73,0)</f>
        <v>#N/A</v>
      </c>
      <c r="AJ89" s="1360">
        <f>Captura!AI159</f>
        <v>0</v>
      </c>
    </row>
    <row r="90" spans="1:36">
      <c r="A90" s="1118">
        <f t="shared" ca="1" si="15"/>
        <v>4</v>
      </c>
      <c r="B90" s="1101">
        <f t="shared" si="16"/>
        <v>0</v>
      </c>
      <c r="C90" s="2149">
        <f t="shared" si="17"/>
        <v>0</v>
      </c>
      <c r="D90" s="2150">
        <f t="shared" si="21"/>
        <v>0</v>
      </c>
      <c r="E90" s="2145">
        <f t="shared" si="22"/>
        <v>0</v>
      </c>
      <c r="F90" s="2145">
        <f t="shared" si="18"/>
        <v>0</v>
      </c>
      <c r="G90" s="2145">
        <f t="shared" si="23"/>
        <v>0</v>
      </c>
      <c r="H90" s="2145">
        <f>IF(K89&lt;0.01,0,IF(Adm!$S$4=Adm!$S$8,0,K89*Adm!$V$4))</f>
        <v>0</v>
      </c>
      <c r="I90" s="2145">
        <f>IF(K89&lt;0.01,0,IF($I$16&lt;&gt;"",E90*Adm!$O$8,0))</f>
        <v>0</v>
      </c>
      <c r="J90" s="2145">
        <f t="shared" si="19"/>
        <v>0</v>
      </c>
      <c r="K90" s="2145">
        <f t="shared" si="20"/>
        <v>0</v>
      </c>
      <c r="L90" s="2146"/>
      <c r="W90" s="1352">
        <f t="shared" si="24"/>
        <v>1</v>
      </c>
      <c r="X90" s="1367">
        <f>IF(W90=1,Cal!$AC$127,0)</f>
        <v>0</v>
      </c>
      <c r="Z90" s="1153"/>
      <c r="AC90" s="1375">
        <f t="shared" si="27"/>
        <v>0</v>
      </c>
      <c r="AD90" s="1373">
        <f t="shared" si="28"/>
        <v>0</v>
      </c>
      <c r="AE90" s="1373">
        <f t="shared" si="29"/>
        <v>0</v>
      </c>
      <c r="AF90" s="1373">
        <f t="shared" si="26"/>
        <v>0</v>
      </c>
      <c r="AG90" s="1371">
        <f t="shared" si="25"/>
        <v>0</v>
      </c>
      <c r="AH90" s="1359" t="e">
        <f>HLOOKUP($AH$13,liquidez,74,0)</f>
        <v>#N/A</v>
      </c>
      <c r="AJ90" s="1360">
        <f>Captura!AI160</f>
        <v>0</v>
      </c>
    </row>
    <row r="91" spans="1:36">
      <c r="A91" s="1118">
        <f t="shared" ca="1" si="15"/>
        <v>5</v>
      </c>
      <c r="B91" s="1101">
        <f t="shared" si="16"/>
        <v>0</v>
      </c>
      <c r="C91" s="2149">
        <f t="shared" si="17"/>
        <v>0</v>
      </c>
      <c r="D91" s="2150">
        <f t="shared" si="21"/>
        <v>0</v>
      </c>
      <c r="E91" s="2145">
        <f t="shared" si="22"/>
        <v>0</v>
      </c>
      <c r="F91" s="2145">
        <f t="shared" si="18"/>
        <v>0</v>
      </c>
      <c r="G91" s="2145">
        <f t="shared" si="23"/>
        <v>0</v>
      </c>
      <c r="H91" s="2145">
        <f>IF(K90&lt;0.01,0,IF(Adm!$S$4=Adm!$S$8,0,K90*Adm!$V$4))</f>
        <v>0</v>
      </c>
      <c r="I91" s="2145">
        <f>IF(K90&lt;0.01,0,IF($I$16&lt;&gt;"",E91*Adm!$O$8,0))</f>
        <v>0</v>
      </c>
      <c r="J91" s="2145">
        <f t="shared" si="19"/>
        <v>0</v>
      </c>
      <c r="K91" s="2145">
        <f t="shared" si="20"/>
        <v>0</v>
      </c>
      <c r="L91" s="2146"/>
      <c r="W91" s="1352">
        <f t="shared" si="24"/>
        <v>2</v>
      </c>
      <c r="X91" s="1367">
        <f>IF(W91=1,Cal!$AC$127,0)</f>
        <v>0</v>
      </c>
      <c r="Z91" s="1153"/>
      <c r="AC91" s="1375">
        <f t="shared" si="27"/>
        <v>0</v>
      </c>
      <c r="AD91" s="1373">
        <f t="shared" si="28"/>
        <v>0</v>
      </c>
      <c r="AE91" s="1373">
        <f t="shared" si="29"/>
        <v>0</v>
      </c>
      <c r="AF91" s="1373">
        <f t="shared" si="26"/>
        <v>0</v>
      </c>
      <c r="AG91" s="1371">
        <f t="shared" si="25"/>
        <v>0</v>
      </c>
      <c r="AH91" s="1359" t="e">
        <f>HLOOKUP($AH$13,liquidez,75,0)</f>
        <v>#N/A</v>
      </c>
      <c r="AJ91" s="1360">
        <f>Captura!AI161</f>
        <v>0</v>
      </c>
    </row>
    <row r="92" spans="1:36">
      <c r="A92" s="1118">
        <f t="shared" ca="1" si="15"/>
        <v>6</v>
      </c>
      <c r="B92" s="1101">
        <f t="shared" si="16"/>
        <v>0</v>
      </c>
      <c r="C92" s="2149">
        <f t="shared" si="17"/>
        <v>0</v>
      </c>
      <c r="D92" s="2150">
        <f t="shared" si="21"/>
        <v>0</v>
      </c>
      <c r="E92" s="2145">
        <f t="shared" si="22"/>
        <v>0</v>
      </c>
      <c r="F92" s="2145">
        <f t="shared" si="18"/>
        <v>0</v>
      </c>
      <c r="G92" s="2145">
        <f t="shared" si="23"/>
        <v>0</v>
      </c>
      <c r="H92" s="2145">
        <f>IF(K91&lt;0.01,0,IF(Adm!$S$4=Adm!$S$8,0,K91*Adm!$V$4))</f>
        <v>0</v>
      </c>
      <c r="I92" s="2145">
        <f>IF(K91&lt;0.01,0,IF($I$16&lt;&gt;"",E92*Adm!$O$8,0))</f>
        <v>0</v>
      </c>
      <c r="J92" s="2145">
        <f t="shared" si="19"/>
        <v>0</v>
      </c>
      <c r="K92" s="2145">
        <f t="shared" si="20"/>
        <v>0</v>
      </c>
      <c r="L92" s="2146"/>
      <c r="W92" s="1352">
        <f t="shared" si="24"/>
        <v>3</v>
      </c>
      <c r="X92" s="1367">
        <f>IF(W92=1,Cal!$AC$127,0)</f>
        <v>0</v>
      </c>
      <c r="Z92" s="1153"/>
      <c r="AC92" s="1375">
        <f t="shared" si="27"/>
        <v>0</v>
      </c>
      <c r="AD92" s="1373">
        <f t="shared" si="28"/>
        <v>0</v>
      </c>
      <c r="AE92" s="1373">
        <f t="shared" si="29"/>
        <v>0</v>
      </c>
      <c r="AF92" s="1373">
        <f t="shared" si="26"/>
        <v>0</v>
      </c>
      <c r="AG92" s="1371">
        <f t="shared" si="25"/>
        <v>0</v>
      </c>
      <c r="AH92" s="1359" t="e">
        <f>HLOOKUP($AH$13,liquidez,76,0)</f>
        <v>#N/A</v>
      </c>
      <c r="AJ92" s="1360">
        <f>Captura!AI162</f>
        <v>0</v>
      </c>
    </row>
    <row r="93" spans="1:36">
      <c r="A93" s="1118">
        <f t="shared" ca="1" si="15"/>
        <v>7</v>
      </c>
      <c r="B93" s="1101">
        <f t="shared" si="16"/>
        <v>0</v>
      </c>
      <c r="C93" s="2149">
        <f t="shared" si="17"/>
        <v>0</v>
      </c>
      <c r="D93" s="2150">
        <f t="shared" si="21"/>
        <v>0</v>
      </c>
      <c r="E93" s="2145">
        <f t="shared" si="22"/>
        <v>0</v>
      </c>
      <c r="F93" s="2145">
        <f t="shared" si="18"/>
        <v>0</v>
      </c>
      <c r="G93" s="2145">
        <f t="shared" si="23"/>
        <v>0</v>
      </c>
      <c r="H93" s="2145">
        <f>IF(K92&lt;0.01,0,IF(Adm!$S$4=Adm!$S$8,0,K92*Adm!$V$4))</f>
        <v>0</v>
      </c>
      <c r="I93" s="2145">
        <f>IF(K92&lt;0.01,0,IF($I$16&lt;&gt;"",E93*Adm!$O$8,0))</f>
        <v>0</v>
      </c>
      <c r="J93" s="2145">
        <f t="shared" si="19"/>
        <v>0</v>
      </c>
      <c r="K93" s="2145">
        <f t="shared" si="20"/>
        <v>0</v>
      </c>
      <c r="L93" s="2146"/>
      <c r="W93" s="1352">
        <f t="shared" si="24"/>
        <v>4</v>
      </c>
      <c r="X93" s="1367">
        <f>IF(W93=1,Cal!$AC$127,0)</f>
        <v>0</v>
      </c>
      <c r="Z93" s="1153"/>
      <c r="AC93" s="1375">
        <f t="shared" si="27"/>
        <v>0</v>
      </c>
      <c r="AD93" s="1373">
        <f t="shared" si="28"/>
        <v>0</v>
      </c>
      <c r="AE93" s="1373">
        <f t="shared" si="29"/>
        <v>0</v>
      </c>
      <c r="AF93" s="1373">
        <f t="shared" si="26"/>
        <v>0</v>
      </c>
      <c r="AG93" s="1371">
        <f t="shared" si="25"/>
        <v>0</v>
      </c>
      <c r="AH93" s="1359" t="e">
        <f>HLOOKUP($AH$13,liquidez,77,0)</f>
        <v>#N/A</v>
      </c>
      <c r="AJ93" s="1360">
        <f>Captura!AI163</f>
        <v>0</v>
      </c>
    </row>
    <row r="94" spans="1:36">
      <c r="A94" s="1118">
        <f t="shared" ca="1" si="15"/>
        <v>8</v>
      </c>
      <c r="B94" s="1101">
        <f t="shared" si="16"/>
        <v>0</v>
      </c>
      <c r="C94" s="2149">
        <f t="shared" si="17"/>
        <v>0</v>
      </c>
      <c r="D94" s="2150">
        <f t="shared" si="21"/>
        <v>0</v>
      </c>
      <c r="E94" s="2145">
        <f t="shared" si="22"/>
        <v>0</v>
      </c>
      <c r="F94" s="2145">
        <f t="shared" si="18"/>
        <v>0</v>
      </c>
      <c r="G94" s="2145">
        <f t="shared" si="23"/>
        <v>0</v>
      </c>
      <c r="H94" s="2145">
        <f>IF(K93&lt;0.01,0,IF(Adm!$S$4=Adm!$S$8,0,K93*Adm!$V$4))</f>
        <v>0</v>
      </c>
      <c r="I94" s="2145">
        <f>IF(K93&lt;0.01,0,IF($I$16&lt;&gt;"",E94*Adm!$O$8,0))</f>
        <v>0</v>
      </c>
      <c r="J94" s="2145">
        <f t="shared" si="19"/>
        <v>0</v>
      </c>
      <c r="K94" s="2145">
        <f t="shared" si="20"/>
        <v>0</v>
      </c>
      <c r="L94" s="2146"/>
      <c r="W94" s="1352">
        <f t="shared" si="24"/>
        <v>5</v>
      </c>
      <c r="X94" s="1367">
        <f>IF(W94=1,Cal!$AC$127,0)</f>
        <v>0</v>
      </c>
      <c r="Z94" s="1153"/>
      <c r="AC94" s="1375">
        <f t="shared" si="27"/>
        <v>0</v>
      </c>
      <c r="AD94" s="1373">
        <f t="shared" si="28"/>
        <v>0</v>
      </c>
      <c r="AE94" s="1373">
        <f t="shared" si="29"/>
        <v>0</v>
      </c>
      <c r="AF94" s="1373">
        <f t="shared" si="26"/>
        <v>0</v>
      </c>
      <c r="AG94" s="1371">
        <f t="shared" si="25"/>
        <v>0</v>
      </c>
      <c r="AH94" s="1359" t="e">
        <f>HLOOKUP($AH$13,liquidez,78,0)</f>
        <v>#N/A</v>
      </c>
      <c r="AJ94" s="1360">
        <f>Captura!AI164</f>
        <v>0</v>
      </c>
    </row>
    <row r="95" spans="1:36">
      <c r="A95" s="1118">
        <f t="shared" ca="1" si="15"/>
        <v>9</v>
      </c>
      <c r="B95" s="1101">
        <f t="shared" si="16"/>
        <v>0</v>
      </c>
      <c r="C95" s="2149">
        <f t="shared" si="17"/>
        <v>0</v>
      </c>
      <c r="D95" s="2150">
        <f t="shared" si="21"/>
        <v>0</v>
      </c>
      <c r="E95" s="2145">
        <f t="shared" si="22"/>
        <v>0</v>
      </c>
      <c r="F95" s="2145">
        <f t="shared" si="18"/>
        <v>0</v>
      </c>
      <c r="G95" s="2145">
        <f t="shared" si="23"/>
        <v>0</v>
      </c>
      <c r="H95" s="2145">
        <f>IF(K94&lt;0.01,0,IF(Adm!$S$4=Adm!$S$8,0,K94*Adm!$V$4))</f>
        <v>0</v>
      </c>
      <c r="I95" s="2145">
        <f>IF(K94&lt;0.01,0,IF($I$16&lt;&gt;"",E95*Adm!$O$8,0))</f>
        <v>0</v>
      </c>
      <c r="J95" s="2145">
        <f t="shared" si="19"/>
        <v>0</v>
      </c>
      <c r="K95" s="2145">
        <f t="shared" si="20"/>
        <v>0</v>
      </c>
      <c r="L95" s="2146"/>
      <c r="W95" s="1352">
        <f t="shared" si="24"/>
        <v>6</v>
      </c>
      <c r="X95" s="1367">
        <f>IF(W95=1,Cal!$AC$127,0)</f>
        <v>0</v>
      </c>
      <c r="Z95" s="1153"/>
      <c r="AC95" s="1375">
        <f t="shared" si="27"/>
        <v>0</v>
      </c>
      <c r="AD95" s="1373">
        <f t="shared" si="28"/>
        <v>0</v>
      </c>
      <c r="AE95" s="1373">
        <f t="shared" si="29"/>
        <v>0</v>
      </c>
      <c r="AF95" s="1373">
        <f t="shared" si="26"/>
        <v>0</v>
      </c>
      <c r="AG95" s="1371">
        <f t="shared" si="25"/>
        <v>0</v>
      </c>
      <c r="AH95" s="1359" t="e">
        <f>HLOOKUP($AH$13,liquidez,79,0)</f>
        <v>#N/A</v>
      </c>
      <c r="AJ95" s="1360">
        <f>Captura!AI165</f>
        <v>0</v>
      </c>
    </row>
    <row r="96" spans="1:36">
      <c r="A96" s="1118">
        <f t="shared" ca="1" si="15"/>
        <v>10</v>
      </c>
      <c r="B96" s="1101">
        <f t="shared" si="16"/>
        <v>0</v>
      </c>
      <c r="C96" s="2149">
        <f t="shared" si="17"/>
        <v>0</v>
      </c>
      <c r="D96" s="2150">
        <f t="shared" si="21"/>
        <v>0</v>
      </c>
      <c r="E96" s="2145">
        <f t="shared" si="22"/>
        <v>0</v>
      </c>
      <c r="F96" s="2145">
        <f t="shared" si="18"/>
        <v>0</v>
      </c>
      <c r="G96" s="2145">
        <f t="shared" si="23"/>
        <v>0</v>
      </c>
      <c r="H96" s="2145">
        <f>IF(K95&lt;0.01,0,IF(Adm!$S$4=Adm!$S$8,0,K95*Adm!$V$4))</f>
        <v>0</v>
      </c>
      <c r="I96" s="2145">
        <f>IF(K95&lt;0.01,0,IF($I$16&lt;&gt;"",E96*Adm!$O$8,0))</f>
        <v>0</v>
      </c>
      <c r="J96" s="2145">
        <f t="shared" si="19"/>
        <v>0</v>
      </c>
      <c r="K96" s="2145">
        <f t="shared" si="20"/>
        <v>0</v>
      </c>
      <c r="L96" s="2146"/>
      <c r="W96" s="1352">
        <f t="shared" si="24"/>
        <v>7</v>
      </c>
      <c r="X96" s="1367">
        <f>IF(W96=1,Cal!$AC$127,0)</f>
        <v>0</v>
      </c>
      <c r="Z96" s="1153"/>
      <c r="AC96" s="1375">
        <f t="shared" si="27"/>
        <v>0</v>
      </c>
      <c r="AD96" s="1373">
        <f t="shared" si="28"/>
        <v>0</v>
      </c>
      <c r="AE96" s="1373">
        <f t="shared" si="29"/>
        <v>0</v>
      </c>
      <c r="AF96" s="1373">
        <f t="shared" si="26"/>
        <v>0</v>
      </c>
      <c r="AG96" s="1371">
        <f t="shared" si="25"/>
        <v>0</v>
      </c>
      <c r="AH96" s="1359" t="e">
        <f>HLOOKUP($AH$13,liquidez,80,0)</f>
        <v>#N/A</v>
      </c>
      <c r="AJ96" s="1360">
        <f>Captura!AI166</f>
        <v>0</v>
      </c>
    </row>
    <row r="97" spans="1:36">
      <c r="A97" s="1118">
        <f t="shared" ca="1" si="15"/>
        <v>11</v>
      </c>
      <c r="B97" s="1101">
        <f t="shared" si="16"/>
        <v>0</v>
      </c>
      <c r="C97" s="2149">
        <f t="shared" si="17"/>
        <v>0</v>
      </c>
      <c r="D97" s="2150">
        <f t="shared" si="21"/>
        <v>0</v>
      </c>
      <c r="E97" s="2145">
        <f t="shared" si="22"/>
        <v>0</v>
      </c>
      <c r="F97" s="2145">
        <f t="shared" si="18"/>
        <v>0</v>
      </c>
      <c r="G97" s="2145">
        <f t="shared" si="23"/>
        <v>0</v>
      </c>
      <c r="H97" s="2145">
        <f>IF(K96&lt;0.01,0,IF(Adm!$S$4=Adm!$S$8,0,K96*Adm!$V$4))</f>
        <v>0</v>
      </c>
      <c r="I97" s="2145">
        <f>IF(K96&lt;0.01,0,IF($I$16&lt;&gt;"",E97*Adm!$O$8,0))</f>
        <v>0</v>
      </c>
      <c r="J97" s="2145">
        <f t="shared" si="19"/>
        <v>0</v>
      </c>
      <c r="K97" s="2145">
        <f t="shared" si="20"/>
        <v>0</v>
      </c>
      <c r="L97" s="2146"/>
      <c r="W97" s="1352">
        <f t="shared" si="24"/>
        <v>8</v>
      </c>
      <c r="X97" s="1367">
        <f>IF(W97=1,Cal!$AC$127,0)</f>
        <v>0</v>
      </c>
      <c r="Z97" s="1153"/>
      <c r="AC97" s="1375">
        <f t="shared" si="27"/>
        <v>0</v>
      </c>
      <c r="AD97" s="1373">
        <f t="shared" si="28"/>
        <v>0</v>
      </c>
      <c r="AE97" s="1373">
        <f t="shared" si="29"/>
        <v>0</v>
      </c>
      <c r="AF97" s="1373">
        <f t="shared" si="26"/>
        <v>0</v>
      </c>
      <c r="AG97" s="1371">
        <f t="shared" si="25"/>
        <v>0</v>
      </c>
      <c r="AH97" s="1359" t="e">
        <f>HLOOKUP($AH$13,liquidez,81,0)</f>
        <v>#N/A</v>
      </c>
      <c r="AJ97" s="1360">
        <f>Captura!AI167</f>
        <v>0</v>
      </c>
    </row>
    <row r="98" spans="1:36">
      <c r="A98" s="1118">
        <f t="shared" ca="1" si="15"/>
        <v>12</v>
      </c>
      <c r="B98" s="1101">
        <f t="shared" si="16"/>
        <v>0</v>
      </c>
      <c r="C98" s="2149">
        <f t="shared" si="17"/>
        <v>0</v>
      </c>
      <c r="D98" s="2150">
        <f t="shared" si="21"/>
        <v>0</v>
      </c>
      <c r="E98" s="2145">
        <f t="shared" si="22"/>
        <v>0</v>
      </c>
      <c r="F98" s="2145">
        <f t="shared" si="18"/>
        <v>0</v>
      </c>
      <c r="G98" s="2145">
        <f t="shared" si="23"/>
        <v>0</v>
      </c>
      <c r="H98" s="2145">
        <f>IF(K97&lt;0.01,0,IF(Adm!$S$4=Adm!$S$8,0,K97*Adm!$V$4))</f>
        <v>0</v>
      </c>
      <c r="I98" s="2145">
        <f>IF(K97&lt;0.01,0,IF($I$16&lt;&gt;"",E98*Adm!$O$8,0))</f>
        <v>0</v>
      </c>
      <c r="J98" s="2145">
        <f t="shared" si="19"/>
        <v>0</v>
      </c>
      <c r="K98" s="2145">
        <f t="shared" si="20"/>
        <v>0</v>
      </c>
      <c r="L98" s="2146"/>
      <c r="W98" s="1352">
        <f t="shared" si="24"/>
        <v>9</v>
      </c>
      <c r="X98" s="1367">
        <f>IF(W98=1,Cal!$AC$127,0)</f>
        <v>0</v>
      </c>
      <c r="Z98" s="1153"/>
      <c r="AC98" s="1375">
        <f t="shared" si="27"/>
        <v>0</v>
      </c>
      <c r="AD98" s="1373">
        <f t="shared" si="28"/>
        <v>0</v>
      </c>
      <c r="AE98" s="1373">
        <f t="shared" si="29"/>
        <v>0</v>
      </c>
      <c r="AF98" s="1373">
        <f t="shared" si="26"/>
        <v>0</v>
      </c>
      <c r="AG98" s="1371">
        <f t="shared" si="25"/>
        <v>0</v>
      </c>
      <c r="AH98" s="1359" t="e">
        <f>HLOOKUP($AH$13,liquidez,82,0)</f>
        <v>#N/A</v>
      </c>
      <c r="AJ98" s="1360">
        <f>Captura!AI168</f>
        <v>0</v>
      </c>
    </row>
    <row r="99" spans="1:36">
      <c r="A99" s="1118">
        <f t="shared" ca="1" si="15"/>
        <v>1</v>
      </c>
      <c r="B99" s="1101">
        <f t="shared" si="16"/>
        <v>0</v>
      </c>
      <c r="C99" s="2149">
        <f t="shared" si="17"/>
        <v>0</v>
      </c>
      <c r="D99" s="2150">
        <f t="shared" si="21"/>
        <v>0</v>
      </c>
      <c r="E99" s="2145">
        <f t="shared" si="22"/>
        <v>0</v>
      </c>
      <c r="F99" s="2145">
        <f t="shared" si="18"/>
        <v>0</v>
      </c>
      <c r="G99" s="2145">
        <f t="shared" si="23"/>
        <v>0</v>
      </c>
      <c r="H99" s="2145">
        <f>IF(K98&lt;0.01,0,IF(Adm!$S$4=Adm!$S$8,0,K98*Adm!$V$4))</f>
        <v>0</v>
      </c>
      <c r="I99" s="2145">
        <f>IF(K98&lt;0.01,0,IF($I$16&lt;&gt;"",E99*Adm!$O$8,0))</f>
        <v>0</v>
      </c>
      <c r="J99" s="2145">
        <f t="shared" si="19"/>
        <v>0</v>
      </c>
      <c r="K99" s="2145">
        <f t="shared" si="20"/>
        <v>0</v>
      </c>
      <c r="L99" s="2146"/>
      <c r="W99" s="1352">
        <f t="shared" si="24"/>
        <v>10</v>
      </c>
      <c r="X99" s="1367">
        <f>IF(W99=1,Cal!$AC$127,0)</f>
        <v>0</v>
      </c>
      <c r="Z99" s="1153"/>
      <c r="AC99" s="1375">
        <f t="shared" si="27"/>
        <v>0</v>
      </c>
      <c r="AD99" s="1373">
        <f t="shared" si="28"/>
        <v>0</v>
      </c>
      <c r="AE99" s="1373">
        <f t="shared" si="29"/>
        <v>0</v>
      </c>
      <c r="AF99" s="1373">
        <f t="shared" si="26"/>
        <v>0</v>
      </c>
      <c r="AG99" s="1371">
        <f t="shared" si="25"/>
        <v>0</v>
      </c>
      <c r="AH99" s="1359" t="e">
        <f>HLOOKUP($AH$13,liquidez,83,0)</f>
        <v>#N/A</v>
      </c>
      <c r="AJ99" s="1360">
        <f>Captura!AI169</f>
        <v>0</v>
      </c>
    </row>
    <row r="100" spans="1:36">
      <c r="A100" s="1118">
        <f t="shared" ca="1" si="15"/>
        <v>2</v>
      </c>
      <c r="B100" s="1101">
        <f t="shared" si="16"/>
        <v>0</v>
      </c>
      <c r="C100" s="2149">
        <f t="shared" si="17"/>
        <v>0</v>
      </c>
      <c r="D100" s="2150">
        <f t="shared" si="21"/>
        <v>0</v>
      </c>
      <c r="E100" s="2145">
        <f t="shared" si="22"/>
        <v>0</v>
      </c>
      <c r="F100" s="2145">
        <f t="shared" si="18"/>
        <v>0</v>
      </c>
      <c r="G100" s="2145">
        <f t="shared" si="23"/>
        <v>0</v>
      </c>
      <c r="H100" s="2145">
        <f>IF(K99&lt;0.01,0,IF(Adm!$S$4=Adm!$S$8,0,K99*Adm!$V$4))</f>
        <v>0</v>
      </c>
      <c r="I100" s="2145">
        <f>IF(K99&lt;0.01,0,IF($I$16&lt;&gt;"",E100*Adm!$O$8,0))</f>
        <v>0</v>
      </c>
      <c r="J100" s="2145">
        <f t="shared" si="19"/>
        <v>0</v>
      </c>
      <c r="K100" s="2145">
        <f t="shared" si="20"/>
        <v>0</v>
      </c>
      <c r="L100" s="2146"/>
      <c r="W100" s="1352">
        <f t="shared" si="24"/>
        <v>11</v>
      </c>
      <c r="X100" s="1367">
        <f>IF(W100=1,Cal!$AC$127,0)</f>
        <v>0</v>
      </c>
      <c r="Z100" s="1153"/>
      <c r="AC100" s="1375">
        <f t="shared" si="27"/>
        <v>0</v>
      </c>
      <c r="AD100" s="1373">
        <f t="shared" si="28"/>
        <v>0</v>
      </c>
      <c r="AE100" s="1373">
        <f t="shared" si="29"/>
        <v>0</v>
      </c>
      <c r="AF100" s="1373">
        <f t="shared" si="26"/>
        <v>0</v>
      </c>
      <c r="AG100" s="1371">
        <f t="shared" si="25"/>
        <v>0</v>
      </c>
      <c r="AH100" s="1359" t="e">
        <f>HLOOKUP($AH$13,liquidez,84,0)</f>
        <v>#N/A</v>
      </c>
      <c r="AJ100" s="1360">
        <f>Captura!AI170</f>
        <v>0</v>
      </c>
    </row>
    <row r="101" spans="1:36">
      <c r="A101" s="1118">
        <f t="shared" ca="1" si="15"/>
        <v>3</v>
      </c>
      <c r="B101" s="1101">
        <f t="shared" si="16"/>
        <v>0</v>
      </c>
      <c r="C101" s="2149">
        <f t="shared" si="17"/>
        <v>0</v>
      </c>
      <c r="D101" s="2150">
        <f t="shared" si="21"/>
        <v>0</v>
      </c>
      <c r="E101" s="2145">
        <f t="shared" si="22"/>
        <v>0</v>
      </c>
      <c r="F101" s="2145">
        <f t="shared" si="18"/>
        <v>0</v>
      </c>
      <c r="G101" s="2145">
        <f t="shared" si="23"/>
        <v>0</v>
      </c>
      <c r="H101" s="2145">
        <f>IF(K100&lt;0.01,0,IF(Adm!$S$4=Adm!$S$8,0,K100*Adm!$V$4))</f>
        <v>0</v>
      </c>
      <c r="I101" s="2145">
        <f>IF(K100&lt;0.01,0,IF($I$16&lt;&gt;"",E101*Adm!$O$8,0))</f>
        <v>0</v>
      </c>
      <c r="J101" s="2145">
        <f t="shared" si="19"/>
        <v>0</v>
      </c>
      <c r="K101" s="2145">
        <f t="shared" si="20"/>
        <v>0</v>
      </c>
      <c r="L101" s="2146"/>
      <c r="W101" s="1352">
        <f t="shared" si="24"/>
        <v>12</v>
      </c>
      <c r="X101" s="1367">
        <f>IF(W101=1,Cal!$AC$127,0)</f>
        <v>0</v>
      </c>
      <c r="Z101" s="1153"/>
      <c r="AC101" s="1375">
        <f t="shared" si="27"/>
        <v>0</v>
      </c>
      <c r="AD101" s="1373">
        <f t="shared" si="28"/>
        <v>0</v>
      </c>
      <c r="AE101" s="1373">
        <f t="shared" si="29"/>
        <v>0</v>
      </c>
      <c r="AF101" s="1373">
        <f t="shared" si="26"/>
        <v>0</v>
      </c>
      <c r="AG101" s="1371">
        <f t="shared" si="25"/>
        <v>0</v>
      </c>
      <c r="AH101" s="1359" t="e">
        <f>HLOOKUP($AH$13,liquidez,85,0)</f>
        <v>#N/A</v>
      </c>
      <c r="AJ101" s="1360">
        <f>Captura!AI171</f>
        <v>0</v>
      </c>
    </row>
    <row r="102" spans="1:36">
      <c r="A102" s="1118">
        <f t="shared" ca="1" si="15"/>
        <v>4</v>
      </c>
      <c r="B102" s="1101">
        <f t="shared" si="16"/>
        <v>0</v>
      </c>
      <c r="C102" s="2149">
        <f t="shared" si="17"/>
        <v>0</v>
      </c>
      <c r="D102" s="2150">
        <f t="shared" si="21"/>
        <v>0</v>
      </c>
      <c r="E102" s="2145">
        <f t="shared" si="22"/>
        <v>0</v>
      </c>
      <c r="F102" s="2145">
        <f t="shared" si="18"/>
        <v>0</v>
      </c>
      <c r="G102" s="2145">
        <f t="shared" si="23"/>
        <v>0</v>
      </c>
      <c r="H102" s="2145">
        <f>IF(K101&lt;0.01,0,IF(Adm!$S$4=Adm!$S$8,0,K101*Adm!$V$4))</f>
        <v>0</v>
      </c>
      <c r="I102" s="2145">
        <f>IF(K101&lt;0.01,0,IF($I$16&lt;&gt;"",E102*Adm!$O$8,0))</f>
        <v>0</v>
      </c>
      <c r="J102" s="2145">
        <f t="shared" si="19"/>
        <v>0</v>
      </c>
      <c r="K102" s="2145">
        <f t="shared" si="20"/>
        <v>0</v>
      </c>
      <c r="L102" s="2146"/>
      <c r="W102" s="1352">
        <f t="shared" si="24"/>
        <v>1</v>
      </c>
      <c r="X102" s="1367">
        <f>IF(W102=1,Cal!$AC$127,0)</f>
        <v>0</v>
      </c>
      <c r="Z102" s="1153"/>
      <c r="AC102" s="1375">
        <f t="shared" si="27"/>
        <v>0</v>
      </c>
      <c r="AD102" s="1373">
        <f t="shared" si="28"/>
        <v>0</v>
      </c>
      <c r="AE102" s="1373">
        <f t="shared" si="29"/>
        <v>0</v>
      </c>
      <c r="AF102" s="1373">
        <f t="shared" si="26"/>
        <v>0</v>
      </c>
      <c r="AG102" s="1371">
        <f t="shared" si="25"/>
        <v>0</v>
      </c>
      <c r="AH102" s="1359" t="e">
        <f>HLOOKUP($AH$13,liquidez,86,0)</f>
        <v>#N/A</v>
      </c>
      <c r="AJ102" s="1360">
        <f>Captura!AI172</f>
        <v>0</v>
      </c>
    </row>
    <row r="103" spans="1:36">
      <c r="A103" s="1118">
        <f t="shared" ca="1" si="15"/>
        <v>5</v>
      </c>
      <c r="B103" s="1101">
        <f t="shared" si="16"/>
        <v>0</v>
      </c>
      <c r="C103" s="2149">
        <f t="shared" si="17"/>
        <v>0</v>
      </c>
      <c r="D103" s="2150">
        <f t="shared" si="21"/>
        <v>0</v>
      </c>
      <c r="E103" s="2145">
        <f t="shared" si="22"/>
        <v>0</v>
      </c>
      <c r="F103" s="2145">
        <f t="shared" si="18"/>
        <v>0</v>
      </c>
      <c r="G103" s="2145">
        <f t="shared" si="23"/>
        <v>0</v>
      </c>
      <c r="H103" s="2145">
        <f>IF(K102&lt;0.01,0,IF(Adm!$S$4=Adm!$S$8,0,K102*Adm!$V$4))</f>
        <v>0</v>
      </c>
      <c r="I103" s="2145">
        <f>IF(K102&lt;0.01,0,IF($I$16&lt;&gt;"",E103*Adm!$O$8,0))</f>
        <v>0</v>
      </c>
      <c r="J103" s="2145">
        <f t="shared" si="19"/>
        <v>0</v>
      </c>
      <c r="K103" s="2145">
        <f t="shared" si="20"/>
        <v>0</v>
      </c>
      <c r="L103" s="2146"/>
      <c r="W103" s="1352">
        <f t="shared" si="24"/>
        <v>2</v>
      </c>
      <c r="X103" s="1367">
        <f>IF(W103=1,Cal!$AC$127,0)</f>
        <v>0</v>
      </c>
      <c r="Z103" s="1153"/>
      <c r="AC103" s="1375">
        <f t="shared" si="27"/>
        <v>0</v>
      </c>
      <c r="AD103" s="1373">
        <f t="shared" si="28"/>
        <v>0</v>
      </c>
      <c r="AE103" s="1373">
        <f t="shared" si="29"/>
        <v>0</v>
      </c>
      <c r="AF103" s="1373">
        <f t="shared" si="26"/>
        <v>0</v>
      </c>
      <c r="AG103" s="1371">
        <f t="shared" si="25"/>
        <v>0</v>
      </c>
      <c r="AH103" s="1359" t="e">
        <f>HLOOKUP($AH$13,liquidez,87,0)</f>
        <v>#N/A</v>
      </c>
      <c r="AJ103" s="1360">
        <f>Captura!AI173</f>
        <v>0</v>
      </c>
    </row>
    <row r="104" spans="1:36">
      <c r="A104" s="1118">
        <f t="shared" ca="1" si="15"/>
        <v>6</v>
      </c>
      <c r="B104" s="1101">
        <f t="shared" si="16"/>
        <v>0</v>
      </c>
      <c r="C104" s="2149">
        <f t="shared" si="17"/>
        <v>0</v>
      </c>
      <c r="D104" s="2150">
        <f t="shared" si="21"/>
        <v>0</v>
      </c>
      <c r="E104" s="2145">
        <f t="shared" si="22"/>
        <v>0</v>
      </c>
      <c r="F104" s="2145">
        <f t="shared" si="18"/>
        <v>0</v>
      </c>
      <c r="G104" s="2145">
        <f t="shared" si="23"/>
        <v>0</v>
      </c>
      <c r="H104" s="2145">
        <f>IF(K103&lt;0.01,0,IF(Adm!$S$4=Adm!$S$8,0,K103*Adm!$V$4))</f>
        <v>0</v>
      </c>
      <c r="I104" s="2145">
        <f>IF(K103&lt;0.01,0,IF($I$16&lt;&gt;"",E104*Adm!$O$8,0))</f>
        <v>0</v>
      </c>
      <c r="J104" s="2145">
        <f t="shared" si="19"/>
        <v>0</v>
      </c>
      <c r="K104" s="2145">
        <f t="shared" si="20"/>
        <v>0</v>
      </c>
      <c r="L104" s="2146"/>
      <c r="W104" s="1352">
        <f t="shared" si="24"/>
        <v>3</v>
      </c>
      <c r="X104" s="1367">
        <f>IF(W104=1,Cal!$AC$127,0)</f>
        <v>0</v>
      </c>
      <c r="Z104" s="1153"/>
      <c r="AC104" s="1375">
        <f t="shared" si="27"/>
        <v>0</v>
      </c>
      <c r="AD104" s="1373">
        <f t="shared" si="28"/>
        <v>0</v>
      </c>
      <c r="AE104" s="1373">
        <f t="shared" si="29"/>
        <v>0</v>
      </c>
      <c r="AF104" s="1373">
        <f t="shared" si="26"/>
        <v>0</v>
      </c>
      <c r="AG104" s="1371">
        <f t="shared" si="25"/>
        <v>0</v>
      </c>
      <c r="AH104" s="1359" t="e">
        <f>HLOOKUP($AH$13,liquidez,88,0)</f>
        <v>#N/A</v>
      </c>
      <c r="AJ104" s="1360">
        <f>Captura!AI174</f>
        <v>0</v>
      </c>
    </row>
    <row r="105" spans="1:36">
      <c r="A105" s="1118">
        <f t="shared" ca="1" si="15"/>
        <v>7</v>
      </c>
      <c r="B105" s="1101">
        <f t="shared" si="16"/>
        <v>0</v>
      </c>
      <c r="C105" s="2149">
        <f t="shared" si="17"/>
        <v>0</v>
      </c>
      <c r="D105" s="2150">
        <f t="shared" si="21"/>
        <v>0</v>
      </c>
      <c r="E105" s="2145">
        <f t="shared" si="22"/>
        <v>0</v>
      </c>
      <c r="F105" s="2145">
        <f t="shared" si="18"/>
        <v>0</v>
      </c>
      <c r="G105" s="2145">
        <f t="shared" si="23"/>
        <v>0</v>
      </c>
      <c r="H105" s="2145">
        <f>IF(K104&lt;0.01,0,IF(Adm!$S$4=Adm!$S$8,0,K104*Adm!$V$4))</f>
        <v>0</v>
      </c>
      <c r="I105" s="2145">
        <f>IF(K104&lt;0.01,0,IF($I$16&lt;&gt;"",E105*Adm!$O$8,0))</f>
        <v>0</v>
      </c>
      <c r="J105" s="2145">
        <f t="shared" si="19"/>
        <v>0</v>
      </c>
      <c r="K105" s="2145">
        <f t="shared" si="20"/>
        <v>0</v>
      </c>
      <c r="L105" s="2146"/>
      <c r="W105" s="1352">
        <f t="shared" si="24"/>
        <v>4</v>
      </c>
      <c r="X105" s="1367">
        <f>IF(W105=1,Cal!$AC$127,0)</f>
        <v>0</v>
      </c>
      <c r="Z105" s="1153"/>
      <c r="AC105" s="1375">
        <f t="shared" si="27"/>
        <v>0</v>
      </c>
      <c r="AD105" s="1373">
        <f t="shared" si="28"/>
        <v>0</v>
      </c>
      <c r="AE105" s="1373">
        <f t="shared" si="29"/>
        <v>0</v>
      </c>
      <c r="AF105" s="1373">
        <f t="shared" si="26"/>
        <v>0</v>
      </c>
      <c r="AG105" s="1371">
        <f t="shared" si="25"/>
        <v>0</v>
      </c>
      <c r="AH105" s="1359" t="e">
        <f>HLOOKUP($AH$13,liquidez,89,0)</f>
        <v>#N/A</v>
      </c>
      <c r="AJ105" s="1360">
        <f>Captura!AI175</f>
        <v>0</v>
      </c>
    </row>
    <row r="106" spans="1:36">
      <c r="A106" s="1118">
        <f t="shared" ca="1" si="15"/>
        <v>8</v>
      </c>
      <c r="B106" s="1101">
        <f t="shared" si="16"/>
        <v>0</v>
      </c>
      <c r="C106" s="2149">
        <f t="shared" si="17"/>
        <v>0</v>
      </c>
      <c r="D106" s="2150">
        <f t="shared" si="21"/>
        <v>0</v>
      </c>
      <c r="E106" s="2145">
        <f t="shared" si="22"/>
        <v>0</v>
      </c>
      <c r="F106" s="2145">
        <f t="shared" si="18"/>
        <v>0</v>
      </c>
      <c r="G106" s="2145">
        <f t="shared" si="23"/>
        <v>0</v>
      </c>
      <c r="H106" s="2145">
        <f>IF(K105&lt;0.01,0,IF(Adm!$S$4=Adm!$S$8,0,K105*Adm!$V$4))</f>
        <v>0</v>
      </c>
      <c r="I106" s="2145">
        <f>IF(K105&lt;0.01,0,IF($I$16&lt;&gt;"",E106*Adm!$O$8,0))</f>
        <v>0</v>
      </c>
      <c r="J106" s="2145">
        <f t="shared" si="19"/>
        <v>0</v>
      </c>
      <c r="K106" s="2145">
        <f t="shared" si="20"/>
        <v>0</v>
      </c>
      <c r="L106" s="2146"/>
      <c r="W106" s="1352">
        <f t="shared" si="24"/>
        <v>5</v>
      </c>
      <c r="X106" s="1367">
        <f>IF(W106=1,Cal!$AC$127,0)</f>
        <v>0</v>
      </c>
      <c r="Z106" s="1153"/>
      <c r="AC106" s="1375">
        <f t="shared" si="27"/>
        <v>0</v>
      </c>
      <c r="AD106" s="1373">
        <f t="shared" si="28"/>
        <v>0</v>
      </c>
      <c r="AE106" s="1373">
        <f t="shared" si="29"/>
        <v>0</v>
      </c>
      <c r="AF106" s="1373">
        <f t="shared" si="26"/>
        <v>0</v>
      </c>
      <c r="AG106" s="1371">
        <f t="shared" si="25"/>
        <v>0</v>
      </c>
      <c r="AH106" s="1359" t="e">
        <f>HLOOKUP($AH$13,liquidez,90,0)</f>
        <v>#N/A</v>
      </c>
      <c r="AJ106" s="1360">
        <f>Captura!AI176</f>
        <v>0</v>
      </c>
    </row>
    <row r="107" spans="1:36">
      <c r="A107" s="1118">
        <f t="shared" ca="1" si="15"/>
        <v>9</v>
      </c>
      <c r="B107" s="1101">
        <f t="shared" si="16"/>
        <v>0</v>
      </c>
      <c r="C107" s="2149">
        <f t="shared" si="17"/>
        <v>0</v>
      </c>
      <c r="D107" s="2150">
        <f t="shared" si="21"/>
        <v>0</v>
      </c>
      <c r="E107" s="2145">
        <f t="shared" si="22"/>
        <v>0</v>
      </c>
      <c r="F107" s="2145">
        <f t="shared" si="18"/>
        <v>0</v>
      </c>
      <c r="G107" s="2145">
        <f t="shared" si="23"/>
        <v>0</v>
      </c>
      <c r="H107" s="2145">
        <f>IF(K106&lt;0.01,0,IF(Adm!$S$4=Adm!$S$8,0,K106*Adm!$V$4))</f>
        <v>0</v>
      </c>
      <c r="I107" s="2145">
        <f>IF(K106&lt;0.01,0,IF($I$16&lt;&gt;"",E107*Adm!$O$8,0))</f>
        <v>0</v>
      </c>
      <c r="J107" s="2145">
        <f t="shared" si="19"/>
        <v>0</v>
      </c>
      <c r="K107" s="2145">
        <f t="shared" si="20"/>
        <v>0</v>
      </c>
      <c r="L107" s="2146"/>
      <c r="W107" s="1352">
        <f t="shared" si="24"/>
        <v>6</v>
      </c>
      <c r="X107" s="1367">
        <f>IF(W107=1,Cal!$AC$127,0)</f>
        <v>0</v>
      </c>
      <c r="Z107" s="1153"/>
      <c r="AC107" s="1375">
        <f t="shared" si="27"/>
        <v>0</v>
      </c>
      <c r="AD107" s="1373">
        <f t="shared" si="28"/>
        <v>0</v>
      </c>
      <c r="AE107" s="1373">
        <f t="shared" si="29"/>
        <v>0</v>
      </c>
      <c r="AF107" s="1373">
        <f t="shared" si="26"/>
        <v>0</v>
      </c>
      <c r="AG107" s="1371">
        <f t="shared" si="25"/>
        <v>0</v>
      </c>
      <c r="AH107" s="1359" t="e">
        <f>HLOOKUP($AH$13,liquidez,91,0)</f>
        <v>#N/A</v>
      </c>
      <c r="AJ107" s="1360">
        <f>Captura!AI177</f>
        <v>0</v>
      </c>
    </row>
    <row r="108" spans="1:36">
      <c r="A108" s="1118">
        <f t="shared" ca="1" si="15"/>
        <v>10</v>
      </c>
      <c r="B108" s="1101">
        <f t="shared" si="16"/>
        <v>0</v>
      </c>
      <c r="C108" s="2149">
        <f t="shared" si="17"/>
        <v>0</v>
      </c>
      <c r="D108" s="2150">
        <f t="shared" si="21"/>
        <v>0</v>
      </c>
      <c r="E108" s="2145">
        <f t="shared" si="22"/>
        <v>0</v>
      </c>
      <c r="F108" s="2145">
        <f t="shared" si="18"/>
        <v>0</v>
      </c>
      <c r="G108" s="2145">
        <f t="shared" si="23"/>
        <v>0</v>
      </c>
      <c r="H108" s="2145">
        <f>IF(K107&lt;0.01,0,IF(Adm!$S$4=Adm!$S$8,0,K107*Adm!$V$4))</f>
        <v>0</v>
      </c>
      <c r="I108" s="2145">
        <f>IF(K107&lt;0.01,0,IF($I$16&lt;&gt;"",E108*Adm!$O$8,0))</f>
        <v>0</v>
      </c>
      <c r="J108" s="2145">
        <f t="shared" si="19"/>
        <v>0</v>
      </c>
      <c r="K108" s="2145">
        <f t="shared" si="20"/>
        <v>0</v>
      </c>
      <c r="L108" s="2146"/>
      <c r="W108" s="1352">
        <f t="shared" si="24"/>
        <v>7</v>
      </c>
      <c r="X108" s="1367">
        <f>IF(W108=1,Cal!$AC$127,0)</f>
        <v>0</v>
      </c>
      <c r="Z108" s="1153"/>
      <c r="AC108" s="1375">
        <f t="shared" si="27"/>
        <v>0</v>
      </c>
      <c r="AD108" s="1373">
        <f t="shared" si="28"/>
        <v>0</v>
      </c>
      <c r="AE108" s="1373">
        <f t="shared" si="29"/>
        <v>0</v>
      </c>
      <c r="AF108" s="1373">
        <f t="shared" si="26"/>
        <v>0</v>
      </c>
      <c r="AG108" s="1371">
        <f t="shared" si="25"/>
        <v>0</v>
      </c>
      <c r="AH108" s="1359" t="e">
        <f>HLOOKUP($AH$13,liquidez,92,0)</f>
        <v>#N/A</v>
      </c>
      <c r="AJ108" s="1360">
        <f>Captura!AI178</f>
        <v>0</v>
      </c>
    </row>
    <row r="109" spans="1:36">
      <c r="A109" s="1118">
        <f t="shared" ca="1" si="15"/>
        <v>11</v>
      </c>
      <c r="B109" s="1101">
        <f t="shared" si="16"/>
        <v>0</v>
      </c>
      <c r="C109" s="2149">
        <f t="shared" si="17"/>
        <v>0</v>
      </c>
      <c r="D109" s="2150">
        <f t="shared" si="21"/>
        <v>0</v>
      </c>
      <c r="E109" s="2145">
        <f t="shared" si="22"/>
        <v>0</v>
      </c>
      <c r="F109" s="2145">
        <f t="shared" si="18"/>
        <v>0</v>
      </c>
      <c r="G109" s="2145">
        <f t="shared" si="23"/>
        <v>0</v>
      </c>
      <c r="H109" s="2145">
        <f>IF(K108&lt;0.01,0,IF(Adm!$S$4=Adm!$S$8,0,K108*Adm!$V$4))</f>
        <v>0</v>
      </c>
      <c r="I109" s="2145">
        <f>IF(K108&lt;0.01,0,IF($I$16&lt;&gt;"",E109*Adm!$O$8,0))</f>
        <v>0</v>
      </c>
      <c r="J109" s="2145">
        <f t="shared" si="19"/>
        <v>0</v>
      </c>
      <c r="K109" s="2145">
        <f t="shared" si="20"/>
        <v>0</v>
      </c>
      <c r="L109" s="2146"/>
      <c r="W109" s="1352">
        <f t="shared" si="24"/>
        <v>8</v>
      </c>
      <c r="X109" s="1367">
        <f>IF(W109=1,Cal!$AC$127,0)</f>
        <v>0</v>
      </c>
      <c r="Z109" s="1153"/>
      <c r="AC109" s="1375">
        <f t="shared" si="27"/>
        <v>0</v>
      </c>
      <c r="AD109" s="1373">
        <f t="shared" si="28"/>
        <v>0</v>
      </c>
      <c r="AE109" s="1373">
        <f t="shared" si="29"/>
        <v>0</v>
      </c>
      <c r="AF109" s="1373">
        <f t="shared" si="26"/>
        <v>0</v>
      </c>
      <c r="AG109" s="1371">
        <f t="shared" si="25"/>
        <v>0</v>
      </c>
      <c r="AH109" s="1359" t="e">
        <f>HLOOKUP($AH$13,liquidez,93,0)</f>
        <v>#N/A</v>
      </c>
      <c r="AJ109" s="1360">
        <f>Captura!AI179</f>
        <v>0</v>
      </c>
    </row>
    <row r="110" spans="1:36">
      <c r="A110" s="1118">
        <f t="shared" ca="1" si="15"/>
        <v>12</v>
      </c>
      <c r="B110" s="1101">
        <f t="shared" si="16"/>
        <v>0</v>
      </c>
      <c r="C110" s="2149">
        <f t="shared" si="17"/>
        <v>0</v>
      </c>
      <c r="D110" s="2150">
        <f t="shared" si="21"/>
        <v>0</v>
      </c>
      <c r="E110" s="2145">
        <f t="shared" si="22"/>
        <v>0</v>
      </c>
      <c r="F110" s="2145">
        <f t="shared" si="18"/>
        <v>0</v>
      </c>
      <c r="G110" s="2145">
        <f t="shared" si="23"/>
        <v>0</v>
      </c>
      <c r="H110" s="2145">
        <f>IF(K109&lt;0.01,0,IF(Adm!$S$4=Adm!$S$8,0,K109*Adm!$V$4))</f>
        <v>0</v>
      </c>
      <c r="I110" s="2145">
        <f>IF(K109&lt;0.01,0,IF($I$16&lt;&gt;"",E110*Adm!$O$8,0))</f>
        <v>0</v>
      </c>
      <c r="J110" s="2145">
        <f t="shared" si="19"/>
        <v>0</v>
      </c>
      <c r="K110" s="2145">
        <f t="shared" si="20"/>
        <v>0</v>
      </c>
      <c r="L110" s="2146"/>
      <c r="W110" s="1352">
        <f t="shared" si="24"/>
        <v>9</v>
      </c>
      <c r="X110" s="1367">
        <f>IF(W110=1,Cal!$AC$127,0)</f>
        <v>0</v>
      </c>
      <c r="Z110" s="1153"/>
      <c r="AC110" s="1375">
        <f t="shared" si="27"/>
        <v>0</v>
      </c>
      <c r="AD110" s="1373">
        <f t="shared" si="28"/>
        <v>0</v>
      </c>
      <c r="AE110" s="1373">
        <f t="shared" si="29"/>
        <v>0</v>
      </c>
      <c r="AF110" s="1373">
        <f t="shared" si="26"/>
        <v>0</v>
      </c>
      <c r="AG110" s="1371">
        <f t="shared" si="25"/>
        <v>0</v>
      </c>
      <c r="AH110" s="1359" t="e">
        <f>HLOOKUP($AH$13,liquidez,94,0)</f>
        <v>#N/A</v>
      </c>
      <c r="AJ110" s="1360">
        <f>Captura!AI180</f>
        <v>0</v>
      </c>
    </row>
    <row r="111" spans="1:36">
      <c r="A111" s="1118">
        <f t="shared" ca="1" si="15"/>
        <v>1</v>
      </c>
      <c r="B111" s="1101">
        <f t="shared" si="16"/>
        <v>0</v>
      </c>
      <c r="C111" s="2149">
        <f t="shared" si="17"/>
        <v>0</v>
      </c>
      <c r="D111" s="2150">
        <f t="shared" si="21"/>
        <v>0</v>
      </c>
      <c r="E111" s="2145">
        <f t="shared" si="22"/>
        <v>0</v>
      </c>
      <c r="F111" s="2145">
        <f t="shared" si="18"/>
        <v>0</v>
      </c>
      <c r="G111" s="2145">
        <f t="shared" si="23"/>
        <v>0</v>
      </c>
      <c r="H111" s="2145">
        <f>IF(K110&lt;0.01,0,IF(Adm!$S$4=Adm!$S$8,0,K110*Adm!$V$4))</f>
        <v>0</v>
      </c>
      <c r="I111" s="2145">
        <f>IF(K110&lt;0.01,0,IF($I$16&lt;&gt;"",E111*Adm!$O$8,0))</f>
        <v>0</v>
      </c>
      <c r="J111" s="2145">
        <f t="shared" si="19"/>
        <v>0</v>
      </c>
      <c r="K111" s="2145">
        <f t="shared" si="20"/>
        <v>0</v>
      </c>
      <c r="L111" s="2146"/>
      <c r="W111" s="1352">
        <f t="shared" si="24"/>
        <v>10</v>
      </c>
      <c r="X111" s="1367">
        <f>IF(W111=1,Cal!$AC$127,0)</f>
        <v>0</v>
      </c>
      <c r="Z111" s="1153"/>
      <c r="AC111" s="1375">
        <f t="shared" si="27"/>
        <v>0</v>
      </c>
      <c r="AD111" s="1373">
        <f t="shared" si="28"/>
        <v>0</v>
      </c>
      <c r="AE111" s="1373">
        <f t="shared" si="29"/>
        <v>0</v>
      </c>
      <c r="AF111" s="1373">
        <f t="shared" si="26"/>
        <v>0</v>
      </c>
      <c r="AG111" s="1371">
        <f t="shared" si="25"/>
        <v>0</v>
      </c>
      <c r="AH111" s="1359" t="e">
        <f>HLOOKUP($AH$13,liquidez,95,0)</f>
        <v>#N/A</v>
      </c>
      <c r="AJ111" s="1360">
        <f>Captura!AI181</f>
        <v>0</v>
      </c>
    </row>
    <row r="112" spans="1:36">
      <c r="A112" s="1118">
        <f t="shared" ca="1" si="15"/>
        <v>2</v>
      </c>
      <c r="B112" s="1101">
        <f t="shared" si="16"/>
        <v>0</v>
      </c>
      <c r="C112" s="2149">
        <f t="shared" si="17"/>
        <v>0</v>
      </c>
      <c r="D112" s="2150">
        <f t="shared" si="21"/>
        <v>0</v>
      </c>
      <c r="E112" s="2145">
        <f t="shared" si="22"/>
        <v>0</v>
      </c>
      <c r="F112" s="2145">
        <f t="shared" si="18"/>
        <v>0</v>
      </c>
      <c r="G112" s="2145">
        <f t="shared" si="23"/>
        <v>0</v>
      </c>
      <c r="H112" s="2145">
        <f>IF(K111&lt;0.01,0,IF(Adm!$S$4=Adm!$S$8,0,K111*Adm!$V$4))</f>
        <v>0</v>
      </c>
      <c r="I112" s="2145">
        <f>IF(K111&lt;0.01,0,IF($I$16&lt;&gt;"",E112*Adm!$O$8,0))</f>
        <v>0</v>
      </c>
      <c r="J112" s="2145">
        <f t="shared" si="19"/>
        <v>0</v>
      </c>
      <c r="K112" s="2145">
        <f t="shared" si="20"/>
        <v>0</v>
      </c>
      <c r="L112" s="2146"/>
      <c r="W112" s="1352">
        <f t="shared" si="24"/>
        <v>11</v>
      </c>
      <c r="X112" s="1367">
        <f>IF(W112=1,Cal!$AC$127,0)</f>
        <v>0</v>
      </c>
      <c r="Z112" s="1153"/>
      <c r="AC112" s="1375">
        <f t="shared" si="27"/>
        <v>0</v>
      </c>
      <c r="AD112" s="1373">
        <f t="shared" si="28"/>
        <v>0</v>
      </c>
      <c r="AE112" s="1373">
        <f t="shared" si="29"/>
        <v>0</v>
      </c>
      <c r="AF112" s="1373">
        <f t="shared" si="26"/>
        <v>0</v>
      </c>
      <c r="AG112" s="1371">
        <f t="shared" si="25"/>
        <v>0</v>
      </c>
      <c r="AH112" s="1359" t="e">
        <f>HLOOKUP($AH$13,liquidez,96,0)</f>
        <v>#N/A</v>
      </c>
      <c r="AJ112" s="1360">
        <f>Captura!AI182</f>
        <v>0</v>
      </c>
    </row>
    <row r="113" spans="1:36">
      <c r="A113" s="1118">
        <f t="shared" ca="1" si="15"/>
        <v>3</v>
      </c>
      <c r="B113" s="1101">
        <f t="shared" si="16"/>
        <v>0</v>
      </c>
      <c r="C113" s="2149">
        <f t="shared" si="17"/>
        <v>0</v>
      </c>
      <c r="D113" s="2150">
        <f t="shared" si="21"/>
        <v>0</v>
      </c>
      <c r="E113" s="2145">
        <f t="shared" si="22"/>
        <v>0</v>
      </c>
      <c r="F113" s="2145">
        <f t="shared" si="18"/>
        <v>0</v>
      </c>
      <c r="G113" s="2145">
        <f t="shared" si="23"/>
        <v>0</v>
      </c>
      <c r="H113" s="2145">
        <f>IF(K112&lt;0.01,0,IF(Adm!$S$4=Adm!$S$8,0,K112*Adm!$V$4))</f>
        <v>0</v>
      </c>
      <c r="I113" s="2145">
        <f>IF(K112&lt;0.01,0,IF($I$16&lt;&gt;"",E113*Adm!$O$8,0))</f>
        <v>0</v>
      </c>
      <c r="J113" s="2145">
        <f t="shared" si="19"/>
        <v>0</v>
      </c>
      <c r="K113" s="2145">
        <f t="shared" si="20"/>
        <v>0</v>
      </c>
      <c r="L113" s="2146"/>
      <c r="W113" s="1352">
        <f t="shared" si="24"/>
        <v>12</v>
      </c>
      <c r="X113" s="1367">
        <f>IF(W113=1,Cal!$AC$127,0)</f>
        <v>0</v>
      </c>
      <c r="Z113" s="1153"/>
      <c r="AC113" s="1375">
        <f t="shared" si="27"/>
        <v>0</v>
      </c>
      <c r="AD113" s="1373">
        <f t="shared" si="28"/>
        <v>0</v>
      </c>
      <c r="AE113" s="1373">
        <f t="shared" si="29"/>
        <v>0</v>
      </c>
      <c r="AF113" s="1373">
        <f t="shared" si="26"/>
        <v>0</v>
      </c>
      <c r="AG113" s="1371">
        <f t="shared" si="25"/>
        <v>0</v>
      </c>
      <c r="AH113" s="1359" t="e">
        <f>HLOOKUP($AH$13,liquidez,97,0)</f>
        <v>#N/A</v>
      </c>
      <c r="AJ113" s="1360">
        <f>Captura!AI183</f>
        <v>0</v>
      </c>
    </row>
    <row r="114" spans="1:36">
      <c r="A114" s="1118">
        <f t="shared" ca="1" si="15"/>
        <v>4</v>
      </c>
      <c r="B114" s="1101">
        <f t="shared" si="16"/>
        <v>0</v>
      </c>
      <c r="C114" s="2149">
        <f t="shared" si="17"/>
        <v>0</v>
      </c>
      <c r="D114" s="2150">
        <f t="shared" si="21"/>
        <v>0</v>
      </c>
      <c r="E114" s="2145">
        <f t="shared" si="22"/>
        <v>0</v>
      </c>
      <c r="F114" s="2145">
        <f t="shared" si="18"/>
        <v>0</v>
      </c>
      <c r="G114" s="2145">
        <f t="shared" si="23"/>
        <v>0</v>
      </c>
      <c r="H114" s="2145">
        <f>IF(K113&lt;0.01,0,IF(Adm!$S$4=Adm!$S$8,0,K113*Adm!$V$4))</f>
        <v>0</v>
      </c>
      <c r="I114" s="2145">
        <f>IF(K113&lt;0.01,0,IF($I$16&lt;&gt;"",E114*Adm!$O$8,0))</f>
        <v>0</v>
      </c>
      <c r="J114" s="2145">
        <f t="shared" si="19"/>
        <v>0</v>
      </c>
      <c r="K114" s="2145">
        <f t="shared" si="20"/>
        <v>0</v>
      </c>
      <c r="L114" s="2146"/>
      <c r="W114" s="1352">
        <f t="shared" si="24"/>
        <v>1</v>
      </c>
      <c r="X114" s="1367">
        <f>IF(W114=1,Cal!$AC$127,0)</f>
        <v>0</v>
      </c>
      <c r="Z114" s="1153"/>
      <c r="AC114" s="1375">
        <f t="shared" si="27"/>
        <v>0</v>
      </c>
      <c r="AD114" s="1373">
        <f t="shared" si="28"/>
        <v>0</v>
      </c>
      <c r="AE114" s="1373">
        <f t="shared" si="29"/>
        <v>0</v>
      </c>
      <c r="AF114" s="1373">
        <f t="shared" si="26"/>
        <v>0</v>
      </c>
      <c r="AG114" s="1371">
        <f t="shared" si="25"/>
        <v>0</v>
      </c>
      <c r="AH114" s="1359" t="e">
        <f>HLOOKUP($AH$13,liquidez,98,0)</f>
        <v>#N/A</v>
      </c>
      <c r="AJ114" s="1360">
        <f>Captura!AI184</f>
        <v>0</v>
      </c>
    </row>
    <row r="115" spans="1:36">
      <c r="A115" s="1118">
        <f t="shared" ca="1" si="15"/>
        <v>5</v>
      </c>
      <c r="B115" s="1101">
        <f t="shared" si="16"/>
        <v>0</v>
      </c>
      <c r="C115" s="2149">
        <f t="shared" si="17"/>
        <v>0</v>
      </c>
      <c r="D115" s="2150">
        <f t="shared" si="21"/>
        <v>0</v>
      </c>
      <c r="E115" s="2145">
        <f t="shared" si="22"/>
        <v>0</v>
      </c>
      <c r="F115" s="2145">
        <f t="shared" si="18"/>
        <v>0</v>
      </c>
      <c r="G115" s="2145">
        <f t="shared" si="23"/>
        <v>0</v>
      </c>
      <c r="H115" s="2145">
        <f>IF(K114&lt;0.01,0,IF(Adm!$S$4=Adm!$S$8,0,K114*Adm!$V$4))</f>
        <v>0</v>
      </c>
      <c r="I115" s="2145">
        <f>IF(K114&lt;0.01,0,IF($I$16&lt;&gt;"",E115*Adm!$O$8,0))</f>
        <v>0</v>
      </c>
      <c r="J115" s="2145">
        <f t="shared" si="19"/>
        <v>0</v>
      </c>
      <c r="K115" s="2145">
        <f t="shared" si="20"/>
        <v>0</v>
      </c>
      <c r="L115" s="2146"/>
      <c r="W115" s="1352">
        <f t="shared" si="24"/>
        <v>2</v>
      </c>
      <c r="X115" s="1367">
        <f>IF(W115=1,Cal!$AC$127,0)</f>
        <v>0</v>
      </c>
      <c r="Z115" s="1153"/>
      <c r="AC115" s="1375">
        <f t="shared" si="27"/>
        <v>0</v>
      </c>
      <c r="AD115" s="1373">
        <f t="shared" si="28"/>
        <v>0</v>
      </c>
      <c r="AE115" s="1373">
        <f t="shared" si="29"/>
        <v>0</v>
      </c>
      <c r="AF115" s="1373">
        <f t="shared" si="26"/>
        <v>0</v>
      </c>
      <c r="AG115" s="1371">
        <f t="shared" si="25"/>
        <v>0</v>
      </c>
      <c r="AH115" s="1359" t="e">
        <f>HLOOKUP($AH$13,liquidez,99,0)</f>
        <v>#N/A</v>
      </c>
      <c r="AJ115" s="1360">
        <f>Captura!AI185</f>
        <v>0</v>
      </c>
    </row>
    <row r="116" spans="1:36">
      <c r="A116" s="1118">
        <f t="shared" ca="1" si="15"/>
        <v>6</v>
      </c>
      <c r="B116" s="1101">
        <f t="shared" si="16"/>
        <v>0</v>
      </c>
      <c r="C116" s="2149">
        <f t="shared" si="17"/>
        <v>0</v>
      </c>
      <c r="D116" s="2150">
        <f t="shared" si="21"/>
        <v>0</v>
      </c>
      <c r="E116" s="2145">
        <f t="shared" si="22"/>
        <v>0</v>
      </c>
      <c r="F116" s="2145">
        <f t="shared" si="18"/>
        <v>0</v>
      </c>
      <c r="G116" s="2145">
        <f t="shared" si="23"/>
        <v>0</v>
      </c>
      <c r="H116" s="2145">
        <f>IF(K115&lt;0.01,0,IF(Adm!$S$4=Adm!$S$8,0,K115*Adm!$V$4))</f>
        <v>0</v>
      </c>
      <c r="I116" s="2145">
        <f>IF(K115&lt;0.01,0,IF($I$16&lt;&gt;"",E116*Adm!$O$8,0))</f>
        <v>0</v>
      </c>
      <c r="J116" s="2145">
        <f t="shared" si="19"/>
        <v>0</v>
      </c>
      <c r="K116" s="2145">
        <f t="shared" si="20"/>
        <v>0</v>
      </c>
      <c r="L116" s="2146"/>
      <c r="W116" s="1352">
        <f t="shared" si="24"/>
        <v>3</v>
      </c>
      <c r="X116" s="1367">
        <f>IF(W116=1,Cal!$AC$127,0)</f>
        <v>0</v>
      </c>
      <c r="Z116" s="1153"/>
      <c r="AC116" s="1375">
        <f t="shared" si="27"/>
        <v>0</v>
      </c>
      <c r="AD116" s="1373">
        <f t="shared" si="28"/>
        <v>0</v>
      </c>
      <c r="AE116" s="1373">
        <f t="shared" si="29"/>
        <v>0</v>
      </c>
      <c r="AF116" s="1373">
        <f t="shared" si="26"/>
        <v>0</v>
      </c>
      <c r="AG116" s="1371">
        <f t="shared" si="25"/>
        <v>0</v>
      </c>
      <c r="AH116" s="1359" t="e">
        <f>HLOOKUP($AH$13,liquidez,100,0)</f>
        <v>#N/A</v>
      </c>
      <c r="AJ116" s="1360">
        <f>Captura!AI186</f>
        <v>0</v>
      </c>
    </row>
    <row r="117" spans="1:36">
      <c r="A117" s="1118">
        <f t="shared" ca="1" si="15"/>
        <v>7</v>
      </c>
      <c r="B117" s="1101">
        <f t="shared" si="16"/>
        <v>0</v>
      </c>
      <c r="C117" s="2149">
        <f t="shared" si="17"/>
        <v>0</v>
      </c>
      <c r="D117" s="2150">
        <f t="shared" si="21"/>
        <v>0</v>
      </c>
      <c r="E117" s="2145">
        <f t="shared" si="22"/>
        <v>0</v>
      </c>
      <c r="F117" s="2145">
        <f t="shared" si="18"/>
        <v>0</v>
      </c>
      <c r="G117" s="2145">
        <f t="shared" si="23"/>
        <v>0</v>
      </c>
      <c r="H117" s="2145">
        <f>IF(K116&lt;0.01,0,IF(Adm!$S$4=Adm!$S$8,0,K116*Adm!$V$4))</f>
        <v>0</v>
      </c>
      <c r="I117" s="2145">
        <f>IF(K116&lt;0.01,0,IF($I$16&lt;&gt;"",E117*Adm!$O$8,0))</f>
        <v>0</v>
      </c>
      <c r="J117" s="2145">
        <f t="shared" si="19"/>
        <v>0</v>
      </c>
      <c r="K117" s="2145">
        <f t="shared" si="20"/>
        <v>0</v>
      </c>
      <c r="L117" s="2146"/>
      <c r="W117" s="1352">
        <f t="shared" si="24"/>
        <v>4</v>
      </c>
      <c r="X117" s="1367">
        <f>IF(W117=1,Cal!$AC$127,0)</f>
        <v>0</v>
      </c>
      <c r="Z117" s="1153"/>
      <c r="AC117" s="1375">
        <f t="shared" si="27"/>
        <v>0</v>
      </c>
      <c r="AD117" s="1373">
        <f t="shared" si="28"/>
        <v>0</v>
      </c>
      <c r="AE117" s="1373">
        <f t="shared" si="29"/>
        <v>0</v>
      </c>
      <c r="AF117" s="1373">
        <f t="shared" si="26"/>
        <v>0</v>
      </c>
      <c r="AG117" s="1371">
        <f t="shared" si="25"/>
        <v>0</v>
      </c>
      <c r="AH117" s="1359" t="e">
        <f>HLOOKUP($AH$13,liquidez,101,0)</f>
        <v>#N/A</v>
      </c>
      <c r="AJ117" s="1360">
        <f>Captura!AI187</f>
        <v>0</v>
      </c>
    </row>
    <row r="118" spans="1:36">
      <c r="A118" s="1118">
        <f t="shared" ca="1" si="15"/>
        <v>8</v>
      </c>
      <c r="B118" s="1101">
        <f t="shared" si="16"/>
        <v>0</v>
      </c>
      <c r="C118" s="2149">
        <f t="shared" si="17"/>
        <v>0</v>
      </c>
      <c r="D118" s="2150">
        <f t="shared" si="21"/>
        <v>0</v>
      </c>
      <c r="E118" s="2145">
        <f t="shared" si="22"/>
        <v>0</v>
      </c>
      <c r="F118" s="2145">
        <f t="shared" si="18"/>
        <v>0</v>
      </c>
      <c r="G118" s="2145">
        <f t="shared" si="23"/>
        <v>0</v>
      </c>
      <c r="H118" s="2145">
        <f>IF(K117&lt;0.01,0,IF(Adm!$S$4=Adm!$S$8,0,K117*Adm!$V$4))</f>
        <v>0</v>
      </c>
      <c r="I118" s="2145">
        <f>IF(K117&lt;0.01,0,IF($I$16&lt;&gt;"",E118*Adm!$O$8,0))</f>
        <v>0</v>
      </c>
      <c r="J118" s="2145">
        <f t="shared" si="19"/>
        <v>0</v>
      </c>
      <c r="K118" s="2145">
        <f t="shared" si="20"/>
        <v>0</v>
      </c>
      <c r="L118" s="2146"/>
      <c r="W118" s="1352">
        <f t="shared" si="24"/>
        <v>5</v>
      </c>
      <c r="X118" s="1367">
        <f>IF(W118=1,Cal!$AC$127,0)</f>
        <v>0</v>
      </c>
      <c r="Z118" s="1153"/>
      <c r="AC118" s="1375">
        <f t="shared" si="27"/>
        <v>0</v>
      </c>
      <c r="AD118" s="1373">
        <f t="shared" si="28"/>
        <v>0</v>
      </c>
      <c r="AE118" s="1373">
        <f t="shared" si="29"/>
        <v>0</v>
      </c>
      <c r="AF118" s="1373">
        <f t="shared" si="26"/>
        <v>0</v>
      </c>
      <c r="AG118" s="1371">
        <f t="shared" si="25"/>
        <v>0</v>
      </c>
      <c r="AH118" s="1359" t="e">
        <f>HLOOKUP($AH$13,liquidez,102,0)</f>
        <v>#N/A</v>
      </c>
      <c r="AJ118" s="1360">
        <f>Captura!AI188</f>
        <v>0</v>
      </c>
    </row>
    <row r="119" spans="1:36">
      <c r="A119" s="1118">
        <f t="shared" ca="1" si="15"/>
        <v>9</v>
      </c>
      <c r="B119" s="1101">
        <f t="shared" si="16"/>
        <v>0</v>
      </c>
      <c r="C119" s="2149">
        <f t="shared" si="17"/>
        <v>0</v>
      </c>
      <c r="D119" s="2150">
        <f t="shared" si="21"/>
        <v>0</v>
      </c>
      <c r="E119" s="2145">
        <f t="shared" si="22"/>
        <v>0</v>
      </c>
      <c r="F119" s="2145">
        <f t="shared" si="18"/>
        <v>0</v>
      </c>
      <c r="G119" s="2145">
        <f t="shared" si="23"/>
        <v>0</v>
      </c>
      <c r="H119" s="2145">
        <f>IF(K118&lt;0.01,0,IF(Adm!$S$4=Adm!$S$8,0,K118*Adm!$V$4))</f>
        <v>0</v>
      </c>
      <c r="I119" s="2145">
        <f>IF(K118&lt;0.01,0,IF($I$16&lt;&gt;"",E119*Adm!$O$8,0))</f>
        <v>0</v>
      </c>
      <c r="J119" s="2145">
        <f t="shared" si="19"/>
        <v>0</v>
      </c>
      <c r="K119" s="2145">
        <f t="shared" si="20"/>
        <v>0</v>
      </c>
      <c r="L119" s="2146"/>
      <c r="W119" s="1352">
        <f t="shared" si="24"/>
        <v>6</v>
      </c>
      <c r="X119" s="1367">
        <f>IF(W119=1,Cal!$AC$127,0)</f>
        <v>0</v>
      </c>
      <c r="Z119" s="1153"/>
      <c r="AC119" s="1375">
        <f t="shared" si="27"/>
        <v>0</v>
      </c>
      <c r="AD119" s="1373">
        <f t="shared" si="28"/>
        <v>0</v>
      </c>
      <c r="AE119" s="1373">
        <f t="shared" si="29"/>
        <v>0</v>
      </c>
      <c r="AF119" s="1373">
        <f t="shared" si="26"/>
        <v>0</v>
      </c>
      <c r="AG119" s="1371">
        <f t="shared" si="25"/>
        <v>0</v>
      </c>
      <c r="AH119" s="1359" t="e">
        <f>HLOOKUP($AH$13,liquidez,103,0)</f>
        <v>#N/A</v>
      </c>
      <c r="AJ119" s="1360">
        <f>Captura!AI189</f>
        <v>0</v>
      </c>
    </row>
    <row r="120" spans="1:36">
      <c r="A120" s="1118">
        <f t="shared" ca="1" si="15"/>
        <v>10</v>
      </c>
      <c r="B120" s="1101">
        <f t="shared" si="16"/>
        <v>0</v>
      </c>
      <c r="C120" s="2149">
        <f t="shared" si="17"/>
        <v>0</v>
      </c>
      <c r="D120" s="2150">
        <f t="shared" si="21"/>
        <v>0</v>
      </c>
      <c r="E120" s="2145">
        <f t="shared" si="22"/>
        <v>0</v>
      </c>
      <c r="F120" s="2145">
        <f t="shared" si="18"/>
        <v>0</v>
      </c>
      <c r="G120" s="2145">
        <f t="shared" si="23"/>
        <v>0</v>
      </c>
      <c r="H120" s="2145">
        <f>IF(K119&lt;0.01,0,IF(Adm!$S$4=Adm!$S$8,0,K119*Adm!$V$4))</f>
        <v>0</v>
      </c>
      <c r="I120" s="2145">
        <f>IF(K119&lt;0.01,0,IF($I$16&lt;&gt;"",E120*Adm!$O$8,0))</f>
        <v>0</v>
      </c>
      <c r="J120" s="2145">
        <f t="shared" si="19"/>
        <v>0</v>
      </c>
      <c r="K120" s="2145">
        <f t="shared" si="20"/>
        <v>0</v>
      </c>
      <c r="L120" s="2146"/>
      <c r="W120" s="1352">
        <f t="shared" si="24"/>
        <v>7</v>
      </c>
      <c r="X120" s="1367">
        <f>IF(W120=1,Cal!$AC$127,0)</f>
        <v>0</v>
      </c>
      <c r="Z120" s="1153"/>
      <c r="AC120" s="1375">
        <f t="shared" si="27"/>
        <v>0</v>
      </c>
      <c r="AD120" s="1373">
        <f t="shared" si="28"/>
        <v>0</v>
      </c>
      <c r="AE120" s="1373">
        <f t="shared" si="29"/>
        <v>0</v>
      </c>
      <c r="AF120" s="1373">
        <f t="shared" si="26"/>
        <v>0</v>
      </c>
      <c r="AG120" s="1371">
        <f t="shared" si="25"/>
        <v>0</v>
      </c>
      <c r="AH120" s="1359" t="e">
        <f>HLOOKUP($AH$13,liquidez,104,0)</f>
        <v>#N/A</v>
      </c>
      <c r="AJ120" s="1360">
        <f>Captura!AI190</f>
        <v>0</v>
      </c>
    </row>
    <row r="121" spans="1:36">
      <c r="A121" s="1118">
        <f t="shared" ca="1" si="15"/>
        <v>11</v>
      </c>
      <c r="B121" s="1101">
        <f t="shared" si="16"/>
        <v>0</v>
      </c>
      <c r="C121" s="2149">
        <f t="shared" si="17"/>
        <v>0</v>
      </c>
      <c r="D121" s="2150">
        <f t="shared" si="21"/>
        <v>0</v>
      </c>
      <c r="E121" s="2145">
        <f t="shared" si="22"/>
        <v>0</v>
      </c>
      <c r="F121" s="2145">
        <f t="shared" si="18"/>
        <v>0</v>
      </c>
      <c r="G121" s="2145">
        <f t="shared" si="23"/>
        <v>0</v>
      </c>
      <c r="H121" s="2145">
        <f>IF(K120&lt;0.01,0,IF(Adm!$S$4=Adm!$S$8,0,K120*Adm!$V$4))</f>
        <v>0</v>
      </c>
      <c r="I121" s="2145">
        <f>IF(K120&lt;0.01,0,IF($I$16&lt;&gt;"",E121*Adm!$O$8,0))</f>
        <v>0</v>
      </c>
      <c r="J121" s="2145">
        <f t="shared" si="19"/>
        <v>0</v>
      </c>
      <c r="K121" s="2145">
        <f t="shared" si="20"/>
        <v>0</v>
      </c>
      <c r="L121" s="2146"/>
      <c r="W121" s="1352">
        <f t="shared" si="24"/>
        <v>8</v>
      </c>
      <c r="X121" s="1367">
        <f>IF(W121=1,Cal!$AC$127,0)</f>
        <v>0</v>
      </c>
      <c r="Z121" s="1153"/>
      <c r="AC121" s="1375">
        <f t="shared" si="27"/>
        <v>0</v>
      </c>
      <c r="AD121" s="1373">
        <f t="shared" si="28"/>
        <v>0</v>
      </c>
      <c r="AE121" s="1373">
        <f t="shared" si="29"/>
        <v>0</v>
      </c>
      <c r="AF121" s="1373">
        <f t="shared" si="26"/>
        <v>0</v>
      </c>
      <c r="AG121" s="1371">
        <f t="shared" si="25"/>
        <v>0</v>
      </c>
      <c r="AH121" s="1359" t="e">
        <f>HLOOKUP($AH$13,liquidez,105,0)</f>
        <v>#N/A</v>
      </c>
      <c r="AJ121" s="1360">
        <f>Captura!AI191</f>
        <v>0</v>
      </c>
    </row>
    <row r="122" spans="1:36">
      <c r="A122" s="1118">
        <f t="shared" ca="1" si="15"/>
        <v>12</v>
      </c>
      <c r="B122" s="1101">
        <f t="shared" si="16"/>
        <v>0</v>
      </c>
      <c r="C122" s="2149">
        <f t="shared" si="17"/>
        <v>0</v>
      </c>
      <c r="D122" s="2150">
        <f t="shared" si="21"/>
        <v>0</v>
      </c>
      <c r="E122" s="2145">
        <f t="shared" si="22"/>
        <v>0</v>
      </c>
      <c r="F122" s="2145">
        <f t="shared" si="18"/>
        <v>0</v>
      </c>
      <c r="G122" s="2145">
        <f t="shared" si="23"/>
        <v>0</v>
      </c>
      <c r="H122" s="2145">
        <f>IF(K121&lt;0.01,0,IF(Adm!$S$4=Adm!$S$8,0,K121*Adm!$V$4))</f>
        <v>0</v>
      </c>
      <c r="I122" s="2145">
        <f>IF(K121&lt;0.01,0,IF($I$16&lt;&gt;"",E122*Adm!$O$8,0))</f>
        <v>0</v>
      </c>
      <c r="J122" s="2145">
        <f t="shared" si="19"/>
        <v>0</v>
      </c>
      <c r="K122" s="2145">
        <f t="shared" si="20"/>
        <v>0</v>
      </c>
      <c r="L122" s="2146"/>
      <c r="W122" s="1352">
        <f t="shared" si="24"/>
        <v>9</v>
      </c>
      <c r="X122" s="1367">
        <f>IF(W122=1,Cal!$AC$127,0)</f>
        <v>0</v>
      </c>
      <c r="Z122" s="1153"/>
      <c r="AC122" s="1375">
        <f t="shared" si="27"/>
        <v>0</v>
      </c>
      <c r="AD122" s="1373">
        <f t="shared" si="28"/>
        <v>0</v>
      </c>
      <c r="AE122" s="1373">
        <f t="shared" si="29"/>
        <v>0</v>
      </c>
      <c r="AF122" s="1373">
        <f t="shared" si="26"/>
        <v>0</v>
      </c>
      <c r="AG122" s="1371">
        <f t="shared" si="25"/>
        <v>0</v>
      </c>
      <c r="AH122" s="1359" t="e">
        <f>HLOOKUP($AH$13,liquidez,106,0)</f>
        <v>#N/A</v>
      </c>
      <c r="AJ122" s="1360">
        <f>Captura!AI192</f>
        <v>0</v>
      </c>
    </row>
    <row r="123" spans="1:36">
      <c r="A123" s="1118">
        <f t="shared" ca="1" si="15"/>
        <v>1</v>
      </c>
      <c r="B123" s="1101">
        <f t="shared" si="16"/>
        <v>0</v>
      </c>
      <c r="C123" s="2149">
        <f t="shared" si="17"/>
        <v>0</v>
      </c>
      <c r="D123" s="2150">
        <f t="shared" si="21"/>
        <v>0</v>
      </c>
      <c r="E123" s="2145">
        <f t="shared" si="22"/>
        <v>0</v>
      </c>
      <c r="F123" s="2145">
        <f t="shared" si="18"/>
        <v>0</v>
      </c>
      <c r="G123" s="2145">
        <f t="shared" si="23"/>
        <v>0</v>
      </c>
      <c r="H123" s="2145">
        <f>IF(K122&lt;0.01,0,IF(Adm!$S$4=Adm!$S$8,0,K122*Adm!$V$4))</f>
        <v>0</v>
      </c>
      <c r="I123" s="2145">
        <f>IF(K122&lt;0.01,0,IF($I$16&lt;&gt;"",E123*Adm!$O$8,0))</f>
        <v>0</v>
      </c>
      <c r="J123" s="2145">
        <f t="shared" si="19"/>
        <v>0</v>
      </c>
      <c r="K123" s="2145">
        <f t="shared" si="20"/>
        <v>0</v>
      </c>
      <c r="L123" s="2146"/>
      <c r="W123" s="1352">
        <f t="shared" si="24"/>
        <v>10</v>
      </c>
      <c r="X123" s="1367">
        <f>IF(W123=1,Cal!$AC$127,0)</f>
        <v>0</v>
      </c>
      <c r="Z123" s="1153"/>
      <c r="AC123" s="1375">
        <f t="shared" si="27"/>
        <v>0</v>
      </c>
      <c r="AD123" s="1373">
        <f t="shared" si="28"/>
        <v>0</v>
      </c>
      <c r="AE123" s="1373">
        <f t="shared" si="29"/>
        <v>0</v>
      </c>
      <c r="AF123" s="1373">
        <f t="shared" si="26"/>
        <v>0</v>
      </c>
      <c r="AG123" s="1371">
        <f t="shared" si="25"/>
        <v>0</v>
      </c>
      <c r="AH123" s="1359" t="e">
        <f>HLOOKUP($AH$13,liquidez,107,0)</f>
        <v>#N/A</v>
      </c>
      <c r="AJ123" s="1360">
        <f>Captura!AI193</f>
        <v>0</v>
      </c>
    </row>
    <row r="124" spans="1:36">
      <c r="A124" s="1118">
        <f t="shared" ca="1" si="15"/>
        <v>2</v>
      </c>
      <c r="B124" s="1101">
        <f t="shared" si="16"/>
        <v>0</v>
      </c>
      <c r="C124" s="2149">
        <f t="shared" si="17"/>
        <v>0</v>
      </c>
      <c r="D124" s="2150">
        <f t="shared" si="21"/>
        <v>0</v>
      </c>
      <c r="E124" s="2145">
        <f t="shared" si="22"/>
        <v>0</v>
      </c>
      <c r="F124" s="2145">
        <f t="shared" si="18"/>
        <v>0</v>
      </c>
      <c r="G124" s="2145">
        <f t="shared" si="23"/>
        <v>0</v>
      </c>
      <c r="H124" s="2145">
        <f>IF(K123&lt;0.01,0,IF(Adm!$S$4=Adm!$S$8,0,K123*Adm!$V$4))</f>
        <v>0</v>
      </c>
      <c r="I124" s="2145">
        <f>IF(K123&lt;0.01,0,IF($I$16&lt;&gt;"",E124*Adm!$O$8,0))</f>
        <v>0</v>
      </c>
      <c r="J124" s="2145">
        <f t="shared" si="19"/>
        <v>0</v>
      </c>
      <c r="K124" s="2145">
        <f t="shared" si="20"/>
        <v>0</v>
      </c>
      <c r="L124" s="2146"/>
      <c r="W124" s="1352">
        <f t="shared" si="24"/>
        <v>11</v>
      </c>
      <c r="X124" s="1367">
        <f>IF(W124=1,Cal!$AC$127,0)</f>
        <v>0</v>
      </c>
      <c r="Z124" s="1153"/>
      <c r="AC124" s="1375">
        <f t="shared" si="27"/>
        <v>0</v>
      </c>
      <c r="AD124" s="1373">
        <f t="shared" si="28"/>
        <v>0</v>
      </c>
      <c r="AE124" s="1373">
        <f t="shared" si="29"/>
        <v>0</v>
      </c>
      <c r="AF124" s="1373">
        <f t="shared" si="26"/>
        <v>0</v>
      </c>
      <c r="AG124" s="1371">
        <f t="shared" si="25"/>
        <v>0</v>
      </c>
      <c r="AH124" s="1359" t="e">
        <f>HLOOKUP($AH$13,liquidez,108,0)</f>
        <v>#N/A</v>
      </c>
      <c r="AJ124" s="1360">
        <f>Captura!AI194</f>
        <v>0</v>
      </c>
    </row>
    <row r="125" spans="1:36">
      <c r="A125" s="1118">
        <f t="shared" ca="1" si="15"/>
        <v>3</v>
      </c>
      <c r="B125" s="1101">
        <f t="shared" si="16"/>
        <v>0</v>
      </c>
      <c r="C125" s="2149">
        <f t="shared" si="17"/>
        <v>0</v>
      </c>
      <c r="D125" s="2150">
        <f t="shared" si="21"/>
        <v>0</v>
      </c>
      <c r="E125" s="2145">
        <f t="shared" si="22"/>
        <v>0</v>
      </c>
      <c r="F125" s="2145">
        <f t="shared" si="18"/>
        <v>0</v>
      </c>
      <c r="G125" s="2145">
        <f t="shared" si="23"/>
        <v>0</v>
      </c>
      <c r="H125" s="2145">
        <f>IF(K124&lt;0.01,0,IF(Adm!$S$4=Adm!$S$8,0,K124*Adm!$V$4))</f>
        <v>0</v>
      </c>
      <c r="I125" s="2145">
        <f>IF(K124&lt;0.01,0,IF($I$16&lt;&gt;"",E125*Adm!$O$8,0))</f>
        <v>0</v>
      </c>
      <c r="J125" s="2145">
        <f t="shared" si="19"/>
        <v>0</v>
      </c>
      <c r="K125" s="2145">
        <f t="shared" si="20"/>
        <v>0</v>
      </c>
      <c r="L125" s="2146"/>
      <c r="W125" s="1352">
        <f t="shared" si="24"/>
        <v>12</v>
      </c>
      <c r="X125" s="1367">
        <f>IF(W125=1,Cal!$AC$127,0)</f>
        <v>0</v>
      </c>
      <c r="Z125" s="1153"/>
      <c r="AC125" s="1375">
        <f t="shared" si="27"/>
        <v>0</v>
      </c>
      <c r="AD125" s="1373">
        <f t="shared" si="28"/>
        <v>0</v>
      </c>
      <c r="AE125" s="1373">
        <f t="shared" si="29"/>
        <v>0</v>
      </c>
      <c r="AF125" s="1373">
        <f t="shared" si="26"/>
        <v>0</v>
      </c>
      <c r="AG125" s="1371">
        <f t="shared" si="25"/>
        <v>0</v>
      </c>
      <c r="AH125" s="1359" t="e">
        <f>HLOOKUP($AH$13,liquidez,109,0)</f>
        <v>#N/A</v>
      </c>
      <c r="AJ125" s="1360">
        <f>Captura!AI195</f>
        <v>0</v>
      </c>
    </row>
    <row r="126" spans="1:36">
      <c r="A126" s="1118">
        <f t="shared" ca="1" si="15"/>
        <v>4</v>
      </c>
      <c r="B126" s="1101">
        <f t="shared" si="16"/>
        <v>0</v>
      </c>
      <c r="C126" s="2149">
        <f t="shared" si="17"/>
        <v>0</v>
      </c>
      <c r="D126" s="2150">
        <f t="shared" si="21"/>
        <v>0</v>
      </c>
      <c r="E126" s="2145">
        <f t="shared" si="22"/>
        <v>0</v>
      </c>
      <c r="F126" s="2145">
        <f t="shared" si="18"/>
        <v>0</v>
      </c>
      <c r="G126" s="2145">
        <f t="shared" si="23"/>
        <v>0</v>
      </c>
      <c r="H126" s="2145">
        <f>IF(K125&lt;0.01,0,IF(Adm!$S$4=Adm!$S$8,0,K125*Adm!$V$4))</f>
        <v>0</v>
      </c>
      <c r="I126" s="2145">
        <f>IF(K125&lt;0.01,0,IF($I$16&lt;&gt;"",E126*Adm!$O$8,0))</f>
        <v>0</v>
      </c>
      <c r="J126" s="2145">
        <f t="shared" si="19"/>
        <v>0</v>
      </c>
      <c r="K126" s="2145">
        <f t="shared" si="20"/>
        <v>0</v>
      </c>
      <c r="L126" s="2146"/>
      <c r="W126" s="1352">
        <f t="shared" si="24"/>
        <v>1</v>
      </c>
      <c r="X126" s="1367">
        <f>IF(W126=1,Cal!$AC$127,0)</f>
        <v>0</v>
      </c>
      <c r="Z126" s="1153"/>
      <c r="AC126" s="1375">
        <f t="shared" si="27"/>
        <v>0</v>
      </c>
      <c r="AD126" s="1373">
        <f t="shared" si="28"/>
        <v>0</v>
      </c>
      <c r="AE126" s="1373">
        <f t="shared" si="29"/>
        <v>0</v>
      </c>
      <c r="AF126" s="1373">
        <f t="shared" si="26"/>
        <v>0</v>
      </c>
      <c r="AG126" s="1371">
        <f t="shared" si="25"/>
        <v>0</v>
      </c>
      <c r="AH126" s="1359" t="e">
        <f>HLOOKUP($AH$13,liquidez,110,0)</f>
        <v>#N/A</v>
      </c>
      <c r="AJ126" s="1360">
        <f>Captura!AI196</f>
        <v>0</v>
      </c>
    </row>
    <row r="127" spans="1:36">
      <c r="A127" s="1118">
        <f t="shared" ca="1" si="15"/>
        <v>5</v>
      </c>
      <c r="B127" s="1101">
        <f t="shared" si="16"/>
        <v>0</v>
      </c>
      <c r="C127" s="2149">
        <f t="shared" si="17"/>
        <v>0</v>
      </c>
      <c r="D127" s="2150">
        <f t="shared" si="21"/>
        <v>0</v>
      </c>
      <c r="E127" s="2145">
        <f t="shared" si="22"/>
        <v>0</v>
      </c>
      <c r="F127" s="2145">
        <f t="shared" si="18"/>
        <v>0</v>
      </c>
      <c r="G127" s="2145">
        <f t="shared" si="23"/>
        <v>0</v>
      </c>
      <c r="H127" s="2145">
        <f>IF(K126&lt;0.01,0,IF(Adm!$S$4=Adm!$S$8,0,K126*Adm!$V$4))</f>
        <v>0</v>
      </c>
      <c r="I127" s="2145">
        <f>IF(K126&lt;0.01,0,IF($I$16&lt;&gt;"",E127*Adm!$O$8,0))</f>
        <v>0</v>
      </c>
      <c r="J127" s="2145">
        <f t="shared" si="19"/>
        <v>0</v>
      </c>
      <c r="K127" s="2145">
        <f t="shared" si="20"/>
        <v>0</v>
      </c>
      <c r="L127" s="2146"/>
      <c r="W127" s="1352">
        <f t="shared" si="24"/>
        <v>2</v>
      </c>
      <c r="X127" s="1367">
        <f>IF(W127=1,Cal!$AC$127,0)</f>
        <v>0</v>
      </c>
      <c r="Z127" s="1153"/>
      <c r="AC127" s="1375">
        <f t="shared" si="27"/>
        <v>0</v>
      </c>
      <c r="AD127" s="1373">
        <f t="shared" si="28"/>
        <v>0</v>
      </c>
      <c r="AE127" s="1373">
        <f t="shared" si="29"/>
        <v>0</v>
      </c>
      <c r="AF127" s="1373">
        <f t="shared" si="26"/>
        <v>0</v>
      </c>
      <c r="AG127" s="1371">
        <f t="shared" si="25"/>
        <v>0</v>
      </c>
      <c r="AH127" s="1359" t="e">
        <f>HLOOKUP($AH$13,liquidez,111,0)</f>
        <v>#N/A</v>
      </c>
      <c r="AJ127" s="1360">
        <f>Captura!AI197</f>
        <v>0</v>
      </c>
    </row>
    <row r="128" spans="1:36">
      <c r="A128" s="1118">
        <f t="shared" ca="1" si="15"/>
        <v>6</v>
      </c>
      <c r="B128" s="1101">
        <f t="shared" si="16"/>
        <v>0</v>
      </c>
      <c r="C128" s="2149">
        <f t="shared" si="17"/>
        <v>0</v>
      </c>
      <c r="D128" s="2150">
        <f t="shared" si="21"/>
        <v>0</v>
      </c>
      <c r="E128" s="2145">
        <f t="shared" si="22"/>
        <v>0</v>
      </c>
      <c r="F128" s="2145">
        <f t="shared" si="18"/>
        <v>0</v>
      </c>
      <c r="G128" s="2145">
        <f t="shared" si="23"/>
        <v>0</v>
      </c>
      <c r="H128" s="2145">
        <f>IF(K127&lt;0.01,0,IF(Adm!$S$4=Adm!$S$8,0,K127*Adm!$V$4))</f>
        <v>0</v>
      </c>
      <c r="I128" s="2145">
        <f>IF(K127&lt;0.01,0,IF($I$16&lt;&gt;"",E128*Adm!$O$8,0))</f>
        <v>0</v>
      </c>
      <c r="J128" s="2145">
        <f t="shared" si="19"/>
        <v>0</v>
      </c>
      <c r="K128" s="2145">
        <f t="shared" si="20"/>
        <v>0</v>
      </c>
      <c r="L128" s="2146"/>
      <c r="W128" s="1352">
        <f t="shared" si="24"/>
        <v>3</v>
      </c>
      <c r="X128" s="1367">
        <f>IF(W128=1,Cal!$AC$127,0)</f>
        <v>0</v>
      </c>
      <c r="Z128" s="1153"/>
      <c r="AC128" s="1375">
        <f t="shared" si="27"/>
        <v>0</v>
      </c>
      <c r="AD128" s="1373">
        <f t="shared" si="28"/>
        <v>0</v>
      </c>
      <c r="AE128" s="1373">
        <f t="shared" si="29"/>
        <v>0</v>
      </c>
      <c r="AF128" s="1373">
        <f t="shared" si="26"/>
        <v>0</v>
      </c>
      <c r="AG128" s="1371">
        <f t="shared" si="25"/>
        <v>0</v>
      </c>
      <c r="AH128" s="1359" t="e">
        <f>HLOOKUP($AH$13,liquidez,112,0)</f>
        <v>#N/A</v>
      </c>
      <c r="AJ128" s="1360">
        <f>Captura!AI198</f>
        <v>0</v>
      </c>
    </row>
    <row r="129" spans="1:36">
      <c r="A129" s="1118">
        <f t="shared" ca="1" si="15"/>
        <v>7</v>
      </c>
      <c r="B129" s="1101">
        <f t="shared" si="16"/>
        <v>0</v>
      </c>
      <c r="C129" s="2149">
        <f t="shared" si="17"/>
        <v>0</v>
      </c>
      <c r="D129" s="2150">
        <f t="shared" si="21"/>
        <v>0</v>
      </c>
      <c r="E129" s="2145">
        <f t="shared" si="22"/>
        <v>0</v>
      </c>
      <c r="F129" s="2145">
        <f t="shared" si="18"/>
        <v>0</v>
      </c>
      <c r="G129" s="2145">
        <f t="shared" si="23"/>
        <v>0</v>
      </c>
      <c r="H129" s="2145">
        <f>IF(K128&lt;0.01,0,IF(Adm!$S$4=Adm!$S$8,0,K128*Adm!$V$4))</f>
        <v>0</v>
      </c>
      <c r="I129" s="2145">
        <f>IF(K128&lt;0.01,0,IF($I$16&lt;&gt;"",E129*Adm!$O$8,0))</f>
        <v>0</v>
      </c>
      <c r="J129" s="2145">
        <f t="shared" si="19"/>
        <v>0</v>
      </c>
      <c r="K129" s="2145">
        <f t="shared" si="20"/>
        <v>0</v>
      </c>
      <c r="L129" s="2146"/>
      <c r="W129" s="1352">
        <f t="shared" si="24"/>
        <v>4</v>
      </c>
      <c r="X129" s="1367">
        <f>IF(W129=1,Cal!$AC$127,0)</f>
        <v>0</v>
      </c>
      <c r="Z129" s="1153"/>
      <c r="AC129" s="1375">
        <f t="shared" si="27"/>
        <v>0</v>
      </c>
      <c r="AD129" s="1373">
        <f t="shared" si="28"/>
        <v>0</v>
      </c>
      <c r="AE129" s="1373">
        <f t="shared" si="29"/>
        <v>0</v>
      </c>
      <c r="AF129" s="1373">
        <f t="shared" si="26"/>
        <v>0</v>
      </c>
      <c r="AG129" s="1371">
        <f t="shared" si="25"/>
        <v>0</v>
      </c>
      <c r="AH129" s="1359" t="e">
        <f>HLOOKUP($AH$13,liquidez,113,0)</f>
        <v>#N/A</v>
      </c>
      <c r="AJ129" s="1360">
        <f>Captura!AI199</f>
        <v>0</v>
      </c>
    </row>
    <row r="130" spans="1:36">
      <c r="A130" s="1118">
        <f t="shared" ca="1" si="15"/>
        <v>8</v>
      </c>
      <c r="B130" s="1101">
        <f t="shared" si="16"/>
        <v>0</v>
      </c>
      <c r="C130" s="2149">
        <f t="shared" si="17"/>
        <v>0</v>
      </c>
      <c r="D130" s="2150">
        <f t="shared" si="21"/>
        <v>0</v>
      </c>
      <c r="E130" s="2145">
        <f t="shared" si="22"/>
        <v>0</v>
      </c>
      <c r="F130" s="2145">
        <f t="shared" si="18"/>
        <v>0</v>
      </c>
      <c r="G130" s="2145">
        <f t="shared" si="23"/>
        <v>0</v>
      </c>
      <c r="H130" s="2145">
        <f>IF(K129&lt;0.01,0,IF(Adm!$S$4=Adm!$S$8,0,K129*Adm!$V$4))</f>
        <v>0</v>
      </c>
      <c r="I130" s="2145">
        <f>IF(K129&lt;0.01,0,IF($I$16&lt;&gt;"",E130*Adm!$O$8,0))</f>
        <v>0</v>
      </c>
      <c r="J130" s="2145">
        <f t="shared" si="19"/>
        <v>0</v>
      </c>
      <c r="K130" s="2145">
        <f t="shared" si="20"/>
        <v>0</v>
      </c>
      <c r="L130" s="2146"/>
      <c r="W130" s="1352">
        <f t="shared" si="24"/>
        <v>5</v>
      </c>
      <c r="X130" s="1367">
        <f>IF(W130=1,Cal!$AC$127,0)</f>
        <v>0</v>
      </c>
      <c r="Z130" s="1153"/>
      <c r="AC130" s="1375">
        <f t="shared" si="27"/>
        <v>0</v>
      </c>
      <c r="AD130" s="1373">
        <f t="shared" si="28"/>
        <v>0</v>
      </c>
      <c r="AE130" s="1373">
        <f t="shared" si="29"/>
        <v>0</v>
      </c>
      <c r="AF130" s="1373">
        <f t="shared" si="26"/>
        <v>0</v>
      </c>
      <c r="AG130" s="1371">
        <f t="shared" si="25"/>
        <v>0</v>
      </c>
      <c r="AH130" s="1359" t="e">
        <f>HLOOKUP($AH$13,liquidez,114,0)</f>
        <v>#N/A</v>
      </c>
      <c r="AJ130" s="1360">
        <f>Captura!AI200</f>
        <v>0</v>
      </c>
    </row>
    <row r="131" spans="1:36">
      <c r="A131" s="1118">
        <f t="shared" ca="1" si="15"/>
        <v>9</v>
      </c>
      <c r="B131" s="1101">
        <f t="shared" si="16"/>
        <v>0</v>
      </c>
      <c r="C131" s="2149">
        <f t="shared" si="17"/>
        <v>0</v>
      </c>
      <c r="D131" s="2150">
        <f t="shared" si="21"/>
        <v>0</v>
      </c>
      <c r="E131" s="2145">
        <f t="shared" si="22"/>
        <v>0</v>
      </c>
      <c r="F131" s="2145">
        <f t="shared" si="18"/>
        <v>0</v>
      </c>
      <c r="G131" s="2145">
        <f t="shared" si="23"/>
        <v>0</v>
      </c>
      <c r="H131" s="2145">
        <f>IF(K130&lt;0.01,0,IF(Adm!$S$4=Adm!$S$8,0,K130*Adm!$V$4))</f>
        <v>0</v>
      </c>
      <c r="I131" s="2145">
        <f>IF(K130&lt;0.01,0,IF($I$16&lt;&gt;"",E131*Adm!$O$8,0))</f>
        <v>0</v>
      </c>
      <c r="J131" s="2145">
        <f t="shared" si="19"/>
        <v>0</v>
      </c>
      <c r="K131" s="2145">
        <f t="shared" si="20"/>
        <v>0</v>
      </c>
      <c r="L131" s="2146"/>
      <c r="W131" s="1352">
        <f t="shared" si="24"/>
        <v>6</v>
      </c>
      <c r="X131" s="1367">
        <f>IF(W131=1,Cal!$AC$127,0)</f>
        <v>0</v>
      </c>
      <c r="Z131" s="1153"/>
      <c r="AC131" s="1375">
        <f t="shared" si="27"/>
        <v>0</v>
      </c>
      <c r="AD131" s="1373">
        <f t="shared" si="28"/>
        <v>0</v>
      </c>
      <c r="AE131" s="1373">
        <f t="shared" si="29"/>
        <v>0</v>
      </c>
      <c r="AF131" s="1373">
        <f t="shared" si="26"/>
        <v>0</v>
      </c>
      <c r="AG131" s="1371">
        <f t="shared" si="25"/>
        <v>0</v>
      </c>
      <c r="AH131" s="1359" t="e">
        <f>HLOOKUP($AH$13,liquidez,115,0)</f>
        <v>#N/A</v>
      </c>
      <c r="AJ131" s="1360">
        <f>Captura!AI201</f>
        <v>0</v>
      </c>
    </row>
    <row r="132" spans="1:36">
      <c r="A132" s="1118">
        <f t="shared" ca="1" si="15"/>
        <v>10</v>
      </c>
      <c r="B132" s="1101">
        <f t="shared" si="16"/>
        <v>0</v>
      </c>
      <c r="C132" s="2149">
        <f t="shared" si="17"/>
        <v>0</v>
      </c>
      <c r="D132" s="2150">
        <f t="shared" si="21"/>
        <v>0</v>
      </c>
      <c r="E132" s="2145">
        <f t="shared" si="22"/>
        <v>0</v>
      </c>
      <c r="F132" s="2145">
        <f t="shared" si="18"/>
        <v>0</v>
      </c>
      <c r="G132" s="2145">
        <f t="shared" si="23"/>
        <v>0</v>
      </c>
      <c r="H132" s="2145">
        <f>IF(K131&lt;0.01,0,IF(Adm!$S$4=Adm!$S$8,0,K131*Adm!$V$4))</f>
        <v>0</v>
      </c>
      <c r="I132" s="2145">
        <f>IF(K131&lt;0.01,0,IF($I$16&lt;&gt;"",E132*Adm!$O$8,0))</f>
        <v>0</v>
      </c>
      <c r="J132" s="2145">
        <f t="shared" si="19"/>
        <v>0</v>
      </c>
      <c r="K132" s="2145">
        <f t="shared" si="20"/>
        <v>0</v>
      </c>
      <c r="L132" s="2146"/>
      <c r="W132" s="1352">
        <f t="shared" si="24"/>
        <v>7</v>
      </c>
      <c r="X132" s="1367">
        <f>IF(W132=1,Cal!$AC$127,0)</f>
        <v>0</v>
      </c>
      <c r="Z132" s="1153"/>
      <c r="AC132" s="1375">
        <f t="shared" si="27"/>
        <v>0</v>
      </c>
      <c r="AD132" s="1373">
        <f t="shared" si="28"/>
        <v>0</v>
      </c>
      <c r="AE132" s="1373">
        <f t="shared" si="29"/>
        <v>0</v>
      </c>
      <c r="AF132" s="1373">
        <f t="shared" si="26"/>
        <v>0</v>
      </c>
      <c r="AG132" s="1371">
        <f t="shared" si="25"/>
        <v>0</v>
      </c>
      <c r="AH132" s="1359" t="e">
        <f>HLOOKUP($AH$13,liquidez,116,0)</f>
        <v>#N/A</v>
      </c>
      <c r="AJ132" s="1360">
        <f>Captura!AI202</f>
        <v>0</v>
      </c>
    </row>
    <row r="133" spans="1:36">
      <c r="A133" s="1118">
        <f t="shared" ca="1" si="15"/>
        <v>11</v>
      </c>
      <c r="B133" s="1101">
        <f t="shared" si="16"/>
        <v>0</v>
      </c>
      <c r="C133" s="2149">
        <f t="shared" si="17"/>
        <v>0</v>
      </c>
      <c r="D133" s="2150">
        <f t="shared" si="21"/>
        <v>0</v>
      </c>
      <c r="E133" s="2145">
        <f t="shared" si="22"/>
        <v>0</v>
      </c>
      <c r="F133" s="2145">
        <f t="shared" si="18"/>
        <v>0</v>
      </c>
      <c r="G133" s="2145">
        <f t="shared" si="23"/>
        <v>0</v>
      </c>
      <c r="H133" s="2145">
        <f>IF(K132&lt;0.01,0,IF(Adm!$S$4=Adm!$S$8,0,K132*Adm!$V$4))</f>
        <v>0</v>
      </c>
      <c r="I133" s="2145">
        <f>IF(K132&lt;0.01,0,IF($I$16&lt;&gt;"",E133*Adm!$O$8,0))</f>
        <v>0</v>
      </c>
      <c r="J133" s="2145">
        <f t="shared" si="19"/>
        <v>0</v>
      </c>
      <c r="K133" s="2145">
        <f t="shared" si="20"/>
        <v>0</v>
      </c>
      <c r="L133" s="2146"/>
      <c r="W133" s="1352">
        <f t="shared" si="24"/>
        <v>8</v>
      </c>
      <c r="X133" s="1367">
        <f>IF(W133=1,Cal!$AC$127,0)</f>
        <v>0</v>
      </c>
      <c r="Z133" s="1153"/>
      <c r="AC133" s="1375">
        <f t="shared" si="27"/>
        <v>0</v>
      </c>
      <c r="AD133" s="1373">
        <f t="shared" si="28"/>
        <v>0</v>
      </c>
      <c r="AE133" s="1373">
        <f t="shared" si="29"/>
        <v>0</v>
      </c>
      <c r="AF133" s="1373">
        <f t="shared" si="26"/>
        <v>0</v>
      </c>
      <c r="AG133" s="1371">
        <f t="shared" si="25"/>
        <v>0</v>
      </c>
      <c r="AH133" s="1359" t="e">
        <f>HLOOKUP($AH$13,liquidez,117,0)</f>
        <v>#N/A</v>
      </c>
      <c r="AJ133" s="1360">
        <f>Captura!AI203</f>
        <v>0</v>
      </c>
    </row>
    <row r="134" spans="1:36">
      <c r="A134" s="1118">
        <f t="shared" ca="1" si="15"/>
        <v>12</v>
      </c>
      <c r="B134" s="1101">
        <f t="shared" si="16"/>
        <v>0</v>
      </c>
      <c r="C134" s="2149">
        <f t="shared" si="17"/>
        <v>0</v>
      </c>
      <c r="D134" s="2150">
        <f t="shared" si="21"/>
        <v>0</v>
      </c>
      <c r="E134" s="2145">
        <f t="shared" si="22"/>
        <v>0</v>
      </c>
      <c r="F134" s="2145">
        <f t="shared" si="18"/>
        <v>0</v>
      </c>
      <c r="G134" s="2145">
        <f t="shared" si="23"/>
        <v>0</v>
      </c>
      <c r="H134" s="2145">
        <f>IF(K133&lt;0.01,0,IF(Adm!$S$4=Adm!$S$8,0,K133*Adm!$V$4))</f>
        <v>0</v>
      </c>
      <c r="I134" s="2145">
        <f>IF(K133&lt;0.01,0,IF($I$16&lt;&gt;"",E134*Adm!$O$8,0))</f>
        <v>0</v>
      </c>
      <c r="J134" s="2145">
        <f t="shared" si="19"/>
        <v>0</v>
      </c>
      <c r="K134" s="2145">
        <f t="shared" si="20"/>
        <v>0</v>
      </c>
      <c r="L134" s="2146"/>
      <c r="W134" s="1352">
        <f t="shared" si="24"/>
        <v>9</v>
      </c>
      <c r="X134" s="1367">
        <f>IF(W134=1,Cal!$AC$127,0)</f>
        <v>0</v>
      </c>
      <c r="Z134" s="1153"/>
      <c r="AC134" s="1375">
        <f t="shared" si="27"/>
        <v>0</v>
      </c>
      <c r="AD134" s="1373">
        <f t="shared" si="28"/>
        <v>0</v>
      </c>
      <c r="AE134" s="1373">
        <f t="shared" si="29"/>
        <v>0</v>
      </c>
      <c r="AF134" s="1373">
        <f t="shared" si="26"/>
        <v>0</v>
      </c>
      <c r="AG134" s="1371">
        <f t="shared" si="25"/>
        <v>0</v>
      </c>
      <c r="AH134" s="1359" t="e">
        <f>HLOOKUP($AH$13,liquidez,118,0)</f>
        <v>#N/A</v>
      </c>
      <c r="AJ134" s="1360">
        <f>Captura!AI204</f>
        <v>0</v>
      </c>
    </row>
    <row r="135" spans="1:36">
      <c r="A135" s="1118">
        <f t="shared" ca="1" si="15"/>
        <v>1</v>
      </c>
      <c r="B135" s="1101">
        <f t="shared" si="16"/>
        <v>0</v>
      </c>
      <c r="C135" s="2149">
        <f t="shared" si="17"/>
        <v>0</v>
      </c>
      <c r="D135" s="2150">
        <f t="shared" si="21"/>
        <v>0</v>
      </c>
      <c r="E135" s="2145">
        <f t="shared" si="22"/>
        <v>0</v>
      </c>
      <c r="F135" s="2145">
        <f t="shared" si="18"/>
        <v>0</v>
      </c>
      <c r="G135" s="2145">
        <f t="shared" si="23"/>
        <v>0</v>
      </c>
      <c r="H135" s="2145">
        <f>IF(K134&lt;0.01,0,IF(Adm!$S$4=Adm!$S$8,0,K134*Adm!$V$4))</f>
        <v>0</v>
      </c>
      <c r="I135" s="2145">
        <f>IF(K134&lt;0.01,0,IF($I$16&lt;&gt;"",E135*Adm!$O$8,0))</f>
        <v>0</v>
      </c>
      <c r="J135" s="2145">
        <f t="shared" si="19"/>
        <v>0</v>
      </c>
      <c r="K135" s="2145">
        <f t="shared" si="20"/>
        <v>0</v>
      </c>
      <c r="L135" s="2146"/>
      <c r="W135" s="1352">
        <f t="shared" si="24"/>
        <v>10</v>
      </c>
      <c r="X135" s="1367">
        <f>IF(W135=1,Cal!$AC$127,0)</f>
        <v>0</v>
      </c>
      <c r="Z135" s="1153"/>
      <c r="AC135" s="1375">
        <f t="shared" si="27"/>
        <v>0</v>
      </c>
      <c r="AD135" s="1373">
        <f t="shared" si="28"/>
        <v>0</v>
      </c>
      <c r="AE135" s="1373">
        <f t="shared" si="29"/>
        <v>0</v>
      </c>
      <c r="AF135" s="1373">
        <f t="shared" si="26"/>
        <v>0</v>
      </c>
      <c r="AG135" s="1371">
        <f t="shared" si="25"/>
        <v>0</v>
      </c>
      <c r="AH135" s="1359" t="e">
        <f>HLOOKUP($AH$13,liquidez,119,0)</f>
        <v>#N/A</v>
      </c>
      <c r="AJ135" s="1360">
        <f>Captura!AI205</f>
        <v>0</v>
      </c>
    </row>
    <row r="136" spans="1:36">
      <c r="A136" s="1118">
        <f t="shared" ca="1" si="15"/>
        <v>2</v>
      </c>
      <c r="B136" s="1101">
        <f t="shared" si="16"/>
        <v>0</v>
      </c>
      <c r="C136" s="2149">
        <f t="shared" si="17"/>
        <v>0</v>
      </c>
      <c r="D136" s="2150">
        <f t="shared" si="21"/>
        <v>0</v>
      </c>
      <c r="E136" s="2145">
        <f t="shared" si="22"/>
        <v>0</v>
      </c>
      <c r="F136" s="2145">
        <f t="shared" si="18"/>
        <v>0</v>
      </c>
      <c r="G136" s="2145">
        <f t="shared" si="23"/>
        <v>0</v>
      </c>
      <c r="H136" s="2145">
        <f>IF(K135&lt;0.01,0,IF(Adm!$S$4=Adm!$S$8,0,K135*Adm!$V$4))</f>
        <v>0</v>
      </c>
      <c r="I136" s="2145">
        <f>IF(K135&lt;0.01,0,IF($I$16&lt;&gt;"",E136*Adm!$O$8,0))</f>
        <v>0</v>
      </c>
      <c r="J136" s="2145">
        <f t="shared" si="19"/>
        <v>0</v>
      </c>
      <c r="K136" s="2145">
        <f t="shared" si="20"/>
        <v>0</v>
      </c>
      <c r="L136" s="2146"/>
      <c r="W136" s="1352">
        <f t="shared" si="24"/>
        <v>11</v>
      </c>
      <c r="X136" s="1367">
        <f>IF(W136=1,Cal!$AC$127,0)</f>
        <v>0</v>
      </c>
      <c r="Z136" s="1153"/>
      <c r="AC136" s="1375">
        <f t="shared" si="27"/>
        <v>0</v>
      </c>
      <c r="AD136" s="1373">
        <f t="shared" si="28"/>
        <v>0</v>
      </c>
      <c r="AE136" s="1373">
        <f t="shared" si="29"/>
        <v>0</v>
      </c>
      <c r="AF136" s="1373">
        <f t="shared" si="26"/>
        <v>0</v>
      </c>
      <c r="AG136" s="1371">
        <f t="shared" si="25"/>
        <v>0</v>
      </c>
      <c r="AH136" s="1359" t="e">
        <f>HLOOKUP($AH$13,liquidez,120,0)</f>
        <v>#N/A</v>
      </c>
      <c r="AJ136" s="1360">
        <f>Captura!AI206</f>
        <v>0</v>
      </c>
    </row>
    <row r="137" spans="1:36">
      <c r="A137" s="1118">
        <f t="shared" ca="1" si="15"/>
        <v>3</v>
      </c>
      <c r="B137" s="1101">
        <f t="shared" si="16"/>
        <v>0</v>
      </c>
      <c r="C137" s="2149">
        <f t="shared" si="17"/>
        <v>0</v>
      </c>
      <c r="D137" s="2150">
        <f t="shared" si="21"/>
        <v>0</v>
      </c>
      <c r="E137" s="2145">
        <f t="shared" si="22"/>
        <v>0</v>
      </c>
      <c r="F137" s="2145">
        <f t="shared" si="18"/>
        <v>0</v>
      </c>
      <c r="G137" s="2145">
        <f t="shared" si="23"/>
        <v>0</v>
      </c>
      <c r="H137" s="2145">
        <f>IF(K136&lt;0.01,0,IF(Adm!$S$4=Adm!$S$8,0,K136*Adm!$V$4))</f>
        <v>0</v>
      </c>
      <c r="I137" s="2145">
        <f>IF(K136&lt;0.01,0,IF($I$16&lt;&gt;"",E137*Adm!$O$8,0))</f>
        <v>0</v>
      </c>
      <c r="J137" s="2145">
        <f t="shared" si="19"/>
        <v>0</v>
      </c>
      <c r="K137" s="2145">
        <f t="shared" si="20"/>
        <v>0</v>
      </c>
      <c r="L137" s="2146"/>
      <c r="W137" s="1352">
        <f t="shared" si="24"/>
        <v>12</v>
      </c>
      <c r="X137" s="1367">
        <f>IF(W137=1,Cal!$AC$127,0)</f>
        <v>0</v>
      </c>
      <c r="Z137" s="1153"/>
      <c r="AC137" s="1375">
        <f t="shared" si="27"/>
        <v>0</v>
      </c>
      <c r="AD137" s="1373">
        <f t="shared" si="28"/>
        <v>0</v>
      </c>
      <c r="AE137" s="1373">
        <f t="shared" si="29"/>
        <v>0</v>
      </c>
      <c r="AF137" s="1373">
        <f t="shared" si="26"/>
        <v>0</v>
      </c>
      <c r="AG137" s="1371">
        <f t="shared" si="25"/>
        <v>0</v>
      </c>
      <c r="AH137" s="1359" t="e">
        <f>HLOOKUP($AH$13,liquidez,121,0)</f>
        <v>#N/A</v>
      </c>
      <c r="AJ137" s="1360">
        <f>Captura!AI207</f>
        <v>0</v>
      </c>
    </row>
    <row r="138" spans="1:36">
      <c r="A138" s="1118">
        <f t="shared" ca="1" si="15"/>
        <v>4</v>
      </c>
      <c r="B138" s="1101">
        <f t="shared" si="16"/>
        <v>0</v>
      </c>
      <c r="C138" s="2149">
        <f t="shared" si="17"/>
        <v>0</v>
      </c>
      <c r="D138" s="2150">
        <f t="shared" si="21"/>
        <v>0</v>
      </c>
      <c r="E138" s="2145">
        <f t="shared" si="22"/>
        <v>0</v>
      </c>
      <c r="F138" s="2145">
        <f t="shared" si="18"/>
        <v>0</v>
      </c>
      <c r="G138" s="2145">
        <f t="shared" si="23"/>
        <v>0</v>
      </c>
      <c r="H138" s="2145">
        <f>IF(K137&lt;0.01,0,IF(Adm!$S$4=Adm!$S$8,0,K137*Adm!$V$4))</f>
        <v>0</v>
      </c>
      <c r="I138" s="2145">
        <f>IF(K137&lt;0.01,0,IF($I$16&lt;&gt;"",E138*Adm!$O$8,0))</f>
        <v>0</v>
      </c>
      <c r="J138" s="2145">
        <f t="shared" si="19"/>
        <v>0</v>
      </c>
      <c r="K138" s="2145">
        <f t="shared" si="20"/>
        <v>0</v>
      </c>
      <c r="L138" s="2146"/>
      <c r="W138" s="1352">
        <f t="shared" si="24"/>
        <v>1</v>
      </c>
      <c r="X138" s="1367">
        <f>IF(W138=1,Cal!$AC$127,0)</f>
        <v>0</v>
      </c>
      <c r="Z138" s="1153"/>
      <c r="AC138" s="1375">
        <f t="shared" si="27"/>
        <v>0</v>
      </c>
      <c r="AD138" s="1373">
        <f t="shared" si="28"/>
        <v>0</v>
      </c>
      <c r="AE138" s="1373">
        <f t="shared" si="29"/>
        <v>0</v>
      </c>
      <c r="AF138" s="1373">
        <f t="shared" si="26"/>
        <v>0</v>
      </c>
      <c r="AG138" s="1371">
        <f t="shared" si="25"/>
        <v>0</v>
      </c>
      <c r="AH138" s="1359" t="e">
        <f>HLOOKUP($AH$13,liquidez,122,0)</f>
        <v>#N/A</v>
      </c>
      <c r="AJ138" s="1360">
        <f>Captura!AI208</f>
        <v>0</v>
      </c>
    </row>
    <row r="139" spans="1:36">
      <c r="A139" s="1118">
        <f t="shared" ca="1" si="15"/>
        <v>5</v>
      </c>
      <c r="B139" s="1101">
        <f t="shared" si="16"/>
        <v>0</v>
      </c>
      <c r="C139" s="2149">
        <f t="shared" si="17"/>
        <v>0</v>
      </c>
      <c r="D139" s="2150">
        <f t="shared" si="21"/>
        <v>0</v>
      </c>
      <c r="E139" s="2145">
        <f t="shared" si="22"/>
        <v>0</v>
      </c>
      <c r="F139" s="2145">
        <f t="shared" si="18"/>
        <v>0</v>
      </c>
      <c r="G139" s="2145">
        <f t="shared" si="23"/>
        <v>0</v>
      </c>
      <c r="H139" s="2145">
        <f>IF(K138&lt;0.01,0,IF(Adm!$S$4=Adm!$S$8,0,K138*Adm!$V$4))</f>
        <v>0</v>
      </c>
      <c r="I139" s="2145">
        <f>IF(K138&lt;0.01,0,IF($I$16&lt;&gt;"",E139*Adm!$O$8,0))</f>
        <v>0</v>
      </c>
      <c r="J139" s="2145">
        <f t="shared" si="19"/>
        <v>0</v>
      </c>
      <c r="K139" s="2145">
        <f t="shared" si="20"/>
        <v>0</v>
      </c>
      <c r="L139" s="2146"/>
      <c r="W139" s="1352">
        <f t="shared" si="24"/>
        <v>2</v>
      </c>
      <c r="X139" s="1367">
        <f>IF(W139=1,Cal!$AC$127,0)</f>
        <v>0</v>
      </c>
      <c r="Z139" s="1153"/>
      <c r="AC139" s="1375">
        <f t="shared" si="27"/>
        <v>0</v>
      </c>
      <c r="AD139" s="1373">
        <f t="shared" si="28"/>
        <v>0</v>
      </c>
      <c r="AE139" s="1373">
        <f t="shared" si="29"/>
        <v>0</v>
      </c>
      <c r="AF139" s="1373">
        <f t="shared" si="26"/>
        <v>0</v>
      </c>
      <c r="AG139" s="1371">
        <f t="shared" si="25"/>
        <v>0</v>
      </c>
      <c r="AH139" s="1359" t="e">
        <f>HLOOKUP($AH$13,liquidez,123,0)</f>
        <v>#N/A</v>
      </c>
      <c r="AJ139" s="1360">
        <f>Captura!AI209</f>
        <v>0</v>
      </c>
    </row>
    <row r="140" spans="1:36">
      <c r="A140" s="1118">
        <f t="shared" ca="1" si="15"/>
        <v>6</v>
      </c>
      <c r="B140" s="1101">
        <f t="shared" si="16"/>
        <v>0</v>
      </c>
      <c r="C140" s="2149">
        <f t="shared" si="17"/>
        <v>0</v>
      </c>
      <c r="D140" s="2150">
        <f t="shared" si="21"/>
        <v>0</v>
      </c>
      <c r="E140" s="2145">
        <f t="shared" si="22"/>
        <v>0</v>
      </c>
      <c r="F140" s="2145">
        <f t="shared" si="18"/>
        <v>0</v>
      </c>
      <c r="G140" s="2145">
        <f t="shared" si="23"/>
        <v>0</v>
      </c>
      <c r="H140" s="2145">
        <f>IF(K139&lt;0.01,0,IF(Adm!$S$4=Adm!$S$8,0,K139*Adm!$V$4))</f>
        <v>0</v>
      </c>
      <c r="I140" s="2145">
        <f>IF(K139&lt;0.01,0,IF($I$16&lt;&gt;"",E140*Adm!$O$8,0))</f>
        <v>0</v>
      </c>
      <c r="J140" s="2145">
        <f t="shared" si="19"/>
        <v>0</v>
      </c>
      <c r="K140" s="2145">
        <f t="shared" si="20"/>
        <v>0</v>
      </c>
      <c r="L140" s="2146"/>
      <c r="W140" s="1352">
        <f t="shared" si="24"/>
        <v>3</v>
      </c>
      <c r="X140" s="1367">
        <f>IF(W140=1,Cal!$AC$127,0)</f>
        <v>0</v>
      </c>
      <c r="Z140" s="1153"/>
      <c r="AC140" s="1375">
        <f t="shared" si="27"/>
        <v>0</v>
      </c>
      <c r="AD140" s="1373">
        <f t="shared" si="28"/>
        <v>0</v>
      </c>
      <c r="AE140" s="1373">
        <f t="shared" si="29"/>
        <v>0</v>
      </c>
      <c r="AF140" s="1373">
        <f t="shared" si="26"/>
        <v>0</v>
      </c>
      <c r="AG140" s="1371">
        <f t="shared" si="25"/>
        <v>0</v>
      </c>
      <c r="AH140" s="1359" t="e">
        <f>HLOOKUP($AH$13,liquidez,124,0)</f>
        <v>#N/A</v>
      </c>
      <c r="AJ140" s="1360">
        <f>Captura!AI210</f>
        <v>0</v>
      </c>
    </row>
    <row r="141" spans="1:36">
      <c r="A141" s="1118">
        <f t="shared" ca="1" si="15"/>
        <v>7</v>
      </c>
      <c r="B141" s="1101">
        <f t="shared" si="16"/>
        <v>0</v>
      </c>
      <c r="C141" s="2149">
        <f t="shared" si="17"/>
        <v>0</v>
      </c>
      <c r="D141" s="2150">
        <f t="shared" si="21"/>
        <v>0</v>
      </c>
      <c r="E141" s="2145">
        <f t="shared" si="22"/>
        <v>0</v>
      </c>
      <c r="F141" s="2145">
        <f t="shared" si="18"/>
        <v>0</v>
      </c>
      <c r="G141" s="2145">
        <f t="shared" si="23"/>
        <v>0</v>
      </c>
      <c r="H141" s="2145">
        <f>IF(K140&lt;0.01,0,IF(Adm!$S$4=Adm!$S$8,0,K140*Adm!$V$4))</f>
        <v>0</v>
      </c>
      <c r="I141" s="2145">
        <f>IF(K140&lt;0.01,0,IF($I$16&lt;&gt;"",E141*Adm!$O$8,0))</f>
        <v>0</v>
      </c>
      <c r="J141" s="2145">
        <f t="shared" si="19"/>
        <v>0</v>
      </c>
      <c r="K141" s="2145">
        <f t="shared" si="20"/>
        <v>0</v>
      </c>
      <c r="L141" s="2146"/>
      <c r="W141" s="1352">
        <f t="shared" si="24"/>
        <v>4</v>
      </c>
      <c r="X141" s="1367">
        <f>IF(W141=1,Cal!$AC$127,0)</f>
        <v>0</v>
      </c>
      <c r="Z141" s="1153"/>
      <c r="AC141" s="1375">
        <f t="shared" si="27"/>
        <v>0</v>
      </c>
      <c r="AD141" s="1373">
        <f t="shared" si="28"/>
        <v>0</v>
      </c>
      <c r="AE141" s="1373">
        <f t="shared" si="29"/>
        <v>0</v>
      </c>
      <c r="AF141" s="1373">
        <f t="shared" si="26"/>
        <v>0</v>
      </c>
      <c r="AG141" s="1371">
        <f t="shared" si="25"/>
        <v>0</v>
      </c>
      <c r="AH141" s="1359" t="e">
        <f>HLOOKUP($AH$13,liquidez,125,0)</f>
        <v>#N/A</v>
      </c>
      <c r="AJ141" s="1360">
        <f>Captura!AI211</f>
        <v>0</v>
      </c>
    </row>
    <row r="142" spans="1:36">
      <c r="A142" s="1118">
        <f t="shared" ca="1" si="15"/>
        <v>8</v>
      </c>
      <c r="B142" s="1101">
        <f t="shared" si="16"/>
        <v>0</v>
      </c>
      <c r="C142" s="2149">
        <f t="shared" si="17"/>
        <v>0</v>
      </c>
      <c r="D142" s="2150">
        <f t="shared" si="21"/>
        <v>0</v>
      </c>
      <c r="E142" s="2145">
        <f t="shared" si="22"/>
        <v>0</v>
      </c>
      <c r="F142" s="2145">
        <f t="shared" si="18"/>
        <v>0</v>
      </c>
      <c r="G142" s="2145">
        <f t="shared" si="23"/>
        <v>0</v>
      </c>
      <c r="H142" s="2145">
        <f>IF(K141&lt;0.01,0,IF(Adm!$S$4=Adm!$S$8,0,K141*Adm!$V$4))</f>
        <v>0</v>
      </c>
      <c r="I142" s="2145">
        <f>IF(K141&lt;0.01,0,IF($I$16&lt;&gt;"",E142*Adm!$O$8,0))</f>
        <v>0</v>
      </c>
      <c r="J142" s="2145">
        <f t="shared" si="19"/>
        <v>0</v>
      </c>
      <c r="K142" s="2145">
        <f t="shared" si="20"/>
        <v>0</v>
      </c>
      <c r="L142" s="2146"/>
      <c r="W142" s="1352">
        <f t="shared" si="24"/>
        <v>5</v>
      </c>
      <c r="X142" s="1367">
        <f>IF(W142=1,Cal!$AC$127,0)</f>
        <v>0</v>
      </c>
      <c r="Z142" s="1153"/>
      <c r="AC142" s="1375">
        <f t="shared" si="27"/>
        <v>0</v>
      </c>
      <c r="AD142" s="1373">
        <f t="shared" si="28"/>
        <v>0</v>
      </c>
      <c r="AE142" s="1373">
        <f t="shared" si="29"/>
        <v>0</v>
      </c>
      <c r="AF142" s="1373">
        <f t="shared" si="26"/>
        <v>0</v>
      </c>
      <c r="AG142" s="1371">
        <f t="shared" si="25"/>
        <v>0</v>
      </c>
      <c r="AH142" s="1359" t="e">
        <f>HLOOKUP($AH$13,liquidez,125,0)</f>
        <v>#N/A</v>
      </c>
      <c r="AJ142" s="1360">
        <f>Captura!AI212</f>
        <v>0</v>
      </c>
    </row>
    <row r="143" spans="1:36">
      <c r="A143" s="1118">
        <f t="shared" ca="1" si="15"/>
        <v>9</v>
      </c>
      <c r="B143" s="1101">
        <f t="shared" si="16"/>
        <v>0</v>
      </c>
      <c r="C143" s="2149">
        <f t="shared" si="17"/>
        <v>0</v>
      </c>
      <c r="D143" s="2150">
        <f t="shared" si="21"/>
        <v>0</v>
      </c>
      <c r="E143" s="2145">
        <f t="shared" si="22"/>
        <v>0</v>
      </c>
      <c r="F143" s="2145">
        <f t="shared" si="18"/>
        <v>0</v>
      </c>
      <c r="G143" s="2145">
        <f t="shared" si="23"/>
        <v>0</v>
      </c>
      <c r="H143" s="2145">
        <f>IF(K142&lt;0.01,0,IF(Adm!$S$4=Adm!$S$8,0,K142*Adm!$V$4))</f>
        <v>0</v>
      </c>
      <c r="I143" s="2145">
        <f>IF(K142&lt;0.01,0,IF($I$16&lt;&gt;"",E143*Adm!$O$8,0))</f>
        <v>0</v>
      </c>
      <c r="J143" s="2145">
        <f t="shared" si="19"/>
        <v>0</v>
      </c>
      <c r="K143" s="2145">
        <f t="shared" si="20"/>
        <v>0</v>
      </c>
      <c r="L143" s="2146"/>
      <c r="W143" s="1352">
        <f t="shared" si="24"/>
        <v>6</v>
      </c>
      <c r="X143" s="1367">
        <f>IF(W143=1,Cal!$AC$127,0)</f>
        <v>0</v>
      </c>
      <c r="Z143" s="1153"/>
      <c r="AC143" s="1375">
        <f t="shared" si="27"/>
        <v>0</v>
      </c>
      <c r="AD143" s="1373">
        <f t="shared" si="28"/>
        <v>0</v>
      </c>
      <c r="AE143" s="1373">
        <f t="shared" si="29"/>
        <v>0</v>
      </c>
      <c r="AF143" s="1373">
        <f t="shared" si="26"/>
        <v>0</v>
      </c>
      <c r="AG143" s="1371">
        <f t="shared" si="25"/>
        <v>0</v>
      </c>
      <c r="AH143" s="1359" t="e">
        <f>HLOOKUP($AH$13,liquidez,127,0)</f>
        <v>#N/A</v>
      </c>
      <c r="AJ143" s="1360">
        <f>Captura!AI213</f>
        <v>0</v>
      </c>
    </row>
    <row r="144" spans="1:36">
      <c r="A144" s="1118">
        <f t="shared" ca="1" si="15"/>
        <v>10</v>
      </c>
      <c r="B144" s="1101">
        <f t="shared" si="16"/>
        <v>0</v>
      </c>
      <c r="C144" s="2149">
        <f t="shared" si="17"/>
        <v>0</v>
      </c>
      <c r="D144" s="2150">
        <f t="shared" si="21"/>
        <v>0</v>
      </c>
      <c r="E144" s="2145">
        <f t="shared" si="22"/>
        <v>0</v>
      </c>
      <c r="F144" s="2145">
        <f t="shared" si="18"/>
        <v>0</v>
      </c>
      <c r="G144" s="2145">
        <f t="shared" si="23"/>
        <v>0</v>
      </c>
      <c r="H144" s="2145">
        <f>IF(K143&lt;0.01,0,IF(Adm!$S$4=Adm!$S$8,0,K143*Adm!$V$4))</f>
        <v>0</v>
      </c>
      <c r="I144" s="2145">
        <f>IF(K143&lt;0.01,0,IF($I$16&lt;&gt;"",E144*Adm!$O$8,0))</f>
        <v>0</v>
      </c>
      <c r="J144" s="2145">
        <f t="shared" si="19"/>
        <v>0</v>
      </c>
      <c r="K144" s="2145">
        <f t="shared" si="20"/>
        <v>0</v>
      </c>
      <c r="L144" s="2146"/>
      <c r="W144" s="1352">
        <f t="shared" si="24"/>
        <v>7</v>
      </c>
      <c r="X144" s="1367">
        <f>IF(W144=1,Cal!$AC$127,0)</f>
        <v>0</v>
      </c>
      <c r="Z144" s="1153"/>
      <c r="AC144" s="1375">
        <f t="shared" si="27"/>
        <v>0</v>
      </c>
      <c r="AD144" s="1373">
        <f t="shared" si="28"/>
        <v>0</v>
      </c>
      <c r="AE144" s="1373">
        <f t="shared" si="29"/>
        <v>0</v>
      </c>
      <c r="AF144" s="1373">
        <f t="shared" si="26"/>
        <v>0</v>
      </c>
      <c r="AG144" s="1371">
        <f t="shared" si="25"/>
        <v>0</v>
      </c>
      <c r="AH144" s="1359" t="e">
        <f>HLOOKUP($AH$13,liquidez,128,0)</f>
        <v>#N/A</v>
      </c>
      <c r="AJ144" s="1360">
        <f>Captura!AI214</f>
        <v>0</v>
      </c>
    </row>
    <row r="145" spans="1:36">
      <c r="A145" s="1118">
        <f t="shared" ca="1" si="15"/>
        <v>11</v>
      </c>
      <c r="B145" s="1101">
        <f t="shared" si="16"/>
        <v>0</v>
      </c>
      <c r="C145" s="2149">
        <f t="shared" si="17"/>
        <v>0</v>
      </c>
      <c r="D145" s="2150">
        <f t="shared" si="21"/>
        <v>0</v>
      </c>
      <c r="E145" s="2145">
        <f t="shared" si="22"/>
        <v>0</v>
      </c>
      <c r="F145" s="2145">
        <f t="shared" si="18"/>
        <v>0</v>
      </c>
      <c r="G145" s="2145">
        <f t="shared" si="23"/>
        <v>0</v>
      </c>
      <c r="H145" s="2145">
        <f>IF(K144&lt;0.01,0,IF(Adm!$S$4=Adm!$S$8,0,K144*Adm!$V$4))</f>
        <v>0</v>
      </c>
      <c r="I145" s="2145">
        <f>IF(K144&lt;0.01,0,IF($I$16&lt;&gt;"",E145*Adm!$O$8,0))</f>
        <v>0</v>
      </c>
      <c r="J145" s="2145">
        <f t="shared" si="19"/>
        <v>0</v>
      </c>
      <c r="K145" s="2145">
        <f t="shared" si="20"/>
        <v>0</v>
      </c>
      <c r="L145" s="2146"/>
      <c r="W145" s="1352">
        <f t="shared" si="24"/>
        <v>8</v>
      </c>
      <c r="X145" s="1367">
        <f>IF(W145=1,Cal!$AC$127,0)</f>
        <v>0</v>
      </c>
      <c r="Z145" s="1153"/>
      <c r="AC145" s="1375">
        <f t="shared" si="27"/>
        <v>0</v>
      </c>
      <c r="AD145" s="1373">
        <f t="shared" si="28"/>
        <v>0</v>
      </c>
      <c r="AE145" s="1373">
        <f t="shared" si="29"/>
        <v>0</v>
      </c>
      <c r="AF145" s="1373">
        <f t="shared" si="26"/>
        <v>0</v>
      </c>
      <c r="AG145" s="1371">
        <f t="shared" si="25"/>
        <v>0</v>
      </c>
      <c r="AH145" s="1359" t="e">
        <f>HLOOKUP($AH$13,liquidez,129,0)</f>
        <v>#N/A</v>
      </c>
      <c r="AJ145" s="1360">
        <f>Captura!AI215</f>
        <v>0</v>
      </c>
    </row>
    <row r="146" spans="1:36">
      <c r="A146" s="1118">
        <f t="shared" ref="A146:A209" ca="1" si="30">IF(A145=12,1,A145+1)</f>
        <v>12</v>
      </c>
      <c r="B146" s="1101">
        <f t="shared" ref="B146:B209" si="31">IF(K145&lt;0.01,0,B145-1)</f>
        <v>0</v>
      </c>
      <c r="C146" s="2149">
        <f t="shared" ref="C146:C209" si="32">IF(K145&lt;0.01,0,C145+1)</f>
        <v>0</v>
      </c>
      <c r="D146" s="2150">
        <f t="shared" si="21"/>
        <v>0</v>
      </c>
      <c r="E146" s="2145">
        <f t="shared" si="22"/>
        <v>0</v>
      </c>
      <c r="F146" s="2145">
        <f t="shared" ref="F146:F209" si="33">IF(K145&lt;0.01,0,G146-E146)</f>
        <v>0</v>
      </c>
      <c r="G146" s="2145">
        <f t="shared" si="23"/>
        <v>0</v>
      </c>
      <c r="H146" s="2145">
        <f>IF(K145&lt;0.01,0,IF(Adm!$S$4=Adm!$S$8,0,K145*Adm!$V$4))</f>
        <v>0</v>
      </c>
      <c r="I146" s="2145">
        <f>IF(K145&lt;0.01,0,IF($I$16&lt;&gt;"",E146*Adm!$O$8,0))</f>
        <v>0</v>
      </c>
      <c r="J146" s="2145">
        <f t="shared" ref="J146:J209" si="34">G146+H146+I146</f>
        <v>0</v>
      </c>
      <c r="K146" s="2145">
        <f t="shared" ref="K146:K209" si="35">IF(K145&lt;0.01,0,K145-F146-L146)</f>
        <v>0</v>
      </c>
      <c r="L146" s="2146"/>
      <c r="W146" s="1352">
        <f t="shared" si="24"/>
        <v>9</v>
      </c>
      <c r="X146" s="1367">
        <f>IF(W146=1,Cal!$AC$127,0)</f>
        <v>0</v>
      </c>
      <c r="Z146" s="1153"/>
      <c r="AC146" s="1375">
        <f t="shared" si="27"/>
        <v>0</v>
      </c>
      <c r="AD146" s="1373">
        <f t="shared" si="28"/>
        <v>0</v>
      </c>
      <c r="AE146" s="1373">
        <f t="shared" si="29"/>
        <v>0</v>
      </c>
      <c r="AF146" s="1373">
        <f t="shared" si="26"/>
        <v>0</v>
      </c>
      <c r="AG146" s="1371">
        <f t="shared" si="25"/>
        <v>0</v>
      </c>
      <c r="AH146" s="1359" t="e">
        <f>HLOOKUP($AH$13,liquidez,130,0)</f>
        <v>#N/A</v>
      </c>
      <c r="AJ146" s="1360">
        <f>Captura!AI216</f>
        <v>0</v>
      </c>
    </row>
    <row r="147" spans="1:36">
      <c r="A147" s="1118">
        <f t="shared" ca="1" si="30"/>
        <v>1</v>
      </c>
      <c r="B147" s="1101">
        <f t="shared" si="31"/>
        <v>0</v>
      </c>
      <c r="C147" s="2149">
        <f t="shared" si="32"/>
        <v>0</v>
      </c>
      <c r="D147" s="2150">
        <f t="shared" ref="D147:D210" si="36">IF(K146&lt;0.01,0,D146)</f>
        <v>0</v>
      </c>
      <c r="E147" s="2145">
        <f t="shared" ref="E147:E210" si="37">IF(K146&lt;0.01,0,K146*D147*30.4166/360)</f>
        <v>0</v>
      </c>
      <c r="F147" s="2145">
        <f t="shared" si="33"/>
        <v>0</v>
      </c>
      <c r="G147" s="2145">
        <f t="shared" ref="G147:G210" si="38">IF(K146&lt;0.1,0,MIN(K146+E147,IF(AC147&gt;0,AC147,G146*(1+X147))))</f>
        <v>0</v>
      </c>
      <c r="H147" s="2145">
        <f>IF(K146&lt;0.01,0,IF(Adm!$S$4=Adm!$S$8,0,K146*Adm!$V$4))</f>
        <v>0</v>
      </c>
      <c r="I147" s="2145">
        <f>IF(K146&lt;0.01,0,IF($I$16&lt;&gt;"",E147*Adm!$O$8,0))</f>
        <v>0</v>
      </c>
      <c r="J147" s="2145">
        <f t="shared" si="34"/>
        <v>0</v>
      </c>
      <c r="K147" s="2145">
        <f t="shared" si="35"/>
        <v>0</v>
      </c>
      <c r="L147" s="2146"/>
      <c r="W147" s="1352">
        <f t="shared" ref="W147:W210" si="39">IF(W146=12,1,W146+1)</f>
        <v>10</v>
      </c>
      <c r="X147" s="1367">
        <f>IF(W147=1,Cal!$AC$127,0)</f>
        <v>0</v>
      </c>
      <c r="Z147" s="1153"/>
      <c r="AC147" s="1375">
        <f t="shared" si="27"/>
        <v>0</v>
      </c>
      <c r="AD147" s="1373">
        <f t="shared" si="28"/>
        <v>0</v>
      </c>
      <c r="AE147" s="1373">
        <f t="shared" si="29"/>
        <v>0</v>
      </c>
      <c r="AF147" s="1373">
        <f t="shared" si="26"/>
        <v>0</v>
      </c>
      <c r="AG147" s="1371">
        <f t="shared" ref="AG147:AG210" si="40">IF(AND($AE$12=2,L146&lt;0.01),0,IF($AE$12=2,(K146*AH147)+E147,0))</f>
        <v>0</v>
      </c>
      <c r="AH147" s="1359" t="e">
        <f>HLOOKUP($AH$13,liquidez,131,0)</f>
        <v>#N/A</v>
      </c>
      <c r="AJ147" s="1360">
        <f>Captura!AI217</f>
        <v>0</v>
      </c>
    </row>
    <row r="148" spans="1:36">
      <c r="A148" s="1118">
        <f t="shared" ca="1" si="30"/>
        <v>2</v>
      </c>
      <c r="B148" s="1101">
        <f t="shared" si="31"/>
        <v>0</v>
      </c>
      <c r="C148" s="2149">
        <f t="shared" si="32"/>
        <v>0</v>
      </c>
      <c r="D148" s="2150">
        <f t="shared" si="36"/>
        <v>0</v>
      </c>
      <c r="E148" s="2145">
        <f t="shared" si="37"/>
        <v>0</v>
      </c>
      <c r="F148" s="2145">
        <f t="shared" si="33"/>
        <v>0</v>
      </c>
      <c r="G148" s="2145">
        <f t="shared" si="38"/>
        <v>0</v>
      </c>
      <c r="H148" s="2145">
        <f>IF(K147&lt;0.01,0,IF(Adm!$S$4=Adm!$S$8,0,K147*Adm!$V$4))</f>
        <v>0</v>
      </c>
      <c r="I148" s="2145">
        <f>IF(K147&lt;0.01,0,IF($I$16&lt;&gt;"",E148*Adm!$O$8,0))</f>
        <v>0</v>
      </c>
      <c r="J148" s="2145">
        <f t="shared" si="34"/>
        <v>0</v>
      </c>
      <c r="K148" s="2145">
        <f t="shared" si="35"/>
        <v>0</v>
      </c>
      <c r="L148" s="2146"/>
      <c r="W148" s="1352">
        <f t="shared" si="39"/>
        <v>11</v>
      </c>
      <c r="X148" s="1367">
        <f>IF(W148=1,Cal!$AC$127,0)</f>
        <v>0</v>
      </c>
      <c r="Z148" s="1153"/>
      <c r="AC148" s="1375">
        <f t="shared" si="27"/>
        <v>0</v>
      </c>
      <c r="AD148" s="1373">
        <f t="shared" si="28"/>
        <v>0</v>
      </c>
      <c r="AE148" s="1373">
        <f t="shared" si="29"/>
        <v>0</v>
      </c>
      <c r="AF148" s="1373">
        <f t="shared" ref="AF148:AF211" si="41">IF(AND(AG148&gt;0.01,$AC$12=2),AG148,0)</f>
        <v>0</v>
      </c>
      <c r="AG148" s="1371">
        <f t="shared" si="40"/>
        <v>0</v>
      </c>
      <c r="AH148" s="1359" t="e">
        <f>HLOOKUP($AH$13,liquidez,132,0)</f>
        <v>#N/A</v>
      </c>
      <c r="AJ148" s="1360">
        <f>Captura!AI218</f>
        <v>0</v>
      </c>
    </row>
    <row r="149" spans="1:36">
      <c r="A149" s="1118">
        <f t="shared" ca="1" si="30"/>
        <v>3</v>
      </c>
      <c r="B149" s="1101">
        <f t="shared" si="31"/>
        <v>0</v>
      </c>
      <c r="C149" s="2149">
        <f t="shared" si="32"/>
        <v>0</v>
      </c>
      <c r="D149" s="2150">
        <f t="shared" si="36"/>
        <v>0</v>
      </c>
      <c r="E149" s="2145">
        <f t="shared" si="37"/>
        <v>0</v>
      </c>
      <c r="F149" s="2145">
        <f t="shared" si="33"/>
        <v>0</v>
      </c>
      <c r="G149" s="2145">
        <f t="shared" si="38"/>
        <v>0</v>
      </c>
      <c r="H149" s="2145">
        <f>IF(K148&lt;0.01,0,IF(Adm!$S$4=Adm!$S$8,0,K148*Adm!$V$4))</f>
        <v>0</v>
      </c>
      <c r="I149" s="2145">
        <f>IF(K148&lt;0.01,0,IF($I$16&lt;&gt;"",E149*Adm!$O$8,0))</f>
        <v>0</v>
      </c>
      <c r="J149" s="2145">
        <f t="shared" si="34"/>
        <v>0</v>
      </c>
      <c r="K149" s="2145">
        <f t="shared" si="35"/>
        <v>0</v>
      </c>
      <c r="L149" s="2146"/>
      <c r="W149" s="1352">
        <f t="shared" si="39"/>
        <v>12</v>
      </c>
      <c r="X149" s="1367">
        <f>IF(W149=1,Cal!$AC$127,0)</f>
        <v>0</v>
      </c>
      <c r="Z149" s="1153"/>
      <c r="AC149" s="1375">
        <f t="shared" ref="AC149:AC212" si="42">IF(AD149&gt;1,AD149,IF(AF149&gt;1,AF149,0))</f>
        <v>0</v>
      </c>
      <c r="AD149" s="1373">
        <f t="shared" ref="AD149:AD212" si="43">IF(AND($AE$12=1,L148&gt;0.1),AE149,0)</f>
        <v>0</v>
      </c>
      <c r="AE149" s="1373">
        <f t="shared" ref="AE149:AE212" si="44">IF(AND($AE$12=1,$AC$12=2),PMT((($D$18/360)*(365/12)),B148,-K148),0)</f>
        <v>0</v>
      </c>
      <c r="AF149" s="1373">
        <f t="shared" si="41"/>
        <v>0</v>
      </c>
      <c r="AG149" s="1371">
        <f t="shared" si="40"/>
        <v>0</v>
      </c>
      <c r="AH149" s="1359" t="e">
        <f>HLOOKUP($AH$13,liquidez,133,0)</f>
        <v>#N/A</v>
      </c>
      <c r="AJ149" s="1360">
        <f>Captura!AI219</f>
        <v>0</v>
      </c>
    </row>
    <row r="150" spans="1:36">
      <c r="A150" s="1118">
        <f t="shared" ca="1" si="30"/>
        <v>4</v>
      </c>
      <c r="B150" s="1101">
        <f t="shared" si="31"/>
        <v>0</v>
      </c>
      <c r="C150" s="2149">
        <f t="shared" si="32"/>
        <v>0</v>
      </c>
      <c r="D150" s="2150">
        <f t="shared" si="36"/>
        <v>0</v>
      </c>
      <c r="E150" s="2145">
        <f t="shared" si="37"/>
        <v>0</v>
      </c>
      <c r="F150" s="2145">
        <f t="shared" si="33"/>
        <v>0</v>
      </c>
      <c r="G150" s="2145">
        <f t="shared" si="38"/>
        <v>0</v>
      </c>
      <c r="H150" s="2145">
        <f>IF(K149&lt;0.01,0,IF(Adm!$S$4=Adm!$S$8,0,K149*Adm!$V$4))</f>
        <v>0</v>
      </c>
      <c r="I150" s="2145">
        <f>IF(K149&lt;0.01,0,IF($I$16&lt;&gt;"",E150*Adm!$O$8,0))</f>
        <v>0</v>
      </c>
      <c r="J150" s="2145">
        <f t="shared" si="34"/>
        <v>0</v>
      </c>
      <c r="K150" s="2145">
        <f t="shared" si="35"/>
        <v>0</v>
      </c>
      <c r="L150" s="2146"/>
      <c r="W150" s="1352">
        <f t="shared" si="39"/>
        <v>1</v>
      </c>
      <c r="X150" s="1367">
        <f>IF(W150=1,Cal!$AC$127,0)</f>
        <v>0</v>
      </c>
      <c r="Z150" s="1153"/>
      <c r="AC150" s="1375">
        <f t="shared" si="42"/>
        <v>0</v>
      </c>
      <c r="AD150" s="1373">
        <f t="shared" si="43"/>
        <v>0</v>
      </c>
      <c r="AE150" s="1373">
        <f t="shared" si="44"/>
        <v>0</v>
      </c>
      <c r="AF150" s="1373">
        <f t="shared" si="41"/>
        <v>0</v>
      </c>
      <c r="AG150" s="1371">
        <f t="shared" si="40"/>
        <v>0</v>
      </c>
      <c r="AH150" s="1359" t="e">
        <f>HLOOKUP($AH$13,liquidez,134,0)</f>
        <v>#N/A</v>
      </c>
      <c r="AJ150" s="1360">
        <f>Captura!AI220</f>
        <v>0</v>
      </c>
    </row>
    <row r="151" spans="1:36">
      <c r="A151" s="1118">
        <f t="shared" ca="1" si="30"/>
        <v>5</v>
      </c>
      <c r="B151" s="1101">
        <f t="shared" si="31"/>
        <v>0</v>
      </c>
      <c r="C151" s="2149">
        <f t="shared" si="32"/>
        <v>0</v>
      </c>
      <c r="D151" s="2150">
        <f t="shared" si="36"/>
        <v>0</v>
      </c>
      <c r="E151" s="2145">
        <f t="shared" si="37"/>
        <v>0</v>
      </c>
      <c r="F151" s="2145">
        <f t="shared" si="33"/>
        <v>0</v>
      </c>
      <c r="G151" s="2145">
        <f t="shared" si="38"/>
        <v>0</v>
      </c>
      <c r="H151" s="2145">
        <f>IF(K150&lt;0.01,0,IF(Adm!$S$4=Adm!$S$8,0,K150*Adm!$V$4))</f>
        <v>0</v>
      </c>
      <c r="I151" s="2145">
        <f>IF(K150&lt;0.01,0,IF($I$16&lt;&gt;"",E151*Adm!$O$8,0))</f>
        <v>0</v>
      </c>
      <c r="J151" s="2145">
        <f t="shared" si="34"/>
        <v>0</v>
      </c>
      <c r="K151" s="2145">
        <f t="shared" si="35"/>
        <v>0</v>
      </c>
      <c r="L151" s="2146"/>
      <c r="W151" s="1352">
        <f t="shared" si="39"/>
        <v>2</v>
      </c>
      <c r="X151" s="1367">
        <f>IF(W151=1,Cal!$AC$127,0)</f>
        <v>0</v>
      </c>
      <c r="Z151" s="1153"/>
      <c r="AC151" s="1375">
        <f t="shared" si="42"/>
        <v>0</v>
      </c>
      <c r="AD151" s="1373">
        <f t="shared" si="43"/>
        <v>0</v>
      </c>
      <c r="AE151" s="1373">
        <f t="shared" si="44"/>
        <v>0</v>
      </c>
      <c r="AF151" s="1373">
        <f t="shared" si="41"/>
        <v>0</v>
      </c>
      <c r="AG151" s="1371">
        <f t="shared" si="40"/>
        <v>0</v>
      </c>
      <c r="AH151" s="1359" t="e">
        <f>HLOOKUP($AH$13,liquidez,135,0)</f>
        <v>#N/A</v>
      </c>
      <c r="AJ151" s="1360">
        <f>Captura!AI221</f>
        <v>0</v>
      </c>
    </row>
    <row r="152" spans="1:36">
      <c r="A152" s="1118">
        <f t="shared" ca="1" si="30"/>
        <v>6</v>
      </c>
      <c r="B152" s="1101">
        <f t="shared" si="31"/>
        <v>0</v>
      </c>
      <c r="C152" s="2149">
        <f t="shared" si="32"/>
        <v>0</v>
      </c>
      <c r="D152" s="2150">
        <f t="shared" si="36"/>
        <v>0</v>
      </c>
      <c r="E152" s="2145">
        <f t="shared" si="37"/>
        <v>0</v>
      </c>
      <c r="F152" s="2145">
        <f t="shared" si="33"/>
        <v>0</v>
      </c>
      <c r="G152" s="2145">
        <f t="shared" si="38"/>
        <v>0</v>
      </c>
      <c r="H152" s="2145">
        <f>IF(K151&lt;0.01,0,IF(Adm!$S$4=Adm!$S$8,0,K151*Adm!$V$4))</f>
        <v>0</v>
      </c>
      <c r="I152" s="2145">
        <f>IF(K151&lt;0.01,0,IF($I$16&lt;&gt;"",E152*Adm!$O$8,0))</f>
        <v>0</v>
      </c>
      <c r="J152" s="2145">
        <f t="shared" si="34"/>
        <v>0</v>
      </c>
      <c r="K152" s="2145">
        <f t="shared" si="35"/>
        <v>0</v>
      </c>
      <c r="L152" s="2146"/>
      <c r="W152" s="1352">
        <f t="shared" si="39"/>
        <v>3</v>
      </c>
      <c r="X152" s="1367">
        <f>IF(W152=1,Cal!$AC$127,0)</f>
        <v>0</v>
      </c>
      <c r="Z152" s="1153"/>
      <c r="AC152" s="1375">
        <f t="shared" si="42"/>
        <v>0</v>
      </c>
      <c r="AD152" s="1373">
        <f t="shared" si="43"/>
        <v>0</v>
      </c>
      <c r="AE152" s="1373">
        <f t="shared" si="44"/>
        <v>0</v>
      </c>
      <c r="AF152" s="1373">
        <f t="shared" si="41"/>
        <v>0</v>
      </c>
      <c r="AG152" s="1371">
        <f t="shared" si="40"/>
        <v>0</v>
      </c>
      <c r="AH152" s="1359" t="e">
        <f>HLOOKUP($AH$13,liquidez,136,0)</f>
        <v>#N/A</v>
      </c>
      <c r="AJ152" s="1360">
        <f>Captura!AI222</f>
        <v>0</v>
      </c>
    </row>
    <row r="153" spans="1:36">
      <c r="A153" s="1118">
        <f t="shared" ca="1" si="30"/>
        <v>7</v>
      </c>
      <c r="B153" s="1101">
        <f t="shared" si="31"/>
        <v>0</v>
      </c>
      <c r="C153" s="2149">
        <f t="shared" si="32"/>
        <v>0</v>
      </c>
      <c r="D153" s="2150">
        <f t="shared" si="36"/>
        <v>0</v>
      </c>
      <c r="E153" s="2145">
        <f t="shared" si="37"/>
        <v>0</v>
      </c>
      <c r="F153" s="2145">
        <f t="shared" si="33"/>
        <v>0</v>
      </c>
      <c r="G153" s="2145">
        <f t="shared" si="38"/>
        <v>0</v>
      </c>
      <c r="H153" s="2145">
        <f>IF(K152&lt;0.01,0,IF(Adm!$S$4=Adm!$S$8,0,K152*Adm!$V$4))</f>
        <v>0</v>
      </c>
      <c r="I153" s="2145">
        <f>IF(K152&lt;0.01,0,IF($I$16&lt;&gt;"",E153*Adm!$O$8,0))</f>
        <v>0</v>
      </c>
      <c r="J153" s="2145">
        <f t="shared" si="34"/>
        <v>0</v>
      </c>
      <c r="K153" s="2145">
        <f t="shared" si="35"/>
        <v>0</v>
      </c>
      <c r="L153" s="2146"/>
      <c r="W153" s="1352">
        <f t="shared" si="39"/>
        <v>4</v>
      </c>
      <c r="X153" s="1367">
        <f>IF(W153=1,Cal!$AC$127,0)</f>
        <v>0</v>
      </c>
      <c r="Z153" s="1153"/>
      <c r="AC153" s="1375">
        <f t="shared" si="42"/>
        <v>0</v>
      </c>
      <c r="AD153" s="1373">
        <f t="shared" si="43"/>
        <v>0</v>
      </c>
      <c r="AE153" s="1373">
        <f t="shared" si="44"/>
        <v>0</v>
      </c>
      <c r="AF153" s="1373">
        <f t="shared" si="41"/>
        <v>0</v>
      </c>
      <c r="AG153" s="1371">
        <f t="shared" si="40"/>
        <v>0</v>
      </c>
      <c r="AH153" s="1359" t="e">
        <f>HLOOKUP($AH$13,liquidez,137,0)</f>
        <v>#N/A</v>
      </c>
      <c r="AJ153" s="1360">
        <f>Captura!AI223</f>
        <v>0</v>
      </c>
    </row>
    <row r="154" spans="1:36">
      <c r="A154" s="1118">
        <f t="shared" ca="1" si="30"/>
        <v>8</v>
      </c>
      <c r="B154" s="1101">
        <f t="shared" si="31"/>
        <v>0</v>
      </c>
      <c r="C154" s="2149">
        <f t="shared" si="32"/>
        <v>0</v>
      </c>
      <c r="D154" s="2150">
        <f t="shared" si="36"/>
        <v>0</v>
      </c>
      <c r="E154" s="2145">
        <f t="shared" si="37"/>
        <v>0</v>
      </c>
      <c r="F154" s="2145">
        <f t="shared" si="33"/>
        <v>0</v>
      </c>
      <c r="G154" s="2145">
        <f t="shared" si="38"/>
        <v>0</v>
      </c>
      <c r="H154" s="2145">
        <f>IF(K153&lt;0.01,0,IF(Adm!$S$4=Adm!$S$8,0,K153*Adm!$V$4))</f>
        <v>0</v>
      </c>
      <c r="I154" s="2145">
        <f>IF(K153&lt;0.01,0,IF($I$16&lt;&gt;"",E154*Adm!$O$8,0))</f>
        <v>0</v>
      </c>
      <c r="J154" s="2145">
        <f t="shared" si="34"/>
        <v>0</v>
      </c>
      <c r="K154" s="2145">
        <f t="shared" si="35"/>
        <v>0</v>
      </c>
      <c r="L154" s="2146"/>
      <c r="W154" s="1352">
        <f t="shared" si="39"/>
        <v>5</v>
      </c>
      <c r="X154" s="1367">
        <f>IF(W154=1,Cal!$AC$127,0)</f>
        <v>0</v>
      </c>
      <c r="Z154" s="1153"/>
      <c r="AC154" s="1375">
        <f t="shared" si="42"/>
        <v>0</v>
      </c>
      <c r="AD154" s="1373">
        <f t="shared" si="43"/>
        <v>0</v>
      </c>
      <c r="AE154" s="1373">
        <f t="shared" si="44"/>
        <v>0</v>
      </c>
      <c r="AF154" s="1373">
        <f t="shared" si="41"/>
        <v>0</v>
      </c>
      <c r="AG154" s="1371">
        <f t="shared" si="40"/>
        <v>0</v>
      </c>
      <c r="AH154" s="1359" t="e">
        <f>HLOOKUP($AH$13,liquidez,138,0)</f>
        <v>#N/A</v>
      </c>
      <c r="AJ154" s="1360">
        <f>Captura!AI224</f>
        <v>0</v>
      </c>
    </row>
    <row r="155" spans="1:36">
      <c r="A155" s="1118">
        <f t="shared" ca="1" si="30"/>
        <v>9</v>
      </c>
      <c r="B155" s="1101">
        <f t="shared" si="31"/>
        <v>0</v>
      </c>
      <c r="C155" s="2149">
        <f t="shared" si="32"/>
        <v>0</v>
      </c>
      <c r="D155" s="2150">
        <f t="shared" si="36"/>
        <v>0</v>
      </c>
      <c r="E155" s="2145">
        <f t="shared" si="37"/>
        <v>0</v>
      </c>
      <c r="F155" s="2145">
        <f t="shared" si="33"/>
        <v>0</v>
      </c>
      <c r="G155" s="2145">
        <f t="shared" si="38"/>
        <v>0</v>
      </c>
      <c r="H155" s="2145">
        <f>IF(K154&lt;0.01,0,IF(Adm!$S$4=Adm!$S$8,0,K154*Adm!$V$4))</f>
        <v>0</v>
      </c>
      <c r="I155" s="2145">
        <f>IF(K154&lt;0.01,0,IF($I$16&lt;&gt;"",E155*Adm!$O$8,0))</f>
        <v>0</v>
      </c>
      <c r="J155" s="2145">
        <f t="shared" si="34"/>
        <v>0</v>
      </c>
      <c r="K155" s="2145">
        <f t="shared" si="35"/>
        <v>0</v>
      </c>
      <c r="L155" s="2146"/>
      <c r="W155" s="1352">
        <f t="shared" si="39"/>
        <v>6</v>
      </c>
      <c r="X155" s="1367">
        <f>IF(W155=1,Cal!$AC$127,0)</f>
        <v>0</v>
      </c>
      <c r="Z155" s="1153"/>
      <c r="AC155" s="1375">
        <f t="shared" si="42"/>
        <v>0</v>
      </c>
      <c r="AD155" s="1373">
        <f t="shared" si="43"/>
        <v>0</v>
      </c>
      <c r="AE155" s="1373">
        <f t="shared" si="44"/>
        <v>0</v>
      </c>
      <c r="AF155" s="1373">
        <f t="shared" si="41"/>
        <v>0</v>
      </c>
      <c r="AG155" s="1371">
        <f t="shared" si="40"/>
        <v>0</v>
      </c>
      <c r="AH155" s="1359" t="e">
        <f>HLOOKUP($AH$13,liquidez,139,0)</f>
        <v>#N/A</v>
      </c>
      <c r="AJ155" s="1360">
        <f>Captura!AI225</f>
        <v>0</v>
      </c>
    </row>
    <row r="156" spans="1:36">
      <c r="A156" s="1118">
        <f t="shared" ca="1" si="30"/>
        <v>10</v>
      </c>
      <c r="B156" s="1101">
        <f t="shared" si="31"/>
        <v>0</v>
      </c>
      <c r="C156" s="2149">
        <f t="shared" si="32"/>
        <v>0</v>
      </c>
      <c r="D156" s="2150">
        <f t="shared" si="36"/>
        <v>0</v>
      </c>
      <c r="E156" s="2145">
        <f t="shared" si="37"/>
        <v>0</v>
      </c>
      <c r="F156" s="2145">
        <f t="shared" si="33"/>
        <v>0</v>
      </c>
      <c r="G156" s="2145">
        <f t="shared" si="38"/>
        <v>0</v>
      </c>
      <c r="H156" s="2145">
        <f>IF(K155&lt;0.01,0,IF(Adm!$S$4=Adm!$S$8,0,K155*Adm!$V$4))</f>
        <v>0</v>
      </c>
      <c r="I156" s="2145">
        <f>IF(K155&lt;0.01,0,IF($I$16&lt;&gt;"",E156*Adm!$O$8,0))</f>
        <v>0</v>
      </c>
      <c r="J156" s="2145">
        <f t="shared" si="34"/>
        <v>0</v>
      </c>
      <c r="K156" s="2145">
        <f t="shared" si="35"/>
        <v>0</v>
      </c>
      <c r="L156" s="2146"/>
      <c r="W156" s="1352">
        <f t="shared" si="39"/>
        <v>7</v>
      </c>
      <c r="X156" s="1367">
        <f>IF(W156=1,Cal!$AC$127,0)</f>
        <v>0</v>
      </c>
      <c r="Z156" s="1153"/>
      <c r="AC156" s="1375">
        <f t="shared" si="42"/>
        <v>0</v>
      </c>
      <c r="AD156" s="1373">
        <f t="shared" si="43"/>
        <v>0</v>
      </c>
      <c r="AE156" s="1373">
        <f t="shared" si="44"/>
        <v>0</v>
      </c>
      <c r="AF156" s="1373">
        <f t="shared" si="41"/>
        <v>0</v>
      </c>
      <c r="AG156" s="1371">
        <f t="shared" si="40"/>
        <v>0</v>
      </c>
      <c r="AH156" s="1359" t="e">
        <f>HLOOKUP($AH$13,liquidez,140,0)</f>
        <v>#N/A</v>
      </c>
      <c r="AJ156" s="1360">
        <f>Captura!AI226</f>
        <v>0</v>
      </c>
    </row>
    <row r="157" spans="1:36">
      <c r="A157" s="1118">
        <f t="shared" ca="1" si="30"/>
        <v>11</v>
      </c>
      <c r="B157" s="1101">
        <f t="shared" si="31"/>
        <v>0</v>
      </c>
      <c r="C157" s="2149">
        <f t="shared" si="32"/>
        <v>0</v>
      </c>
      <c r="D157" s="2150">
        <f t="shared" si="36"/>
        <v>0</v>
      </c>
      <c r="E157" s="2145">
        <f t="shared" si="37"/>
        <v>0</v>
      </c>
      <c r="F157" s="2145">
        <f t="shared" si="33"/>
        <v>0</v>
      </c>
      <c r="G157" s="2145">
        <f t="shared" si="38"/>
        <v>0</v>
      </c>
      <c r="H157" s="2145">
        <f>IF(K156&lt;0.01,0,IF(Adm!$S$4=Adm!$S$8,0,K156*Adm!$V$4))</f>
        <v>0</v>
      </c>
      <c r="I157" s="2145">
        <f>IF(K156&lt;0.01,0,IF($I$16&lt;&gt;"",E157*Adm!$O$8,0))</f>
        <v>0</v>
      </c>
      <c r="J157" s="2145">
        <f t="shared" si="34"/>
        <v>0</v>
      </c>
      <c r="K157" s="2145">
        <f t="shared" si="35"/>
        <v>0</v>
      </c>
      <c r="L157" s="2146"/>
      <c r="W157" s="1352">
        <f t="shared" si="39"/>
        <v>8</v>
      </c>
      <c r="X157" s="1367">
        <f>IF(W157=1,Cal!$AC$127,0)</f>
        <v>0</v>
      </c>
      <c r="Z157" s="1153"/>
      <c r="AC157" s="1375">
        <f t="shared" si="42"/>
        <v>0</v>
      </c>
      <c r="AD157" s="1373">
        <f t="shared" si="43"/>
        <v>0</v>
      </c>
      <c r="AE157" s="1373">
        <f t="shared" si="44"/>
        <v>0</v>
      </c>
      <c r="AF157" s="1373">
        <f t="shared" si="41"/>
        <v>0</v>
      </c>
      <c r="AG157" s="1371">
        <f t="shared" si="40"/>
        <v>0</v>
      </c>
      <c r="AH157" s="1359" t="e">
        <f>HLOOKUP($AH$13,liquidez,141,0)</f>
        <v>#N/A</v>
      </c>
      <c r="AJ157" s="1360">
        <f>Captura!AI227</f>
        <v>0</v>
      </c>
    </row>
    <row r="158" spans="1:36">
      <c r="A158" s="1118">
        <f t="shared" ca="1" si="30"/>
        <v>12</v>
      </c>
      <c r="B158" s="1101">
        <f t="shared" si="31"/>
        <v>0</v>
      </c>
      <c r="C158" s="2149">
        <f t="shared" si="32"/>
        <v>0</v>
      </c>
      <c r="D158" s="2150">
        <f t="shared" si="36"/>
        <v>0</v>
      </c>
      <c r="E158" s="2145">
        <f t="shared" si="37"/>
        <v>0</v>
      </c>
      <c r="F158" s="2145">
        <f t="shared" si="33"/>
        <v>0</v>
      </c>
      <c r="G158" s="2145">
        <f t="shared" si="38"/>
        <v>0</v>
      </c>
      <c r="H158" s="2145">
        <f>IF(K157&lt;0.01,0,IF(Adm!$S$4=Adm!$S$8,0,K157*Adm!$V$4))</f>
        <v>0</v>
      </c>
      <c r="I158" s="2145">
        <f>IF(K157&lt;0.01,0,IF($I$16&lt;&gt;"",E158*Adm!$O$8,0))</f>
        <v>0</v>
      </c>
      <c r="J158" s="2145">
        <f t="shared" si="34"/>
        <v>0</v>
      </c>
      <c r="K158" s="2145">
        <f t="shared" si="35"/>
        <v>0</v>
      </c>
      <c r="L158" s="2146"/>
      <c r="W158" s="1352">
        <f t="shared" si="39"/>
        <v>9</v>
      </c>
      <c r="X158" s="1367">
        <f>IF(W158=1,Cal!$AC$127,0)</f>
        <v>0</v>
      </c>
      <c r="Z158" s="1153"/>
      <c r="AC158" s="1375">
        <f t="shared" si="42"/>
        <v>0</v>
      </c>
      <c r="AD158" s="1373">
        <f t="shared" si="43"/>
        <v>0</v>
      </c>
      <c r="AE158" s="1373">
        <f t="shared" si="44"/>
        <v>0</v>
      </c>
      <c r="AF158" s="1373">
        <f t="shared" si="41"/>
        <v>0</v>
      </c>
      <c r="AG158" s="1371">
        <f t="shared" si="40"/>
        <v>0</v>
      </c>
      <c r="AH158" s="1359" t="e">
        <f>HLOOKUP($AH$13,liquidez,142,0)</f>
        <v>#N/A</v>
      </c>
      <c r="AJ158" s="1360">
        <f>Captura!AI228</f>
        <v>0</v>
      </c>
    </row>
    <row r="159" spans="1:36">
      <c r="A159" s="1118">
        <f t="shared" ca="1" si="30"/>
        <v>1</v>
      </c>
      <c r="B159" s="1101">
        <f t="shared" si="31"/>
        <v>0</v>
      </c>
      <c r="C159" s="2149">
        <f t="shared" si="32"/>
        <v>0</v>
      </c>
      <c r="D159" s="2150">
        <f t="shared" si="36"/>
        <v>0</v>
      </c>
      <c r="E159" s="2145">
        <f t="shared" si="37"/>
        <v>0</v>
      </c>
      <c r="F159" s="2145">
        <f t="shared" si="33"/>
        <v>0</v>
      </c>
      <c r="G159" s="2145">
        <f t="shared" si="38"/>
        <v>0</v>
      </c>
      <c r="H159" s="2145">
        <f>IF(K158&lt;0.01,0,IF(Adm!$S$4=Adm!$S$8,0,K158*Adm!$V$4))</f>
        <v>0</v>
      </c>
      <c r="I159" s="2145">
        <f>IF(K158&lt;0.01,0,IF($I$16&lt;&gt;"",E159*Adm!$O$8,0))</f>
        <v>0</v>
      </c>
      <c r="J159" s="2145">
        <f t="shared" si="34"/>
        <v>0</v>
      </c>
      <c r="K159" s="2145">
        <f t="shared" si="35"/>
        <v>0</v>
      </c>
      <c r="L159" s="2146"/>
      <c r="W159" s="1352">
        <f t="shared" si="39"/>
        <v>10</v>
      </c>
      <c r="X159" s="1367">
        <f>IF(W159=1,Cal!$AC$127,0)</f>
        <v>0</v>
      </c>
      <c r="Z159" s="1153"/>
      <c r="AC159" s="1375">
        <f t="shared" si="42"/>
        <v>0</v>
      </c>
      <c r="AD159" s="1373">
        <f t="shared" si="43"/>
        <v>0</v>
      </c>
      <c r="AE159" s="1373">
        <f t="shared" si="44"/>
        <v>0</v>
      </c>
      <c r="AF159" s="1373">
        <f t="shared" si="41"/>
        <v>0</v>
      </c>
      <c r="AG159" s="1371">
        <f t="shared" si="40"/>
        <v>0</v>
      </c>
      <c r="AH159" s="1359" t="e">
        <f>HLOOKUP($AH$13,liquidez,143,0)</f>
        <v>#N/A</v>
      </c>
      <c r="AJ159" s="1360">
        <f>Captura!AI229</f>
        <v>0</v>
      </c>
    </row>
    <row r="160" spans="1:36">
      <c r="A160" s="1118">
        <f t="shared" ca="1" si="30"/>
        <v>2</v>
      </c>
      <c r="B160" s="1101">
        <f t="shared" si="31"/>
        <v>0</v>
      </c>
      <c r="C160" s="2149">
        <f t="shared" si="32"/>
        <v>0</v>
      </c>
      <c r="D160" s="2150">
        <f t="shared" si="36"/>
        <v>0</v>
      </c>
      <c r="E160" s="2145">
        <f t="shared" si="37"/>
        <v>0</v>
      </c>
      <c r="F160" s="2145">
        <f t="shared" si="33"/>
        <v>0</v>
      </c>
      <c r="G160" s="2145">
        <f t="shared" si="38"/>
        <v>0</v>
      </c>
      <c r="H160" s="2145">
        <f>IF(K159&lt;0.01,0,IF(Adm!$S$4=Adm!$S$8,0,K159*Adm!$V$4))</f>
        <v>0</v>
      </c>
      <c r="I160" s="2145">
        <f>IF(K159&lt;0.01,0,IF($I$16&lt;&gt;"",E160*Adm!$O$8,0))</f>
        <v>0</v>
      </c>
      <c r="J160" s="2145">
        <f t="shared" si="34"/>
        <v>0</v>
      </c>
      <c r="K160" s="2145">
        <f t="shared" si="35"/>
        <v>0</v>
      </c>
      <c r="L160" s="2146"/>
      <c r="W160" s="1352">
        <f t="shared" si="39"/>
        <v>11</v>
      </c>
      <c r="X160" s="1367">
        <f>IF(W160=1,Cal!$AC$127,0)</f>
        <v>0</v>
      </c>
      <c r="Z160" s="1153"/>
      <c r="AC160" s="1375">
        <f t="shared" si="42"/>
        <v>0</v>
      </c>
      <c r="AD160" s="1373">
        <f t="shared" si="43"/>
        <v>0</v>
      </c>
      <c r="AE160" s="1373">
        <f t="shared" si="44"/>
        <v>0</v>
      </c>
      <c r="AF160" s="1373">
        <f t="shared" si="41"/>
        <v>0</v>
      </c>
      <c r="AG160" s="1371">
        <f t="shared" si="40"/>
        <v>0</v>
      </c>
      <c r="AH160" s="1359" t="e">
        <f>HLOOKUP($AH$13,liquidez,144,0)</f>
        <v>#N/A</v>
      </c>
      <c r="AJ160" s="1360">
        <f>Captura!AI230</f>
        <v>0</v>
      </c>
    </row>
    <row r="161" spans="1:36">
      <c r="A161" s="1118">
        <f t="shared" ca="1" si="30"/>
        <v>3</v>
      </c>
      <c r="B161" s="1101">
        <f t="shared" si="31"/>
        <v>0</v>
      </c>
      <c r="C161" s="2149">
        <f t="shared" si="32"/>
        <v>0</v>
      </c>
      <c r="D161" s="2150">
        <f t="shared" si="36"/>
        <v>0</v>
      </c>
      <c r="E161" s="2145">
        <f t="shared" si="37"/>
        <v>0</v>
      </c>
      <c r="F161" s="2145">
        <f t="shared" si="33"/>
        <v>0</v>
      </c>
      <c r="G161" s="2145">
        <f t="shared" si="38"/>
        <v>0</v>
      </c>
      <c r="H161" s="2145">
        <f>IF(K160&lt;0.01,0,IF(Adm!$S$4=Adm!$S$8,0,K160*Adm!$V$4))</f>
        <v>0</v>
      </c>
      <c r="I161" s="2145">
        <f>IF(K160&lt;0.01,0,IF($I$16&lt;&gt;"",E161*Adm!$O$8,0))</f>
        <v>0</v>
      </c>
      <c r="J161" s="2145">
        <f t="shared" si="34"/>
        <v>0</v>
      </c>
      <c r="K161" s="2145">
        <f t="shared" si="35"/>
        <v>0</v>
      </c>
      <c r="L161" s="2146"/>
      <c r="W161" s="1352">
        <f t="shared" si="39"/>
        <v>12</v>
      </c>
      <c r="X161" s="1367">
        <f>IF(W161=1,Cal!$AC$127,0)</f>
        <v>0</v>
      </c>
      <c r="Z161" s="1153"/>
      <c r="AC161" s="1375">
        <f t="shared" si="42"/>
        <v>0</v>
      </c>
      <c r="AD161" s="1373">
        <f t="shared" si="43"/>
        <v>0</v>
      </c>
      <c r="AE161" s="1373">
        <f t="shared" si="44"/>
        <v>0</v>
      </c>
      <c r="AF161" s="1373">
        <f t="shared" si="41"/>
        <v>0</v>
      </c>
      <c r="AG161" s="1371">
        <f t="shared" si="40"/>
        <v>0</v>
      </c>
      <c r="AH161" s="1359" t="e">
        <f>HLOOKUP($AH$13,liquidez,145,0)</f>
        <v>#N/A</v>
      </c>
      <c r="AJ161" s="1360">
        <f>Captura!AI231</f>
        <v>0</v>
      </c>
    </row>
    <row r="162" spans="1:36">
      <c r="A162" s="1118">
        <f t="shared" ca="1" si="30"/>
        <v>4</v>
      </c>
      <c r="B162" s="1101">
        <f t="shared" si="31"/>
        <v>0</v>
      </c>
      <c r="C162" s="2149">
        <f t="shared" si="32"/>
        <v>0</v>
      </c>
      <c r="D162" s="2150">
        <f t="shared" si="36"/>
        <v>0</v>
      </c>
      <c r="E162" s="2145">
        <f t="shared" si="37"/>
        <v>0</v>
      </c>
      <c r="F162" s="2145">
        <f t="shared" si="33"/>
        <v>0</v>
      </c>
      <c r="G162" s="2145">
        <f t="shared" si="38"/>
        <v>0</v>
      </c>
      <c r="H162" s="2145">
        <f>IF(K161&lt;0.01,0,IF(Adm!$S$4=Adm!$S$8,0,K161*Adm!$V$4))</f>
        <v>0</v>
      </c>
      <c r="I162" s="2145">
        <f>IF(K161&lt;0.01,0,IF($I$16&lt;&gt;"",E162*Adm!$O$8,0))</f>
        <v>0</v>
      </c>
      <c r="J162" s="2145">
        <f t="shared" si="34"/>
        <v>0</v>
      </c>
      <c r="K162" s="2145">
        <f t="shared" si="35"/>
        <v>0</v>
      </c>
      <c r="L162" s="2146"/>
      <c r="W162" s="1352">
        <f t="shared" si="39"/>
        <v>1</v>
      </c>
      <c r="X162" s="1367">
        <f>IF(W162=1,Cal!$AC$127,0)</f>
        <v>0</v>
      </c>
      <c r="Z162" s="1153"/>
      <c r="AC162" s="1375">
        <f t="shared" si="42"/>
        <v>0</v>
      </c>
      <c r="AD162" s="1373">
        <f t="shared" si="43"/>
        <v>0</v>
      </c>
      <c r="AE162" s="1373">
        <f t="shared" si="44"/>
        <v>0</v>
      </c>
      <c r="AF162" s="1373">
        <f t="shared" si="41"/>
        <v>0</v>
      </c>
      <c r="AG162" s="1371">
        <f t="shared" si="40"/>
        <v>0</v>
      </c>
      <c r="AH162" s="1359" t="e">
        <f>HLOOKUP($AH$13,liquidez,146,0)</f>
        <v>#N/A</v>
      </c>
      <c r="AJ162" s="1360">
        <f>Captura!AI232</f>
        <v>0</v>
      </c>
    </row>
    <row r="163" spans="1:36">
      <c r="A163" s="1118">
        <f t="shared" ca="1" si="30"/>
        <v>5</v>
      </c>
      <c r="B163" s="1101">
        <f t="shared" si="31"/>
        <v>0</v>
      </c>
      <c r="C163" s="2149">
        <f t="shared" si="32"/>
        <v>0</v>
      </c>
      <c r="D163" s="2150">
        <f t="shared" si="36"/>
        <v>0</v>
      </c>
      <c r="E163" s="2145">
        <f t="shared" si="37"/>
        <v>0</v>
      </c>
      <c r="F163" s="2145">
        <f t="shared" si="33"/>
        <v>0</v>
      </c>
      <c r="G163" s="2145">
        <f t="shared" si="38"/>
        <v>0</v>
      </c>
      <c r="H163" s="2145">
        <f>IF(K162&lt;0.01,0,IF(Adm!$S$4=Adm!$S$8,0,K162*Adm!$V$4))</f>
        <v>0</v>
      </c>
      <c r="I163" s="2145">
        <f>IF(K162&lt;0.01,0,IF($I$16&lt;&gt;"",E163*Adm!$O$8,0))</f>
        <v>0</v>
      </c>
      <c r="J163" s="2145">
        <f t="shared" si="34"/>
        <v>0</v>
      </c>
      <c r="K163" s="2145">
        <f t="shared" si="35"/>
        <v>0</v>
      </c>
      <c r="L163" s="2146"/>
      <c r="W163" s="1352">
        <f t="shared" si="39"/>
        <v>2</v>
      </c>
      <c r="X163" s="1367">
        <f>IF(W163=1,Cal!$AC$127,0)</f>
        <v>0</v>
      </c>
      <c r="Z163" s="1153"/>
      <c r="AC163" s="1375">
        <f t="shared" si="42"/>
        <v>0</v>
      </c>
      <c r="AD163" s="1373">
        <f t="shared" si="43"/>
        <v>0</v>
      </c>
      <c r="AE163" s="1373">
        <f t="shared" si="44"/>
        <v>0</v>
      </c>
      <c r="AF163" s="1373">
        <f t="shared" si="41"/>
        <v>0</v>
      </c>
      <c r="AG163" s="1371">
        <f t="shared" si="40"/>
        <v>0</v>
      </c>
      <c r="AH163" s="1359" t="e">
        <f>HLOOKUP($AH$13,liquidez,147,0)</f>
        <v>#N/A</v>
      </c>
      <c r="AJ163" s="1360">
        <f>Captura!AI233</f>
        <v>0</v>
      </c>
    </row>
    <row r="164" spans="1:36">
      <c r="A164" s="1118">
        <f t="shared" ca="1" si="30"/>
        <v>6</v>
      </c>
      <c r="B164" s="1101">
        <f t="shared" si="31"/>
        <v>0</v>
      </c>
      <c r="C164" s="2149">
        <f t="shared" si="32"/>
        <v>0</v>
      </c>
      <c r="D164" s="2150">
        <f t="shared" si="36"/>
        <v>0</v>
      </c>
      <c r="E164" s="2145">
        <f t="shared" si="37"/>
        <v>0</v>
      </c>
      <c r="F164" s="2145">
        <f t="shared" si="33"/>
        <v>0</v>
      </c>
      <c r="G164" s="2145">
        <f t="shared" si="38"/>
        <v>0</v>
      </c>
      <c r="H164" s="2145">
        <f>IF(K163&lt;0.01,0,IF(Adm!$S$4=Adm!$S$8,0,K163*Adm!$V$4))</f>
        <v>0</v>
      </c>
      <c r="I164" s="2145">
        <f>IF(K163&lt;0.01,0,IF($I$16&lt;&gt;"",E164*Adm!$O$8,0))</f>
        <v>0</v>
      </c>
      <c r="J164" s="2145">
        <f t="shared" si="34"/>
        <v>0</v>
      </c>
      <c r="K164" s="2145">
        <f t="shared" si="35"/>
        <v>0</v>
      </c>
      <c r="L164" s="2146"/>
      <c r="W164" s="1352">
        <f t="shared" si="39"/>
        <v>3</v>
      </c>
      <c r="X164" s="1367">
        <f>IF(W164=1,Cal!$AC$127,0)</f>
        <v>0</v>
      </c>
      <c r="Z164" s="1153"/>
      <c r="AC164" s="1375">
        <f t="shared" si="42"/>
        <v>0</v>
      </c>
      <c r="AD164" s="1373">
        <f t="shared" si="43"/>
        <v>0</v>
      </c>
      <c r="AE164" s="1373">
        <f t="shared" si="44"/>
        <v>0</v>
      </c>
      <c r="AF164" s="1373">
        <f t="shared" si="41"/>
        <v>0</v>
      </c>
      <c r="AG164" s="1371">
        <f t="shared" si="40"/>
        <v>0</v>
      </c>
      <c r="AH164" s="1359" t="e">
        <f>HLOOKUP($AH$13,liquidez,148,0)</f>
        <v>#N/A</v>
      </c>
      <c r="AJ164" s="1360">
        <f>Captura!AI234</f>
        <v>0</v>
      </c>
    </row>
    <row r="165" spans="1:36">
      <c r="A165" s="1118">
        <f t="shared" ca="1" si="30"/>
        <v>7</v>
      </c>
      <c r="B165" s="1101">
        <f t="shared" si="31"/>
        <v>0</v>
      </c>
      <c r="C165" s="2149">
        <f t="shared" si="32"/>
        <v>0</v>
      </c>
      <c r="D165" s="2150">
        <f t="shared" si="36"/>
        <v>0</v>
      </c>
      <c r="E165" s="2145">
        <f t="shared" si="37"/>
        <v>0</v>
      </c>
      <c r="F165" s="2145">
        <f t="shared" si="33"/>
        <v>0</v>
      </c>
      <c r="G165" s="2145">
        <f t="shared" si="38"/>
        <v>0</v>
      </c>
      <c r="H165" s="2145">
        <f>IF(K164&lt;0.01,0,IF(Adm!$S$4=Adm!$S$8,0,K164*Adm!$V$4))</f>
        <v>0</v>
      </c>
      <c r="I165" s="2145">
        <f>IF(K164&lt;0.01,0,IF($I$16&lt;&gt;"",E165*Adm!$O$8,0))</f>
        <v>0</v>
      </c>
      <c r="J165" s="2145">
        <f t="shared" si="34"/>
        <v>0</v>
      </c>
      <c r="K165" s="2145">
        <f t="shared" si="35"/>
        <v>0</v>
      </c>
      <c r="L165" s="2146"/>
      <c r="W165" s="1352">
        <f t="shared" si="39"/>
        <v>4</v>
      </c>
      <c r="X165" s="1367">
        <f>IF(W165=1,Cal!$AC$127,0)</f>
        <v>0</v>
      </c>
      <c r="Z165" s="1153"/>
      <c r="AC165" s="1375">
        <f t="shared" si="42"/>
        <v>0</v>
      </c>
      <c r="AD165" s="1373">
        <f t="shared" si="43"/>
        <v>0</v>
      </c>
      <c r="AE165" s="1373">
        <f t="shared" si="44"/>
        <v>0</v>
      </c>
      <c r="AF165" s="1373">
        <f t="shared" si="41"/>
        <v>0</v>
      </c>
      <c r="AG165" s="1371">
        <f t="shared" si="40"/>
        <v>0</v>
      </c>
      <c r="AH165" s="1359" t="e">
        <f>HLOOKUP($AH$13,liquidez,149,0)</f>
        <v>#N/A</v>
      </c>
      <c r="AJ165" s="1360">
        <f>Captura!AI235</f>
        <v>0</v>
      </c>
    </row>
    <row r="166" spans="1:36">
      <c r="A166" s="1118">
        <f t="shared" ca="1" si="30"/>
        <v>8</v>
      </c>
      <c r="B166" s="1101">
        <f t="shared" si="31"/>
        <v>0</v>
      </c>
      <c r="C166" s="2149">
        <f t="shared" si="32"/>
        <v>0</v>
      </c>
      <c r="D166" s="2150">
        <f t="shared" si="36"/>
        <v>0</v>
      </c>
      <c r="E166" s="2145">
        <f t="shared" si="37"/>
        <v>0</v>
      </c>
      <c r="F166" s="2145">
        <f t="shared" si="33"/>
        <v>0</v>
      </c>
      <c r="G166" s="2145">
        <f t="shared" si="38"/>
        <v>0</v>
      </c>
      <c r="H166" s="2145">
        <f>IF(K165&lt;0.01,0,IF(Adm!$S$4=Adm!$S$8,0,K165*Adm!$V$4))</f>
        <v>0</v>
      </c>
      <c r="I166" s="2145">
        <f>IF(K165&lt;0.01,0,IF($I$16&lt;&gt;"",E166*Adm!$O$8,0))</f>
        <v>0</v>
      </c>
      <c r="J166" s="2145">
        <f t="shared" si="34"/>
        <v>0</v>
      </c>
      <c r="K166" s="2145">
        <f t="shared" si="35"/>
        <v>0</v>
      </c>
      <c r="L166" s="2146"/>
      <c r="W166" s="1352">
        <f t="shared" si="39"/>
        <v>5</v>
      </c>
      <c r="X166" s="1367">
        <f>IF(W166=1,Cal!$AC$127,0)</f>
        <v>0</v>
      </c>
      <c r="Z166" s="1153"/>
      <c r="AC166" s="1375">
        <f t="shared" si="42"/>
        <v>0</v>
      </c>
      <c r="AD166" s="1373">
        <f t="shared" si="43"/>
        <v>0</v>
      </c>
      <c r="AE166" s="1373">
        <f t="shared" si="44"/>
        <v>0</v>
      </c>
      <c r="AF166" s="1373">
        <f t="shared" si="41"/>
        <v>0</v>
      </c>
      <c r="AG166" s="1371">
        <f t="shared" si="40"/>
        <v>0</v>
      </c>
      <c r="AH166" s="1359" t="e">
        <f>HLOOKUP($AH$13,liquidez,150,0)</f>
        <v>#N/A</v>
      </c>
      <c r="AJ166" s="1360">
        <f>Captura!AI236</f>
        <v>0</v>
      </c>
    </row>
    <row r="167" spans="1:36">
      <c r="A167" s="1118">
        <f t="shared" ca="1" si="30"/>
        <v>9</v>
      </c>
      <c r="B167" s="1101">
        <f t="shared" si="31"/>
        <v>0</v>
      </c>
      <c r="C167" s="2149">
        <f t="shared" si="32"/>
        <v>0</v>
      </c>
      <c r="D167" s="2150">
        <f t="shared" si="36"/>
        <v>0</v>
      </c>
      <c r="E167" s="2145">
        <f t="shared" si="37"/>
        <v>0</v>
      </c>
      <c r="F167" s="2145">
        <f t="shared" si="33"/>
        <v>0</v>
      </c>
      <c r="G167" s="2145">
        <f t="shared" si="38"/>
        <v>0</v>
      </c>
      <c r="H167" s="2145">
        <f>IF(K166&lt;0.01,0,IF(Adm!$S$4=Adm!$S$8,0,K166*Adm!$V$4))</f>
        <v>0</v>
      </c>
      <c r="I167" s="2145">
        <f>IF(K166&lt;0.01,0,IF($I$16&lt;&gt;"",E167*Adm!$O$8,0))</f>
        <v>0</v>
      </c>
      <c r="J167" s="2145">
        <f t="shared" si="34"/>
        <v>0</v>
      </c>
      <c r="K167" s="2145">
        <f t="shared" si="35"/>
        <v>0</v>
      </c>
      <c r="L167" s="2146"/>
      <c r="W167" s="1352">
        <f t="shared" si="39"/>
        <v>6</v>
      </c>
      <c r="X167" s="1367">
        <f>IF(W167=1,Cal!$AC$127,0)</f>
        <v>0</v>
      </c>
      <c r="Z167" s="1153"/>
      <c r="AC167" s="1375">
        <f t="shared" si="42"/>
        <v>0</v>
      </c>
      <c r="AD167" s="1373">
        <f t="shared" si="43"/>
        <v>0</v>
      </c>
      <c r="AE167" s="1373">
        <f t="shared" si="44"/>
        <v>0</v>
      </c>
      <c r="AF167" s="1373">
        <f t="shared" si="41"/>
        <v>0</v>
      </c>
      <c r="AG167" s="1371">
        <f t="shared" si="40"/>
        <v>0</v>
      </c>
      <c r="AH167" s="1359" t="e">
        <f>HLOOKUP($AH$13,liquidez,151,0)</f>
        <v>#N/A</v>
      </c>
      <c r="AJ167" s="1360">
        <f>Captura!AI237</f>
        <v>0</v>
      </c>
    </row>
    <row r="168" spans="1:36">
      <c r="A168" s="1118">
        <f t="shared" ca="1" si="30"/>
        <v>10</v>
      </c>
      <c r="B168" s="1101">
        <f t="shared" si="31"/>
        <v>0</v>
      </c>
      <c r="C168" s="2149">
        <f t="shared" si="32"/>
        <v>0</v>
      </c>
      <c r="D168" s="2150">
        <f t="shared" si="36"/>
        <v>0</v>
      </c>
      <c r="E168" s="2145">
        <f t="shared" si="37"/>
        <v>0</v>
      </c>
      <c r="F168" s="2145">
        <f t="shared" si="33"/>
        <v>0</v>
      </c>
      <c r="G168" s="2145">
        <f t="shared" si="38"/>
        <v>0</v>
      </c>
      <c r="H168" s="2145">
        <f>IF(K167&lt;0.01,0,IF(Adm!$S$4=Adm!$S$8,0,K167*Adm!$V$4))</f>
        <v>0</v>
      </c>
      <c r="I168" s="2145">
        <f>IF(K167&lt;0.01,0,IF($I$16&lt;&gt;"",E168*Adm!$O$8,0))</f>
        <v>0</v>
      </c>
      <c r="J168" s="2145">
        <f t="shared" si="34"/>
        <v>0</v>
      </c>
      <c r="K168" s="2145">
        <f t="shared" si="35"/>
        <v>0</v>
      </c>
      <c r="L168" s="2146"/>
      <c r="W168" s="1352">
        <f t="shared" si="39"/>
        <v>7</v>
      </c>
      <c r="X168" s="1367">
        <f>IF(W168=1,Cal!$AC$127,0)</f>
        <v>0</v>
      </c>
      <c r="Z168" s="1153"/>
      <c r="AC168" s="1375">
        <f t="shared" si="42"/>
        <v>0</v>
      </c>
      <c r="AD168" s="1373">
        <f t="shared" si="43"/>
        <v>0</v>
      </c>
      <c r="AE168" s="1373">
        <f t="shared" si="44"/>
        <v>0</v>
      </c>
      <c r="AF168" s="1373">
        <f t="shared" si="41"/>
        <v>0</v>
      </c>
      <c r="AG168" s="1371">
        <f t="shared" si="40"/>
        <v>0</v>
      </c>
      <c r="AH168" s="1359" t="e">
        <f>HLOOKUP($AH$13,liquidez,152,0)</f>
        <v>#N/A</v>
      </c>
      <c r="AJ168" s="1360">
        <f>Captura!AI238</f>
        <v>0</v>
      </c>
    </row>
    <row r="169" spans="1:36">
      <c r="A169" s="1118">
        <f t="shared" ca="1" si="30"/>
        <v>11</v>
      </c>
      <c r="B169" s="1101">
        <f t="shared" si="31"/>
        <v>0</v>
      </c>
      <c r="C169" s="2149">
        <f t="shared" si="32"/>
        <v>0</v>
      </c>
      <c r="D169" s="2150">
        <f t="shared" si="36"/>
        <v>0</v>
      </c>
      <c r="E169" s="2145">
        <f t="shared" si="37"/>
        <v>0</v>
      </c>
      <c r="F169" s="2145">
        <f t="shared" si="33"/>
        <v>0</v>
      </c>
      <c r="G169" s="2145">
        <f t="shared" si="38"/>
        <v>0</v>
      </c>
      <c r="H169" s="2145">
        <f>IF(K168&lt;0.01,0,IF(Adm!$S$4=Adm!$S$8,0,K168*Adm!$V$4))</f>
        <v>0</v>
      </c>
      <c r="I169" s="2145">
        <f>IF(K168&lt;0.01,0,IF($I$16&lt;&gt;"",E169*Adm!$O$8,0))</f>
        <v>0</v>
      </c>
      <c r="J169" s="2145">
        <f t="shared" si="34"/>
        <v>0</v>
      </c>
      <c r="K169" s="2145">
        <f t="shared" si="35"/>
        <v>0</v>
      </c>
      <c r="L169" s="2146"/>
      <c r="W169" s="1352">
        <f t="shared" si="39"/>
        <v>8</v>
      </c>
      <c r="X169" s="1367">
        <f>IF(W169=1,Cal!$AC$127,0)</f>
        <v>0</v>
      </c>
      <c r="Z169" s="1153"/>
      <c r="AC169" s="1375">
        <f t="shared" si="42"/>
        <v>0</v>
      </c>
      <c r="AD169" s="1373">
        <f t="shared" si="43"/>
        <v>0</v>
      </c>
      <c r="AE169" s="1373">
        <f t="shared" si="44"/>
        <v>0</v>
      </c>
      <c r="AF169" s="1373">
        <f t="shared" si="41"/>
        <v>0</v>
      </c>
      <c r="AG169" s="1371">
        <f t="shared" si="40"/>
        <v>0</v>
      </c>
      <c r="AH169" s="1359" t="e">
        <f>HLOOKUP($AH$13,liquidez,153,0)</f>
        <v>#N/A</v>
      </c>
      <c r="AJ169" s="1360">
        <f>Captura!AI239</f>
        <v>0</v>
      </c>
    </row>
    <row r="170" spans="1:36">
      <c r="A170" s="1118">
        <f t="shared" ca="1" si="30"/>
        <v>12</v>
      </c>
      <c r="B170" s="1101">
        <f t="shared" si="31"/>
        <v>0</v>
      </c>
      <c r="C170" s="2149">
        <f t="shared" si="32"/>
        <v>0</v>
      </c>
      <c r="D170" s="2150">
        <f t="shared" si="36"/>
        <v>0</v>
      </c>
      <c r="E170" s="2145">
        <f t="shared" si="37"/>
        <v>0</v>
      </c>
      <c r="F170" s="2145">
        <f t="shared" si="33"/>
        <v>0</v>
      </c>
      <c r="G170" s="2145">
        <f t="shared" si="38"/>
        <v>0</v>
      </c>
      <c r="H170" s="2145">
        <f>IF(K169&lt;0.01,0,IF(Adm!$S$4=Adm!$S$8,0,K169*Adm!$V$4))</f>
        <v>0</v>
      </c>
      <c r="I170" s="2145">
        <f>IF(K169&lt;0.01,0,IF($I$16&lt;&gt;"",E170*Adm!$O$8,0))</f>
        <v>0</v>
      </c>
      <c r="J170" s="2145">
        <f t="shared" si="34"/>
        <v>0</v>
      </c>
      <c r="K170" s="2145">
        <f t="shared" si="35"/>
        <v>0</v>
      </c>
      <c r="L170" s="2146"/>
      <c r="W170" s="1352">
        <f t="shared" si="39"/>
        <v>9</v>
      </c>
      <c r="X170" s="1367">
        <f>IF(W170=1,Cal!$AC$127,0)</f>
        <v>0</v>
      </c>
      <c r="Z170" s="1153"/>
      <c r="AC170" s="1375">
        <f t="shared" si="42"/>
        <v>0</v>
      </c>
      <c r="AD170" s="1373">
        <f t="shared" si="43"/>
        <v>0</v>
      </c>
      <c r="AE170" s="1373">
        <f t="shared" si="44"/>
        <v>0</v>
      </c>
      <c r="AF170" s="1373">
        <f t="shared" si="41"/>
        <v>0</v>
      </c>
      <c r="AG170" s="1371">
        <f t="shared" si="40"/>
        <v>0</v>
      </c>
      <c r="AH170" s="1359" t="e">
        <f>HLOOKUP($AH$13,liquidez,154,0)</f>
        <v>#N/A</v>
      </c>
      <c r="AJ170" s="1360">
        <f>Captura!AI240</f>
        <v>0</v>
      </c>
    </row>
    <row r="171" spans="1:36">
      <c r="A171" s="1118">
        <f t="shared" ca="1" si="30"/>
        <v>1</v>
      </c>
      <c r="B171" s="1101">
        <f t="shared" si="31"/>
        <v>0</v>
      </c>
      <c r="C171" s="2149">
        <f t="shared" si="32"/>
        <v>0</v>
      </c>
      <c r="D171" s="2150">
        <f t="shared" si="36"/>
        <v>0</v>
      </c>
      <c r="E171" s="2145">
        <f t="shared" si="37"/>
        <v>0</v>
      </c>
      <c r="F171" s="2145">
        <f t="shared" si="33"/>
        <v>0</v>
      </c>
      <c r="G171" s="2145">
        <f t="shared" si="38"/>
        <v>0</v>
      </c>
      <c r="H171" s="2145">
        <f>IF(K170&lt;0.01,0,IF(Adm!$S$4=Adm!$S$8,0,K170*Adm!$V$4))</f>
        <v>0</v>
      </c>
      <c r="I171" s="2145">
        <f>IF(K170&lt;0.01,0,IF($I$16&lt;&gt;"",E171*Adm!$O$8,0))</f>
        <v>0</v>
      </c>
      <c r="J171" s="2145">
        <f t="shared" si="34"/>
        <v>0</v>
      </c>
      <c r="K171" s="2145">
        <f t="shared" si="35"/>
        <v>0</v>
      </c>
      <c r="L171" s="2146"/>
      <c r="W171" s="1352">
        <f t="shared" si="39"/>
        <v>10</v>
      </c>
      <c r="X171" s="1367">
        <f>IF(W171=1,Cal!$AC$127,0)</f>
        <v>0</v>
      </c>
      <c r="Z171" s="1153"/>
      <c r="AC171" s="1375">
        <f t="shared" si="42"/>
        <v>0</v>
      </c>
      <c r="AD171" s="1373">
        <f t="shared" si="43"/>
        <v>0</v>
      </c>
      <c r="AE171" s="1373">
        <f t="shared" si="44"/>
        <v>0</v>
      </c>
      <c r="AF171" s="1373">
        <f t="shared" si="41"/>
        <v>0</v>
      </c>
      <c r="AG171" s="1371">
        <f t="shared" si="40"/>
        <v>0</v>
      </c>
      <c r="AH171" s="1359" t="e">
        <f>HLOOKUP($AH$13,liquidez,155,0)</f>
        <v>#N/A</v>
      </c>
      <c r="AJ171" s="1360">
        <f>Captura!AI241</f>
        <v>0</v>
      </c>
    </row>
    <row r="172" spans="1:36">
      <c r="A172" s="1118">
        <f t="shared" ca="1" si="30"/>
        <v>2</v>
      </c>
      <c r="B172" s="1101">
        <f t="shared" si="31"/>
        <v>0</v>
      </c>
      <c r="C172" s="2149">
        <f t="shared" si="32"/>
        <v>0</v>
      </c>
      <c r="D172" s="2150">
        <f t="shared" si="36"/>
        <v>0</v>
      </c>
      <c r="E172" s="2145">
        <f t="shared" si="37"/>
        <v>0</v>
      </c>
      <c r="F172" s="2145">
        <f t="shared" si="33"/>
        <v>0</v>
      </c>
      <c r="G172" s="2145">
        <f t="shared" si="38"/>
        <v>0</v>
      </c>
      <c r="H172" s="2145">
        <f>IF(K171&lt;0.01,0,IF(Adm!$S$4=Adm!$S$8,0,K171*Adm!$V$4))</f>
        <v>0</v>
      </c>
      <c r="I172" s="2145">
        <f>IF(K171&lt;0.01,0,IF($I$16&lt;&gt;"",E172*Adm!$O$8,0))</f>
        <v>0</v>
      </c>
      <c r="J172" s="2145">
        <f t="shared" si="34"/>
        <v>0</v>
      </c>
      <c r="K172" s="2145">
        <f t="shared" si="35"/>
        <v>0</v>
      </c>
      <c r="L172" s="2146"/>
      <c r="W172" s="1352">
        <f t="shared" si="39"/>
        <v>11</v>
      </c>
      <c r="X172" s="1367">
        <f>IF(W172=1,Cal!$AC$127,0)</f>
        <v>0</v>
      </c>
      <c r="Z172" s="1153"/>
      <c r="AC172" s="1375">
        <f t="shared" si="42"/>
        <v>0</v>
      </c>
      <c r="AD172" s="1373">
        <f t="shared" si="43"/>
        <v>0</v>
      </c>
      <c r="AE172" s="1373">
        <f t="shared" si="44"/>
        <v>0</v>
      </c>
      <c r="AF172" s="1373">
        <f t="shared" si="41"/>
        <v>0</v>
      </c>
      <c r="AG172" s="1371">
        <f t="shared" si="40"/>
        <v>0</v>
      </c>
      <c r="AH172" s="1359" t="e">
        <f>HLOOKUP($AH$13,liquidez,156,0)</f>
        <v>#N/A</v>
      </c>
      <c r="AJ172" s="1360">
        <f>Captura!AI242</f>
        <v>0</v>
      </c>
    </row>
    <row r="173" spans="1:36">
      <c r="A173" s="1118">
        <f t="shared" ca="1" si="30"/>
        <v>3</v>
      </c>
      <c r="B173" s="1101">
        <f t="shared" si="31"/>
        <v>0</v>
      </c>
      <c r="C173" s="2149">
        <f t="shared" si="32"/>
        <v>0</v>
      </c>
      <c r="D173" s="2150">
        <f t="shared" si="36"/>
        <v>0</v>
      </c>
      <c r="E173" s="2145">
        <f t="shared" si="37"/>
        <v>0</v>
      </c>
      <c r="F173" s="2145">
        <f t="shared" si="33"/>
        <v>0</v>
      </c>
      <c r="G173" s="2145">
        <f t="shared" si="38"/>
        <v>0</v>
      </c>
      <c r="H173" s="2145">
        <f>IF(K172&lt;0.01,0,IF(Adm!$S$4=Adm!$S$8,0,K172*Adm!$V$4))</f>
        <v>0</v>
      </c>
      <c r="I173" s="2145">
        <f>IF(K172&lt;0.01,0,IF($I$16&lt;&gt;"",E173*Adm!$O$8,0))</f>
        <v>0</v>
      </c>
      <c r="J173" s="2145">
        <f t="shared" si="34"/>
        <v>0</v>
      </c>
      <c r="K173" s="2145">
        <f t="shared" si="35"/>
        <v>0</v>
      </c>
      <c r="L173" s="2146"/>
      <c r="W173" s="1352">
        <f t="shared" si="39"/>
        <v>12</v>
      </c>
      <c r="X173" s="1367">
        <f>IF(W173=1,Cal!$AC$127,0)</f>
        <v>0</v>
      </c>
      <c r="Z173" s="1153"/>
      <c r="AC173" s="1375">
        <f t="shared" si="42"/>
        <v>0</v>
      </c>
      <c r="AD173" s="1373">
        <f t="shared" si="43"/>
        <v>0</v>
      </c>
      <c r="AE173" s="1373">
        <f t="shared" si="44"/>
        <v>0</v>
      </c>
      <c r="AF173" s="1373">
        <f t="shared" si="41"/>
        <v>0</v>
      </c>
      <c r="AG173" s="1371">
        <f t="shared" si="40"/>
        <v>0</v>
      </c>
      <c r="AH173" s="1359" t="e">
        <f>HLOOKUP($AH$13,liquidez,157,0)</f>
        <v>#N/A</v>
      </c>
      <c r="AJ173" s="1360">
        <f>Captura!AI243</f>
        <v>0</v>
      </c>
    </row>
    <row r="174" spans="1:36">
      <c r="A174" s="1118">
        <f t="shared" ca="1" si="30"/>
        <v>4</v>
      </c>
      <c r="B174" s="1101">
        <f t="shared" si="31"/>
        <v>0</v>
      </c>
      <c r="C174" s="2149">
        <f t="shared" si="32"/>
        <v>0</v>
      </c>
      <c r="D174" s="2150">
        <f t="shared" si="36"/>
        <v>0</v>
      </c>
      <c r="E174" s="2145">
        <f t="shared" si="37"/>
        <v>0</v>
      </c>
      <c r="F174" s="2145">
        <f t="shared" si="33"/>
        <v>0</v>
      </c>
      <c r="G174" s="2145">
        <f t="shared" si="38"/>
        <v>0</v>
      </c>
      <c r="H174" s="2145">
        <f>IF(K173&lt;0.01,0,IF(Adm!$S$4=Adm!$S$8,0,K173*Adm!$V$4))</f>
        <v>0</v>
      </c>
      <c r="I174" s="2145">
        <f>IF(K173&lt;0.01,0,IF($I$16&lt;&gt;"",E174*Adm!$O$8,0))</f>
        <v>0</v>
      </c>
      <c r="J174" s="2145">
        <f t="shared" si="34"/>
        <v>0</v>
      </c>
      <c r="K174" s="2145">
        <f t="shared" si="35"/>
        <v>0</v>
      </c>
      <c r="L174" s="2146"/>
      <c r="W174" s="1352">
        <f t="shared" si="39"/>
        <v>1</v>
      </c>
      <c r="X174" s="1367">
        <f>IF(W174=1,Cal!$AC$127,0)</f>
        <v>0</v>
      </c>
      <c r="Z174" s="1153"/>
      <c r="AC174" s="1375">
        <f t="shared" si="42"/>
        <v>0</v>
      </c>
      <c r="AD174" s="1373">
        <f t="shared" si="43"/>
        <v>0</v>
      </c>
      <c r="AE174" s="1373">
        <f t="shared" si="44"/>
        <v>0</v>
      </c>
      <c r="AF174" s="1373">
        <f t="shared" si="41"/>
        <v>0</v>
      </c>
      <c r="AG174" s="1371">
        <f t="shared" si="40"/>
        <v>0</v>
      </c>
      <c r="AH174" s="1359" t="e">
        <f>HLOOKUP($AH$13,liquidez,158,0)</f>
        <v>#N/A</v>
      </c>
      <c r="AJ174" s="1360">
        <f>Captura!AI244</f>
        <v>0</v>
      </c>
    </row>
    <row r="175" spans="1:36">
      <c r="A175" s="1118">
        <f t="shared" ca="1" si="30"/>
        <v>5</v>
      </c>
      <c r="B175" s="1101">
        <f t="shared" si="31"/>
        <v>0</v>
      </c>
      <c r="C175" s="2149">
        <f t="shared" si="32"/>
        <v>0</v>
      </c>
      <c r="D175" s="2150">
        <f t="shared" si="36"/>
        <v>0</v>
      </c>
      <c r="E175" s="2145">
        <f t="shared" si="37"/>
        <v>0</v>
      </c>
      <c r="F175" s="2145">
        <f t="shared" si="33"/>
        <v>0</v>
      </c>
      <c r="G175" s="2145">
        <f t="shared" si="38"/>
        <v>0</v>
      </c>
      <c r="H175" s="2145">
        <f>IF(K174&lt;0.01,0,IF(Adm!$S$4=Adm!$S$8,0,K174*Adm!$V$4))</f>
        <v>0</v>
      </c>
      <c r="I175" s="2145">
        <f>IF(K174&lt;0.01,0,IF($I$16&lt;&gt;"",E175*Adm!$O$8,0))</f>
        <v>0</v>
      </c>
      <c r="J175" s="2145">
        <f t="shared" si="34"/>
        <v>0</v>
      </c>
      <c r="K175" s="2145">
        <f t="shared" si="35"/>
        <v>0</v>
      </c>
      <c r="L175" s="2146"/>
      <c r="W175" s="1352">
        <f t="shared" si="39"/>
        <v>2</v>
      </c>
      <c r="X175" s="1367">
        <f>IF(W175=1,Cal!$AC$127,0)</f>
        <v>0</v>
      </c>
      <c r="Z175" s="1153"/>
      <c r="AC175" s="1375">
        <f t="shared" si="42"/>
        <v>0</v>
      </c>
      <c r="AD175" s="1373">
        <f t="shared" si="43"/>
        <v>0</v>
      </c>
      <c r="AE175" s="1373">
        <f t="shared" si="44"/>
        <v>0</v>
      </c>
      <c r="AF175" s="1373">
        <f t="shared" si="41"/>
        <v>0</v>
      </c>
      <c r="AG175" s="1371">
        <f t="shared" si="40"/>
        <v>0</v>
      </c>
      <c r="AH175" s="1359" t="e">
        <f>HLOOKUP($AH$13,liquidez,159,0)</f>
        <v>#N/A</v>
      </c>
      <c r="AJ175" s="1360">
        <f>Captura!AI245</f>
        <v>0</v>
      </c>
    </row>
    <row r="176" spans="1:36">
      <c r="A176" s="1118">
        <f t="shared" ca="1" si="30"/>
        <v>6</v>
      </c>
      <c r="B176" s="1101">
        <f t="shared" si="31"/>
        <v>0</v>
      </c>
      <c r="C176" s="2149">
        <f t="shared" si="32"/>
        <v>0</v>
      </c>
      <c r="D176" s="2150">
        <f t="shared" si="36"/>
        <v>0</v>
      </c>
      <c r="E176" s="2145">
        <f t="shared" si="37"/>
        <v>0</v>
      </c>
      <c r="F176" s="2145">
        <f t="shared" si="33"/>
        <v>0</v>
      </c>
      <c r="G176" s="2145">
        <f t="shared" si="38"/>
        <v>0</v>
      </c>
      <c r="H176" s="2145">
        <f>IF(K175&lt;0.01,0,IF(Adm!$S$4=Adm!$S$8,0,K175*Adm!$V$4))</f>
        <v>0</v>
      </c>
      <c r="I176" s="2145">
        <f>IF(K175&lt;0.01,0,IF($I$16&lt;&gt;"",E176*Adm!$O$8,0))</f>
        <v>0</v>
      </c>
      <c r="J176" s="2145">
        <f t="shared" si="34"/>
        <v>0</v>
      </c>
      <c r="K176" s="2145">
        <f t="shared" si="35"/>
        <v>0</v>
      </c>
      <c r="L176" s="2146"/>
      <c r="W176" s="1352">
        <f t="shared" si="39"/>
        <v>3</v>
      </c>
      <c r="X176" s="1367">
        <f>IF(W176=1,Cal!$AC$127,0)</f>
        <v>0</v>
      </c>
      <c r="Z176" s="1153"/>
      <c r="AC176" s="1375">
        <f t="shared" si="42"/>
        <v>0</v>
      </c>
      <c r="AD176" s="1373">
        <f t="shared" si="43"/>
        <v>0</v>
      </c>
      <c r="AE176" s="1373">
        <f t="shared" si="44"/>
        <v>0</v>
      </c>
      <c r="AF176" s="1373">
        <f t="shared" si="41"/>
        <v>0</v>
      </c>
      <c r="AG176" s="1371">
        <f t="shared" si="40"/>
        <v>0</v>
      </c>
      <c r="AH176" s="1359" t="e">
        <f>HLOOKUP($AH$13,liquidez,160,0)</f>
        <v>#N/A</v>
      </c>
      <c r="AJ176" s="1360">
        <f>Captura!AI246</f>
        <v>0</v>
      </c>
    </row>
    <row r="177" spans="1:36">
      <c r="A177" s="1118">
        <f t="shared" ca="1" si="30"/>
        <v>7</v>
      </c>
      <c r="B177" s="1101">
        <f t="shared" si="31"/>
        <v>0</v>
      </c>
      <c r="C177" s="2149">
        <f t="shared" si="32"/>
        <v>0</v>
      </c>
      <c r="D177" s="2150">
        <f t="shared" si="36"/>
        <v>0</v>
      </c>
      <c r="E177" s="2145">
        <f t="shared" si="37"/>
        <v>0</v>
      </c>
      <c r="F177" s="2145">
        <f t="shared" si="33"/>
        <v>0</v>
      </c>
      <c r="G177" s="2145">
        <f t="shared" si="38"/>
        <v>0</v>
      </c>
      <c r="H177" s="2145">
        <f>IF(K176&lt;0.01,0,IF(Adm!$S$4=Adm!$S$8,0,K176*Adm!$V$4))</f>
        <v>0</v>
      </c>
      <c r="I177" s="2145">
        <f>IF(K176&lt;0.01,0,IF($I$16&lt;&gt;"",E177*Adm!$O$8,0))</f>
        <v>0</v>
      </c>
      <c r="J177" s="2145">
        <f t="shared" si="34"/>
        <v>0</v>
      </c>
      <c r="K177" s="2145">
        <f t="shared" si="35"/>
        <v>0</v>
      </c>
      <c r="L177" s="2146"/>
      <c r="W177" s="1352">
        <f t="shared" si="39"/>
        <v>4</v>
      </c>
      <c r="X177" s="1367">
        <f>IF(W177=1,Cal!$AC$127,0)</f>
        <v>0</v>
      </c>
      <c r="Z177" s="1153"/>
      <c r="AC177" s="1375">
        <f t="shared" si="42"/>
        <v>0</v>
      </c>
      <c r="AD177" s="1373">
        <f t="shared" si="43"/>
        <v>0</v>
      </c>
      <c r="AE177" s="1373">
        <f t="shared" si="44"/>
        <v>0</v>
      </c>
      <c r="AF177" s="1373">
        <f t="shared" si="41"/>
        <v>0</v>
      </c>
      <c r="AG177" s="1371">
        <f t="shared" si="40"/>
        <v>0</v>
      </c>
      <c r="AH177" s="1359" t="e">
        <f>HLOOKUP($AH$13,liquidez,161,0)</f>
        <v>#N/A</v>
      </c>
      <c r="AJ177" s="1360">
        <f>Captura!AI247</f>
        <v>0</v>
      </c>
    </row>
    <row r="178" spans="1:36">
      <c r="A178" s="1118">
        <f t="shared" ca="1" si="30"/>
        <v>8</v>
      </c>
      <c r="B178" s="1101">
        <f t="shared" si="31"/>
        <v>0</v>
      </c>
      <c r="C178" s="2149">
        <f t="shared" si="32"/>
        <v>0</v>
      </c>
      <c r="D178" s="2150">
        <f t="shared" si="36"/>
        <v>0</v>
      </c>
      <c r="E178" s="2145">
        <f t="shared" si="37"/>
        <v>0</v>
      </c>
      <c r="F178" s="2145">
        <f t="shared" si="33"/>
        <v>0</v>
      </c>
      <c r="G178" s="2145">
        <f t="shared" si="38"/>
        <v>0</v>
      </c>
      <c r="H178" s="2145">
        <f>IF(K177&lt;0.01,0,IF(Adm!$S$4=Adm!$S$8,0,K177*Adm!$V$4))</f>
        <v>0</v>
      </c>
      <c r="I178" s="2145">
        <f>IF(K177&lt;0.01,0,IF($I$16&lt;&gt;"",E178*Adm!$O$8,0))</f>
        <v>0</v>
      </c>
      <c r="J178" s="2145">
        <f t="shared" si="34"/>
        <v>0</v>
      </c>
      <c r="K178" s="2145">
        <f t="shared" si="35"/>
        <v>0</v>
      </c>
      <c r="L178" s="2146"/>
      <c r="W178" s="1352">
        <f t="shared" si="39"/>
        <v>5</v>
      </c>
      <c r="X178" s="1367">
        <f>IF(W178=1,Cal!$AC$127,0)</f>
        <v>0</v>
      </c>
      <c r="Z178" s="1153"/>
      <c r="AC178" s="1375">
        <f t="shared" si="42"/>
        <v>0</v>
      </c>
      <c r="AD178" s="1373">
        <f t="shared" si="43"/>
        <v>0</v>
      </c>
      <c r="AE178" s="1373">
        <f t="shared" si="44"/>
        <v>0</v>
      </c>
      <c r="AF178" s="1373">
        <f t="shared" si="41"/>
        <v>0</v>
      </c>
      <c r="AG178" s="1371">
        <f t="shared" si="40"/>
        <v>0</v>
      </c>
      <c r="AH178" s="1359" t="e">
        <f>HLOOKUP($AH$13,liquidez,162,0)</f>
        <v>#N/A</v>
      </c>
      <c r="AJ178" s="1360">
        <f>Captura!AI248</f>
        <v>0</v>
      </c>
    </row>
    <row r="179" spans="1:36">
      <c r="A179" s="1118">
        <f t="shared" ca="1" si="30"/>
        <v>9</v>
      </c>
      <c r="B179" s="1101">
        <f t="shared" si="31"/>
        <v>0</v>
      </c>
      <c r="C179" s="2149">
        <f t="shared" si="32"/>
        <v>0</v>
      </c>
      <c r="D179" s="2150">
        <f t="shared" si="36"/>
        <v>0</v>
      </c>
      <c r="E179" s="2145">
        <f t="shared" si="37"/>
        <v>0</v>
      </c>
      <c r="F179" s="2145">
        <f t="shared" si="33"/>
        <v>0</v>
      </c>
      <c r="G179" s="2145">
        <f t="shared" si="38"/>
        <v>0</v>
      </c>
      <c r="H179" s="2145">
        <f>IF(K178&lt;0.01,0,IF(Adm!$S$4=Adm!$S$8,0,K178*Adm!$V$4))</f>
        <v>0</v>
      </c>
      <c r="I179" s="2145">
        <f>IF(K178&lt;0.01,0,IF($I$16&lt;&gt;"",E179*Adm!$O$8,0))</f>
        <v>0</v>
      </c>
      <c r="J179" s="2145">
        <f t="shared" si="34"/>
        <v>0</v>
      </c>
      <c r="K179" s="2145">
        <f t="shared" si="35"/>
        <v>0</v>
      </c>
      <c r="L179" s="2146"/>
      <c r="W179" s="1352">
        <f t="shared" si="39"/>
        <v>6</v>
      </c>
      <c r="X179" s="1367">
        <f>IF(W179=1,Cal!$AC$127,0)</f>
        <v>0</v>
      </c>
      <c r="Z179" s="1153"/>
      <c r="AC179" s="1375">
        <f t="shared" si="42"/>
        <v>0</v>
      </c>
      <c r="AD179" s="1373">
        <f t="shared" si="43"/>
        <v>0</v>
      </c>
      <c r="AE179" s="1373">
        <f t="shared" si="44"/>
        <v>0</v>
      </c>
      <c r="AF179" s="1373">
        <f t="shared" si="41"/>
        <v>0</v>
      </c>
      <c r="AG179" s="1371">
        <f t="shared" si="40"/>
        <v>0</v>
      </c>
      <c r="AH179" s="1359" t="e">
        <f>HLOOKUP($AH$13,liquidez,163,0)</f>
        <v>#N/A</v>
      </c>
      <c r="AJ179" s="1360">
        <f>Captura!AI249</f>
        <v>0</v>
      </c>
    </row>
    <row r="180" spans="1:36">
      <c r="A180" s="1118">
        <f t="shared" ca="1" si="30"/>
        <v>10</v>
      </c>
      <c r="B180" s="1101">
        <f t="shared" si="31"/>
        <v>0</v>
      </c>
      <c r="C180" s="2149">
        <f t="shared" si="32"/>
        <v>0</v>
      </c>
      <c r="D180" s="2150">
        <f t="shared" si="36"/>
        <v>0</v>
      </c>
      <c r="E180" s="2145">
        <f t="shared" si="37"/>
        <v>0</v>
      </c>
      <c r="F180" s="2145">
        <f t="shared" si="33"/>
        <v>0</v>
      </c>
      <c r="G180" s="2145">
        <f t="shared" si="38"/>
        <v>0</v>
      </c>
      <c r="H180" s="2145">
        <f>IF(K179&lt;0.01,0,IF(Adm!$S$4=Adm!$S$8,0,K179*Adm!$V$4))</f>
        <v>0</v>
      </c>
      <c r="I180" s="2145">
        <f>IF(K179&lt;0.01,0,IF($I$16&lt;&gt;"",E180*Adm!$O$8,0))</f>
        <v>0</v>
      </c>
      <c r="J180" s="2145">
        <f t="shared" si="34"/>
        <v>0</v>
      </c>
      <c r="K180" s="2145">
        <f t="shared" si="35"/>
        <v>0</v>
      </c>
      <c r="L180" s="2146"/>
      <c r="W180" s="1352">
        <f t="shared" si="39"/>
        <v>7</v>
      </c>
      <c r="X180" s="1367">
        <f>IF(W180=1,Cal!$AC$127,0)</f>
        <v>0</v>
      </c>
      <c r="Z180" s="1153"/>
      <c r="AC180" s="1375">
        <f t="shared" si="42"/>
        <v>0</v>
      </c>
      <c r="AD180" s="1373">
        <f t="shared" si="43"/>
        <v>0</v>
      </c>
      <c r="AE180" s="1373">
        <f t="shared" si="44"/>
        <v>0</v>
      </c>
      <c r="AF180" s="1373">
        <f t="shared" si="41"/>
        <v>0</v>
      </c>
      <c r="AG180" s="1371">
        <f t="shared" si="40"/>
        <v>0</v>
      </c>
      <c r="AH180" s="1359" t="e">
        <f>HLOOKUP($AH$13,liquidez,164,0)</f>
        <v>#N/A</v>
      </c>
      <c r="AJ180" s="1360">
        <f>Captura!AI250</f>
        <v>0</v>
      </c>
    </row>
    <row r="181" spans="1:36">
      <c r="A181" s="1118">
        <f t="shared" ca="1" si="30"/>
        <v>11</v>
      </c>
      <c r="B181" s="1101">
        <f t="shared" si="31"/>
        <v>0</v>
      </c>
      <c r="C181" s="2149">
        <f t="shared" si="32"/>
        <v>0</v>
      </c>
      <c r="D181" s="2150">
        <f t="shared" si="36"/>
        <v>0</v>
      </c>
      <c r="E181" s="2145">
        <f t="shared" si="37"/>
        <v>0</v>
      </c>
      <c r="F181" s="2145">
        <f t="shared" si="33"/>
        <v>0</v>
      </c>
      <c r="G181" s="2145">
        <f t="shared" si="38"/>
        <v>0</v>
      </c>
      <c r="H181" s="2145">
        <f>IF(K180&lt;0.01,0,IF(Adm!$S$4=Adm!$S$8,0,K180*Adm!$V$4))</f>
        <v>0</v>
      </c>
      <c r="I181" s="2145">
        <f>IF(K180&lt;0.01,0,IF($I$16&lt;&gt;"",E181*Adm!$O$8,0))</f>
        <v>0</v>
      </c>
      <c r="J181" s="2145">
        <f t="shared" si="34"/>
        <v>0</v>
      </c>
      <c r="K181" s="2145">
        <f t="shared" si="35"/>
        <v>0</v>
      </c>
      <c r="L181" s="2146"/>
      <c r="W181" s="1352">
        <f t="shared" si="39"/>
        <v>8</v>
      </c>
      <c r="X181" s="1367">
        <f>IF(W181=1,Cal!$AC$127,0)</f>
        <v>0</v>
      </c>
      <c r="Z181" s="1153"/>
      <c r="AC181" s="1375">
        <f t="shared" si="42"/>
        <v>0</v>
      </c>
      <c r="AD181" s="1373">
        <f t="shared" si="43"/>
        <v>0</v>
      </c>
      <c r="AE181" s="1373">
        <f t="shared" si="44"/>
        <v>0</v>
      </c>
      <c r="AF181" s="1373">
        <f t="shared" si="41"/>
        <v>0</v>
      </c>
      <c r="AG181" s="1371">
        <f t="shared" si="40"/>
        <v>0</v>
      </c>
      <c r="AH181" s="1359" t="e">
        <f>HLOOKUP($AH$13,liquidez,165,0)</f>
        <v>#N/A</v>
      </c>
      <c r="AJ181" s="1360">
        <f>Captura!AI251</f>
        <v>0</v>
      </c>
    </row>
    <row r="182" spans="1:36">
      <c r="A182" s="1118">
        <f t="shared" ca="1" si="30"/>
        <v>12</v>
      </c>
      <c r="B182" s="1101">
        <f t="shared" si="31"/>
        <v>0</v>
      </c>
      <c r="C182" s="2149">
        <f t="shared" si="32"/>
        <v>0</v>
      </c>
      <c r="D182" s="2150">
        <f t="shared" si="36"/>
        <v>0</v>
      </c>
      <c r="E182" s="2145">
        <f t="shared" si="37"/>
        <v>0</v>
      </c>
      <c r="F182" s="2145">
        <f t="shared" si="33"/>
        <v>0</v>
      </c>
      <c r="G182" s="2145">
        <f t="shared" si="38"/>
        <v>0</v>
      </c>
      <c r="H182" s="2145">
        <f>IF(K181&lt;0.01,0,IF(Adm!$S$4=Adm!$S$8,0,K181*Adm!$V$4))</f>
        <v>0</v>
      </c>
      <c r="I182" s="2145">
        <f>IF(K181&lt;0.01,0,IF($I$16&lt;&gt;"",E182*Adm!$O$8,0))</f>
        <v>0</v>
      </c>
      <c r="J182" s="2145">
        <f t="shared" si="34"/>
        <v>0</v>
      </c>
      <c r="K182" s="2145">
        <f t="shared" si="35"/>
        <v>0</v>
      </c>
      <c r="L182" s="2146"/>
      <c r="W182" s="1352">
        <f t="shared" si="39"/>
        <v>9</v>
      </c>
      <c r="X182" s="1367">
        <f>IF(W182=1,Cal!$AC$127,0)</f>
        <v>0</v>
      </c>
      <c r="Z182" s="1153"/>
      <c r="AC182" s="1375">
        <f t="shared" si="42"/>
        <v>0</v>
      </c>
      <c r="AD182" s="1373">
        <f t="shared" si="43"/>
        <v>0</v>
      </c>
      <c r="AE182" s="1373">
        <f t="shared" si="44"/>
        <v>0</v>
      </c>
      <c r="AF182" s="1373">
        <f t="shared" si="41"/>
        <v>0</v>
      </c>
      <c r="AG182" s="1371">
        <f t="shared" si="40"/>
        <v>0</v>
      </c>
      <c r="AH182" s="1359" t="e">
        <f>HLOOKUP($AH$13,liquidez,166,0)</f>
        <v>#N/A</v>
      </c>
      <c r="AJ182" s="1360">
        <f>Captura!AI252</f>
        <v>0</v>
      </c>
    </row>
    <row r="183" spans="1:36">
      <c r="A183" s="1118">
        <f t="shared" ca="1" si="30"/>
        <v>1</v>
      </c>
      <c r="B183" s="1101">
        <f t="shared" si="31"/>
        <v>0</v>
      </c>
      <c r="C183" s="2149">
        <f t="shared" si="32"/>
        <v>0</v>
      </c>
      <c r="D183" s="2150">
        <f t="shared" si="36"/>
        <v>0</v>
      </c>
      <c r="E183" s="2145">
        <f t="shared" si="37"/>
        <v>0</v>
      </c>
      <c r="F183" s="2145">
        <f t="shared" si="33"/>
        <v>0</v>
      </c>
      <c r="G183" s="2145">
        <f t="shared" si="38"/>
        <v>0</v>
      </c>
      <c r="H183" s="2145">
        <f>IF(K182&lt;0.01,0,IF(Adm!$S$4=Adm!$S$8,0,K182*Adm!$V$4))</f>
        <v>0</v>
      </c>
      <c r="I183" s="2145">
        <f>IF(K182&lt;0.01,0,IF($I$16&lt;&gt;"",E183*Adm!$O$8,0))</f>
        <v>0</v>
      </c>
      <c r="J183" s="2145">
        <f t="shared" si="34"/>
        <v>0</v>
      </c>
      <c r="K183" s="2145">
        <f t="shared" si="35"/>
        <v>0</v>
      </c>
      <c r="L183" s="2146"/>
      <c r="W183" s="1352">
        <f t="shared" si="39"/>
        <v>10</v>
      </c>
      <c r="X183" s="1367">
        <f>IF(W183=1,Cal!$AC$127,0)</f>
        <v>0</v>
      </c>
      <c r="Z183" s="1153"/>
      <c r="AC183" s="1375">
        <f t="shared" si="42"/>
        <v>0</v>
      </c>
      <c r="AD183" s="1373">
        <f t="shared" si="43"/>
        <v>0</v>
      </c>
      <c r="AE183" s="1373">
        <f t="shared" si="44"/>
        <v>0</v>
      </c>
      <c r="AF183" s="1373">
        <f t="shared" si="41"/>
        <v>0</v>
      </c>
      <c r="AG183" s="1371">
        <f t="shared" si="40"/>
        <v>0</v>
      </c>
      <c r="AH183" s="1359" t="e">
        <f>HLOOKUP($AH$13,liquidez,167,0)</f>
        <v>#N/A</v>
      </c>
      <c r="AJ183" s="1360">
        <f>Captura!AI253</f>
        <v>0</v>
      </c>
    </row>
    <row r="184" spans="1:36">
      <c r="A184" s="1118">
        <f t="shared" ca="1" si="30"/>
        <v>2</v>
      </c>
      <c r="B184" s="1101">
        <f t="shared" si="31"/>
        <v>0</v>
      </c>
      <c r="C184" s="2149">
        <f t="shared" si="32"/>
        <v>0</v>
      </c>
      <c r="D184" s="2150">
        <f t="shared" si="36"/>
        <v>0</v>
      </c>
      <c r="E184" s="2145">
        <f t="shared" si="37"/>
        <v>0</v>
      </c>
      <c r="F184" s="2145">
        <f t="shared" si="33"/>
        <v>0</v>
      </c>
      <c r="G184" s="2145">
        <f t="shared" si="38"/>
        <v>0</v>
      </c>
      <c r="H184" s="2145">
        <f>IF(K183&lt;0.01,0,IF(Adm!$S$4=Adm!$S$8,0,K183*Adm!$V$4))</f>
        <v>0</v>
      </c>
      <c r="I184" s="2145">
        <f>IF(K183&lt;0.01,0,IF($I$16&lt;&gt;"",E184*Adm!$O$8,0))</f>
        <v>0</v>
      </c>
      <c r="J184" s="2145">
        <f t="shared" si="34"/>
        <v>0</v>
      </c>
      <c r="K184" s="2145">
        <f t="shared" si="35"/>
        <v>0</v>
      </c>
      <c r="L184" s="2146"/>
      <c r="W184" s="1352">
        <f t="shared" si="39"/>
        <v>11</v>
      </c>
      <c r="X184" s="1367">
        <f>IF(W184=1,Cal!$AC$127,0)</f>
        <v>0</v>
      </c>
      <c r="Z184" s="1153"/>
      <c r="AC184" s="1375">
        <f t="shared" si="42"/>
        <v>0</v>
      </c>
      <c r="AD184" s="1373">
        <f t="shared" si="43"/>
        <v>0</v>
      </c>
      <c r="AE184" s="1373">
        <f t="shared" si="44"/>
        <v>0</v>
      </c>
      <c r="AF184" s="1373">
        <f t="shared" si="41"/>
        <v>0</v>
      </c>
      <c r="AG184" s="1371">
        <f t="shared" si="40"/>
        <v>0</v>
      </c>
      <c r="AH184" s="1359" t="e">
        <f>HLOOKUP($AH$13,liquidez,168,0)</f>
        <v>#N/A</v>
      </c>
      <c r="AJ184" s="1360">
        <f>Captura!AI254</f>
        <v>0</v>
      </c>
    </row>
    <row r="185" spans="1:36">
      <c r="A185" s="1118">
        <f t="shared" ca="1" si="30"/>
        <v>3</v>
      </c>
      <c r="B185" s="1101">
        <f t="shared" si="31"/>
        <v>0</v>
      </c>
      <c r="C185" s="2149">
        <f t="shared" si="32"/>
        <v>0</v>
      </c>
      <c r="D185" s="2150">
        <f t="shared" si="36"/>
        <v>0</v>
      </c>
      <c r="E185" s="2145">
        <f t="shared" si="37"/>
        <v>0</v>
      </c>
      <c r="F185" s="2145">
        <f t="shared" si="33"/>
        <v>0</v>
      </c>
      <c r="G185" s="2145">
        <f t="shared" si="38"/>
        <v>0</v>
      </c>
      <c r="H185" s="2145">
        <f>IF(K184&lt;0.01,0,IF(Adm!$S$4=Adm!$S$8,0,K184*Adm!$V$4))</f>
        <v>0</v>
      </c>
      <c r="I185" s="2145">
        <f>IF(K184&lt;0.01,0,IF($I$16&lt;&gt;"",E185*Adm!$O$8,0))</f>
        <v>0</v>
      </c>
      <c r="J185" s="2145">
        <f t="shared" si="34"/>
        <v>0</v>
      </c>
      <c r="K185" s="2145">
        <f t="shared" si="35"/>
        <v>0</v>
      </c>
      <c r="L185" s="2146"/>
      <c r="W185" s="1352">
        <f t="shared" si="39"/>
        <v>12</v>
      </c>
      <c r="X185" s="1367">
        <f>IF(W185=1,Cal!$AC$127,0)</f>
        <v>0</v>
      </c>
      <c r="Z185" s="1153"/>
      <c r="AC185" s="1375">
        <f t="shared" si="42"/>
        <v>0</v>
      </c>
      <c r="AD185" s="1373">
        <f t="shared" si="43"/>
        <v>0</v>
      </c>
      <c r="AE185" s="1373">
        <f t="shared" si="44"/>
        <v>0</v>
      </c>
      <c r="AF185" s="1373">
        <f t="shared" si="41"/>
        <v>0</v>
      </c>
      <c r="AG185" s="1371">
        <f t="shared" si="40"/>
        <v>0</v>
      </c>
      <c r="AH185" s="1359" t="e">
        <f>HLOOKUP($AH$13,liquidez,169,0)</f>
        <v>#N/A</v>
      </c>
      <c r="AJ185" s="1360">
        <f>Captura!AI255</f>
        <v>0</v>
      </c>
    </row>
    <row r="186" spans="1:36">
      <c r="A186" s="1118">
        <f t="shared" ca="1" si="30"/>
        <v>4</v>
      </c>
      <c r="B186" s="1101">
        <f t="shared" si="31"/>
        <v>0</v>
      </c>
      <c r="C186" s="2149">
        <f t="shared" si="32"/>
        <v>0</v>
      </c>
      <c r="D186" s="2150">
        <f t="shared" si="36"/>
        <v>0</v>
      </c>
      <c r="E186" s="2145">
        <f t="shared" si="37"/>
        <v>0</v>
      </c>
      <c r="F186" s="2145">
        <f t="shared" si="33"/>
        <v>0</v>
      </c>
      <c r="G186" s="2145">
        <f t="shared" si="38"/>
        <v>0</v>
      </c>
      <c r="H186" s="2145">
        <f>IF(K185&lt;0.01,0,IF(Adm!$S$4=Adm!$S$8,0,K185*Adm!$V$4))</f>
        <v>0</v>
      </c>
      <c r="I186" s="2145">
        <f>IF(K185&lt;0.01,0,IF($I$16&lt;&gt;"",E186*Adm!$O$8,0))</f>
        <v>0</v>
      </c>
      <c r="J186" s="2145">
        <f t="shared" si="34"/>
        <v>0</v>
      </c>
      <c r="K186" s="2145">
        <f t="shared" si="35"/>
        <v>0</v>
      </c>
      <c r="L186" s="2146"/>
      <c r="W186" s="1352">
        <f t="shared" si="39"/>
        <v>1</v>
      </c>
      <c r="X186" s="1367">
        <f>IF(W186=1,Cal!$AC$127,0)</f>
        <v>0</v>
      </c>
      <c r="Z186" s="1153"/>
      <c r="AC186" s="1375">
        <f t="shared" si="42"/>
        <v>0</v>
      </c>
      <c r="AD186" s="1373">
        <f t="shared" si="43"/>
        <v>0</v>
      </c>
      <c r="AE186" s="1373">
        <f t="shared" si="44"/>
        <v>0</v>
      </c>
      <c r="AF186" s="1373">
        <f t="shared" si="41"/>
        <v>0</v>
      </c>
      <c r="AG186" s="1371">
        <f t="shared" si="40"/>
        <v>0</v>
      </c>
      <c r="AH186" s="1359" t="e">
        <f>HLOOKUP($AH$13,liquidez,170,0)</f>
        <v>#N/A</v>
      </c>
      <c r="AJ186" s="1360">
        <f>Captura!AI256</f>
        <v>0</v>
      </c>
    </row>
    <row r="187" spans="1:36">
      <c r="A187" s="1118">
        <f t="shared" ca="1" si="30"/>
        <v>5</v>
      </c>
      <c r="B187" s="1101">
        <f t="shared" si="31"/>
        <v>0</v>
      </c>
      <c r="C187" s="2149">
        <f t="shared" si="32"/>
        <v>0</v>
      </c>
      <c r="D187" s="2150">
        <f t="shared" si="36"/>
        <v>0</v>
      </c>
      <c r="E187" s="2145">
        <f t="shared" si="37"/>
        <v>0</v>
      </c>
      <c r="F187" s="2145">
        <f t="shared" si="33"/>
        <v>0</v>
      </c>
      <c r="G187" s="2145">
        <f t="shared" si="38"/>
        <v>0</v>
      </c>
      <c r="H187" s="2145">
        <f>IF(K186&lt;0.01,0,IF(Adm!$S$4=Adm!$S$8,0,K186*Adm!$V$4))</f>
        <v>0</v>
      </c>
      <c r="I187" s="2145">
        <f>IF(K186&lt;0.01,0,IF($I$16&lt;&gt;"",E187*Adm!$O$8,0))</f>
        <v>0</v>
      </c>
      <c r="J187" s="2145">
        <f t="shared" si="34"/>
        <v>0</v>
      </c>
      <c r="K187" s="2145">
        <f t="shared" si="35"/>
        <v>0</v>
      </c>
      <c r="L187" s="2146"/>
      <c r="W187" s="1352">
        <f t="shared" si="39"/>
        <v>2</v>
      </c>
      <c r="X187" s="1367">
        <f>IF(W187=1,Cal!$AC$127,0)</f>
        <v>0</v>
      </c>
      <c r="Z187" s="1153"/>
      <c r="AC187" s="1375">
        <f t="shared" si="42"/>
        <v>0</v>
      </c>
      <c r="AD187" s="1373">
        <f t="shared" si="43"/>
        <v>0</v>
      </c>
      <c r="AE187" s="1373">
        <f t="shared" si="44"/>
        <v>0</v>
      </c>
      <c r="AF187" s="1373">
        <f t="shared" si="41"/>
        <v>0</v>
      </c>
      <c r="AG187" s="1371">
        <f t="shared" si="40"/>
        <v>0</v>
      </c>
      <c r="AH187" s="1359" t="e">
        <f>HLOOKUP($AH$13,liquidez,171,0)</f>
        <v>#N/A</v>
      </c>
      <c r="AJ187" s="1360">
        <f>Captura!AI257</f>
        <v>0</v>
      </c>
    </row>
    <row r="188" spans="1:36">
      <c r="A188" s="1118">
        <f t="shared" ca="1" si="30"/>
        <v>6</v>
      </c>
      <c r="B188" s="1101">
        <f t="shared" si="31"/>
        <v>0</v>
      </c>
      <c r="C188" s="2149">
        <f t="shared" si="32"/>
        <v>0</v>
      </c>
      <c r="D188" s="2150">
        <f t="shared" si="36"/>
        <v>0</v>
      </c>
      <c r="E188" s="2145">
        <f t="shared" si="37"/>
        <v>0</v>
      </c>
      <c r="F188" s="2145">
        <f t="shared" si="33"/>
        <v>0</v>
      </c>
      <c r="G188" s="2145">
        <f t="shared" si="38"/>
        <v>0</v>
      </c>
      <c r="H188" s="2145">
        <f>IF(K187&lt;0.01,0,IF(Adm!$S$4=Adm!$S$8,0,K187*Adm!$V$4))</f>
        <v>0</v>
      </c>
      <c r="I188" s="2145">
        <f>IF(K187&lt;0.01,0,IF($I$16&lt;&gt;"",E188*Adm!$O$8,0))</f>
        <v>0</v>
      </c>
      <c r="J188" s="2145">
        <f t="shared" si="34"/>
        <v>0</v>
      </c>
      <c r="K188" s="2145">
        <f t="shared" si="35"/>
        <v>0</v>
      </c>
      <c r="L188" s="2146"/>
      <c r="W188" s="1352">
        <f t="shared" si="39"/>
        <v>3</v>
      </c>
      <c r="X188" s="1367">
        <f>IF(W188=1,Cal!$AC$127,0)</f>
        <v>0</v>
      </c>
      <c r="Z188" s="1153"/>
      <c r="AC188" s="1375">
        <f t="shared" si="42"/>
        <v>0</v>
      </c>
      <c r="AD188" s="1373">
        <f t="shared" si="43"/>
        <v>0</v>
      </c>
      <c r="AE188" s="1373">
        <f t="shared" si="44"/>
        <v>0</v>
      </c>
      <c r="AF188" s="1373">
        <f t="shared" si="41"/>
        <v>0</v>
      </c>
      <c r="AG188" s="1371">
        <f t="shared" si="40"/>
        <v>0</v>
      </c>
      <c r="AH188" s="1359" t="e">
        <f>HLOOKUP($AH$13,liquidez,172,0)</f>
        <v>#N/A</v>
      </c>
      <c r="AJ188" s="1360">
        <f>Captura!AI258</f>
        <v>0</v>
      </c>
    </row>
    <row r="189" spans="1:36">
      <c r="A189" s="1118">
        <f t="shared" ca="1" si="30"/>
        <v>7</v>
      </c>
      <c r="B189" s="1101">
        <f t="shared" si="31"/>
        <v>0</v>
      </c>
      <c r="C189" s="2149">
        <f t="shared" si="32"/>
        <v>0</v>
      </c>
      <c r="D189" s="2150">
        <f t="shared" si="36"/>
        <v>0</v>
      </c>
      <c r="E189" s="2145">
        <f t="shared" si="37"/>
        <v>0</v>
      </c>
      <c r="F189" s="2145">
        <f t="shared" si="33"/>
        <v>0</v>
      </c>
      <c r="G189" s="2145">
        <f t="shared" si="38"/>
        <v>0</v>
      </c>
      <c r="H189" s="2145">
        <f>IF(K188&lt;0.01,0,IF(Adm!$S$4=Adm!$S$8,0,K188*Adm!$V$4))</f>
        <v>0</v>
      </c>
      <c r="I189" s="2145">
        <f>IF(K188&lt;0.01,0,IF($I$16&lt;&gt;"",E189*Adm!$O$8,0))</f>
        <v>0</v>
      </c>
      <c r="J189" s="2145">
        <f t="shared" si="34"/>
        <v>0</v>
      </c>
      <c r="K189" s="2145">
        <f t="shared" si="35"/>
        <v>0</v>
      </c>
      <c r="L189" s="2146"/>
      <c r="W189" s="1352">
        <f t="shared" si="39"/>
        <v>4</v>
      </c>
      <c r="X189" s="1367">
        <f>IF(W189=1,Cal!$AC$127,0)</f>
        <v>0</v>
      </c>
      <c r="Z189" s="1153"/>
      <c r="AC189" s="1375">
        <f t="shared" si="42"/>
        <v>0</v>
      </c>
      <c r="AD189" s="1373">
        <f t="shared" si="43"/>
        <v>0</v>
      </c>
      <c r="AE189" s="1373">
        <f t="shared" si="44"/>
        <v>0</v>
      </c>
      <c r="AF189" s="1373">
        <f t="shared" si="41"/>
        <v>0</v>
      </c>
      <c r="AG189" s="1371">
        <f t="shared" si="40"/>
        <v>0</v>
      </c>
      <c r="AH189" s="1359" t="e">
        <f>HLOOKUP($AH$13,liquidez,173,0)</f>
        <v>#N/A</v>
      </c>
      <c r="AJ189" s="1360">
        <f>Captura!AI259</f>
        <v>0</v>
      </c>
    </row>
    <row r="190" spans="1:36">
      <c r="A190" s="1118">
        <f t="shared" ca="1" si="30"/>
        <v>8</v>
      </c>
      <c r="B190" s="1101">
        <f t="shared" si="31"/>
        <v>0</v>
      </c>
      <c r="C190" s="2149">
        <f t="shared" si="32"/>
        <v>0</v>
      </c>
      <c r="D190" s="2150">
        <f t="shared" si="36"/>
        <v>0</v>
      </c>
      <c r="E190" s="2145">
        <f t="shared" si="37"/>
        <v>0</v>
      </c>
      <c r="F190" s="2145">
        <f t="shared" si="33"/>
        <v>0</v>
      </c>
      <c r="G190" s="2145">
        <f t="shared" si="38"/>
        <v>0</v>
      </c>
      <c r="H190" s="2145">
        <f>IF(K189&lt;0.01,0,IF(Adm!$S$4=Adm!$S$8,0,K189*Adm!$V$4))</f>
        <v>0</v>
      </c>
      <c r="I190" s="2145">
        <f>IF(K189&lt;0.01,0,IF($I$16&lt;&gt;"",E190*Adm!$O$8,0))</f>
        <v>0</v>
      </c>
      <c r="J190" s="2145">
        <f t="shared" si="34"/>
        <v>0</v>
      </c>
      <c r="K190" s="2145">
        <f t="shared" si="35"/>
        <v>0</v>
      </c>
      <c r="L190" s="2146"/>
      <c r="W190" s="1352">
        <f t="shared" si="39"/>
        <v>5</v>
      </c>
      <c r="X190" s="1367">
        <f>IF(W190=1,Cal!$AC$127,0)</f>
        <v>0</v>
      </c>
      <c r="Z190" s="1153"/>
      <c r="AC190" s="1375">
        <f t="shared" si="42"/>
        <v>0</v>
      </c>
      <c r="AD190" s="1373">
        <f t="shared" si="43"/>
        <v>0</v>
      </c>
      <c r="AE190" s="1373">
        <f t="shared" si="44"/>
        <v>0</v>
      </c>
      <c r="AF190" s="1373">
        <f t="shared" si="41"/>
        <v>0</v>
      </c>
      <c r="AG190" s="1371">
        <f t="shared" si="40"/>
        <v>0</v>
      </c>
      <c r="AH190" s="1359" t="e">
        <f>HLOOKUP($AH$13,liquidez,174,0)</f>
        <v>#N/A</v>
      </c>
      <c r="AJ190" s="1360">
        <f>Captura!AI260</f>
        <v>0</v>
      </c>
    </row>
    <row r="191" spans="1:36">
      <c r="A191" s="1118">
        <f t="shared" ca="1" si="30"/>
        <v>9</v>
      </c>
      <c r="B191" s="1101">
        <f t="shared" si="31"/>
        <v>0</v>
      </c>
      <c r="C191" s="2149">
        <f t="shared" si="32"/>
        <v>0</v>
      </c>
      <c r="D191" s="2150">
        <f t="shared" si="36"/>
        <v>0</v>
      </c>
      <c r="E191" s="2145">
        <f t="shared" si="37"/>
        <v>0</v>
      </c>
      <c r="F191" s="2145">
        <f t="shared" si="33"/>
        <v>0</v>
      </c>
      <c r="G191" s="2145">
        <f t="shared" si="38"/>
        <v>0</v>
      </c>
      <c r="H191" s="2145">
        <f>IF(K190&lt;0.01,0,IF(Adm!$S$4=Adm!$S$8,0,K190*Adm!$V$4))</f>
        <v>0</v>
      </c>
      <c r="I191" s="2145">
        <f>IF(K190&lt;0.01,0,IF($I$16&lt;&gt;"",E191*Adm!$O$8,0))</f>
        <v>0</v>
      </c>
      <c r="J191" s="2145">
        <f t="shared" si="34"/>
        <v>0</v>
      </c>
      <c r="K191" s="2145">
        <f t="shared" si="35"/>
        <v>0</v>
      </c>
      <c r="L191" s="2146"/>
      <c r="W191" s="1352">
        <f t="shared" si="39"/>
        <v>6</v>
      </c>
      <c r="X191" s="1367">
        <f>IF(W191=1,Cal!$AC$127,0)</f>
        <v>0</v>
      </c>
      <c r="Z191" s="1153"/>
      <c r="AC191" s="1375">
        <f t="shared" si="42"/>
        <v>0</v>
      </c>
      <c r="AD191" s="1373">
        <f t="shared" si="43"/>
        <v>0</v>
      </c>
      <c r="AE191" s="1373">
        <f t="shared" si="44"/>
        <v>0</v>
      </c>
      <c r="AF191" s="1373">
        <f t="shared" si="41"/>
        <v>0</v>
      </c>
      <c r="AG191" s="1371">
        <f t="shared" si="40"/>
        <v>0</v>
      </c>
      <c r="AH191" s="1359" t="e">
        <f>HLOOKUP($AH$13,liquidez,175,0)</f>
        <v>#N/A</v>
      </c>
      <c r="AJ191" s="1360">
        <f>Captura!AI261</f>
        <v>0</v>
      </c>
    </row>
    <row r="192" spans="1:36">
      <c r="A192" s="1118">
        <f t="shared" ca="1" si="30"/>
        <v>10</v>
      </c>
      <c r="B192" s="1101">
        <f t="shared" si="31"/>
        <v>0</v>
      </c>
      <c r="C192" s="2149">
        <f t="shared" si="32"/>
        <v>0</v>
      </c>
      <c r="D192" s="2150">
        <f t="shared" si="36"/>
        <v>0</v>
      </c>
      <c r="E192" s="2145">
        <f t="shared" si="37"/>
        <v>0</v>
      </c>
      <c r="F192" s="2145">
        <f t="shared" si="33"/>
        <v>0</v>
      </c>
      <c r="G192" s="2145">
        <f t="shared" si="38"/>
        <v>0</v>
      </c>
      <c r="H192" s="2145">
        <f>IF(K191&lt;0.01,0,IF(Adm!$S$4=Adm!$S$8,0,K191*Adm!$V$4))</f>
        <v>0</v>
      </c>
      <c r="I192" s="2145">
        <f>IF(K191&lt;0.01,0,IF($I$16&lt;&gt;"",E192*Adm!$O$8,0))</f>
        <v>0</v>
      </c>
      <c r="J192" s="2145">
        <f t="shared" si="34"/>
        <v>0</v>
      </c>
      <c r="K192" s="2145">
        <f t="shared" si="35"/>
        <v>0</v>
      </c>
      <c r="L192" s="2146"/>
      <c r="W192" s="1352">
        <f t="shared" si="39"/>
        <v>7</v>
      </c>
      <c r="X192" s="1367">
        <f>IF(W192=1,Cal!$AC$127,0)</f>
        <v>0</v>
      </c>
      <c r="Z192" s="1153"/>
      <c r="AC192" s="1375">
        <f t="shared" si="42"/>
        <v>0</v>
      </c>
      <c r="AD192" s="1373">
        <f t="shared" si="43"/>
        <v>0</v>
      </c>
      <c r="AE192" s="1373">
        <f t="shared" si="44"/>
        <v>0</v>
      </c>
      <c r="AF192" s="1373">
        <f t="shared" si="41"/>
        <v>0</v>
      </c>
      <c r="AG192" s="1371">
        <f t="shared" si="40"/>
        <v>0</v>
      </c>
      <c r="AH192" s="1359" t="e">
        <f>HLOOKUP($AH$13,liquidez,176,0)</f>
        <v>#N/A</v>
      </c>
      <c r="AJ192" s="1360">
        <f>Captura!AI262</f>
        <v>0</v>
      </c>
    </row>
    <row r="193" spans="1:36">
      <c r="A193" s="1118">
        <f t="shared" ca="1" si="30"/>
        <v>11</v>
      </c>
      <c r="B193" s="1101">
        <f t="shared" si="31"/>
        <v>0</v>
      </c>
      <c r="C193" s="2149">
        <f t="shared" si="32"/>
        <v>0</v>
      </c>
      <c r="D193" s="2150">
        <f t="shared" si="36"/>
        <v>0</v>
      </c>
      <c r="E193" s="2145">
        <f t="shared" si="37"/>
        <v>0</v>
      </c>
      <c r="F193" s="2145">
        <f t="shared" si="33"/>
        <v>0</v>
      </c>
      <c r="G193" s="2145">
        <f t="shared" si="38"/>
        <v>0</v>
      </c>
      <c r="H193" s="2145">
        <f>IF(K192&lt;0.01,0,IF(Adm!$S$4=Adm!$S$8,0,K192*Adm!$V$4))</f>
        <v>0</v>
      </c>
      <c r="I193" s="2145">
        <f>IF(K192&lt;0.01,0,IF($I$16&lt;&gt;"",E193*Adm!$O$8,0))</f>
        <v>0</v>
      </c>
      <c r="J193" s="2145">
        <f t="shared" si="34"/>
        <v>0</v>
      </c>
      <c r="K193" s="2145">
        <f t="shared" si="35"/>
        <v>0</v>
      </c>
      <c r="L193" s="2146"/>
      <c r="W193" s="1352">
        <f t="shared" si="39"/>
        <v>8</v>
      </c>
      <c r="X193" s="1367">
        <f>IF(W193=1,Cal!$AC$127,0)</f>
        <v>0</v>
      </c>
      <c r="Z193" s="1153"/>
      <c r="AC193" s="1375">
        <f t="shared" si="42"/>
        <v>0</v>
      </c>
      <c r="AD193" s="1373">
        <f t="shared" si="43"/>
        <v>0</v>
      </c>
      <c r="AE193" s="1373">
        <f t="shared" si="44"/>
        <v>0</v>
      </c>
      <c r="AF193" s="1373">
        <f t="shared" si="41"/>
        <v>0</v>
      </c>
      <c r="AG193" s="1371">
        <f t="shared" si="40"/>
        <v>0</v>
      </c>
      <c r="AH193" s="1359" t="e">
        <f>HLOOKUP($AH$13,liquidez,177,0)</f>
        <v>#N/A</v>
      </c>
      <c r="AJ193" s="1360">
        <f>Captura!AI263</f>
        <v>0</v>
      </c>
    </row>
    <row r="194" spans="1:36">
      <c r="A194" s="1118">
        <f t="shared" ca="1" si="30"/>
        <v>12</v>
      </c>
      <c r="B194" s="1101">
        <f t="shared" si="31"/>
        <v>0</v>
      </c>
      <c r="C194" s="2149">
        <f t="shared" si="32"/>
        <v>0</v>
      </c>
      <c r="D194" s="2150">
        <f t="shared" si="36"/>
        <v>0</v>
      </c>
      <c r="E194" s="2145">
        <f t="shared" si="37"/>
        <v>0</v>
      </c>
      <c r="F194" s="2145">
        <f t="shared" si="33"/>
        <v>0</v>
      </c>
      <c r="G194" s="2145">
        <f t="shared" si="38"/>
        <v>0</v>
      </c>
      <c r="H194" s="2145">
        <f>IF(K193&lt;0.01,0,IF(Adm!$S$4=Adm!$S$8,0,K193*Adm!$V$4))</f>
        <v>0</v>
      </c>
      <c r="I194" s="2145">
        <f>IF(K193&lt;0.01,0,IF($I$16&lt;&gt;"",E194*Adm!$O$8,0))</f>
        <v>0</v>
      </c>
      <c r="J194" s="2145">
        <f t="shared" si="34"/>
        <v>0</v>
      </c>
      <c r="K194" s="2145">
        <f t="shared" si="35"/>
        <v>0</v>
      </c>
      <c r="L194" s="2146"/>
      <c r="W194" s="1352">
        <f t="shared" si="39"/>
        <v>9</v>
      </c>
      <c r="X194" s="1367">
        <f>IF(W194=1,Cal!$AC$127,0)</f>
        <v>0</v>
      </c>
      <c r="Z194" s="1153"/>
      <c r="AC194" s="1375">
        <f t="shared" si="42"/>
        <v>0</v>
      </c>
      <c r="AD194" s="1373">
        <f t="shared" si="43"/>
        <v>0</v>
      </c>
      <c r="AE194" s="1373">
        <f t="shared" si="44"/>
        <v>0</v>
      </c>
      <c r="AF194" s="1373">
        <f t="shared" si="41"/>
        <v>0</v>
      </c>
      <c r="AG194" s="1371">
        <f t="shared" si="40"/>
        <v>0</v>
      </c>
      <c r="AH194" s="1359" t="e">
        <f>HLOOKUP($AH$13,liquidez,178,0)</f>
        <v>#N/A</v>
      </c>
      <c r="AJ194" s="1360">
        <f>Captura!AI264</f>
        <v>0</v>
      </c>
    </row>
    <row r="195" spans="1:36">
      <c r="A195" s="1118">
        <f t="shared" ca="1" si="30"/>
        <v>1</v>
      </c>
      <c r="B195" s="1101">
        <f t="shared" si="31"/>
        <v>0</v>
      </c>
      <c r="C195" s="2149">
        <f t="shared" si="32"/>
        <v>0</v>
      </c>
      <c r="D195" s="2150">
        <f t="shared" si="36"/>
        <v>0</v>
      </c>
      <c r="E195" s="2145">
        <f t="shared" si="37"/>
        <v>0</v>
      </c>
      <c r="F195" s="2145">
        <f t="shared" si="33"/>
        <v>0</v>
      </c>
      <c r="G195" s="2145">
        <f t="shared" si="38"/>
        <v>0</v>
      </c>
      <c r="H195" s="2145">
        <f>IF(K194&lt;0.01,0,IF(Adm!$S$4=Adm!$S$8,0,K194*Adm!$V$4))</f>
        <v>0</v>
      </c>
      <c r="I195" s="2145">
        <f>IF(K194&lt;0.01,0,IF($I$16&lt;&gt;"",E195*Adm!$O$8,0))</f>
        <v>0</v>
      </c>
      <c r="J195" s="2145">
        <f t="shared" si="34"/>
        <v>0</v>
      </c>
      <c r="K195" s="2145">
        <f t="shared" si="35"/>
        <v>0</v>
      </c>
      <c r="L195" s="2146"/>
      <c r="W195" s="1352">
        <f t="shared" si="39"/>
        <v>10</v>
      </c>
      <c r="X195" s="1367">
        <f>IF(W195=1,Cal!$AC$127,0)</f>
        <v>0</v>
      </c>
      <c r="Z195" s="1153"/>
      <c r="AC195" s="1375">
        <f t="shared" si="42"/>
        <v>0</v>
      </c>
      <c r="AD195" s="1373">
        <f t="shared" si="43"/>
        <v>0</v>
      </c>
      <c r="AE195" s="1373">
        <f t="shared" si="44"/>
        <v>0</v>
      </c>
      <c r="AF195" s="1373">
        <f t="shared" si="41"/>
        <v>0</v>
      </c>
      <c r="AG195" s="1371">
        <f t="shared" si="40"/>
        <v>0</v>
      </c>
      <c r="AH195" s="1359" t="e">
        <f>HLOOKUP($AH$13,liquidez,179,0)</f>
        <v>#N/A</v>
      </c>
      <c r="AJ195" s="1360">
        <f>Captura!AI265</f>
        <v>0</v>
      </c>
    </row>
    <row r="196" spans="1:36">
      <c r="A196" s="1118">
        <f t="shared" ca="1" si="30"/>
        <v>2</v>
      </c>
      <c r="B196" s="1101">
        <f t="shared" si="31"/>
        <v>0</v>
      </c>
      <c r="C196" s="2149">
        <f t="shared" si="32"/>
        <v>0</v>
      </c>
      <c r="D196" s="2150">
        <f t="shared" si="36"/>
        <v>0</v>
      </c>
      <c r="E196" s="2145">
        <f t="shared" si="37"/>
        <v>0</v>
      </c>
      <c r="F196" s="2145">
        <f t="shared" si="33"/>
        <v>0</v>
      </c>
      <c r="G196" s="2145">
        <f t="shared" si="38"/>
        <v>0</v>
      </c>
      <c r="H196" s="2145">
        <f>IF(K195&lt;0.01,0,IF(Adm!$S$4=Adm!$S$8,0,K195*Adm!$V$4))</f>
        <v>0</v>
      </c>
      <c r="I196" s="2145">
        <f>IF(K195&lt;0.01,0,IF($I$16&lt;&gt;"",E196*Adm!$O$8,0))</f>
        <v>0</v>
      </c>
      <c r="J196" s="2145">
        <f t="shared" si="34"/>
        <v>0</v>
      </c>
      <c r="K196" s="2145">
        <f t="shared" si="35"/>
        <v>0</v>
      </c>
      <c r="L196" s="2146"/>
      <c r="W196" s="1352">
        <f t="shared" si="39"/>
        <v>11</v>
      </c>
      <c r="X196" s="1367">
        <f>IF(W196=1,Cal!$AC$127,0)</f>
        <v>0</v>
      </c>
      <c r="Z196" s="1153"/>
      <c r="AC196" s="1375">
        <f t="shared" si="42"/>
        <v>0</v>
      </c>
      <c r="AD196" s="1373">
        <f t="shared" si="43"/>
        <v>0</v>
      </c>
      <c r="AE196" s="1373">
        <f t="shared" si="44"/>
        <v>0</v>
      </c>
      <c r="AF196" s="1373">
        <f t="shared" si="41"/>
        <v>0</v>
      </c>
      <c r="AG196" s="1371">
        <f t="shared" si="40"/>
        <v>0</v>
      </c>
      <c r="AH196" s="1359" t="e">
        <f>HLOOKUP($AH$13,liquidez,180,0)</f>
        <v>#N/A</v>
      </c>
      <c r="AJ196" s="1360">
        <f>Captura!AI266</f>
        <v>0</v>
      </c>
    </row>
    <row r="197" spans="1:36">
      <c r="A197" s="1118">
        <f t="shared" ca="1" si="30"/>
        <v>3</v>
      </c>
      <c r="B197" s="1101">
        <f t="shared" si="31"/>
        <v>0</v>
      </c>
      <c r="C197" s="2149">
        <f t="shared" si="32"/>
        <v>0</v>
      </c>
      <c r="D197" s="2150">
        <f t="shared" si="36"/>
        <v>0</v>
      </c>
      <c r="E197" s="2145">
        <f t="shared" si="37"/>
        <v>0</v>
      </c>
      <c r="F197" s="2145">
        <f t="shared" si="33"/>
        <v>0</v>
      </c>
      <c r="G197" s="2145">
        <f t="shared" si="38"/>
        <v>0</v>
      </c>
      <c r="H197" s="2145">
        <f>IF(K196&lt;0.01,0,IF(Adm!$S$4=Adm!$S$8,0,K196*Adm!$V$4))</f>
        <v>0</v>
      </c>
      <c r="I197" s="2145">
        <f>IF(K196&lt;0.01,0,IF($I$16&lt;&gt;"",E197*Adm!$O$8,0))</f>
        <v>0</v>
      </c>
      <c r="J197" s="2145">
        <f t="shared" si="34"/>
        <v>0</v>
      </c>
      <c r="K197" s="2145">
        <f t="shared" si="35"/>
        <v>0</v>
      </c>
      <c r="L197" s="2146"/>
      <c r="W197" s="1352">
        <f t="shared" si="39"/>
        <v>12</v>
      </c>
      <c r="X197" s="1367">
        <f>IF(W197=1,Cal!$AC$127,0)</f>
        <v>0</v>
      </c>
      <c r="Z197" s="1153"/>
      <c r="AC197" s="1375">
        <f t="shared" si="42"/>
        <v>0</v>
      </c>
      <c r="AD197" s="1373">
        <f t="shared" si="43"/>
        <v>0</v>
      </c>
      <c r="AE197" s="1373">
        <f t="shared" si="44"/>
        <v>0</v>
      </c>
      <c r="AF197" s="1373">
        <f t="shared" si="41"/>
        <v>0</v>
      </c>
      <c r="AG197" s="1371">
        <f t="shared" si="40"/>
        <v>0</v>
      </c>
      <c r="AH197" s="1359" t="e">
        <f>HLOOKUP($AH$13,liquidez,181,0)</f>
        <v>#N/A</v>
      </c>
      <c r="AJ197" s="1360">
        <f>Captura!AI267</f>
        <v>0</v>
      </c>
    </row>
    <row r="198" spans="1:36">
      <c r="A198" s="1118">
        <f t="shared" ca="1" si="30"/>
        <v>4</v>
      </c>
      <c r="B198" s="1101">
        <f t="shared" si="31"/>
        <v>0</v>
      </c>
      <c r="C198" s="2149">
        <f t="shared" si="32"/>
        <v>0</v>
      </c>
      <c r="D198" s="2150">
        <f t="shared" si="36"/>
        <v>0</v>
      </c>
      <c r="E198" s="2145">
        <f t="shared" si="37"/>
        <v>0</v>
      </c>
      <c r="F198" s="2145">
        <f t="shared" si="33"/>
        <v>0</v>
      </c>
      <c r="G198" s="2145">
        <f t="shared" si="38"/>
        <v>0</v>
      </c>
      <c r="H198" s="2145">
        <f>IF(K197&lt;0.01,0,IF(Adm!$S$4=Adm!$S$8,0,K197*Adm!$V$4))</f>
        <v>0</v>
      </c>
      <c r="I198" s="2145">
        <f>IF(K197&lt;0.01,0,IF($I$16&lt;&gt;"",E198*Adm!$O$8,0))</f>
        <v>0</v>
      </c>
      <c r="J198" s="2145">
        <f t="shared" si="34"/>
        <v>0</v>
      </c>
      <c r="K198" s="2145">
        <f t="shared" si="35"/>
        <v>0</v>
      </c>
      <c r="L198" s="2146"/>
      <c r="W198" s="1352">
        <f t="shared" si="39"/>
        <v>1</v>
      </c>
      <c r="X198" s="1367">
        <f>IF(W198=1,Cal!$AC$127,0)</f>
        <v>0</v>
      </c>
      <c r="Z198" s="1153"/>
      <c r="AC198" s="1375">
        <f t="shared" si="42"/>
        <v>0</v>
      </c>
      <c r="AD198" s="1373">
        <f t="shared" si="43"/>
        <v>0</v>
      </c>
      <c r="AE198" s="1373">
        <f t="shared" si="44"/>
        <v>0</v>
      </c>
      <c r="AF198" s="1373">
        <f t="shared" si="41"/>
        <v>0</v>
      </c>
      <c r="AG198" s="1371">
        <f t="shared" si="40"/>
        <v>0</v>
      </c>
      <c r="AH198" s="1359" t="e">
        <f>HLOOKUP($AH$13,liquidez,182,0)</f>
        <v>#N/A</v>
      </c>
      <c r="AJ198" s="1360">
        <f>Captura!AI268</f>
        <v>0</v>
      </c>
    </row>
    <row r="199" spans="1:36">
      <c r="A199" s="1118">
        <f t="shared" ca="1" si="30"/>
        <v>5</v>
      </c>
      <c r="B199" s="1101">
        <f t="shared" si="31"/>
        <v>0</v>
      </c>
      <c r="C199" s="2149">
        <f t="shared" si="32"/>
        <v>0</v>
      </c>
      <c r="D199" s="2150">
        <f t="shared" si="36"/>
        <v>0</v>
      </c>
      <c r="E199" s="2145">
        <f t="shared" si="37"/>
        <v>0</v>
      </c>
      <c r="F199" s="2145">
        <f t="shared" si="33"/>
        <v>0</v>
      </c>
      <c r="G199" s="2145">
        <f t="shared" si="38"/>
        <v>0</v>
      </c>
      <c r="H199" s="2145">
        <f>IF(K198&lt;0.01,0,IF(Adm!$S$4=Adm!$S$8,0,K198*Adm!$V$4))</f>
        <v>0</v>
      </c>
      <c r="I199" s="2145">
        <f>IF(K198&lt;0.01,0,IF($I$16&lt;&gt;"",E199*Adm!$O$8,0))</f>
        <v>0</v>
      </c>
      <c r="J199" s="2145">
        <f t="shared" si="34"/>
        <v>0</v>
      </c>
      <c r="K199" s="2145">
        <f t="shared" si="35"/>
        <v>0</v>
      </c>
      <c r="L199" s="2146"/>
      <c r="W199" s="1352">
        <f t="shared" si="39"/>
        <v>2</v>
      </c>
      <c r="X199" s="1367">
        <f>IF(W199=1,Cal!$AC$127,0)</f>
        <v>0</v>
      </c>
      <c r="Z199" s="1153"/>
      <c r="AC199" s="1375">
        <f t="shared" si="42"/>
        <v>0</v>
      </c>
      <c r="AD199" s="1373">
        <f t="shared" si="43"/>
        <v>0</v>
      </c>
      <c r="AE199" s="1373">
        <f t="shared" si="44"/>
        <v>0</v>
      </c>
      <c r="AF199" s="1373">
        <f t="shared" si="41"/>
        <v>0</v>
      </c>
      <c r="AG199" s="1371">
        <f t="shared" si="40"/>
        <v>0</v>
      </c>
      <c r="AH199" s="1359" t="e">
        <f>HLOOKUP($AH$13,liquidez,183,0)</f>
        <v>#N/A</v>
      </c>
      <c r="AJ199" s="1360">
        <f>Captura!AI269</f>
        <v>0</v>
      </c>
    </row>
    <row r="200" spans="1:36">
      <c r="A200" s="1118">
        <f t="shared" ca="1" si="30"/>
        <v>6</v>
      </c>
      <c r="B200" s="1101">
        <f t="shared" si="31"/>
        <v>0</v>
      </c>
      <c r="C200" s="2149">
        <f t="shared" si="32"/>
        <v>0</v>
      </c>
      <c r="D200" s="2150">
        <f t="shared" si="36"/>
        <v>0</v>
      </c>
      <c r="E200" s="2145">
        <f t="shared" si="37"/>
        <v>0</v>
      </c>
      <c r="F200" s="2145">
        <f t="shared" si="33"/>
        <v>0</v>
      </c>
      <c r="G200" s="2145">
        <f t="shared" si="38"/>
        <v>0</v>
      </c>
      <c r="H200" s="2145">
        <f>IF(K199&lt;0.01,0,IF(Adm!$S$4=Adm!$S$8,0,K199*Adm!$V$4))</f>
        <v>0</v>
      </c>
      <c r="I200" s="2145">
        <f>IF(K199&lt;0.01,0,IF($I$16&lt;&gt;"",E200*Adm!$O$8,0))</f>
        <v>0</v>
      </c>
      <c r="J200" s="2145">
        <f t="shared" si="34"/>
        <v>0</v>
      </c>
      <c r="K200" s="2145">
        <f t="shared" si="35"/>
        <v>0</v>
      </c>
      <c r="L200" s="2146"/>
      <c r="W200" s="1352">
        <f t="shared" si="39"/>
        <v>3</v>
      </c>
      <c r="X200" s="1367">
        <f>IF(W200=1,Cal!$AC$127,0)</f>
        <v>0</v>
      </c>
      <c r="Z200" s="1153"/>
      <c r="AC200" s="1375">
        <f t="shared" si="42"/>
        <v>0</v>
      </c>
      <c r="AD200" s="1373">
        <f t="shared" si="43"/>
        <v>0</v>
      </c>
      <c r="AE200" s="1373">
        <f t="shared" si="44"/>
        <v>0</v>
      </c>
      <c r="AF200" s="1373">
        <f t="shared" si="41"/>
        <v>0</v>
      </c>
      <c r="AG200" s="1371">
        <f t="shared" si="40"/>
        <v>0</v>
      </c>
      <c r="AH200" s="1359" t="e">
        <f>HLOOKUP($AH$13,liquidez,184,0)</f>
        <v>#N/A</v>
      </c>
      <c r="AJ200" s="1360">
        <f>Captura!AI270</f>
        <v>0</v>
      </c>
    </row>
    <row r="201" spans="1:36">
      <c r="A201" s="1118">
        <f t="shared" ca="1" si="30"/>
        <v>7</v>
      </c>
      <c r="B201" s="1101">
        <f t="shared" si="31"/>
        <v>0</v>
      </c>
      <c r="C201" s="2149">
        <f t="shared" si="32"/>
        <v>0</v>
      </c>
      <c r="D201" s="2150">
        <f t="shared" si="36"/>
        <v>0</v>
      </c>
      <c r="E201" s="2145">
        <f t="shared" si="37"/>
        <v>0</v>
      </c>
      <c r="F201" s="2145">
        <f t="shared" si="33"/>
        <v>0</v>
      </c>
      <c r="G201" s="2145">
        <f t="shared" si="38"/>
        <v>0</v>
      </c>
      <c r="H201" s="2145">
        <f>IF(K200&lt;0.01,0,IF(Adm!$S$4=Adm!$S$8,0,K200*Adm!$V$4))</f>
        <v>0</v>
      </c>
      <c r="I201" s="2145">
        <f>IF(K200&lt;0.01,0,IF($I$16&lt;&gt;"",E201*Adm!$O$8,0))</f>
        <v>0</v>
      </c>
      <c r="J201" s="2145">
        <f t="shared" si="34"/>
        <v>0</v>
      </c>
      <c r="K201" s="2145">
        <f t="shared" si="35"/>
        <v>0</v>
      </c>
      <c r="L201" s="2146"/>
      <c r="W201" s="1352">
        <f t="shared" si="39"/>
        <v>4</v>
      </c>
      <c r="X201" s="1367">
        <f>IF(W201=1,Cal!$AC$127,0)</f>
        <v>0</v>
      </c>
      <c r="Z201" s="1153"/>
      <c r="AC201" s="1375">
        <f t="shared" si="42"/>
        <v>0</v>
      </c>
      <c r="AD201" s="1373">
        <f t="shared" si="43"/>
        <v>0</v>
      </c>
      <c r="AE201" s="1373">
        <f t="shared" si="44"/>
        <v>0</v>
      </c>
      <c r="AF201" s="1373">
        <f t="shared" si="41"/>
        <v>0</v>
      </c>
      <c r="AG201" s="1371">
        <f t="shared" si="40"/>
        <v>0</v>
      </c>
      <c r="AH201" s="1359" t="e">
        <f>HLOOKUP($AH$13,liquidez,185,0)</f>
        <v>#N/A</v>
      </c>
      <c r="AJ201" s="1360">
        <f>Captura!AI271</f>
        <v>0</v>
      </c>
    </row>
    <row r="202" spans="1:36">
      <c r="A202" s="1118">
        <f t="shared" ca="1" si="30"/>
        <v>8</v>
      </c>
      <c r="B202" s="1101">
        <f t="shared" si="31"/>
        <v>0</v>
      </c>
      <c r="C202" s="2149">
        <f t="shared" si="32"/>
        <v>0</v>
      </c>
      <c r="D202" s="2150">
        <f t="shared" si="36"/>
        <v>0</v>
      </c>
      <c r="E202" s="2145">
        <f t="shared" si="37"/>
        <v>0</v>
      </c>
      <c r="F202" s="2145">
        <f t="shared" si="33"/>
        <v>0</v>
      </c>
      <c r="G202" s="2145">
        <f t="shared" si="38"/>
        <v>0</v>
      </c>
      <c r="H202" s="2145">
        <f>IF(K201&lt;0.01,0,IF(Adm!$S$4=Adm!$S$8,0,K201*Adm!$V$4))</f>
        <v>0</v>
      </c>
      <c r="I202" s="2145">
        <f>IF(K201&lt;0.01,0,IF($I$16&lt;&gt;"",E202*Adm!$O$8,0))</f>
        <v>0</v>
      </c>
      <c r="J202" s="2145">
        <f t="shared" si="34"/>
        <v>0</v>
      </c>
      <c r="K202" s="2145">
        <f t="shared" si="35"/>
        <v>0</v>
      </c>
      <c r="L202" s="2146"/>
      <c r="W202" s="1352">
        <f t="shared" si="39"/>
        <v>5</v>
      </c>
      <c r="X202" s="1367">
        <f>IF(W202=1,Cal!$AC$127,0)</f>
        <v>0</v>
      </c>
      <c r="Z202" s="1153"/>
      <c r="AC202" s="1375">
        <f t="shared" si="42"/>
        <v>0</v>
      </c>
      <c r="AD202" s="1373">
        <f t="shared" si="43"/>
        <v>0</v>
      </c>
      <c r="AE202" s="1373">
        <f t="shared" si="44"/>
        <v>0</v>
      </c>
      <c r="AF202" s="1373">
        <f t="shared" si="41"/>
        <v>0</v>
      </c>
      <c r="AG202" s="1371">
        <f t="shared" si="40"/>
        <v>0</v>
      </c>
      <c r="AH202" s="1359" t="e">
        <f>HLOOKUP($AH$13,liquidez,186,0)</f>
        <v>#N/A</v>
      </c>
      <c r="AJ202" s="1360">
        <f>Captura!AI272</f>
        <v>0</v>
      </c>
    </row>
    <row r="203" spans="1:36">
      <c r="A203" s="1118">
        <f t="shared" ca="1" si="30"/>
        <v>9</v>
      </c>
      <c r="B203" s="1101">
        <f t="shared" si="31"/>
        <v>0</v>
      </c>
      <c r="C203" s="2149">
        <f t="shared" si="32"/>
        <v>0</v>
      </c>
      <c r="D203" s="2150">
        <f t="shared" si="36"/>
        <v>0</v>
      </c>
      <c r="E203" s="2145">
        <f t="shared" si="37"/>
        <v>0</v>
      </c>
      <c r="F203" s="2145">
        <f t="shared" si="33"/>
        <v>0</v>
      </c>
      <c r="G203" s="2145">
        <f t="shared" si="38"/>
        <v>0</v>
      </c>
      <c r="H203" s="2145">
        <f>IF(K202&lt;0.01,0,IF(Adm!$S$4=Adm!$S$8,0,K202*Adm!$V$4))</f>
        <v>0</v>
      </c>
      <c r="I203" s="2145">
        <f>IF(K202&lt;0.01,0,IF($I$16&lt;&gt;"",E203*Adm!$O$8,0))</f>
        <v>0</v>
      </c>
      <c r="J203" s="2145">
        <f t="shared" si="34"/>
        <v>0</v>
      </c>
      <c r="K203" s="2145">
        <f t="shared" si="35"/>
        <v>0</v>
      </c>
      <c r="L203" s="2146"/>
      <c r="W203" s="1352">
        <f t="shared" si="39"/>
        <v>6</v>
      </c>
      <c r="X203" s="1367">
        <f>IF(W203=1,Cal!$AC$127,0)</f>
        <v>0</v>
      </c>
      <c r="Z203" s="1153"/>
      <c r="AC203" s="1375">
        <f t="shared" si="42"/>
        <v>0</v>
      </c>
      <c r="AD203" s="1373">
        <f t="shared" si="43"/>
        <v>0</v>
      </c>
      <c r="AE203" s="1373">
        <f t="shared" si="44"/>
        <v>0</v>
      </c>
      <c r="AF203" s="1373">
        <f t="shared" si="41"/>
        <v>0</v>
      </c>
      <c r="AG203" s="1371">
        <f t="shared" si="40"/>
        <v>0</v>
      </c>
      <c r="AH203" s="1359" t="e">
        <f>HLOOKUP($AH$13,liquidez,187,0)</f>
        <v>#N/A</v>
      </c>
      <c r="AJ203" s="1360">
        <f>Captura!AI273</f>
        <v>0</v>
      </c>
    </row>
    <row r="204" spans="1:36">
      <c r="A204" s="1118">
        <f t="shared" ca="1" si="30"/>
        <v>10</v>
      </c>
      <c r="B204" s="1101">
        <f t="shared" si="31"/>
        <v>0</v>
      </c>
      <c r="C204" s="2149">
        <f t="shared" si="32"/>
        <v>0</v>
      </c>
      <c r="D204" s="2150">
        <f t="shared" si="36"/>
        <v>0</v>
      </c>
      <c r="E204" s="2145">
        <f t="shared" si="37"/>
        <v>0</v>
      </c>
      <c r="F204" s="2145">
        <f t="shared" si="33"/>
        <v>0</v>
      </c>
      <c r="G204" s="2145">
        <f t="shared" si="38"/>
        <v>0</v>
      </c>
      <c r="H204" s="2145">
        <f>IF(K203&lt;0.01,0,IF(Adm!$S$4=Adm!$S$8,0,K203*Adm!$V$4))</f>
        <v>0</v>
      </c>
      <c r="I204" s="2145">
        <f>IF(K203&lt;0.01,0,IF($I$16&lt;&gt;"",E204*Adm!$O$8,0))</f>
        <v>0</v>
      </c>
      <c r="J204" s="2145">
        <f t="shared" si="34"/>
        <v>0</v>
      </c>
      <c r="K204" s="2145">
        <f t="shared" si="35"/>
        <v>0</v>
      </c>
      <c r="L204" s="2146"/>
      <c r="W204" s="1352">
        <f t="shared" si="39"/>
        <v>7</v>
      </c>
      <c r="X204" s="1367">
        <f>IF(W204=1,Cal!$AC$127,0)</f>
        <v>0</v>
      </c>
      <c r="Z204" s="1153"/>
      <c r="AC204" s="1375">
        <f t="shared" si="42"/>
        <v>0</v>
      </c>
      <c r="AD204" s="1373">
        <f t="shared" si="43"/>
        <v>0</v>
      </c>
      <c r="AE204" s="1373">
        <f t="shared" si="44"/>
        <v>0</v>
      </c>
      <c r="AF204" s="1373">
        <f t="shared" si="41"/>
        <v>0</v>
      </c>
      <c r="AG204" s="1371">
        <f t="shared" si="40"/>
        <v>0</v>
      </c>
      <c r="AH204" s="1359" t="e">
        <f>HLOOKUP($AH$13,liquidez,188,0)</f>
        <v>#N/A</v>
      </c>
      <c r="AJ204" s="1360">
        <f>Captura!AI274</f>
        <v>0</v>
      </c>
    </row>
    <row r="205" spans="1:36">
      <c r="A205" s="1118">
        <f t="shared" ca="1" si="30"/>
        <v>11</v>
      </c>
      <c r="B205" s="1101">
        <f t="shared" si="31"/>
        <v>0</v>
      </c>
      <c r="C205" s="2149">
        <f t="shared" si="32"/>
        <v>0</v>
      </c>
      <c r="D205" s="2150">
        <f t="shared" si="36"/>
        <v>0</v>
      </c>
      <c r="E205" s="2145">
        <f t="shared" si="37"/>
        <v>0</v>
      </c>
      <c r="F205" s="2145">
        <f t="shared" si="33"/>
        <v>0</v>
      </c>
      <c r="G205" s="2145">
        <f t="shared" si="38"/>
        <v>0</v>
      </c>
      <c r="H205" s="2145">
        <f>IF(K204&lt;0.01,0,IF(Adm!$S$4=Adm!$S$8,0,K204*Adm!$V$4))</f>
        <v>0</v>
      </c>
      <c r="I205" s="2145">
        <f>IF(K204&lt;0.01,0,IF($I$16&lt;&gt;"",E205*Adm!$O$8,0))</f>
        <v>0</v>
      </c>
      <c r="J205" s="2145">
        <f t="shared" si="34"/>
        <v>0</v>
      </c>
      <c r="K205" s="2145">
        <f t="shared" si="35"/>
        <v>0</v>
      </c>
      <c r="L205" s="2146"/>
      <c r="W205" s="1352">
        <f t="shared" si="39"/>
        <v>8</v>
      </c>
      <c r="X205" s="1367">
        <f>IF(W205=1,Cal!$AC$127,0)</f>
        <v>0</v>
      </c>
      <c r="Z205" s="1153"/>
      <c r="AC205" s="1375">
        <f t="shared" si="42"/>
        <v>0</v>
      </c>
      <c r="AD205" s="1373">
        <f t="shared" si="43"/>
        <v>0</v>
      </c>
      <c r="AE205" s="1373">
        <f t="shared" si="44"/>
        <v>0</v>
      </c>
      <c r="AF205" s="1373">
        <f t="shared" si="41"/>
        <v>0</v>
      </c>
      <c r="AG205" s="1371">
        <f t="shared" si="40"/>
        <v>0</v>
      </c>
      <c r="AH205" s="1359" t="e">
        <f>HLOOKUP($AH$13,liquidez,189,0)</f>
        <v>#N/A</v>
      </c>
      <c r="AJ205" s="1360">
        <f>Captura!AI275</f>
        <v>0</v>
      </c>
    </row>
    <row r="206" spans="1:36">
      <c r="A206" s="1118">
        <f t="shared" ca="1" si="30"/>
        <v>12</v>
      </c>
      <c r="B206" s="1101">
        <f t="shared" si="31"/>
        <v>0</v>
      </c>
      <c r="C206" s="2149">
        <f t="shared" si="32"/>
        <v>0</v>
      </c>
      <c r="D206" s="2150">
        <f t="shared" si="36"/>
        <v>0</v>
      </c>
      <c r="E206" s="2145">
        <f t="shared" si="37"/>
        <v>0</v>
      </c>
      <c r="F206" s="2145">
        <f t="shared" si="33"/>
        <v>0</v>
      </c>
      <c r="G206" s="2145">
        <f t="shared" si="38"/>
        <v>0</v>
      </c>
      <c r="H206" s="2145">
        <f>IF(K205&lt;0.01,0,IF(Adm!$S$4=Adm!$S$8,0,K205*Adm!$V$4))</f>
        <v>0</v>
      </c>
      <c r="I206" s="2145">
        <f>IF(K205&lt;0.01,0,IF($I$16&lt;&gt;"",E206*Adm!$O$8,0))</f>
        <v>0</v>
      </c>
      <c r="J206" s="2145">
        <f t="shared" si="34"/>
        <v>0</v>
      </c>
      <c r="K206" s="2145">
        <f t="shared" si="35"/>
        <v>0</v>
      </c>
      <c r="L206" s="2146"/>
      <c r="W206" s="1352">
        <f t="shared" si="39"/>
        <v>9</v>
      </c>
      <c r="X206" s="1367">
        <f>IF(W206=1,Cal!$AC$127,0)</f>
        <v>0</v>
      </c>
      <c r="Z206" s="1153"/>
      <c r="AC206" s="1375">
        <f t="shared" si="42"/>
        <v>0</v>
      </c>
      <c r="AD206" s="1373">
        <f t="shared" si="43"/>
        <v>0</v>
      </c>
      <c r="AE206" s="1373">
        <f t="shared" si="44"/>
        <v>0</v>
      </c>
      <c r="AF206" s="1373">
        <f t="shared" si="41"/>
        <v>0</v>
      </c>
      <c r="AG206" s="1371">
        <f t="shared" si="40"/>
        <v>0</v>
      </c>
      <c r="AH206" s="1359" t="e">
        <f>HLOOKUP($AH$13,liquidez,190,0)</f>
        <v>#N/A</v>
      </c>
      <c r="AJ206" s="1360">
        <f>Captura!AI276</f>
        <v>0</v>
      </c>
    </row>
    <row r="207" spans="1:36">
      <c r="A207" s="1118">
        <f t="shared" ca="1" si="30"/>
        <v>1</v>
      </c>
      <c r="B207" s="1101">
        <f t="shared" si="31"/>
        <v>0</v>
      </c>
      <c r="C207" s="2149">
        <f t="shared" si="32"/>
        <v>0</v>
      </c>
      <c r="D207" s="2150">
        <f t="shared" si="36"/>
        <v>0</v>
      </c>
      <c r="E207" s="2145">
        <f t="shared" si="37"/>
        <v>0</v>
      </c>
      <c r="F207" s="2145">
        <f t="shared" si="33"/>
        <v>0</v>
      </c>
      <c r="G207" s="2145">
        <f t="shared" si="38"/>
        <v>0</v>
      </c>
      <c r="H207" s="2145">
        <f>IF(K206&lt;0.01,0,IF(Adm!$S$4=Adm!$S$8,0,K206*Adm!$V$4))</f>
        <v>0</v>
      </c>
      <c r="I207" s="2145">
        <f>IF(K206&lt;0.01,0,IF($I$16&lt;&gt;"",E207*Adm!$O$8,0))</f>
        <v>0</v>
      </c>
      <c r="J207" s="2145">
        <f t="shared" si="34"/>
        <v>0</v>
      </c>
      <c r="K207" s="2145">
        <f t="shared" si="35"/>
        <v>0</v>
      </c>
      <c r="L207" s="2146"/>
      <c r="W207" s="1352">
        <f t="shared" si="39"/>
        <v>10</v>
      </c>
      <c r="X207" s="1367">
        <f>IF(W207=1,Cal!$AC$127,0)</f>
        <v>0</v>
      </c>
      <c r="Z207" s="1153"/>
      <c r="AC207" s="1375">
        <f t="shared" si="42"/>
        <v>0</v>
      </c>
      <c r="AD207" s="1373">
        <f t="shared" si="43"/>
        <v>0</v>
      </c>
      <c r="AE207" s="1373">
        <f t="shared" si="44"/>
        <v>0</v>
      </c>
      <c r="AF207" s="1373">
        <f t="shared" si="41"/>
        <v>0</v>
      </c>
      <c r="AG207" s="1371">
        <f t="shared" si="40"/>
        <v>0</v>
      </c>
      <c r="AH207" s="1359" t="e">
        <f>HLOOKUP($AH$13,liquidez,191,0)</f>
        <v>#N/A</v>
      </c>
      <c r="AJ207" s="1360">
        <f>Captura!AI277</f>
        <v>0</v>
      </c>
    </row>
    <row r="208" spans="1:36">
      <c r="A208" s="1118">
        <f t="shared" ca="1" si="30"/>
        <v>2</v>
      </c>
      <c r="B208" s="1101">
        <f t="shared" si="31"/>
        <v>0</v>
      </c>
      <c r="C208" s="2149">
        <f t="shared" si="32"/>
        <v>0</v>
      </c>
      <c r="D208" s="2150">
        <f t="shared" si="36"/>
        <v>0</v>
      </c>
      <c r="E208" s="2145">
        <f t="shared" si="37"/>
        <v>0</v>
      </c>
      <c r="F208" s="2145">
        <f t="shared" si="33"/>
        <v>0</v>
      </c>
      <c r="G208" s="2145">
        <f t="shared" si="38"/>
        <v>0</v>
      </c>
      <c r="H208" s="2145">
        <f>IF(K207&lt;0.01,0,IF(Adm!$S$4=Adm!$S$8,0,K207*Adm!$V$4))</f>
        <v>0</v>
      </c>
      <c r="I208" s="2145">
        <f>IF(K207&lt;0.01,0,IF($I$16&lt;&gt;"",E208*Adm!$O$8,0))</f>
        <v>0</v>
      </c>
      <c r="J208" s="2145">
        <f t="shared" si="34"/>
        <v>0</v>
      </c>
      <c r="K208" s="2145">
        <f t="shared" si="35"/>
        <v>0</v>
      </c>
      <c r="L208" s="2146"/>
      <c r="W208" s="1352">
        <f t="shared" si="39"/>
        <v>11</v>
      </c>
      <c r="X208" s="1367">
        <f>IF(W208=1,Cal!$AC$127,0)</f>
        <v>0</v>
      </c>
      <c r="Z208" s="1153"/>
      <c r="AC208" s="1375">
        <f t="shared" si="42"/>
        <v>0</v>
      </c>
      <c r="AD208" s="1373">
        <f t="shared" si="43"/>
        <v>0</v>
      </c>
      <c r="AE208" s="1373">
        <f t="shared" si="44"/>
        <v>0</v>
      </c>
      <c r="AF208" s="1373">
        <f t="shared" si="41"/>
        <v>0</v>
      </c>
      <c r="AG208" s="1371">
        <f t="shared" si="40"/>
        <v>0</v>
      </c>
      <c r="AH208" s="1359" t="e">
        <f>HLOOKUP($AH$13,liquidez,192,0)</f>
        <v>#N/A</v>
      </c>
      <c r="AJ208" s="1360">
        <f>Captura!AI278</f>
        <v>0</v>
      </c>
    </row>
    <row r="209" spans="1:36">
      <c r="A209" s="1118">
        <f t="shared" ca="1" si="30"/>
        <v>3</v>
      </c>
      <c r="B209" s="1101">
        <f t="shared" si="31"/>
        <v>0</v>
      </c>
      <c r="C209" s="2149">
        <f t="shared" si="32"/>
        <v>0</v>
      </c>
      <c r="D209" s="2150">
        <f t="shared" si="36"/>
        <v>0</v>
      </c>
      <c r="E209" s="2145">
        <f t="shared" si="37"/>
        <v>0</v>
      </c>
      <c r="F209" s="2145">
        <f t="shared" si="33"/>
        <v>0</v>
      </c>
      <c r="G209" s="2145">
        <f t="shared" si="38"/>
        <v>0</v>
      </c>
      <c r="H209" s="2145">
        <f>IF(K208&lt;0.01,0,IF(Adm!$S$4=Adm!$S$8,0,K208*Adm!$V$4))</f>
        <v>0</v>
      </c>
      <c r="I209" s="2145">
        <f>IF(K208&lt;0.01,0,IF($I$16&lt;&gt;"",E209*Adm!$O$8,0))</f>
        <v>0</v>
      </c>
      <c r="J209" s="2145">
        <f t="shared" si="34"/>
        <v>0</v>
      </c>
      <c r="K209" s="2145">
        <f t="shared" si="35"/>
        <v>0</v>
      </c>
      <c r="L209" s="2146"/>
      <c r="W209" s="1352">
        <f t="shared" si="39"/>
        <v>12</v>
      </c>
      <c r="X209" s="1367">
        <f>IF(W209=1,Cal!$AC$127,0)</f>
        <v>0</v>
      </c>
      <c r="Z209" s="1153"/>
      <c r="AC209" s="1375">
        <f t="shared" si="42"/>
        <v>0</v>
      </c>
      <c r="AD209" s="1373">
        <f t="shared" si="43"/>
        <v>0</v>
      </c>
      <c r="AE209" s="1373">
        <f t="shared" si="44"/>
        <v>0</v>
      </c>
      <c r="AF209" s="1373">
        <f t="shared" si="41"/>
        <v>0</v>
      </c>
      <c r="AG209" s="1371">
        <f t="shared" si="40"/>
        <v>0</v>
      </c>
      <c r="AH209" s="1359" t="e">
        <f>HLOOKUP($AH$13,liquidez,193,0)</f>
        <v>#N/A</v>
      </c>
      <c r="AJ209" s="1360">
        <f>Captura!AI279</f>
        <v>0</v>
      </c>
    </row>
    <row r="210" spans="1:36">
      <c r="A210" s="1118">
        <f t="shared" ref="A210:A257" ca="1" si="45">IF(A209=12,1,A209+1)</f>
        <v>4</v>
      </c>
      <c r="B210" s="1101">
        <f t="shared" ref="B210:B257" si="46">IF(K209&lt;0.01,0,B209-1)</f>
        <v>0</v>
      </c>
      <c r="C210" s="2149">
        <f t="shared" ref="C210:C257" si="47">IF(K209&lt;0.01,0,C209+1)</f>
        <v>0</v>
      </c>
      <c r="D210" s="2150">
        <f t="shared" si="36"/>
        <v>0</v>
      </c>
      <c r="E210" s="2145">
        <f t="shared" si="37"/>
        <v>0</v>
      </c>
      <c r="F210" s="2145">
        <f t="shared" ref="F210:F257" si="48">IF(K209&lt;0.01,0,G210-E210)</f>
        <v>0</v>
      </c>
      <c r="G210" s="2145">
        <f t="shared" si="38"/>
        <v>0</v>
      </c>
      <c r="H210" s="2145">
        <f>IF(K209&lt;0.01,0,IF(Adm!$S$4=Adm!$S$8,0,K209*Adm!$V$4))</f>
        <v>0</v>
      </c>
      <c r="I210" s="2145">
        <f>IF(K209&lt;0.01,0,IF($I$16&lt;&gt;"",E210*Adm!$O$8,0))</f>
        <v>0</v>
      </c>
      <c r="J210" s="2145">
        <f t="shared" ref="J210:J257" si="49">G210+H210+I210</f>
        <v>0</v>
      </c>
      <c r="K210" s="2145">
        <f t="shared" ref="K210:K257" si="50">IF(K209&lt;0.01,0,K209-F210-L210)</f>
        <v>0</v>
      </c>
      <c r="L210" s="2146"/>
      <c r="W210" s="1352">
        <f t="shared" si="39"/>
        <v>1</v>
      </c>
      <c r="X210" s="1367">
        <f>IF(W210=1,Cal!$AC$127,0)</f>
        <v>0</v>
      </c>
      <c r="Z210" s="1153"/>
      <c r="AC210" s="1375">
        <f t="shared" si="42"/>
        <v>0</v>
      </c>
      <c r="AD210" s="1373">
        <f t="shared" si="43"/>
        <v>0</v>
      </c>
      <c r="AE210" s="1373">
        <f t="shared" si="44"/>
        <v>0</v>
      </c>
      <c r="AF210" s="1373">
        <f t="shared" si="41"/>
        <v>0</v>
      </c>
      <c r="AG210" s="1371">
        <f t="shared" si="40"/>
        <v>0</v>
      </c>
      <c r="AH210" s="1359" t="e">
        <f>HLOOKUP($AH$13,liquidez,194,0)</f>
        <v>#N/A</v>
      </c>
      <c r="AJ210" s="1360">
        <f>Captura!AI280</f>
        <v>0</v>
      </c>
    </row>
    <row r="211" spans="1:36">
      <c r="A211" s="1118">
        <f t="shared" ca="1" si="45"/>
        <v>5</v>
      </c>
      <c r="B211" s="1101">
        <f t="shared" si="46"/>
        <v>0</v>
      </c>
      <c r="C211" s="2149">
        <f t="shared" si="47"/>
        <v>0</v>
      </c>
      <c r="D211" s="2150">
        <f t="shared" ref="D211:D257" si="51">IF(K210&lt;0.01,0,D210)</f>
        <v>0</v>
      </c>
      <c r="E211" s="2145">
        <f t="shared" ref="E211:E257" si="52">IF(K210&lt;0.01,0,K210*D211*30.4166/360)</f>
        <v>0</v>
      </c>
      <c r="F211" s="2145">
        <f t="shared" si="48"/>
        <v>0</v>
      </c>
      <c r="G211" s="2145">
        <f t="shared" ref="G211:G257" si="53">IF(K210&lt;0.1,0,MIN(K210+E211,IF(AC211&gt;0,AC211,G210*(1+X211))))</f>
        <v>0</v>
      </c>
      <c r="H211" s="2145">
        <f>IF(K210&lt;0.01,0,IF(Adm!$S$4=Adm!$S$8,0,K210*Adm!$V$4))</f>
        <v>0</v>
      </c>
      <c r="I211" s="2145">
        <f>IF(K210&lt;0.01,0,IF($I$16&lt;&gt;"",E211*Adm!$O$8,0))</f>
        <v>0</v>
      </c>
      <c r="J211" s="2145">
        <f t="shared" si="49"/>
        <v>0</v>
      </c>
      <c r="K211" s="2145">
        <f t="shared" si="50"/>
        <v>0</v>
      </c>
      <c r="L211" s="2146"/>
      <c r="W211" s="1352">
        <f t="shared" ref="W211:W257" si="54">IF(W210=12,1,W210+1)</f>
        <v>2</v>
      </c>
      <c r="X211" s="1367">
        <f>IF(W211=1,Cal!$AC$127,0)</f>
        <v>0</v>
      </c>
      <c r="Z211" s="1153"/>
      <c r="AC211" s="1375">
        <f t="shared" si="42"/>
        <v>0</v>
      </c>
      <c r="AD211" s="1373">
        <f t="shared" si="43"/>
        <v>0</v>
      </c>
      <c r="AE211" s="1373">
        <f t="shared" si="44"/>
        <v>0</v>
      </c>
      <c r="AF211" s="1373">
        <f t="shared" si="41"/>
        <v>0</v>
      </c>
      <c r="AG211" s="1371">
        <f t="shared" ref="AG211:AG257" si="55">IF(AND($AE$12=2,L210&lt;0.01),0,IF($AE$12=2,(K210*AH211)+E211,0))</f>
        <v>0</v>
      </c>
      <c r="AH211" s="1359" t="e">
        <f>HLOOKUP($AH$13,liquidez,195,0)</f>
        <v>#N/A</v>
      </c>
      <c r="AJ211" s="1360">
        <f>Captura!AI281</f>
        <v>0</v>
      </c>
    </row>
    <row r="212" spans="1:36">
      <c r="A212" s="1118">
        <f t="shared" ca="1" si="45"/>
        <v>6</v>
      </c>
      <c r="B212" s="1101">
        <f t="shared" si="46"/>
        <v>0</v>
      </c>
      <c r="C212" s="2149">
        <f t="shared" si="47"/>
        <v>0</v>
      </c>
      <c r="D212" s="2150">
        <f t="shared" si="51"/>
        <v>0</v>
      </c>
      <c r="E212" s="2145">
        <f t="shared" si="52"/>
        <v>0</v>
      </c>
      <c r="F212" s="2145">
        <f t="shared" si="48"/>
        <v>0</v>
      </c>
      <c r="G212" s="2145">
        <f t="shared" si="53"/>
        <v>0</v>
      </c>
      <c r="H212" s="2145">
        <f>IF(K211&lt;0.01,0,IF(Adm!$S$4=Adm!$S$8,0,K211*Adm!$V$4))</f>
        <v>0</v>
      </c>
      <c r="I212" s="2145">
        <f>IF(K211&lt;0.01,0,IF($I$16&lt;&gt;"",E212*Adm!$O$8,0))</f>
        <v>0</v>
      </c>
      <c r="J212" s="2145">
        <f t="shared" si="49"/>
        <v>0</v>
      </c>
      <c r="K212" s="2145">
        <f t="shared" si="50"/>
        <v>0</v>
      </c>
      <c r="L212" s="2146"/>
      <c r="W212" s="1352">
        <f t="shared" si="54"/>
        <v>3</v>
      </c>
      <c r="X212" s="1367">
        <f>IF(W212=1,Cal!$AC$127,0)</f>
        <v>0</v>
      </c>
      <c r="Z212" s="1153"/>
      <c r="AC212" s="1375">
        <f t="shared" si="42"/>
        <v>0</v>
      </c>
      <c r="AD212" s="1373">
        <f t="shared" si="43"/>
        <v>0</v>
      </c>
      <c r="AE212" s="1373">
        <f t="shared" si="44"/>
        <v>0</v>
      </c>
      <c r="AF212" s="1373">
        <f t="shared" ref="AF212:AF257" si="56">IF(AND(AG212&gt;0.01,$AC$12=2),AG212,0)</f>
        <v>0</v>
      </c>
      <c r="AG212" s="1371">
        <f t="shared" si="55"/>
        <v>0</v>
      </c>
      <c r="AH212" s="1359" t="e">
        <f>HLOOKUP($AH$13,liquidez,196,0)</f>
        <v>#N/A</v>
      </c>
      <c r="AJ212" s="1360">
        <f>Captura!AI282</f>
        <v>0</v>
      </c>
    </row>
    <row r="213" spans="1:36">
      <c r="A213" s="1118">
        <f t="shared" ca="1" si="45"/>
        <v>7</v>
      </c>
      <c r="B213" s="1101">
        <f t="shared" si="46"/>
        <v>0</v>
      </c>
      <c r="C213" s="2149">
        <f t="shared" si="47"/>
        <v>0</v>
      </c>
      <c r="D213" s="2150">
        <f t="shared" si="51"/>
        <v>0</v>
      </c>
      <c r="E213" s="2145">
        <f t="shared" si="52"/>
        <v>0</v>
      </c>
      <c r="F213" s="2145">
        <f t="shared" si="48"/>
        <v>0</v>
      </c>
      <c r="G213" s="2145">
        <f t="shared" si="53"/>
        <v>0</v>
      </c>
      <c r="H213" s="2145">
        <f>IF(K212&lt;0.01,0,IF(Adm!$S$4=Adm!$S$8,0,K212*Adm!$V$4))</f>
        <v>0</v>
      </c>
      <c r="I213" s="2145">
        <f>IF(K212&lt;0.01,0,IF($I$16&lt;&gt;"",E213*Adm!$O$8,0))</f>
        <v>0</v>
      </c>
      <c r="J213" s="2145">
        <f t="shared" si="49"/>
        <v>0</v>
      </c>
      <c r="K213" s="2145">
        <f t="shared" si="50"/>
        <v>0</v>
      </c>
      <c r="L213" s="2146"/>
      <c r="W213" s="1352">
        <f t="shared" si="54"/>
        <v>4</v>
      </c>
      <c r="X213" s="1367">
        <f>IF(W213=1,Cal!$AC$127,0)</f>
        <v>0</v>
      </c>
      <c r="Z213" s="1153"/>
      <c r="AC213" s="1375">
        <f t="shared" ref="AC213:AC257" si="57">IF(AD213&gt;1,AD213,IF(AF213&gt;1,AF213,0))</f>
        <v>0</v>
      </c>
      <c r="AD213" s="1373">
        <f t="shared" ref="AD213:AD257" si="58">IF(AND($AE$12=1,L212&gt;0.1),AE213,0)</f>
        <v>0</v>
      </c>
      <c r="AE213" s="1373">
        <f t="shared" ref="AE213:AE257" si="59">IF(AND($AE$12=1,$AC$12=2),PMT((($D$18/360)*(365/12)),B212,-K212),0)</f>
        <v>0</v>
      </c>
      <c r="AF213" s="1373">
        <f t="shared" si="56"/>
        <v>0</v>
      </c>
      <c r="AG213" s="1371">
        <f t="shared" si="55"/>
        <v>0</v>
      </c>
      <c r="AH213" s="1359" t="e">
        <f>HLOOKUP($AH$13,liquidez,197,0)</f>
        <v>#N/A</v>
      </c>
      <c r="AJ213" s="1360">
        <f>Captura!AI283</f>
        <v>0</v>
      </c>
    </row>
    <row r="214" spans="1:36">
      <c r="A214" s="1118">
        <f t="shared" ca="1" si="45"/>
        <v>8</v>
      </c>
      <c r="B214" s="1101">
        <f t="shared" si="46"/>
        <v>0</v>
      </c>
      <c r="C214" s="2149">
        <f t="shared" si="47"/>
        <v>0</v>
      </c>
      <c r="D214" s="2150">
        <f t="shared" si="51"/>
        <v>0</v>
      </c>
      <c r="E214" s="2145">
        <f t="shared" si="52"/>
        <v>0</v>
      </c>
      <c r="F214" s="2145">
        <f t="shared" si="48"/>
        <v>0</v>
      </c>
      <c r="G214" s="2145">
        <f t="shared" si="53"/>
        <v>0</v>
      </c>
      <c r="H214" s="2145">
        <f>IF(K213&lt;0.01,0,IF(Adm!$S$4=Adm!$S$8,0,K213*Adm!$V$4))</f>
        <v>0</v>
      </c>
      <c r="I214" s="2145">
        <f>IF(K213&lt;0.01,0,IF($I$16&lt;&gt;"",E214*Adm!$O$8,0))</f>
        <v>0</v>
      </c>
      <c r="J214" s="2145">
        <f t="shared" si="49"/>
        <v>0</v>
      </c>
      <c r="K214" s="2145">
        <f t="shared" si="50"/>
        <v>0</v>
      </c>
      <c r="L214" s="2146"/>
      <c r="W214" s="1352">
        <f t="shared" si="54"/>
        <v>5</v>
      </c>
      <c r="X214" s="1367">
        <f>IF(W214=1,Cal!$AC$127,0)</f>
        <v>0</v>
      </c>
      <c r="Z214" s="1153"/>
      <c r="AC214" s="1375">
        <f t="shared" si="57"/>
        <v>0</v>
      </c>
      <c r="AD214" s="1373">
        <f t="shared" si="58"/>
        <v>0</v>
      </c>
      <c r="AE214" s="1373">
        <f t="shared" si="59"/>
        <v>0</v>
      </c>
      <c r="AF214" s="1373">
        <f t="shared" si="56"/>
        <v>0</v>
      </c>
      <c r="AG214" s="1371">
        <f t="shared" si="55"/>
        <v>0</v>
      </c>
      <c r="AH214" s="1359" t="e">
        <f>HLOOKUP($AH$13,liquidez,198,0)</f>
        <v>#N/A</v>
      </c>
      <c r="AJ214" s="1360">
        <f>Captura!AI284</f>
        <v>0</v>
      </c>
    </row>
    <row r="215" spans="1:36">
      <c r="A215" s="1118">
        <f t="shared" ca="1" si="45"/>
        <v>9</v>
      </c>
      <c r="B215" s="1101">
        <f t="shared" si="46"/>
        <v>0</v>
      </c>
      <c r="C215" s="2149">
        <f t="shared" si="47"/>
        <v>0</v>
      </c>
      <c r="D215" s="2150">
        <f t="shared" si="51"/>
        <v>0</v>
      </c>
      <c r="E215" s="2145">
        <f t="shared" si="52"/>
        <v>0</v>
      </c>
      <c r="F215" s="2145">
        <f t="shared" si="48"/>
        <v>0</v>
      </c>
      <c r="G215" s="2145">
        <f t="shared" si="53"/>
        <v>0</v>
      </c>
      <c r="H215" s="2145">
        <f>IF(K214&lt;0.01,0,IF(Adm!$S$4=Adm!$S$8,0,K214*Adm!$V$4))</f>
        <v>0</v>
      </c>
      <c r="I215" s="2145">
        <f>IF(K214&lt;0.01,0,IF($I$16&lt;&gt;"",E215*Adm!$O$8,0))</f>
        <v>0</v>
      </c>
      <c r="J215" s="2145">
        <f t="shared" si="49"/>
        <v>0</v>
      </c>
      <c r="K215" s="2145">
        <f t="shared" si="50"/>
        <v>0</v>
      </c>
      <c r="L215" s="2146"/>
      <c r="W215" s="1352">
        <f t="shared" si="54"/>
        <v>6</v>
      </c>
      <c r="X215" s="1367">
        <f>IF(W215=1,Cal!$AC$127,0)</f>
        <v>0</v>
      </c>
      <c r="Z215" s="1153"/>
      <c r="AC215" s="1375">
        <f t="shared" si="57"/>
        <v>0</v>
      </c>
      <c r="AD215" s="1373">
        <f t="shared" si="58"/>
        <v>0</v>
      </c>
      <c r="AE215" s="1373">
        <f t="shared" si="59"/>
        <v>0</v>
      </c>
      <c r="AF215" s="1373">
        <f t="shared" si="56"/>
        <v>0</v>
      </c>
      <c r="AG215" s="1371">
        <f t="shared" si="55"/>
        <v>0</v>
      </c>
      <c r="AH215" s="1359" t="e">
        <f>HLOOKUP($AH$13,liquidez,199,0)</f>
        <v>#N/A</v>
      </c>
      <c r="AJ215" s="1360">
        <f>Captura!AI285</f>
        <v>0</v>
      </c>
    </row>
    <row r="216" spans="1:36">
      <c r="A216" s="1118">
        <f t="shared" ca="1" si="45"/>
        <v>10</v>
      </c>
      <c r="B216" s="1101">
        <f t="shared" si="46"/>
        <v>0</v>
      </c>
      <c r="C216" s="2149">
        <f t="shared" si="47"/>
        <v>0</v>
      </c>
      <c r="D216" s="2150">
        <f t="shared" si="51"/>
        <v>0</v>
      </c>
      <c r="E216" s="2145">
        <f t="shared" si="52"/>
        <v>0</v>
      </c>
      <c r="F216" s="2145">
        <f t="shared" si="48"/>
        <v>0</v>
      </c>
      <c r="G216" s="2145">
        <f t="shared" si="53"/>
        <v>0</v>
      </c>
      <c r="H216" s="2145">
        <f>IF(K215&lt;0.01,0,IF(Adm!$S$4=Adm!$S$8,0,K215*Adm!$V$4))</f>
        <v>0</v>
      </c>
      <c r="I216" s="2145">
        <f>IF(K215&lt;0.01,0,IF($I$16&lt;&gt;"",E216*Adm!$O$8,0))</f>
        <v>0</v>
      </c>
      <c r="J216" s="2145">
        <f t="shared" si="49"/>
        <v>0</v>
      </c>
      <c r="K216" s="2145">
        <f t="shared" si="50"/>
        <v>0</v>
      </c>
      <c r="L216" s="2146"/>
      <c r="W216" s="1352">
        <f t="shared" si="54"/>
        <v>7</v>
      </c>
      <c r="X216" s="1367">
        <f>IF(W216=1,Cal!$AC$127,0)</f>
        <v>0</v>
      </c>
      <c r="Z216" s="1153"/>
      <c r="AC216" s="1375">
        <f t="shared" si="57"/>
        <v>0</v>
      </c>
      <c r="AD216" s="1373">
        <f t="shared" si="58"/>
        <v>0</v>
      </c>
      <c r="AE216" s="1373">
        <f t="shared" si="59"/>
        <v>0</v>
      </c>
      <c r="AF216" s="1373">
        <f t="shared" si="56"/>
        <v>0</v>
      </c>
      <c r="AG216" s="1371">
        <f t="shared" si="55"/>
        <v>0</v>
      </c>
      <c r="AH216" s="1359" t="e">
        <f>HLOOKUP($AH$13,liquidez,200,0)</f>
        <v>#N/A</v>
      </c>
      <c r="AJ216" s="1360">
        <f>Captura!AI286</f>
        <v>0</v>
      </c>
    </row>
    <row r="217" spans="1:36">
      <c r="A217" s="1118">
        <f t="shared" ca="1" si="45"/>
        <v>11</v>
      </c>
      <c r="B217" s="1101">
        <f t="shared" si="46"/>
        <v>0</v>
      </c>
      <c r="C217" s="2149">
        <f t="shared" si="47"/>
        <v>0</v>
      </c>
      <c r="D217" s="2150">
        <f t="shared" si="51"/>
        <v>0</v>
      </c>
      <c r="E217" s="2145">
        <f t="shared" si="52"/>
        <v>0</v>
      </c>
      <c r="F217" s="2145">
        <f t="shared" si="48"/>
        <v>0</v>
      </c>
      <c r="G217" s="2145">
        <f t="shared" si="53"/>
        <v>0</v>
      </c>
      <c r="H217" s="2145">
        <f>IF(K216&lt;0.01,0,IF(Adm!$S$4=Adm!$S$8,0,K216*Adm!$V$4))</f>
        <v>0</v>
      </c>
      <c r="I217" s="2145">
        <f>IF(K216&lt;0.01,0,IF($I$16&lt;&gt;"",E217*Adm!$O$8,0))</f>
        <v>0</v>
      </c>
      <c r="J217" s="2145">
        <f t="shared" si="49"/>
        <v>0</v>
      </c>
      <c r="K217" s="2145">
        <f t="shared" si="50"/>
        <v>0</v>
      </c>
      <c r="L217" s="2146"/>
      <c r="W217" s="1352">
        <f t="shared" si="54"/>
        <v>8</v>
      </c>
      <c r="X217" s="1367">
        <f>IF(W217=1,Cal!$AC$127,0)</f>
        <v>0</v>
      </c>
      <c r="Z217" s="1153"/>
      <c r="AC217" s="1375">
        <f t="shared" si="57"/>
        <v>0</v>
      </c>
      <c r="AD217" s="1373">
        <f t="shared" si="58"/>
        <v>0</v>
      </c>
      <c r="AE217" s="1373">
        <f t="shared" si="59"/>
        <v>0</v>
      </c>
      <c r="AF217" s="1373">
        <f t="shared" si="56"/>
        <v>0</v>
      </c>
      <c r="AG217" s="1371">
        <f t="shared" si="55"/>
        <v>0</v>
      </c>
      <c r="AH217" s="1359" t="e">
        <f>HLOOKUP($AH$13,liquidez,201,0)</f>
        <v>#N/A</v>
      </c>
      <c r="AJ217" s="1360">
        <f>Captura!AI287</f>
        <v>0</v>
      </c>
    </row>
    <row r="218" spans="1:36">
      <c r="A218" s="1118">
        <f t="shared" ca="1" si="45"/>
        <v>12</v>
      </c>
      <c r="B218" s="1101">
        <f t="shared" si="46"/>
        <v>0</v>
      </c>
      <c r="C218" s="2149">
        <f t="shared" si="47"/>
        <v>0</v>
      </c>
      <c r="D218" s="2150">
        <f t="shared" si="51"/>
        <v>0</v>
      </c>
      <c r="E218" s="2145">
        <f t="shared" si="52"/>
        <v>0</v>
      </c>
      <c r="F218" s="2145">
        <f t="shared" si="48"/>
        <v>0</v>
      </c>
      <c r="G218" s="2145">
        <f t="shared" si="53"/>
        <v>0</v>
      </c>
      <c r="H218" s="2145">
        <f>IF(K217&lt;0.01,0,IF(Adm!$S$4=Adm!$S$8,0,K217*Adm!$V$4))</f>
        <v>0</v>
      </c>
      <c r="I218" s="2145">
        <f>IF(K217&lt;0.01,0,IF($I$16&lt;&gt;"",E218*Adm!$O$8,0))</f>
        <v>0</v>
      </c>
      <c r="J218" s="2145">
        <f t="shared" si="49"/>
        <v>0</v>
      </c>
      <c r="K218" s="2145">
        <f t="shared" si="50"/>
        <v>0</v>
      </c>
      <c r="L218" s="2146"/>
      <c r="W218" s="1352">
        <f t="shared" si="54"/>
        <v>9</v>
      </c>
      <c r="X218" s="1367">
        <f>IF(W218=1,Cal!$AC$127,0)</f>
        <v>0</v>
      </c>
      <c r="Z218" s="1153"/>
      <c r="AC218" s="1375">
        <f t="shared" si="57"/>
        <v>0</v>
      </c>
      <c r="AD218" s="1373">
        <f t="shared" si="58"/>
        <v>0</v>
      </c>
      <c r="AE218" s="1373">
        <f t="shared" si="59"/>
        <v>0</v>
      </c>
      <c r="AF218" s="1373">
        <f t="shared" si="56"/>
        <v>0</v>
      </c>
      <c r="AG218" s="1371">
        <f t="shared" si="55"/>
        <v>0</v>
      </c>
      <c r="AH218" s="1359" t="e">
        <f>HLOOKUP($AH$13,liquidez,202,0)</f>
        <v>#N/A</v>
      </c>
      <c r="AJ218" s="1360">
        <f>Captura!AI288</f>
        <v>0</v>
      </c>
    </row>
    <row r="219" spans="1:36">
      <c r="A219" s="1118">
        <f t="shared" ca="1" si="45"/>
        <v>1</v>
      </c>
      <c r="B219" s="1101">
        <f t="shared" si="46"/>
        <v>0</v>
      </c>
      <c r="C219" s="2149">
        <f t="shared" si="47"/>
        <v>0</v>
      </c>
      <c r="D219" s="2150">
        <f t="shared" si="51"/>
        <v>0</v>
      </c>
      <c r="E219" s="2145">
        <f t="shared" si="52"/>
        <v>0</v>
      </c>
      <c r="F219" s="2145">
        <f t="shared" si="48"/>
        <v>0</v>
      </c>
      <c r="G219" s="2145">
        <f t="shared" si="53"/>
        <v>0</v>
      </c>
      <c r="H219" s="2145">
        <f>IF(K218&lt;0.01,0,IF(Adm!$S$4=Adm!$S$8,0,K218*Adm!$V$4))</f>
        <v>0</v>
      </c>
      <c r="I219" s="2145">
        <f>IF(K218&lt;0.01,0,IF($I$16&lt;&gt;"",E219*Adm!$O$8,0))</f>
        <v>0</v>
      </c>
      <c r="J219" s="2145">
        <f t="shared" si="49"/>
        <v>0</v>
      </c>
      <c r="K219" s="2145">
        <f t="shared" si="50"/>
        <v>0</v>
      </c>
      <c r="L219" s="2146"/>
      <c r="W219" s="1352">
        <f t="shared" si="54"/>
        <v>10</v>
      </c>
      <c r="X219" s="1367">
        <f>IF(W219=1,Cal!$AC$127,0)</f>
        <v>0</v>
      </c>
      <c r="Z219" s="1153"/>
      <c r="AC219" s="1375">
        <f t="shared" si="57"/>
        <v>0</v>
      </c>
      <c r="AD219" s="1373">
        <f t="shared" si="58"/>
        <v>0</v>
      </c>
      <c r="AE219" s="1373">
        <f t="shared" si="59"/>
        <v>0</v>
      </c>
      <c r="AF219" s="1373">
        <f t="shared" si="56"/>
        <v>0</v>
      </c>
      <c r="AG219" s="1371">
        <f t="shared" si="55"/>
        <v>0</v>
      </c>
      <c r="AH219" s="1359" t="e">
        <f>HLOOKUP($AH$13,liquidez,203,0)</f>
        <v>#N/A</v>
      </c>
      <c r="AJ219" s="1360">
        <f>Captura!AI289</f>
        <v>0</v>
      </c>
    </row>
    <row r="220" spans="1:36">
      <c r="A220" s="1118">
        <f t="shared" ca="1" si="45"/>
        <v>2</v>
      </c>
      <c r="B220" s="1101">
        <f t="shared" si="46"/>
        <v>0</v>
      </c>
      <c r="C220" s="2149">
        <f t="shared" si="47"/>
        <v>0</v>
      </c>
      <c r="D220" s="2150">
        <f t="shared" si="51"/>
        <v>0</v>
      </c>
      <c r="E220" s="2145">
        <f t="shared" si="52"/>
        <v>0</v>
      </c>
      <c r="F220" s="2145">
        <f t="shared" si="48"/>
        <v>0</v>
      </c>
      <c r="G220" s="2145">
        <f t="shared" si="53"/>
        <v>0</v>
      </c>
      <c r="H220" s="2145">
        <f>IF(K219&lt;0.01,0,IF(Adm!$S$4=Adm!$S$8,0,K219*Adm!$V$4))</f>
        <v>0</v>
      </c>
      <c r="I220" s="2145">
        <f>IF(K219&lt;0.01,0,IF($I$16&lt;&gt;"",E220*Adm!$O$8,0))</f>
        <v>0</v>
      </c>
      <c r="J220" s="2145">
        <f t="shared" si="49"/>
        <v>0</v>
      </c>
      <c r="K220" s="2145">
        <f t="shared" si="50"/>
        <v>0</v>
      </c>
      <c r="L220" s="2146"/>
      <c r="W220" s="1352">
        <f t="shared" si="54"/>
        <v>11</v>
      </c>
      <c r="X220" s="1367">
        <f>IF(W220=1,Cal!$AC$127,0)</f>
        <v>0</v>
      </c>
      <c r="Z220" s="1153"/>
      <c r="AC220" s="1375">
        <f t="shared" si="57"/>
        <v>0</v>
      </c>
      <c r="AD220" s="1373">
        <f t="shared" si="58"/>
        <v>0</v>
      </c>
      <c r="AE220" s="1373">
        <f t="shared" si="59"/>
        <v>0</v>
      </c>
      <c r="AF220" s="1373">
        <f t="shared" si="56"/>
        <v>0</v>
      </c>
      <c r="AG220" s="1371">
        <f t="shared" si="55"/>
        <v>0</v>
      </c>
      <c r="AH220" s="1359" t="e">
        <f>HLOOKUP($AH$13,liquidez,204,0)</f>
        <v>#N/A</v>
      </c>
      <c r="AJ220" s="1360">
        <f>Captura!AI290</f>
        <v>0</v>
      </c>
    </row>
    <row r="221" spans="1:36">
      <c r="A221" s="1118">
        <f t="shared" ca="1" si="45"/>
        <v>3</v>
      </c>
      <c r="B221" s="1101">
        <f t="shared" si="46"/>
        <v>0</v>
      </c>
      <c r="C221" s="2149">
        <f t="shared" si="47"/>
        <v>0</v>
      </c>
      <c r="D221" s="2150">
        <f t="shared" si="51"/>
        <v>0</v>
      </c>
      <c r="E221" s="2145">
        <f t="shared" si="52"/>
        <v>0</v>
      </c>
      <c r="F221" s="2145">
        <f t="shared" si="48"/>
        <v>0</v>
      </c>
      <c r="G221" s="2145">
        <f t="shared" si="53"/>
        <v>0</v>
      </c>
      <c r="H221" s="2145">
        <f>IF(K220&lt;0.01,0,IF(Adm!$S$4=Adm!$S$8,0,K220*Adm!$V$4))</f>
        <v>0</v>
      </c>
      <c r="I221" s="2145">
        <f>IF(K220&lt;0.01,0,IF($I$16&lt;&gt;"",E221*Adm!$O$8,0))</f>
        <v>0</v>
      </c>
      <c r="J221" s="2145">
        <f t="shared" si="49"/>
        <v>0</v>
      </c>
      <c r="K221" s="2145">
        <f t="shared" si="50"/>
        <v>0</v>
      </c>
      <c r="L221" s="2146"/>
      <c r="W221" s="1352">
        <f t="shared" si="54"/>
        <v>12</v>
      </c>
      <c r="X221" s="1367">
        <f>IF(W221=1,Cal!$AC$127,0)</f>
        <v>0</v>
      </c>
      <c r="Z221" s="1153"/>
      <c r="AC221" s="1375">
        <f t="shared" si="57"/>
        <v>0</v>
      </c>
      <c r="AD221" s="1373">
        <f t="shared" si="58"/>
        <v>0</v>
      </c>
      <c r="AE221" s="1373">
        <f t="shared" si="59"/>
        <v>0</v>
      </c>
      <c r="AF221" s="1373">
        <f t="shared" si="56"/>
        <v>0</v>
      </c>
      <c r="AG221" s="1371">
        <f t="shared" si="55"/>
        <v>0</v>
      </c>
      <c r="AH221" s="1359" t="e">
        <f>HLOOKUP($AH$13,liquidez,205,0)</f>
        <v>#N/A</v>
      </c>
      <c r="AJ221" s="1360">
        <f>Captura!AI291</f>
        <v>0</v>
      </c>
    </row>
    <row r="222" spans="1:36">
      <c r="A222" s="1118">
        <f t="shared" ca="1" si="45"/>
        <v>4</v>
      </c>
      <c r="B222" s="1101">
        <f t="shared" si="46"/>
        <v>0</v>
      </c>
      <c r="C222" s="2149">
        <f t="shared" si="47"/>
        <v>0</v>
      </c>
      <c r="D222" s="2150">
        <f t="shared" si="51"/>
        <v>0</v>
      </c>
      <c r="E222" s="2145">
        <f t="shared" si="52"/>
        <v>0</v>
      </c>
      <c r="F222" s="2145">
        <f t="shared" si="48"/>
        <v>0</v>
      </c>
      <c r="G222" s="2145">
        <f t="shared" si="53"/>
        <v>0</v>
      </c>
      <c r="H222" s="2145">
        <f>IF(K221&lt;0.01,0,IF(Adm!$S$4=Adm!$S$8,0,K221*Adm!$V$4))</f>
        <v>0</v>
      </c>
      <c r="I222" s="2145">
        <f>IF(K221&lt;0.01,0,IF($I$16&lt;&gt;"",E222*Adm!$O$8,0))</f>
        <v>0</v>
      </c>
      <c r="J222" s="2145">
        <f t="shared" si="49"/>
        <v>0</v>
      </c>
      <c r="K222" s="2145">
        <f t="shared" si="50"/>
        <v>0</v>
      </c>
      <c r="L222" s="2146"/>
      <c r="W222" s="1352">
        <f t="shared" si="54"/>
        <v>1</v>
      </c>
      <c r="X222" s="1367">
        <f>IF(W222=1,Cal!$AC$127,0)</f>
        <v>0</v>
      </c>
      <c r="Z222" s="1153"/>
      <c r="AC222" s="1375">
        <f t="shared" si="57"/>
        <v>0</v>
      </c>
      <c r="AD222" s="1373">
        <f t="shared" si="58"/>
        <v>0</v>
      </c>
      <c r="AE222" s="1373">
        <f t="shared" si="59"/>
        <v>0</v>
      </c>
      <c r="AF222" s="1373">
        <f t="shared" si="56"/>
        <v>0</v>
      </c>
      <c r="AG222" s="1371">
        <f t="shared" si="55"/>
        <v>0</v>
      </c>
      <c r="AH222" s="1359" t="e">
        <f>HLOOKUP($AH$13,liquidez,206,0)</f>
        <v>#N/A</v>
      </c>
      <c r="AJ222" s="1360">
        <f>Captura!AI292</f>
        <v>0</v>
      </c>
    </row>
    <row r="223" spans="1:36">
      <c r="A223" s="1118">
        <f t="shared" ca="1" si="45"/>
        <v>5</v>
      </c>
      <c r="B223" s="1101">
        <f t="shared" si="46"/>
        <v>0</v>
      </c>
      <c r="C223" s="2149">
        <f t="shared" si="47"/>
        <v>0</v>
      </c>
      <c r="D223" s="2150">
        <f t="shared" si="51"/>
        <v>0</v>
      </c>
      <c r="E223" s="2145">
        <f t="shared" si="52"/>
        <v>0</v>
      </c>
      <c r="F223" s="2145">
        <f t="shared" si="48"/>
        <v>0</v>
      </c>
      <c r="G223" s="2145">
        <f t="shared" si="53"/>
        <v>0</v>
      </c>
      <c r="H223" s="2145">
        <f>IF(K222&lt;0.01,0,IF(Adm!$S$4=Adm!$S$8,0,K222*Adm!$V$4))</f>
        <v>0</v>
      </c>
      <c r="I223" s="2145">
        <f>IF(K222&lt;0.01,0,IF($I$16&lt;&gt;"",E223*Adm!$O$8,0))</f>
        <v>0</v>
      </c>
      <c r="J223" s="2145">
        <f t="shared" si="49"/>
        <v>0</v>
      </c>
      <c r="K223" s="2145">
        <f t="shared" si="50"/>
        <v>0</v>
      </c>
      <c r="L223" s="2146"/>
      <c r="W223" s="1352">
        <f t="shared" si="54"/>
        <v>2</v>
      </c>
      <c r="X223" s="1367">
        <f>IF(W223=1,Cal!$AC$127,0)</f>
        <v>0</v>
      </c>
      <c r="Z223" s="1153"/>
      <c r="AC223" s="1375">
        <f t="shared" si="57"/>
        <v>0</v>
      </c>
      <c r="AD223" s="1373">
        <f t="shared" si="58"/>
        <v>0</v>
      </c>
      <c r="AE223" s="1373">
        <f t="shared" si="59"/>
        <v>0</v>
      </c>
      <c r="AF223" s="1373">
        <f t="shared" si="56"/>
        <v>0</v>
      </c>
      <c r="AG223" s="1371">
        <f t="shared" si="55"/>
        <v>0</v>
      </c>
      <c r="AH223" s="1359" t="e">
        <f>HLOOKUP($AH$13,liquidez,207,0)</f>
        <v>#N/A</v>
      </c>
      <c r="AJ223" s="1360">
        <f>Captura!AI293</f>
        <v>0</v>
      </c>
    </row>
    <row r="224" spans="1:36">
      <c r="A224" s="1118">
        <f t="shared" ca="1" si="45"/>
        <v>6</v>
      </c>
      <c r="B224" s="1101">
        <f t="shared" si="46"/>
        <v>0</v>
      </c>
      <c r="C224" s="2149">
        <f t="shared" si="47"/>
        <v>0</v>
      </c>
      <c r="D224" s="2150">
        <f t="shared" si="51"/>
        <v>0</v>
      </c>
      <c r="E224" s="2145">
        <f t="shared" si="52"/>
        <v>0</v>
      </c>
      <c r="F224" s="2145">
        <f t="shared" si="48"/>
        <v>0</v>
      </c>
      <c r="G224" s="2145">
        <f t="shared" si="53"/>
        <v>0</v>
      </c>
      <c r="H224" s="2145">
        <f>IF(K223&lt;0.01,0,IF(Adm!$S$4=Adm!$S$8,0,K223*Adm!$V$4))</f>
        <v>0</v>
      </c>
      <c r="I224" s="2145">
        <f>IF(K223&lt;0.01,0,IF($I$16&lt;&gt;"",E224*Adm!$O$8,0))</f>
        <v>0</v>
      </c>
      <c r="J224" s="2145">
        <f t="shared" si="49"/>
        <v>0</v>
      </c>
      <c r="K224" s="2145">
        <f t="shared" si="50"/>
        <v>0</v>
      </c>
      <c r="L224" s="2146"/>
      <c r="W224" s="1352">
        <f t="shared" si="54"/>
        <v>3</v>
      </c>
      <c r="X224" s="1367">
        <f>IF(W224=1,Cal!$AC$127,0)</f>
        <v>0</v>
      </c>
      <c r="Z224" s="1153"/>
      <c r="AC224" s="1375">
        <f t="shared" si="57"/>
        <v>0</v>
      </c>
      <c r="AD224" s="1373">
        <f t="shared" si="58"/>
        <v>0</v>
      </c>
      <c r="AE224" s="1373">
        <f t="shared" si="59"/>
        <v>0</v>
      </c>
      <c r="AF224" s="1373">
        <f t="shared" si="56"/>
        <v>0</v>
      </c>
      <c r="AG224" s="1371">
        <f t="shared" si="55"/>
        <v>0</v>
      </c>
      <c r="AH224" s="1359" t="e">
        <f>HLOOKUP($AH$13,liquidez,208,0)</f>
        <v>#N/A</v>
      </c>
      <c r="AJ224" s="1360">
        <f>Captura!AI294</f>
        <v>0</v>
      </c>
    </row>
    <row r="225" spans="1:36">
      <c r="A225" s="1118">
        <f t="shared" ca="1" si="45"/>
        <v>7</v>
      </c>
      <c r="B225" s="1101">
        <f t="shared" si="46"/>
        <v>0</v>
      </c>
      <c r="C225" s="2149">
        <f t="shared" si="47"/>
        <v>0</v>
      </c>
      <c r="D225" s="2150">
        <f t="shared" si="51"/>
        <v>0</v>
      </c>
      <c r="E225" s="2145">
        <f t="shared" si="52"/>
        <v>0</v>
      </c>
      <c r="F225" s="2145">
        <f t="shared" si="48"/>
        <v>0</v>
      </c>
      <c r="G225" s="2145">
        <f t="shared" si="53"/>
        <v>0</v>
      </c>
      <c r="H225" s="2145">
        <f>IF(K224&lt;0.01,0,IF(Adm!$S$4=Adm!$S$8,0,K224*Adm!$V$4))</f>
        <v>0</v>
      </c>
      <c r="I225" s="2145">
        <f>IF(K224&lt;0.01,0,IF($I$16&lt;&gt;"",E225*Adm!$O$8,0))</f>
        <v>0</v>
      </c>
      <c r="J225" s="2145">
        <f t="shared" si="49"/>
        <v>0</v>
      </c>
      <c r="K225" s="2145">
        <f t="shared" si="50"/>
        <v>0</v>
      </c>
      <c r="L225" s="2146"/>
      <c r="W225" s="1352">
        <f t="shared" si="54"/>
        <v>4</v>
      </c>
      <c r="X225" s="1367">
        <f>IF(W225=1,Cal!$AC$127,0)</f>
        <v>0</v>
      </c>
      <c r="Z225" s="1153"/>
      <c r="AC225" s="1375">
        <f t="shared" si="57"/>
        <v>0</v>
      </c>
      <c r="AD225" s="1373">
        <f t="shared" si="58"/>
        <v>0</v>
      </c>
      <c r="AE225" s="1373">
        <f t="shared" si="59"/>
        <v>0</v>
      </c>
      <c r="AF225" s="1373">
        <f t="shared" si="56"/>
        <v>0</v>
      </c>
      <c r="AG225" s="1371">
        <f t="shared" si="55"/>
        <v>0</v>
      </c>
      <c r="AH225" s="1359" t="e">
        <f>HLOOKUP($AH$13,liquidez,209,0)</f>
        <v>#N/A</v>
      </c>
      <c r="AJ225" s="1360">
        <f>Captura!AI295</f>
        <v>0</v>
      </c>
    </row>
    <row r="226" spans="1:36">
      <c r="A226" s="1118">
        <f t="shared" ca="1" si="45"/>
        <v>8</v>
      </c>
      <c r="B226" s="1101">
        <f t="shared" si="46"/>
        <v>0</v>
      </c>
      <c r="C226" s="2149">
        <f t="shared" si="47"/>
        <v>0</v>
      </c>
      <c r="D226" s="2150">
        <f t="shared" si="51"/>
        <v>0</v>
      </c>
      <c r="E226" s="2145">
        <f t="shared" si="52"/>
        <v>0</v>
      </c>
      <c r="F226" s="2145">
        <f t="shared" si="48"/>
        <v>0</v>
      </c>
      <c r="G226" s="2145">
        <f t="shared" si="53"/>
        <v>0</v>
      </c>
      <c r="H226" s="2145">
        <f>IF(K225&lt;0.01,0,IF(Adm!$S$4=Adm!$S$8,0,K225*Adm!$V$4))</f>
        <v>0</v>
      </c>
      <c r="I226" s="2145">
        <f>IF(K225&lt;0.01,0,IF($I$16&lt;&gt;"",E226*Adm!$O$8,0))</f>
        <v>0</v>
      </c>
      <c r="J226" s="2145">
        <f t="shared" si="49"/>
        <v>0</v>
      </c>
      <c r="K226" s="2145">
        <f t="shared" si="50"/>
        <v>0</v>
      </c>
      <c r="L226" s="2146"/>
      <c r="W226" s="1352">
        <f t="shared" si="54"/>
        <v>5</v>
      </c>
      <c r="X226" s="1367">
        <f>IF(W226=1,Cal!$AC$127,0)</f>
        <v>0</v>
      </c>
      <c r="Z226" s="1153"/>
      <c r="AC226" s="1375">
        <f t="shared" si="57"/>
        <v>0</v>
      </c>
      <c r="AD226" s="1373">
        <f t="shared" si="58"/>
        <v>0</v>
      </c>
      <c r="AE226" s="1373">
        <f t="shared" si="59"/>
        <v>0</v>
      </c>
      <c r="AF226" s="1373">
        <f t="shared" si="56"/>
        <v>0</v>
      </c>
      <c r="AG226" s="1371">
        <f t="shared" si="55"/>
        <v>0</v>
      </c>
      <c r="AH226" s="1359" t="e">
        <f>HLOOKUP($AH$13,liquidez,210,0)</f>
        <v>#N/A</v>
      </c>
      <c r="AJ226" s="1360">
        <f>Captura!AI296</f>
        <v>0</v>
      </c>
    </row>
    <row r="227" spans="1:36">
      <c r="A227" s="1118">
        <f t="shared" ca="1" si="45"/>
        <v>9</v>
      </c>
      <c r="B227" s="1101">
        <f t="shared" si="46"/>
        <v>0</v>
      </c>
      <c r="C227" s="2149">
        <f t="shared" si="47"/>
        <v>0</v>
      </c>
      <c r="D227" s="2150">
        <f t="shared" si="51"/>
        <v>0</v>
      </c>
      <c r="E227" s="2145">
        <f t="shared" si="52"/>
        <v>0</v>
      </c>
      <c r="F227" s="2145">
        <f t="shared" si="48"/>
        <v>0</v>
      </c>
      <c r="G227" s="2145">
        <f t="shared" si="53"/>
        <v>0</v>
      </c>
      <c r="H227" s="2145">
        <f>IF(K226&lt;0.01,0,IF(Adm!$S$4=Adm!$S$8,0,K226*Adm!$V$4))</f>
        <v>0</v>
      </c>
      <c r="I227" s="2145">
        <f>IF(K226&lt;0.01,0,IF($I$16&lt;&gt;"",E227*Adm!$O$8,0))</f>
        <v>0</v>
      </c>
      <c r="J227" s="2145">
        <f t="shared" si="49"/>
        <v>0</v>
      </c>
      <c r="K227" s="2145">
        <f t="shared" si="50"/>
        <v>0</v>
      </c>
      <c r="L227" s="2146"/>
      <c r="W227" s="1352">
        <f t="shared" si="54"/>
        <v>6</v>
      </c>
      <c r="X227" s="1367">
        <f>IF(W227=1,Cal!$AC$127,0)</f>
        <v>0</v>
      </c>
      <c r="Z227" s="1153"/>
      <c r="AC227" s="1375">
        <f t="shared" si="57"/>
        <v>0</v>
      </c>
      <c r="AD227" s="1373">
        <f t="shared" si="58"/>
        <v>0</v>
      </c>
      <c r="AE227" s="1373">
        <f t="shared" si="59"/>
        <v>0</v>
      </c>
      <c r="AF227" s="1373">
        <f t="shared" si="56"/>
        <v>0</v>
      </c>
      <c r="AG227" s="1371">
        <f t="shared" si="55"/>
        <v>0</v>
      </c>
      <c r="AH227" s="1359" t="e">
        <f>HLOOKUP($AH$13,liquidez,211,0)</f>
        <v>#N/A</v>
      </c>
      <c r="AJ227" s="1360">
        <f>Captura!AI297</f>
        <v>0</v>
      </c>
    </row>
    <row r="228" spans="1:36">
      <c r="A228" s="1118">
        <f t="shared" ca="1" si="45"/>
        <v>10</v>
      </c>
      <c r="B228" s="1101">
        <f t="shared" si="46"/>
        <v>0</v>
      </c>
      <c r="C228" s="2149">
        <f t="shared" si="47"/>
        <v>0</v>
      </c>
      <c r="D228" s="2150">
        <f t="shared" si="51"/>
        <v>0</v>
      </c>
      <c r="E228" s="2145">
        <f t="shared" si="52"/>
        <v>0</v>
      </c>
      <c r="F228" s="2145">
        <f t="shared" si="48"/>
        <v>0</v>
      </c>
      <c r="G228" s="2145">
        <f t="shared" si="53"/>
        <v>0</v>
      </c>
      <c r="H228" s="2145">
        <f>IF(K227&lt;0.01,0,IF(Adm!$S$4=Adm!$S$8,0,K227*Adm!$V$4))</f>
        <v>0</v>
      </c>
      <c r="I228" s="2145">
        <f>IF(K227&lt;0.01,0,IF($I$16&lt;&gt;"",E228*Adm!$O$8,0))</f>
        <v>0</v>
      </c>
      <c r="J228" s="2145">
        <f t="shared" si="49"/>
        <v>0</v>
      </c>
      <c r="K228" s="2145">
        <f t="shared" si="50"/>
        <v>0</v>
      </c>
      <c r="L228" s="2146"/>
      <c r="W228" s="1352">
        <f t="shared" si="54"/>
        <v>7</v>
      </c>
      <c r="X228" s="1367">
        <f>IF(W228=1,Cal!$AC$127,0)</f>
        <v>0</v>
      </c>
      <c r="Z228" s="1153"/>
      <c r="AC228" s="1375">
        <f t="shared" si="57"/>
        <v>0</v>
      </c>
      <c r="AD228" s="1373">
        <f t="shared" si="58"/>
        <v>0</v>
      </c>
      <c r="AE228" s="1373">
        <f t="shared" si="59"/>
        <v>0</v>
      </c>
      <c r="AF228" s="1373">
        <f t="shared" si="56"/>
        <v>0</v>
      </c>
      <c r="AG228" s="1371">
        <f t="shared" si="55"/>
        <v>0</v>
      </c>
      <c r="AH228" s="1359" t="e">
        <f>HLOOKUP($AH$13,liquidez,212,0)</f>
        <v>#N/A</v>
      </c>
      <c r="AJ228" s="1360">
        <f>Captura!AI298</f>
        <v>0</v>
      </c>
    </row>
    <row r="229" spans="1:36">
      <c r="A229" s="1118">
        <f t="shared" ca="1" si="45"/>
        <v>11</v>
      </c>
      <c r="B229" s="1101">
        <f t="shared" si="46"/>
        <v>0</v>
      </c>
      <c r="C229" s="2149">
        <f t="shared" si="47"/>
        <v>0</v>
      </c>
      <c r="D229" s="2150">
        <f t="shared" si="51"/>
        <v>0</v>
      </c>
      <c r="E229" s="2145">
        <f t="shared" si="52"/>
        <v>0</v>
      </c>
      <c r="F229" s="2145">
        <f t="shared" si="48"/>
        <v>0</v>
      </c>
      <c r="G229" s="2145">
        <f t="shared" si="53"/>
        <v>0</v>
      </c>
      <c r="H229" s="2145">
        <f>IF(K228&lt;0.01,0,IF(Adm!$S$4=Adm!$S$8,0,K228*Adm!$V$4))</f>
        <v>0</v>
      </c>
      <c r="I229" s="2145">
        <f>IF(K228&lt;0.01,0,IF($I$16&lt;&gt;"",E229*Adm!$O$8,0))</f>
        <v>0</v>
      </c>
      <c r="J229" s="2145">
        <f t="shared" si="49"/>
        <v>0</v>
      </c>
      <c r="K229" s="2145">
        <f t="shared" si="50"/>
        <v>0</v>
      </c>
      <c r="L229" s="2146"/>
      <c r="W229" s="1352">
        <f t="shared" si="54"/>
        <v>8</v>
      </c>
      <c r="X229" s="1367">
        <f>IF(W229=1,Cal!$AC$127,0)</f>
        <v>0</v>
      </c>
      <c r="Z229" s="1153"/>
      <c r="AC229" s="1375">
        <f t="shared" si="57"/>
        <v>0</v>
      </c>
      <c r="AD229" s="1373">
        <f t="shared" si="58"/>
        <v>0</v>
      </c>
      <c r="AE229" s="1373">
        <f t="shared" si="59"/>
        <v>0</v>
      </c>
      <c r="AF229" s="1373">
        <f t="shared" si="56"/>
        <v>0</v>
      </c>
      <c r="AG229" s="1371">
        <f t="shared" si="55"/>
        <v>0</v>
      </c>
      <c r="AH229" s="1359" t="e">
        <f>HLOOKUP($AH$13,liquidez,213,0)</f>
        <v>#N/A</v>
      </c>
      <c r="AJ229" s="1360">
        <f>Captura!AI299</f>
        <v>0</v>
      </c>
    </row>
    <row r="230" spans="1:36">
      <c r="A230" s="1118">
        <f t="shared" ca="1" si="45"/>
        <v>12</v>
      </c>
      <c r="B230" s="1101">
        <f t="shared" si="46"/>
        <v>0</v>
      </c>
      <c r="C230" s="2149">
        <f t="shared" si="47"/>
        <v>0</v>
      </c>
      <c r="D230" s="2150">
        <f t="shared" si="51"/>
        <v>0</v>
      </c>
      <c r="E230" s="2145">
        <f t="shared" si="52"/>
        <v>0</v>
      </c>
      <c r="F230" s="2145">
        <f t="shared" si="48"/>
        <v>0</v>
      </c>
      <c r="G230" s="2145">
        <f t="shared" si="53"/>
        <v>0</v>
      </c>
      <c r="H230" s="2145">
        <f>IF(K229&lt;0.01,0,IF(Adm!$S$4=Adm!$S$8,0,K229*Adm!$V$4))</f>
        <v>0</v>
      </c>
      <c r="I230" s="2145">
        <f>IF(K229&lt;0.01,0,IF($I$16&lt;&gt;"",E230*Adm!$O$8,0))</f>
        <v>0</v>
      </c>
      <c r="J230" s="2145">
        <f t="shared" si="49"/>
        <v>0</v>
      </c>
      <c r="K230" s="2145">
        <f t="shared" si="50"/>
        <v>0</v>
      </c>
      <c r="L230" s="2146"/>
      <c r="W230" s="1352">
        <f t="shared" si="54"/>
        <v>9</v>
      </c>
      <c r="X230" s="1367">
        <f>IF(W230=1,Cal!$AC$127,0)</f>
        <v>0</v>
      </c>
      <c r="Z230" s="1153"/>
      <c r="AC230" s="1375">
        <f t="shared" si="57"/>
        <v>0</v>
      </c>
      <c r="AD230" s="1373">
        <f t="shared" si="58"/>
        <v>0</v>
      </c>
      <c r="AE230" s="1373">
        <f t="shared" si="59"/>
        <v>0</v>
      </c>
      <c r="AF230" s="1373">
        <f t="shared" si="56"/>
        <v>0</v>
      </c>
      <c r="AG230" s="1371">
        <f t="shared" si="55"/>
        <v>0</v>
      </c>
      <c r="AH230" s="1359" t="e">
        <f>HLOOKUP($AH$13,liquidez,214,0)</f>
        <v>#N/A</v>
      </c>
      <c r="AJ230" s="1360">
        <f>Captura!AI300</f>
        <v>0</v>
      </c>
    </row>
    <row r="231" spans="1:36">
      <c r="A231" s="1118">
        <f t="shared" ca="1" si="45"/>
        <v>1</v>
      </c>
      <c r="B231" s="1101">
        <f t="shared" si="46"/>
        <v>0</v>
      </c>
      <c r="C231" s="2149">
        <f t="shared" si="47"/>
        <v>0</v>
      </c>
      <c r="D231" s="2150">
        <f t="shared" si="51"/>
        <v>0</v>
      </c>
      <c r="E231" s="2145">
        <f t="shared" si="52"/>
        <v>0</v>
      </c>
      <c r="F231" s="2145">
        <f t="shared" si="48"/>
        <v>0</v>
      </c>
      <c r="G231" s="2145">
        <f t="shared" si="53"/>
        <v>0</v>
      </c>
      <c r="H231" s="2145">
        <f>IF(K230&lt;0.01,0,IF(Adm!$S$4=Adm!$S$8,0,K230*Adm!$V$4))</f>
        <v>0</v>
      </c>
      <c r="I231" s="2145">
        <f>IF(K230&lt;0.01,0,IF($I$16&lt;&gt;"",E231*Adm!$O$8,0))</f>
        <v>0</v>
      </c>
      <c r="J231" s="2145">
        <f t="shared" si="49"/>
        <v>0</v>
      </c>
      <c r="K231" s="2145">
        <f t="shared" si="50"/>
        <v>0</v>
      </c>
      <c r="L231" s="2146"/>
      <c r="W231" s="1352">
        <f t="shared" si="54"/>
        <v>10</v>
      </c>
      <c r="X231" s="1367">
        <f>IF(W231=1,Cal!$AC$127,0)</f>
        <v>0</v>
      </c>
      <c r="Z231" s="1153"/>
      <c r="AC231" s="1375">
        <f t="shared" si="57"/>
        <v>0</v>
      </c>
      <c r="AD231" s="1373">
        <f t="shared" si="58"/>
        <v>0</v>
      </c>
      <c r="AE231" s="1373">
        <f t="shared" si="59"/>
        <v>0</v>
      </c>
      <c r="AF231" s="1373">
        <f t="shared" si="56"/>
        <v>0</v>
      </c>
      <c r="AG231" s="1371">
        <f t="shared" si="55"/>
        <v>0</v>
      </c>
      <c r="AH231" s="1359" t="e">
        <f>HLOOKUP($AH$13,liquidez,215,0)</f>
        <v>#N/A</v>
      </c>
      <c r="AJ231" s="1360">
        <f>Captura!AI301</f>
        <v>0</v>
      </c>
    </row>
    <row r="232" spans="1:36">
      <c r="A232" s="1118">
        <f t="shared" ca="1" si="45"/>
        <v>2</v>
      </c>
      <c r="B232" s="1101">
        <f t="shared" si="46"/>
        <v>0</v>
      </c>
      <c r="C232" s="2149">
        <f t="shared" si="47"/>
        <v>0</v>
      </c>
      <c r="D232" s="2150">
        <f t="shared" si="51"/>
        <v>0</v>
      </c>
      <c r="E232" s="2145">
        <f t="shared" si="52"/>
        <v>0</v>
      </c>
      <c r="F232" s="2145">
        <f t="shared" si="48"/>
        <v>0</v>
      </c>
      <c r="G232" s="2145">
        <f t="shared" si="53"/>
        <v>0</v>
      </c>
      <c r="H232" s="2145">
        <f>IF(K231&lt;0.01,0,IF(Adm!$S$4=Adm!$S$8,0,K231*Adm!$V$4))</f>
        <v>0</v>
      </c>
      <c r="I232" s="2145">
        <f>IF(K231&lt;0.01,0,IF($I$16&lt;&gt;"",E232*Adm!$O$8,0))</f>
        <v>0</v>
      </c>
      <c r="J232" s="2145">
        <f t="shared" si="49"/>
        <v>0</v>
      </c>
      <c r="K232" s="2145">
        <f t="shared" si="50"/>
        <v>0</v>
      </c>
      <c r="L232" s="2146"/>
      <c r="W232" s="1352">
        <f t="shared" si="54"/>
        <v>11</v>
      </c>
      <c r="X232" s="1367">
        <f>IF(W232=1,Cal!$AC$127,0)</f>
        <v>0</v>
      </c>
      <c r="Z232" s="1153"/>
      <c r="AC232" s="1375">
        <f t="shared" si="57"/>
        <v>0</v>
      </c>
      <c r="AD232" s="1373">
        <f t="shared" si="58"/>
        <v>0</v>
      </c>
      <c r="AE232" s="1373">
        <f t="shared" si="59"/>
        <v>0</v>
      </c>
      <c r="AF232" s="1373">
        <f t="shared" si="56"/>
        <v>0</v>
      </c>
      <c r="AG232" s="1371">
        <f t="shared" si="55"/>
        <v>0</v>
      </c>
      <c r="AH232" s="1359" t="e">
        <f>HLOOKUP($AH$13,liquidez,216,0)</f>
        <v>#N/A</v>
      </c>
      <c r="AJ232" s="1360">
        <f>Captura!AI302</f>
        <v>0</v>
      </c>
    </row>
    <row r="233" spans="1:36">
      <c r="A233" s="1118">
        <f t="shared" ca="1" si="45"/>
        <v>3</v>
      </c>
      <c r="B233" s="1101">
        <f t="shared" si="46"/>
        <v>0</v>
      </c>
      <c r="C233" s="2149">
        <f t="shared" si="47"/>
        <v>0</v>
      </c>
      <c r="D233" s="2150">
        <f t="shared" si="51"/>
        <v>0</v>
      </c>
      <c r="E233" s="2145">
        <f t="shared" si="52"/>
        <v>0</v>
      </c>
      <c r="F233" s="2145">
        <f t="shared" si="48"/>
        <v>0</v>
      </c>
      <c r="G233" s="2145">
        <f t="shared" si="53"/>
        <v>0</v>
      </c>
      <c r="H233" s="2145">
        <f>IF(K232&lt;0.01,0,IF(Adm!$S$4=Adm!$S$8,0,K232*Adm!$V$4))</f>
        <v>0</v>
      </c>
      <c r="I233" s="2145">
        <f>IF(K232&lt;0.01,0,IF($I$16&lt;&gt;"",E233*Adm!$O$8,0))</f>
        <v>0</v>
      </c>
      <c r="J233" s="2145">
        <f t="shared" si="49"/>
        <v>0</v>
      </c>
      <c r="K233" s="2145">
        <f t="shared" si="50"/>
        <v>0</v>
      </c>
      <c r="L233" s="2146"/>
      <c r="W233" s="1352">
        <f t="shared" si="54"/>
        <v>12</v>
      </c>
      <c r="X233" s="1367">
        <f>IF(W233=1,Cal!$AC$127,0)</f>
        <v>0</v>
      </c>
      <c r="Z233" s="1153"/>
      <c r="AC233" s="1375">
        <f t="shared" si="57"/>
        <v>0</v>
      </c>
      <c r="AD233" s="1373">
        <f t="shared" si="58"/>
        <v>0</v>
      </c>
      <c r="AE233" s="1373">
        <f t="shared" si="59"/>
        <v>0</v>
      </c>
      <c r="AF233" s="1373">
        <f t="shared" si="56"/>
        <v>0</v>
      </c>
      <c r="AG233" s="1371">
        <f t="shared" si="55"/>
        <v>0</v>
      </c>
      <c r="AH233" s="1359" t="e">
        <f>HLOOKUP($AH$13,liquidez,217,0)</f>
        <v>#N/A</v>
      </c>
      <c r="AJ233" s="1360">
        <f>Captura!AI303</f>
        <v>0</v>
      </c>
    </row>
    <row r="234" spans="1:36">
      <c r="A234" s="1118">
        <f t="shared" ca="1" si="45"/>
        <v>4</v>
      </c>
      <c r="B234" s="1101">
        <f t="shared" si="46"/>
        <v>0</v>
      </c>
      <c r="C234" s="2149">
        <f t="shared" si="47"/>
        <v>0</v>
      </c>
      <c r="D234" s="2150">
        <f t="shared" si="51"/>
        <v>0</v>
      </c>
      <c r="E234" s="2145">
        <f t="shared" si="52"/>
        <v>0</v>
      </c>
      <c r="F234" s="2145">
        <f t="shared" si="48"/>
        <v>0</v>
      </c>
      <c r="G234" s="2145">
        <f t="shared" si="53"/>
        <v>0</v>
      </c>
      <c r="H234" s="2145">
        <f>IF(K233&lt;0.01,0,IF(Adm!$S$4=Adm!$S$8,0,K233*Adm!$V$4))</f>
        <v>0</v>
      </c>
      <c r="I234" s="2145">
        <f>IF(K233&lt;0.01,0,IF($I$16&lt;&gt;"",E234*Adm!$O$8,0))</f>
        <v>0</v>
      </c>
      <c r="J234" s="2145">
        <f t="shared" si="49"/>
        <v>0</v>
      </c>
      <c r="K234" s="2145">
        <f t="shared" si="50"/>
        <v>0</v>
      </c>
      <c r="L234" s="2146"/>
      <c r="W234" s="1352">
        <f t="shared" si="54"/>
        <v>1</v>
      </c>
      <c r="X234" s="1367">
        <f>IF(W234=1,Cal!$AC$127,0)</f>
        <v>0</v>
      </c>
      <c r="Z234" s="1153"/>
      <c r="AC234" s="1375">
        <f t="shared" si="57"/>
        <v>0</v>
      </c>
      <c r="AD234" s="1373">
        <f t="shared" si="58"/>
        <v>0</v>
      </c>
      <c r="AE234" s="1373">
        <f t="shared" si="59"/>
        <v>0</v>
      </c>
      <c r="AF234" s="1373">
        <f t="shared" si="56"/>
        <v>0</v>
      </c>
      <c r="AG234" s="1371">
        <f t="shared" si="55"/>
        <v>0</v>
      </c>
      <c r="AH234" s="1359" t="e">
        <f>HLOOKUP($AH$13,liquidez,218,0)</f>
        <v>#N/A</v>
      </c>
      <c r="AJ234" s="1360">
        <f>Captura!AI304</f>
        <v>0</v>
      </c>
    </row>
    <row r="235" spans="1:36">
      <c r="A235" s="1118">
        <f t="shared" ca="1" si="45"/>
        <v>5</v>
      </c>
      <c r="B235" s="1101">
        <f t="shared" si="46"/>
        <v>0</v>
      </c>
      <c r="C235" s="2149">
        <f t="shared" si="47"/>
        <v>0</v>
      </c>
      <c r="D235" s="2150">
        <f t="shared" si="51"/>
        <v>0</v>
      </c>
      <c r="E235" s="2145">
        <f t="shared" si="52"/>
        <v>0</v>
      </c>
      <c r="F235" s="2145">
        <f t="shared" si="48"/>
        <v>0</v>
      </c>
      <c r="G235" s="2145">
        <f t="shared" si="53"/>
        <v>0</v>
      </c>
      <c r="H235" s="2145">
        <f>IF(K234&lt;0.01,0,IF(Adm!$S$4=Adm!$S$8,0,K234*Adm!$V$4))</f>
        <v>0</v>
      </c>
      <c r="I235" s="2145">
        <f>IF(K234&lt;0.01,0,IF($I$16&lt;&gt;"",E235*Adm!$O$8,0))</f>
        <v>0</v>
      </c>
      <c r="J235" s="2145">
        <f t="shared" si="49"/>
        <v>0</v>
      </c>
      <c r="K235" s="2145">
        <f t="shared" si="50"/>
        <v>0</v>
      </c>
      <c r="L235" s="2146"/>
      <c r="W235" s="1352">
        <f t="shared" si="54"/>
        <v>2</v>
      </c>
      <c r="X235" s="1367">
        <f>IF(W235=1,Cal!$AC$127,0)</f>
        <v>0</v>
      </c>
      <c r="Z235" s="1153"/>
      <c r="AC235" s="1375">
        <f t="shared" si="57"/>
        <v>0</v>
      </c>
      <c r="AD235" s="1373">
        <f t="shared" si="58"/>
        <v>0</v>
      </c>
      <c r="AE235" s="1373">
        <f t="shared" si="59"/>
        <v>0</v>
      </c>
      <c r="AF235" s="1373">
        <f t="shared" si="56"/>
        <v>0</v>
      </c>
      <c r="AG235" s="1371">
        <f t="shared" si="55"/>
        <v>0</v>
      </c>
      <c r="AH235" s="1359" t="e">
        <f>HLOOKUP($AH$13,liquidez,219,0)</f>
        <v>#N/A</v>
      </c>
      <c r="AJ235" s="1360">
        <f>Captura!AI305</f>
        <v>0</v>
      </c>
    </row>
    <row r="236" spans="1:36">
      <c r="A236" s="1118">
        <f t="shared" ca="1" si="45"/>
        <v>6</v>
      </c>
      <c r="B236" s="1101">
        <f t="shared" si="46"/>
        <v>0</v>
      </c>
      <c r="C236" s="2149">
        <f t="shared" si="47"/>
        <v>0</v>
      </c>
      <c r="D236" s="2150">
        <f t="shared" si="51"/>
        <v>0</v>
      </c>
      <c r="E236" s="2145">
        <f t="shared" si="52"/>
        <v>0</v>
      </c>
      <c r="F236" s="2145">
        <f t="shared" si="48"/>
        <v>0</v>
      </c>
      <c r="G236" s="2145">
        <f t="shared" si="53"/>
        <v>0</v>
      </c>
      <c r="H236" s="2145">
        <f>IF(K235&lt;0.01,0,IF(Adm!$S$4=Adm!$S$8,0,K235*Adm!$V$4))</f>
        <v>0</v>
      </c>
      <c r="I236" s="2145">
        <f>IF(K235&lt;0.01,0,IF($I$16&lt;&gt;"",E236*Adm!$O$8,0))</f>
        <v>0</v>
      </c>
      <c r="J236" s="2145">
        <f t="shared" si="49"/>
        <v>0</v>
      </c>
      <c r="K236" s="2145">
        <f t="shared" si="50"/>
        <v>0</v>
      </c>
      <c r="L236" s="2146"/>
      <c r="W236" s="1352">
        <f t="shared" si="54"/>
        <v>3</v>
      </c>
      <c r="X236" s="1367">
        <f>IF(W236=1,Cal!$AC$127,0)</f>
        <v>0</v>
      </c>
      <c r="Z236" s="1153"/>
      <c r="AC236" s="1375">
        <f t="shared" si="57"/>
        <v>0</v>
      </c>
      <c r="AD236" s="1373">
        <f t="shared" si="58"/>
        <v>0</v>
      </c>
      <c r="AE236" s="1373">
        <f t="shared" si="59"/>
        <v>0</v>
      </c>
      <c r="AF236" s="1373">
        <f t="shared" si="56"/>
        <v>0</v>
      </c>
      <c r="AG236" s="1371">
        <f t="shared" si="55"/>
        <v>0</v>
      </c>
      <c r="AH236" s="1359" t="e">
        <f>HLOOKUP($AH$13,liquidez,220,0)</f>
        <v>#N/A</v>
      </c>
      <c r="AJ236" s="1360">
        <f>Captura!AI306</f>
        <v>0</v>
      </c>
    </row>
    <row r="237" spans="1:36">
      <c r="A237" s="1118">
        <f t="shared" ca="1" si="45"/>
        <v>7</v>
      </c>
      <c r="B237" s="1101">
        <f t="shared" si="46"/>
        <v>0</v>
      </c>
      <c r="C237" s="2149">
        <f t="shared" si="47"/>
        <v>0</v>
      </c>
      <c r="D237" s="2150">
        <f t="shared" si="51"/>
        <v>0</v>
      </c>
      <c r="E237" s="2145">
        <f t="shared" si="52"/>
        <v>0</v>
      </c>
      <c r="F237" s="2145">
        <f t="shared" si="48"/>
        <v>0</v>
      </c>
      <c r="G237" s="2145">
        <f t="shared" si="53"/>
        <v>0</v>
      </c>
      <c r="H237" s="2145">
        <f>IF(K236&lt;0.01,0,IF(Adm!$S$4=Adm!$S$8,0,K236*Adm!$V$4))</f>
        <v>0</v>
      </c>
      <c r="I237" s="2145">
        <f>IF(K236&lt;0.01,0,IF($I$16&lt;&gt;"",E237*Adm!$O$8,0))</f>
        <v>0</v>
      </c>
      <c r="J237" s="2145">
        <f t="shared" si="49"/>
        <v>0</v>
      </c>
      <c r="K237" s="2145">
        <f t="shared" si="50"/>
        <v>0</v>
      </c>
      <c r="L237" s="2146"/>
      <c r="W237" s="1352">
        <f t="shared" si="54"/>
        <v>4</v>
      </c>
      <c r="X237" s="1367">
        <f>IF(W237=1,Cal!$AC$127,0)</f>
        <v>0</v>
      </c>
      <c r="Z237" s="1153"/>
      <c r="AC237" s="1375">
        <f t="shared" si="57"/>
        <v>0</v>
      </c>
      <c r="AD237" s="1373">
        <f t="shared" si="58"/>
        <v>0</v>
      </c>
      <c r="AE237" s="1373">
        <f t="shared" si="59"/>
        <v>0</v>
      </c>
      <c r="AF237" s="1373">
        <f t="shared" si="56"/>
        <v>0</v>
      </c>
      <c r="AG237" s="1371">
        <f t="shared" si="55"/>
        <v>0</v>
      </c>
      <c r="AH237" s="1359" t="e">
        <f>HLOOKUP($AH$13,liquidez,221,0)</f>
        <v>#N/A</v>
      </c>
      <c r="AJ237" s="1360">
        <f>Captura!AI307</f>
        <v>0</v>
      </c>
    </row>
    <row r="238" spans="1:36">
      <c r="A238" s="1118">
        <f t="shared" ca="1" si="45"/>
        <v>8</v>
      </c>
      <c r="B238" s="1101">
        <f t="shared" si="46"/>
        <v>0</v>
      </c>
      <c r="C238" s="2149">
        <f t="shared" si="47"/>
        <v>0</v>
      </c>
      <c r="D238" s="2150">
        <f t="shared" si="51"/>
        <v>0</v>
      </c>
      <c r="E238" s="2145">
        <f t="shared" si="52"/>
        <v>0</v>
      </c>
      <c r="F238" s="2145">
        <f t="shared" si="48"/>
        <v>0</v>
      </c>
      <c r="G238" s="2145">
        <f t="shared" si="53"/>
        <v>0</v>
      </c>
      <c r="H238" s="2145">
        <f>IF(K237&lt;0.01,0,IF(Adm!$S$4=Adm!$S$8,0,K237*Adm!$V$4))</f>
        <v>0</v>
      </c>
      <c r="I238" s="2145">
        <f>IF(K237&lt;0.01,0,IF($I$16&lt;&gt;"",E238*Adm!$O$8,0))</f>
        <v>0</v>
      </c>
      <c r="J238" s="2145">
        <f t="shared" si="49"/>
        <v>0</v>
      </c>
      <c r="K238" s="2145">
        <f t="shared" si="50"/>
        <v>0</v>
      </c>
      <c r="L238" s="2146"/>
      <c r="W238" s="1352">
        <f t="shared" si="54"/>
        <v>5</v>
      </c>
      <c r="X238" s="1367">
        <f>IF(W238=1,Cal!$AC$127,0)</f>
        <v>0</v>
      </c>
      <c r="Z238" s="1153"/>
      <c r="AC238" s="1375">
        <f t="shared" si="57"/>
        <v>0</v>
      </c>
      <c r="AD238" s="1373">
        <f t="shared" si="58"/>
        <v>0</v>
      </c>
      <c r="AE238" s="1373">
        <f t="shared" si="59"/>
        <v>0</v>
      </c>
      <c r="AF238" s="1373">
        <f t="shared" si="56"/>
        <v>0</v>
      </c>
      <c r="AG238" s="1371">
        <f t="shared" si="55"/>
        <v>0</v>
      </c>
      <c r="AH238" s="1359" t="e">
        <f>HLOOKUP($AH$13,liquidez,222,0)</f>
        <v>#N/A</v>
      </c>
      <c r="AJ238" s="1360">
        <f>Captura!AI308</f>
        <v>0</v>
      </c>
    </row>
    <row r="239" spans="1:36">
      <c r="A239" s="1118">
        <f t="shared" ca="1" si="45"/>
        <v>9</v>
      </c>
      <c r="B239" s="1101">
        <f t="shared" si="46"/>
        <v>0</v>
      </c>
      <c r="C239" s="2149">
        <f t="shared" si="47"/>
        <v>0</v>
      </c>
      <c r="D239" s="2150">
        <f t="shared" si="51"/>
        <v>0</v>
      </c>
      <c r="E239" s="2145">
        <f t="shared" si="52"/>
        <v>0</v>
      </c>
      <c r="F239" s="2145">
        <f t="shared" si="48"/>
        <v>0</v>
      </c>
      <c r="G239" s="2145">
        <f t="shared" si="53"/>
        <v>0</v>
      </c>
      <c r="H239" s="2145">
        <f>IF(K238&lt;0.01,0,IF(Adm!$S$4=Adm!$S$8,0,K238*Adm!$V$4))</f>
        <v>0</v>
      </c>
      <c r="I239" s="2145">
        <f>IF(K238&lt;0.01,0,IF($I$16&lt;&gt;"",E239*Adm!$O$8,0))</f>
        <v>0</v>
      </c>
      <c r="J239" s="2145">
        <f t="shared" si="49"/>
        <v>0</v>
      </c>
      <c r="K239" s="2145">
        <f t="shared" si="50"/>
        <v>0</v>
      </c>
      <c r="L239" s="2146"/>
      <c r="W239" s="1352">
        <f t="shared" si="54"/>
        <v>6</v>
      </c>
      <c r="X239" s="1367">
        <f>IF(W239=1,Cal!$AC$127,0)</f>
        <v>0</v>
      </c>
      <c r="Z239" s="1153"/>
      <c r="AC239" s="1375">
        <f t="shared" si="57"/>
        <v>0</v>
      </c>
      <c r="AD239" s="1373">
        <f t="shared" si="58"/>
        <v>0</v>
      </c>
      <c r="AE239" s="1373">
        <f t="shared" si="59"/>
        <v>0</v>
      </c>
      <c r="AF239" s="1373">
        <f t="shared" si="56"/>
        <v>0</v>
      </c>
      <c r="AG239" s="1371">
        <f t="shared" si="55"/>
        <v>0</v>
      </c>
      <c r="AH239" s="1359" t="e">
        <f>HLOOKUP($AH$13,liquidez,223,0)</f>
        <v>#N/A</v>
      </c>
      <c r="AJ239" s="1360">
        <f>Captura!AI309</f>
        <v>0</v>
      </c>
    </row>
    <row r="240" spans="1:36">
      <c r="A240" s="1118">
        <f t="shared" ca="1" si="45"/>
        <v>10</v>
      </c>
      <c r="B240" s="1101">
        <f t="shared" si="46"/>
        <v>0</v>
      </c>
      <c r="C240" s="2149">
        <f t="shared" si="47"/>
        <v>0</v>
      </c>
      <c r="D240" s="2150">
        <f t="shared" si="51"/>
        <v>0</v>
      </c>
      <c r="E240" s="2145">
        <f t="shared" si="52"/>
        <v>0</v>
      </c>
      <c r="F240" s="2145">
        <f t="shared" si="48"/>
        <v>0</v>
      </c>
      <c r="G240" s="2145">
        <f t="shared" si="53"/>
        <v>0</v>
      </c>
      <c r="H240" s="2145">
        <f>IF(K239&lt;0.01,0,IF(Adm!$S$4=Adm!$S$8,0,K239*Adm!$V$4))</f>
        <v>0</v>
      </c>
      <c r="I240" s="2145">
        <f>IF(K239&lt;0.01,0,IF($I$16&lt;&gt;"",E240*Adm!$O$8,0))</f>
        <v>0</v>
      </c>
      <c r="J240" s="2145">
        <f t="shared" si="49"/>
        <v>0</v>
      </c>
      <c r="K240" s="2145">
        <f t="shared" si="50"/>
        <v>0</v>
      </c>
      <c r="L240" s="2146"/>
      <c r="W240" s="1352">
        <f t="shared" si="54"/>
        <v>7</v>
      </c>
      <c r="X240" s="1367">
        <f>IF(W240=1,Cal!$AC$127,0)</f>
        <v>0</v>
      </c>
      <c r="Z240" s="1153"/>
      <c r="AC240" s="1375">
        <f t="shared" si="57"/>
        <v>0</v>
      </c>
      <c r="AD240" s="1373">
        <f t="shared" si="58"/>
        <v>0</v>
      </c>
      <c r="AE240" s="1373">
        <f t="shared" si="59"/>
        <v>0</v>
      </c>
      <c r="AF240" s="1373">
        <f t="shared" si="56"/>
        <v>0</v>
      </c>
      <c r="AG240" s="1371">
        <f t="shared" si="55"/>
        <v>0</v>
      </c>
      <c r="AH240" s="1359" t="e">
        <f>HLOOKUP($AH$13,liquidez,224,0)</f>
        <v>#N/A</v>
      </c>
      <c r="AJ240" s="1360">
        <f>Captura!AI310</f>
        <v>0</v>
      </c>
    </row>
    <row r="241" spans="1:36">
      <c r="A241" s="1118">
        <f t="shared" ca="1" si="45"/>
        <v>11</v>
      </c>
      <c r="B241" s="1101">
        <f t="shared" si="46"/>
        <v>0</v>
      </c>
      <c r="C241" s="2149">
        <f t="shared" si="47"/>
        <v>0</v>
      </c>
      <c r="D241" s="2150">
        <f t="shared" si="51"/>
        <v>0</v>
      </c>
      <c r="E241" s="2145">
        <f t="shared" si="52"/>
        <v>0</v>
      </c>
      <c r="F241" s="2145">
        <f t="shared" si="48"/>
        <v>0</v>
      </c>
      <c r="G241" s="2145">
        <f t="shared" si="53"/>
        <v>0</v>
      </c>
      <c r="H241" s="2145">
        <f>IF(K240&lt;0.01,0,IF(Adm!$S$4=Adm!$S$8,0,K240*Adm!$V$4))</f>
        <v>0</v>
      </c>
      <c r="I241" s="2145">
        <f>IF(K240&lt;0.01,0,IF($I$16&lt;&gt;"",E241*Adm!$O$8,0))</f>
        <v>0</v>
      </c>
      <c r="J241" s="2145">
        <f t="shared" si="49"/>
        <v>0</v>
      </c>
      <c r="K241" s="2145">
        <f t="shared" si="50"/>
        <v>0</v>
      </c>
      <c r="L241" s="2146"/>
      <c r="W241" s="1352">
        <f t="shared" si="54"/>
        <v>8</v>
      </c>
      <c r="X241" s="1367">
        <f>IF(W241=1,Cal!$AC$127,0)</f>
        <v>0</v>
      </c>
      <c r="Z241" s="1153"/>
      <c r="AC241" s="1375">
        <f t="shared" si="57"/>
        <v>0</v>
      </c>
      <c r="AD241" s="1373">
        <f t="shared" si="58"/>
        <v>0</v>
      </c>
      <c r="AE241" s="1373">
        <f t="shared" si="59"/>
        <v>0</v>
      </c>
      <c r="AF241" s="1373">
        <f t="shared" si="56"/>
        <v>0</v>
      </c>
      <c r="AG241" s="1371">
        <f t="shared" si="55"/>
        <v>0</v>
      </c>
      <c r="AH241" s="1359" t="e">
        <f>HLOOKUP($AH$13,liquidez,225,0)</f>
        <v>#N/A</v>
      </c>
      <c r="AJ241" s="1360">
        <f>Captura!AI311</f>
        <v>0</v>
      </c>
    </row>
    <row r="242" spans="1:36">
      <c r="A242" s="1118">
        <f t="shared" ca="1" si="45"/>
        <v>12</v>
      </c>
      <c r="B242" s="1101">
        <f t="shared" si="46"/>
        <v>0</v>
      </c>
      <c r="C242" s="2149">
        <f t="shared" si="47"/>
        <v>0</v>
      </c>
      <c r="D242" s="2150">
        <f t="shared" si="51"/>
        <v>0</v>
      </c>
      <c r="E242" s="2145">
        <f t="shared" si="52"/>
        <v>0</v>
      </c>
      <c r="F242" s="2145">
        <f t="shared" si="48"/>
        <v>0</v>
      </c>
      <c r="G242" s="2145">
        <f t="shared" si="53"/>
        <v>0</v>
      </c>
      <c r="H242" s="2145">
        <f>IF(K241&lt;0.01,0,IF(Adm!$S$4=Adm!$S$8,0,K241*Adm!$V$4))</f>
        <v>0</v>
      </c>
      <c r="I242" s="2145">
        <f>IF(K241&lt;0.01,0,IF($I$16&lt;&gt;"",E242*Adm!$O$8,0))</f>
        <v>0</v>
      </c>
      <c r="J242" s="2145">
        <f t="shared" si="49"/>
        <v>0</v>
      </c>
      <c r="K242" s="2145">
        <f t="shared" si="50"/>
        <v>0</v>
      </c>
      <c r="L242" s="2146"/>
      <c r="W242" s="1352">
        <f t="shared" si="54"/>
        <v>9</v>
      </c>
      <c r="X242" s="1367">
        <f>IF(W242=1,Cal!$AC$127,0)</f>
        <v>0</v>
      </c>
      <c r="Z242" s="1153"/>
      <c r="AC242" s="1375">
        <f t="shared" si="57"/>
        <v>0</v>
      </c>
      <c r="AD242" s="1373">
        <f t="shared" si="58"/>
        <v>0</v>
      </c>
      <c r="AE242" s="1373">
        <f t="shared" si="59"/>
        <v>0</v>
      </c>
      <c r="AF242" s="1373">
        <f t="shared" si="56"/>
        <v>0</v>
      </c>
      <c r="AG242" s="1371">
        <f t="shared" si="55"/>
        <v>0</v>
      </c>
      <c r="AH242" s="1359" t="e">
        <f>HLOOKUP($AH$13,liquidez,226,0)</f>
        <v>#N/A</v>
      </c>
      <c r="AJ242" s="1360">
        <f>Captura!AI312</f>
        <v>0</v>
      </c>
    </row>
    <row r="243" spans="1:36">
      <c r="A243" s="1118">
        <f t="shared" ca="1" si="45"/>
        <v>1</v>
      </c>
      <c r="B243" s="1101">
        <f t="shared" si="46"/>
        <v>0</v>
      </c>
      <c r="C243" s="2149">
        <f t="shared" si="47"/>
        <v>0</v>
      </c>
      <c r="D243" s="2150">
        <f t="shared" si="51"/>
        <v>0</v>
      </c>
      <c r="E243" s="2145">
        <f t="shared" si="52"/>
        <v>0</v>
      </c>
      <c r="F243" s="2145">
        <f t="shared" si="48"/>
        <v>0</v>
      </c>
      <c r="G243" s="2145">
        <f t="shared" si="53"/>
        <v>0</v>
      </c>
      <c r="H243" s="2145">
        <f>IF(K242&lt;0.01,0,IF(Adm!$S$4=Adm!$S$8,0,K242*Adm!$V$4))</f>
        <v>0</v>
      </c>
      <c r="I243" s="2145">
        <f>IF(K242&lt;0.01,0,IF($I$16&lt;&gt;"",E243*Adm!$O$8,0))</f>
        <v>0</v>
      </c>
      <c r="J243" s="2145">
        <f t="shared" si="49"/>
        <v>0</v>
      </c>
      <c r="K243" s="2145">
        <f t="shared" si="50"/>
        <v>0</v>
      </c>
      <c r="L243" s="2146"/>
      <c r="W243" s="1352">
        <f t="shared" si="54"/>
        <v>10</v>
      </c>
      <c r="X243" s="1367">
        <f>IF(W243=1,Cal!$AC$127,0)</f>
        <v>0</v>
      </c>
      <c r="Z243" s="1153"/>
      <c r="AC243" s="1375">
        <f t="shared" si="57"/>
        <v>0</v>
      </c>
      <c r="AD243" s="1373">
        <f t="shared" si="58"/>
        <v>0</v>
      </c>
      <c r="AE243" s="1373">
        <f t="shared" si="59"/>
        <v>0</v>
      </c>
      <c r="AF243" s="1373">
        <f t="shared" si="56"/>
        <v>0</v>
      </c>
      <c r="AG243" s="1371">
        <f t="shared" si="55"/>
        <v>0</v>
      </c>
      <c r="AH243" s="1359" t="e">
        <f>HLOOKUP($AH$13,liquidez,227,0)</f>
        <v>#N/A</v>
      </c>
      <c r="AJ243" s="1360">
        <f>Captura!AI313</f>
        <v>0</v>
      </c>
    </row>
    <row r="244" spans="1:36">
      <c r="A244" s="1118">
        <f t="shared" ca="1" si="45"/>
        <v>2</v>
      </c>
      <c r="B244" s="1101">
        <f t="shared" si="46"/>
        <v>0</v>
      </c>
      <c r="C244" s="2149">
        <f t="shared" si="47"/>
        <v>0</v>
      </c>
      <c r="D244" s="2150">
        <f t="shared" si="51"/>
        <v>0</v>
      </c>
      <c r="E244" s="2145">
        <f t="shared" si="52"/>
        <v>0</v>
      </c>
      <c r="F244" s="2145">
        <f t="shared" si="48"/>
        <v>0</v>
      </c>
      <c r="G244" s="2145">
        <f t="shared" si="53"/>
        <v>0</v>
      </c>
      <c r="H244" s="2145">
        <f>IF(K243&lt;0.01,0,IF(Adm!$S$4=Adm!$S$8,0,K243*Adm!$V$4))</f>
        <v>0</v>
      </c>
      <c r="I244" s="2145">
        <f>IF(K243&lt;0.01,0,IF($I$16&lt;&gt;"",E244*Adm!$O$8,0))</f>
        <v>0</v>
      </c>
      <c r="J244" s="2145">
        <f t="shared" si="49"/>
        <v>0</v>
      </c>
      <c r="K244" s="2145">
        <f t="shared" si="50"/>
        <v>0</v>
      </c>
      <c r="L244" s="2146"/>
      <c r="W244" s="1352">
        <f t="shared" si="54"/>
        <v>11</v>
      </c>
      <c r="X244" s="1367">
        <f>IF(W244=1,Cal!$AC$127,0)</f>
        <v>0</v>
      </c>
      <c r="Z244" s="1153"/>
      <c r="AC244" s="1375">
        <f t="shared" si="57"/>
        <v>0</v>
      </c>
      <c r="AD244" s="1373">
        <f t="shared" si="58"/>
        <v>0</v>
      </c>
      <c r="AE244" s="1373">
        <f t="shared" si="59"/>
        <v>0</v>
      </c>
      <c r="AF244" s="1373">
        <f t="shared" si="56"/>
        <v>0</v>
      </c>
      <c r="AG244" s="1371">
        <f t="shared" si="55"/>
        <v>0</v>
      </c>
      <c r="AH244" s="1359" t="e">
        <f>HLOOKUP($AH$13,liquidez,228,0)</f>
        <v>#N/A</v>
      </c>
      <c r="AJ244" s="1360">
        <f>Captura!AI314</f>
        <v>0</v>
      </c>
    </row>
    <row r="245" spans="1:36">
      <c r="A245" s="1118">
        <f t="shared" ca="1" si="45"/>
        <v>3</v>
      </c>
      <c r="B245" s="1101">
        <f t="shared" si="46"/>
        <v>0</v>
      </c>
      <c r="C245" s="2149">
        <f t="shared" si="47"/>
        <v>0</v>
      </c>
      <c r="D245" s="2150">
        <f t="shared" si="51"/>
        <v>0</v>
      </c>
      <c r="E245" s="2145">
        <f t="shared" si="52"/>
        <v>0</v>
      </c>
      <c r="F245" s="2145">
        <f t="shared" si="48"/>
        <v>0</v>
      </c>
      <c r="G245" s="2145">
        <f t="shared" si="53"/>
        <v>0</v>
      </c>
      <c r="H245" s="2145">
        <f>IF(K244&lt;0.01,0,IF(Adm!$S$4=Adm!$S$8,0,K244*Adm!$V$4))</f>
        <v>0</v>
      </c>
      <c r="I245" s="2145">
        <f>IF(K244&lt;0.01,0,IF($I$16&lt;&gt;"",E245*Adm!$O$8,0))</f>
        <v>0</v>
      </c>
      <c r="J245" s="2145">
        <f t="shared" si="49"/>
        <v>0</v>
      </c>
      <c r="K245" s="2145">
        <f t="shared" si="50"/>
        <v>0</v>
      </c>
      <c r="L245" s="2146"/>
      <c r="W245" s="1352">
        <f t="shared" si="54"/>
        <v>12</v>
      </c>
      <c r="X245" s="1367">
        <f>IF(W245=1,Cal!$AC$127,0)</f>
        <v>0</v>
      </c>
      <c r="Z245" s="1153"/>
      <c r="AC245" s="1375">
        <f t="shared" si="57"/>
        <v>0</v>
      </c>
      <c r="AD245" s="1373">
        <f t="shared" si="58"/>
        <v>0</v>
      </c>
      <c r="AE245" s="1373">
        <f t="shared" si="59"/>
        <v>0</v>
      </c>
      <c r="AF245" s="1373">
        <f t="shared" si="56"/>
        <v>0</v>
      </c>
      <c r="AG245" s="1371">
        <f t="shared" si="55"/>
        <v>0</v>
      </c>
      <c r="AH245" s="1359" t="e">
        <f>HLOOKUP($AH$13,liquidez,229,0)</f>
        <v>#N/A</v>
      </c>
      <c r="AJ245" s="1360">
        <f>Captura!AI315</f>
        <v>0</v>
      </c>
    </row>
    <row r="246" spans="1:36">
      <c r="A246" s="1118">
        <f t="shared" ca="1" si="45"/>
        <v>4</v>
      </c>
      <c r="B246" s="1101">
        <f t="shared" si="46"/>
        <v>0</v>
      </c>
      <c r="C246" s="2149">
        <f t="shared" si="47"/>
        <v>0</v>
      </c>
      <c r="D246" s="2150">
        <f t="shared" si="51"/>
        <v>0</v>
      </c>
      <c r="E246" s="2145">
        <f t="shared" si="52"/>
        <v>0</v>
      </c>
      <c r="F246" s="2145">
        <f t="shared" si="48"/>
        <v>0</v>
      </c>
      <c r="G246" s="2145">
        <f t="shared" si="53"/>
        <v>0</v>
      </c>
      <c r="H246" s="2145">
        <f>IF(K245&lt;0.01,0,IF(Adm!$S$4=Adm!$S$8,0,K245*Adm!$V$4))</f>
        <v>0</v>
      </c>
      <c r="I246" s="2145">
        <f>IF(K245&lt;0.01,0,IF($I$16&lt;&gt;"",E246*Adm!$O$8,0))</f>
        <v>0</v>
      </c>
      <c r="J246" s="2145">
        <f t="shared" si="49"/>
        <v>0</v>
      </c>
      <c r="K246" s="2145">
        <f t="shared" si="50"/>
        <v>0</v>
      </c>
      <c r="L246" s="2146"/>
      <c r="W246" s="1352">
        <f t="shared" si="54"/>
        <v>1</v>
      </c>
      <c r="X246" s="1367">
        <f>IF(W246=1,Cal!$AC$127,0)</f>
        <v>0</v>
      </c>
      <c r="Z246" s="1153"/>
      <c r="AC246" s="1375">
        <f t="shared" si="57"/>
        <v>0</v>
      </c>
      <c r="AD246" s="1373">
        <f t="shared" si="58"/>
        <v>0</v>
      </c>
      <c r="AE246" s="1373">
        <f t="shared" si="59"/>
        <v>0</v>
      </c>
      <c r="AF246" s="1373">
        <f t="shared" si="56"/>
        <v>0</v>
      </c>
      <c r="AG246" s="1371">
        <f t="shared" si="55"/>
        <v>0</v>
      </c>
      <c r="AH246" s="1359" t="e">
        <f>HLOOKUP($AH$13,liquidez,230,0)</f>
        <v>#N/A</v>
      </c>
      <c r="AJ246" s="1360">
        <f>Captura!AI316</f>
        <v>0</v>
      </c>
    </row>
    <row r="247" spans="1:36">
      <c r="A247" s="1118">
        <f t="shared" ca="1" si="45"/>
        <v>5</v>
      </c>
      <c r="B247" s="1101">
        <f t="shared" si="46"/>
        <v>0</v>
      </c>
      <c r="C247" s="2149">
        <f t="shared" si="47"/>
        <v>0</v>
      </c>
      <c r="D247" s="2150">
        <f t="shared" si="51"/>
        <v>0</v>
      </c>
      <c r="E247" s="2145">
        <f t="shared" si="52"/>
        <v>0</v>
      </c>
      <c r="F247" s="2145">
        <f t="shared" si="48"/>
        <v>0</v>
      </c>
      <c r="G247" s="2145">
        <f t="shared" si="53"/>
        <v>0</v>
      </c>
      <c r="H247" s="2145">
        <f>IF(K246&lt;0.01,0,IF(Adm!$S$4=Adm!$S$8,0,K246*Adm!$V$4))</f>
        <v>0</v>
      </c>
      <c r="I247" s="2145">
        <f>IF(K246&lt;0.01,0,IF($I$16&lt;&gt;"",E247*Adm!$O$8,0))</f>
        <v>0</v>
      </c>
      <c r="J247" s="2145">
        <f t="shared" si="49"/>
        <v>0</v>
      </c>
      <c r="K247" s="2145">
        <f t="shared" si="50"/>
        <v>0</v>
      </c>
      <c r="L247" s="2146"/>
      <c r="W247" s="1352">
        <f t="shared" si="54"/>
        <v>2</v>
      </c>
      <c r="X247" s="1367">
        <f>IF(W247=1,Cal!$AC$127,0)</f>
        <v>0</v>
      </c>
      <c r="Z247" s="1153"/>
      <c r="AC247" s="1375">
        <f t="shared" si="57"/>
        <v>0</v>
      </c>
      <c r="AD247" s="1373">
        <f t="shared" si="58"/>
        <v>0</v>
      </c>
      <c r="AE247" s="1373">
        <f t="shared" si="59"/>
        <v>0</v>
      </c>
      <c r="AF247" s="1373">
        <f t="shared" si="56"/>
        <v>0</v>
      </c>
      <c r="AG247" s="1371">
        <f t="shared" si="55"/>
        <v>0</v>
      </c>
      <c r="AH247" s="1359" t="e">
        <f>HLOOKUP($AH$13,liquidez,231,0)</f>
        <v>#N/A</v>
      </c>
      <c r="AJ247" s="1360">
        <f>Captura!AI317</f>
        <v>0</v>
      </c>
    </row>
    <row r="248" spans="1:36">
      <c r="A248" s="1118">
        <f t="shared" ca="1" si="45"/>
        <v>6</v>
      </c>
      <c r="B248" s="1101">
        <f t="shared" si="46"/>
        <v>0</v>
      </c>
      <c r="C248" s="2149">
        <f t="shared" si="47"/>
        <v>0</v>
      </c>
      <c r="D248" s="2150">
        <f t="shared" si="51"/>
        <v>0</v>
      </c>
      <c r="E248" s="2145">
        <f t="shared" si="52"/>
        <v>0</v>
      </c>
      <c r="F248" s="2145">
        <f t="shared" si="48"/>
        <v>0</v>
      </c>
      <c r="G248" s="2145">
        <f t="shared" si="53"/>
        <v>0</v>
      </c>
      <c r="H248" s="2145">
        <f>IF(K247&lt;0.01,0,IF(Adm!$S$4=Adm!$S$8,0,K247*Adm!$V$4))</f>
        <v>0</v>
      </c>
      <c r="I248" s="2145">
        <f>IF(K247&lt;0.01,0,IF($I$16&lt;&gt;"",E248*Adm!$O$8,0))</f>
        <v>0</v>
      </c>
      <c r="J248" s="2145">
        <f t="shared" si="49"/>
        <v>0</v>
      </c>
      <c r="K248" s="2145">
        <f t="shared" si="50"/>
        <v>0</v>
      </c>
      <c r="L248" s="2146"/>
      <c r="W248" s="1352">
        <f t="shared" si="54"/>
        <v>3</v>
      </c>
      <c r="X248" s="1367">
        <f>IF(W248=1,Cal!$AC$127,0)</f>
        <v>0</v>
      </c>
      <c r="Z248" s="1153"/>
      <c r="AC248" s="1375">
        <f t="shared" si="57"/>
        <v>0</v>
      </c>
      <c r="AD248" s="1373">
        <f t="shared" si="58"/>
        <v>0</v>
      </c>
      <c r="AE248" s="1373">
        <f t="shared" si="59"/>
        <v>0</v>
      </c>
      <c r="AF248" s="1373">
        <f t="shared" si="56"/>
        <v>0</v>
      </c>
      <c r="AG248" s="1371">
        <f t="shared" si="55"/>
        <v>0</v>
      </c>
      <c r="AH248" s="1359" t="e">
        <f>HLOOKUP($AH$13,liquidez,232,0)</f>
        <v>#N/A</v>
      </c>
      <c r="AJ248" s="1360">
        <f>Captura!AI318</f>
        <v>0</v>
      </c>
    </row>
    <row r="249" spans="1:36">
      <c r="A249" s="1118">
        <f t="shared" ca="1" si="45"/>
        <v>7</v>
      </c>
      <c r="B249" s="1101">
        <f t="shared" si="46"/>
        <v>0</v>
      </c>
      <c r="C249" s="2149">
        <f t="shared" si="47"/>
        <v>0</v>
      </c>
      <c r="D249" s="2150">
        <f t="shared" si="51"/>
        <v>0</v>
      </c>
      <c r="E249" s="2145">
        <f t="shared" si="52"/>
        <v>0</v>
      </c>
      <c r="F249" s="2145">
        <f t="shared" si="48"/>
        <v>0</v>
      </c>
      <c r="G249" s="2145">
        <f t="shared" si="53"/>
        <v>0</v>
      </c>
      <c r="H249" s="2145">
        <f>IF(K248&lt;0.01,0,IF(Adm!$S$4=Adm!$S$8,0,K248*Adm!$V$4))</f>
        <v>0</v>
      </c>
      <c r="I249" s="2145">
        <f>IF(K248&lt;0.01,0,IF($I$16&lt;&gt;"",E249*Adm!$O$8,0))</f>
        <v>0</v>
      </c>
      <c r="J249" s="2145">
        <f t="shared" si="49"/>
        <v>0</v>
      </c>
      <c r="K249" s="2145">
        <f t="shared" si="50"/>
        <v>0</v>
      </c>
      <c r="L249" s="2146"/>
      <c r="W249" s="1352">
        <f t="shared" si="54"/>
        <v>4</v>
      </c>
      <c r="X249" s="1367">
        <f>IF(W249=1,Cal!$AC$127,0)</f>
        <v>0</v>
      </c>
      <c r="Z249" s="1153"/>
      <c r="AC249" s="1375">
        <f t="shared" si="57"/>
        <v>0</v>
      </c>
      <c r="AD249" s="1373">
        <f t="shared" si="58"/>
        <v>0</v>
      </c>
      <c r="AE249" s="1373">
        <f t="shared" si="59"/>
        <v>0</v>
      </c>
      <c r="AF249" s="1373">
        <f t="shared" si="56"/>
        <v>0</v>
      </c>
      <c r="AG249" s="1371">
        <f t="shared" si="55"/>
        <v>0</v>
      </c>
      <c r="AH249" s="1359" t="e">
        <f>HLOOKUP($AH$13,liquidez,233,0)</f>
        <v>#N/A</v>
      </c>
      <c r="AJ249" s="1360">
        <f>Captura!AI319</f>
        <v>0</v>
      </c>
    </row>
    <row r="250" spans="1:36">
      <c r="A250" s="1118">
        <f t="shared" ca="1" si="45"/>
        <v>8</v>
      </c>
      <c r="B250" s="1101">
        <f t="shared" si="46"/>
        <v>0</v>
      </c>
      <c r="C250" s="2149">
        <f t="shared" si="47"/>
        <v>0</v>
      </c>
      <c r="D250" s="2150">
        <f t="shared" si="51"/>
        <v>0</v>
      </c>
      <c r="E250" s="2145">
        <f t="shared" si="52"/>
        <v>0</v>
      </c>
      <c r="F250" s="2145">
        <f t="shared" si="48"/>
        <v>0</v>
      </c>
      <c r="G250" s="2145">
        <f t="shared" si="53"/>
        <v>0</v>
      </c>
      <c r="H250" s="2145">
        <f>IF(K249&lt;0.01,0,IF(Adm!$S$4=Adm!$S$8,0,K249*Adm!$V$4))</f>
        <v>0</v>
      </c>
      <c r="I250" s="2145">
        <f>IF(K249&lt;0.01,0,IF($I$16&lt;&gt;"",E250*Adm!$O$8,0))</f>
        <v>0</v>
      </c>
      <c r="J250" s="2145">
        <f t="shared" si="49"/>
        <v>0</v>
      </c>
      <c r="K250" s="2145">
        <f t="shared" si="50"/>
        <v>0</v>
      </c>
      <c r="L250" s="2146"/>
      <c r="W250" s="1352">
        <f t="shared" si="54"/>
        <v>5</v>
      </c>
      <c r="X250" s="1367">
        <f>IF(W250=1,Cal!$AC$127,0)</f>
        <v>0</v>
      </c>
      <c r="Z250" s="1153"/>
      <c r="AC250" s="1375">
        <f t="shared" si="57"/>
        <v>0</v>
      </c>
      <c r="AD250" s="1373">
        <f t="shared" si="58"/>
        <v>0</v>
      </c>
      <c r="AE250" s="1373">
        <f t="shared" si="59"/>
        <v>0</v>
      </c>
      <c r="AF250" s="1373">
        <f t="shared" si="56"/>
        <v>0</v>
      </c>
      <c r="AG250" s="1371">
        <f t="shared" si="55"/>
        <v>0</v>
      </c>
      <c r="AH250" s="1359" t="e">
        <f>HLOOKUP($AH$13,liquidez,234,0)</f>
        <v>#N/A</v>
      </c>
      <c r="AJ250" s="1360">
        <f>Captura!AI320</f>
        <v>0</v>
      </c>
    </row>
    <row r="251" spans="1:36">
      <c r="A251" s="1118">
        <f t="shared" ca="1" si="45"/>
        <v>9</v>
      </c>
      <c r="B251" s="1101">
        <f t="shared" si="46"/>
        <v>0</v>
      </c>
      <c r="C251" s="2149">
        <f t="shared" si="47"/>
        <v>0</v>
      </c>
      <c r="D251" s="2150">
        <f t="shared" si="51"/>
        <v>0</v>
      </c>
      <c r="E251" s="2145">
        <f t="shared" si="52"/>
        <v>0</v>
      </c>
      <c r="F251" s="2145">
        <f t="shared" si="48"/>
        <v>0</v>
      </c>
      <c r="G251" s="2145">
        <f t="shared" si="53"/>
        <v>0</v>
      </c>
      <c r="H251" s="2145">
        <f>IF(K250&lt;0.01,0,IF(Adm!$S$4=Adm!$S$8,0,K250*Adm!$V$4))</f>
        <v>0</v>
      </c>
      <c r="I251" s="2145">
        <f>IF(K250&lt;0.01,0,IF($I$16&lt;&gt;"",E251*Adm!$O$8,0))</f>
        <v>0</v>
      </c>
      <c r="J251" s="2145">
        <f t="shared" si="49"/>
        <v>0</v>
      </c>
      <c r="K251" s="2145">
        <f t="shared" si="50"/>
        <v>0</v>
      </c>
      <c r="L251" s="2146"/>
      <c r="W251" s="1352">
        <f t="shared" si="54"/>
        <v>6</v>
      </c>
      <c r="X251" s="1367">
        <f>IF(W251=1,Cal!$AC$127,0)</f>
        <v>0</v>
      </c>
      <c r="Z251" s="1153"/>
      <c r="AC251" s="1375">
        <f t="shared" si="57"/>
        <v>0</v>
      </c>
      <c r="AD251" s="1373">
        <f t="shared" si="58"/>
        <v>0</v>
      </c>
      <c r="AE251" s="1373">
        <f t="shared" si="59"/>
        <v>0</v>
      </c>
      <c r="AF251" s="1373">
        <f t="shared" si="56"/>
        <v>0</v>
      </c>
      <c r="AG251" s="1371">
        <f t="shared" si="55"/>
        <v>0</v>
      </c>
      <c r="AH251" s="1359" t="e">
        <f>HLOOKUP($AH$13,liquidez,235,0)</f>
        <v>#N/A</v>
      </c>
      <c r="AJ251" s="1360">
        <f>Captura!AI321</f>
        <v>0</v>
      </c>
    </row>
    <row r="252" spans="1:36">
      <c r="A252" s="1118">
        <f t="shared" ca="1" si="45"/>
        <v>10</v>
      </c>
      <c r="B252" s="1101">
        <f t="shared" si="46"/>
        <v>0</v>
      </c>
      <c r="C252" s="2149">
        <f t="shared" si="47"/>
        <v>0</v>
      </c>
      <c r="D252" s="2150">
        <f t="shared" si="51"/>
        <v>0</v>
      </c>
      <c r="E252" s="2145">
        <f t="shared" si="52"/>
        <v>0</v>
      </c>
      <c r="F252" s="2145">
        <f t="shared" si="48"/>
        <v>0</v>
      </c>
      <c r="G252" s="2145">
        <f t="shared" si="53"/>
        <v>0</v>
      </c>
      <c r="H252" s="2145">
        <f>IF(K251&lt;0.01,0,IF(Adm!$S$4=Adm!$S$8,0,K251*Adm!$V$4))</f>
        <v>0</v>
      </c>
      <c r="I252" s="2145">
        <f>IF(K251&lt;0.01,0,IF($I$16&lt;&gt;"",E252*Adm!$O$8,0))</f>
        <v>0</v>
      </c>
      <c r="J252" s="2145">
        <f t="shared" si="49"/>
        <v>0</v>
      </c>
      <c r="K252" s="2145">
        <f t="shared" si="50"/>
        <v>0</v>
      </c>
      <c r="L252" s="2146"/>
      <c r="W252" s="1352">
        <f t="shared" si="54"/>
        <v>7</v>
      </c>
      <c r="X252" s="1367">
        <f>IF(W252=1,Cal!$AC$127,0)</f>
        <v>0</v>
      </c>
      <c r="Z252" s="1153"/>
      <c r="AC252" s="1375">
        <f t="shared" si="57"/>
        <v>0</v>
      </c>
      <c r="AD252" s="1373">
        <f t="shared" si="58"/>
        <v>0</v>
      </c>
      <c r="AE252" s="1373">
        <f t="shared" si="59"/>
        <v>0</v>
      </c>
      <c r="AF252" s="1373">
        <f t="shared" si="56"/>
        <v>0</v>
      </c>
      <c r="AG252" s="1371">
        <f t="shared" si="55"/>
        <v>0</v>
      </c>
      <c r="AH252" s="1359" t="e">
        <f>HLOOKUP($AH$13,liquidez,236,0)</f>
        <v>#N/A</v>
      </c>
      <c r="AJ252" s="1360">
        <f>Captura!AI322</f>
        <v>0</v>
      </c>
    </row>
    <row r="253" spans="1:36">
      <c r="A253" s="1118">
        <f t="shared" ca="1" si="45"/>
        <v>11</v>
      </c>
      <c r="B253" s="1101">
        <f t="shared" si="46"/>
        <v>0</v>
      </c>
      <c r="C253" s="2149">
        <f t="shared" si="47"/>
        <v>0</v>
      </c>
      <c r="D253" s="2150">
        <f t="shared" si="51"/>
        <v>0</v>
      </c>
      <c r="E253" s="2145">
        <f t="shared" si="52"/>
        <v>0</v>
      </c>
      <c r="F253" s="2145">
        <f t="shared" si="48"/>
        <v>0</v>
      </c>
      <c r="G253" s="2145">
        <f t="shared" si="53"/>
        <v>0</v>
      </c>
      <c r="H253" s="2145">
        <f>IF(K252&lt;0.01,0,IF(Adm!$S$4=Adm!$S$8,0,K252*Adm!$V$4))</f>
        <v>0</v>
      </c>
      <c r="I253" s="2145">
        <f>IF(K252&lt;0.01,0,IF($I$16&lt;&gt;"",E253*Adm!$O$8,0))</f>
        <v>0</v>
      </c>
      <c r="J253" s="2145">
        <f t="shared" si="49"/>
        <v>0</v>
      </c>
      <c r="K253" s="2145">
        <f t="shared" si="50"/>
        <v>0</v>
      </c>
      <c r="L253" s="2146"/>
      <c r="W253" s="1352">
        <f t="shared" si="54"/>
        <v>8</v>
      </c>
      <c r="X253" s="1367">
        <f>IF(W253=1,Cal!$AC$127,0)</f>
        <v>0</v>
      </c>
      <c r="Z253" s="1153"/>
      <c r="AC253" s="1375">
        <f t="shared" si="57"/>
        <v>0</v>
      </c>
      <c r="AD253" s="1373">
        <f t="shared" si="58"/>
        <v>0</v>
      </c>
      <c r="AE253" s="1373">
        <f t="shared" si="59"/>
        <v>0</v>
      </c>
      <c r="AF253" s="1373">
        <f t="shared" si="56"/>
        <v>0</v>
      </c>
      <c r="AG253" s="1371">
        <f t="shared" si="55"/>
        <v>0</v>
      </c>
      <c r="AH253" s="1359" t="e">
        <f>HLOOKUP($AH$13,liquidez,237,0)</f>
        <v>#N/A</v>
      </c>
      <c r="AJ253" s="1360">
        <f>Captura!AI323</f>
        <v>0</v>
      </c>
    </row>
    <row r="254" spans="1:36">
      <c r="A254" s="1118">
        <f t="shared" ca="1" si="45"/>
        <v>12</v>
      </c>
      <c r="B254" s="1101">
        <f t="shared" si="46"/>
        <v>0</v>
      </c>
      <c r="C254" s="2149">
        <f t="shared" si="47"/>
        <v>0</v>
      </c>
      <c r="D254" s="2150">
        <f t="shared" si="51"/>
        <v>0</v>
      </c>
      <c r="E254" s="2145">
        <f t="shared" si="52"/>
        <v>0</v>
      </c>
      <c r="F254" s="2145">
        <f t="shared" si="48"/>
        <v>0</v>
      </c>
      <c r="G254" s="2145">
        <f t="shared" si="53"/>
        <v>0</v>
      </c>
      <c r="H254" s="2145">
        <f>IF(K253&lt;0.01,0,IF(Adm!$S$4=Adm!$S$8,0,K253*Adm!$V$4))</f>
        <v>0</v>
      </c>
      <c r="I254" s="2145">
        <f>IF(K253&lt;0.01,0,IF($I$16&lt;&gt;"",E254*Adm!$O$8,0))</f>
        <v>0</v>
      </c>
      <c r="J254" s="2145">
        <f t="shared" si="49"/>
        <v>0</v>
      </c>
      <c r="K254" s="2145">
        <f t="shared" si="50"/>
        <v>0</v>
      </c>
      <c r="L254" s="2146"/>
      <c r="W254" s="1352">
        <f t="shared" si="54"/>
        <v>9</v>
      </c>
      <c r="X254" s="1367">
        <f>IF(W254=1,Cal!$AC$127,0)</f>
        <v>0</v>
      </c>
      <c r="Z254" s="1153"/>
      <c r="AC254" s="1375">
        <f t="shared" si="57"/>
        <v>0</v>
      </c>
      <c r="AD254" s="1373">
        <f t="shared" si="58"/>
        <v>0</v>
      </c>
      <c r="AE254" s="1373">
        <f t="shared" si="59"/>
        <v>0</v>
      </c>
      <c r="AF254" s="1373">
        <f t="shared" si="56"/>
        <v>0</v>
      </c>
      <c r="AG254" s="1371">
        <f t="shared" si="55"/>
        <v>0</v>
      </c>
      <c r="AH254" s="1359" t="e">
        <f>HLOOKUP($AH$13,liquidez,238,0)</f>
        <v>#N/A</v>
      </c>
      <c r="AJ254" s="1360">
        <f>Captura!AI324</f>
        <v>0</v>
      </c>
    </row>
    <row r="255" spans="1:36">
      <c r="A255" s="1118">
        <f t="shared" ca="1" si="45"/>
        <v>1</v>
      </c>
      <c r="B255" s="1101">
        <f t="shared" si="46"/>
        <v>0</v>
      </c>
      <c r="C255" s="2149">
        <f t="shared" si="47"/>
        <v>0</v>
      </c>
      <c r="D255" s="2150">
        <f t="shared" si="51"/>
        <v>0</v>
      </c>
      <c r="E255" s="2145">
        <f t="shared" si="52"/>
        <v>0</v>
      </c>
      <c r="F255" s="2145">
        <f t="shared" si="48"/>
        <v>0</v>
      </c>
      <c r="G255" s="2145">
        <f t="shared" si="53"/>
        <v>0</v>
      </c>
      <c r="H255" s="2145">
        <f>IF(K254&lt;0.01,0,IF(Adm!$S$4=Adm!$S$8,0,K254*Adm!$V$4))</f>
        <v>0</v>
      </c>
      <c r="I255" s="2145">
        <f>IF(K254&lt;0.01,0,IF($I$16&lt;&gt;"",E255*Adm!$O$8,0))</f>
        <v>0</v>
      </c>
      <c r="J255" s="2145">
        <f t="shared" si="49"/>
        <v>0</v>
      </c>
      <c r="K255" s="2145">
        <f t="shared" si="50"/>
        <v>0</v>
      </c>
      <c r="L255" s="2146"/>
      <c r="W255" s="1352">
        <f t="shared" si="54"/>
        <v>10</v>
      </c>
      <c r="X255" s="1367">
        <f>IF(W255=1,Cal!$AC$127,0)</f>
        <v>0</v>
      </c>
      <c r="Z255" s="1153"/>
      <c r="AC255" s="1375">
        <f t="shared" si="57"/>
        <v>0</v>
      </c>
      <c r="AD255" s="1373">
        <f t="shared" si="58"/>
        <v>0</v>
      </c>
      <c r="AE255" s="1373">
        <f t="shared" si="59"/>
        <v>0</v>
      </c>
      <c r="AF255" s="1373">
        <f t="shared" si="56"/>
        <v>0</v>
      </c>
      <c r="AG255" s="1371">
        <f t="shared" si="55"/>
        <v>0</v>
      </c>
      <c r="AH255" s="1359" t="e">
        <f>HLOOKUP($AH$13,liquidez,239,0)</f>
        <v>#N/A</v>
      </c>
      <c r="AJ255" s="1360">
        <f>Captura!AI325</f>
        <v>0</v>
      </c>
    </row>
    <row r="256" spans="1:36">
      <c r="A256" s="1118">
        <f t="shared" ca="1" si="45"/>
        <v>2</v>
      </c>
      <c r="B256" s="1101">
        <f t="shared" si="46"/>
        <v>0</v>
      </c>
      <c r="C256" s="2149">
        <f t="shared" si="47"/>
        <v>0</v>
      </c>
      <c r="D256" s="2150">
        <f t="shared" si="51"/>
        <v>0</v>
      </c>
      <c r="E256" s="2145">
        <f t="shared" si="52"/>
        <v>0</v>
      </c>
      <c r="F256" s="2145">
        <f t="shared" si="48"/>
        <v>0</v>
      </c>
      <c r="G256" s="2145">
        <f t="shared" si="53"/>
        <v>0</v>
      </c>
      <c r="H256" s="2145">
        <f>IF(K255&lt;0.01,0,IF(Adm!$S$4=Adm!$S$8,0,K255*Adm!$V$4))</f>
        <v>0</v>
      </c>
      <c r="I256" s="2145">
        <f>IF(K255&lt;0.01,0,IF($I$16&lt;&gt;"",E256*Adm!$O$8,0))</f>
        <v>0</v>
      </c>
      <c r="J256" s="2145">
        <f t="shared" si="49"/>
        <v>0</v>
      </c>
      <c r="K256" s="2145">
        <f t="shared" si="50"/>
        <v>0</v>
      </c>
      <c r="L256" s="2146"/>
      <c r="W256" s="1352">
        <f t="shared" si="54"/>
        <v>11</v>
      </c>
      <c r="X256" s="1367">
        <f>IF(W256=1,Cal!$AC$127,0)</f>
        <v>0</v>
      </c>
      <c r="Z256" s="1153"/>
      <c r="AC256" s="1375">
        <f t="shared" si="57"/>
        <v>0</v>
      </c>
      <c r="AD256" s="1373">
        <f t="shared" si="58"/>
        <v>0</v>
      </c>
      <c r="AE256" s="1373">
        <f t="shared" si="59"/>
        <v>0</v>
      </c>
      <c r="AF256" s="1373">
        <f t="shared" si="56"/>
        <v>0</v>
      </c>
      <c r="AG256" s="1371">
        <f t="shared" si="55"/>
        <v>0</v>
      </c>
      <c r="AH256" s="1359" t="e">
        <f>HLOOKUP($AH$13,liquidez,240,0)</f>
        <v>#N/A</v>
      </c>
      <c r="AJ256" s="1360">
        <f>Captura!AI326</f>
        <v>0</v>
      </c>
    </row>
    <row r="257" spans="1:36">
      <c r="A257" s="1118">
        <f t="shared" ca="1" si="45"/>
        <v>3</v>
      </c>
      <c r="B257" s="1101">
        <f t="shared" si="46"/>
        <v>0</v>
      </c>
      <c r="C257" s="2149">
        <f t="shared" si="47"/>
        <v>0</v>
      </c>
      <c r="D257" s="2150">
        <f t="shared" si="51"/>
        <v>0</v>
      </c>
      <c r="E257" s="2145">
        <f t="shared" si="52"/>
        <v>0</v>
      </c>
      <c r="F257" s="2145">
        <f t="shared" si="48"/>
        <v>0</v>
      </c>
      <c r="G257" s="2145">
        <f t="shared" si="53"/>
        <v>0</v>
      </c>
      <c r="H257" s="2145">
        <f>IF(K256&lt;0.01,0,IF(Adm!$S$4=Adm!$S$8,0,K256*Adm!$V$4))</f>
        <v>0</v>
      </c>
      <c r="I257" s="2145">
        <f>IF(K256&lt;0.01,0,IF($I$16&lt;&gt;"",E257*Adm!$O$8,0))</f>
        <v>0</v>
      </c>
      <c r="J257" s="2145">
        <f t="shared" si="49"/>
        <v>0</v>
      </c>
      <c r="K257" s="2145">
        <f t="shared" si="50"/>
        <v>0</v>
      </c>
      <c r="L257" s="2146"/>
      <c r="W257" s="1386">
        <f t="shared" si="54"/>
        <v>12</v>
      </c>
      <c r="X257" s="1932">
        <f>IF(W257=1,Cal!$AC$127,0)</f>
        <v>0</v>
      </c>
      <c r="Z257" s="1153"/>
      <c r="AC257" s="1375">
        <f t="shared" si="57"/>
        <v>0</v>
      </c>
      <c r="AD257" s="1373">
        <f t="shared" si="58"/>
        <v>0</v>
      </c>
      <c r="AE257" s="1373">
        <f t="shared" si="59"/>
        <v>0</v>
      </c>
      <c r="AF257" s="1373">
        <f t="shared" si="56"/>
        <v>0</v>
      </c>
      <c r="AG257" s="1371">
        <f t="shared" si="55"/>
        <v>0</v>
      </c>
      <c r="AH257" s="1389" t="e">
        <f>HLOOKUP($AH$13,liquidez,241,0)</f>
        <v>#N/A</v>
      </c>
      <c r="AJ257" s="1360">
        <f>Captura!AI327</f>
        <v>0</v>
      </c>
    </row>
    <row r="258" spans="1:36" ht="9" customHeight="1">
      <c r="A258" s="1118"/>
      <c r="C258" s="1101"/>
      <c r="D258" s="1431"/>
      <c r="E258" s="1393"/>
      <c r="F258" s="1393"/>
      <c r="G258" s="1393"/>
      <c r="H258" s="1393"/>
      <c r="I258" s="1393"/>
      <c r="J258" s="1393"/>
      <c r="K258" s="1393"/>
      <c r="L258" s="1432"/>
      <c r="W258" s="1395"/>
      <c r="X258" s="1433"/>
      <c r="Z258" s="1153"/>
      <c r="AC258" s="1373"/>
      <c r="AD258" s="1373"/>
      <c r="AE258" s="1373"/>
      <c r="AF258" s="1373"/>
      <c r="AG258" s="1371"/>
      <c r="AH258" s="1434"/>
    </row>
    <row r="259" spans="1:36">
      <c r="C259" s="1396" t="s">
        <v>466</v>
      </c>
      <c r="D259" s="1435"/>
      <c r="E259" s="1436">
        <f>SUM(E18:E257)</f>
        <v>0</v>
      </c>
      <c r="F259" s="1436">
        <f t="shared" ref="F259:J259" si="60">SUM(F18:F257)</f>
        <v>0</v>
      </c>
      <c r="G259" s="1436">
        <f t="shared" si="60"/>
        <v>0</v>
      </c>
      <c r="H259" s="1436">
        <f t="shared" si="60"/>
        <v>0</v>
      </c>
      <c r="I259" s="1436">
        <f t="shared" si="60"/>
        <v>0</v>
      </c>
      <c r="J259" s="1436">
        <f t="shared" si="60"/>
        <v>0</v>
      </c>
      <c r="K259" s="1437"/>
      <c r="L259" s="1438">
        <f>SUM(L18:L257)</f>
        <v>0</v>
      </c>
    </row>
    <row r="260" spans="1:36" ht="27" customHeight="1">
      <c r="C260" s="2266" t="str">
        <f>Captura!C390</f>
        <v>ESTE DOCUMENTO NO ES UNA OFERTA VINCULANTE</v>
      </c>
      <c r="D260" s="2266"/>
      <c r="E260" s="2266"/>
      <c r="F260" s="2266"/>
      <c r="G260" s="2266"/>
      <c r="H260" s="2266"/>
      <c r="I260" s="2266"/>
      <c r="J260" s="2266"/>
      <c r="K260" s="2266"/>
      <c r="L260" s="2266"/>
    </row>
    <row r="261" spans="1:36" ht="30.75" customHeight="1">
      <c r="C261" s="2265" t="str">
        <f>Captura!C391</f>
        <v xml:space="preserve">Este documento es únicamente de carácter informativo y para fines ilustrativos por lo que no implica asunción de obligación ni compromiso por parte de Banco Santander México S.A.,  ni de Entidad alguna referida en el presente documento, integrante o no del Grupo Financiero Santander México. </v>
      </c>
      <c r="D261" s="2265"/>
      <c r="E261" s="2265"/>
      <c r="F261" s="2265"/>
      <c r="G261" s="2265"/>
      <c r="H261" s="2265"/>
      <c r="I261" s="2265"/>
      <c r="J261" s="2265"/>
      <c r="K261" s="2265"/>
      <c r="L261" s="2265"/>
    </row>
    <row r="262" spans="1:36">
      <c r="C262" s="2265" t="str">
        <f>Captura!C392</f>
        <v>Las condiciones del producto, criterios de elegibilidad, planes, importes de beneficios y políticas de crédito que se refieren en el simulador están sujetas a cambio sin previo aviso.</v>
      </c>
      <c r="D262" s="2265"/>
      <c r="E262" s="2265"/>
      <c r="F262" s="2265"/>
      <c r="G262" s="2265"/>
      <c r="H262" s="2265"/>
      <c r="I262" s="2265"/>
      <c r="J262" s="2265"/>
      <c r="K262" s="2265"/>
      <c r="L262" s="2265"/>
    </row>
    <row r="263" spans="1:36">
      <c r="C263" s="2265" t="str">
        <f>Captura!C393</f>
        <v>La autorización del crédito es una facultad discrecional de Banco Santander México S.A. por lo que se reserva el derecho de otorgarla o negarla.</v>
      </c>
      <c r="D263" s="2265"/>
      <c r="E263" s="2265"/>
      <c r="F263" s="2265"/>
      <c r="G263" s="2265"/>
      <c r="H263" s="2265"/>
      <c r="I263" s="2265"/>
      <c r="J263" s="2265"/>
      <c r="K263" s="2265"/>
      <c r="L263" s="2265"/>
    </row>
    <row r="264" spans="1:36" ht="30" customHeight="1">
      <c r="C264" s="2265" t="str">
        <f>Captura!C394</f>
        <v>Banco Santander México S.A. se reserva el derecho de solicitar información adicional y/o restringir parámetros de enganche, monto, plazo o tasa en función de las características específicas del solicitante y del inmueble.</v>
      </c>
      <c r="D264" s="2265"/>
      <c r="E264" s="2265"/>
      <c r="F264" s="2265"/>
      <c r="G264" s="2265"/>
      <c r="H264" s="2265"/>
      <c r="I264" s="2265"/>
      <c r="J264" s="2265"/>
      <c r="K264" s="2265"/>
      <c r="L264" s="2265"/>
    </row>
    <row r="265" spans="1:36" ht="32.25" customHeight="1">
      <c r="C265" s="2265" t="str">
        <f>Captura!C395</f>
        <v>Los productos hipotecarios son emitidos por Banco Santander México, S.A., Institución de Banca Múltiple, Grupo Financiero Santander México</v>
      </c>
      <c r="D265" s="2265"/>
      <c r="E265" s="2265"/>
      <c r="F265" s="2265"/>
      <c r="G265" s="2265"/>
      <c r="H265" s="2265"/>
      <c r="I265" s="2265"/>
      <c r="J265" s="2265"/>
      <c r="K265" s="2265"/>
      <c r="L265" s="2265"/>
    </row>
    <row r="266" spans="1:36" ht="32.25" customHeight="1">
      <c r="C266" s="2265" t="str">
        <f>Captura!C396</f>
        <v>Para conocer las características, términos, comisiones, requisitos de contratación, tasa de Interés aplicable, vigencia, restricciones y beneficios del producto, consulta www.santander.com.mx  Disponible en toda la República Mexicana</v>
      </c>
      <c r="D266" s="2265"/>
      <c r="E266" s="2265"/>
      <c r="F266" s="2265"/>
      <c r="G266" s="2265"/>
      <c r="H266" s="2265"/>
      <c r="I266" s="2265"/>
      <c r="J266" s="2265"/>
      <c r="K266" s="2265"/>
      <c r="L266" s="2265"/>
    </row>
    <row r="267" spans="1:36" ht="33" customHeight="1">
      <c r="C267" s="2265" t="str">
        <f>Captura!C397</f>
        <v>El cálculo en el Seguro de referencia es única y exclusivamente con fines informativos e ilustrativos. La calidad en la prestación de los servicios y responsabilidad en el otorgamiento de los mismos es responsabilidad directa de Zúrich Santander Seguros México S.A. y/o de la aseguradora con la que contrate estos seguros.</v>
      </c>
      <c r="D267" s="2265"/>
      <c r="E267" s="2265"/>
      <c r="F267" s="2265"/>
      <c r="G267" s="2265"/>
      <c r="H267" s="2265"/>
      <c r="I267" s="2265"/>
      <c r="J267" s="2265"/>
      <c r="K267" s="2265"/>
      <c r="L267" s="2265"/>
    </row>
    <row r="268" spans="1:36">
      <c r="C268" s="2266" t="str">
        <f>Captura!C398</f>
        <v>NOTAS</v>
      </c>
      <c r="D268" s="2266"/>
      <c r="E268" s="2266"/>
      <c r="F268" s="2266"/>
      <c r="G268" s="2266"/>
      <c r="H268" s="2266"/>
      <c r="I268" s="2266"/>
      <c r="J268" s="2266"/>
      <c r="K268" s="2266"/>
      <c r="L268" s="2266"/>
    </row>
    <row r="269" spans="1:36">
      <c r="C269" s="2265" t="str">
        <f>Captura!C399</f>
        <v/>
      </c>
      <c r="D269" s="2265"/>
      <c r="E269" s="2265"/>
      <c r="F269" s="2265"/>
      <c r="G269" s="2265"/>
      <c r="H269" s="2265"/>
      <c r="I269" s="2265"/>
      <c r="J269" s="2265"/>
      <c r="K269" s="2265"/>
      <c r="L269" s="2265"/>
    </row>
    <row r="270" spans="1:36">
      <c r="C270" s="2265" t="str">
        <f>Captura!C400</f>
        <v/>
      </c>
      <c r="D270" s="2265"/>
      <c r="E270" s="2265"/>
      <c r="F270" s="2265"/>
      <c r="G270" s="2265"/>
      <c r="H270" s="2265"/>
      <c r="I270" s="2265"/>
      <c r="J270" s="2265"/>
      <c r="K270" s="2265"/>
      <c r="L270" s="2265"/>
    </row>
    <row r="271" spans="1:36">
      <c r="C271" s="2265" t="str">
        <f>Captura!C402</f>
        <v/>
      </c>
      <c r="D271" s="2265"/>
      <c r="E271" s="2265"/>
      <c r="F271" s="2265"/>
      <c r="G271" s="2265"/>
      <c r="H271" s="2265"/>
      <c r="I271" s="2265"/>
      <c r="J271" s="2265"/>
      <c r="K271" s="2265"/>
      <c r="L271" s="2265"/>
    </row>
    <row r="272" spans="1:36" ht="32.25" customHeight="1">
      <c r="C272" s="2265" t="str">
        <f>IF(L259&gt;0,"Este documento simula pagos anticipados supuestos unicamente a modo de ejemplo. La tabla real de amortización se le entregará por los medios establecidos en su contrato de Crédito Hipotecario. ","")</f>
        <v/>
      </c>
      <c r="D272" s="2265"/>
      <c r="E272" s="2265"/>
      <c r="F272" s="2265"/>
      <c r="G272" s="2265"/>
      <c r="H272" s="2265"/>
      <c r="I272" s="2265"/>
      <c r="J272" s="2265"/>
      <c r="K272" s="2265"/>
      <c r="L272" s="2265"/>
    </row>
    <row r="273" spans="3:12">
      <c r="C273" s="2265"/>
      <c r="D273" s="2265"/>
      <c r="E273" s="2265"/>
      <c r="F273" s="2265"/>
      <c r="G273" s="2265"/>
      <c r="H273" s="2265"/>
      <c r="I273" s="2265"/>
      <c r="J273" s="2265"/>
      <c r="K273" s="2265"/>
      <c r="L273" s="2265"/>
    </row>
    <row r="274" spans="3:12">
      <c r="C274" s="2265"/>
      <c r="D274" s="2265"/>
      <c r="E274" s="2265"/>
      <c r="F274" s="2265"/>
      <c r="G274" s="2265"/>
      <c r="H274" s="2265"/>
      <c r="I274" s="2265"/>
      <c r="J274" s="2265"/>
      <c r="K274" s="2265"/>
      <c r="L274" s="2265"/>
    </row>
    <row r="275" spans="3:12">
      <c r="C275" s="1102" t="str">
        <f>inicio!C22</f>
        <v>Versión. 2026-1 Ro (09 marzo 2026)</v>
      </c>
      <c r="D275" s="1439"/>
      <c r="E275" s="1439"/>
      <c r="F275" s="1439"/>
      <c r="G275" s="1439"/>
      <c r="H275" s="1439"/>
      <c r="I275" s="1439"/>
      <c r="J275" s="1439"/>
      <c r="K275" s="1439"/>
      <c r="L275" s="1439" t="str">
        <f>inicio!L22</f>
        <v>BHF-034 (032026)</v>
      </c>
    </row>
  </sheetData>
  <sheetProtection algorithmName="SHA-512" hashValue="e8YfR0CKLm92hZLOgAV3xbqEO1ahQc/qnUbt0SEdMwTZNRcIDxGm3AJ0gSe5nCDzJyRv7cIYJsDCy68yMCtLPw==" saltValue="1l5AEgNSpwuE9n9Dh48Ebg==" spinCount="100000" sheet="1" objects="1" scenarios="1"/>
  <mergeCells count="20">
    <mergeCell ref="K1:L1"/>
    <mergeCell ref="C267:L267"/>
    <mergeCell ref="C15:L15"/>
    <mergeCell ref="C261:L261"/>
    <mergeCell ref="C262:L262"/>
    <mergeCell ref="C263:L263"/>
    <mergeCell ref="E5:H5"/>
    <mergeCell ref="E7:H7"/>
    <mergeCell ref="K7:L7"/>
    <mergeCell ref="C264:L264"/>
    <mergeCell ref="C265:L265"/>
    <mergeCell ref="C260:L260"/>
    <mergeCell ref="C266:L266"/>
    <mergeCell ref="C274:L274"/>
    <mergeCell ref="C268:L268"/>
    <mergeCell ref="C269:L269"/>
    <mergeCell ref="C271:L271"/>
    <mergeCell ref="C272:L272"/>
    <mergeCell ref="C273:L273"/>
    <mergeCell ref="C270:L270"/>
  </mergeCells>
  <conditionalFormatting sqref="D13">
    <cfRule type="expression" dxfId="180" priority="8" stopIfTrue="1">
      <formula>#REF!&gt;0</formula>
    </cfRule>
  </conditionalFormatting>
  <conditionalFormatting sqref="H16">
    <cfRule type="cellIs" dxfId="179" priority="6" stopIfTrue="1" operator="greaterThan">
      <formula>""""""</formula>
    </cfRule>
  </conditionalFormatting>
  <conditionalFormatting sqref="I16">
    <cfRule type="cellIs" dxfId="178" priority="1" stopIfTrue="1" operator="greaterThan">
      <formula>""""""</formula>
    </cfRule>
  </conditionalFormatting>
  <dataValidations count="1">
    <dataValidation type="list" allowBlank="1" showInputMessage="1" showErrorMessage="1" sqref="L14" xr:uid="{00000000-0002-0000-0700-000000000000}">
      <formula1>$AC$9:$AC$10</formula1>
    </dataValidation>
  </dataValidations>
  <pageMargins left="0.19685039370078741" right="0.19685039370078741" top="0.19685039370078741" bottom="0.15748031496062992" header="0.31496062992125984" footer="0.31496062992125984"/>
  <pageSetup scale="65" orientation="landscape" horizontalDpi="4294967294" verticalDpi="4294967294"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4">
    <tabColor rgb="FF00B050"/>
  </sheetPr>
  <dimension ref="A1:DM273"/>
  <sheetViews>
    <sheetView showGridLines="0" showRowColHeaders="0" showZeros="0" topLeftCell="C1" zoomScale="80" zoomScaleNormal="80" workbookViewId="0">
      <selection activeCell="F27" sqref="F27"/>
    </sheetView>
  </sheetViews>
  <sheetFormatPr baseColWidth="10" defaultColWidth="11.44140625" defaultRowHeight="13.2"/>
  <cols>
    <col min="1" max="1" width="9.44140625" style="1102" hidden="1" customWidth="1"/>
    <col min="2" max="2" width="12.21875" style="1101" hidden="1" customWidth="1"/>
    <col min="3" max="3" width="16.5546875" style="1102" customWidth="1"/>
    <col min="4" max="4" width="16.77734375" style="1102" customWidth="1"/>
    <col min="5" max="7" width="19.77734375" style="1102" customWidth="1"/>
    <col min="8" max="8" width="16.77734375" style="1102" customWidth="1"/>
    <col min="9" max="9" width="19" style="1102" customWidth="1"/>
    <col min="10" max="10" width="16.77734375" style="1102" customWidth="1"/>
    <col min="11" max="11" width="21.44140625" style="1102" customWidth="1"/>
    <col min="12" max="12" width="22.21875" style="1102" customWidth="1"/>
    <col min="13" max="13" width="11.44140625" style="1102"/>
    <col min="14" max="25" width="11.44140625" style="1102" hidden="1" customWidth="1"/>
    <col min="26" max="26" width="17.77734375" style="1102" hidden="1" customWidth="1"/>
    <col min="27" max="28" width="11.44140625" style="1102" hidden="1" customWidth="1"/>
    <col min="29" max="29" width="18.21875" style="1102" hidden="1" customWidth="1"/>
    <col min="30" max="30" width="14.5546875" style="1102" hidden="1" customWidth="1"/>
    <col min="31" max="31" width="18.21875" style="1102" hidden="1" customWidth="1"/>
    <col min="32" max="32" width="19" style="1102" hidden="1" customWidth="1"/>
    <col min="33" max="33" width="20" style="1102" hidden="1" customWidth="1"/>
    <col min="34" max="34" width="20.21875" style="1102" hidden="1" customWidth="1"/>
    <col min="35" max="117" width="11.44140625" style="1102" hidden="1" customWidth="1"/>
    <col min="118" max="125" width="0" style="1102" hidden="1" customWidth="1"/>
    <col min="126" max="16384" width="11.44140625" style="1102"/>
  </cols>
  <sheetData>
    <row r="1" spans="1:36" ht="21">
      <c r="F1" s="1407" t="s">
        <v>476</v>
      </c>
      <c r="G1" s="1104"/>
      <c r="H1" s="1104"/>
      <c r="I1" s="1104"/>
      <c r="J1" s="1316"/>
      <c r="K1" s="2241">
        <f ca="1">TODAY()</f>
        <v>46098</v>
      </c>
      <c r="L1" s="2241"/>
    </row>
    <row r="2" spans="1:36" ht="28.5" customHeight="1">
      <c r="L2" s="1101" t="s">
        <v>477</v>
      </c>
    </row>
    <row r="3" spans="1:36">
      <c r="C3" s="1112" t="s">
        <v>389</v>
      </c>
      <c r="D3" s="1112"/>
      <c r="E3" s="1113"/>
      <c r="F3" s="1114"/>
      <c r="G3" s="1114"/>
      <c r="H3" s="1114"/>
      <c r="I3" s="1114"/>
      <c r="J3" s="1115"/>
      <c r="K3" s="1115"/>
      <c r="L3" s="1115"/>
    </row>
    <row r="4" spans="1:36">
      <c r="C4" s="1117"/>
      <c r="D4" s="1117"/>
      <c r="E4" s="1107"/>
      <c r="F4" s="1107"/>
      <c r="G4" s="1107"/>
      <c r="H4" s="1107"/>
      <c r="I4" s="1107"/>
      <c r="J4" s="1118"/>
      <c r="K4" s="1118"/>
      <c r="AJ4" s="1408"/>
    </row>
    <row r="5" spans="1:36">
      <c r="C5" s="1119" t="s">
        <v>390</v>
      </c>
      <c r="D5" s="1119"/>
      <c r="E5" s="2268">
        <f>Captura!F6</f>
        <v>0</v>
      </c>
      <c r="F5" s="2268"/>
      <c r="G5" s="2268"/>
      <c r="H5" s="2268"/>
      <c r="I5" s="1101"/>
      <c r="K5" s="1120"/>
      <c r="AJ5" s="1408"/>
    </row>
    <row r="6" spans="1:36">
      <c r="C6" s="1107"/>
      <c r="D6" s="1107"/>
      <c r="F6" s="1107"/>
      <c r="G6" s="1107"/>
      <c r="H6" s="1107"/>
      <c r="I6" s="1107"/>
      <c r="J6" s="1118"/>
      <c r="K6" s="1118"/>
      <c r="Z6" s="1266" t="s">
        <v>424</v>
      </c>
      <c r="AJ6" s="1408"/>
    </row>
    <row r="7" spans="1:36">
      <c r="C7" s="1119" t="s">
        <v>391</v>
      </c>
      <c r="D7" s="1119"/>
      <c r="E7" s="2268">
        <f>Captura!F8</f>
        <v>0</v>
      </c>
      <c r="F7" s="2268"/>
      <c r="G7" s="2268"/>
      <c r="H7" s="2268"/>
      <c r="I7" s="1101"/>
      <c r="J7" s="1121" t="s">
        <v>392</v>
      </c>
      <c r="K7" s="2269">
        <f>Captura!N8</f>
        <v>0</v>
      </c>
      <c r="L7" s="2269"/>
      <c r="Z7" s="1282">
        <f>MAXA(C18:C257)</f>
        <v>0</v>
      </c>
      <c r="AJ7" s="1408"/>
    </row>
    <row r="8" spans="1:36">
      <c r="C8" s="1119"/>
      <c r="D8" s="1119"/>
      <c r="F8" s="1120"/>
      <c r="G8" s="1120"/>
      <c r="H8" s="1120"/>
      <c r="I8" s="1120"/>
      <c r="J8" s="1121"/>
      <c r="K8" s="1118"/>
      <c r="L8" s="1118"/>
      <c r="Z8" s="1409">
        <f>Z7/12</f>
        <v>0</v>
      </c>
      <c r="AJ8" s="1116"/>
    </row>
    <row r="9" spans="1:36" ht="6" customHeight="1">
      <c r="C9" s="1410"/>
      <c r="D9" s="1410"/>
      <c r="E9" s="1411"/>
      <c r="F9" s="1412"/>
      <c r="G9" s="1412"/>
      <c r="H9" s="1412"/>
      <c r="I9" s="1412"/>
      <c r="J9" s="1413"/>
      <c r="K9" s="1414"/>
      <c r="L9" s="1414"/>
      <c r="AC9" s="1126" t="s">
        <v>425</v>
      </c>
    </row>
    <row r="10" spans="1:36">
      <c r="C10" s="1119"/>
      <c r="D10" s="1119"/>
      <c r="F10" s="1120"/>
      <c r="G10" s="1120"/>
      <c r="H10" s="1120"/>
      <c r="I10" s="1120"/>
      <c r="J10" s="1121"/>
      <c r="K10" s="1118"/>
      <c r="L10" s="1118"/>
      <c r="AC10" s="1102" t="s">
        <v>430</v>
      </c>
      <c r="AE10" s="1107" t="s">
        <v>426</v>
      </c>
    </row>
    <row r="11" spans="1:36">
      <c r="C11" s="1415"/>
      <c r="D11" s="1415"/>
      <c r="F11" s="1416"/>
      <c r="G11" s="1120"/>
      <c r="H11" s="1417"/>
      <c r="I11" s="1417"/>
      <c r="J11" s="1121" t="s">
        <v>439</v>
      </c>
      <c r="K11" s="1418">
        <f>Z7</f>
        <v>0</v>
      </c>
      <c r="L11" s="1119" t="str">
        <f>IF(K11&gt;0,"meses","")</f>
        <v/>
      </c>
    </row>
    <row r="12" spans="1:36">
      <c r="C12" s="1119"/>
      <c r="D12" s="1119"/>
      <c r="F12" s="1120"/>
      <c r="G12" s="1120"/>
      <c r="H12" s="1120"/>
      <c r="I12" s="1120"/>
      <c r="J12" s="1121"/>
      <c r="K12" s="1349"/>
      <c r="L12" s="1119"/>
      <c r="AC12" s="1419">
        <f>IF(L14=AC9,1,IF(L14=AC10,2,0))</f>
        <v>0</v>
      </c>
      <c r="AD12" s="1290" t="s">
        <v>432</v>
      </c>
      <c r="AE12" s="1291">
        <f>IF(Adm!D4="Fijos",1,2)</f>
        <v>2</v>
      </c>
      <c r="AH12" s="1292" t="s">
        <v>433</v>
      </c>
    </row>
    <row r="13" spans="1:36" ht="15.6">
      <c r="C13" s="1152" t="s">
        <v>435</v>
      </c>
      <c r="D13" s="1421" t="e">
        <f>CAT!AW20</f>
        <v>#NUM!</v>
      </c>
      <c r="E13" s="1135" t="s">
        <v>436</v>
      </c>
      <c r="G13" s="1422"/>
      <c r="AH13" s="1441">
        <f>IF(Adm!D4="Crecientes",1,0)</f>
        <v>0</v>
      </c>
    </row>
    <row r="14" spans="1:36">
      <c r="C14" s="1120" t="str">
        <f ca="1">CONCATENATE("Calculado al"," ",Captura!O2," ",".Para fines informativos y de comparación.")</f>
        <v>Calculado al 17 mar 2026 .Para fines informativos y de comparación.</v>
      </c>
      <c r="D14" s="1120"/>
      <c r="K14" s="1302" t="s">
        <v>478</v>
      </c>
      <c r="L14" s="1303"/>
    </row>
    <row r="15" spans="1:36" ht="22.5" customHeight="1">
      <c r="C15" s="2267" t="s">
        <v>481</v>
      </c>
      <c r="D15" s="2267"/>
      <c r="E15" s="2267"/>
      <c r="F15" s="2267"/>
      <c r="G15" s="2267"/>
      <c r="H15" s="2267"/>
      <c r="I15" s="2267"/>
      <c r="J15" s="2267"/>
      <c r="K15" s="2267"/>
      <c r="L15" s="2267"/>
      <c r="AC15" s="1424" t="s">
        <v>442</v>
      </c>
    </row>
    <row r="16" spans="1:36" ht="38.25" customHeight="1">
      <c r="A16" s="1321" t="s">
        <v>444</v>
      </c>
      <c r="B16" s="1322" t="s">
        <v>445</v>
      </c>
      <c r="C16" s="1323" t="s">
        <v>446</v>
      </c>
      <c r="D16" s="1323" t="s">
        <v>447</v>
      </c>
      <c r="E16" s="1323" t="s">
        <v>448</v>
      </c>
      <c r="F16" s="1323" t="s">
        <v>449</v>
      </c>
      <c r="G16" s="1323" t="s">
        <v>450</v>
      </c>
      <c r="H16" s="1425" t="s">
        <v>482</v>
      </c>
      <c r="I16" s="1442" t="s">
        <v>451</v>
      </c>
      <c r="J16" s="1323" t="s">
        <v>452</v>
      </c>
      <c r="K16" s="1323" t="s">
        <v>453</v>
      </c>
      <c r="L16" s="1440" t="s">
        <v>480</v>
      </c>
      <c r="W16" s="1326" t="s">
        <v>444</v>
      </c>
      <c r="X16" s="1327" t="s">
        <v>454</v>
      </c>
      <c r="Z16" s="1332"/>
      <c r="AC16" s="1427" t="s">
        <v>455</v>
      </c>
      <c r="AD16" s="1331" t="s">
        <v>456</v>
      </c>
      <c r="AE16" s="1332" t="s">
        <v>457</v>
      </c>
      <c r="AF16" s="1333" t="s">
        <v>458</v>
      </c>
      <c r="AG16" s="1334" t="s">
        <v>459</v>
      </c>
      <c r="AH16" s="1349" t="s">
        <v>460</v>
      </c>
      <c r="AJ16" s="1443"/>
    </row>
    <row r="17" spans="1:36">
      <c r="A17" s="1101">
        <f ca="1">MONTH(K1)</f>
        <v>3</v>
      </c>
      <c r="B17" s="1101">
        <f>Adm!H4</f>
        <v>0</v>
      </c>
      <c r="C17" s="1101">
        <v>0</v>
      </c>
      <c r="D17" s="1101"/>
      <c r="E17" s="1394"/>
      <c r="F17" s="1394"/>
      <c r="G17" s="1394"/>
      <c r="H17" s="1394"/>
      <c r="I17" s="1394"/>
      <c r="J17" s="1394"/>
      <c r="K17" s="1428">
        <f>IF(Adm!B4=0,0,IF(Captura!C39&lt;&gt;"",0,IF(Captura!G76="",0,IF(Adm!C22="SI",Cal!AD119,0))))</f>
        <v>0</v>
      </c>
      <c r="L17" s="1444"/>
      <c r="W17" s="1340">
        <v>12</v>
      </c>
      <c r="X17" s="1341" t="s">
        <v>463</v>
      </c>
      <c r="AH17" s="1344" t="s">
        <v>464</v>
      </c>
      <c r="AJ17" s="1345">
        <v>1</v>
      </c>
    </row>
    <row r="18" spans="1:36">
      <c r="A18" s="1118">
        <f t="shared" ref="A18:A81" ca="1" si="0">IF(A17=12,1,A17+1)</f>
        <v>4</v>
      </c>
      <c r="B18" s="1101">
        <f t="shared" ref="B18:B81" si="1">IF(K17&lt;0.01,0,B17-1)</f>
        <v>0</v>
      </c>
      <c r="C18" s="2149">
        <f t="shared" ref="C18:C81" si="2">IF(K17&lt;0.01,0,C17+1)</f>
        <v>0</v>
      </c>
      <c r="D18" s="2144">
        <f>IF(K17&lt;0.01,0,Adm!AE6)</f>
        <v>0</v>
      </c>
      <c r="E18" s="2145">
        <f>IF(K17&lt;0.01,0,K17*D18*30.4166/360)</f>
        <v>0</v>
      </c>
      <c r="F18" s="2145">
        <f t="shared" ref="F18:F81" si="3">IF(K17&lt;0.01,0,G18-E18)</f>
        <v>0</v>
      </c>
      <c r="G18" s="2145">
        <f>IF(K17&lt;0.01,0,IF(Adm!D4=Adm!D7,K17*Adm!AF4/1000,PMT(((Adm!AE6/360)*(365/12)),Cal!AD109,-K17)))</f>
        <v>0</v>
      </c>
      <c r="H18" s="2145">
        <f>IF(K17&lt;0.01,0,IF(Adm!$S$4=Adm!$S$8,0,K17*Adm!$V$4))</f>
        <v>0</v>
      </c>
      <c r="I18" s="2145">
        <f>IF(K17&lt;0.01,0,IF($I$16&lt;&gt;"",Adm!$Q$6*1.16,0))</f>
        <v>0</v>
      </c>
      <c r="J18" s="2145">
        <f t="shared" ref="J18:J81" si="4">G18+H18+I18</f>
        <v>0</v>
      </c>
      <c r="K18" s="2145">
        <f t="shared" ref="K18:K81" si="5">IF(K17&lt;0.01,0,K17-F18-L18)</f>
        <v>0</v>
      </c>
      <c r="L18" s="2146"/>
      <c r="W18" s="1352">
        <f>IF(W17=12,1,W17+1)</f>
        <v>1</v>
      </c>
      <c r="X18" s="1430"/>
      <c r="AC18" s="1357"/>
      <c r="AD18" s="1339"/>
      <c r="AE18" s="1339"/>
      <c r="AF18" s="1358"/>
      <c r="AG18" s="1358"/>
      <c r="AH18" s="1359" t="e">
        <f>HLOOKUP($AH$13,Sustitución,2,0)</f>
        <v>#N/A</v>
      </c>
      <c r="AJ18" s="1360">
        <f>Captura!AI88</f>
        <v>0</v>
      </c>
    </row>
    <row r="19" spans="1:36">
      <c r="A19" s="1118">
        <f t="shared" ca="1" si="0"/>
        <v>5</v>
      </c>
      <c r="B19" s="1101">
        <f t="shared" si="1"/>
        <v>0</v>
      </c>
      <c r="C19" s="2149">
        <f t="shared" si="2"/>
        <v>0</v>
      </c>
      <c r="D19" s="2150">
        <f t="shared" ref="D19:D82" si="6">IF(K18&lt;0.01,0,D18)</f>
        <v>0</v>
      </c>
      <c r="E19" s="2145">
        <f t="shared" ref="E19:E82" si="7">IF(K18&lt;0.01,0,K18*D19*30.4166/360)</f>
        <v>0</v>
      </c>
      <c r="F19" s="2145">
        <f t="shared" si="3"/>
        <v>0</v>
      </c>
      <c r="G19" s="2145">
        <f t="shared" ref="G19:G82" si="8">IF(K18&lt;0.1,0,MIN(K18+E19,IF(AC19&gt;0,AC19,G18*(1+X19))))</f>
        <v>0</v>
      </c>
      <c r="H19" s="2145">
        <f>IF(K18&lt;0.01,0,IF(Adm!$S$4=Adm!$S$8,0,K18*Adm!$V$4))</f>
        <v>0</v>
      </c>
      <c r="I19" s="2145">
        <f>IF(K18&lt;0.01,0,IF($I$16&lt;&gt;"",Adm!$Q$6*1.16,0))</f>
        <v>0</v>
      </c>
      <c r="J19" s="2145">
        <f t="shared" si="4"/>
        <v>0</v>
      </c>
      <c r="K19" s="2145">
        <f t="shared" si="5"/>
        <v>0</v>
      </c>
      <c r="L19" s="2146"/>
      <c r="W19" s="1352">
        <f t="shared" ref="W19:W82" si="9">IF(W18=12,1,W18+1)</f>
        <v>2</v>
      </c>
      <c r="X19" s="1367">
        <f>IF(W19=1,Adm!$AP$3,0)</f>
        <v>0</v>
      </c>
      <c r="Z19" s="1153"/>
      <c r="AC19" s="1370">
        <f>IF(AD19&gt;1,AD19,IF(AF19&gt;1,AF19,0))</f>
        <v>0</v>
      </c>
      <c r="AD19" s="1371">
        <f t="shared" ref="AD19:AD82" si="10">IF(AND($AE$12=1,L18&gt;0.1),AE19,0)</f>
        <v>0</v>
      </c>
      <c r="AE19" s="1371">
        <f>IF(AND($AE$12=1,$AC$12=2),PMT((($D$18/360)*(365/12)),B18,-K18),0)</f>
        <v>0</v>
      </c>
      <c r="AF19" s="1373">
        <f>IF(AND(AG19&gt;0.01,$AC$12=2),AG19,0)</f>
        <v>0</v>
      </c>
      <c r="AG19" s="1371">
        <f t="shared" ref="AG19:AG82" si="11">IF(AND($AE$12=2,L18&lt;0.01),0,IF($AE$12=2,(K18*AH19)+E19,0))</f>
        <v>0</v>
      </c>
      <c r="AH19" s="1359" t="e">
        <f>HLOOKUP($AH$13,Sustitución,3,0)</f>
        <v>#N/A</v>
      </c>
      <c r="AJ19" s="1360">
        <f>Captura!AI89</f>
        <v>0</v>
      </c>
    </row>
    <row r="20" spans="1:36">
      <c r="A20" s="1118">
        <f t="shared" ca="1" si="0"/>
        <v>6</v>
      </c>
      <c r="B20" s="1101">
        <f t="shared" si="1"/>
        <v>0</v>
      </c>
      <c r="C20" s="2149">
        <f t="shared" si="2"/>
        <v>0</v>
      </c>
      <c r="D20" s="2150">
        <f t="shared" si="6"/>
        <v>0</v>
      </c>
      <c r="E20" s="2145">
        <f t="shared" si="7"/>
        <v>0</v>
      </c>
      <c r="F20" s="2145">
        <f t="shared" si="3"/>
        <v>0</v>
      </c>
      <c r="G20" s="2145">
        <f t="shared" si="8"/>
        <v>0</v>
      </c>
      <c r="H20" s="2145">
        <f>IF(K19&lt;0.01,0,IF(Adm!$S$4=Adm!$S$8,0,K19*Adm!$V$4))</f>
        <v>0</v>
      </c>
      <c r="I20" s="2145">
        <f>IF(K19&lt;0.01,0,IF($I$16&lt;&gt;"",Adm!$Q$6*1.16,0))</f>
        <v>0</v>
      </c>
      <c r="J20" s="2145">
        <f t="shared" si="4"/>
        <v>0</v>
      </c>
      <c r="K20" s="2145">
        <f t="shared" si="5"/>
        <v>0</v>
      </c>
      <c r="L20" s="2146"/>
      <c r="W20" s="1352">
        <f t="shared" si="9"/>
        <v>3</v>
      </c>
      <c r="X20" s="1367">
        <f>IF(W20=1,Adm!$AP$3,0)</f>
        <v>0</v>
      </c>
      <c r="Z20" s="1153"/>
      <c r="AC20" s="1375">
        <f>IF(AD20&gt;1,AD20,IF(AF20&gt;1,AF20,0))</f>
        <v>0</v>
      </c>
      <c r="AD20" s="1373">
        <f t="shared" si="10"/>
        <v>0</v>
      </c>
      <c r="AE20" s="1373">
        <f>IF(AND($AE$12=1,$AC$12=2),PMT((($D$18/360)*(365/12)),B19,-K19),0)</f>
        <v>0</v>
      </c>
      <c r="AF20" s="1373">
        <f t="shared" ref="AF20:AF83" si="12">IF(AND(AG20&gt;0.01,$AC$12=2),AG20,0)</f>
        <v>0</v>
      </c>
      <c r="AG20" s="1371">
        <f t="shared" si="11"/>
        <v>0</v>
      </c>
      <c r="AH20" s="1359" t="e">
        <f>HLOOKUP($AH$13,Sustitución,4,0)</f>
        <v>#N/A</v>
      </c>
      <c r="AJ20" s="1360">
        <f>Captura!AI90</f>
        <v>0</v>
      </c>
    </row>
    <row r="21" spans="1:36">
      <c r="A21" s="1118">
        <f t="shared" ca="1" si="0"/>
        <v>7</v>
      </c>
      <c r="B21" s="1101">
        <f t="shared" si="1"/>
        <v>0</v>
      </c>
      <c r="C21" s="2149">
        <f t="shared" si="2"/>
        <v>0</v>
      </c>
      <c r="D21" s="2150">
        <f t="shared" si="6"/>
        <v>0</v>
      </c>
      <c r="E21" s="2145">
        <f t="shared" si="7"/>
        <v>0</v>
      </c>
      <c r="F21" s="2145">
        <f t="shared" si="3"/>
        <v>0</v>
      </c>
      <c r="G21" s="2145">
        <f t="shared" si="8"/>
        <v>0</v>
      </c>
      <c r="H21" s="2145">
        <f>IF(K20&lt;0.01,0,IF(Adm!$S$4=Adm!$S$8,0,K20*Adm!$V$4))</f>
        <v>0</v>
      </c>
      <c r="I21" s="2145">
        <f>IF(K20&lt;0.01,0,IF($I$16&lt;&gt;"",Adm!$Q$6*1.16,0))</f>
        <v>0</v>
      </c>
      <c r="J21" s="2145">
        <f t="shared" si="4"/>
        <v>0</v>
      </c>
      <c r="K21" s="2145">
        <f t="shared" si="5"/>
        <v>0</v>
      </c>
      <c r="L21" s="2146"/>
      <c r="W21" s="1352">
        <f t="shared" si="9"/>
        <v>4</v>
      </c>
      <c r="X21" s="1367">
        <f>IF(W21=1,Adm!$AP$3,0)</f>
        <v>0</v>
      </c>
      <c r="Z21" s="1153"/>
      <c r="AC21" s="1375">
        <f t="shared" ref="AC21:AC84" si="13">IF(AD21&gt;1,AD21,IF(AF21&gt;1,AF21,0))</f>
        <v>0</v>
      </c>
      <c r="AD21" s="1373">
        <f t="shared" si="10"/>
        <v>0</v>
      </c>
      <c r="AE21" s="1373">
        <f t="shared" ref="AE21:AE84" si="14">IF(AND($AE$12=1,$AC$12=2),PMT((($D$18/360)*(365/12)),B20,-K20),0)</f>
        <v>0</v>
      </c>
      <c r="AF21" s="1373">
        <f t="shared" si="12"/>
        <v>0</v>
      </c>
      <c r="AG21" s="1371">
        <f t="shared" si="11"/>
        <v>0</v>
      </c>
      <c r="AH21" s="1359" t="e">
        <f>HLOOKUP($AH$13,Sustitución,5,0)</f>
        <v>#N/A</v>
      </c>
      <c r="AJ21" s="1360">
        <f>Captura!AI91</f>
        <v>0</v>
      </c>
    </row>
    <row r="22" spans="1:36">
      <c r="A22" s="1118">
        <f t="shared" ca="1" si="0"/>
        <v>8</v>
      </c>
      <c r="B22" s="1101">
        <f t="shared" si="1"/>
        <v>0</v>
      </c>
      <c r="C22" s="2149">
        <f t="shared" si="2"/>
        <v>0</v>
      </c>
      <c r="D22" s="2150">
        <f t="shared" si="6"/>
        <v>0</v>
      </c>
      <c r="E22" s="2145">
        <f t="shared" si="7"/>
        <v>0</v>
      </c>
      <c r="F22" s="2145">
        <f t="shared" si="3"/>
        <v>0</v>
      </c>
      <c r="G22" s="2145">
        <f t="shared" si="8"/>
        <v>0</v>
      </c>
      <c r="H22" s="2145">
        <f>IF(K21&lt;0.01,0,IF(Adm!$S$4=Adm!$S$8,0,K21*Adm!$V$4))</f>
        <v>0</v>
      </c>
      <c r="I22" s="2145">
        <f>IF(K21&lt;0.01,0,IF($I$16&lt;&gt;"",Adm!$Q$6*1.16,0))</f>
        <v>0</v>
      </c>
      <c r="J22" s="2145">
        <f t="shared" si="4"/>
        <v>0</v>
      </c>
      <c r="K22" s="2145">
        <f t="shared" si="5"/>
        <v>0</v>
      </c>
      <c r="L22" s="2146"/>
      <c r="W22" s="1352">
        <f t="shared" si="9"/>
        <v>5</v>
      </c>
      <c r="X22" s="1367">
        <f>IF(W22=1,Adm!$AP$3,0)</f>
        <v>0</v>
      </c>
      <c r="Z22" s="1153"/>
      <c r="AC22" s="1375">
        <f t="shared" si="13"/>
        <v>0</v>
      </c>
      <c r="AD22" s="1373">
        <f t="shared" si="10"/>
        <v>0</v>
      </c>
      <c r="AE22" s="1373">
        <f t="shared" si="14"/>
        <v>0</v>
      </c>
      <c r="AF22" s="1373">
        <f t="shared" si="12"/>
        <v>0</v>
      </c>
      <c r="AG22" s="1371">
        <f t="shared" si="11"/>
        <v>0</v>
      </c>
      <c r="AH22" s="1359" t="e">
        <f>HLOOKUP($AH$13,Sustitución,6,0)</f>
        <v>#N/A</v>
      </c>
      <c r="AJ22" s="1360">
        <f>Captura!AI92</f>
        <v>0</v>
      </c>
    </row>
    <row r="23" spans="1:36">
      <c r="A23" s="1118">
        <f t="shared" ca="1" si="0"/>
        <v>9</v>
      </c>
      <c r="B23" s="1101">
        <f t="shared" si="1"/>
        <v>0</v>
      </c>
      <c r="C23" s="2149">
        <f t="shared" si="2"/>
        <v>0</v>
      </c>
      <c r="D23" s="2150">
        <f t="shared" si="6"/>
        <v>0</v>
      </c>
      <c r="E23" s="2145">
        <f t="shared" si="7"/>
        <v>0</v>
      </c>
      <c r="F23" s="2145">
        <f t="shared" si="3"/>
        <v>0</v>
      </c>
      <c r="G23" s="2145">
        <f t="shared" si="8"/>
        <v>0</v>
      </c>
      <c r="H23" s="2145">
        <f>IF(K22&lt;0.01,0,IF(Adm!$S$4=Adm!$S$8,0,K22*Adm!$V$4))</f>
        <v>0</v>
      </c>
      <c r="I23" s="2145">
        <f>IF(K22&lt;0.01,0,IF($I$16&lt;&gt;"",Adm!$Q$6*1.16,0))</f>
        <v>0</v>
      </c>
      <c r="J23" s="2145">
        <f t="shared" si="4"/>
        <v>0</v>
      </c>
      <c r="K23" s="2145">
        <f t="shared" si="5"/>
        <v>0</v>
      </c>
      <c r="L23" s="2146"/>
      <c r="W23" s="1352">
        <f t="shared" si="9"/>
        <v>6</v>
      </c>
      <c r="X23" s="1367">
        <f>IF(W23=1,Adm!$AP$3,0)</f>
        <v>0</v>
      </c>
      <c r="Z23" s="1153"/>
      <c r="AC23" s="1375">
        <f t="shared" si="13"/>
        <v>0</v>
      </c>
      <c r="AD23" s="1373">
        <f t="shared" si="10"/>
        <v>0</v>
      </c>
      <c r="AE23" s="1373">
        <f t="shared" si="14"/>
        <v>0</v>
      </c>
      <c r="AF23" s="1373">
        <f t="shared" si="12"/>
        <v>0</v>
      </c>
      <c r="AG23" s="1371">
        <f t="shared" si="11"/>
        <v>0</v>
      </c>
      <c r="AH23" s="1359" t="e">
        <f>HLOOKUP($AH$13,Sustitución,7,0)</f>
        <v>#N/A</v>
      </c>
      <c r="AJ23" s="1360">
        <f>Captura!AI93</f>
        <v>0</v>
      </c>
    </row>
    <row r="24" spans="1:36">
      <c r="A24" s="1118">
        <f t="shared" ca="1" si="0"/>
        <v>10</v>
      </c>
      <c r="B24" s="1101">
        <f t="shared" si="1"/>
        <v>0</v>
      </c>
      <c r="C24" s="2149">
        <f t="shared" si="2"/>
        <v>0</v>
      </c>
      <c r="D24" s="2150">
        <f t="shared" si="6"/>
        <v>0</v>
      </c>
      <c r="E24" s="2145">
        <f t="shared" si="7"/>
        <v>0</v>
      </c>
      <c r="F24" s="2145">
        <f t="shared" si="3"/>
        <v>0</v>
      </c>
      <c r="G24" s="2145">
        <f t="shared" si="8"/>
        <v>0</v>
      </c>
      <c r="H24" s="2145">
        <f>IF(K23&lt;0.01,0,IF(Adm!$S$4=Adm!$S$8,0,K23*Adm!$V$4))</f>
        <v>0</v>
      </c>
      <c r="I24" s="2145">
        <f>IF(K23&lt;0.01,0,IF($I$16&lt;&gt;"",Adm!$Q$6*1.16,0))</f>
        <v>0</v>
      </c>
      <c r="J24" s="2145">
        <f t="shared" si="4"/>
        <v>0</v>
      </c>
      <c r="K24" s="2145">
        <f t="shared" si="5"/>
        <v>0</v>
      </c>
      <c r="L24" s="2146"/>
      <c r="W24" s="1352">
        <f t="shared" si="9"/>
        <v>7</v>
      </c>
      <c r="X24" s="1367">
        <f>IF(W24=1,Adm!$AP$3,0)</f>
        <v>0</v>
      </c>
      <c r="Z24" s="1153"/>
      <c r="AC24" s="1375">
        <f t="shared" si="13"/>
        <v>0</v>
      </c>
      <c r="AD24" s="1373">
        <f t="shared" si="10"/>
        <v>0</v>
      </c>
      <c r="AE24" s="1373">
        <f t="shared" si="14"/>
        <v>0</v>
      </c>
      <c r="AF24" s="1373">
        <f t="shared" si="12"/>
        <v>0</v>
      </c>
      <c r="AG24" s="1371">
        <f t="shared" si="11"/>
        <v>0</v>
      </c>
      <c r="AH24" s="1359" t="e">
        <f>HLOOKUP($AH$13,Sustitución,8,0)</f>
        <v>#N/A</v>
      </c>
      <c r="AJ24" s="1360">
        <f>Captura!AI94</f>
        <v>0</v>
      </c>
    </row>
    <row r="25" spans="1:36">
      <c r="A25" s="1118">
        <f t="shared" ca="1" si="0"/>
        <v>11</v>
      </c>
      <c r="B25" s="1101">
        <f t="shared" si="1"/>
        <v>0</v>
      </c>
      <c r="C25" s="2149">
        <f t="shared" si="2"/>
        <v>0</v>
      </c>
      <c r="D25" s="2150">
        <f t="shared" si="6"/>
        <v>0</v>
      </c>
      <c r="E25" s="2145">
        <f t="shared" si="7"/>
        <v>0</v>
      </c>
      <c r="F25" s="2145">
        <f t="shared" si="3"/>
        <v>0</v>
      </c>
      <c r="G25" s="2145">
        <f t="shared" si="8"/>
        <v>0</v>
      </c>
      <c r="H25" s="2145">
        <f>IF(K24&lt;0.01,0,IF(Adm!$S$4=Adm!$S$8,0,K24*Adm!$V$4))</f>
        <v>0</v>
      </c>
      <c r="I25" s="2145">
        <f>IF(K24&lt;0.01,0,IF($I$16&lt;&gt;"",Adm!$Q$6*1.16,0))</f>
        <v>0</v>
      </c>
      <c r="J25" s="2145">
        <f t="shared" si="4"/>
        <v>0</v>
      </c>
      <c r="K25" s="2145">
        <f t="shared" si="5"/>
        <v>0</v>
      </c>
      <c r="L25" s="2146"/>
      <c r="W25" s="1352">
        <f t="shared" si="9"/>
        <v>8</v>
      </c>
      <c r="X25" s="1367">
        <f>IF(W25=1,Adm!$AP$3,0)</f>
        <v>0</v>
      </c>
      <c r="Z25" s="1153"/>
      <c r="AC25" s="1375">
        <f t="shared" si="13"/>
        <v>0</v>
      </c>
      <c r="AD25" s="1373">
        <f t="shared" si="10"/>
        <v>0</v>
      </c>
      <c r="AE25" s="1373">
        <f t="shared" si="14"/>
        <v>0</v>
      </c>
      <c r="AF25" s="1373">
        <f t="shared" si="12"/>
        <v>0</v>
      </c>
      <c r="AG25" s="1371">
        <f t="shared" si="11"/>
        <v>0</v>
      </c>
      <c r="AH25" s="1359" t="e">
        <f>HLOOKUP($AH$13,Sustitución,9,0)</f>
        <v>#N/A</v>
      </c>
      <c r="AJ25" s="1360">
        <f>Captura!AI95</f>
        <v>0</v>
      </c>
    </row>
    <row r="26" spans="1:36">
      <c r="A26" s="1118">
        <f t="shared" ca="1" si="0"/>
        <v>12</v>
      </c>
      <c r="B26" s="1101">
        <f t="shared" si="1"/>
        <v>0</v>
      </c>
      <c r="C26" s="2149">
        <f t="shared" si="2"/>
        <v>0</v>
      </c>
      <c r="D26" s="2150">
        <f t="shared" si="6"/>
        <v>0</v>
      </c>
      <c r="E26" s="2145">
        <f t="shared" si="7"/>
        <v>0</v>
      </c>
      <c r="F26" s="2145">
        <f t="shared" si="3"/>
        <v>0</v>
      </c>
      <c r="G26" s="2145">
        <f t="shared" si="8"/>
        <v>0</v>
      </c>
      <c r="H26" s="2145">
        <f>IF(K25&lt;0.01,0,IF(Adm!$S$4=Adm!$S$8,0,K25*Adm!$V$4))</f>
        <v>0</v>
      </c>
      <c r="I26" s="2145">
        <f>IF(K25&lt;0.01,0,IF($I$16&lt;&gt;"",Adm!$Q$6*1.16,0))</f>
        <v>0</v>
      </c>
      <c r="J26" s="2145">
        <f t="shared" si="4"/>
        <v>0</v>
      </c>
      <c r="K26" s="2145">
        <f t="shared" si="5"/>
        <v>0</v>
      </c>
      <c r="L26" s="2146"/>
      <c r="W26" s="1352">
        <f t="shared" si="9"/>
        <v>9</v>
      </c>
      <c r="X26" s="1367">
        <f>IF(W26=1,Adm!$AP$3,0)</f>
        <v>0</v>
      </c>
      <c r="Z26" s="1153"/>
      <c r="AC26" s="1375">
        <f t="shared" si="13"/>
        <v>0</v>
      </c>
      <c r="AD26" s="1373">
        <f t="shared" si="10"/>
        <v>0</v>
      </c>
      <c r="AE26" s="1373">
        <f t="shared" si="14"/>
        <v>0</v>
      </c>
      <c r="AF26" s="1373">
        <f t="shared" si="12"/>
        <v>0</v>
      </c>
      <c r="AG26" s="1371">
        <f t="shared" si="11"/>
        <v>0</v>
      </c>
      <c r="AH26" s="1359" t="e">
        <f>HLOOKUP($AH$13,Sustitución,10,0)</f>
        <v>#N/A</v>
      </c>
      <c r="AJ26" s="1360">
        <f>Captura!AI96</f>
        <v>0</v>
      </c>
    </row>
    <row r="27" spans="1:36">
      <c r="A27" s="1118">
        <f t="shared" ca="1" si="0"/>
        <v>1</v>
      </c>
      <c r="B27" s="1101">
        <f t="shared" si="1"/>
        <v>0</v>
      </c>
      <c r="C27" s="2149">
        <f t="shared" si="2"/>
        <v>0</v>
      </c>
      <c r="D27" s="2150">
        <f t="shared" si="6"/>
        <v>0</v>
      </c>
      <c r="E27" s="2145">
        <f t="shared" si="7"/>
        <v>0</v>
      </c>
      <c r="F27" s="2145">
        <f t="shared" si="3"/>
        <v>0</v>
      </c>
      <c r="G27" s="2145">
        <f t="shared" si="8"/>
        <v>0</v>
      </c>
      <c r="H27" s="2145">
        <f>IF(K26&lt;0.01,0,IF(Adm!$S$4=Adm!$S$8,0,K26*Adm!$V$4))</f>
        <v>0</v>
      </c>
      <c r="I27" s="2145">
        <f>IF(K26&lt;0.01,0,IF($I$16&lt;&gt;"",Adm!$Q$6*1.16,0))</f>
        <v>0</v>
      </c>
      <c r="J27" s="2145">
        <f t="shared" si="4"/>
        <v>0</v>
      </c>
      <c r="K27" s="2145">
        <f t="shared" si="5"/>
        <v>0</v>
      </c>
      <c r="L27" s="2146"/>
      <c r="W27" s="1352">
        <f t="shared" si="9"/>
        <v>10</v>
      </c>
      <c r="X27" s="1367">
        <f>IF(W27=1,Adm!$AP$3,0)</f>
        <v>0</v>
      </c>
      <c r="Z27" s="1153"/>
      <c r="AC27" s="1375">
        <f t="shared" si="13"/>
        <v>0</v>
      </c>
      <c r="AD27" s="1373">
        <f t="shared" si="10"/>
        <v>0</v>
      </c>
      <c r="AE27" s="1373">
        <f t="shared" si="14"/>
        <v>0</v>
      </c>
      <c r="AF27" s="1373">
        <f t="shared" si="12"/>
        <v>0</v>
      </c>
      <c r="AG27" s="1371">
        <f t="shared" si="11"/>
        <v>0</v>
      </c>
      <c r="AH27" s="1359" t="e">
        <f>HLOOKUP($AH$13,Sustitución,11,0)</f>
        <v>#N/A</v>
      </c>
      <c r="AJ27" s="1360">
        <f>Captura!AI97</f>
        <v>0</v>
      </c>
    </row>
    <row r="28" spans="1:36">
      <c r="A28" s="1118">
        <f t="shared" ca="1" si="0"/>
        <v>2</v>
      </c>
      <c r="B28" s="1101">
        <f t="shared" si="1"/>
        <v>0</v>
      </c>
      <c r="C28" s="2149">
        <f t="shared" si="2"/>
        <v>0</v>
      </c>
      <c r="D28" s="2150">
        <f t="shared" si="6"/>
        <v>0</v>
      </c>
      <c r="E28" s="2145">
        <f t="shared" si="7"/>
        <v>0</v>
      </c>
      <c r="F28" s="2145">
        <f t="shared" si="3"/>
        <v>0</v>
      </c>
      <c r="G28" s="2145">
        <f t="shared" si="8"/>
        <v>0</v>
      </c>
      <c r="H28" s="2145">
        <f>IF(K27&lt;0.01,0,IF(Adm!$S$4=Adm!$S$8,0,K27*Adm!$V$4))</f>
        <v>0</v>
      </c>
      <c r="I28" s="2145">
        <f>IF(K27&lt;0.01,0,IF($I$16&lt;&gt;"",Adm!$Q$6*1.16,0))</f>
        <v>0</v>
      </c>
      <c r="J28" s="2145">
        <f t="shared" si="4"/>
        <v>0</v>
      </c>
      <c r="K28" s="2145">
        <f t="shared" si="5"/>
        <v>0</v>
      </c>
      <c r="L28" s="2146"/>
      <c r="W28" s="1352">
        <f t="shared" si="9"/>
        <v>11</v>
      </c>
      <c r="X28" s="1367">
        <f>IF(W28=1,Adm!$AP$3,0)</f>
        <v>0</v>
      </c>
      <c r="Z28" s="1153"/>
      <c r="AC28" s="1375">
        <f t="shared" si="13"/>
        <v>0</v>
      </c>
      <c r="AD28" s="1373">
        <f t="shared" si="10"/>
        <v>0</v>
      </c>
      <c r="AE28" s="1373">
        <f t="shared" si="14"/>
        <v>0</v>
      </c>
      <c r="AF28" s="1373">
        <f t="shared" si="12"/>
        <v>0</v>
      </c>
      <c r="AG28" s="1371">
        <f t="shared" si="11"/>
        <v>0</v>
      </c>
      <c r="AH28" s="1359" t="e">
        <f>HLOOKUP($AH$13,Sustitución,12,0)</f>
        <v>#N/A</v>
      </c>
      <c r="AJ28" s="1360">
        <f>Captura!AI98</f>
        <v>0</v>
      </c>
    </row>
    <row r="29" spans="1:36">
      <c r="A29" s="1118">
        <f t="shared" ca="1" si="0"/>
        <v>3</v>
      </c>
      <c r="B29" s="1101">
        <f t="shared" si="1"/>
        <v>0</v>
      </c>
      <c r="C29" s="2149">
        <f t="shared" si="2"/>
        <v>0</v>
      </c>
      <c r="D29" s="2150">
        <f t="shared" si="6"/>
        <v>0</v>
      </c>
      <c r="E29" s="2145">
        <f t="shared" si="7"/>
        <v>0</v>
      </c>
      <c r="F29" s="2145">
        <f t="shared" si="3"/>
        <v>0</v>
      </c>
      <c r="G29" s="2145">
        <f t="shared" si="8"/>
        <v>0</v>
      </c>
      <c r="H29" s="2145">
        <f>IF(K28&lt;0.01,0,IF(Adm!$S$4=Adm!$S$8,0,K28*Adm!$V$4))</f>
        <v>0</v>
      </c>
      <c r="I29" s="2145">
        <f>IF(K28&lt;0.01,0,IF($I$16&lt;&gt;"",Adm!$Q$6*1.16,0))</f>
        <v>0</v>
      </c>
      <c r="J29" s="2145">
        <f t="shared" si="4"/>
        <v>0</v>
      </c>
      <c r="K29" s="2145">
        <f t="shared" si="5"/>
        <v>0</v>
      </c>
      <c r="L29" s="2146"/>
      <c r="W29" s="1352">
        <f t="shared" si="9"/>
        <v>12</v>
      </c>
      <c r="X29" s="1367">
        <f>IF(W29=1,Adm!$AP$3,0)</f>
        <v>0</v>
      </c>
      <c r="Z29" s="1153"/>
      <c r="AC29" s="1375">
        <f t="shared" si="13"/>
        <v>0</v>
      </c>
      <c r="AD29" s="1373">
        <f t="shared" si="10"/>
        <v>0</v>
      </c>
      <c r="AE29" s="1373">
        <f t="shared" si="14"/>
        <v>0</v>
      </c>
      <c r="AF29" s="1373">
        <f t="shared" si="12"/>
        <v>0</v>
      </c>
      <c r="AG29" s="1371">
        <f t="shared" si="11"/>
        <v>0</v>
      </c>
      <c r="AH29" s="1359" t="e">
        <f>HLOOKUP($AH$13,Sustitución,13,0)</f>
        <v>#N/A</v>
      </c>
      <c r="AJ29" s="1360">
        <f>Captura!AI99</f>
        <v>0</v>
      </c>
    </row>
    <row r="30" spans="1:36">
      <c r="A30" s="1118">
        <f t="shared" ca="1" si="0"/>
        <v>4</v>
      </c>
      <c r="B30" s="1101">
        <f t="shared" si="1"/>
        <v>0</v>
      </c>
      <c r="C30" s="2149">
        <f t="shared" si="2"/>
        <v>0</v>
      </c>
      <c r="D30" s="2150">
        <f t="shared" si="6"/>
        <v>0</v>
      </c>
      <c r="E30" s="2145">
        <f t="shared" si="7"/>
        <v>0</v>
      </c>
      <c r="F30" s="2145">
        <f t="shared" si="3"/>
        <v>0</v>
      </c>
      <c r="G30" s="2145">
        <f t="shared" si="8"/>
        <v>0</v>
      </c>
      <c r="H30" s="2145">
        <f>IF(K29&lt;0.01,0,IF(Adm!$S$4=Adm!$S$8,0,K29*Adm!$V$4))</f>
        <v>0</v>
      </c>
      <c r="I30" s="2145">
        <f>IF(K29&lt;0.01,0,IF($I$16&lt;&gt;"",Adm!$Q$6*1.16,0))</f>
        <v>0</v>
      </c>
      <c r="J30" s="2145">
        <f t="shared" si="4"/>
        <v>0</v>
      </c>
      <c r="K30" s="2145">
        <f t="shared" si="5"/>
        <v>0</v>
      </c>
      <c r="L30" s="2146"/>
      <c r="W30" s="1352">
        <f t="shared" si="9"/>
        <v>1</v>
      </c>
      <c r="X30" s="1367">
        <f>IF(W30=1,Adm!$AP$3,0)</f>
        <v>0</v>
      </c>
      <c r="Z30" s="1153"/>
      <c r="AC30" s="1375">
        <f t="shared" si="13"/>
        <v>0</v>
      </c>
      <c r="AD30" s="1373">
        <f t="shared" si="10"/>
        <v>0</v>
      </c>
      <c r="AE30" s="1373">
        <f t="shared" si="14"/>
        <v>0</v>
      </c>
      <c r="AF30" s="1373">
        <f t="shared" si="12"/>
        <v>0</v>
      </c>
      <c r="AG30" s="1371">
        <f t="shared" si="11"/>
        <v>0</v>
      </c>
      <c r="AH30" s="1359" t="e">
        <f>HLOOKUP($AH$13,Sustitución,14,0)</f>
        <v>#N/A</v>
      </c>
      <c r="AJ30" s="1360">
        <f>Captura!AI100</f>
        <v>0</v>
      </c>
    </row>
    <row r="31" spans="1:36">
      <c r="A31" s="1118">
        <f t="shared" ca="1" si="0"/>
        <v>5</v>
      </c>
      <c r="B31" s="1101">
        <f t="shared" si="1"/>
        <v>0</v>
      </c>
      <c r="C31" s="2149">
        <f t="shared" si="2"/>
        <v>0</v>
      </c>
      <c r="D31" s="2150">
        <f t="shared" si="6"/>
        <v>0</v>
      </c>
      <c r="E31" s="2145">
        <f t="shared" si="7"/>
        <v>0</v>
      </c>
      <c r="F31" s="2145">
        <f t="shared" si="3"/>
        <v>0</v>
      </c>
      <c r="G31" s="2145">
        <f t="shared" si="8"/>
        <v>0</v>
      </c>
      <c r="H31" s="2145">
        <f>IF(K30&lt;0.01,0,IF(Adm!$S$4=Adm!$S$8,0,K30*Adm!$V$4))</f>
        <v>0</v>
      </c>
      <c r="I31" s="2145">
        <f>IF(K30&lt;0.01,0,IF($I$16&lt;&gt;"",Adm!$Q$6*1.16,0))</f>
        <v>0</v>
      </c>
      <c r="J31" s="2145">
        <f t="shared" si="4"/>
        <v>0</v>
      </c>
      <c r="K31" s="2145">
        <f t="shared" si="5"/>
        <v>0</v>
      </c>
      <c r="L31" s="2146"/>
      <c r="W31" s="1352">
        <f t="shared" si="9"/>
        <v>2</v>
      </c>
      <c r="X31" s="1367">
        <f>IF(W31=1,Adm!$AP$3,0)</f>
        <v>0</v>
      </c>
      <c r="Z31" s="1153"/>
      <c r="AC31" s="1375">
        <f t="shared" si="13"/>
        <v>0</v>
      </c>
      <c r="AD31" s="1373">
        <f t="shared" si="10"/>
        <v>0</v>
      </c>
      <c r="AE31" s="1373">
        <f t="shared" si="14"/>
        <v>0</v>
      </c>
      <c r="AF31" s="1373">
        <f t="shared" si="12"/>
        <v>0</v>
      </c>
      <c r="AG31" s="1371">
        <f t="shared" si="11"/>
        <v>0</v>
      </c>
      <c r="AH31" s="1359" t="e">
        <f>HLOOKUP($AH$13,Sustitución,15,0)</f>
        <v>#N/A</v>
      </c>
      <c r="AJ31" s="1360">
        <f>Captura!AI101</f>
        <v>0</v>
      </c>
    </row>
    <row r="32" spans="1:36">
      <c r="A32" s="1118">
        <f t="shared" ca="1" si="0"/>
        <v>6</v>
      </c>
      <c r="B32" s="1101">
        <f t="shared" si="1"/>
        <v>0</v>
      </c>
      <c r="C32" s="2149">
        <f t="shared" si="2"/>
        <v>0</v>
      </c>
      <c r="D32" s="2150">
        <f t="shared" si="6"/>
        <v>0</v>
      </c>
      <c r="E32" s="2145">
        <f t="shared" si="7"/>
        <v>0</v>
      </c>
      <c r="F32" s="2145">
        <f t="shared" si="3"/>
        <v>0</v>
      </c>
      <c r="G32" s="2145">
        <f t="shared" si="8"/>
        <v>0</v>
      </c>
      <c r="H32" s="2145">
        <f>IF(K31&lt;0.01,0,IF(Adm!$S$4=Adm!$S$8,0,K31*Adm!$V$4))</f>
        <v>0</v>
      </c>
      <c r="I32" s="2145">
        <f>IF(K31&lt;0.01,0,IF($I$16&lt;&gt;"",Adm!$Q$6*1.16,0))</f>
        <v>0</v>
      </c>
      <c r="J32" s="2145">
        <f t="shared" si="4"/>
        <v>0</v>
      </c>
      <c r="K32" s="2145">
        <f t="shared" si="5"/>
        <v>0</v>
      </c>
      <c r="L32" s="2146"/>
      <c r="W32" s="1352">
        <f t="shared" si="9"/>
        <v>3</v>
      </c>
      <c r="X32" s="1367">
        <f>IF(W32=1,Adm!$AP$3,0)</f>
        <v>0</v>
      </c>
      <c r="Z32" s="1153"/>
      <c r="AC32" s="1375">
        <f t="shared" si="13"/>
        <v>0</v>
      </c>
      <c r="AD32" s="1373">
        <f t="shared" si="10"/>
        <v>0</v>
      </c>
      <c r="AE32" s="1373">
        <f t="shared" si="14"/>
        <v>0</v>
      </c>
      <c r="AF32" s="1373">
        <f t="shared" si="12"/>
        <v>0</v>
      </c>
      <c r="AG32" s="1371">
        <f t="shared" si="11"/>
        <v>0</v>
      </c>
      <c r="AH32" s="1359" t="e">
        <f>HLOOKUP($AH$13,Sustitución,16,0)</f>
        <v>#N/A</v>
      </c>
      <c r="AJ32" s="1360">
        <f>Captura!AI102</f>
        <v>0</v>
      </c>
    </row>
    <row r="33" spans="1:36">
      <c r="A33" s="1118">
        <f t="shared" ca="1" si="0"/>
        <v>7</v>
      </c>
      <c r="B33" s="1101">
        <f t="shared" si="1"/>
        <v>0</v>
      </c>
      <c r="C33" s="2149">
        <f t="shared" si="2"/>
        <v>0</v>
      </c>
      <c r="D33" s="2150">
        <f t="shared" si="6"/>
        <v>0</v>
      </c>
      <c r="E33" s="2145">
        <f t="shared" si="7"/>
        <v>0</v>
      </c>
      <c r="F33" s="2145">
        <f t="shared" si="3"/>
        <v>0</v>
      </c>
      <c r="G33" s="2145">
        <f t="shared" si="8"/>
        <v>0</v>
      </c>
      <c r="H33" s="2145">
        <f>IF(K32&lt;0.01,0,IF(Adm!$S$4=Adm!$S$8,0,K32*Adm!$V$4))</f>
        <v>0</v>
      </c>
      <c r="I33" s="2145">
        <f>IF(K32&lt;0.01,0,IF($I$16&lt;&gt;"",Adm!$Q$6*1.16,0))</f>
        <v>0</v>
      </c>
      <c r="J33" s="2145">
        <f t="shared" si="4"/>
        <v>0</v>
      </c>
      <c r="K33" s="2145">
        <f t="shared" si="5"/>
        <v>0</v>
      </c>
      <c r="L33" s="2146"/>
      <c r="W33" s="1352">
        <f t="shared" si="9"/>
        <v>4</v>
      </c>
      <c r="X33" s="1367">
        <f>IF(W33=1,Adm!$AP$3,0)</f>
        <v>0</v>
      </c>
      <c r="Z33" s="1153"/>
      <c r="AC33" s="1375">
        <f t="shared" si="13"/>
        <v>0</v>
      </c>
      <c r="AD33" s="1373">
        <f t="shared" si="10"/>
        <v>0</v>
      </c>
      <c r="AE33" s="1373">
        <f t="shared" si="14"/>
        <v>0</v>
      </c>
      <c r="AF33" s="1373">
        <f t="shared" si="12"/>
        <v>0</v>
      </c>
      <c r="AG33" s="1371">
        <f t="shared" si="11"/>
        <v>0</v>
      </c>
      <c r="AH33" s="1359" t="e">
        <f>HLOOKUP($AH$13,Sustitución,17,0)</f>
        <v>#N/A</v>
      </c>
      <c r="AJ33" s="1360">
        <f>Captura!AI103</f>
        <v>0</v>
      </c>
    </row>
    <row r="34" spans="1:36">
      <c r="A34" s="1118">
        <f t="shared" ca="1" si="0"/>
        <v>8</v>
      </c>
      <c r="B34" s="1101">
        <f t="shared" si="1"/>
        <v>0</v>
      </c>
      <c r="C34" s="2149">
        <f t="shared" si="2"/>
        <v>0</v>
      </c>
      <c r="D34" s="2150">
        <f t="shared" si="6"/>
        <v>0</v>
      </c>
      <c r="E34" s="2145">
        <f t="shared" si="7"/>
        <v>0</v>
      </c>
      <c r="F34" s="2145">
        <f t="shared" si="3"/>
        <v>0</v>
      </c>
      <c r="G34" s="2145">
        <f t="shared" si="8"/>
        <v>0</v>
      </c>
      <c r="H34" s="2145">
        <f>IF(K33&lt;0.01,0,IF(Adm!$S$4=Adm!$S$8,0,K33*Adm!$V$4))</f>
        <v>0</v>
      </c>
      <c r="I34" s="2145">
        <f>IF(K33&lt;0.01,0,IF($I$16&lt;&gt;"",Adm!$Q$6*1.16,0))</f>
        <v>0</v>
      </c>
      <c r="J34" s="2145">
        <f t="shared" si="4"/>
        <v>0</v>
      </c>
      <c r="K34" s="2145">
        <f t="shared" si="5"/>
        <v>0</v>
      </c>
      <c r="L34" s="2146"/>
      <c r="W34" s="1352">
        <f t="shared" si="9"/>
        <v>5</v>
      </c>
      <c r="X34" s="1367">
        <f>IF(W34=1,Adm!$AP$3,0)</f>
        <v>0</v>
      </c>
      <c r="Z34" s="1153"/>
      <c r="AC34" s="1375">
        <f t="shared" si="13"/>
        <v>0</v>
      </c>
      <c r="AD34" s="1373">
        <f t="shared" si="10"/>
        <v>0</v>
      </c>
      <c r="AE34" s="1373">
        <f t="shared" si="14"/>
        <v>0</v>
      </c>
      <c r="AF34" s="1373">
        <f t="shared" si="12"/>
        <v>0</v>
      </c>
      <c r="AG34" s="1371">
        <f t="shared" si="11"/>
        <v>0</v>
      </c>
      <c r="AH34" s="1359" t="e">
        <f>HLOOKUP($AH$13,Sustitución,18,0)</f>
        <v>#N/A</v>
      </c>
      <c r="AJ34" s="1360">
        <f>Captura!AI104</f>
        <v>0</v>
      </c>
    </row>
    <row r="35" spans="1:36">
      <c r="A35" s="1118">
        <f t="shared" ca="1" si="0"/>
        <v>9</v>
      </c>
      <c r="B35" s="1101">
        <f t="shared" si="1"/>
        <v>0</v>
      </c>
      <c r="C35" s="2149">
        <f t="shared" si="2"/>
        <v>0</v>
      </c>
      <c r="D35" s="2150">
        <f t="shared" si="6"/>
        <v>0</v>
      </c>
      <c r="E35" s="2145">
        <f t="shared" si="7"/>
        <v>0</v>
      </c>
      <c r="F35" s="2145">
        <f t="shared" si="3"/>
        <v>0</v>
      </c>
      <c r="G35" s="2145">
        <f t="shared" si="8"/>
        <v>0</v>
      </c>
      <c r="H35" s="2145">
        <f>IF(K34&lt;0.01,0,IF(Adm!$S$4=Adm!$S$8,0,K34*Adm!$V$4))</f>
        <v>0</v>
      </c>
      <c r="I35" s="2145">
        <f>IF(K34&lt;0.01,0,IF($I$16&lt;&gt;"",Adm!$Q$6*1.16,0))</f>
        <v>0</v>
      </c>
      <c r="J35" s="2145">
        <f t="shared" si="4"/>
        <v>0</v>
      </c>
      <c r="K35" s="2145">
        <f t="shared" si="5"/>
        <v>0</v>
      </c>
      <c r="L35" s="2146"/>
      <c r="W35" s="1352">
        <f t="shared" si="9"/>
        <v>6</v>
      </c>
      <c r="X35" s="1367">
        <f>IF(W35=1,Adm!$AP$3,0)</f>
        <v>0</v>
      </c>
      <c r="Z35" s="1153"/>
      <c r="AC35" s="1375">
        <f t="shared" si="13"/>
        <v>0</v>
      </c>
      <c r="AD35" s="1373">
        <f t="shared" si="10"/>
        <v>0</v>
      </c>
      <c r="AE35" s="1373">
        <f t="shared" si="14"/>
        <v>0</v>
      </c>
      <c r="AF35" s="1373">
        <f t="shared" si="12"/>
        <v>0</v>
      </c>
      <c r="AG35" s="1371">
        <f t="shared" si="11"/>
        <v>0</v>
      </c>
      <c r="AH35" s="1359" t="e">
        <f>HLOOKUP($AH$13,Sustitución,19,0)</f>
        <v>#N/A</v>
      </c>
      <c r="AJ35" s="1360">
        <f>Captura!AI105</f>
        <v>0</v>
      </c>
    </row>
    <row r="36" spans="1:36">
      <c r="A36" s="1118">
        <f t="shared" ca="1" si="0"/>
        <v>10</v>
      </c>
      <c r="B36" s="1101">
        <f t="shared" si="1"/>
        <v>0</v>
      </c>
      <c r="C36" s="2149">
        <f t="shared" si="2"/>
        <v>0</v>
      </c>
      <c r="D36" s="2150">
        <f t="shared" si="6"/>
        <v>0</v>
      </c>
      <c r="E36" s="2145">
        <f t="shared" si="7"/>
        <v>0</v>
      </c>
      <c r="F36" s="2145">
        <f t="shared" si="3"/>
        <v>0</v>
      </c>
      <c r="G36" s="2145">
        <f t="shared" si="8"/>
        <v>0</v>
      </c>
      <c r="H36" s="2145">
        <f>IF(K35&lt;0.01,0,IF(Adm!$S$4=Adm!$S$8,0,K35*Adm!$V$4))</f>
        <v>0</v>
      </c>
      <c r="I36" s="2145">
        <f>IF(K35&lt;0.01,0,IF($I$16&lt;&gt;"",Adm!$Q$6*1.16,0))</f>
        <v>0</v>
      </c>
      <c r="J36" s="2145">
        <f t="shared" si="4"/>
        <v>0</v>
      </c>
      <c r="K36" s="2145">
        <f t="shared" si="5"/>
        <v>0</v>
      </c>
      <c r="L36" s="2146"/>
      <c r="W36" s="1352">
        <f t="shared" si="9"/>
        <v>7</v>
      </c>
      <c r="X36" s="1367">
        <f>IF(W36=1,Adm!$AP$3,0)</f>
        <v>0</v>
      </c>
      <c r="Z36" s="1153"/>
      <c r="AC36" s="1375">
        <f t="shared" si="13"/>
        <v>0</v>
      </c>
      <c r="AD36" s="1373">
        <f t="shared" si="10"/>
        <v>0</v>
      </c>
      <c r="AE36" s="1373">
        <f t="shared" si="14"/>
        <v>0</v>
      </c>
      <c r="AF36" s="1373">
        <f t="shared" si="12"/>
        <v>0</v>
      </c>
      <c r="AG36" s="1371">
        <f t="shared" si="11"/>
        <v>0</v>
      </c>
      <c r="AH36" s="1359" t="e">
        <f>HLOOKUP($AH$13,Sustitución,20,0)</f>
        <v>#N/A</v>
      </c>
      <c r="AJ36" s="1360">
        <f>Captura!AI106</f>
        <v>0</v>
      </c>
    </row>
    <row r="37" spans="1:36">
      <c r="A37" s="1118">
        <f t="shared" ca="1" si="0"/>
        <v>11</v>
      </c>
      <c r="B37" s="1101">
        <f t="shared" si="1"/>
        <v>0</v>
      </c>
      <c r="C37" s="2149">
        <f t="shared" si="2"/>
        <v>0</v>
      </c>
      <c r="D37" s="2150">
        <f t="shared" si="6"/>
        <v>0</v>
      </c>
      <c r="E37" s="2145">
        <f t="shared" si="7"/>
        <v>0</v>
      </c>
      <c r="F37" s="2145">
        <f t="shared" si="3"/>
        <v>0</v>
      </c>
      <c r="G37" s="2145">
        <f t="shared" si="8"/>
        <v>0</v>
      </c>
      <c r="H37" s="2145">
        <f>IF(K36&lt;0.01,0,IF(Adm!$S$4=Adm!$S$8,0,K36*Adm!$V$4))</f>
        <v>0</v>
      </c>
      <c r="I37" s="2145">
        <f>IF(K36&lt;0.01,0,IF($I$16&lt;&gt;"",Adm!$Q$6*1.16,0))</f>
        <v>0</v>
      </c>
      <c r="J37" s="2145">
        <f t="shared" si="4"/>
        <v>0</v>
      </c>
      <c r="K37" s="2145">
        <f t="shared" si="5"/>
        <v>0</v>
      </c>
      <c r="L37" s="2146"/>
      <c r="W37" s="1352">
        <f t="shared" si="9"/>
        <v>8</v>
      </c>
      <c r="X37" s="1367">
        <f>IF(W37=1,Adm!$AP$3,0)</f>
        <v>0</v>
      </c>
      <c r="Z37" s="1153"/>
      <c r="AC37" s="1375">
        <f t="shared" si="13"/>
        <v>0</v>
      </c>
      <c r="AD37" s="1373">
        <f t="shared" si="10"/>
        <v>0</v>
      </c>
      <c r="AE37" s="1373">
        <f t="shared" si="14"/>
        <v>0</v>
      </c>
      <c r="AF37" s="1373">
        <f t="shared" si="12"/>
        <v>0</v>
      </c>
      <c r="AG37" s="1371">
        <f t="shared" si="11"/>
        <v>0</v>
      </c>
      <c r="AH37" s="1359" t="e">
        <f>HLOOKUP($AH$13,Sustitución,21,0)</f>
        <v>#N/A</v>
      </c>
      <c r="AJ37" s="1360">
        <f>Captura!AI107</f>
        <v>0</v>
      </c>
    </row>
    <row r="38" spans="1:36">
      <c r="A38" s="1118">
        <f t="shared" ca="1" si="0"/>
        <v>12</v>
      </c>
      <c r="B38" s="1101">
        <f t="shared" si="1"/>
        <v>0</v>
      </c>
      <c r="C38" s="2149">
        <f t="shared" si="2"/>
        <v>0</v>
      </c>
      <c r="D38" s="2150">
        <f t="shared" si="6"/>
        <v>0</v>
      </c>
      <c r="E38" s="2145">
        <f t="shared" si="7"/>
        <v>0</v>
      </c>
      <c r="F38" s="2145">
        <f t="shared" si="3"/>
        <v>0</v>
      </c>
      <c r="G38" s="2145">
        <f t="shared" si="8"/>
        <v>0</v>
      </c>
      <c r="H38" s="2145">
        <f>IF(K37&lt;0.01,0,IF(Adm!$S$4=Adm!$S$8,0,K37*Adm!$V$4))</f>
        <v>0</v>
      </c>
      <c r="I38" s="2145">
        <f>IF(K37&lt;0.01,0,IF($I$16&lt;&gt;"",Adm!$Q$6*1.16,0))</f>
        <v>0</v>
      </c>
      <c r="J38" s="2145">
        <f t="shared" si="4"/>
        <v>0</v>
      </c>
      <c r="K38" s="2145">
        <f t="shared" si="5"/>
        <v>0</v>
      </c>
      <c r="L38" s="2146"/>
      <c r="W38" s="1352">
        <f t="shared" si="9"/>
        <v>9</v>
      </c>
      <c r="X38" s="1367">
        <f>IF(W38=1,Adm!$AP$3,0)</f>
        <v>0</v>
      </c>
      <c r="Z38" s="1153"/>
      <c r="AC38" s="1375">
        <f t="shared" si="13"/>
        <v>0</v>
      </c>
      <c r="AD38" s="1373">
        <f t="shared" si="10"/>
        <v>0</v>
      </c>
      <c r="AE38" s="1373">
        <f t="shared" si="14"/>
        <v>0</v>
      </c>
      <c r="AF38" s="1373">
        <f t="shared" si="12"/>
        <v>0</v>
      </c>
      <c r="AG38" s="1371">
        <f t="shared" si="11"/>
        <v>0</v>
      </c>
      <c r="AH38" s="1359" t="e">
        <f>HLOOKUP($AH$13,Sustitución,22,0)</f>
        <v>#N/A</v>
      </c>
      <c r="AJ38" s="1360">
        <f>Captura!AI108</f>
        <v>0</v>
      </c>
    </row>
    <row r="39" spans="1:36">
      <c r="A39" s="1118">
        <f t="shared" ca="1" si="0"/>
        <v>1</v>
      </c>
      <c r="B39" s="1101">
        <f t="shared" si="1"/>
        <v>0</v>
      </c>
      <c r="C39" s="2149">
        <f t="shared" si="2"/>
        <v>0</v>
      </c>
      <c r="D39" s="2150">
        <f t="shared" si="6"/>
        <v>0</v>
      </c>
      <c r="E39" s="2145">
        <f t="shared" si="7"/>
        <v>0</v>
      </c>
      <c r="F39" s="2145">
        <f t="shared" si="3"/>
        <v>0</v>
      </c>
      <c r="G39" s="2145">
        <f t="shared" si="8"/>
        <v>0</v>
      </c>
      <c r="H39" s="2145">
        <f>IF(K38&lt;0.01,0,IF(Adm!$S$4=Adm!$S$8,0,K38*Adm!$V$4))</f>
        <v>0</v>
      </c>
      <c r="I39" s="2145">
        <f>IF(K38&lt;0.01,0,IF($I$16&lt;&gt;"",Adm!$Q$6*1.16,0))</f>
        <v>0</v>
      </c>
      <c r="J39" s="2145">
        <f t="shared" si="4"/>
        <v>0</v>
      </c>
      <c r="K39" s="2145">
        <f t="shared" si="5"/>
        <v>0</v>
      </c>
      <c r="L39" s="2146"/>
      <c r="W39" s="1352">
        <f t="shared" si="9"/>
        <v>10</v>
      </c>
      <c r="X39" s="1367">
        <f>IF(W39=1,Adm!$AP$3,0)</f>
        <v>0</v>
      </c>
      <c r="Z39" s="1153"/>
      <c r="AC39" s="1375">
        <f t="shared" si="13"/>
        <v>0</v>
      </c>
      <c r="AD39" s="1373">
        <f t="shared" si="10"/>
        <v>0</v>
      </c>
      <c r="AE39" s="1373">
        <f t="shared" si="14"/>
        <v>0</v>
      </c>
      <c r="AF39" s="1373">
        <f t="shared" si="12"/>
        <v>0</v>
      </c>
      <c r="AG39" s="1371">
        <f t="shared" si="11"/>
        <v>0</v>
      </c>
      <c r="AH39" s="1359" t="e">
        <f>HLOOKUP($AH$13,Sustitución,23,0)</f>
        <v>#N/A</v>
      </c>
      <c r="AJ39" s="1360">
        <f>Captura!AI109</f>
        <v>0</v>
      </c>
    </row>
    <row r="40" spans="1:36">
      <c r="A40" s="1118">
        <f t="shared" ca="1" si="0"/>
        <v>2</v>
      </c>
      <c r="B40" s="1101">
        <f t="shared" si="1"/>
        <v>0</v>
      </c>
      <c r="C40" s="2149">
        <f t="shared" si="2"/>
        <v>0</v>
      </c>
      <c r="D40" s="2150">
        <f t="shared" si="6"/>
        <v>0</v>
      </c>
      <c r="E40" s="2145">
        <f t="shared" si="7"/>
        <v>0</v>
      </c>
      <c r="F40" s="2145">
        <f t="shared" si="3"/>
        <v>0</v>
      </c>
      <c r="G40" s="2145">
        <f t="shared" si="8"/>
        <v>0</v>
      </c>
      <c r="H40" s="2145">
        <f>IF(K39&lt;0.01,0,IF(Adm!$S$4=Adm!$S$8,0,K39*Adm!$V$4))</f>
        <v>0</v>
      </c>
      <c r="I40" s="2145">
        <f>IF(K39&lt;0.01,0,IF($I$16&lt;&gt;"",Adm!$Q$6*1.16,0))</f>
        <v>0</v>
      </c>
      <c r="J40" s="2145">
        <f t="shared" si="4"/>
        <v>0</v>
      </c>
      <c r="K40" s="2145">
        <f t="shared" si="5"/>
        <v>0</v>
      </c>
      <c r="L40" s="2146"/>
      <c r="W40" s="1352">
        <f t="shared" si="9"/>
        <v>11</v>
      </c>
      <c r="X40" s="1367">
        <f>IF(W40=1,Adm!$AP$3,0)</f>
        <v>0</v>
      </c>
      <c r="Z40" s="1153"/>
      <c r="AC40" s="1375">
        <f t="shared" si="13"/>
        <v>0</v>
      </c>
      <c r="AD40" s="1373">
        <f t="shared" si="10"/>
        <v>0</v>
      </c>
      <c r="AE40" s="1373">
        <f t="shared" si="14"/>
        <v>0</v>
      </c>
      <c r="AF40" s="1373">
        <f t="shared" si="12"/>
        <v>0</v>
      </c>
      <c r="AG40" s="1371">
        <f t="shared" si="11"/>
        <v>0</v>
      </c>
      <c r="AH40" s="1359" t="e">
        <f>HLOOKUP($AH$13,Sustitución,24,0)</f>
        <v>#N/A</v>
      </c>
      <c r="AJ40" s="1360">
        <f>Captura!AI110</f>
        <v>0</v>
      </c>
    </row>
    <row r="41" spans="1:36">
      <c r="A41" s="1118">
        <f t="shared" ca="1" si="0"/>
        <v>3</v>
      </c>
      <c r="B41" s="1101">
        <f t="shared" si="1"/>
        <v>0</v>
      </c>
      <c r="C41" s="2149">
        <f t="shared" si="2"/>
        <v>0</v>
      </c>
      <c r="D41" s="2150">
        <f t="shared" si="6"/>
        <v>0</v>
      </c>
      <c r="E41" s="2145">
        <f t="shared" si="7"/>
        <v>0</v>
      </c>
      <c r="F41" s="2145">
        <f t="shared" si="3"/>
        <v>0</v>
      </c>
      <c r="G41" s="2145">
        <f t="shared" si="8"/>
        <v>0</v>
      </c>
      <c r="H41" s="2145">
        <f>IF(K40&lt;0.01,0,IF(Adm!$S$4=Adm!$S$8,0,K40*Adm!$V$4))</f>
        <v>0</v>
      </c>
      <c r="I41" s="2145">
        <f>IF(K40&lt;0.01,0,IF($I$16&lt;&gt;"",Adm!$Q$6*1.16,0))</f>
        <v>0</v>
      </c>
      <c r="J41" s="2145">
        <f t="shared" si="4"/>
        <v>0</v>
      </c>
      <c r="K41" s="2145">
        <f t="shared" si="5"/>
        <v>0</v>
      </c>
      <c r="L41" s="2146"/>
      <c r="W41" s="1352">
        <f t="shared" si="9"/>
        <v>12</v>
      </c>
      <c r="X41" s="1367">
        <f>IF(W41=1,Adm!$AP$3,0)</f>
        <v>0</v>
      </c>
      <c r="Z41" s="1153"/>
      <c r="AC41" s="1375">
        <f t="shared" si="13"/>
        <v>0</v>
      </c>
      <c r="AD41" s="1373">
        <f t="shared" si="10"/>
        <v>0</v>
      </c>
      <c r="AE41" s="1373">
        <f t="shared" si="14"/>
        <v>0</v>
      </c>
      <c r="AF41" s="1373">
        <f t="shared" si="12"/>
        <v>0</v>
      </c>
      <c r="AG41" s="1371">
        <f t="shared" si="11"/>
        <v>0</v>
      </c>
      <c r="AH41" s="1359" t="e">
        <f>HLOOKUP($AH$13,Sustitución,25,0)</f>
        <v>#N/A</v>
      </c>
      <c r="AJ41" s="1360">
        <f>Captura!AI111</f>
        <v>0</v>
      </c>
    </row>
    <row r="42" spans="1:36">
      <c r="A42" s="1118">
        <f t="shared" ca="1" si="0"/>
        <v>4</v>
      </c>
      <c r="B42" s="1101">
        <f t="shared" si="1"/>
        <v>0</v>
      </c>
      <c r="C42" s="2149">
        <f t="shared" si="2"/>
        <v>0</v>
      </c>
      <c r="D42" s="2150">
        <f t="shared" si="6"/>
        <v>0</v>
      </c>
      <c r="E42" s="2145">
        <f t="shared" si="7"/>
        <v>0</v>
      </c>
      <c r="F42" s="2145">
        <f t="shared" si="3"/>
        <v>0</v>
      </c>
      <c r="G42" s="2145">
        <f t="shared" si="8"/>
        <v>0</v>
      </c>
      <c r="H42" s="2145">
        <f>IF(K41&lt;0.01,0,IF(Adm!$S$4=Adm!$S$8,0,K41*Adm!$V$4))</f>
        <v>0</v>
      </c>
      <c r="I42" s="2145">
        <f>IF(K41&lt;0.01,0,IF($I$16&lt;&gt;"",Adm!$Q$6*1.16,0))</f>
        <v>0</v>
      </c>
      <c r="J42" s="2145">
        <f t="shared" si="4"/>
        <v>0</v>
      </c>
      <c r="K42" s="2145">
        <f t="shared" si="5"/>
        <v>0</v>
      </c>
      <c r="L42" s="2146"/>
      <c r="W42" s="1352">
        <f t="shared" si="9"/>
        <v>1</v>
      </c>
      <c r="X42" s="1367">
        <f>IF(W42=1,Adm!$AP$3,0)</f>
        <v>0</v>
      </c>
      <c r="Z42" s="1153"/>
      <c r="AC42" s="1375">
        <f t="shared" si="13"/>
        <v>0</v>
      </c>
      <c r="AD42" s="1373">
        <f t="shared" si="10"/>
        <v>0</v>
      </c>
      <c r="AE42" s="1373">
        <f t="shared" si="14"/>
        <v>0</v>
      </c>
      <c r="AF42" s="1373">
        <f t="shared" si="12"/>
        <v>0</v>
      </c>
      <c r="AG42" s="1371">
        <f t="shared" si="11"/>
        <v>0</v>
      </c>
      <c r="AH42" s="1359" t="e">
        <f>HLOOKUP($AH$13,Sustitución,26,0)</f>
        <v>#N/A</v>
      </c>
      <c r="AJ42" s="1360">
        <f>Captura!AI112</f>
        <v>0</v>
      </c>
    </row>
    <row r="43" spans="1:36">
      <c r="A43" s="1118">
        <f t="shared" ca="1" si="0"/>
        <v>5</v>
      </c>
      <c r="B43" s="1101">
        <f t="shared" si="1"/>
        <v>0</v>
      </c>
      <c r="C43" s="2149">
        <f t="shared" si="2"/>
        <v>0</v>
      </c>
      <c r="D43" s="2150">
        <f t="shared" si="6"/>
        <v>0</v>
      </c>
      <c r="E43" s="2145">
        <f t="shared" si="7"/>
        <v>0</v>
      </c>
      <c r="F43" s="2145">
        <f t="shared" si="3"/>
        <v>0</v>
      </c>
      <c r="G43" s="2145">
        <f t="shared" si="8"/>
        <v>0</v>
      </c>
      <c r="H43" s="2145">
        <f>IF(K42&lt;0.01,0,IF(Adm!$S$4=Adm!$S$8,0,K42*Adm!$V$4))</f>
        <v>0</v>
      </c>
      <c r="I43" s="2145">
        <f>IF(K42&lt;0.01,0,IF($I$16&lt;&gt;"",Adm!$Q$6*1.16,0))</f>
        <v>0</v>
      </c>
      <c r="J43" s="2145">
        <f t="shared" si="4"/>
        <v>0</v>
      </c>
      <c r="K43" s="2145">
        <f t="shared" si="5"/>
        <v>0</v>
      </c>
      <c r="L43" s="2146"/>
      <c r="W43" s="1352">
        <f t="shared" si="9"/>
        <v>2</v>
      </c>
      <c r="X43" s="1367">
        <f>IF(W43=1,Adm!$AP$3,0)</f>
        <v>0</v>
      </c>
      <c r="Z43" s="1153"/>
      <c r="AC43" s="1375">
        <f t="shared" si="13"/>
        <v>0</v>
      </c>
      <c r="AD43" s="1373">
        <f t="shared" si="10"/>
        <v>0</v>
      </c>
      <c r="AE43" s="1373">
        <f t="shared" si="14"/>
        <v>0</v>
      </c>
      <c r="AF43" s="1373">
        <f t="shared" si="12"/>
        <v>0</v>
      </c>
      <c r="AG43" s="1371">
        <f t="shared" si="11"/>
        <v>0</v>
      </c>
      <c r="AH43" s="1359" t="e">
        <f>HLOOKUP($AH$13,Sustitución,27,0)</f>
        <v>#N/A</v>
      </c>
      <c r="AJ43" s="1360">
        <f>Captura!AI113</f>
        <v>0</v>
      </c>
    </row>
    <row r="44" spans="1:36">
      <c r="A44" s="1118">
        <f t="shared" ca="1" si="0"/>
        <v>6</v>
      </c>
      <c r="B44" s="1101">
        <f t="shared" si="1"/>
        <v>0</v>
      </c>
      <c r="C44" s="2149">
        <f t="shared" si="2"/>
        <v>0</v>
      </c>
      <c r="D44" s="2150">
        <f t="shared" si="6"/>
        <v>0</v>
      </c>
      <c r="E44" s="2145">
        <f t="shared" si="7"/>
        <v>0</v>
      </c>
      <c r="F44" s="2145">
        <f t="shared" si="3"/>
        <v>0</v>
      </c>
      <c r="G44" s="2145">
        <f t="shared" si="8"/>
        <v>0</v>
      </c>
      <c r="H44" s="2145">
        <f>IF(K43&lt;0.01,0,IF(Adm!$S$4=Adm!$S$8,0,K43*Adm!$V$4))</f>
        <v>0</v>
      </c>
      <c r="I44" s="2145">
        <f>IF(K43&lt;0.01,0,IF($I$16&lt;&gt;"",Adm!$Q$6*1.16,0))</f>
        <v>0</v>
      </c>
      <c r="J44" s="2145">
        <f t="shared" si="4"/>
        <v>0</v>
      </c>
      <c r="K44" s="2145">
        <f t="shared" si="5"/>
        <v>0</v>
      </c>
      <c r="L44" s="2146"/>
      <c r="W44" s="1352">
        <f t="shared" si="9"/>
        <v>3</v>
      </c>
      <c r="X44" s="1367">
        <f>IF(W44=1,Adm!$AP$3,0)</f>
        <v>0</v>
      </c>
      <c r="Z44" s="1153"/>
      <c r="AC44" s="1375">
        <f t="shared" si="13"/>
        <v>0</v>
      </c>
      <c r="AD44" s="1373">
        <f t="shared" si="10"/>
        <v>0</v>
      </c>
      <c r="AE44" s="1373">
        <f t="shared" si="14"/>
        <v>0</v>
      </c>
      <c r="AF44" s="1373">
        <f t="shared" si="12"/>
        <v>0</v>
      </c>
      <c r="AG44" s="1371">
        <f t="shared" si="11"/>
        <v>0</v>
      </c>
      <c r="AH44" s="1359" t="e">
        <f>HLOOKUP($AH$13,Sustitución,28,0)</f>
        <v>#N/A</v>
      </c>
      <c r="AJ44" s="1360">
        <f>Captura!AI114</f>
        <v>0</v>
      </c>
    </row>
    <row r="45" spans="1:36">
      <c r="A45" s="1118">
        <f t="shared" ca="1" si="0"/>
        <v>7</v>
      </c>
      <c r="B45" s="1101">
        <f t="shared" si="1"/>
        <v>0</v>
      </c>
      <c r="C45" s="2149">
        <f t="shared" si="2"/>
        <v>0</v>
      </c>
      <c r="D45" s="2150">
        <f t="shared" si="6"/>
        <v>0</v>
      </c>
      <c r="E45" s="2145">
        <f t="shared" si="7"/>
        <v>0</v>
      </c>
      <c r="F45" s="2145">
        <f t="shared" si="3"/>
        <v>0</v>
      </c>
      <c r="G45" s="2145">
        <f t="shared" si="8"/>
        <v>0</v>
      </c>
      <c r="H45" s="2145">
        <f>IF(K44&lt;0.01,0,IF(Adm!$S$4=Adm!$S$8,0,K44*Adm!$V$4))</f>
        <v>0</v>
      </c>
      <c r="I45" s="2145">
        <f>IF(K44&lt;0.01,0,IF($I$16&lt;&gt;"",Adm!$Q$6*1.16,0))</f>
        <v>0</v>
      </c>
      <c r="J45" s="2145">
        <f t="shared" si="4"/>
        <v>0</v>
      </c>
      <c r="K45" s="2145">
        <f t="shared" si="5"/>
        <v>0</v>
      </c>
      <c r="L45" s="2146"/>
      <c r="W45" s="1352">
        <f t="shared" si="9"/>
        <v>4</v>
      </c>
      <c r="X45" s="1367">
        <f>IF(W45=1,Adm!$AP$3,0)</f>
        <v>0</v>
      </c>
      <c r="Z45" s="1153"/>
      <c r="AC45" s="1375">
        <f t="shared" si="13"/>
        <v>0</v>
      </c>
      <c r="AD45" s="1373">
        <f t="shared" si="10"/>
        <v>0</v>
      </c>
      <c r="AE45" s="1373">
        <f t="shared" si="14"/>
        <v>0</v>
      </c>
      <c r="AF45" s="1373">
        <f t="shared" si="12"/>
        <v>0</v>
      </c>
      <c r="AG45" s="1371">
        <f t="shared" si="11"/>
        <v>0</v>
      </c>
      <c r="AH45" s="1359" t="e">
        <f>HLOOKUP($AH$13,Sustitución,29,0)</f>
        <v>#N/A</v>
      </c>
      <c r="AJ45" s="1360">
        <f>Captura!AI115</f>
        <v>0</v>
      </c>
    </row>
    <row r="46" spans="1:36">
      <c r="A46" s="1118">
        <f t="shared" ca="1" si="0"/>
        <v>8</v>
      </c>
      <c r="B46" s="1101">
        <f t="shared" si="1"/>
        <v>0</v>
      </c>
      <c r="C46" s="2149">
        <f t="shared" si="2"/>
        <v>0</v>
      </c>
      <c r="D46" s="2150">
        <f t="shared" si="6"/>
        <v>0</v>
      </c>
      <c r="E46" s="2145">
        <f t="shared" si="7"/>
        <v>0</v>
      </c>
      <c r="F46" s="2145">
        <f t="shared" si="3"/>
        <v>0</v>
      </c>
      <c r="G46" s="2145">
        <f t="shared" si="8"/>
        <v>0</v>
      </c>
      <c r="H46" s="2145">
        <f>IF(K45&lt;0.01,0,IF(Adm!$S$4=Adm!$S$8,0,K45*Adm!$V$4))</f>
        <v>0</v>
      </c>
      <c r="I46" s="2145">
        <f>IF(K45&lt;0.01,0,IF($I$16&lt;&gt;"",Adm!$Q$6*1.16,0))</f>
        <v>0</v>
      </c>
      <c r="J46" s="2145">
        <f t="shared" si="4"/>
        <v>0</v>
      </c>
      <c r="K46" s="2145">
        <f t="shared" si="5"/>
        <v>0</v>
      </c>
      <c r="L46" s="2146"/>
      <c r="W46" s="1352">
        <f t="shared" si="9"/>
        <v>5</v>
      </c>
      <c r="X46" s="1367">
        <f>IF(W46=1,Adm!$AP$3,0)</f>
        <v>0</v>
      </c>
      <c r="Z46" s="1153"/>
      <c r="AC46" s="1375">
        <f t="shared" si="13"/>
        <v>0</v>
      </c>
      <c r="AD46" s="1373">
        <f t="shared" si="10"/>
        <v>0</v>
      </c>
      <c r="AE46" s="1373">
        <f t="shared" si="14"/>
        <v>0</v>
      </c>
      <c r="AF46" s="1373">
        <f t="shared" si="12"/>
        <v>0</v>
      </c>
      <c r="AG46" s="1371">
        <f t="shared" si="11"/>
        <v>0</v>
      </c>
      <c r="AH46" s="1359" t="e">
        <f>HLOOKUP($AH$13,Sustitución,30,0)</f>
        <v>#N/A</v>
      </c>
      <c r="AJ46" s="1360">
        <f>Captura!AI116</f>
        <v>0</v>
      </c>
    </row>
    <row r="47" spans="1:36">
      <c r="A47" s="1118">
        <f t="shared" ca="1" si="0"/>
        <v>9</v>
      </c>
      <c r="B47" s="1101">
        <f t="shared" si="1"/>
        <v>0</v>
      </c>
      <c r="C47" s="2149">
        <f t="shared" si="2"/>
        <v>0</v>
      </c>
      <c r="D47" s="2150">
        <f t="shared" si="6"/>
        <v>0</v>
      </c>
      <c r="E47" s="2145">
        <f t="shared" si="7"/>
        <v>0</v>
      </c>
      <c r="F47" s="2145">
        <f t="shared" si="3"/>
        <v>0</v>
      </c>
      <c r="G47" s="2145">
        <f t="shared" si="8"/>
        <v>0</v>
      </c>
      <c r="H47" s="2145">
        <f>IF(K46&lt;0.01,0,IF(Adm!$S$4=Adm!$S$8,0,K46*Adm!$V$4))</f>
        <v>0</v>
      </c>
      <c r="I47" s="2145">
        <f>IF(K46&lt;0.01,0,IF($I$16&lt;&gt;"",Adm!$Q$6*1.16,0))</f>
        <v>0</v>
      </c>
      <c r="J47" s="2145">
        <f t="shared" si="4"/>
        <v>0</v>
      </c>
      <c r="K47" s="2145">
        <f t="shared" si="5"/>
        <v>0</v>
      </c>
      <c r="L47" s="2146"/>
      <c r="W47" s="1352">
        <f t="shared" si="9"/>
        <v>6</v>
      </c>
      <c r="X47" s="1367">
        <f>IF(W47=1,Adm!$AP$3,0)</f>
        <v>0</v>
      </c>
      <c r="Z47" s="1153"/>
      <c r="AC47" s="1375">
        <f t="shared" si="13"/>
        <v>0</v>
      </c>
      <c r="AD47" s="1373">
        <f t="shared" si="10"/>
        <v>0</v>
      </c>
      <c r="AE47" s="1373">
        <f t="shared" si="14"/>
        <v>0</v>
      </c>
      <c r="AF47" s="1373">
        <f t="shared" si="12"/>
        <v>0</v>
      </c>
      <c r="AG47" s="1371">
        <f t="shared" si="11"/>
        <v>0</v>
      </c>
      <c r="AH47" s="1359" t="e">
        <f>HLOOKUP($AH$13,Sustitución,31,0)</f>
        <v>#N/A</v>
      </c>
      <c r="AJ47" s="1360">
        <f>Captura!AI117</f>
        <v>0</v>
      </c>
    </row>
    <row r="48" spans="1:36">
      <c r="A48" s="1118">
        <f t="shared" ca="1" si="0"/>
        <v>10</v>
      </c>
      <c r="B48" s="1101">
        <f t="shared" si="1"/>
        <v>0</v>
      </c>
      <c r="C48" s="2149">
        <f t="shared" si="2"/>
        <v>0</v>
      </c>
      <c r="D48" s="2150">
        <f t="shared" si="6"/>
        <v>0</v>
      </c>
      <c r="E48" s="2145">
        <f t="shared" si="7"/>
        <v>0</v>
      </c>
      <c r="F48" s="2145">
        <f t="shared" si="3"/>
        <v>0</v>
      </c>
      <c r="G48" s="2145">
        <f t="shared" si="8"/>
        <v>0</v>
      </c>
      <c r="H48" s="2145">
        <f>IF(K47&lt;0.01,0,IF(Adm!$S$4=Adm!$S$8,0,K47*Adm!$V$4))</f>
        <v>0</v>
      </c>
      <c r="I48" s="2145">
        <f>IF(K47&lt;0.01,0,IF($I$16&lt;&gt;"",Adm!$Q$6*1.16,0))</f>
        <v>0</v>
      </c>
      <c r="J48" s="2145">
        <f t="shared" si="4"/>
        <v>0</v>
      </c>
      <c r="K48" s="2145">
        <f t="shared" si="5"/>
        <v>0</v>
      </c>
      <c r="L48" s="2146"/>
      <c r="W48" s="1352">
        <f t="shared" si="9"/>
        <v>7</v>
      </c>
      <c r="X48" s="1367">
        <f>IF(W48=1,Adm!$AP$3,0)</f>
        <v>0</v>
      </c>
      <c r="Z48" s="1153"/>
      <c r="AC48" s="1375">
        <f t="shared" si="13"/>
        <v>0</v>
      </c>
      <c r="AD48" s="1373">
        <f t="shared" si="10"/>
        <v>0</v>
      </c>
      <c r="AE48" s="1373">
        <f t="shared" si="14"/>
        <v>0</v>
      </c>
      <c r="AF48" s="1373">
        <f t="shared" si="12"/>
        <v>0</v>
      </c>
      <c r="AG48" s="1371">
        <f t="shared" si="11"/>
        <v>0</v>
      </c>
      <c r="AH48" s="1359" t="e">
        <f>HLOOKUP($AH$13,Sustitución,32,0)</f>
        <v>#N/A</v>
      </c>
      <c r="AJ48" s="1360">
        <f>Captura!AI118</f>
        <v>0</v>
      </c>
    </row>
    <row r="49" spans="1:36">
      <c r="A49" s="1118">
        <f t="shared" ca="1" si="0"/>
        <v>11</v>
      </c>
      <c r="B49" s="1101">
        <f t="shared" si="1"/>
        <v>0</v>
      </c>
      <c r="C49" s="2149">
        <f t="shared" si="2"/>
        <v>0</v>
      </c>
      <c r="D49" s="2150">
        <f t="shared" si="6"/>
        <v>0</v>
      </c>
      <c r="E49" s="2145">
        <f t="shared" si="7"/>
        <v>0</v>
      </c>
      <c r="F49" s="2145">
        <f t="shared" si="3"/>
        <v>0</v>
      </c>
      <c r="G49" s="2145">
        <f t="shared" si="8"/>
        <v>0</v>
      </c>
      <c r="H49" s="2145">
        <f>IF(K48&lt;0.01,0,IF(Adm!$S$4=Adm!$S$8,0,K48*Adm!$V$4))</f>
        <v>0</v>
      </c>
      <c r="I49" s="2145">
        <f>IF(K48&lt;0.01,0,IF($I$16&lt;&gt;"",Adm!$Q$6*1.16,0))</f>
        <v>0</v>
      </c>
      <c r="J49" s="2145">
        <f t="shared" si="4"/>
        <v>0</v>
      </c>
      <c r="K49" s="2145">
        <f t="shared" si="5"/>
        <v>0</v>
      </c>
      <c r="L49" s="2146"/>
      <c r="W49" s="1352">
        <f t="shared" si="9"/>
        <v>8</v>
      </c>
      <c r="X49" s="1367">
        <f>IF(W49=1,Adm!$AP$3,0)</f>
        <v>0</v>
      </c>
      <c r="Z49" s="1153"/>
      <c r="AC49" s="1375">
        <f t="shared" si="13"/>
        <v>0</v>
      </c>
      <c r="AD49" s="1373">
        <f t="shared" si="10"/>
        <v>0</v>
      </c>
      <c r="AE49" s="1373">
        <f t="shared" si="14"/>
        <v>0</v>
      </c>
      <c r="AF49" s="1373">
        <f t="shared" si="12"/>
        <v>0</v>
      </c>
      <c r="AG49" s="1371">
        <f t="shared" si="11"/>
        <v>0</v>
      </c>
      <c r="AH49" s="1359" t="e">
        <f>HLOOKUP($AH$13,Sustitución,33,0)</f>
        <v>#N/A</v>
      </c>
      <c r="AJ49" s="1360">
        <f>Captura!AI119</f>
        <v>0</v>
      </c>
    </row>
    <row r="50" spans="1:36">
      <c r="A50" s="1118">
        <f t="shared" ca="1" si="0"/>
        <v>12</v>
      </c>
      <c r="B50" s="1101">
        <f t="shared" si="1"/>
        <v>0</v>
      </c>
      <c r="C50" s="2149">
        <f t="shared" si="2"/>
        <v>0</v>
      </c>
      <c r="D50" s="2150">
        <f t="shared" si="6"/>
        <v>0</v>
      </c>
      <c r="E50" s="2145">
        <f t="shared" si="7"/>
        <v>0</v>
      </c>
      <c r="F50" s="2145">
        <f t="shared" si="3"/>
        <v>0</v>
      </c>
      <c r="G50" s="2145">
        <f t="shared" si="8"/>
        <v>0</v>
      </c>
      <c r="H50" s="2145">
        <f>IF(K49&lt;0.01,0,IF(Adm!$S$4=Adm!$S$8,0,K49*Adm!$V$4))</f>
        <v>0</v>
      </c>
      <c r="I50" s="2145">
        <f>IF(K49&lt;0.01,0,IF($I$16&lt;&gt;"",Adm!$Q$6*1.16,0))</f>
        <v>0</v>
      </c>
      <c r="J50" s="2145">
        <f t="shared" si="4"/>
        <v>0</v>
      </c>
      <c r="K50" s="2145">
        <f t="shared" si="5"/>
        <v>0</v>
      </c>
      <c r="L50" s="2146"/>
      <c r="W50" s="1352">
        <f t="shared" si="9"/>
        <v>9</v>
      </c>
      <c r="X50" s="1367">
        <f>IF(W50=1,Adm!$AP$3,0)</f>
        <v>0</v>
      </c>
      <c r="Z50" s="1153"/>
      <c r="AC50" s="1375">
        <f t="shared" si="13"/>
        <v>0</v>
      </c>
      <c r="AD50" s="1373">
        <f t="shared" si="10"/>
        <v>0</v>
      </c>
      <c r="AE50" s="1373">
        <f t="shared" si="14"/>
        <v>0</v>
      </c>
      <c r="AF50" s="1373">
        <f t="shared" si="12"/>
        <v>0</v>
      </c>
      <c r="AG50" s="1371">
        <f t="shared" si="11"/>
        <v>0</v>
      </c>
      <c r="AH50" s="1359" t="e">
        <f>HLOOKUP($AH$13,Sustitución,34,0)</f>
        <v>#N/A</v>
      </c>
      <c r="AJ50" s="1360">
        <f>Captura!AI120</f>
        <v>0</v>
      </c>
    </row>
    <row r="51" spans="1:36">
      <c r="A51" s="1118">
        <f t="shared" ca="1" si="0"/>
        <v>1</v>
      </c>
      <c r="B51" s="1101">
        <f t="shared" si="1"/>
        <v>0</v>
      </c>
      <c r="C51" s="2149">
        <f t="shared" si="2"/>
        <v>0</v>
      </c>
      <c r="D51" s="2150">
        <f t="shared" si="6"/>
        <v>0</v>
      </c>
      <c r="E51" s="2145">
        <f t="shared" si="7"/>
        <v>0</v>
      </c>
      <c r="F51" s="2145">
        <f t="shared" si="3"/>
        <v>0</v>
      </c>
      <c r="G51" s="2145">
        <f t="shared" si="8"/>
        <v>0</v>
      </c>
      <c r="H51" s="2145">
        <f>IF(K50&lt;0.01,0,IF(Adm!$S$4=Adm!$S$8,0,K50*Adm!$V$4))</f>
        <v>0</v>
      </c>
      <c r="I51" s="2145">
        <f>IF(K50&lt;0.01,0,IF($I$16&lt;&gt;"",Adm!$Q$6*1.16,0))</f>
        <v>0</v>
      </c>
      <c r="J51" s="2145">
        <f t="shared" si="4"/>
        <v>0</v>
      </c>
      <c r="K51" s="2145">
        <f t="shared" si="5"/>
        <v>0</v>
      </c>
      <c r="L51" s="2146"/>
      <c r="W51" s="1352">
        <f t="shared" si="9"/>
        <v>10</v>
      </c>
      <c r="X51" s="1367">
        <f>IF(W51=1,Adm!$AP$3,0)</f>
        <v>0</v>
      </c>
      <c r="Z51" s="1153"/>
      <c r="AC51" s="1375">
        <f t="shared" si="13"/>
        <v>0</v>
      </c>
      <c r="AD51" s="1373">
        <f t="shared" si="10"/>
        <v>0</v>
      </c>
      <c r="AE51" s="1373">
        <f t="shared" si="14"/>
        <v>0</v>
      </c>
      <c r="AF51" s="1373">
        <f t="shared" si="12"/>
        <v>0</v>
      </c>
      <c r="AG51" s="1371">
        <f t="shared" si="11"/>
        <v>0</v>
      </c>
      <c r="AH51" s="1359" t="e">
        <f>HLOOKUP($AH$13,Sustitución,35,0)</f>
        <v>#N/A</v>
      </c>
      <c r="AJ51" s="1360">
        <f>Captura!AI121</f>
        <v>0</v>
      </c>
    </row>
    <row r="52" spans="1:36">
      <c r="A52" s="1118">
        <f t="shared" ca="1" si="0"/>
        <v>2</v>
      </c>
      <c r="B52" s="1101">
        <f t="shared" si="1"/>
        <v>0</v>
      </c>
      <c r="C52" s="2149">
        <f t="shared" si="2"/>
        <v>0</v>
      </c>
      <c r="D52" s="2150">
        <f t="shared" si="6"/>
        <v>0</v>
      </c>
      <c r="E52" s="2145">
        <f t="shared" si="7"/>
        <v>0</v>
      </c>
      <c r="F52" s="2145">
        <f t="shared" si="3"/>
        <v>0</v>
      </c>
      <c r="G52" s="2145">
        <f t="shared" si="8"/>
        <v>0</v>
      </c>
      <c r="H52" s="2145">
        <f>IF(K51&lt;0.01,0,IF(Adm!$S$4=Adm!$S$8,0,K51*Adm!$V$4))</f>
        <v>0</v>
      </c>
      <c r="I52" s="2145">
        <f>IF(K51&lt;0.01,0,IF($I$16&lt;&gt;"",Adm!$Q$6*1.16,0))</f>
        <v>0</v>
      </c>
      <c r="J52" s="2145">
        <f t="shared" si="4"/>
        <v>0</v>
      </c>
      <c r="K52" s="2145">
        <f t="shared" si="5"/>
        <v>0</v>
      </c>
      <c r="L52" s="2146"/>
      <c r="W52" s="1352">
        <f t="shared" si="9"/>
        <v>11</v>
      </c>
      <c r="X52" s="1367">
        <f>IF(W52=1,Adm!$AP$3,0)</f>
        <v>0</v>
      </c>
      <c r="Z52" s="1153"/>
      <c r="AC52" s="1375">
        <f t="shared" si="13"/>
        <v>0</v>
      </c>
      <c r="AD52" s="1373">
        <f t="shared" si="10"/>
        <v>0</v>
      </c>
      <c r="AE52" s="1373">
        <f t="shared" si="14"/>
        <v>0</v>
      </c>
      <c r="AF52" s="1373">
        <f t="shared" si="12"/>
        <v>0</v>
      </c>
      <c r="AG52" s="1371">
        <f t="shared" si="11"/>
        <v>0</v>
      </c>
      <c r="AH52" s="1359" t="e">
        <f>HLOOKUP($AH$13,Sustitución,36,0)</f>
        <v>#N/A</v>
      </c>
      <c r="AJ52" s="1360">
        <f>Captura!AI122</f>
        <v>0</v>
      </c>
    </row>
    <row r="53" spans="1:36">
      <c r="A53" s="1118">
        <f t="shared" ca="1" si="0"/>
        <v>3</v>
      </c>
      <c r="B53" s="1101">
        <f t="shared" si="1"/>
        <v>0</v>
      </c>
      <c r="C53" s="2149">
        <f t="shared" si="2"/>
        <v>0</v>
      </c>
      <c r="D53" s="2150">
        <f t="shared" si="6"/>
        <v>0</v>
      </c>
      <c r="E53" s="2145">
        <f t="shared" si="7"/>
        <v>0</v>
      </c>
      <c r="F53" s="2145">
        <f t="shared" si="3"/>
        <v>0</v>
      </c>
      <c r="G53" s="2145">
        <f t="shared" si="8"/>
        <v>0</v>
      </c>
      <c r="H53" s="2145">
        <f>IF(K52&lt;0.01,0,IF(Adm!$S$4=Adm!$S$8,0,K52*Adm!$V$4))</f>
        <v>0</v>
      </c>
      <c r="I53" s="2145">
        <f>IF(K52&lt;0.01,0,IF($I$16&lt;&gt;"",Adm!$Q$6*1.16,0))</f>
        <v>0</v>
      </c>
      <c r="J53" s="2145">
        <f t="shared" si="4"/>
        <v>0</v>
      </c>
      <c r="K53" s="2145">
        <f t="shared" si="5"/>
        <v>0</v>
      </c>
      <c r="L53" s="2146"/>
      <c r="W53" s="1352">
        <f t="shared" si="9"/>
        <v>12</v>
      </c>
      <c r="X53" s="1367">
        <f>IF(W53=1,Adm!$AP$3,0)</f>
        <v>0</v>
      </c>
      <c r="Z53" s="1153"/>
      <c r="AC53" s="1375">
        <f t="shared" si="13"/>
        <v>0</v>
      </c>
      <c r="AD53" s="1373">
        <f t="shared" si="10"/>
        <v>0</v>
      </c>
      <c r="AE53" s="1373">
        <f t="shared" si="14"/>
        <v>0</v>
      </c>
      <c r="AF53" s="1373">
        <f t="shared" si="12"/>
        <v>0</v>
      </c>
      <c r="AG53" s="1371">
        <f t="shared" si="11"/>
        <v>0</v>
      </c>
      <c r="AH53" s="1359" t="e">
        <f>HLOOKUP($AH$13,Sustitución,37,0)</f>
        <v>#N/A</v>
      </c>
      <c r="AJ53" s="1360">
        <f>Captura!AI123</f>
        <v>0</v>
      </c>
    </row>
    <row r="54" spans="1:36">
      <c r="A54" s="1118">
        <f t="shared" ca="1" si="0"/>
        <v>4</v>
      </c>
      <c r="B54" s="1101">
        <f t="shared" si="1"/>
        <v>0</v>
      </c>
      <c r="C54" s="2149">
        <f t="shared" si="2"/>
        <v>0</v>
      </c>
      <c r="D54" s="2150">
        <f t="shared" si="6"/>
        <v>0</v>
      </c>
      <c r="E54" s="2145">
        <f t="shared" si="7"/>
        <v>0</v>
      </c>
      <c r="F54" s="2145">
        <f t="shared" si="3"/>
        <v>0</v>
      </c>
      <c r="G54" s="2145">
        <f t="shared" si="8"/>
        <v>0</v>
      </c>
      <c r="H54" s="2145">
        <f>IF(K53&lt;0.01,0,IF(Adm!$S$4=Adm!$S$8,0,K53*Adm!$V$4))</f>
        <v>0</v>
      </c>
      <c r="I54" s="2145">
        <f>IF(K53&lt;0.01,0,IF($I$16&lt;&gt;"",Adm!$Q$6*1.16,0))</f>
        <v>0</v>
      </c>
      <c r="J54" s="2145">
        <f t="shared" si="4"/>
        <v>0</v>
      </c>
      <c r="K54" s="2145">
        <f t="shared" si="5"/>
        <v>0</v>
      </c>
      <c r="L54" s="2146"/>
      <c r="W54" s="1352">
        <f t="shared" si="9"/>
        <v>1</v>
      </c>
      <c r="X54" s="1367">
        <f>IF(W54=1,Adm!$AP$3,0)</f>
        <v>0</v>
      </c>
      <c r="Z54" s="1153"/>
      <c r="AC54" s="1375">
        <f t="shared" si="13"/>
        <v>0</v>
      </c>
      <c r="AD54" s="1373">
        <f t="shared" si="10"/>
        <v>0</v>
      </c>
      <c r="AE54" s="1373">
        <f t="shared" si="14"/>
        <v>0</v>
      </c>
      <c r="AF54" s="1373">
        <f t="shared" si="12"/>
        <v>0</v>
      </c>
      <c r="AG54" s="1371">
        <f t="shared" si="11"/>
        <v>0</v>
      </c>
      <c r="AH54" s="1359" t="e">
        <f>HLOOKUP($AH$13,Sustitución,38,0)</f>
        <v>#N/A</v>
      </c>
      <c r="AJ54" s="1360">
        <f>Captura!AI124</f>
        <v>0</v>
      </c>
    </row>
    <row r="55" spans="1:36">
      <c r="A55" s="1118">
        <f t="shared" ca="1" si="0"/>
        <v>5</v>
      </c>
      <c r="B55" s="1101">
        <f t="shared" si="1"/>
        <v>0</v>
      </c>
      <c r="C55" s="2149">
        <f t="shared" si="2"/>
        <v>0</v>
      </c>
      <c r="D55" s="2150">
        <f t="shared" si="6"/>
        <v>0</v>
      </c>
      <c r="E55" s="2145">
        <f t="shared" si="7"/>
        <v>0</v>
      </c>
      <c r="F55" s="2145">
        <f t="shared" si="3"/>
        <v>0</v>
      </c>
      <c r="G55" s="2145">
        <f t="shared" si="8"/>
        <v>0</v>
      </c>
      <c r="H55" s="2145">
        <f>IF(K54&lt;0.01,0,IF(Adm!$S$4=Adm!$S$8,0,K54*Adm!$V$4))</f>
        <v>0</v>
      </c>
      <c r="I55" s="2145">
        <f>IF(K54&lt;0.01,0,IF($I$16&lt;&gt;"",Adm!$Q$6*1.16,0))</f>
        <v>0</v>
      </c>
      <c r="J55" s="2145">
        <f t="shared" si="4"/>
        <v>0</v>
      </c>
      <c r="K55" s="2145">
        <f t="shared" si="5"/>
        <v>0</v>
      </c>
      <c r="L55" s="2146"/>
      <c r="W55" s="1352">
        <f t="shared" si="9"/>
        <v>2</v>
      </c>
      <c r="X55" s="1367">
        <f>IF(W55=1,Adm!$AP$3,0)</f>
        <v>0</v>
      </c>
      <c r="Z55" s="1153"/>
      <c r="AC55" s="1375">
        <f t="shared" si="13"/>
        <v>0</v>
      </c>
      <c r="AD55" s="1373">
        <f t="shared" si="10"/>
        <v>0</v>
      </c>
      <c r="AE55" s="1373">
        <f t="shared" si="14"/>
        <v>0</v>
      </c>
      <c r="AF55" s="1373">
        <f t="shared" si="12"/>
        <v>0</v>
      </c>
      <c r="AG55" s="1371">
        <f t="shared" si="11"/>
        <v>0</v>
      </c>
      <c r="AH55" s="1359" t="e">
        <f>HLOOKUP($AH$13,Sustitución,39,0)</f>
        <v>#N/A</v>
      </c>
      <c r="AJ55" s="1360">
        <f>Captura!AI125</f>
        <v>0</v>
      </c>
    </row>
    <row r="56" spans="1:36">
      <c r="A56" s="1118">
        <f t="shared" ca="1" si="0"/>
        <v>6</v>
      </c>
      <c r="B56" s="1101">
        <f t="shared" si="1"/>
        <v>0</v>
      </c>
      <c r="C56" s="2149">
        <f t="shared" si="2"/>
        <v>0</v>
      </c>
      <c r="D56" s="2150">
        <f t="shared" si="6"/>
        <v>0</v>
      </c>
      <c r="E56" s="2145">
        <f t="shared" si="7"/>
        <v>0</v>
      </c>
      <c r="F56" s="2145">
        <f t="shared" si="3"/>
        <v>0</v>
      </c>
      <c r="G56" s="2145">
        <f t="shared" si="8"/>
        <v>0</v>
      </c>
      <c r="H56" s="2145">
        <f>IF(K55&lt;0.01,0,IF(Adm!$S$4=Adm!$S$8,0,K55*Adm!$V$4))</f>
        <v>0</v>
      </c>
      <c r="I56" s="2145">
        <f>IF(K55&lt;0.01,0,IF($I$16&lt;&gt;"",Adm!$Q$6*1.16,0))</f>
        <v>0</v>
      </c>
      <c r="J56" s="2145">
        <f t="shared" si="4"/>
        <v>0</v>
      </c>
      <c r="K56" s="2145">
        <f t="shared" si="5"/>
        <v>0</v>
      </c>
      <c r="L56" s="2146"/>
      <c r="W56" s="1352">
        <f t="shared" si="9"/>
        <v>3</v>
      </c>
      <c r="X56" s="1367">
        <f>IF(W56=1,Adm!$AP$3,0)</f>
        <v>0</v>
      </c>
      <c r="Z56" s="1153"/>
      <c r="AC56" s="1375">
        <f t="shared" si="13"/>
        <v>0</v>
      </c>
      <c r="AD56" s="1373">
        <f t="shared" si="10"/>
        <v>0</v>
      </c>
      <c r="AE56" s="1373">
        <f t="shared" si="14"/>
        <v>0</v>
      </c>
      <c r="AF56" s="1373">
        <f t="shared" si="12"/>
        <v>0</v>
      </c>
      <c r="AG56" s="1371">
        <f t="shared" si="11"/>
        <v>0</v>
      </c>
      <c r="AH56" s="1359" t="e">
        <f>HLOOKUP($AH$13,Sustitución,40,0)</f>
        <v>#N/A</v>
      </c>
      <c r="AJ56" s="1360">
        <f>Captura!AI126</f>
        <v>0</v>
      </c>
    </row>
    <row r="57" spans="1:36">
      <c r="A57" s="1118">
        <f t="shared" ca="1" si="0"/>
        <v>7</v>
      </c>
      <c r="B57" s="1101">
        <f t="shared" si="1"/>
        <v>0</v>
      </c>
      <c r="C57" s="2149">
        <f t="shared" si="2"/>
        <v>0</v>
      </c>
      <c r="D57" s="2150">
        <f t="shared" si="6"/>
        <v>0</v>
      </c>
      <c r="E57" s="2145">
        <f t="shared" si="7"/>
        <v>0</v>
      </c>
      <c r="F57" s="2145">
        <f t="shared" si="3"/>
        <v>0</v>
      </c>
      <c r="G57" s="2145">
        <f t="shared" si="8"/>
        <v>0</v>
      </c>
      <c r="H57" s="2145">
        <f>IF(K56&lt;0.01,0,IF(Adm!$S$4=Adm!$S$8,0,K56*Adm!$V$4))</f>
        <v>0</v>
      </c>
      <c r="I57" s="2145">
        <f>IF(K56&lt;0.01,0,IF($I$16&lt;&gt;"",Adm!$Q$6*1.16,0))</f>
        <v>0</v>
      </c>
      <c r="J57" s="2145">
        <f t="shared" si="4"/>
        <v>0</v>
      </c>
      <c r="K57" s="2145">
        <f t="shared" si="5"/>
        <v>0</v>
      </c>
      <c r="L57" s="2146"/>
      <c r="W57" s="1352">
        <f t="shared" si="9"/>
        <v>4</v>
      </c>
      <c r="X57" s="1367">
        <f>IF(W57=1,Adm!$AP$3,0)</f>
        <v>0</v>
      </c>
      <c r="Z57" s="1153"/>
      <c r="AC57" s="1375">
        <f t="shared" si="13"/>
        <v>0</v>
      </c>
      <c r="AD57" s="1373">
        <f t="shared" si="10"/>
        <v>0</v>
      </c>
      <c r="AE57" s="1373">
        <f t="shared" si="14"/>
        <v>0</v>
      </c>
      <c r="AF57" s="1373">
        <f t="shared" si="12"/>
        <v>0</v>
      </c>
      <c r="AG57" s="1371">
        <f t="shared" si="11"/>
        <v>0</v>
      </c>
      <c r="AH57" s="1359" t="e">
        <f>HLOOKUP($AH$13,Sustitución,41,0)</f>
        <v>#N/A</v>
      </c>
      <c r="AJ57" s="1360">
        <f>Captura!AI127</f>
        <v>0</v>
      </c>
    </row>
    <row r="58" spans="1:36">
      <c r="A58" s="1118">
        <f t="shared" ca="1" si="0"/>
        <v>8</v>
      </c>
      <c r="B58" s="1101">
        <f t="shared" si="1"/>
        <v>0</v>
      </c>
      <c r="C58" s="2149">
        <f t="shared" si="2"/>
        <v>0</v>
      </c>
      <c r="D58" s="2150">
        <f t="shared" si="6"/>
        <v>0</v>
      </c>
      <c r="E58" s="2145">
        <f t="shared" si="7"/>
        <v>0</v>
      </c>
      <c r="F58" s="2145">
        <f t="shared" si="3"/>
        <v>0</v>
      </c>
      <c r="G58" s="2145">
        <f t="shared" si="8"/>
        <v>0</v>
      </c>
      <c r="H58" s="2145">
        <f>IF(K57&lt;0.01,0,IF(Adm!$S$4=Adm!$S$8,0,K57*Adm!$V$4))</f>
        <v>0</v>
      </c>
      <c r="I58" s="2145">
        <f>IF(K57&lt;0.01,0,IF($I$16&lt;&gt;"",Adm!$Q$6*1.16,0))</f>
        <v>0</v>
      </c>
      <c r="J58" s="2145">
        <f t="shared" si="4"/>
        <v>0</v>
      </c>
      <c r="K58" s="2145">
        <f t="shared" si="5"/>
        <v>0</v>
      </c>
      <c r="L58" s="2146"/>
      <c r="W58" s="1352">
        <f t="shared" si="9"/>
        <v>5</v>
      </c>
      <c r="X58" s="1367">
        <f>IF(W58=1,Adm!$AP$3,0)</f>
        <v>0</v>
      </c>
      <c r="Z58" s="1153"/>
      <c r="AC58" s="1375">
        <f t="shared" si="13"/>
        <v>0</v>
      </c>
      <c r="AD58" s="1373">
        <f t="shared" si="10"/>
        <v>0</v>
      </c>
      <c r="AE58" s="1373">
        <f t="shared" si="14"/>
        <v>0</v>
      </c>
      <c r="AF58" s="1373">
        <f t="shared" si="12"/>
        <v>0</v>
      </c>
      <c r="AG58" s="1371">
        <f t="shared" si="11"/>
        <v>0</v>
      </c>
      <c r="AH58" s="1359" t="e">
        <f>HLOOKUP($AH$13,Sustitución,42,0)</f>
        <v>#N/A</v>
      </c>
      <c r="AJ58" s="1360">
        <f>Captura!AI128</f>
        <v>0</v>
      </c>
    </row>
    <row r="59" spans="1:36">
      <c r="A59" s="1118">
        <f t="shared" ca="1" si="0"/>
        <v>9</v>
      </c>
      <c r="B59" s="1101">
        <f t="shared" si="1"/>
        <v>0</v>
      </c>
      <c r="C59" s="2149">
        <f t="shared" si="2"/>
        <v>0</v>
      </c>
      <c r="D59" s="2150">
        <f t="shared" si="6"/>
        <v>0</v>
      </c>
      <c r="E59" s="2145">
        <f t="shared" si="7"/>
        <v>0</v>
      </c>
      <c r="F59" s="2145">
        <f t="shared" si="3"/>
        <v>0</v>
      </c>
      <c r="G59" s="2145">
        <f t="shared" si="8"/>
        <v>0</v>
      </c>
      <c r="H59" s="2145">
        <f>IF(K58&lt;0.01,0,IF(Adm!$S$4=Adm!$S$8,0,K58*Adm!$V$4))</f>
        <v>0</v>
      </c>
      <c r="I59" s="2145">
        <f>IF(K58&lt;0.01,0,IF($I$16&lt;&gt;"",Adm!$Q$6*1.16,0))</f>
        <v>0</v>
      </c>
      <c r="J59" s="2145">
        <f t="shared" si="4"/>
        <v>0</v>
      </c>
      <c r="K59" s="2145">
        <f t="shared" si="5"/>
        <v>0</v>
      </c>
      <c r="L59" s="2146"/>
      <c r="W59" s="1352">
        <f t="shared" si="9"/>
        <v>6</v>
      </c>
      <c r="X59" s="1367">
        <f>IF(W59=1,Adm!$AP$3,0)</f>
        <v>0</v>
      </c>
      <c r="Z59" s="1153"/>
      <c r="AC59" s="1375">
        <f t="shared" si="13"/>
        <v>0</v>
      </c>
      <c r="AD59" s="1373">
        <f t="shared" si="10"/>
        <v>0</v>
      </c>
      <c r="AE59" s="1373">
        <f t="shared" si="14"/>
        <v>0</v>
      </c>
      <c r="AF59" s="1373">
        <f t="shared" si="12"/>
        <v>0</v>
      </c>
      <c r="AG59" s="1371">
        <f t="shared" si="11"/>
        <v>0</v>
      </c>
      <c r="AH59" s="1359" t="e">
        <f>HLOOKUP($AH$13,Sustitución,43,0)</f>
        <v>#N/A</v>
      </c>
      <c r="AJ59" s="1360">
        <f>Captura!AI129</f>
        <v>0</v>
      </c>
    </row>
    <row r="60" spans="1:36">
      <c r="A60" s="1118">
        <f t="shared" ca="1" si="0"/>
        <v>10</v>
      </c>
      <c r="B60" s="1101">
        <f t="shared" si="1"/>
        <v>0</v>
      </c>
      <c r="C60" s="2149">
        <f t="shared" si="2"/>
        <v>0</v>
      </c>
      <c r="D60" s="2150">
        <f t="shared" si="6"/>
        <v>0</v>
      </c>
      <c r="E60" s="2145">
        <f t="shared" si="7"/>
        <v>0</v>
      </c>
      <c r="F60" s="2145">
        <f t="shared" si="3"/>
        <v>0</v>
      </c>
      <c r="G60" s="2145">
        <f t="shared" si="8"/>
        <v>0</v>
      </c>
      <c r="H60" s="2145">
        <f>IF(K59&lt;0.01,0,IF(Adm!$S$4=Adm!$S$8,0,K59*Adm!$V$4))</f>
        <v>0</v>
      </c>
      <c r="I60" s="2145">
        <f>IF(K59&lt;0.01,0,IF($I$16&lt;&gt;"",Adm!$Q$6*1.16,0))</f>
        <v>0</v>
      </c>
      <c r="J60" s="2145">
        <f t="shared" si="4"/>
        <v>0</v>
      </c>
      <c r="K60" s="2145">
        <f t="shared" si="5"/>
        <v>0</v>
      </c>
      <c r="L60" s="2146"/>
      <c r="W60" s="1352">
        <f t="shared" si="9"/>
        <v>7</v>
      </c>
      <c r="X60" s="1367">
        <f>IF(W60=1,Adm!$AP$3,0)</f>
        <v>0</v>
      </c>
      <c r="Z60" s="1153"/>
      <c r="AC60" s="1375">
        <f t="shared" si="13"/>
        <v>0</v>
      </c>
      <c r="AD60" s="1373">
        <f t="shared" si="10"/>
        <v>0</v>
      </c>
      <c r="AE60" s="1373">
        <f t="shared" si="14"/>
        <v>0</v>
      </c>
      <c r="AF60" s="1373">
        <f t="shared" si="12"/>
        <v>0</v>
      </c>
      <c r="AG60" s="1371">
        <f t="shared" si="11"/>
        <v>0</v>
      </c>
      <c r="AH60" s="1359" t="e">
        <f>HLOOKUP($AH$13,Sustitución,44,0)</f>
        <v>#N/A</v>
      </c>
      <c r="AJ60" s="1360">
        <f>Captura!AI130</f>
        <v>0</v>
      </c>
    </row>
    <row r="61" spans="1:36">
      <c r="A61" s="1118">
        <f t="shared" ca="1" si="0"/>
        <v>11</v>
      </c>
      <c r="B61" s="1101">
        <f t="shared" si="1"/>
        <v>0</v>
      </c>
      <c r="C61" s="2149">
        <f t="shared" si="2"/>
        <v>0</v>
      </c>
      <c r="D61" s="2150">
        <f t="shared" si="6"/>
        <v>0</v>
      </c>
      <c r="E61" s="2145">
        <f t="shared" si="7"/>
        <v>0</v>
      </c>
      <c r="F61" s="2145">
        <f t="shared" si="3"/>
        <v>0</v>
      </c>
      <c r="G61" s="2145">
        <f t="shared" si="8"/>
        <v>0</v>
      </c>
      <c r="H61" s="2145">
        <f>IF(K60&lt;0.01,0,IF(Adm!$S$4=Adm!$S$8,0,K60*Adm!$V$4))</f>
        <v>0</v>
      </c>
      <c r="I61" s="2145">
        <f>IF(K60&lt;0.01,0,IF($I$16&lt;&gt;"",Adm!$Q$6*1.16,0))</f>
        <v>0</v>
      </c>
      <c r="J61" s="2145">
        <f t="shared" si="4"/>
        <v>0</v>
      </c>
      <c r="K61" s="2145">
        <f t="shared" si="5"/>
        <v>0</v>
      </c>
      <c r="L61" s="2146"/>
      <c r="W61" s="1352">
        <f t="shared" si="9"/>
        <v>8</v>
      </c>
      <c r="X61" s="1367">
        <f>IF(W61=1,Adm!$AP$3,0)</f>
        <v>0</v>
      </c>
      <c r="Z61" s="1153"/>
      <c r="AC61" s="1375">
        <f t="shared" si="13"/>
        <v>0</v>
      </c>
      <c r="AD61" s="1373">
        <f t="shared" si="10"/>
        <v>0</v>
      </c>
      <c r="AE61" s="1373">
        <f t="shared" si="14"/>
        <v>0</v>
      </c>
      <c r="AF61" s="1373">
        <f t="shared" si="12"/>
        <v>0</v>
      </c>
      <c r="AG61" s="1371">
        <f t="shared" si="11"/>
        <v>0</v>
      </c>
      <c r="AH61" s="1359" t="e">
        <f>HLOOKUP($AH$13,Sustitución,45,0)</f>
        <v>#N/A</v>
      </c>
      <c r="AJ61" s="1360">
        <f>Captura!AI131</f>
        <v>0</v>
      </c>
    </row>
    <row r="62" spans="1:36">
      <c r="A62" s="1118">
        <f t="shared" ca="1" si="0"/>
        <v>12</v>
      </c>
      <c r="B62" s="1101">
        <f t="shared" si="1"/>
        <v>0</v>
      </c>
      <c r="C62" s="2149">
        <f t="shared" si="2"/>
        <v>0</v>
      </c>
      <c r="D62" s="2150">
        <f t="shared" si="6"/>
        <v>0</v>
      </c>
      <c r="E62" s="2145">
        <f t="shared" si="7"/>
        <v>0</v>
      </c>
      <c r="F62" s="2145">
        <f t="shared" si="3"/>
        <v>0</v>
      </c>
      <c r="G62" s="2145">
        <f t="shared" si="8"/>
        <v>0</v>
      </c>
      <c r="H62" s="2145">
        <f>IF(K61&lt;0.01,0,IF(Adm!$S$4=Adm!$S$8,0,K61*Adm!$V$4))</f>
        <v>0</v>
      </c>
      <c r="I62" s="2145">
        <f>IF(K61&lt;0.01,0,IF($I$16&lt;&gt;"",Adm!$Q$6*1.16,0))</f>
        <v>0</v>
      </c>
      <c r="J62" s="2145">
        <f t="shared" si="4"/>
        <v>0</v>
      </c>
      <c r="K62" s="2145">
        <f t="shared" si="5"/>
        <v>0</v>
      </c>
      <c r="L62" s="2146"/>
      <c r="W62" s="1352">
        <f t="shared" si="9"/>
        <v>9</v>
      </c>
      <c r="X62" s="1367">
        <f>IF(W62=1,Adm!$AP$3,0)</f>
        <v>0</v>
      </c>
      <c r="Z62" s="1153"/>
      <c r="AC62" s="1375">
        <f t="shared" si="13"/>
        <v>0</v>
      </c>
      <c r="AD62" s="1373">
        <f t="shared" si="10"/>
        <v>0</v>
      </c>
      <c r="AE62" s="1373">
        <f t="shared" si="14"/>
        <v>0</v>
      </c>
      <c r="AF62" s="1373">
        <f t="shared" si="12"/>
        <v>0</v>
      </c>
      <c r="AG62" s="1371">
        <f t="shared" si="11"/>
        <v>0</v>
      </c>
      <c r="AH62" s="1359" t="e">
        <f>HLOOKUP($AH$13,Sustitución,46,0)</f>
        <v>#N/A</v>
      </c>
      <c r="AJ62" s="1360">
        <f>Captura!AI132</f>
        <v>0</v>
      </c>
    </row>
    <row r="63" spans="1:36">
      <c r="A63" s="1118">
        <f t="shared" ca="1" si="0"/>
        <v>1</v>
      </c>
      <c r="B63" s="1101">
        <f t="shared" si="1"/>
        <v>0</v>
      </c>
      <c r="C63" s="2149">
        <f t="shared" si="2"/>
        <v>0</v>
      </c>
      <c r="D63" s="2150">
        <f t="shared" si="6"/>
        <v>0</v>
      </c>
      <c r="E63" s="2145">
        <f t="shared" si="7"/>
        <v>0</v>
      </c>
      <c r="F63" s="2145">
        <f t="shared" si="3"/>
        <v>0</v>
      </c>
      <c r="G63" s="2145">
        <f t="shared" si="8"/>
        <v>0</v>
      </c>
      <c r="H63" s="2145">
        <f>IF(K62&lt;0.01,0,IF(Adm!$S$4=Adm!$S$8,0,K62*Adm!$V$4))</f>
        <v>0</v>
      </c>
      <c r="I63" s="2145">
        <f>IF(K62&lt;0.01,0,IF($I$16&lt;&gt;"",Adm!$Q$6*1.16,0))</f>
        <v>0</v>
      </c>
      <c r="J63" s="2145">
        <f t="shared" si="4"/>
        <v>0</v>
      </c>
      <c r="K63" s="2145">
        <f t="shared" si="5"/>
        <v>0</v>
      </c>
      <c r="L63" s="2146"/>
      <c r="W63" s="1352">
        <f t="shared" si="9"/>
        <v>10</v>
      </c>
      <c r="X63" s="1367">
        <f>IF(W63=1,Adm!$AP$3,0)</f>
        <v>0</v>
      </c>
      <c r="Z63" s="1153"/>
      <c r="AC63" s="1375">
        <f t="shared" si="13"/>
        <v>0</v>
      </c>
      <c r="AD63" s="1373">
        <f t="shared" si="10"/>
        <v>0</v>
      </c>
      <c r="AE63" s="1373">
        <f t="shared" si="14"/>
        <v>0</v>
      </c>
      <c r="AF63" s="1373">
        <f t="shared" si="12"/>
        <v>0</v>
      </c>
      <c r="AG63" s="1371">
        <f t="shared" si="11"/>
        <v>0</v>
      </c>
      <c r="AH63" s="1359" t="e">
        <f>HLOOKUP($AH$13,Sustitución,47,0)</f>
        <v>#N/A</v>
      </c>
      <c r="AJ63" s="1360">
        <f>Captura!AI133</f>
        <v>0</v>
      </c>
    </row>
    <row r="64" spans="1:36">
      <c r="A64" s="1118">
        <f t="shared" ca="1" si="0"/>
        <v>2</v>
      </c>
      <c r="B64" s="1101">
        <f t="shared" si="1"/>
        <v>0</v>
      </c>
      <c r="C64" s="2149">
        <f t="shared" si="2"/>
        <v>0</v>
      </c>
      <c r="D64" s="2150">
        <f t="shared" si="6"/>
        <v>0</v>
      </c>
      <c r="E64" s="2145">
        <f t="shared" si="7"/>
        <v>0</v>
      </c>
      <c r="F64" s="2145">
        <f t="shared" si="3"/>
        <v>0</v>
      </c>
      <c r="G64" s="2145">
        <f t="shared" si="8"/>
        <v>0</v>
      </c>
      <c r="H64" s="2145">
        <f>IF(K63&lt;0.01,0,IF(Adm!$S$4=Adm!$S$8,0,K63*Adm!$V$4))</f>
        <v>0</v>
      </c>
      <c r="I64" s="2145">
        <f>IF(K63&lt;0.01,0,IF($I$16&lt;&gt;"",Adm!$Q$6*1.16,0))</f>
        <v>0</v>
      </c>
      <c r="J64" s="2145">
        <f t="shared" si="4"/>
        <v>0</v>
      </c>
      <c r="K64" s="2145">
        <f t="shared" si="5"/>
        <v>0</v>
      </c>
      <c r="L64" s="2146"/>
      <c r="W64" s="1352">
        <f t="shared" si="9"/>
        <v>11</v>
      </c>
      <c r="X64" s="1367">
        <f>IF(W64=1,Adm!$AP$3,0)</f>
        <v>0</v>
      </c>
      <c r="Z64" s="1153"/>
      <c r="AC64" s="1375">
        <f t="shared" si="13"/>
        <v>0</v>
      </c>
      <c r="AD64" s="1373">
        <f t="shared" si="10"/>
        <v>0</v>
      </c>
      <c r="AE64" s="1373">
        <f t="shared" si="14"/>
        <v>0</v>
      </c>
      <c r="AF64" s="1373">
        <f t="shared" si="12"/>
        <v>0</v>
      </c>
      <c r="AG64" s="1371">
        <f t="shared" si="11"/>
        <v>0</v>
      </c>
      <c r="AH64" s="1359" t="e">
        <f>HLOOKUP($AH$13,Sustitución,48,0)</f>
        <v>#N/A</v>
      </c>
      <c r="AJ64" s="1360">
        <f>Captura!AI134</f>
        <v>0</v>
      </c>
    </row>
    <row r="65" spans="1:36">
      <c r="A65" s="1118">
        <f t="shared" ca="1" si="0"/>
        <v>3</v>
      </c>
      <c r="B65" s="1101">
        <f t="shared" si="1"/>
        <v>0</v>
      </c>
      <c r="C65" s="2149">
        <f t="shared" si="2"/>
        <v>0</v>
      </c>
      <c r="D65" s="2150">
        <f t="shared" si="6"/>
        <v>0</v>
      </c>
      <c r="E65" s="2145">
        <f t="shared" si="7"/>
        <v>0</v>
      </c>
      <c r="F65" s="2145">
        <f t="shared" si="3"/>
        <v>0</v>
      </c>
      <c r="G65" s="2145">
        <f t="shared" si="8"/>
        <v>0</v>
      </c>
      <c r="H65" s="2145">
        <f>IF(K64&lt;0.01,0,IF(Adm!$S$4=Adm!$S$8,0,K64*Adm!$V$4))</f>
        <v>0</v>
      </c>
      <c r="I65" s="2145">
        <f>IF(K64&lt;0.01,0,IF($I$16&lt;&gt;"",Adm!$Q$6*1.16,0))</f>
        <v>0</v>
      </c>
      <c r="J65" s="2145">
        <f t="shared" si="4"/>
        <v>0</v>
      </c>
      <c r="K65" s="2145">
        <f t="shared" si="5"/>
        <v>0</v>
      </c>
      <c r="L65" s="2146"/>
      <c r="W65" s="1352">
        <f t="shared" si="9"/>
        <v>12</v>
      </c>
      <c r="X65" s="1367">
        <f>IF(W65=1,Adm!$AP$3,0)</f>
        <v>0</v>
      </c>
      <c r="Z65" s="1153"/>
      <c r="AC65" s="1375">
        <f t="shared" si="13"/>
        <v>0</v>
      </c>
      <c r="AD65" s="1373">
        <f t="shared" si="10"/>
        <v>0</v>
      </c>
      <c r="AE65" s="1373">
        <f t="shared" si="14"/>
        <v>0</v>
      </c>
      <c r="AF65" s="1373">
        <f t="shared" si="12"/>
        <v>0</v>
      </c>
      <c r="AG65" s="1371">
        <f t="shared" si="11"/>
        <v>0</v>
      </c>
      <c r="AH65" s="1359" t="e">
        <f>HLOOKUP($AH$13,Sustitución,49,0)</f>
        <v>#N/A</v>
      </c>
      <c r="AJ65" s="1360">
        <f>Captura!AI135</f>
        <v>0</v>
      </c>
    </row>
    <row r="66" spans="1:36">
      <c r="A66" s="1118">
        <f t="shared" ca="1" si="0"/>
        <v>4</v>
      </c>
      <c r="B66" s="1101">
        <f t="shared" si="1"/>
        <v>0</v>
      </c>
      <c r="C66" s="2149">
        <f t="shared" si="2"/>
        <v>0</v>
      </c>
      <c r="D66" s="2150">
        <f t="shared" si="6"/>
        <v>0</v>
      </c>
      <c r="E66" s="2145">
        <f t="shared" si="7"/>
        <v>0</v>
      </c>
      <c r="F66" s="2145">
        <f t="shared" si="3"/>
        <v>0</v>
      </c>
      <c r="G66" s="2145">
        <f t="shared" si="8"/>
        <v>0</v>
      </c>
      <c r="H66" s="2145">
        <f>IF(K65&lt;0.01,0,IF(Adm!$S$4=Adm!$S$8,0,K65*Adm!$V$4))</f>
        <v>0</v>
      </c>
      <c r="I66" s="2145">
        <f>IF(K65&lt;0.01,0,IF($I$16&lt;&gt;"",Adm!$Q$6*1.16,0))</f>
        <v>0</v>
      </c>
      <c r="J66" s="2145">
        <f t="shared" si="4"/>
        <v>0</v>
      </c>
      <c r="K66" s="2145">
        <f t="shared" si="5"/>
        <v>0</v>
      </c>
      <c r="L66" s="2146"/>
      <c r="W66" s="1352">
        <f t="shared" si="9"/>
        <v>1</v>
      </c>
      <c r="X66" s="1367">
        <f>IF(W66=1,Adm!$AP$3,0)</f>
        <v>0</v>
      </c>
      <c r="Z66" s="1153"/>
      <c r="AC66" s="1375">
        <f t="shared" si="13"/>
        <v>0</v>
      </c>
      <c r="AD66" s="1373">
        <f t="shared" si="10"/>
        <v>0</v>
      </c>
      <c r="AE66" s="1373">
        <f t="shared" si="14"/>
        <v>0</v>
      </c>
      <c r="AF66" s="1373">
        <f t="shared" si="12"/>
        <v>0</v>
      </c>
      <c r="AG66" s="1371">
        <f t="shared" si="11"/>
        <v>0</v>
      </c>
      <c r="AH66" s="1359" t="e">
        <f>HLOOKUP($AH$13,Sustitución,50,0)</f>
        <v>#N/A</v>
      </c>
      <c r="AJ66" s="1360">
        <f>Captura!AI136</f>
        <v>0</v>
      </c>
    </row>
    <row r="67" spans="1:36">
      <c r="A67" s="1118">
        <f t="shared" ca="1" si="0"/>
        <v>5</v>
      </c>
      <c r="B67" s="1101">
        <f t="shared" si="1"/>
        <v>0</v>
      </c>
      <c r="C67" s="2149">
        <f t="shared" si="2"/>
        <v>0</v>
      </c>
      <c r="D67" s="2150">
        <f t="shared" si="6"/>
        <v>0</v>
      </c>
      <c r="E67" s="2145">
        <f t="shared" si="7"/>
        <v>0</v>
      </c>
      <c r="F67" s="2145">
        <f t="shared" si="3"/>
        <v>0</v>
      </c>
      <c r="G67" s="2145">
        <f t="shared" si="8"/>
        <v>0</v>
      </c>
      <c r="H67" s="2145">
        <f>IF(K66&lt;0.01,0,IF(Adm!$S$4=Adm!$S$8,0,K66*Adm!$V$4))</f>
        <v>0</v>
      </c>
      <c r="I67" s="2145">
        <f>IF(K66&lt;0.01,0,IF($I$16&lt;&gt;"",Adm!$Q$6*1.16,0))</f>
        <v>0</v>
      </c>
      <c r="J67" s="2145">
        <f t="shared" si="4"/>
        <v>0</v>
      </c>
      <c r="K67" s="2145">
        <f t="shared" si="5"/>
        <v>0</v>
      </c>
      <c r="L67" s="2146"/>
      <c r="W67" s="1352">
        <f t="shared" si="9"/>
        <v>2</v>
      </c>
      <c r="X67" s="1367">
        <f>IF(W67=1,Adm!$AP$3,0)</f>
        <v>0</v>
      </c>
      <c r="Z67" s="1153"/>
      <c r="AC67" s="1375">
        <f t="shared" si="13"/>
        <v>0</v>
      </c>
      <c r="AD67" s="1373">
        <f t="shared" si="10"/>
        <v>0</v>
      </c>
      <c r="AE67" s="1373">
        <f t="shared" si="14"/>
        <v>0</v>
      </c>
      <c r="AF67" s="1373">
        <f t="shared" si="12"/>
        <v>0</v>
      </c>
      <c r="AG67" s="1371">
        <f t="shared" si="11"/>
        <v>0</v>
      </c>
      <c r="AH67" s="1359" t="e">
        <f>HLOOKUP($AH$13,Sustitución,51,0)</f>
        <v>#N/A</v>
      </c>
      <c r="AJ67" s="1360">
        <f>Captura!AI137</f>
        <v>0</v>
      </c>
    </row>
    <row r="68" spans="1:36">
      <c r="A68" s="1118">
        <f t="shared" ca="1" si="0"/>
        <v>6</v>
      </c>
      <c r="B68" s="1101">
        <f t="shared" si="1"/>
        <v>0</v>
      </c>
      <c r="C68" s="2149">
        <f t="shared" si="2"/>
        <v>0</v>
      </c>
      <c r="D68" s="2150">
        <f t="shared" si="6"/>
        <v>0</v>
      </c>
      <c r="E68" s="2145">
        <f t="shared" si="7"/>
        <v>0</v>
      </c>
      <c r="F68" s="2145">
        <f t="shared" si="3"/>
        <v>0</v>
      </c>
      <c r="G68" s="2145">
        <f t="shared" si="8"/>
        <v>0</v>
      </c>
      <c r="H68" s="2145">
        <f>IF(K67&lt;0.01,0,IF(Adm!$S$4=Adm!$S$8,0,K67*Adm!$V$4))</f>
        <v>0</v>
      </c>
      <c r="I68" s="2145">
        <f>IF(K67&lt;0.01,0,IF($I$16&lt;&gt;"",Adm!$Q$6*1.16,0))</f>
        <v>0</v>
      </c>
      <c r="J68" s="2145">
        <f t="shared" si="4"/>
        <v>0</v>
      </c>
      <c r="K68" s="2145">
        <f t="shared" si="5"/>
        <v>0</v>
      </c>
      <c r="L68" s="2146"/>
      <c r="W68" s="1352">
        <f t="shared" si="9"/>
        <v>3</v>
      </c>
      <c r="X68" s="1367">
        <f>IF(W68=1,Adm!$AP$3,0)</f>
        <v>0</v>
      </c>
      <c r="Z68" s="1153"/>
      <c r="AC68" s="1375">
        <f t="shared" si="13"/>
        <v>0</v>
      </c>
      <c r="AD68" s="1373">
        <f t="shared" si="10"/>
        <v>0</v>
      </c>
      <c r="AE68" s="1373">
        <f t="shared" si="14"/>
        <v>0</v>
      </c>
      <c r="AF68" s="1373">
        <f t="shared" si="12"/>
        <v>0</v>
      </c>
      <c r="AG68" s="1371">
        <f t="shared" si="11"/>
        <v>0</v>
      </c>
      <c r="AH68" s="1359" t="e">
        <f>HLOOKUP($AH$13,Sustitución,52,0)</f>
        <v>#N/A</v>
      </c>
      <c r="AJ68" s="1360">
        <f>Captura!AI138</f>
        <v>0</v>
      </c>
    </row>
    <row r="69" spans="1:36">
      <c r="A69" s="1118">
        <f t="shared" ca="1" si="0"/>
        <v>7</v>
      </c>
      <c r="B69" s="1101">
        <f t="shared" si="1"/>
        <v>0</v>
      </c>
      <c r="C69" s="2149">
        <f t="shared" si="2"/>
        <v>0</v>
      </c>
      <c r="D69" s="2150">
        <f t="shared" si="6"/>
        <v>0</v>
      </c>
      <c r="E69" s="2145">
        <f t="shared" si="7"/>
        <v>0</v>
      </c>
      <c r="F69" s="2145">
        <f t="shared" si="3"/>
        <v>0</v>
      </c>
      <c r="G69" s="2145">
        <f t="shared" si="8"/>
        <v>0</v>
      </c>
      <c r="H69" s="2145">
        <f>IF(K68&lt;0.01,0,IF(Adm!$S$4=Adm!$S$8,0,K68*Adm!$V$4))</f>
        <v>0</v>
      </c>
      <c r="I69" s="2145">
        <f>IF(K68&lt;0.01,0,IF($I$16&lt;&gt;"",Adm!$Q$6*1.16,0))</f>
        <v>0</v>
      </c>
      <c r="J69" s="2145">
        <f t="shared" si="4"/>
        <v>0</v>
      </c>
      <c r="K69" s="2145">
        <f t="shared" si="5"/>
        <v>0</v>
      </c>
      <c r="L69" s="2146"/>
      <c r="W69" s="1352">
        <f t="shared" si="9"/>
        <v>4</v>
      </c>
      <c r="X69" s="1367">
        <f>IF(W69=1,Adm!$AP$3,0)</f>
        <v>0</v>
      </c>
      <c r="Z69" s="1153"/>
      <c r="AC69" s="1375">
        <f t="shared" si="13"/>
        <v>0</v>
      </c>
      <c r="AD69" s="1373">
        <f t="shared" si="10"/>
        <v>0</v>
      </c>
      <c r="AE69" s="1373">
        <f t="shared" si="14"/>
        <v>0</v>
      </c>
      <c r="AF69" s="1373">
        <f t="shared" si="12"/>
        <v>0</v>
      </c>
      <c r="AG69" s="1371">
        <f t="shared" si="11"/>
        <v>0</v>
      </c>
      <c r="AH69" s="1359" t="e">
        <f>HLOOKUP($AH$13,Sustitución,53,0)</f>
        <v>#N/A</v>
      </c>
      <c r="AJ69" s="1360">
        <f>Captura!AI139</f>
        <v>0</v>
      </c>
    </row>
    <row r="70" spans="1:36">
      <c r="A70" s="1118">
        <f t="shared" ca="1" si="0"/>
        <v>8</v>
      </c>
      <c r="B70" s="1101">
        <f t="shared" si="1"/>
        <v>0</v>
      </c>
      <c r="C70" s="2149">
        <f t="shared" si="2"/>
        <v>0</v>
      </c>
      <c r="D70" s="2150">
        <f t="shared" si="6"/>
        <v>0</v>
      </c>
      <c r="E70" s="2145">
        <f t="shared" si="7"/>
        <v>0</v>
      </c>
      <c r="F70" s="2145">
        <f t="shared" si="3"/>
        <v>0</v>
      </c>
      <c r="G70" s="2145">
        <f t="shared" si="8"/>
        <v>0</v>
      </c>
      <c r="H70" s="2145">
        <f>IF(K69&lt;0.01,0,IF(Adm!$S$4=Adm!$S$8,0,K69*Adm!$V$4))</f>
        <v>0</v>
      </c>
      <c r="I70" s="2145">
        <f>IF(K69&lt;0.01,0,IF($I$16&lt;&gt;"",Adm!$Q$6*1.16,0))</f>
        <v>0</v>
      </c>
      <c r="J70" s="2145">
        <f t="shared" si="4"/>
        <v>0</v>
      </c>
      <c r="K70" s="2145">
        <f t="shared" si="5"/>
        <v>0</v>
      </c>
      <c r="L70" s="2146"/>
      <c r="W70" s="1352">
        <f t="shared" si="9"/>
        <v>5</v>
      </c>
      <c r="X70" s="1367">
        <f>IF(W70=1,Adm!$AP$3,0)</f>
        <v>0</v>
      </c>
      <c r="Z70" s="1153"/>
      <c r="AC70" s="1375">
        <f t="shared" si="13"/>
        <v>0</v>
      </c>
      <c r="AD70" s="1373">
        <f t="shared" si="10"/>
        <v>0</v>
      </c>
      <c r="AE70" s="1373">
        <f t="shared" si="14"/>
        <v>0</v>
      </c>
      <c r="AF70" s="1373">
        <f t="shared" si="12"/>
        <v>0</v>
      </c>
      <c r="AG70" s="1371">
        <f t="shared" si="11"/>
        <v>0</v>
      </c>
      <c r="AH70" s="1359" t="e">
        <f>HLOOKUP($AH$13,Sustitución,54,0)</f>
        <v>#N/A</v>
      </c>
      <c r="AJ70" s="1360">
        <f>Captura!AI140</f>
        <v>0</v>
      </c>
    </row>
    <row r="71" spans="1:36">
      <c r="A71" s="1118">
        <f t="shared" ca="1" si="0"/>
        <v>9</v>
      </c>
      <c r="B71" s="1101">
        <f t="shared" si="1"/>
        <v>0</v>
      </c>
      <c r="C71" s="2149">
        <f t="shared" si="2"/>
        <v>0</v>
      </c>
      <c r="D71" s="2150">
        <f t="shared" si="6"/>
        <v>0</v>
      </c>
      <c r="E71" s="2145">
        <f t="shared" si="7"/>
        <v>0</v>
      </c>
      <c r="F71" s="2145">
        <f t="shared" si="3"/>
        <v>0</v>
      </c>
      <c r="G71" s="2145">
        <f t="shared" si="8"/>
        <v>0</v>
      </c>
      <c r="H71" s="2145">
        <f>IF(K70&lt;0.01,0,IF(Adm!$S$4=Adm!$S$8,0,K70*Adm!$V$4))</f>
        <v>0</v>
      </c>
      <c r="I71" s="2145">
        <f>IF(K70&lt;0.01,0,IF($I$16&lt;&gt;"",Adm!$Q$6*1.16,0))</f>
        <v>0</v>
      </c>
      <c r="J71" s="2145">
        <f t="shared" si="4"/>
        <v>0</v>
      </c>
      <c r="K71" s="2145">
        <f t="shared" si="5"/>
        <v>0</v>
      </c>
      <c r="L71" s="2146"/>
      <c r="W71" s="1352">
        <f t="shared" si="9"/>
        <v>6</v>
      </c>
      <c r="X71" s="1367">
        <f>IF(W71=1,Adm!$AP$3,0)</f>
        <v>0</v>
      </c>
      <c r="Z71" s="1153"/>
      <c r="AC71" s="1375">
        <f t="shared" si="13"/>
        <v>0</v>
      </c>
      <c r="AD71" s="1373">
        <f t="shared" si="10"/>
        <v>0</v>
      </c>
      <c r="AE71" s="1373">
        <f t="shared" si="14"/>
        <v>0</v>
      </c>
      <c r="AF71" s="1373">
        <f t="shared" si="12"/>
        <v>0</v>
      </c>
      <c r="AG71" s="1371">
        <f t="shared" si="11"/>
        <v>0</v>
      </c>
      <c r="AH71" s="1359" t="e">
        <f>HLOOKUP($AH$13,Sustitución,55,0)</f>
        <v>#N/A</v>
      </c>
      <c r="AJ71" s="1360">
        <f>Captura!AI141</f>
        <v>0</v>
      </c>
    </row>
    <row r="72" spans="1:36">
      <c r="A72" s="1118">
        <f t="shared" ca="1" si="0"/>
        <v>10</v>
      </c>
      <c r="B72" s="1101">
        <f t="shared" si="1"/>
        <v>0</v>
      </c>
      <c r="C72" s="2149">
        <f t="shared" si="2"/>
        <v>0</v>
      </c>
      <c r="D72" s="2150">
        <f t="shared" si="6"/>
        <v>0</v>
      </c>
      <c r="E72" s="2145">
        <f t="shared" si="7"/>
        <v>0</v>
      </c>
      <c r="F72" s="2145">
        <f t="shared" si="3"/>
        <v>0</v>
      </c>
      <c r="G72" s="2145">
        <f t="shared" si="8"/>
        <v>0</v>
      </c>
      <c r="H72" s="2145">
        <f>IF(K71&lt;0.01,0,IF(Adm!$S$4=Adm!$S$8,0,K71*Adm!$V$4))</f>
        <v>0</v>
      </c>
      <c r="I72" s="2145">
        <f>IF(K71&lt;0.01,0,IF($I$16&lt;&gt;"",Adm!$Q$6*1.16,0))</f>
        <v>0</v>
      </c>
      <c r="J72" s="2145">
        <f t="shared" si="4"/>
        <v>0</v>
      </c>
      <c r="K72" s="2145">
        <f t="shared" si="5"/>
        <v>0</v>
      </c>
      <c r="L72" s="2146"/>
      <c r="W72" s="1352">
        <f t="shared" si="9"/>
        <v>7</v>
      </c>
      <c r="X72" s="1367">
        <f>IF(W72=1,Adm!$AP$3,0)</f>
        <v>0</v>
      </c>
      <c r="Z72" s="1153"/>
      <c r="AC72" s="1375">
        <f t="shared" si="13"/>
        <v>0</v>
      </c>
      <c r="AD72" s="1373">
        <f t="shared" si="10"/>
        <v>0</v>
      </c>
      <c r="AE72" s="1373">
        <f t="shared" si="14"/>
        <v>0</v>
      </c>
      <c r="AF72" s="1373">
        <f t="shared" si="12"/>
        <v>0</v>
      </c>
      <c r="AG72" s="1371">
        <f t="shared" si="11"/>
        <v>0</v>
      </c>
      <c r="AH72" s="1359" t="e">
        <f>HLOOKUP($AH$13,Sustitución,56,0)</f>
        <v>#N/A</v>
      </c>
      <c r="AJ72" s="1360">
        <f>Captura!AI142</f>
        <v>0</v>
      </c>
    </row>
    <row r="73" spans="1:36">
      <c r="A73" s="1118">
        <f t="shared" ca="1" si="0"/>
        <v>11</v>
      </c>
      <c r="B73" s="1101">
        <f t="shared" si="1"/>
        <v>0</v>
      </c>
      <c r="C73" s="2149">
        <f t="shared" si="2"/>
        <v>0</v>
      </c>
      <c r="D73" s="2150">
        <f t="shared" si="6"/>
        <v>0</v>
      </c>
      <c r="E73" s="2145">
        <f t="shared" si="7"/>
        <v>0</v>
      </c>
      <c r="F73" s="2145">
        <f t="shared" si="3"/>
        <v>0</v>
      </c>
      <c r="G73" s="2145">
        <f t="shared" si="8"/>
        <v>0</v>
      </c>
      <c r="H73" s="2145">
        <f>IF(K72&lt;0.01,0,IF(Adm!$S$4=Adm!$S$8,0,K72*Adm!$V$4))</f>
        <v>0</v>
      </c>
      <c r="I73" s="2145">
        <f>IF(K72&lt;0.01,0,IF($I$16&lt;&gt;"",Adm!$Q$6*1.16,0))</f>
        <v>0</v>
      </c>
      <c r="J73" s="2145">
        <f t="shared" si="4"/>
        <v>0</v>
      </c>
      <c r="K73" s="2145">
        <f t="shared" si="5"/>
        <v>0</v>
      </c>
      <c r="L73" s="2146"/>
      <c r="W73" s="1352">
        <f t="shared" si="9"/>
        <v>8</v>
      </c>
      <c r="X73" s="1367">
        <f>IF(W73=1,Adm!$AP$3,0)</f>
        <v>0</v>
      </c>
      <c r="Z73" s="1153"/>
      <c r="AC73" s="1375">
        <f t="shared" si="13"/>
        <v>0</v>
      </c>
      <c r="AD73" s="1373">
        <f t="shared" si="10"/>
        <v>0</v>
      </c>
      <c r="AE73" s="1373">
        <f t="shared" si="14"/>
        <v>0</v>
      </c>
      <c r="AF73" s="1373">
        <f t="shared" si="12"/>
        <v>0</v>
      </c>
      <c r="AG73" s="1371">
        <f t="shared" si="11"/>
        <v>0</v>
      </c>
      <c r="AH73" s="1359" t="e">
        <f>HLOOKUP($AH$13,Sustitución,57,0)</f>
        <v>#N/A</v>
      </c>
      <c r="AJ73" s="1360">
        <f>Captura!AI143</f>
        <v>0</v>
      </c>
    </row>
    <row r="74" spans="1:36">
      <c r="A74" s="1118">
        <f t="shared" ca="1" si="0"/>
        <v>12</v>
      </c>
      <c r="B74" s="1101">
        <f t="shared" si="1"/>
        <v>0</v>
      </c>
      <c r="C74" s="2149">
        <f t="shared" si="2"/>
        <v>0</v>
      </c>
      <c r="D74" s="2150">
        <f t="shared" si="6"/>
        <v>0</v>
      </c>
      <c r="E74" s="2145">
        <f t="shared" si="7"/>
        <v>0</v>
      </c>
      <c r="F74" s="2145">
        <f t="shared" si="3"/>
        <v>0</v>
      </c>
      <c r="G74" s="2145">
        <f t="shared" si="8"/>
        <v>0</v>
      </c>
      <c r="H74" s="2145">
        <f>IF(K73&lt;0.01,0,IF(Adm!$S$4=Adm!$S$8,0,K73*Adm!$V$4))</f>
        <v>0</v>
      </c>
      <c r="I74" s="2145">
        <f>IF(K73&lt;0.01,0,IF($I$16&lt;&gt;"",Adm!$Q$6*1.16,0))</f>
        <v>0</v>
      </c>
      <c r="J74" s="2145">
        <f t="shared" si="4"/>
        <v>0</v>
      </c>
      <c r="K74" s="2145">
        <f t="shared" si="5"/>
        <v>0</v>
      </c>
      <c r="L74" s="2146"/>
      <c r="W74" s="1352">
        <f t="shared" si="9"/>
        <v>9</v>
      </c>
      <c r="X74" s="1367">
        <f>IF(W74=1,Adm!$AP$3,0)</f>
        <v>0</v>
      </c>
      <c r="Z74" s="1153"/>
      <c r="AC74" s="1375">
        <f t="shared" si="13"/>
        <v>0</v>
      </c>
      <c r="AD74" s="1373">
        <f t="shared" si="10"/>
        <v>0</v>
      </c>
      <c r="AE74" s="1373">
        <f t="shared" si="14"/>
        <v>0</v>
      </c>
      <c r="AF74" s="1373">
        <f t="shared" si="12"/>
        <v>0</v>
      </c>
      <c r="AG74" s="1371">
        <f t="shared" si="11"/>
        <v>0</v>
      </c>
      <c r="AH74" s="1359" t="e">
        <f>HLOOKUP($AH$13,Sustitución,58,0)</f>
        <v>#N/A</v>
      </c>
      <c r="AJ74" s="1360">
        <f>Captura!AI144</f>
        <v>0</v>
      </c>
    </row>
    <row r="75" spans="1:36">
      <c r="A75" s="1118">
        <f t="shared" ca="1" si="0"/>
        <v>1</v>
      </c>
      <c r="B75" s="1101">
        <f t="shared" si="1"/>
        <v>0</v>
      </c>
      <c r="C75" s="2149">
        <f t="shared" si="2"/>
        <v>0</v>
      </c>
      <c r="D75" s="2150">
        <f t="shared" si="6"/>
        <v>0</v>
      </c>
      <c r="E75" s="2145">
        <f t="shared" si="7"/>
        <v>0</v>
      </c>
      <c r="F75" s="2145">
        <f t="shared" si="3"/>
        <v>0</v>
      </c>
      <c r="G75" s="2145">
        <f t="shared" si="8"/>
        <v>0</v>
      </c>
      <c r="H75" s="2145">
        <f>IF(K74&lt;0.01,0,IF(Adm!$S$4=Adm!$S$8,0,K74*Adm!$V$4))</f>
        <v>0</v>
      </c>
      <c r="I75" s="2145">
        <f>IF(K74&lt;0.01,0,IF($I$16&lt;&gt;"",Adm!$Q$6*1.16,0))</f>
        <v>0</v>
      </c>
      <c r="J75" s="2145">
        <f t="shared" si="4"/>
        <v>0</v>
      </c>
      <c r="K75" s="2145">
        <f t="shared" si="5"/>
        <v>0</v>
      </c>
      <c r="L75" s="2146"/>
      <c r="W75" s="1352">
        <f t="shared" si="9"/>
        <v>10</v>
      </c>
      <c r="X75" s="1367">
        <f>IF(W75=1,Adm!$AP$3,0)</f>
        <v>0</v>
      </c>
      <c r="Z75" s="1153"/>
      <c r="AC75" s="1375">
        <f t="shared" si="13"/>
        <v>0</v>
      </c>
      <c r="AD75" s="1373">
        <f t="shared" si="10"/>
        <v>0</v>
      </c>
      <c r="AE75" s="1373">
        <f t="shared" si="14"/>
        <v>0</v>
      </c>
      <c r="AF75" s="1373">
        <f t="shared" si="12"/>
        <v>0</v>
      </c>
      <c r="AG75" s="1371">
        <f t="shared" si="11"/>
        <v>0</v>
      </c>
      <c r="AH75" s="1359" t="e">
        <f>HLOOKUP($AH$13,Sustitución,59,0)</f>
        <v>#N/A</v>
      </c>
      <c r="AJ75" s="1360">
        <f>Captura!AI145</f>
        <v>0</v>
      </c>
    </row>
    <row r="76" spans="1:36">
      <c r="A76" s="1118">
        <f t="shared" ca="1" si="0"/>
        <v>2</v>
      </c>
      <c r="B76" s="1101">
        <f t="shared" si="1"/>
        <v>0</v>
      </c>
      <c r="C76" s="2149">
        <f t="shared" si="2"/>
        <v>0</v>
      </c>
      <c r="D76" s="2150">
        <f t="shared" si="6"/>
        <v>0</v>
      </c>
      <c r="E76" s="2145">
        <f t="shared" si="7"/>
        <v>0</v>
      </c>
      <c r="F76" s="2145">
        <f t="shared" si="3"/>
        <v>0</v>
      </c>
      <c r="G76" s="2145">
        <f t="shared" si="8"/>
        <v>0</v>
      </c>
      <c r="H76" s="2145">
        <f>IF(K75&lt;0.01,0,IF(Adm!$S$4=Adm!$S$8,0,K75*Adm!$V$4))</f>
        <v>0</v>
      </c>
      <c r="I76" s="2145">
        <f>IF(K75&lt;0.01,0,IF($I$16&lt;&gt;"",Adm!$Q$6*1.16,0))</f>
        <v>0</v>
      </c>
      <c r="J76" s="2145">
        <f t="shared" si="4"/>
        <v>0</v>
      </c>
      <c r="K76" s="2145">
        <f t="shared" si="5"/>
        <v>0</v>
      </c>
      <c r="L76" s="2146"/>
      <c r="W76" s="1352">
        <f t="shared" si="9"/>
        <v>11</v>
      </c>
      <c r="X76" s="1367">
        <f>IF(W76=1,Adm!$AP$3,0)</f>
        <v>0</v>
      </c>
      <c r="Z76" s="1153"/>
      <c r="AC76" s="1375">
        <f t="shared" si="13"/>
        <v>0</v>
      </c>
      <c r="AD76" s="1373">
        <f t="shared" si="10"/>
        <v>0</v>
      </c>
      <c r="AE76" s="1373">
        <f t="shared" si="14"/>
        <v>0</v>
      </c>
      <c r="AF76" s="1373">
        <f t="shared" si="12"/>
        <v>0</v>
      </c>
      <c r="AG76" s="1371">
        <f t="shared" si="11"/>
        <v>0</v>
      </c>
      <c r="AH76" s="1359" t="e">
        <f>HLOOKUP($AH$13,Sustitución,60,0)</f>
        <v>#N/A</v>
      </c>
      <c r="AJ76" s="1360">
        <f>Captura!AI146</f>
        <v>0</v>
      </c>
    </row>
    <row r="77" spans="1:36">
      <c r="A77" s="1118">
        <f t="shared" ca="1" si="0"/>
        <v>3</v>
      </c>
      <c r="B77" s="1101">
        <f t="shared" si="1"/>
        <v>0</v>
      </c>
      <c r="C77" s="2149">
        <f t="shared" si="2"/>
        <v>0</v>
      </c>
      <c r="D77" s="2150">
        <f t="shared" si="6"/>
        <v>0</v>
      </c>
      <c r="E77" s="2145">
        <f t="shared" si="7"/>
        <v>0</v>
      </c>
      <c r="F77" s="2145">
        <f t="shared" si="3"/>
        <v>0</v>
      </c>
      <c r="G77" s="2145">
        <f t="shared" si="8"/>
        <v>0</v>
      </c>
      <c r="H77" s="2145">
        <f>IF(K76&lt;0.01,0,IF(Adm!$S$4=Adm!$S$8,0,K76*Adm!$V$4))</f>
        <v>0</v>
      </c>
      <c r="I77" s="2145">
        <f>IF(K76&lt;0.01,0,IF($I$16&lt;&gt;"",Adm!$Q$6*1.16,0))</f>
        <v>0</v>
      </c>
      <c r="J77" s="2145">
        <f t="shared" si="4"/>
        <v>0</v>
      </c>
      <c r="K77" s="2145">
        <f t="shared" si="5"/>
        <v>0</v>
      </c>
      <c r="L77" s="2146"/>
      <c r="W77" s="1352">
        <f t="shared" si="9"/>
        <v>12</v>
      </c>
      <c r="X77" s="1367">
        <f>IF(W77=1,Adm!$AP$3,0)</f>
        <v>0</v>
      </c>
      <c r="Z77" s="1153"/>
      <c r="AC77" s="1375">
        <f t="shared" si="13"/>
        <v>0</v>
      </c>
      <c r="AD77" s="1373">
        <f t="shared" si="10"/>
        <v>0</v>
      </c>
      <c r="AE77" s="1373">
        <f t="shared" si="14"/>
        <v>0</v>
      </c>
      <c r="AF77" s="1373">
        <f t="shared" si="12"/>
        <v>0</v>
      </c>
      <c r="AG77" s="1371">
        <f t="shared" si="11"/>
        <v>0</v>
      </c>
      <c r="AH77" s="1359" t="e">
        <f>HLOOKUP($AH$13,Sustitución,61,0)</f>
        <v>#N/A</v>
      </c>
      <c r="AJ77" s="1360">
        <f>Captura!AI147</f>
        <v>0</v>
      </c>
    </row>
    <row r="78" spans="1:36">
      <c r="A78" s="1118">
        <f t="shared" ca="1" si="0"/>
        <v>4</v>
      </c>
      <c r="B78" s="1101">
        <f t="shared" si="1"/>
        <v>0</v>
      </c>
      <c r="C78" s="2149">
        <f t="shared" si="2"/>
        <v>0</v>
      </c>
      <c r="D78" s="2150">
        <f t="shared" si="6"/>
        <v>0</v>
      </c>
      <c r="E78" s="2145">
        <f t="shared" si="7"/>
        <v>0</v>
      </c>
      <c r="F78" s="2145">
        <f t="shared" si="3"/>
        <v>0</v>
      </c>
      <c r="G78" s="2145">
        <f t="shared" si="8"/>
        <v>0</v>
      </c>
      <c r="H78" s="2145">
        <f>IF(K77&lt;0.01,0,IF(Adm!$S$4=Adm!$S$8,0,K77*Adm!$V$4))</f>
        <v>0</v>
      </c>
      <c r="I78" s="2145">
        <f>IF(K77&lt;0.01,0,IF($I$16&lt;&gt;"",Adm!$Q$6*1.16,0))</f>
        <v>0</v>
      </c>
      <c r="J78" s="2145">
        <f t="shared" si="4"/>
        <v>0</v>
      </c>
      <c r="K78" s="2145">
        <f t="shared" si="5"/>
        <v>0</v>
      </c>
      <c r="L78" s="2146"/>
      <c r="W78" s="1352">
        <f t="shared" si="9"/>
        <v>1</v>
      </c>
      <c r="X78" s="1367">
        <f>IF(W78=1,Adm!$AP$3,0)</f>
        <v>0</v>
      </c>
      <c r="Z78" s="1153"/>
      <c r="AC78" s="1375">
        <f t="shared" si="13"/>
        <v>0</v>
      </c>
      <c r="AD78" s="1373">
        <f t="shared" si="10"/>
        <v>0</v>
      </c>
      <c r="AE78" s="1373">
        <f t="shared" si="14"/>
        <v>0</v>
      </c>
      <c r="AF78" s="1373">
        <f t="shared" si="12"/>
        <v>0</v>
      </c>
      <c r="AG78" s="1371">
        <f t="shared" si="11"/>
        <v>0</v>
      </c>
      <c r="AH78" s="1359" t="e">
        <f>HLOOKUP($AH$13,Sustitución,62,0)</f>
        <v>#N/A</v>
      </c>
      <c r="AJ78" s="1360">
        <f>Captura!AI148</f>
        <v>0</v>
      </c>
    </row>
    <row r="79" spans="1:36">
      <c r="A79" s="1118">
        <f t="shared" ca="1" si="0"/>
        <v>5</v>
      </c>
      <c r="B79" s="1101">
        <f t="shared" si="1"/>
        <v>0</v>
      </c>
      <c r="C79" s="2149">
        <f t="shared" si="2"/>
        <v>0</v>
      </c>
      <c r="D79" s="2150">
        <f t="shared" si="6"/>
        <v>0</v>
      </c>
      <c r="E79" s="2145">
        <f t="shared" si="7"/>
        <v>0</v>
      </c>
      <c r="F79" s="2145">
        <f t="shared" si="3"/>
        <v>0</v>
      </c>
      <c r="G79" s="2145">
        <f t="shared" si="8"/>
        <v>0</v>
      </c>
      <c r="H79" s="2145">
        <f>IF(K78&lt;0.01,0,IF(Adm!$S$4=Adm!$S$8,0,K78*Adm!$V$4))</f>
        <v>0</v>
      </c>
      <c r="I79" s="2145">
        <f>IF(K78&lt;0.01,0,IF($I$16&lt;&gt;"",Adm!$Q$6*1.16,0))</f>
        <v>0</v>
      </c>
      <c r="J79" s="2145">
        <f t="shared" si="4"/>
        <v>0</v>
      </c>
      <c r="K79" s="2145">
        <f t="shared" si="5"/>
        <v>0</v>
      </c>
      <c r="L79" s="2146"/>
      <c r="W79" s="1352">
        <f t="shared" si="9"/>
        <v>2</v>
      </c>
      <c r="X79" s="1367">
        <f>IF(W79=1,Adm!$AP$3,0)</f>
        <v>0</v>
      </c>
      <c r="Z79" s="1153"/>
      <c r="AC79" s="1375">
        <f t="shared" si="13"/>
        <v>0</v>
      </c>
      <c r="AD79" s="1373">
        <f t="shared" si="10"/>
        <v>0</v>
      </c>
      <c r="AE79" s="1373">
        <f t="shared" si="14"/>
        <v>0</v>
      </c>
      <c r="AF79" s="1373">
        <f t="shared" si="12"/>
        <v>0</v>
      </c>
      <c r="AG79" s="1371">
        <f t="shared" si="11"/>
        <v>0</v>
      </c>
      <c r="AH79" s="1359" t="e">
        <f>HLOOKUP($AH$13,Sustitución,63,0)</f>
        <v>#N/A</v>
      </c>
      <c r="AJ79" s="1360">
        <f>Captura!AI149</f>
        <v>0</v>
      </c>
    </row>
    <row r="80" spans="1:36">
      <c r="A80" s="1118">
        <f t="shared" ca="1" si="0"/>
        <v>6</v>
      </c>
      <c r="B80" s="1101">
        <f t="shared" si="1"/>
        <v>0</v>
      </c>
      <c r="C80" s="2149">
        <f t="shared" si="2"/>
        <v>0</v>
      </c>
      <c r="D80" s="2150">
        <f t="shared" si="6"/>
        <v>0</v>
      </c>
      <c r="E80" s="2145">
        <f t="shared" si="7"/>
        <v>0</v>
      </c>
      <c r="F80" s="2145">
        <f t="shared" si="3"/>
        <v>0</v>
      </c>
      <c r="G80" s="2145">
        <f t="shared" si="8"/>
        <v>0</v>
      </c>
      <c r="H80" s="2145">
        <f>IF(K79&lt;0.01,0,IF(Adm!$S$4=Adm!$S$8,0,K79*Adm!$V$4))</f>
        <v>0</v>
      </c>
      <c r="I80" s="2145">
        <f>IF(K79&lt;0.01,0,IF($I$16&lt;&gt;"",Adm!$Q$6*1.16,0))</f>
        <v>0</v>
      </c>
      <c r="J80" s="2145">
        <f t="shared" si="4"/>
        <v>0</v>
      </c>
      <c r="K80" s="2145">
        <f t="shared" si="5"/>
        <v>0</v>
      </c>
      <c r="L80" s="2146"/>
      <c r="W80" s="1352">
        <f t="shared" si="9"/>
        <v>3</v>
      </c>
      <c r="X80" s="1367">
        <f>IF(W80=1,Adm!$AP$3,0)</f>
        <v>0</v>
      </c>
      <c r="Z80" s="1153"/>
      <c r="AC80" s="1375">
        <f t="shared" si="13"/>
        <v>0</v>
      </c>
      <c r="AD80" s="1373">
        <f t="shared" si="10"/>
        <v>0</v>
      </c>
      <c r="AE80" s="1373">
        <f t="shared" si="14"/>
        <v>0</v>
      </c>
      <c r="AF80" s="1373">
        <f t="shared" si="12"/>
        <v>0</v>
      </c>
      <c r="AG80" s="1371">
        <f t="shared" si="11"/>
        <v>0</v>
      </c>
      <c r="AH80" s="1359" t="e">
        <f>HLOOKUP($AH$13,Sustitución,64,0)</f>
        <v>#N/A</v>
      </c>
      <c r="AJ80" s="1360">
        <f>Captura!AI150</f>
        <v>0</v>
      </c>
    </row>
    <row r="81" spans="1:36">
      <c r="A81" s="1118">
        <f t="shared" ca="1" si="0"/>
        <v>7</v>
      </c>
      <c r="B81" s="1101">
        <f t="shared" si="1"/>
        <v>0</v>
      </c>
      <c r="C81" s="2149">
        <f t="shared" si="2"/>
        <v>0</v>
      </c>
      <c r="D81" s="2150">
        <f t="shared" si="6"/>
        <v>0</v>
      </c>
      <c r="E81" s="2145">
        <f t="shared" si="7"/>
        <v>0</v>
      </c>
      <c r="F81" s="2145">
        <f t="shared" si="3"/>
        <v>0</v>
      </c>
      <c r="G81" s="2145">
        <f t="shared" si="8"/>
        <v>0</v>
      </c>
      <c r="H81" s="2145">
        <f>IF(K80&lt;0.01,0,IF(Adm!$S$4=Adm!$S$8,0,K80*Adm!$V$4))</f>
        <v>0</v>
      </c>
      <c r="I81" s="2145">
        <f>IF(K80&lt;0.01,0,IF($I$16&lt;&gt;"",Adm!$Q$6*1.16,0))</f>
        <v>0</v>
      </c>
      <c r="J81" s="2145">
        <f t="shared" si="4"/>
        <v>0</v>
      </c>
      <c r="K81" s="2145">
        <f t="shared" si="5"/>
        <v>0</v>
      </c>
      <c r="L81" s="2146"/>
      <c r="W81" s="1352">
        <f t="shared" si="9"/>
        <v>4</v>
      </c>
      <c r="X81" s="1367">
        <f>IF(W81=1,Adm!$AP$3,0)</f>
        <v>0</v>
      </c>
      <c r="Z81" s="1153"/>
      <c r="AC81" s="1375">
        <f t="shared" si="13"/>
        <v>0</v>
      </c>
      <c r="AD81" s="1373">
        <f t="shared" si="10"/>
        <v>0</v>
      </c>
      <c r="AE81" s="1373">
        <f t="shared" si="14"/>
        <v>0</v>
      </c>
      <c r="AF81" s="1373">
        <f t="shared" si="12"/>
        <v>0</v>
      </c>
      <c r="AG81" s="1371">
        <f t="shared" si="11"/>
        <v>0</v>
      </c>
      <c r="AH81" s="1359" t="e">
        <f>HLOOKUP($AH$13,Sustitución,65,0)</f>
        <v>#N/A</v>
      </c>
      <c r="AJ81" s="1360">
        <f>Captura!AI151</f>
        <v>0</v>
      </c>
    </row>
    <row r="82" spans="1:36">
      <c r="A82" s="1118">
        <f t="shared" ref="A82:A145" ca="1" si="15">IF(A81=12,1,A81+1)</f>
        <v>8</v>
      </c>
      <c r="B82" s="1101">
        <f t="shared" ref="B82:B145" si="16">IF(K81&lt;0.01,0,B81-1)</f>
        <v>0</v>
      </c>
      <c r="C82" s="2149">
        <f t="shared" ref="C82:C145" si="17">IF(K81&lt;0.01,0,C81+1)</f>
        <v>0</v>
      </c>
      <c r="D82" s="2150">
        <f t="shared" si="6"/>
        <v>0</v>
      </c>
      <c r="E82" s="2145">
        <f t="shared" si="7"/>
        <v>0</v>
      </c>
      <c r="F82" s="2145">
        <f t="shared" ref="F82:F145" si="18">IF(K81&lt;0.01,0,G82-E82)</f>
        <v>0</v>
      </c>
      <c r="G82" s="2145">
        <f t="shared" si="8"/>
        <v>0</v>
      </c>
      <c r="H82" s="2145">
        <f>IF(K81&lt;0.01,0,IF(Adm!$S$4=Adm!$S$8,0,K81*Adm!$V$4))</f>
        <v>0</v>
      </c>
      <c r="I82" s="2145">
        <f>IF(K81&lt;0.01,0,IF($I$16&lt;&gt;"",Adm!$Q$6*1.16,0))</f>
        <v>0</v>
      </c>
      <c r="J82" s="2145">
        <f t="shared" ref="J82:J145" si="19">G82+H82+I82</f>
        <v>0</v>
      </c>
      <c r="K82" s="2145">
        <f t="shared" ref="K82:K145" si="20">IF(K81&lt;0.01,0,K81-F82-L82)</f>
        <v>0</v>
      </c>
      <c r="L82" s="2146"/>
      <c r="W82" s="1352">
        <f t="shared" si="9"/>
        <v>5</v>
      </c>
      <c r="X82" s="1367">
        <f>IF(W82=1,Adm!$AP$3,0)</f>
        <v>0</v>
      </c>
      <c r="Z82" s="1153"/>
      <c r="AC82" s="1375">
        <f t="shared" si="13"/>
        <v>0</v>
      </c>
      <c r="AD82" s="1373">
        <f t="shared" si="10"/>
        <v>0</v>
      </c>
      <c r="AE82" s="1373">
        <f t="shared" si="14"/>
        <v>0</v>
      </c>
      <c r="AF82" s="1373">
        <f t="shared" si="12"/>
        <v>0</v>
      </c>
      <c r="AG82" s="1371">
        <f t="shared" si="11"/>
        <v>0</v>
      </c>
      <c r="AH82" s="1359" t="e">
        <f>HLOOKUP($AH$13,Sustitución,66,0)</f>
        <v>#N/A</v>
      </c>
      <c r="AJ82" s="1360">
        <f>Captura!AI152</f>
        <v>0</v>
      </c>
    </row>
    <row r="83" spans="1:36">
      <c r="A83" s="1118">
        <f t="shared" ca="1" si="15"/>
        <v>9</v>
      </c>
      <c r="B83" s="1101">
        <f t="shared" si="16"/>
        <v>0</v>
      </c>
      <c r="C83" s="2149">
        <f t="shared" si="17"/>
        <v>0</v>
      </c>
      <c r="D83" s="2150">
        <f t="shared" ref="D83:D146" si="21">IF(K82&lt;0.01,0,D82)</f>
        <v>0</v>
      </c>
      <c r="E83" s="2145">
        <f t="shared" ref="E83:E146" si="22">IF(K82&lt;0.01,0,K82*D83*30.4166/360)</f>
        <v>0</v>
      </c>
      <c r="F83" s="2145">
        <f t="shared" si="18"/>
        <v>0</v>
      </c>
      <c r="G83" s="2145">
        <f t="shared" ref="G83:G146" si="23">IF(K82&lt;0.1,0,MIN(K82+E83,IF(AC83&gt;0,AC83,G82*(1+X83))))</f>
        <v>0</v>
      </c>
      <c r="H83" s="2145">
        <f>IF(K82&lt;0.01,0,IF(Adm!$S$4=Adm!$S$8,0,K82*Adm!$V$4))</f>
        <v>0</v>
      </c>
      <c r="I83" s="2145">
        <f>IF(K82&lt;0.01,0,IF($I$16&lt;&gt;"",Adm!$Q$6*1.16,0))</f>
        <v>0</v>
      </c>
      <c r="J83" s="2145">
        <f t="shared" si="19"/>
        <v>0</v>
      </c>
      <c r="K83" s="2145">
        <f t="shared" si="20"/>
        <v>0</v>
      </c>
      <c r="L83" s="2146"/>
      <c r="W83" s="1352">
        <f t="shared" ref="W83:W146" si="24">IF(W82=12,1,W82+1)</f>
        <v>6</v>
      </c>
      <c r="X83" s="1367">
        <f>IF(W83=1,Adm!$AP$3,0)</f>
        <v>0</v>
      </c>
      <c r="Z83" s="1153"/>
      <c r="AC83" s="1375">
        <f t="shared" si="13"/>
        <v>0</v>
      </c>
      <c r="AD83" s="1373">
        <f t="shared" ref="AD83:AD146" si="25">IF(AND($AE$12=1,L82&gt;0.1),AE83,0)</f>
        <v>0</v>
      </c>
      <c r="AE83" s="1373">
        <f t="shared" si="14"/>
        <v>0</v>
      </c>
      <c r="AF83" s="1373">
        <f t="shared" si="12"/>
        <v>0</v>
      </c>
      <c r="AG83" s="1371">
        <f t="shared" ref="AG83:AG146" si="26">IF(AND($AE$12=2,L82&lt;0.01),0,IF($AE$12=2,(K82*AH83)+E83,0))</f>
        <v>0</v>
      </c>
      <c r="AH83" s="1359" t="e">
        <f>HLOOKUP($AH$13,Sustitución,67,0)</f>
        <v>#N/A</v>
      </c>
      <c r="AJ83" s="1360">
        <f>Captura!AI153</f>
        <v>0</v>
      </c>
    </row>
    <row r="84" spans="1:36">
      <c r="A84" s="1118">
        <f t="shared" ca="1" si="15"/>
        <v>10</v>
      </c>
      <c r="B84" s="1101">
        <f t="shared" si="16"/>
        <v>0</v>
      </c>
      <c r="C84" s="2149">
        <f t="shared" si="17"/>
        <v>0</v>
      </c>
      <c r="D84" s="2150">
        <f t="shared" si="21"/>
        <v>0</v>
      </c>
      <c r="E84" s="2145">
        <f t="shared" si="22"/>
        <v>0</v>
      </c>
      <c r="F84" s="2145">
        <f t="shared" si="18"/>
        <v>0</v>
      </c>
      <c r="G84" s="2145">
        <f t="shared" si="23"/>
        <v>0</v>
      </c>
      <c r="H84" s="2145">
        <f>IF(K83&lt;0.01,0,IF(Adm!$S$4=Adm!$S$8,0,K83*Adm!$V$4))</f>
        <v>0</v>
      </c>
      <c r="I84" s="2145">
        <f>IF(K83&lt;0.01,0,IF($I$16&lt;&gt;"",Adm!$Q$6*1.16,0))</f>
        <v>0</v>
      </c>
      <c r="J84" s="2145">
        <f t="shared" si="19"/>
        <v>0</v>
      </c>
      <c r="K84" s="2145">
        <f t="shared" si="20"/>
        <v>0</v>
      </c>
      <c r="L84" s="2146"/>
      <c r="W84" s="1352">
        <f t="shared" si="24"/>
        <v>7</v>
      </c>
      <c r="X84" s="1367">
        <f>IF(W84=1,Adm!$AP$3,0)</f>
        <v>0</v>
      </c>
      <c r="Z84" s="1153"/>
      <c r="AC84" s="1375">
        <f t="shared" si="13"/>
        <v>0</v>
      </c>
      <c r="AD84" s="1373">
        <f t="shared" si="25"/>
        <v>0</v>
      </c>
      <c r="AE84" s="1373">
        <f t="shared" si="14"/>
        <v>0</v>
      </c>
      <c r="AF84" s="1373">
        <f t="shared" ref="AF84:AF147" si="27">IF(AND(AG84&gt;0.01,$AC$12=2),AG84,0)</f>
        <v>0</v>
      </c>
      <c r="AG84" s="1371">
        <f t="shared" si="26"/>
        <v>0</v>
      </c>
      <c r="AH84" s="1359" t="e">
        <f>HLOOKUP($AH$13,Sustitución,68,0)</f>
        <v>#N/A</v>
      </c>
      <c r="AJ84" s="1360">
        <f>Captura!AI154</f>
        <v>0</v>
      </c>
    </row>
    <row r="85" spans="1:36">
      <c r="A85" s="1118">
        <f t="shared" ca="1" si="15"/>
        <v>11</v>
      </c>
      <c r="B85" s="1101">
        <f t="shared" si="16"/>
        <v>0</v>
      </c>
      <c r="C85" s="2149">
        <f t="shared" si="17"/>
        <v>0</v>
      </c>
      <c r="D85" s="2150">
        <f t="shared" si="21"/>
        <v>0</v>
      </c>
      <c r="E85" s="2145">
        <f t="shared" si="22"/>
        <v>0</v>
      </c>
      <c r="F85" s="2145">
        <f t="shared" si="18"/>
        <v>0</v>
      </c>
      <c r="G85" s="2145">
        <f t="shared" si="23"/>
        <v>0</v>
      </c>
      <c r="H85" s="2145">
        <f>IF(K84&lt;0.01,0,IF(Adm!$S$4=Adm!$S$8,0,K84*Adm!$V$4))</f>
        <v>0</v>
      </c>
      <c r="I85" s="2145">
        <f>IF(K84&lt;0.01,0,IF($I$16&lt;&gt;"",Adm!$Q$6*1.16,0))</f>
        <v>0</v>
      </c>
      <c r="J85" s="2145">
        <f t="shared" si="19"/>
        <v>0</v>
      </c>
      <c r="K85" s="2145">
        <f t="shared" si="20"/>
        <v>0</v>
      </c>
      <c r="L85" s="2146"/>
      <c r="W85" s="1352">
        <f t="shared" si="24"/>
        <v>8</v>
      </c>
      <c r="X85" s="1367">
        <f>IF(W85=1,Adm!$AP$3,0)</f>
        <v>0</v>
      </c>
      <c r="Z85" s="1153"/>
      <c r="AC85" s="1375">
        <f t="shared" ref="AC85:AC148" si="28">IF(AD85&gt;1,AD85,IF(AF85&gt;1,AF85,0))</f>
        <v>0</v>
      </c>
      <c r="AD85" s="1373">
        <f t="shared" si="25"/>
        <v>0</v>
      </c>
      <c r="AE85" s="1373">
        <f t="shared" ref="AE85:AE148" si="29">IF(AND($AE$12=1,$AC$12=2),PMT((($D$18/360)*(365/12)),B84,-K84),0)</f>
        <v>0</v>
      </c>
      <c r="AF85" s="1373">
        <f t="shared" si="27"/>
        <v>0</v>
      </c>
      <c r="AG85" s="1371">
        <f t="shared" si="26"/>
        <v>0</v>
      </c>
      <c r="AH85" s="1359" t="e">
        <f>HLOOKUP($AH$13,Sustitución,69,0)</f>
        <v>#N/A</v>
      </c>
      <c r="AJ85" s="1360">
        <f>Captura!AI155</f>
        <v>0</v>
      </c>
    </row>
    <row r="86" spans="1:36">
      <c r="A86" s="1118">
        <f t="shared" ca="1" si="15"/>
        <v>12</v>
      </c>
      <c r="B86" s="1101">
        <f t="shared" si="16"/>
        <v>0</v>
      </c>
      <c r="C86" s="2149">
        <f t="shared" si="17"/>
        <v>0</v>
      </c>
      <c r="D86" s="2150">
        <f t="shared" si="21"/>
        <v>0</v>
      </c>
      <c r="E86" s="2145">
        <f t="shared" si="22"/>
        <v>0</v>
      </c>
      <c r="F86" s="2145">
        <f t="shared" si="18"/>
        <v>0</v>
      </c>
      <c r="G86" s="2145">
        <f t="shared" si="23"/>
        <v>0</v>
      </c>
      <c r="H86" s="2145">
        <f>IF(K85&lt;0.01,0,IF(Adm!$S$4=Adm!$S$8,0,K85*Adm!$V$4))</f>
        <v>0</v>
      </c>
      <c r="I86" s="2145">
        <f>IF(K85&lt;0.01,0,IF($I$16&lt;&gt;"",Adm!$Q$6*1.16,0))</f>
        <v>0</v>
      </c>
      <c r="J86" s="2145">
        <f t="shared" si="19"/>
        <v>0</v>
      </c>
      <c r="K86" s="2145">
        <f t="shared" si="20"/>
        <v>0</v>
      </c>
      <c r="L86" s="2146"/>
      <c r="W86" s="1352">
        <f t="shared" si="24"/>
        <v>9</v>
      </c>
      <c r="X86" s="1367">
        <f>IF(W86=1,Adm!$AP$3,0)</f>
        <v>0</v>
      </c>
      <c r="Z86" s="1153"/>
      <c r="AC86" s="1375">
        <f t="shared" si="28"/>
        <v>0</v>
      </c>
      <c r="AD86" s="1373">
        <f t="shared" si="25"/>
        <v>0</v>
      </c>
      <c r="AE86" s="1373">
        <f t="shared" si="29"/>
        <v>0</v>
      </c>
      <c r="AF86" s="1373">
        <f t="shared" si="27"/>
        <v>0</v>
      </c>
      <c r="AG86" s="1371">
        <f t="shared" si="26"/>
        <v>0</v>
      </c>
      <c r="AH86" s="1359" t="e">
        <f>HLOOKUP($AH$13,Sustitución,70,0)</f>
        <v>#N/A</v>
      </c>
      <c r="AJ86" s="1360">
        <f>Captura!AI156</f>
        <v>0</v>
      </c>
    </row>
    <row r="87" spans="1:36">
      <c r="A87" s="1118">
        <f t="shared" ca="1" si="15"/>
        <v>1</v>
      </c>
      <c r="B87" s="1101">
        <f t="shared" si="16"/>
        <v>0</v>
      </c>
      <c r="C87" s="2149">
        <f t="shared" si="17"/>
        <v>0</v>
      </c>
      <c r="D87" s="2150">
        <f t="shared" si="21"/>
        <v>0</v>
      </c>
      <c r="E87" s="2145">
        <f t="shared" si="22"/>
        <v>0</v>
      </c>
      <c r="F87" s="2145">
        <f t="shared" si="18"/>
        <v>0</v>
      </c>
      <c r="G87" s="2145">
        <f t="shared" si="23"/>
        <v>0</v>
      </c>
      <c r="H87" s="2145">
        <f>IF(K86&lt;0.01,0,IF(Adm!$S$4=Adm!$S$8,0,K86*Adm!$V$4))</f>
        <v>0</v>
      </c>
      <c r="I87" s="2145">
        <f>IF(K86&lt;0.01,0,IF($I$16&lt;&gt;"",Adm!$Q$6*1.16,0))</f>
        <v>0</v>
      </c>
      <c r="J87" s="2145">
        <f t="shared" si="19"/>
        <v>0</v>
      </c>
      <c r="K87" s="2145">
        <f t="shared" si="20"/>
        <v>0</v>
      </c>
      <c r="L87" s="2146"/>
      <c r="W87" s="1352">
        <f t="shared" si="24"/>
        <v>10</v>
      </c>
      <c r="X87" s="1367">
        <f>IF(W87=1,Adm!$AP$3,0)</f>
        <v>0</v>
      </c>
      <c r="Z87" s="1153"/>
      <c r="AC87" s="1375">
        <f t="shared" si="28"/>
        <v>0</v>
      </c>
      <c r="AD87" s="1373">
        <f t="shared" si="25"/>
        <v>0</v>
      </c>
      <c r="AE87" s="1373">
        <f t="shared" si="29"/>
        <v>0</v>
      </c>
      <c r="AF87" s="1373">
        <f t="shared" si="27"/>
        <v>0</v>
      </c>
      <c r="AG87" s="1371">
        <f t="shared" si="26"/>
        <v>0</v>
      </c>
      <c r="AH87" s="1359" t="e">
        <f>HLOOKUP($AH$13,Sustitución,71,0)</f>
        <v>#N/A</v>
      </c>
      <c r="AJ87" s="1360">
        <f>Captura!AI157</f>
        <v>0</v>
      </c>
    </row>
    <row r="88" spans="1:36">
      <c r="A88" s="1118">
        <f t="shared" ca="1" si="15"/>
        <v>2</v>
      </c>
      <c r="B88" s="1101">
        <f t="shared" si="16"/>
        <v>0</v>
      </c>
      <c r="C88" s="2149">
        <f t="shared" si="17"/>
        <v>0</v>
      </c>
      <c r="D88" s="2150">
        <f t="shared" si="21"/>
        <v>0</v>
      </c>
      <c r="E88" s="2145">
        <f t="shared" si="22"/>
        <v>0</v>
      </c>
      <c r="F88" s="2145">
        <f t="shared" si="18"/>
        <v>0</v>
      </c>
      <c r="G88" s="2145">
        <f t="shared" si="23"/>
        <v>0</v>
      </c>
      <c r="H88" s="2145">
        <f>IF(K87&lt;0.01,0,IF(Adm!$S$4=Adm!$S$8,0,K87*Adm!$V$4))</f>
        <v>0</v>
      </c>
      <c r="I88" s="2145">
        <f>IF(K87&lt;0.01,0,IF($I$16&lt;&gt;"",Adm!$Q$6*1.16,0))</f>
        <v>0</v>
      </c>
      <c r="J88" s="2145">
        <f t="shared" si="19"/>
        <v>0</v>
      </c>
      <c r="K88" s="2145">
        <f t="shared" si="20"/>
        <v>0</v>
      </c>
      <c r="L88" s="2146"/>
      <c r="W88" s="1352">
        <f t="shared" si="24"/>
        <v>11</v>
      </c>
      <c r="X88" s="1367">
        <f>IF(W88=1,Adm!$AP$3,0)</f>
        <v>0</v>
      </c>
      <c r="Z88" s="1153"/>
      <c r="AC88" s="1375">
        <f t="shared" si="28"/>
        <v>0</v>
      </c>
      <c r="AD88" s="1373">
        <f t="shared" si="25"/>
        <v>0</v>
      </c>
      <c r="AE88" s="1373">
        <f t="shared" si="29"/>
        <v>0</v>
      </c>
      <c r="AF88" s="1373">
        <f t="shared" si="27"/>
        <v>0</v>
      </c>
      <c r="AG88" s="1371">
        <f t="shared" si="26"/>
        <v>0</v>
      </c>
      <c r="AH88" s="1359" t="e">
        <f>HLOOKUP($AH$13,Sustitución,72,0)</f>
        <v>#N/A</v>
      </c>
      <c r="AJ88" s="1360">
        <f>Captura!AI158</f>
        <v>0</v>
      </c>
    </row>
    <row r="89" spans="1:36">
      <c r="A89" s="1118">
        <f t="shared" ca="1" si="15"/>
        <v>3</v>
      </c>
      <c r="B89" s="1101">
        <f t="shared" si="16"/>
        <v>0</v>
      </c>
      <c r="C89" s="2149">
        <f t="shared" si="17"/>
        <v>0</v>
      </c>
      <c r="D89" s="2150">
        <f t="shared" si="21"/>
        <v>0</v>
      </c>
      <c r="E89" s="2145">
        <f t="shared" si="22"/>
        <v>0</v>
      </c>
      <c r="F89" s="2145">
        <f t="shared" si="18"/>
        <v>0</v>
      </c>
      <c r="G89" s="2145">
        <f t="shared" si="23"/>
        <v>0</v>
      </c>
      <c r="H89" s="2145">
        <f>IF(K88&lt;0.01,0,IF(Adm!$S$4=Adm!$S$8,0,K88*Adm!$V$4))</f>
        <v>0</v>
      </c>
      <c r="I89" s="2145">
        <f>IF(K88&lt;0.01,0,IF($I$16&lt;&gt;"",Adm!$Q$6*1.16,0))</f>
        <v>0</v>
      </c>
      <c r="J89" s="2145">
        <f t="shared" si="19"/>
        <v>0</v>
      </c>
      <c r="K89" s="2145">
        <f t="shared" si="20"/>
        <v>0</v>
      </c>
      <c r="L89" s="2146"/>
      <c r="W89" s="1352">
        <f t="shared" si="24"/>
        <v>12</v>
      </c>
      <c r="X89" s="1367">
        <f>IF(W89=1,Adm!$AP$3,0)</f>
        <v>0</v>
      </c>
      <c r="Z89" s="1153"/>
      <c r="AC89" s="1375">
        <f t="shared" si="28"/>
        <v>0</v>
      </c>
      <c r="AD89" s="1373">
        <f t="shared" si="25"/>
        <v>0</v>
      </c>
      <c r="AE89" s="1373">
        <f t="shared" si="29"/>
        <v>0</v>
      </c>
      <c r="AF89" s="1373">
        <f t="shared" si="27"/>
        <v>0</v>
      </c>
      <c r="AG89" s="1371">
        <f t="shared" si="26"/>
        <v>0</v>
      </c>
      <c r="AH89" s="1359" t="e">
        <f>HLOOKUP($AH$13,Sustitución,73,0)</f>
        <v>#N/A</v>
      </c>
      <c r="AJ89" s="1360">
        <f>Captura!AI159</f>
        <v>0</v>
      </c>
    </row>
    <row r="90" spans="1:36">
      <c r="A90" s="1118">
        <f t="shared" ca="1" si="15"/>
        <v>4</v>
      </c>
      <c r="B90" s="1101">
        <f t="shared" si="16"/>
        <v>0</v>
      </c>
      <c r="C90" s="2149">
        <f t="shared" si="17"/>
        <v>0</v>
      </c>
      <c r="D90" s="2150">
        <f t="shared" si="21"/>
        <v>0</v>
      </c>
      <c r="E90" s="2145">
        <f t="shared" si="22"/>
        <v>0</v>
      </c>
      <c r="F90" s="2145">
        <f t="shared" si="18"/>
        <v>0</v>
      </c>
      <c r="G90" s="2145">
        <f t="shared" si="23"/>
        <v>0</v>
      </c>
      <c r="H90" s="2145">
        <f>IF(K89&lt;0.01,0,IF(Adm!$S$4=Adm!$S$8,0,K89*Adm!$V$4))</f>
        <v>0</v>
      </c>
      <c r="I90" s="2145">
        <f>IF(K89&lt;0.01,0,IF($I$16&lt;&gt;"",Adm!$Q$6*1.16,0))</f>
        <v>0</v>
      </c>
      <c r="J90" s="2145">
        <f t="shared" si="19"/>
        <v>0</v>
      </c>
      <c r="K90" s="2145">
        <f t="shared" si="20"/>
        <v>0</v>
      </c>
      <c r="L90" s="2146"/>
      <c r="W90" s="1352">
        <f t="shared" si="24"/>
        <v>1</v>
      </c>
      <c r="X90" s="1367">
        <f>IF(W90=1,Adm!$AP$3,0)</f>
        <v>0</v>
      </c>
      <c r="Z90" s="1153"/>
      <c r="AC90" s="1375">
        <f t="shared" si="28"/>
        <v>0</v>
      </c>
      <c r="AD90" s="1373">
        <f t="shared" si="25"/>
        <v>0</v>
      </c>
      <c r="AE90" s="1373">
        <f t="shared" si="29"/>
        <v>0</v>
      </c>
      <c r="AF90" s="1373">
        <f t="shared" si="27"/>
        <v>0</v>
      </c>
      <c r="AG90" s="1371">
        <f t="shared" si="26"/>
        <v>0</v>
      </c>
      <c r="AH90" s="1359" t="e">
        <f>HLOOKUP($AH$13,Sustitución,74,0)</f>
        <v>#N/A</v>
      </c>
      <c r="AJ90" s="1360">
        <f>Captura!AI160</f>
        <v>0</v>
      </c>
    </row>
    <row r="91" spans="1:36">
      <c r="A91" s="1118">
        <f t="shared" ca="1" si="15"/>
        <v>5</v>
      </c>
      <c r="B91" s="1101">
        <f t="shared" si="16"/>
        <v>0</v>
      </c>
      <c r="C91" s="2149">
        <f t="shared" si="17"/>
        <v>0</v>
      </c>
      <c r="D91" s="2150">
        <f t="shared" si="21"/>
        <v>0</v>
      </c>
      <c r="E91" s="2145">
        <f t="shared" si="22"/>
        <v>0</v>
      </c>
      <c r="F91" s="2145">
        <f t="shared" si="18"/>
        <v>0</v>
      </c>
      <c r="G91" s="2145">
        <f t="shared" si="23"/>
        <v>0</v>
      </c>
      <c r="H91" s="2145">
        <f>IF(K90&lt;0.01,0,IF(Adm!$S$4=Adm!$S$8,0,K90*Adm!$V$4))</f>
        <v>0</v>
      </c>
      <c r="I91" s="2145">
        <f>IF(K90&lt;0.01,0,IF($I$16&lt;&gt;"",Adm!$Q$6*1.16,0))</f>
        <v>0</v>
      </c>
      <c r="J91" s="2145">
        <f t="shared" si="19"/>
        <v>0</v>
      </c>
      <c r="K91" s="2145">
        <f t="shared" si="20"/>
        <v>0</v>
      </c>
      <c r="L91" s="2146"/>
      <c r="W91" s="1352">
        <f t="shared" si="24"/>
        <v>2</v>
      </c>
      <c r="X91" s="1367">
        <f>IF(W91=1,Adm!$AP$3,0)</f>
        <v>0</v>
      </c>
      <c r="Z91" s="1153"/>
      <c r="AC91" s="1375">
        <f t="shared" si="28"/>
        <v>0</v>
      </c>
      <c r="AD91" s="1373">
        <f t="shared" si="25"/>
        <v>0</v>
      </c>
      <c r="AE91" s="1373">
        <f t="shared" si="29"/>
        <v>0</v>
      </c>
      <c r="AF91" s="1373">
        <f t="shared" si="27"/>
        <v>0</v>
      </c>
      <c r="AG91" s="1371">
        <f t="shared" si="26"/>
        <v>0</v>
      </c>
      <c r="AH91" s="1359" t="e">
        <f>HLOOKUP($AH$13,Sustitución,75,0)</f>
        <v>#N/A</v>
      </c>
      <c r="AJ91" s="1360">
        <f>Captura!AI161</f>
        <v>0</v>
      </c>
    </row>
    <row r="92" spans="1:36">
      <c r="A92" s="1118">
        <f t="shared" ca="1" si="15"/>
        <v>6</v>
      </c>
      <c r="B92" s="1101">
        <f t="shared" si="16"/>
        <v>0</v>
      </c>
      <c r="C92" s="2149">
        <f t="shared" si="17"/>
        <v>0</v>
      </c>
      <c r="D92" s="2150">
        <f t="shared" si="21"/>
        <v>0</v>
      </c>
      <c r="E92" s="2145">
        <f t="shared" si="22"/>
        <v>0</v>
      </c>
      <c r="F92" s="2145">
        <f t="shared" si="18"/>
        <v>0</v>
      </c>
      <c r="G92" s="2145">
        <f t="shared" si="23"/>
        <v>0</v>
      </c>
      <c r="H92" s="2145">
        <f>IF(K91&lt;0.01,0,IF(Adm!$S$4=Adm!$S$8,0,K91*Adm!$V$4))</f>
        <v>0</v>
      </c>
      <c r="I92" s="2145">
        <f>IF(K91&lt;0.01,0,IF($I$16&lt;&gt;"",Adm!$Q$6*1.16,0))</f>
        <v>0</v>
      </c>
      <c r="J92" s="2145">
        <f t="shared" si="19"/>
        <v>0</v>
      </c>
      <c r="K92" s="2145">
        <f t="shared" si="20"/>
        <v>0</v>
      </c>
      <c r="L92" s="2146"/>
      <c r="W92" s="1352">
        <f t="shared" si="24"/>
        <v>3</v>
      </c>
      <c r="X92" s="1367">
        <f>IF(W92=1,Adm!$AP$3,0)</f>
        <v>0</v>
      </c>
      <c r="Z92" s="1153"/>
      <c r="AC92" s="1375">
        <f t="shared" si="28"/>
        <v>0</v>
      </c>
      <c r="AD92" s="1373">
        <f t="shared" si="25"/>
        <v>0</v>
      </c>
      <c r="AE92" s="1373">
        <f t="shared" si="29"/>
        <v>0</v>
      </c>
      <c r="AF92" s="1373">
        <f t="shared" si="27"/>
        <v>0</v>
      </c>
      <c r="AG92" s="1371">
        <f t="shared" si="26"/>
        <v>0</v>
      </c>
      <c r="AH92" s="1359" t="e">
        <f>HLOOKUP($AH$13,Sustitución,76,0)</f>
        <v>#N/A</v>
      </c>
      <c r="AJ92" s="1360">
        <f>Captura!AI162</f>
        <v>0</v>
      </c>
    </row>
    <row r="93" spans="1:36">
      <c r="A93" s="1118">
        <f t="shared" ca="1" si="15"/>
        <v>7</v>
      </c>
      <c r="B93" s="1101">
        <f t="shared" si="16"/>
        <v>0</v>
      </c>
      <c r="C93" s="2149">
        <f t="shared" si="17"/>
        <v>0</v>
      </c>
      <c r="D93" s="2150">
        <f t="shared" si="21"/>
        <v>0</v>
      </c>
      <c r="E93" s="2145">
        <f t="shared" si="22"/>
        <v>0</v>
      </c>
      <c r="F93" s="2145">
        <f t="shared" si="18"/>
        <v>0</v>
      </c>
      <c r="G93" s="2145">
        <f t="shared" si="23"/>
        <v>0</v>
      </c>
      <c r="H93" s="2145">
        <f>IF(K92&lt;0.01,0,IF(Adm!$S$4=Adm!$S$8,0,K92*Adm!$V$4))</f>
        <v>0</v>
      </c>
      <c r="I93" s="2145">
        <f>IF(K92&lt;0.01,0,IF($I$16&lt;&gt;"",Adm!$Q$6*1.16,0))</f>
        <v>0</v>
      </c>
      <c r="J93" s="2145">
        <f t="shared" si="19"/>
        <v>0</v>
      </c>
      <c r="K93" s="2145">
        <f t="shared" si="20"/>
        <v>0</v>
      </c>
      <c r="L93" s="2146"/>
      <c r="W93" s="1352">
        <f t="shared" si="24"/>
        <v>4</v>
      </c>
      <c r="X93" s="1367">
        <f>IF(W93=1,Adm!$AP$3,0)</f>
        <v>0</v>
      </c>
      <c r="Z93" s="1153"/>
      <c r="AC93" s="1375">
        <f t="shared" si="28"/>
        <v>0</v>
      </c>
      <c r="AD93" s="1373">
        <f t="shared" si="25"/>
        <v>0</v>
      </c>
      <c r="AE93" s="1373">
        <f t="shared" si="29"/>
        <v>0</v>
      </c>
      <c r="AF93" s="1373">
        <f t="shared" si="27"/>
        <v>0</v>
      </c>
      <c r="AG93" s="1371">
        <f t="shared" si="26"/>
        <v>0</v>
      </c>
      <c r="AH93" s="1359" t="e">
        <f>HLOOKUP($AH$13,Sustitución,77,0)</f>
        <v>#N/A</v>
      </c>
      <c r="AJ93" s="1360">
        <f>Captura!AI163</f>
        <v>0</v>
      </c>
    </row>
    <row r="94" spans="1:36">
      <c r="A94" s="1118">
        <f t="shared" ca="1" si="15"/>
        <v>8</v>
      </c>
      <c r="B94" s="1101">
        <f t="shared" si="16"/>
        <v>0</v>
      </c>
      <c r="C94" s="2149">
        <f t="shared" si="17"/>
        <v>0</v>
      </c>
      <c r="D94" s="2150">
        <f t="shared" si="21"/>
        <v>0</v>
      </c>
      <c r="E94" s="2145">
        <f t="shared" si="22"/>
        <v>0</v>
      </c>
      <c r="F94" s="2145">
        <f t="shared" si="18"/>
        <v>0</v>
      </c>
      <c r="G94" s="2145">
        <f t="shared" si="23"/>
        <v>0</v>
      </c>
      <c r="H94" s="2145">
        <f>IF(K93&lt;0.01,0,IF(Adm!$S$4=Adm!$S$8,0,K93*Adm!$V$4))</f>
        <v>0</v>
      </c>
      <c r="I94" s="2145">
        <f>IF(K93&lt;0.01,0,IF($I$16&lt;&gt;"",Adm!$Q$6*1.16,0))</f>
        <v>0</v>
      </c>
      <c r="J94" s="2145">
        <f t="shared" si="19"/>
        <v>0</v>
      </c>
      <c r="K94" s="2145">
        <f t="shared" si="20"/>
        <v>0</v>
      </c>
      <c r="L94" s="2146"/>
      <c r="W94" s="1352">
        <f t="shared" si="24"/>
        <v>5</v>
      </c>
      <c r="X94" s="1367">
        <f>IF(W94=1,Adm!$AP$3,0)</f>
        <v>0</v>
      </c>
      <c r="Z94" s="1153"/>
      <c r="AC94" s="1375">
        <f t="shared" si="28"/>
        <v>0</v>
      </c>
      <c r="AD94" s="1373">
        <f t="shared" si="25"/>
        <v>0</v>
      </c>
      <c r="AE94" s="1373">
        <f t="shared" si="29"/>
        <v>0</v>
      </c>
      <c r="AF94" s="1373">
        <f t="shared" si="27"/>
        <v>0</v>
      </c>
      <c r="AG94" s="1371">
        <f t="shared" si="26"/>
        <v>0</v>
      </c>
      <c r="AH94" s="1359" t="e">
        <f>HLOOKUP($AH$13,Sustitución,78,0)</f>
        <v>#N/A</v>
      </c>
      <c r="AJ94" s="1360">
        <f>Captura!AI164</f>
        <v>0</v>
      </c>
    </row>
    <row r="95" spans="1:36">
      <c r="A95" s="1118">
        <f t="shared" ca="1" si="15"/>
        <v>9</v>
      </c>
      <c r="B95" s="1101">
        <f t="shared" si="16"/>
        <v>0</v>
      </c>
      <c r="C95" s="2149">
        <f t="shared" si="17"/>
        <v>0</v>
      </c>
      <c r="D95" s="2150">
        <f t="shared" si="21"/>
        <v>0</v>
      </c>
      <c r="E95" s="2145">
        <f t="shared" si="22"/>
        <v>0</v>
      </c>
      <c r="F95" s="2145">
        <f t="shared" si="18"/>
        <v>0</v>
      </c>
      <c r="G95" s="2145">
        <f t="shared" si="23"/>
        <v>0</v>
      </c>
      <c r="H95" s="2145">
        <f>IF(K94&lt;0.01,0,IF(Adm!$S$4=Adm!$S$8,0,K94*Adm!$V$4))</f>
        <v>0</v>
      </c>
      <c r="I95" s="2145">
        <f>IF(K94&lt;0.01,0,IF($I$16&lt;&gt;"",Adm!$Q$6*1.16,0))</f>
        <v>0</v>
      </c>
      <c r="J95" s="2145">
        <f t="shared" si="19"/>
        <v>0</v>
      </c>
      <c r="K95" s="2145">
        <f t="shared" si="20"/>
        <v>0</v>
      </c>
      <c r="L95" s="2146"/>
      <c r="W95" s="1352">
        <f t="shared" si="24"/>
        <v>6</v>
      </c>
      <c r="X95" s="1367">
        <f>IF(W95=1,Adm!$AP$3,0)</f>
        <v>0</v>
      </c>
      <c r="Z95" s="1153"/>
      <c r="AC95" s="1375">
        <f t="shared" si="28"/>
        <v>0</v>
      </c>
      <c r="AD95" s="1373">
        <f t="shared" si="25"/>
        <v>0</v>
      </c>
      <c r="AE95" s="1373">
        <f t="shared" si="29"/>
        <v>0</v>
      </c>
      <c r="AF95" s="1373">
        <f t="shared" si="27"/>
        <v>0</v>
      </c>
      <c r="AG95" s="1371">
        <f t="shared" si="26"/>
        <v>0</v>
      </c>
      <c r="AH95" s="1359" t="e">
        <f>HLOOKUP($AH$13,Sustitución,79,0)</f>
        <v>#N/A</v>
      </c>
      <c r="AJ95" s="1360">
        <f>Captura!AI165</f>
        <v>0</v>
      </c>
    </row>
    <row r="96" spans="1:36">
      <c r="A96" s="1118">
        <f t="shared" ca="1" si="15"/>
        <v>10</v>
      </c>
      <c r="B96" s="1101">
        <f t="shared" si="16"/>
        <v>0</v>
      </c>
      <c r="C96" s="2149">
        <f t="shared" si="17"/>
        <v>0</v>
      </c>
      <c r="D96" s="2150">
        <f t="shared" si="21"/>
        <v>0</v>
      </c>
      <c r="E96" s="2145">
        <f t="shared" si="22"/>
        <v>0</v>
      </c>
      <c r="F96" s="2145">
        <f t="shared" si="18"/>
        <v>0</v>
      </c>
      <c r="G96" s="2145">
        <f t="shared" si="23"/>
        <v>0</v>
      </c>
      <c r="H96" s="2145">
        <f>IF(K95&lt;0.01,0,IF(Adm!$S$4=Adm!$S$8,0,K95*Adm!$V$4))</f>
        <v>0</v>
      </c>
      <c r="I96" s="2145">
        <f>IF(K95&lt;0.01,0,IF($I$16&lt;&gt;"",Adm!$Q$6*1.16,0))</f>
        <v>0</v>
      </c>
      <c r="J96" s="2145">
        <f t="shared" si="19"/>
        <v>0</v>
      </c>
      <c r="K96" s="2145">
        <f t="shared" si="20"/>
        <v>0</v>
      </c>
      <c r="L96" s="2146"/>
      <c r="W96" s="1352">
        <f t="shared" si="24"/>
        <v>7</v>
      </c>
      <c r="X96" s="1367">
        <f>IF(W96=1,Adm!$AP$3,0)</f>
        <v>0</v>
      </c>
      <c r="Z96" s="1153"/>
      <c r="AC96" s="1375">
        <f t="shared" si="28"/>
        <v>0</v>
      </c>
      <c r="AD96" s="1373">
        <f t="shared" si="25"/>
        <v>0</v>
      </c>
      <c r="AE96" s="1373">
        <f t="shared" si="29"/>
        <v>0</v>
      </c>
      <c r="AF96" s="1373">
        <f t="shared" si="27"/>
        <v>0</v>
      </c>
      <c r="AG96" s="1371">
        <f t="shared" si="26"/>
        <v>0</v>
      </c>
      <c r="AH96" s="1359" t="e">
        <f>HLOOKUP($AH$13,Sustitución,80,0)</f>
        <v>#N/A</v>
      </c>
      <c r="AJ96" s="1360">
        <f>Captura!AI166</f>
        <v>0</v>
      </c>
    </row>
    <row r="97" spans="1:36">
      <c r="A97" s="1118">
        <f t="shared" ca="1" si="15"/>
        <v>11</v>
      </c>
      <c r="B97" s="1101">
        <f t="shared" si="16"/>
        <v>0</v>
      </c>
      <c r="C97" s="2149">
        <f t="shared" si="17"/>
        <v>0</v>
      </c>
      <c r="D97" s="2150">
        <f t="shared" si="21"/>
        <v>0</v>
      </c>
      <c r="E97" s="2145">
        <f t="shared" si="22"/>
        <v>0</v>
      </c>
      <c r="F97" s="2145">
        <f t="shared" si="18"/>
        <v>0</v>
      </c>
      <c r="G97" s="2145">
        <f t="shared" si="23"/>
        <v>0</v>
      </c>
      <c r="H97" s="2145">
        <f>IF(K96&lt;0.01,0,IF(Adm!$S$4=Adm!$S$8,0,K96*Adm!$V$4))</f>
        <v>0</v>
      </c>
      <c r="I97" s="2145">
        <f>IF(K96&lt;0.01,0,IF($I$16&lt;&gt;"",Adm!$Q$6*1.16,0))</f>
        <v>0</v>
      </c>
      <c r="J97" s="2145">
        <f t="shared" si="19"/>
        <v>0</v>
      </c>
      <c r="K97" s="2145">
        <f t="shared" si="20"/>
        <v>0</v>
      </c>
      <c r="L97" s="2146"/>
      <c r="W97" s="1352">
        <f t="shared" si="24"/>
        <v>8</v>
      </c>
      <c r="X97" s="1367">
        <f>IF(W97=1,Adm!$AP$3,0)</f>
        <v>0</v>
      </c>
      <c r="Z97" s="1153"/>
      <c r="AC97" s="1375">
        <f t="shared" si="28"/>
        <v>0</v>
      </c>
      <c r="AD97" s="1373">
        <f t="shared" si="25"/>
        <v>0</v>
      </c>
      <c r="AE97" s="1373">
        <f t="shared" si="29"/>
        <v>0</v>
      </c>
      <c r="AF97" s="1373">
        <f t="shared" si="27"/>
        <v>0</v>
      </c>
      <c r="AG97" s="1371">
        <f t="shared" si="26"/>
        <v>0</v>
      </c>
      <c r="AH97" s="1359" t="e">
        <f>HLOOKUP($AH$13,Sustitución,81,0)</f>
        <v>#N/A</v>
      </c>
      <c r="AJ97" s="1360">
        <f>Captura!AI167</f>
        <v>0</v>
      </c>
    </row>
    <row r="98" spans="1:36">
      <c r="A98" s="1118">
        <f t="shared" ca="1" si="15"/>
        <v>12</v>
      </c>
      <c r="B98" s="1101">
        <f t="shared" si="16"/>
        <v>0</v>
      </c>
      <c r="C98" s="2149">
        <f t="shared" si="17"/>
        <v>0</v>
      </c>
      <c r="D98" s="2150">
        <f t="shared" si="21"/>
        <v>0</v>
      </c>
      <c r="E98" s="2145">
        <f t="shared" si="22"/>
        <v>0</v>
      </c>
      <c r="F98" s="2145">
        <f t="shared" si="18"/>
        <v>0</v>
      </c>
      <c r="G98" s="2145">
        <f t="shared" si="23"/>
        <v>0</v>
      </c>
      <c r="H98" s="2145">
        <f>IF(K97&lt;0.01,0,IF(Adm!$S$4=Adm!$S$8,0,K97*Adm!$V$4))</f>
        <v>0</v>
      </c>
      <c r="I98" s="2145">
        <f>IF(K97&lt;0.01,0,IF($I$16&lt;&gt;"",Adm!$Q$6*1.16,0))</f>
        <v>0</v>
      </c>
      <c r="J98" s="2145">
        <f t="shared" si="19"/>
        <v>0</v>
      </c>
      <c r="K98" s="2145">
        <f t="shared" si="20"/>
        <v>0</v>
      </c>
      <c r="L98" s="2146"/>
      <c r="W98" s="1352">
        <f t="shared" si="24"/>
        <v>9</v>
      </c>
      <c r="X98" s="1367">
        <f>IF(W98=1,Adm!$AP$3,0)</f>
        <v>0</v>
      </c>
      <c r="Z98" s="1153"/>
      <c r="AC98" s="1375">
        <f t="shared" si="28"/>
        <v>0</v>
      </c>
      <c r="AD98" s="1373">
        <f t="shared" si="25"/>
        <v>0</v>
      </c>
      <c r="AE98" s="1373">
        <f t="shared" si="29"/>
        <v>0</v>
      </c>
      <c r="AF98" s="1373">
        <f t="shared" si="27"/>
        <v>0</v>
      </c>
      <c r="AG98" s="1371">
        <f t="shared" si="26"/>
        <v>0</v>
      </c>
      <c r="AH98" s="1359" t="e">
        <f>HLOOKUP($AH$13,Sustitución,82,0)</f>
        <v>#N/A</v>
      </c>
      <c r="AJ98" s="1360">
        <f>Captura!AI168</f>
        <v>0</v>
      </c>
    </row>
    <row r="99" spans="1:36">
      <c r="A99" s="1118">
        <f t="shared" ca="1" si="15"/>
        <v>1</v>
      </c>
      <c r="B99" s="1101">
        <f t="shared" si="16"/>
        <v>0</v>
      </c>
      <c r="C99" s="2149">
        <f t="shared" si="17"/>
        <v>0</v>
      </c>
      <c r="D99" s="2150">
        <f t="shared" si="21"/>
        <v>0</v>
      </c>
      <c r="E99" s="2145">
        <f t="shared" si="22"/>
        <v>0</v>
      </c>
      <c r="F99" s="2145">
        <f t="shared" si="18"/>
        <v>0</v>
      </c>
      <c r="G99" s="2145">
        <f t="shared" si="23"/>
        <v>0</v>
      </c>
      <c r="H99" s="2145">
        <f>IF(K98&lt;0.01,0,IF(Adm!$S$4=Adm!$S$8,0,K98*Adm!$V$4))</f>
        <v>0</v>
      </c>
      <c r="I99" s="2145">
        <f>IF(K98&lt;0.01,0,IF($I$16&lt;&gt;"",Adm!$Q$6*1.16,0))</f>
        <v>0</v>
      </c>
      <c r="J99" s="2145">
        <f t="shared" si="19"/>
        <v>0</v>
      </c>
      <c r="K99" s="2145">
        <f t="shared" si="20"/>
        <v>0</v>
      </c>
      <c r="L99" s="2146"/>
      <c r="W99" s="1352">
        <f t="shared" si="24"/>
        <v>10</v>
      </c>
      <c r="X99" s="1367">
        <f>IF(W99=1,Adm!$AP$3,0)</f>
        <v>0</v>
      </c>
      <c r="Z99" s="1153"/>
      <c r="AC99" s="1375">
        <f t="shared" si="28"/>
        <v>0</v>
      </c>
      <c r="AD99" s="1373">
        <f t="shared" si="25"/>
        <v>0</v>
      </c>
      <c r="AE99" s="1373">
        <f t="shared" si="29"/>
        <v>0</v>
      </c>
      <c r="AF99" s="1373">
        <f t="shared" si="27"/>
        <v>0</v>
      </c>
      <c r="AG99" s="1371">
        <f t="shared" si="26"/>
        <v>0</v>
      </c>
      <c r="AH99" s="1359" t="e">
        <f>HLOOKUP($AH$13,Sustitución,83,0)</f>
        <v>#N/A</v>
      </c>
      <c r="AJ99" s="1360">
        <f>Captura!AI169</f>
        <v>0</v>
      </c>
    </row>
    <row r="100" spans="1:36">
      <c r="A100" s="1118">
        <f t="shared" ca="1" si="15"/>
        <v>2</v>
      </c>
      <c r="B100" s="1101">
        <f t="shared" si="16"/>
        <v>0</v>
      </c>
      <c r="C100" s="2149">
        <f t="shared" si="17"/>
        <v>0</v>
      </c>
      <c r="D100" s="2150">
        <f t="shared" si="21"/>
        <v>0</v>
      </c>
      <c r="E100" s="2145">
        <f t="shared" si="22"/>
        <v>0</v>
      </c>
      <c r="F100" s="2145">
        <f t="shared" si="18"/>
        <v>0</v>
      </c>
      <c r="G100" s="2145">
        <f t="shared" si="23"/>
        <v>0</v>
      </c>
      <c r="H100" s="2145">
        <f>IF(K99&lt;0.01,0,IF(Adm!$S$4=Adm!$S$8,0,K99*Adm!$V$4))</f>
        <v>0</v>
      </c>
      <c r="I100" s="2145">
        <f>IF(K99&lt;0.01,0,IF($I$16&lt;&gt;"",Adm!$Q$6*1.16,0))</f>
        <v>0</v>
      </c>
      <c r="J100" s="2145">
        <f t="shared" si="19"/>
        <v>0</v>
      </c>
      <c r="K100" s="2145">
        <f t="shared" si="20"/>
        <v>0</v>
      </c>
      <c r="L100" s="2146"/>
      <c r="W100" s="1352">
        <f t="shared" si="24"/>
        <v>11</v>
      </c>
      <c r="X100" s="1367">
        <f>IF(W100=1,Adm!$AP$3,0)</f>
        <v>0</v>
      </c>
      <c r="Z100" s="1153"/>
      <c r="AC100" s="1375">
        <f t="shared" si="28"/>
        <v>0</v>
      </c>
      <c r="AD100" s="1373">
        <f t="shared" si="25"/>
        <v>0</v>
      </c>
      <c r="AE100" s="1373">
        <f t="shared" si="29"/>
        <v>0</v>
      </c>
      <c r="AF100" s="1373">
        <f t="shared" si="27"/>
        <v>0</v>
      </c>
      <c r="AG100" s="1371">
        <f t="shared" si="26"/>
        <v>0</v>
      </c>
      <c r="AH100" s="1359" t="e">
        <f>HLOOKUP($AH$13,Sustitución,84,0)</f>
        <v>#N/A</v>
      </c>
      <c r="AJ100" s="1360">
        <f>Captura!AI170</f>
        <v>0</v>
      </c>
    </row>
    <row r="101" spans="1:36">
      <c r="A101" s="1118">
        <f t="shared" ca="1" si="15"/>
        <v>3</v>
      </c>
      <c r="B101" s="1101">
        <f t="shared" si="16"/>
        <v>0</v>
      </c>
      <c r="C101" s="2149">
        <f t="shared" si="17"/>
        <v>0</v>
      </c>
      <c r="D101" s="2150">
        <f t="shared" si="21"/>
        <v>0</v>
      </c>
      <c r="E101" s="2145">
        <f t="shared" si="22"/>
        <v>0</v>
      </c>
      <c r="F101" s="2145">
        <f t="shared" si="18"/>
        <v>0</v>
      </c>
      <c r="G101" s="2145">
        <f t="shared" si="23"/>
        <v>0</v>
      </c>
      <c r="H101" s="2145">
        <f>IF(K100&lt;0.01,0,IF(Adm!$S$4=Adm!$S$8,0,K100*Adm!$V$4))</f>
        <v>0</v>
      </c>
      <c r="I101" s="2145">
        <f>IF(K100&lt;0.01,0,IF($I$16&lt;&gt;"",Adm!$Q$6*1.16,0))</f>
        <v>0</v>
      </c>
      <c r="J101" s="2145">
        <f t="shared" si="19"/>
        <v>0</v>
      </c>
      <c r="K101" s="2145">
        <f t="shared" si="20"/>
        <v>0</v>
      </c>
      <c r="L101" s="2146"/>
      <c r="W101" s="1352">
        <f t="shared" si="24"/>
        <v>12</v>
      </c>
      <c r="X101" s="1367">
        <f>IF(W101=1,Adm!$AP$3,0)</f>
        <v>0</v>
      </c>
      <c r="Z101" s="1153"/>
      <c r="AC101" s="1375">
        <f t="shared" si="28"/>
        <v>0</v>
      </c>
      <c r="AD101" s="1373">
        <f t="shared" si="25"/>
        <v>0</v>
      </c>
      <c r="AE101" s="1373">
        <f t="shared" si="29"/>
        <v>0</v>
      </c>
      <c r="AF101" s="1373">
        <f t="shared" si="27"/>
        <v>0</v>
      </c>
      <c r="AG101" s="1371">
        <f t="shared" si="26"/>
        <v>0</v>
      </c>
      <c r="AH101" s="1359" t="e">
        <f>HLOOKUP($AH$13,Sustitución,85,0)</f>
        <v>#N/A</v>
      </c>
      <c r="AJ101" s="1360">
        <f>Captura!AI171</f>
        <v>0</v>
      </c>
    </row>
    <row r="102" spans="1:36">
      <c r="A102" s="1118">
        <f t="shared" ca="1" si="15"/>
        <v>4</v>
      </c>
      <c r="B102" s="1101">
        <f t="shared" si="16"/>
        <v>0</v>
      </c>
      <c r="C102" s="2149">
        <f t="shared" si="17"/>
        <v>0</v>
      </c>
      <c r="D102" s="2150">
        <f t="shared" si="21"/>
        <v>0</v>
      </c>
      <c r="E102" s="2145">
        <f t="shared" si="22"/>
        <v>0</v>
      </c>
      <c r="F102" s="2145">
        <f t="shared" si="18"/>
        <v>0</v>
      </c>
      <c r="G102" s="2145">
        <f t="shared" si="23"/>
        <v>0</v>
      </c>
      <c r="H102" s="2145">
        <f>IF(K101&lt;0.01,0,IF(Adm!$S$4=Adm!$S$8,0,K101*Adm!$V$4))</f>
        <v>0</v>
      </c>
      <c r="I102" s="2145">
        <f>IF(K101&lt;0.01,0,IF($I$16&lt;&gt;"",Adm!$Q$6*1.16,0))</f>
        <v>0</v>
      </c>
      <c r="J102" s="2145">
        <f t="shared" si="19"/>
        <v>0</v>
      </c>
      <c r="K102" s="2145">
        <f t="shared" si="20"/>
        <v>0</v>
      </c>
      <c r="L102" s="2146"/>
      <c r="W102" s="1352">
        <f t="shared" si="24"/>
        <v>1</v>
      </c>
      <c r="X102" s="1367">
        <f>IF(W102=1,Adm!$AP$3,0)</f>
        <v>0</v>
      </c>
      <c r="Z102" s="1153"/>
      <c r="AC102" s="1375">
        <f t="shared" si="28"/>
        <v>0</v>
      </c>
      <c r="AD102" s="1373">
        <f t="shared" si="25"/>
        <v>0</v>
      </c>
      <c r="AE102" s="1373">
        <f t="shared" si="29"/>
        <v>0</v>
      </c>
      <c r="AF102" s="1373">
        <f t="shared" si="27"/>
        <v>0</v>
      </c>
      <c r="AG102" s="1371">
        <f t="shared" si="26"/>
        <v>0</v>
      </c>
      <c r="AH102" s="1359" t="e">
        <f>HLOOKUP($AH$13,Sustitución,86,0)</f>
        <v>#N/A</v>
      </c>
      <c r="AJ102" s="1360">
        <f>Captura!AI172</f>
        <v>0</v>
      </c>
    </row>
    <row r="103" spans="1:36">
      <c r="A103" s="1118">
        <f t="shared" ca="1" si="15"/>
        <v>5</v>
      </c>
      <c r="B103" s="1101">
        <f t="shared" si="16"/>
        <v>0</v>
      </c>
      <c r="C103" s="2149">
        <f t="shared" si="17"/>
        <v>0</v>
      </c>
      <c r="D103" s="2150">
        <f t="shared" si="21"/>
        <v>0</v>
      </c>
      <c r="E103" s="2145">
        <f t="shared" si="22"/>
        <v>0</v>
      </c>
      <c r="F103" s="2145">
        <f t="shared" si="18"/>
        <v>0</v>
      </c>
      <c r="G103" s="2145">
        <f t="shared" si="23"/>
        <v>0</v>
      </c>
      <c r="H103" s="2145">
        <f>IF(K102&lt;0.01,0,IF(Adm!$S$4=Adm!$S$8,0,K102*Adm!$V$4))</f>
        <v>0</v>
      </c>
      <c r="I103" s="2145">
        <f>IF(K102&lt;0.01,0,IF($I$16&lt;&gt;"",Adm!$Q$6*1.16,0))</f>
        <v>0</v>
      </c>
      <c r="J103" s="2145">
        <f t="shared" si="19"/>
        <v>0</v>
      </c>
      <c r="K103" s="2145">
        <f t="shared" si="20"/>
        <v>0</v>
      </c>
      <c r="L103" s="2146"/>
      <c r="W103" s="1352">
        <f t="shared" si="24"/>
        <v>2</v>
      </c>
      <c r="X103" s="1367">
        <f>IF(W103=1,Adm!$AP$3,0)</f>
        <v>0</v>
      </c>
      <c r="Z103" s="1153"/>
      <c r="AC103" s="1375">
        <f t="shared" si="28"/>
        <v>0</v>
      </c>
      <c r="AD103" s="1373">
        <f t="shared" si="25"/>
        <v>0</v>
      </c>
      <c r="AE103" s="1373">
        <f t="shared" si="29"/>
        <v>0</v>
      </c>
      <c r="AF103" s="1373">
        <f t="shared" si="27"/>
        <v>0</v>
      </c>
      <c r="AG103" s="1371">
        <f t="shared" si="26"/>
        <v>0</v>
      </c>
      <c r="AH103" s="1359" t="e">
        <f>HLOOKUP($AH$13,Sustitución,87,0)</f>
        <v>#N/A</v>
      </c>
      <c r="AJ103" s="1360">
        <f>Captura!AI173</f>
        <v>0</v>
      </c>
    </row>
    <row r="104" spans="1:36">
      <c r="A104" s="1118">
        <f t="shared" ca="1" si="15"/>
        <v>6</v>
      </c>
      <c r="B104" s="1101">
        <f t="shared" si="16"/>
        <v>0</v>
      </c>
      <c r="C104" s="2149">
        <f t="shared" si="17"/>
        <v>0</v>
      </c>
      <c r="D104" s="2150">
        <f t="shared" si="21"/>
        <v>0</v>
      </c>
      <c r="E104" s="2145">
        <f t="shared" si="22"/>
        <v>0</v>
      </c>
      <c r="F104" s="2145">
        <f t="shared" si="18"/>
        <v>0</v>
      </c>
      <c r="G104" s="2145">
        <f t="shared" si="23"/>
        <v>0</v>
      </c>
      <c r="H104" s="2145">
        <f>IF(K103&lt;0.01,0,IF(Adm!$S$4=Adm!$S$8,0,K103*Adm!$V$4))</f>
        <v>0</v>
      </c>
      <c r="I104" s="2145">
        <f>IF(K103&lt;0.01,0,IF($I$16&lt;&gt;"",Adm!$Q$6*1.16,0))</f>
        <v>0</v>
      </c>
      <c r="J104" s="2145">
        <f t="shared" si="19"/>
        <v>0</v>
      </c>
      <c r="K104" s="2145">
        <f t="shared" si="20"/>
        <v>0</v>
      </c>
      <c r="L104" s="2146"/>
      <c r="W104" s="1352">
        <f t="shared" si="24"/>
        <v>3</v>
      </c>
      <c r="X104" s="1367">
        <f>IF(W104=1,Adm!$AP$3,0)</f>
        <v>0</v>
      </c>
      <c r="Z104" s="1153"/>
      <c r="AC104" s="1375">
        <f t="shared" si="28"/>
        <v>0</v>
      </c>
      <c r="AD104" s="1373">
        <f t="shared" si="25"/>
        <v>0</v>
      </c>
      <c r="AE104" s="1373">
        <f t="shared" si="29"/>
        <v>0</v>
      </c>
      <c r="AF104" s="1373">
        <f t="shared" si="27"/>
        <v>0</v>
      </c>
      <c r="AG104" s="1371">
        <f t="shared" si="26"/>
        <v>0</v>
      </c>
      <c r="AH104" s="1359" t="e">
        <f>HLOOKUP($AH$13,Sustitución,88,0)</f>
        <v>#N/A</v>
      </c>
      <c r="AJ104" s="1360">
        <f>Captura!AI174</f>
        <v>0</v>
      </c>
    </row>
    <row r="105" spans="1:36">
      <c r="A105" s="1118">
        <f t="shared" ca="1" si="15"/>
        <v>7</v>
      </c>
      <c r="B105" s="1101">
        <f t="shared" si="16"/>
        <v>0</v>
      </c>
      <c r="C105" s="2149">
        <f t="shared" si="17"/>
        <v>0</v>
      </c>
      <c r="D105" s="2150">
        <f t="shared" si="21"/>
        <v>0</v>
      </c>
      <c r="E105" s="2145">
        <f t="shared" si="22"/>
        <v>0</v>
      </c>
      <c r="F105" s="2145">
        <f t="shared" si="18"/>
        <v>0</v>
      </c>
      <c r="G105" s="2145">
        <f t="shared" si="23"/>
        <v>0</v>
      </c>
      <c r="H105" s="2145">
        <f>IF(K104&lt;0.01,0,IF(Adm!$S$4=Adm!$S$8,0,K104*Adm!$V$4))</f>
        <v>0</v>
      </c>
      <c r="I105" s="2145">
        <f>IF(K104&lt;0.01,0,IF($I$16&lt;&gt;"",Adm!$Q$6*1.16,0))</f>
        <v>0</v>
      </c>
      <c r="J105" s="2145">
        <f t="shared" si="19"/>
        <v>0</v>
      </c>
      <c r="K105" s="2145">
        <f t="shared" si="20"/>
        <v>0</v>
      </c>
      <c r="L105" s="2146"/>
      <c r="W105" s="1352">
        <f t="shared" si="24"/>
        <v>4</v>
      </c>
      <c r="X105" s="1367">
        <f>IF(W105=1,Adm!$AP$3,0)</f>
        <v>0</v>
      </c>
      <c r="Z105" s="1153"/>
      <c r="AC105" s="1375">
        <f t="shared" si="28"/>
        <v>0</v>
      </c>
      <c r="AD105" s="1373">
        <f t="shared" si="25"/>
        <v>0</v>
      </c>
      <c r="AE105" s="1373">
        <f t="shared" si="29"/>
        <v>0</v>
      </c>
      <c r="AF105" s="1373">
        <f t="shared" si="27"/>
        <v>0</v>
      </c>
      <c r="AG105" s="1371">
        <f t="shared" si="26"/>
        <v>0</v>
      </c>
      <c r="AH105" s="1359" t="e">
        <f>HLOOKUP($AH$13,Sustitución,89,0)</f>
        <v>#N/A</v>
      </c>
      <c r="AJ105" s="1360">
        <f>Captura!AI175</f>
        <v>0</v>
      </c>
    </row>
    <row r="106" spans="1:36">
      <c r="A106" s="1118">
        <f t="shared" ca="1" si="15"/>
        <v>8</v>
      </c>
      <c r="B106" s="1101">
        <f t="shared" si="16"/>
        <v>0</v>
      </c>
      <c r="C106" s="2149">
        <f t="shared" si="17"/>
        <v>0</v>
      </c>
      <c r="D106" s="2150">
        <f t="shared" si="21"/>
        <v>0</v>
      </c>
      <c r="E106" s="2145">
        <f t="shared" si="22"/>
        <v>0</v>
      </c>
      <c r="F106" s="2145">
        <f t="shared" si="18"/>
        <v>0</v>
      </c>
      <c r="G106" s="2145">
        <f t="shared" si="23"/>
        <v>0</v>
      </c>
      <c r="H106" s="2145">
        <f>IF(K105&lt;0.01,0,IF(Adm!$S$4=Adm!$S$8,0,K105*Adm!$V$4))</f>
        <v>0</v>
      </c>
      <c r="I106" s="2145">
        <f>IF(K105&lt;0.01,0,IF($I$16&lt;&gt;"",Adm!$Q$6*1.16,0))</f>
        <v>0</v>
      </c>
      <c r="J106" s="2145">
        <f t="shared" si="19"/>
        <v>0</v>
      </c>
      <c r="K106" s="2145">
        <f t="shared" si="20"/>
        <v>0</v>
      </c>
      <c r="L106" s="2146"/>
      <c r="W106" s="1352">
        <f t="shared" si="24"/>
        <v>5</v>
      </c>
      <c r="X106" s="1367">
        <f>IF(W106=1,Adm!$AP$3,0)</f>
        <v>0</v>
      </c>
      <c r="Z106" s="1153"/>
      <c r="AC106" s="1375">
        <f t="shared" si="28"/>
        <v>0</v>
      </c>
      <c r="AD106" s="1373">
        <f t="shared" si="25"/>
        <v>0</v>
      </c>
      <c r="AE106" s="1373">
        <f t="shared" si="29"/>
        <v>0</v>
      </c>
      <c r="AF106" s="1373">
        <f t="shared" si="27"/>
        <v>0</v>
      </c>
      <c r="AG106" s="1371">
        <f t="shared" si="26"/>
        <v>0</v>
      </c>
      <c r="AH106" s="1359" t="e">
        <f>HLOOKUP($AH$13,Sustitución,90,0)</f>
        <v>#N/A</v>
      </c>
      <c r="AJ106" s="1360">
        <f>Captura!AI176</f>
        <v>0</v>
      </c>
    </row>
    <row r="107" spans="1:36">
      <c r="A107" s="1118">
        <f t="shared" ca="1" si="15"/>
        <v>9</v>
      </c>
      <c r="B107" s="1101">
        <f t="shared" si="16"/>
        <v>0</v>
      </c>
      <c r="C107" s="2149">
        <f t="shared" si="17"/>
        <v>0</v>
      </c>
      <c r="D107" s="2150">
        <f t="shared" si="21"/>
        <v>0</v>
      </c>
      <c r="E107" s="2145">
        <f t="shared" si="22"/>
        <v>0</v>
      </c>
      <c r="F107" s="2145">
        <f t="shared" si="18"/>
        <v>0</v>
      </c>
      <c r="G107" s="2145">
        <f t="shared" si="23"/>
        <v>0</v>
      </c>
      <c r="H107" s="2145">
        <f>IF(K106&lt;0.01,0,IF(Adm!$S$4=Adm!$S$8,0,K106*Adm!$V$4))</f>
        <v>0</v>
      </c>
      <c r="I107" s="2145">
        <f>IF(K106&lt;0.01,0,IF($I$16&lt;&gt;"",Adm!$Q$6*1.16,0))</f>
        <v>0</v>
      </c>
      <c r="J107" s="2145">
        <f t="shared" si="19"/>
        <v>0</v>
      </c>
      <c r="K107" s="2145">
        <f t="shared" si="20"/>
        <v>0</v>
      </c>
      <c r="L107" s="2146"/>
      <c r="W107" s="1352">
        <f t="shared" si="24"/>
        <v>6</v>
      </c>
      <c r="X107" s="1367">
        <f>IF(W107=1,Adm!$AP$3,0)</f>
        <v>0</v>
      </c>
      <c r="Z107" s="1153"/>
      <c r="AC107" s="1375">
        <f t="shared" si="28"/>
        <v>0</v>
      </c>
      <c r="AD107" s="1373">
        <f t="shared" si="25"/>
        <v>0</v>
      </c>
      <c r="AE107" s="1373">
        <f t="shared" si="29"/>
        <v>0</v>
      </c>
      <c r="AF107" s="1373">
        <f t="shared" si="27"/>
        <v>0</v>
      </c>
      <c r="AG107" s="1371">
        <f t="shared" si="26"/>
        <v>0</v>
      </c>
      <c r="AH107" s="1359" t="e">
        <f>HLOOKUP($AH$13,Sustitución,91,0)</f>
        <v>#N/A</v>
      </c>
      <c r="AJ107" s="1360">
        <f>Captura!AI177</f>
        <v>0</v>
      </c>
    </row>
    <row r="108" spans="1:36">
      <c r="A108" s="1118">
        <f t="shared" ca="1" si="15"/>
        <v>10</v>
      </c>
      <c r="B108" s="1101">
        <f t="shared" si="16"/>
        <v>0</v>
      </c>
      <c r="C108" s="2149">
        <f t="shared" si="17"/>
        <v>0</v>
      </c>
      <c r="D108" s="2150">
        <f t="shared" si="21"/>
        <v>0</v>
      </c>
      <c r="E108" s="2145">
        <f t="shared" si="22"/>
        <v>0</v>
      </c>
      <c r="F108" s="2145">
        <f t="shared" si="18"/>
        <v>0</v>
      </c>
      <c r="G108" s="2145">
        <f t="shared" si="23"/>
        <v>0</v>
      </c>
      <c r="H108" s="2145">
        <f>IF(K107&lt;0.01,0,IF(Adm!$S$4=Adm!$S$8,0,K107*Adm!$V$4))</f>
        <v>0</v>
      </c>
      <c r="I108" s="2145">
        <f>IF(K107&lt;0.01,0,IF($I$16&lt;&gt;"",Adm!$Q$6*1.16,0))</f>
        <v>0</v>
      </c>
      <c r="J108" s="2145">
        <f t="shared" si="19"/>
        <v>0</v>
      </c>
      <c r="K108" s="2145">
        <f t="shared" si="20"/>
        <v>0</v>
      </c>
      <c r="L108" s="2146"/>
      <c r="W108" s="1352">
        <f t="shared" si="24"/>
        <v>7</v>
      </c>
      <c r="X108" s="1367">
        <f>IF(W108=1,Adm!$AP$3,0)</f>
        <v>0</v>
      </c>
      <c r="Z108" s="1153"/>
      <c r="AC108" s="1375">
        <f t="shared" si="28"/>
        <v>0</v>
      </c>
      <c r="AD108" s="1373">
        <f t="shared" si="25"/>
        <v>0</v>
      </c>
      <c r="AE108" s="1373">
        <f t="shared" si="29"/>
        <v>0</v>
      </c>
      <c r="AF108" s="1373">
        <f t="shared" si="27"/>
        <v>0</v>
      </c>
      <c r="AG108" s="1371">
        <f t="shared" si="26"/>
        <v>0</v>
      </c>
      <c r="AH108" s="1359" t="e">
        <f>HLOOKUP($AH$13,Sustitución,92,0)</f>
        <v>#N/A</v>
      </c>
      <c r="AJ108" s="1360">
        <f>Captura!AI178</f>
        <v>0</v>
      </c>
    </row>
    <row r="109" spans="1:36">
      <c r="A109" s="1118">
        <f t="shared" ca="1" si="15"/>
        <v>11</v>
      </c>
      <c r="B109" s="1101">
        <f t="shared" si="16"/>
        <v>0</v>
      </c>
      <c r="C109" s="2149">
        <f t="shared" si="17"/>
        <v>0</v>
      </c>
      <c r="D109" s="2150">
        <f t="shared" si="21"/>
        <v>0</v>
      </c>
      <c r="E109" s="2145">
        <f t="shared" si="22"/>
        <v>0</v>
      </c>
      <c r="F109" s="2145">
        <f t="shared" si="18"/>
        <v>0</v>
      </c>
      <c r="G109" s="2145">
        <f t="shared" si="23"/>
        <v>0</v>
      </c>
      <c r="H109" s="2145">
        <f>IF(K108&lt;0.01,0,IF(Adm!$S$4=Adm!$S$8,0,K108*Adm!$V$4))</f>
        <v>0</v>
      </c>
      <c r="I109" s="2145">
        <f>IF(K108&lt;0.01,0,IF($I$16&lt;&gt;"",Adm!$Q$6*1.16,0))</f>
        <v>0</v>
      </c>
      <c r="J109" s="2145">
        <f t="shared" si="19"/>
        <v>0</v>
      </c>
      <c r="K109" s="2145">
        <f t="shared" si="20"/>
        <v>0</v>
      </c>
      <c r="L109" s="2146"/>
      <c r="W109" s="1352">
        <f t="shared" si="24"/>
        <v>8</v>
      </c>
      <c r="X109" s="1367">
        <f>IF(W109=1,Adm!$AP$3,0)</f>
        <v>0</v>
      </c>
      <c r="Z109" s="1153"/>
      <c r="AC109" s="1375">
        <f t="shared" si="28"/>
        <v>0</v>
      </c>
      <c r="AD109" s="1373">
        <f t="shared" si="25"/>
        <v>0</v>
      </c>
      <c r="AE109" s="1373">
        <f t="shared" si="29"/>
        <v>0</v>
      </c>
      <c r="AF109" s="1373">
        <f t="shared" si="27"/>
        <v>0</v>
      </c>
      <c r="AG109" s="1371">
        <f t="shared" si="26"/>
        <v>0</v>
      </c>
      <c r="AH109" s="1359" t="e">
        <f>HLOOKUP($AH$13,Sustitución,93,0)</f>
        <v>#N/A</v>
      </c>
      <c r="AJ109" s="1360">
        <f>Captura!AI179</f>
        <v>0</v>
      </c>
    </row>
    <row r="110" spans="1:36">
      <c r="A110" s="1118">
        <f t="shared" ca="1" si="15"/>
        <v>12</v>
      </c>
      <c r="B110" s="1101">
        <f t="shared" si="16"/>
        <v>0</v>
      </c>
      <c r="C110" s="2149">
        <f t="shared" si="17"/>
        <v>0</v>
      </c>
      <c r="D110" s="2150">
        <f t="shared" si="21"/>
        <v>0</v>
      </c>
      <c r="E110" s="2145">
        <f t="shared" si="22"/>
        <v>0</v>
      </c>
      <c r="F110" s="2145">
        <f t="shared" si="18"/>
        <v>0</v>
      </c>
      <c r="G110" s="2145">
        <f t="shared" si="23"/>
        <v>0</v>
      </c>
      <c r="H110" s="2145">
        <f>IF(K109&lt;0.01,0,IF(Adm!$S$4=Adm!$S$8,0,K109*Adm!$V$4))</f>
        <v>0</v>
      </c>
      <c r="I110" s="2145">
        <f>IF(K109&lt;0.01,0,IF($I$16&lt;&gt;"",Adm!$Q$6*1.16,0))</f>
        <v>0</v>
      </c>
      <c r="J110" s="2145">
        <f t="shared" si="19"/>
        <v>0</v>
      </c>
      <c r="K110" s="2145">
        <f t="shared" si="20"/>
        <v>0</v>
      </c>
      <c r="L110" s="2146"/>
      <c r="W110" s="1352">
        <f t="shared" si="24"/>
        <v>9</v>
      </c>
      <c r="X110" s="1367">
        <f>IF(W110=1,Adm!$AP$3,0)</f>
        <v>0</v>
      </c>
      <c r="Z110" s="1153"/>
      <c r="AC110" s="1375">
        <f t="shared" si="28"/>
        <v>0</v>
      </c>
      <c r="AD110" s="1373">
        <f t="shared" si="25"/>
        <v>0</v>
      </c>
      <c r="AE110" s="1373">
        <f t="shared" si="29"/>
        <v>0</v>
      </c>
      <c r="AF110" s="1373">
        <f t="shared" si="27"/>
        <v>0</v>
      </c>
      <c r="AG110" s="1371">
        <f t="shared" si="26"/>
        <v>0</v>
      </c>
      <c r="AH110" s="1359" t="e">
        <f>HLOOKUP($AH$13,Sustitución,94,0)</f>
        <v>#N/A</v>
      </c>
      <c r="AJ110" s="1360">
        <f>Captura!AI180</f>
        <v>0</v>
      </c>
    </row>
    <row r="111" spans="1:36">
      <c r="A111" s="1118">
        <f t="shared" ca="1" si="15"/>
        <v>1</v>
      </c>
      <c r="B111" s="1101">
        <f t="shared" si="16"/>
        <v>0</v>
      </c>
      <c r="C111" s="2149">
        <f t="shared" si="17"/>
        <v>0</v>
      </c>
      <c r="D111" s="2150">
        <f t="shared" si="21"/>
        <v>0</v>
      </c>
      <c r="E111" s="2145">
        <f t="shared" si="22"/>
        <v>0</v>
      </c>
      <c r="F111" s="2145">
        <f t="shared" si="18"/>
        <v>0</v>
      </c>
      <c r="G111" s="2145">
        <f t="shared" si="23"/>
        <v>0</v>
      </c>
      <c r="H111" s="2145">
        <f>IF(K110&lt;0.01,0,IF(Adm!$S$4=Adm!$S$8,0,K110*Adm!$V$4))</f>
        <v>0</v>
      </c>
      <c r="I111" s="2145">
        <f>IF(K110&lt;0.01,0,IF($I$16&lt;&gt;"",Adm!$Q$6*1.16,0))</f>
        <v>0</v>
      </c>
      <c r="J111" s="2145">
        <f t="shared" si="19"/>
        <v>0</v>
      </c>
      <c r="K111" s="2145">
        <f t="shared" si="20"/>
        <v>0</v>
      </c>
      <c r="L111" s="2146"/>
      <c r="W111" s="1352">
        <f t="shared" si="24"/>
        <v>10</v>
      </c>
      <c r="X111" s="1367">
        <f>IF(W111=1,Adm!$AP$3,0)</f>
        <v>0</v>
      </c>
      <c r="Z111" s="1153"/>
      <c r="AC111" s="1375">
        <f t="shared" si="28"/>
        <v>0</v>
      </c>
      <c r="AD111" s="1373">
        <f t="shared" si="25"/>
        <v>0</v>
      </c>
      <c r="AE111" s="1373">
        <f t="shared" si="29"/>
        <v>0</v>
      </c>
      <c r="AF111" s="1373">
        <f t="shared" si="27"/>
        <v>0</v>
      </c>
      <c r="AG111" s="1371">
        <f t="shared" si="26"/>
        <v>0</v>
      </c>
      <c r="AH111" s="1359" t="e">
        <f>HLOOKUP($AH$13,Sustitución,95,0)</f>
        <v>#N/A</v>
      </c>
      <c r="AJ111" s="1360">
        <f>Captura!AI181</f>
        <v>0</v>
      </c>
    </row>
    <row r="112" spans="1:36">
      <c r="A112" s="1118">
        <f t="shared" ca="1" si="15"/>
        <v>2</v>
      </c>
      <c r="B112" s="1101">
        <f t="shared" si="16"/>
        <v>0</v>
      </c>
      <c r="C112" s="2149">
        <f t="shared" si="17"/>
        <v>0</v>
      </c>
      <c r="D112" s="2150">
        <f t="shared" si="21"/>
        <v>0</v>
      </c>
      <c r="E112" s="2145">
        <f t="shared" si="22"/>
        <v>0</v>
      </c>
      <c r="F112" s="2145">
        <f t="shared" si="18"/>
        <v>0</v>
      </c>
      <c r="G112" s="2145">
        <f t="shared" si="23"/>
        <v>0</v>
      </c>
      <c r="H112" s="2145">
        <f>IF(K111&lt;0.01,0,IF(Adm!$S$4=Adm!$S$8,0,K111*Adm!$V$4))</f>
        <v>0</v>
      </c>
      <c r="I112" s="2145">
        <f>IF(K111&lt;0.01,0,IF($I$16&lt;&gt;"",Adm!$Q$6*1.16,0))</f>
        <v>0</v>
      </c>
      <c r="J112" s="2145">
        <f t="shared" si="19"/>
        <v>0</v>
      </c>
      <c r="K112" s="2145">
        <f t="shared" si="20"/>
        <v>0</v>
      </c>
      <c r="L112" s="2146"/>
      <c r="W112" s="1352">
        <f t="shared" si="24"/>
        <v>11</v>
      </c>
      <c r="X112" s="1367">
        <f>IF(W112=1,Adm!$AP$3,0)</f>
        <v>0</v>
      </c>
      <c r="Z112" s="1153"/>
      <c r="AC112" s="1375">
        <f t="shared" si="28"/>
        <v>0</v>
      </c>
      <c r="AD112" s="1373">
        <f t="shared" si="25"/>
        <v>0</v>
      </c>
      <c r="AE112" s="1373">
        <f t="shared" si="29"/>
        <v>0</v>
      </c>
      <c r="AF112" s="1373">
        <f t="shared" si="27"/>
        <v>0</v>
      </c>
      <c r="AG112" s="1371">
        <f t="shared" si="26"/>
        <v>0</v>
      </c>
      <c r="AH112" s="1359" t="e">
        <f>HLOOKUP($AH$13,Sustitución,96,0)</f>
        <v>#N/A</v>
      </c>
      <c r="AJ112" s="1360">
        <f>Captura!AI182</f>
        <v>0</v>
      </c>
    </row>
    <row r="113" spans="1:36">
      <c r="A113" s="1118">
        <f t="shared" ca="1" si="15"/>
        <v>3</v>
      </c>
      <c r="B113" s="1101">
        <f t="shared" si="16"/>
        <v>0</v>
      </c>
      <c r="C113" s="2149">
        <f t="shared" si="17"/>
        <v>0</v>
      </c>
      <c r="D113" s="2150">
        <f t="shared" si="21"/>
        <v>0</v>
      </c>
      <c r="E113" s="2145">
        <f t="shared" si="22"/>
        <v>0</v>
      </c>
      <c r="F113" s="2145">
        <f t="shared" si="18"/>
        <v>0</v>
      </c>
      <c r="G113" s="2145">
        <f t="shared" si="23"/>
        <v>0</v>
      </c>
      <c r="H113" s="2145">
        <f>IF(K112&lt;0.01,0,IF(Adm!$S$4=Adm!$S$8,0,K112*Adm!$V$4))</f>
        <v>0</v>
      </c>
      <c r="I113" s="2145">
        <f>IF(K112&lt;0.01,0,IF($I$16&lt;&gt;"",Adm!$Q$6*1.16,0))</f>
        <v>0</v>
      </c>
      <c r="J113" s="2145">
        <f t="shared" si="19"/>
        <v>0</v>
      </c>
      <c r="K113" s="2145">
        <f t="shared" si="20"/>
        <v>0</v>
      </c>
      <c r="L113" s="2146"/>
      <c r="W113" s="1352">
        <f t="shared" si="24"/>
        <v>12</v>
      </c>
      <c r="X113" s="1367">
        <f>IF(W113=1,Adm!$AP$3,0)</f>
        <v>0</v>
      </c>
      <c r="Z113" s="1153"/>
      <c r="AC113" s="1375">
        <f t="shared" si="28"/>
        <v>0</v>
      </c>
      <c r="AD113" s="1373">
        <f t="shared" si="25"/>
        <v>0</v>
      </c>
      <c r="AE113" s="1373">
        <f t="shared" si="29"/>
        <v>0</v>
      </c>
      <c r="AF113" s="1373">
        <f t="shared" si="27"/>
        <v>0</v>
      </c>
      <c r="AG113" s="1371">
        <f t="shared" si="26"/>
        <v>0</v>
      </c>
      <c r="AH113" s="1359" t="e">
        <f>HLOOKUP($AH$13,Sustitución,97,0)</f>
        <v>#N/A</v>
      </c>
      <c r="AJ113" s="1360">
        <f>Captura!AI183</f>
        <v>0</v>
      </c>
    </row>
    <row r="114" spans="1:36">
      <c r="A114" s="1118">
        <f t="shared" ca="1" si="15"/>
        <v>4</v>
      </c>
      <c r="B114" s="1101">
        <f t="shared" si="16"/>
        <v>0</v>
      </c>
      <c r="C114" s="2149">
        <f t="shared" si="17"/>
        <v>0</v>
      </c>
      <c r="D114" s="2150">
        <f t="shared" si="21"/>
        <v>0</v>
      </c>
      <c r="E114" s="2145">
        <f t="shared" si="22"/>
        <v>0</v>
      </c>
      <c r="F114" s="2145">
        <f t="shared" si="18"/>
        <v>0</v>
      </c>
      <c r="G114" s="2145">
        <f t="shared" si="23"/>
        <v>0</v>
      </c>
      <c r="H114" s="2145">
        <f>IF(K113&lt;0.01,0,IF(Adm!$S$4=Adm!$S$8,0,K113*Adm!$V$4))</f>
        <v>0</v>
      </c>
      <c r="I114" s="2145">
        <f>IF(K113&lt;0.01,0,IF($I$16&lt;&gt;"",Adm!$Q$6*1.16,0))</f>
        <v>0</v>
      </c>
      <c r="J114" s="2145">
        <f t="shared" si="19"/>
        <v>0</v>
      </c>
      <c r="K114" s="2145">
        <f t="shared" si="20"/>
        <v>0</v>
      </c>
      <c r="L114" s="2146"/>
      <c r="W114" s="1352">
        <f t="shared" si="24"/>
        <v>1</v>
      </c>
      <c r="X114" s="1367">
        <f>IF(W114=1,Adm!$AP$3,0)</f>
        <v>0</v>
      </c>
      <c r="Z114" s="1153"/>
      <c r="AC114" s="1375">
        <f t="shared" si="28"/>
        <v>0</v>
      </c>
      <c r="AD114" s="1373">
        <f t="shared" si="25"/>
        <v>0</v>
      </c>
      <c r="AE114" s="1373">
        <f t="shared" si="29"/>
        <v>0</v>
      </c>
      <c r="AF114" s="1373">
        <f t="shared" si="27"/>
        <v>0</v>
      </c>
      <c r="AG114" s="1371">
        <f t="shared" si="26"/>
        <v>0</v>
      </c>
      <c r="AH114" s="1359" t="e">
        <f>HLOOKUP($AH$13,Sustitución,98,0)</f>
        <v>#N/A</v>
      </c>
      <c r="AJ114" s="1360">
        <f>Captura!AI184</f>
        <v>0</v>
      </c>
    </row>
    <row r="115" spans="1:36">
      <c r="A115" s="1118">
        <f t="shared" ca="1" si="15"/>
        <v>5</v>
      </c>
      <c r="B115" s="1101">
        <f t="shared" si="16"/>
        <v>0</v>
      </c>
      <c r="C115" s="2149">
        <f t="shared" si="17"/>
        <v>0</v>
      </c>
      <c r="D115" s="2150">
        <f t="shared" si="21"/>
        <v>0</v>
      </c>
      <c r="E115" s="2145">
        <f t="shared" si="22"/>
        <v>0</v>
      </c>
      <c r="F115" s="2145">
        <f t="shared" si="18"/>
        <v>0</v>
      </c>
      <c r="G115" s="2145">
        <f t="shared" si="23"/>
        <v>0</v>
      </c>
      <c r="H115" s="2145">
        <f>IF(K114&lt;0.01,0,IF(Adm!$S$4=Adm!$S$8,0,K114*Adm!$V$4))</f>
        <v>0</v>
      </c>
      <c r="I115" s="2145">
        <f>IF(K114&lt;0.01,0,IF($I$16&lt;&gt;"",Adm!$Q$6*1.16,0))</f>
        <v>0</v>
      </c>
      <c r="J115" s="2145">
        <f t="shared" si="19"/>
        <v>0</v>
      </c>
      <c r="K115" s="2145">
        <f t="shared" si="20"/>
        <v>0</v>
      </c>
      <c r="L115" s="2146"/>
      <c r="W115" s="1352">
        <f t="shared" si="24"/>
        <v>2</v>
      </c>
      <c r="X115" s="1367">
        <f>IF(W115=1,Adm!$AP$3,0)</f>
        <v>0</v>
      </c>
      <c r="Z115" s="1153"/>
      <c r="AC115" s="1375">
        <f t="shared" si="28"/>
        <v>0</v>
      </c>
      <c r="AD115" s="1373">
        <f t="shared" si="25"/>
        <v>0</v>
      </c>
      <c r="AE115" s="1373">
        <f t="shared" si="29"/>
        <v>0</v>
      </c>
      <c r="AF115" s="1373">
        <f t="shared" si="27"/>
        <v>0</v>
      </c>
      <c r="AG115" s="1371">
        <f t="shared" si="26"/>
        <v>0</v>
      </c>
      <c r="AH115" s="1359" t="e">
        <f>HLOOKUP($AH$13,Sustitución,99,0)</f>
        <v>#N/A</v>
      </c>
      <c r="AJ115" s="1360">
        <f>Captura!AI185</f>
        <v>0</v>
      </c>
    </row>
    <row r="116" spans="1:36">
      <c r="A116" s="1118">
        <f t="shared" ca="1" si="15"/>
        <v>6</v>
      </c>
      <c r="B116" s="1101">
        <f t="shared" si="16"/>
        <v>0</v>
      </c>
      <c r="C116" s="2149">
        <f t="shared" si="17"/>
        <v>0</v>
      </c>
      <c r="D116" s="2150">
        <f t="shared" si="21"/>
        <v>0</v>
      </c>
      <c r="E116" s="2145">
        <f t="shared" si="22"/>
        <v>0</v>
      </c>
      <c r="F116" s="2145">
        <f t="shared" si="18"/>
        <v>0</v>
      </c>
      <c r="G116" s="2145">
        <f t="shared" si="23"/>
        <v>0</v>
      </c>
      <c r="H116" s="2145">
        <f>IF(K115&lt;0.01,0,IF(Adm!$S$4=Adm!$S$8,0,K115*Adm!$V$4))</f>
        <v>0</v>
      </c>
      <c r="I116" s="2145">
        <f>IF(K115&lt;0.01,0,IF($I$16&lt;&gt;"",Adm!$Q$6*1.16,0))</f>
        <v>0</v>
      </c>
      <c r="J116" s="2145">
        <f t="shared" si="19"/>
        <v>0</v>
      </c>
      <c r="K116" s="2145">
        <f t="shared" si="20"/>
        <v>0</v>
      </c>
      <c r="L116" s="2146"/>
      <c r="W116" s="1352">
        <f t="shared" si="24"/>
        <v>3</v>
      </c>
      <c r="X116" s="1367">
        <f>IF(W116=1,Adm!$AP$3,0)</f>
        <v>0</v>
      </c>
      <c r="Z116" s="1153"/>
      <c r="AC116" s="1375">
        <f t="shared" si="28"/>
        <v>0</v>
      </c>
      <c r="AD116" s="1373">
        <f t="shared" si="25"/>
        <v>0</v>
      </c>
      <c r="AE116" s="1373">
        <f t="shared" si="29"/>
        <v>0</v>
      </c>
      <c r="AF116" s="1373">
        <f t="shared" si="27"/>
        <v>0</v>
      </c>
      <c r="AG116" s="1371">
        <f t="shared" si="26"/>
        <v>0</v>
      </c>
      <c r="AH116" s="1359" t="e">
        <f>HLOOKUP($AH$13,Sustitución,100,0)</f>
        <v>#N/A</v>
      </c>
      <c r="AJ116" s="1360">
        <f>Captura!AI186</f>
        <v>0</v>
      </c>
    </row>
    <row r="117" spans="1:36">
      <c r="A117" s="1118">
        <f t="shared" ca="1" si="15"/>
        <v>7</v>
      </c>
      <c r="B117" s="1101">
        <f t="shared" si="16"/>
        <v>0</v>
      </c>
      <c r="C117" s="2149">
        <f t="shared" si="17"/>
        <v>0</v>
      </c>
      <c r="D117" s="2150">
        <f t="shared" si="21"/>
        <v>0</v>
      </c>
      <c r="E117" s="2145">
        <f t="shared" si="22"/>
        <v>0</v>
      </c>
      <c r="F117" s="2145">
        <f t="shared" si="18"/>
        <v>0</v>
      </c>
      <c r="G117" s="2145">
        <f t="shared" si="23"/>
        <v>0</v>
      </c>
      <c r="H117" s="2145">
        <f>IF(K116&lt;0.01,0,IF(Adm!$S$4=Adm!$S$8,0,K116*Adm!$V$4))</f>
        <v>0</v>
      </c>
      <c r="I117" s="2145">
        <f>IF(K116&lt;0.01,0,IF($I$16&lt;&gt;"",Adm!$Q$6*1.16,0))</f>
        <v>0</v>
      </c>
      <c r="J117" s="2145">
        <f t="shared" si="19"/>
        <v>0</v>
      </c>
      <c r="K117" s="2145">
        <f t="shared" si="20"/>
        <v>0</v>
      </c>
      <c r="L117" s="2146"/>
      <c r="W117" s="1352">
        <f t="shared" si="24"/>
        <v>4</v>
      </c>
      <c r="X117" s="1367">
        <f>IF(W117=1,Adm!$AP$3,0)</f>
        <v>0</v>
      </c>
      <c r="Z117" s="1153"/>
      <c r="AC117" s="1375">
        <f t="shared" si="28"/>
        <v>0</v>
      </c>
      <c r="AD117" s="1373">
        <f t="shared" si="25"/>
        <v>0</v>
      </c>
      <c r="AE117" s="1373">
        <f t="shared" si="29"/>
        <v>0</v>
      </c>
      <c r="AF117" s="1373">
        <f t="shared" si="27"/>
        <v>0</v>
      </c>
      <c r="AG117" s="1371">
        <f t="shared" si="26"/>
        <v>0</v>
      </c>
      <c r="AH117" s="1359" t="e">
        <f>HLOOKUP($AH$13,Sustitución,101,0)</f>
        <v>#N/A</v>
      </c>
      <c r="AJ117" s="1360">
        <f>Captura!AI187</f>
        <v>0</v>
      </c>
    </row>
    <row r="118" spans="1:36">
      <c r="A118" s="1118">
        <f t="shared" ca="1" si="15"/>
        <v>8</v>
      </c>
      <c r="B118" s="1101">
        <f t="shared" si="16"/>
        <v>0</v>
      </c>
      <c r="C118" s="2149">
        <f t="shared" si="17"/>
        <v>0</v>
      </c>
      <c r="D118" s="2150">
        <f t="shared" si="21"/>
        <v>0</v>
      </c>
      <c r="E118" s="2145">
        <f t="shared" si="22"/>
        <v>0</v>
      </c>
      <c r="F118" s="2145">
        <f t="shared" si="18"/>
        <v>0</v>
      </c>
      <c r="G118" s="2145">
        <f t="shared" si="23"/>
        <v>0</v>
      </c>
      <c r="H118" s="2145">
        <f>IF(K117&lt;0.01,0,IF(Adm!$S$4=Adm!$S$8,0,K117*Adm!$V$4))</f>
        <v>0</v>
      </c>
      <c r="I118" s="2145">
        <f>IF(K117&lt;0.01,0,IF($I$16&lt;&gt;"",Adm!$Q$6*1.16,0))</f>
        <v>0</v>
      </c>
      <c r="J118" s="2145">
        <f t="shared" si="19"/>
        <v>0</v>
      </c>
      <c r="K118" s="2145">
        <f t="shared" si="20"/>
        <v>0</v>
      </c>
      <c r="L118" s="2146"/>
      <c r="W118" s="1352">
        <f t="shared" si="24"/>
        <v>5</v>
      </c>
      <c r="X118" s="1367">
        <f>IF(W118=1,Adm!$AP$3,0)</f>
        <v>0</v>
      </c>
      <c r="Z118" s="1153"/>
      <c r="AC118" s="1375">
        <f t="shared" si="28"/>
        <v>0</v>
      </c>
      <c r="AD118" s="1373">
        <f t="shared" si="25"/>
        <v>0</v>
      </c>
      <c r="AE118" s="1373">
        <f t="shared" si="29"/>
        <v>0</v>
      </c>
      <c r="AF118" s="1373">
        <f t="shared" si="27"/>
        <v>0</v>
      </c>
      <c r="AG118" s="1371">
        <f t="shared" si="26"/>
        <v>0</v>
      </c>
      <c r="AH118" s="1359" t="e">
        <f>HLOOKUP($AH$13,Sustitución,102,0)</f>
        <v>#N/A</v>
      </c>
      <c r="AJ118" s="1360">
        <f>Captura!AI188</f>
        <v>0</v>
      </c>
    </row>
    <row r="119" spans="1:36">
      <c r="A119" s="1118">
        <f t="shared" ca="1" si="15"/>
        <v>9</v>
      </c>
      <c r="B119" s="1101">
        <f t="shared" si="16"/>
        <v>0</v>
      </c>
      <c r="C119" s="2149">
        <f t="shared" si="17"/>
        <v>0</v>
      </c>
      <c r="D119" s="2150">
        <f t="shared" si="21"/>
        <v>0</v>
      </c>
      <c r="E119" s="2145">
        <f t="shared" si="22"/>
        <v>0</v>
      </c>
      <c r="F119" s="2145">
        <f t="shared" si="18"/>
        <v>0</v>
      </c>
      <c r="G119" s="2145">
        <f t="shared" si="23"/>
        <v>0</v>
      </c>
      <c r="H119" s="2145">
        <f>IF(K118&lt;0.01,0,IF(Adm!$S$4=Adm!$S$8,0,K118*Adm!$V$4))</f>
        <v>0</v>
      </c>
      <c r="I119" s="2145">
        <f>IF(K118&lt;0.01,0,IF($I$16&lt;&gt;"",Adm!$Q$6*1.16,0))</f>
        <v>0</v>
      </c>
      <c r="J119" s="2145">
        <f t="shared" si="19"/>
        <v>0</v>
      </c>
      <c r="K119" s="2145">
        <f t="shared" si="20"/>
        <v>0</v>
      </c>
      <c r="L119" s="2146"/>
      <c r="W119" s="1352">
        <f t="shared" si="24"/>
        <v>6</v>
      </c>
      <c r="X119" s="1367">
        <f>IF(W119=1,Adm!$AP$3,0)</f>
        <v>0</v>
      </c>
      <c r="Z119" s="1153"/>
      <c r="AC119" s="1375">
        <f t="shared" si="28"/>
        <v>0</v>
      </c>
      <c r="AD119" s="1373">
        <f t="shared" si="25"/>
        <v>0</v>
      </c>
      <c r="AE119" s="1373">
        <f t="shared" si="29"/>
        <v>0</v>
      </c>
      <c r="AF119" s="1373">
        <f t="shared" si="27"/>
        <v>0</v>
      </c>
      <c r="AG119" s="1371">
        <f t="shared" si="26"/>
        <v>0</v>
      </c>
      <c r="AH119" s="1359" t="e">
        <f>HLOOKUP($AH$13,Sustitución,103,0)</f>
        <v>#N/A</v>
      </c>
      <c r="AJ119" s="1360">
        <f>Captura!AI189</f>
        <v>0</v>
      </c>
    </row>
    <row r="120" spans="1:36">
      <c r="A120" s="1118">
        <f t="shared" ca="1" si="15"/>
        <v>10</v>
      </c>
      <c r="B120" s="1101">
        <f t="shared" si="16"/>
        <v>0</v>
      </c>
      <c r="C120" s="2149">
        <f t="shared" si="17"/>
        <v>0</v>
      </c>
      <c r="D120" s="2150">
        <f t="shared" si="21"/>
        <v>0</v>
      </c>
      <c r="E120" s="2145">
        <f t="shared" si="22"/>
        <v>0</v>
      </c>
      <c r="F120" s="2145">
        <f t="shared" si="18"/>
        <v>0</v>
      </c>
      <c r="G120" s="2145">
        <f t="shared" si="23"/>
        <v>0</v>
      </c>
      <c r="H120" s="2145">
        <f>IF(K119&lt;0.01,0,IF(Adm!$S$4=Adm!$S$8,0,K119*Adm!$V$4))</f>
        <v>0</v>
      </c>
      <c r="I120" s="2145">
        <f>IF(K119&lt;0.01,0,IF($I$16&lt;&gt;"",Adm!$Q$6*1.16,0))</f>
        <v>0</v>
      </c>
      <c r="J120" s="2145">
        <f t="shared" si="19"/>
        <v>0</v>
      </c>
      <c r="K120" s="2145">
        <f t="shared" si="20"/>
        <v>0</v>
      </c>
      <c r="L120" s="2146"/>
      <c r="W120" s="1352">
        <f t="shared" si="24"/>
        <v>7</v>
      </c>
      <c r="X120" s="1367">
        <f>IF(W120=1,Adm!$AP$3,0)</f>
        <v>0</v>
      </c>
      <c r="Z120" s="1153"/>
      <c r="AC120" s="1375">
        <f t="shared" si="28"/>
        <v>0</v>
      </c>
      <c r="AD120" s="1373">
        <f t="shared" si="25"/>
        <v>0</v>
      </c>
      <c r="AE120" s="1373">
        <f t="shared" si="29"/>
        <v>0</v>
      </c>
      <c r="AF120" s="1373">
        <f t="shared" si="27"/>
        <v>0</v>
      </c>
      <c r="AG120" s="1371">
        <f t="shared" si="26"/>
        <v>0</v>
      </c>
      <c r="AH120" s="1359" t="e">
        <f>HLOOKUP($AH$13,Sustitución,104,0)</f>
        <v>#N/A</v>
      </c>
      <c r="AJ120" s="1360">
        <f>Captura!AI190</f>
        <v>0</v>
      </c>
    </row>
    <row r="121" spans="1:36">
      <c r="A121" s="1118">
        <f t="shared" ca="1" si="15"/>
        <v>11</v>
      </c>
      <c r="B121" s="1101">
        <f t="shared" si="16"/>
        <v>0</v>
      </c>
      <c r="C121" s="2149">
        <f t="shared" si="17"/>
        <v>0</v>
      </c>
      <c r="D121" s="2150">
        <f t="shared" si="21"/>
        <v>0</v>
      </c>
      <c r="E121" s="2145">
        <f t="shared" si="22"/>
        <v>0</v>
      </c>
      <c r="F121" s="2145">
        <f t="shared" si="18"/>
        <v>0</v>
      </c>
      <c r="G121" s="2145">
        <f t="shared" si="23"/>
        <v>0</v>
      </c>
      <c r="H121" s="2145">
        <f>IF(K120&lt;0.01,0,IF(Adm!$S$4=Adm!$S$8,0,K120*Adm!$V$4))</f>
        <v>0</v>
      </c>
      <c r="I121" s="2145">
        <f>IF(K120&lt;0.01,0,IF($I$16&lt;&gt;"",Adm!$Q$6*1.16,0))</f>
        <v>0</v>
      </c>
      <c r="J121" s="2145">
        <f t="shared" si="19"/>
        <v>0</v>
      </c>
      <c r="K121" s="2145">
        <f t="shared" si="20"/>
        <v>0</v>
      </c>
      <c r="L121" s="2146"/>
      <c r="W121" s="1352">
        <f t="shared" si="24"/>
        <v>8</v>
      </c>
      <c r="X121" s="1367">
        <f>IF(W121=1,Adm!$AP$3,0)</f>
        <v>0</v>
      </c>
      <c r="Z121" s="1153"/>
      <c r="AC121" s="1375">
        <f t="shared" si="28"/>
        <v>0</v>
      </c>
      <c r="AD121" s="1373">
        <f t="shared" si="25"/>
        <v>0</v>
      </c>
      <c r="AE121" s="1373">
        <f t="shared" si="29"/>
        <v>0</v>
      </c>
      <c r="AF121" s="1373">
        <f t="shared" si="27"/>
        <v>0</v>
      </c>
      <c r="AG121" s="1371">
        <f t="shared" si="26"/>
        <v>0</v>
      </c>
      <c r="AH121" s="1359" t="e">
        <f>HLOOKUP($AH$13,Sustitución,105,0)</f>
        <v>#N/A</v>
      </c>
      <c r="AJ121" s="1360">
        <f>Captura!AI191</f>
        <v>0</v>
      </c>
    </row>
    <row r="122" spans="1:36">
      <c r="A122" s="1118">
        <f t="shared" ca="1" si="15"/>
        <v>12</v>
      </c>
      <c r="B122" s="1101">
        <f t="shared" si="16"/>
        <v>0</v>
      </c>
      <c r="C122" s="2149">
        <f t="shared" si="17"/>
        <v>0</v>
      </c>
      <c r="D122" s="2150">
        <f t="shared" si="21"/>
        <v>0</v>
      </c>
      <c r="E122" s="2145">
        <f t="shared" si="22"/>
        <v>0</v>
      </c>
      <c r="F122" s="2145">
        <f t="shared" si="18"/>
        <v>0</v>
      </c>
      <c r="G122" s="2145">
        <f t="shared" si="23"/>
        <v>0</v>
      </c>
      <c r="H122" s="2145">
        <f>IF(K121&lt;0.01,0,IF(Adm!$S$4=Adm!$S$8,0,K121*Adm!$V$4))</f>
        <v>0</v>
      </c>
      <c r="I122" s="2145">
        <f>IF(K121&lt;0.01,0,IF($I$16&lt;&gt;"",Adm!$Q$6*1.16,0))</f>
        <v>0</v>
      </c>
      <c r="J122" s="2145">
        <f t="shared" si="19"/>
        <v>0</v>
      </c>
      <c r="K122" s="2145">
        <f t="shared" si="20"/>
        <v>0</v>
      </c>
      <c r="L122" s="2146"/>
      <c r="W122" s="1352">
        <f t="shared" si="24"/>
        <v>9</v>
      </c>
      <c r="X122" s="1367">
        <f>IF(W122=1,Adm!$AP$3,0)</f>
        <v>0</v>
      </c>
      <c r="Z122" s="1153"/>
      <c r="AC122" s="1375">
        <f t="shared" si="28"/>
        <v>0</v>
      </c>
      <c r="AD122" s="1373">
        <f t="shared" si="25"/>
        <v>0</v>
      </c>
      <c r="AE122" s="1373">
        <f t="shared" si="29"/>
        <v>0</v>
      </c>
      <c r="AF122" s="1373">
        <f t="shared" si="27"/>
        <v>0</v>
      </c>
      <c r="AG122" s="1371">
        <f t="shared" si="26"/>
        <v>0</v>
      </c>
      <c r="AH122" s="1359" t="e">
        <f>HLOOKUP($AH$13,Sustitución,106,0)</f>
        <v>#N/A</v>
      </c>
      <c r="AJ122" s="1360">
        <f>Captura!AI192</f>
        <v>0</v>
      </c>
    </row>
    <row r="123" spans="1:36">
      <c r="A123" s="1118">
        <f t="shared" ca="1" si="15"/>
        <v>1</v>
      </c>
      <c r="B123" s="1101">
        <f t="shared" si="16"/>
        <v>0</v>
      </c>
      <c r="C123" s="2149">
        <f t="shared" si="17"/>
        <v>0</v>
      </c>
      <c r="D123" s="2150">
        <f t="shared" si="21"/>
        <v>0</v>
      </c>
      <c r="E123" s="2145">
        <f t="shared" si="22"/>
        <v>0</v>
      </c>
      <c r="F123" s="2145">
        <f t="shared" si="18"/>
        <v>0</v>
      </c>
      <c r="G123" s="2145">
        <f t="shared" si="23"/>
        <v>0</v>
      </c>
      <c r="H123" s="2145">
        <f>IF(K122&lt;0.01,0,IF(Adm!$S$4=Adm!$S$8,0,K122*Adm!$V$4))</f>
        <v>0</v>
      </c>
      <c r="I123" s="2145">
        <f>IF(K122&lt;0.01,0,IF($I$16&lt;&gt;"",Adm!$Q$6*1.16,0))</f>
        <v>0</v>
      </c>
      <c r="J123" s="2145">
        <f t="shared" si="19"/>
        <v>0</v>
      </c>
      <c r="K123" s="2145">
        <f t="shared" si="20"/>
        <v>0</v>
      </c>
      <c r="L123" s="2146"/>
      <c r="W123" s="1352">
        <f t="shared" si="24"/>
        <v>10</v>
      </c>
      <c r="X123" s="1367">
        <f>IF(W123=1,Adm!$AP$3,0)</f>
        <v>0</v>
      </c>
      <c r="Z123" s="1153"/>
      <c r="AC123" s="1375">
        <f t="shared" si="28"/>
        <v>0</v>
      </c>
      <c r="AD123" s="1373">
        <f t="shared" si="25"/>
        <v>0</v>
      </c>
      <c r="AE123" s="1373">
        <f t="shared" si="29"/>
        <v>0</v>
      </c>
      <c r="AF123" s="1373">
        <f t="shared" si="27"/>
        <v>0</v>
      </c>
      <c r="AG123" s="1371">
        <f t="shared" si="26"/>
        <v>0</v>
      </c>
      <c r="AH123" s="1359" t="e">
        <f>HLOOKUP($AH$13,Sustitución,107,0)</f>
        <v>#N/A</v>
      </c>
      <c r="AJ123" s="1360">
        <f>Captura!AI193</f>
        <v>0</v>
      </c>
    </row>
    <row r="124" spans="1:36">
      <c r="A124" s="1118">
        <f t="shared" ca="1" si="15"/>
        <v>2</v>
      </c>
      <c r="B124" s="1101">
        <f t="shared" si="16"/>
        <v>0</v>
      </c>
      <c r="C124" s="2149">
        <f t="shared" si="17"/>
        <v>0</v>
      </c>
      <c r="D124" s="2150">
        <f t="shared" si="21"/>
        <v>0</v>
      </c>
      <c r="E124" s="2145">
        <f t="shared" si="22"/>
        <v>0</v>
      </c>
      <c r="F124" s="2145">
        <f t="shared" si="18"/>
        <v>0</v>
      </c>
      <c r="G124" s="2145">
        <f t="shared" si="23"/>
        <v>0</v>
      </c>
      <c r="H124" s="2145">
        <f>IF(K123&lt;0.01,0,IF(Adm!$S$4=Adm!$S$8,0,K123*Adm!$V$4))</f>
        <v>0</v>
      </c>
      <c r="I124" s="2145">
        <f>IF(K123&lt;0.01,0,IF($I$16&lt;&gt;"",Adm!$Q$6*1.16,0))</f>
        <v>0</v>
      </c>
      <c r="J124" s="2145">
        <f t="shared" si="19"/>
        <v>0</v>
      </c>
      <c r="K124" s="2145">
        <f t="shared" si="20"/>
        <v>0</v>
      </c>
      <c r="L124" s="2146"/>
      <c r="W124" s="1352">
        <f t="shared" si="24"/>
        <v>11</v>
      </c>
      <c r="X124" s="1367">
        <f>IF(W124=1,Adm!$AP$3,0)</f>
        <v>0</v>
      </c>
      <c r="Z124" s="1153"/>
      <c r="AC124" s="1375">
        <f t="shared" si="28"/>
        <v>0</v>
      </c>
      <c r="AD124" s="1373">
        <f t="shared" si="25"/>
        <v>0</v>
      </c>
      <c r="AE124" s="1373">
        <f t="shared" si="29"/>
        <v>0</v>
      </c>
      <c r="AF124" s="1373">
        <f t="shared" si="27"/>
        <v>0</v>
      </c>
      <c r="AG124" s="1371">
        <f t="shared" si="26"/>
        <v>0</v>
      </c>
      <c r="AH124" s="1359" t="e">
        <f>HLOOKUP($AH$13,Sustitución,108,0)</f>
        <v>#N/A</v>
      </c>
      <c r="AJ124" s="1360">
        <f>Captura!AI194</f>
        <v>0</v>
      </c>
    </row>
    <row r="125" spans="1:36">
      <c r="A125" s="1118">
        <f t="shared" ca="1" si="15"/>
        <v>3</v>
      </c>
      <c r="B125" s="1101">
        <f t="shared" si="16"/>
        <v>0</v>
      </c>
      <c r="C125" s="2149">
        <f t="shared" si="17"/>
        <v>0</v>
      </c>
      <c r="D125" s="2150">
        <f t="shared" si="21"/>
        <v>0</v>
      </c>
      <c r="E125" s="2145">
        <f t="shared" si="22"/>
        <v>0</v>
      </c>
      <c r="F125" s="2145">
        <f t="shared" si="18"/>
        <v>0</v>
      </c>
      <c r="G125" s="2145">
        <f t="shared" si="23"/>
        <v>0</v>
      </c>
      <c r="H125" s="2145">
        <f>IF(K124&lt;0.01,0,IF(Adm!$S$4=Adm!$S$8,0,K124*Adm!$V$4))</f>
        <v>0</v>
      </c>
      <c r="I125" s="2145">
        <f>IF(K124&lt;0.01,0,IF($I$16&lt;&gt;"",Adm!$Q$6*1.16,0))</f>
        <v>0</v>
      </c>
      <c r="J125" s="2145">
        <f t="shared" si="19"/>
        <v>0</v>
      </c>
      <c r="K125" s="2145">
        <f t="shared" si="20"/>
        <v>0</v>
      </c>
      <c r="L125" s="2146"/>
      <c r="W125" s="1352">
        <f t="shared" si="24"/>
        <v>12</v>
      </c>
      <c r="X125" s="1367">
        <f>IF(W125=1,Adm!$AP$3,0)</f>
        <v>0</v>
      </c>
      <c r="Z125" s="1153"/>
      <c r="AC125" s="1375">
        <f t="shared" si="28"/>
        <v>0</v>
      </c>
      <c r="AD125" s="1373">
        <f t="shared" si="25"/>
        <v>0</v>
      </c>
      <c r="AE125" s="1373">
        <f t="shared" si="29"/>
        <v>0</v>
      </c>
      <c r="AF125" s="1373">
        <f t="shared" si="27"/>
        <v>0</v>
      </c>
      <c r="AG125" s="1371">
        <f t="shared" si="26"/>
        <v>0</v>
      </c>
      <c r="AH125" s="1359" t="e">
        <f>HLOOKUP($AH$13,Sustitución,109,0)</f>
        <v>#N/A</v>
      </c>
      <c r="AJ125" s="1360">
        <f>Captura!AI195</f>
        <v>0</v>
      </c>
    </row>
    <row r="126" spans="1:36">
      <c r="A126" s="1118">
        <f t="shared" ca="1" si="15"/>
        <v>4</v>
      </c>
      <c r="B126" s="1101">
        <f t="shared" si="16"/>
        <v>0</v>
      </c>
      <c r="C126" s="2149">
        <f t="shared" si="17"/>
        <v>0</v>
      </c>
      <c r="D126" s="2150">
        <f t="shared" si="21"/>
        <v>0</v>
      </c>
      <c r="E126" s="2145">
        <f t="shared" si="22"/>
        <v>0</v>
      </c>
      <c r="F126" s="2145">
        <f t="shared" si="18"/>
        <v>0</v>
      </c>
      <c r="G126" s="2145">
        <f t="shared" si="23"/>
        <v>0</v>
      </c>
      <c r="H126" s="2145">
        <f>IF(K125&lt;0.01,0,IF(Adm!$S$4=Adm!$S$8,0,K125*Adm!$V$4))</f>
        <v>0</v>
      </c>
      <c r="I126" s="2145">
        <f>IF(K125&lt;0.01,0,IF($I$16&lt;&gt;"",Adm!$Q$6*1.16,0))</f>
        <v>0</v>
      </c>
      <c r="J126" s="2145">
        <f t="shared" si="19"/>
        <v>0</v>
      </c>
      <c r="K126" s="2145">
        <f t="shared" si="20"/>
        <v>0</v>
      </c>
      <c r="L126" s="2146"/>
      <c r="W126" s="1352">
        <f t="shared" si="24"/>
        <v>1</v>
      </c>
      <c r="X126" s="1367">
        <f>IF(W126=1,Adm!$AP$3,0)</f>
        <v>0</v>
      </c>
      <c r="Z126" s="1153"/>
      <c r="AC126" s="1375">
        <f t="shared" si="28"/>
        <v>0</v>
      </c>
      <c r="AD126" s="1373">
        <f t="shared" si="25"/>
        <v>0</v>
      </c>
      <c r="AE126" s="1373">
        <f t="shared" si="29"/>
        <v>0</v>
      </c>
      <c r="AF126" s="1373">
        <f t="shared" si="27"/>
        <v>0</v>
      </c>
      <c r="AG126" s="1371">
        <f t="shared" si="26"/>
        <v>0</v>
      </c>
      <c r="AH126" s="1359" t="e">
        <f>HLOOKUP($AH$13,Sustitución,110,0)</f>
        <v>#N/A</v>
      </c>
      <c r="AJ126" s="1360">
        <f>Captura!AI196</f>
        <v>0</v>
      </c>
    </row>
    <row r="127" spans="1:36">
      <c r="A127" s="1118">
        <f t="shared" ca="1" si="15"/>
        <v>5</v>
      </c>
      <c r="B127" s="1101">
        <f t="shared" si="16"/>
        <v>0</v>
      </c>
      <c r="C127" s="2149">
        <f t="shared" si="17"/>
        <v>0</v>
      </c>
      <c r="D127" s="2150">
        <f t="shared" si="21"/>
        <v>0</v>
      </c>
      <c r="E127" s="2145">
        <f t="shared" si="22"/>
        <v>0</v>
      </c>
      <c r="F127" s="2145">
        <f t="shared" si="18"/>
        <v>0</v>
      </c>
      <c r="G127" s="2145">
        <f t="shared" si="23"/>
        <v>0</v>
      </c>
      <c r="H127" s="2145">
        <f>IF(K126&lt;0.01,0,IF(Adm!$S$4=Adm!$S$8,0,K126*Adm!$V$4))</f>
        <v>0</v>
      </c>
      <c r="I127" s="2145">
        <f>IF(K126&lt;0.01,0,IF($I$16&lt;&gt;"",Adm!$Q$6*1.16,0))</f>
        <v>0</v>
      </c>
      <c r="J127" s="2145">
        <f t="shared" si="19"/>
        <v>0</v>
      </c>
      <c r="K127" s="2145">
        <f t="shared" si="20"/>
        <v>0</v>
      </c>
      <c r="L127" s="2146"/>
      <c r="W127" s="1352">
        <f t="shared" si="24"/>
        <v>2</v>
      </c>
      <c r="X127" s="1367">
        <f>IF(W127=1,Adm!$AP$3,0)</f>
        <v>0</v>
      </c>
      <c r="Z127" s="1153"/>
      <c r="AC127" s="1375">
        <f t="shared" si="28"/>
        <v>0</v>
      </c>
      <c r="AD127" s="1373">
        <f t="shared" si="25"/>
        <v>0</v>
      </c>
      <c r="AE127" s="1373">
        <f t="shared" si="29"/>
        <v>0</v>
      </c>
      <c r="AF127" s="1373">
        <f t="shared" si="27"/>
        <v>0</v>
      </c>
      <c r="AG127" s="1371">
        <f t="shared" si="26"/>
        <v>0</v>
      </c>
      <c r="AH127" s="1359" t="e">
        <f>HLOOKUP($AH$13,Sustitución,111,0)</f>
        <v>#N/A</v>
      </c>
      <c r="AJ127" s="1360">
        <f>Captura!AI197</f>
        <v>0</v>
      </c>
    </row>
    <row r="128" spans="1:36">
      <c r="A128" s="1118">
        <f t="shared" ca="1" si="15"/>
        <v>6</v>
      </c>
      <c r="B128" s="1101">
        <f t="shared" si="16"/>
        <v>0</v>
      </c>
      <c r="C128" s="2149">
        <f t="shared" si="17"/>
        <v>0</v>
      </c>
      <c r="D128" s="2150">
        <f t="shared" si="21"/>
        <v>0</v>
      </c>
      <c r="E128" s="2145">
        <f t="shared" si="22"/>
        <v>0</v>
      </c>
      <c r="F128" s="2145">
        <f t="shared" si="18"/>
        <v>0</v>
      </c>
      <c r="G128" s="2145">
        <f t="shared" si="23"/>
        <v>0</v>
      </c>
      <c r="H128" s="2145">
        <f>IF(K127&lt;0.01,0,IF(Adm!$S$4=Adm!$S$8,0,K127*Adm!$V$4))</f>
        <v>0</v>
      </c>
      <c r="I128" s="2145">
        <f>IF(K127&lt;0.01,0,IF($I$16&lt;&gt;"",Adm!$Q$6*1.16,0))</f>
        <v>0</v>
      </c>
      <c r="J128" s="2145">
        <f t="shared" si="19"/>
        <v>0</v>
      </c>
      <c r="K128" s="2145">
        <f t="shared" si="20"/>
        <v>0</v>
      </c>
      <c r="L128" s="2146"/>
      <c r="W128" s="1352">
        <f t="shared" si="24"/>
        <v>3</v>
      </c>
      <c r="X128" s="1367">
        <f>IF(W128=1,Adm!$AP$3,0)</f>
        <v>0</v>
      </c>
      <c r="Z128" s="1153"/>
      <c r="AC128" s="1375">
        <f t="shared" si="28"/>
        <v>0</v>
      </c>
      <c r="AD128" s="1373">
        <f t="shared" si="25"/>
        <v>0</v>
      </c>
      <c r="AE128" s="1373">
        <f t="shared" si="29"/>
        <v>0</v>
      </c>
      <c r="AF128" s="1373">
        <f t="shared" si="27"/>
        <v>0</v>
      </c>
      <c r="AG128" s="1371">
        <f t="shared" si="26"/>
        <v>0</v>
      </c>
      <c r="AH128" s="1359" t="e">
        <f>HLOOKUP($AH$13,Sustitución,112,0)</f>
        <v>#N/A</v>
      </c>
      <c r="AJ128" s="1360">
        <f>Captura!AI198</f>
        <v>0</v>
      </c>
    </row>
    <row r="129" spans="1:36">
      <c r="A129" s="1118">
        <f t="shared" ca="1" si="15"/>
        <v>7</v>
      </c>
      <c r="B129" s="1101">
        <f t="shared" si="16"/>
        <v>0</v>
      </c>
      <c r="C129" s="2149">
        <f t="shared" si="17"/>
        <v>0</v>
      </c>
      <c r="D129" s="2150">
        <f t="shared" si="21"/>
        <v>0</v>
      </c>
      <c r="E129" s="2145">
        <f t="shared" si="22"/>
        <v>0</v>
      </c>
      <c r="F129" s="2145">
        <f t="shared" si="18"/>
        <v>0</v>
      </c>
      <c r="G129" s="2145">
        <f t="shared" si="23"/>
        <v>0</v>
      </c>
      <c r="H129" s="2145">
        <f>IF(K128&lt;0.01,0,IF(Adm!$S$4=Adm!$S$8,0,K128*Adm!$V$4))</f>
        <v>0</v>
      </c>
      <c r="I129" s="2145">
        <f>IF(K128&lt;0.01,0,IF($I$16&lt;&gt;"",Adm!$Q$6*1.16,0))</f>
        <v>0</v>
      </c>
      <c r="J129" s="2145">
        <f t="shared" si="19"/>
        <v>0</v>
      </c>
      <c r="K129" s="2145">
        <f t="shared" si="20"/>
        <v>0</v>
      </c>
      <c r="L129" s="2146"/>
      <c r="W129" s="1352">
        <f t="shared" si="24"/>
        <v>4</v>
      </c>
      <c r="X129" s="1367">
        <f>IF(W129=1,Adm!$AP$3,0)</f>
        <v>0</v>
      </c>
      <c r="Z129" s="1153"/>
      <c r="AC129" s="1375">
        <f t="shared" si="28"/>
        <v>0</v>
      </c>
      <c r="AD129" s="1373">
        <f t="shared" si="25"/>
        <v>0</v>
      </c>
      <c r="AE129" s="1373">
        <f t="shared" si="29"/>
        <v>0</v>
      </c>
      <c r="AF129" s="1373">
        <f t="shared" si="27"/>
        <v>0</v>
      </c>
      <c r="AG129" s="1371">
        <f t="shared" si="26"/>
        <v>0</v>
      </c>
      <c r="AH129" s="1359" t="e">
        <f>HLOOKUP($AH$13,Sustitución,113,0)</f>
        <v>#N/A</v>
      </c>
      <c r="AJ129" s="1360">
        <f>Captura!AI199</f>
        <v>0</v>
      </c>
    </row>
    <row r="130" spans="1:36">
      <c r="A130" s="1118">
        <f t="shared" ca="1" si="15"/>
        <v>8</v>
      </c>
      <c r="B130" s="1101">
        <f t="shared" si="16"/>
        <v>0</v>
      </c>
      <c r="C130" s="2149">
        <f t="shared" si="17"/>
        <v>0</v>
      </c>
      <c r="D130" s="2150">
        <f t="shared" si="21"/>
        <v>0</v>
      </c>
      <c r="E130" s="2145">
        <f t="shared" si="22"/>
        <v>0</v>
      </c>
      <c r="F130" s="2145">
        <f t="shared" si="18"/>
        <v>0</v>
      </c>
      <c r="G130" s="2145">
        <f t="shared" si="23"/>
        <v>0</v>
      </c>
      <c r="H130" s="2145">
        <f>IF(K129&lt;0.01,0,IF(Adm!$S$4=Adm!$S$8,0,K129*Adm!$V$4))</f>
        <v>0</v>
      </c>
      <c r="I130" s="2145">
        <f>IF(K129&lt;0.01,0,IF($I$16&lt;&gt;"",Adm!$Q$6*1.16,0))</f>
        <v>0</v>
      </c>
      <c r="J130" s="2145">
        <f t="shared" si="19"/>
        <v>0</v>
      </c>
      <c r="K130" s="2145">
        <f t="shared" si="20"/>
        <v>0</v>
      </c>
      <c r="L130" s="2146"/>
      <c r="W130" s="1352">
        <f t="shared" si="24"/>
        <v>5</v>
      </c>
      <c r="X130" s="1367">
        <f>IF(W130=1,Adm!$AP$3,0)</f>
        <v>0</v>
      </c>
      <c r="Z130" s="1153"/>
      <c r="AC130" s="1375">
        <f t="shared" si="28"/>
        <v>0</v>
      </c>
      <c r="AD130" s="1373">
        <f t="shared" si="25"/>
        <v>0</v>
      </c>
      <c r="AE130" s="1373">
        <f t="shared" si="29"/>
        <v>0</v>
      </c>
      <c r="AF130" s="1373">
        <f t="shared" si="27"/>
        <v>0</v>
      </c>
      <c r="AG130" s="1371">
        <f t="shared" si="26"/>
        <v>0</v>
      </c>
      <c r="AH130" s="1359" t="e">
        <f>HLOOKUP($AH$13,Sustitución,114,0)</f>
        <v>#N/A</v>
      </c>
      <c r="AJ130" s="1360">
        <f>Captura!AI200</f>
        <v>0</v>
      </c>
    </row>
    <row r="131" spans="1:36">
      <c r="A131" s="1118">
        <f t="shared" ca="1" si="15"/>
        <v>9</v>
      </c>
      <c r="B131" s="1101">
        <f t="shared" si="16"/>
        <v>0</v>
      </c>
      <c r="C131" s="2149">
        <f t="shared" si="17"/>
        <v>0</v>
      </c>
      <c r="D131" s="2150">
        <f t="shared" si="21"/>
        <v>0</v>
      </c>
      <c r="E131" s="2145">
        <f t="shared" si="22"/>
        <v>0</v>
      </c>
      <c r="F131" s="2145">
        <f t="shared" si="18"/>
        <v>0</v>
      </c>
      <c r="G131" s="2145">
        <f t="shared" si="23"/>
        <v>0</v>
      </c>
      <c r="H131" s="2145">
        <f>IF(K130&lt;0.01,0,IF(Adm!$S$4=Adm!$S$8,0,K130*Adm!$V$4))</f>
        <v>0</v>
      </c>
      <c r="I131" s="2145">
        <f>IF(K130&lt;0.01,0,IF($I$16&lt;&gt;"",Adm!$Q$6*1.16,0))</f>
        <v>0</v>
      </c>
      <c r="J131" s="2145">
        <f t="shared" si="19"/>
        <v>0</v>
      </c>
      <c r="K131" s="2145">
        <f t="shared" si="20"/>
        <v>0</v>
      </c>
      <c r="L131" s="2146"/>
      <c r="W131" s="1352">
        <f t="shared" si="24"/>
        <v>6</v>
      </c>
      <c r="X131" s="1367">
        <f>IF(W131=1,Adm!$AP$3,0)</f>
        <v>0</v>
      </c>
      <c r="Z131" s="1153"/>
      <c r="AC131" s="1375">
        <f t="shared" si="28"/>
        <v>0</v>
      </c>
      <c r="AD131" s="1373">
        <f t="shared" si="25"/>
        <v>0</v>
      </c>
      <c r="AE131" s="1373">
        <f t="shared" si="29"/>
        <v>0</v>
      </c>
      <c r="AF131" s="1373">
        <f t="shared" si="27"/>
        <v>0</v>
      </c>
      <c r="AG131" s="1371">
        <f t="shared" si="26"/>
        <v>0</v>
      </c>
      <c r="AH131" s="1359" t="e">
        <f>HLOOKUP($AH$13,Sustitución,115,0)</f>
        <v>#N/A</v>
      </c>
      <c r="AJ131" s="1360">
        <f>Captura!AI201</f>
        <v>0</v>
      </c>
    </row>
    <row r="132" spans="1:36">
      <c r="A132" s="1118">
        <f t="shared" ca="1" si="15"/>
        <v>10</v>
      </c>
      <c r="B132" s="1101">
        <f t="shared" si="16"/>
        <v>0</v>
      </c>
      <c r="C132" s="2149">
        <f t="shared" si="17"/>
        <v>0</v>
      </c>
      <c r="D132" s="2150">
        <f t="shared" si="21"/>
        <v>0</v>
      </c>
      <c r="E132" s="2145">
        <f t="shared" si="22"/>
        <v>0</v>
      </c>
      <c r="F132" s="2145">
        <f t="shared" si="18"/>
        <v>0</v>
      </c>
      <c r="G132" s="2145">
        <f t="shared" si="23"/>
        <v>0</v>
      </c>
      <c r="H132" s="2145">
        <f>IF(K131&lt;0.01,0,IF(Adm!$S$4=Adm!$S$8,0,K131*Adm!$V$4))</f>
        <v>0</v>
      </c>
      <c r="I132" s="2145">
        <f>IF(K131&lt;0.01,0,IF($I$16&lt;&gt;"",Adm!$Q$6*1.16,0))</f>
        <v>0</v>
      </c>
      <c r="J132" s="2145">
        <f t="shared" si="19"/>
        <v>0</v>
      </c>
      <c r="K132" s="2145">
        <f t="shared" si="20"/>
        <v>0</v>
      </c>
      <c r="L132" s="2146"/>
      <c r="W132" s="1352">
        <f t="shared" si="24"/>
        <v>7</v>
      </c>
      <c r="X132" s="1367">
        <f>IF(W132=1,Adm!$AP$3,0)</f>
        <v>0</v>
      </c>
      <c r="Z132" s="1153"/>
      <c r="AC132" s="1375">
        <f t="shared" si="28"/>
        <v>0</v>
      </c>
      <c r="AD132" s="1373">
        <f t="shared" si="25"/>
        <v>0</v>
      </c>
      <c r="AE132" s="1373">
        <f t="shared" si="29"/>
        <v>0</v>
      </c>
      <c r="AF132" s="1373">
        <f t="shared" si="27"/>
        <v>0</v>
      </c>
      <c r="AG132" s="1371">
        <f t="shared" si="26"/>
        <v>0</v>
      </c>
      <c r="AH132" s="1359" t="e">
        <f>HLOOKUP($AH$13,Sustitución,116,0)</f>
        <v>#N/A</v>
      </c>
      <c r="AJ132" s="1360">
        <f>Captura!AI202</f>
        <v>0</v>
      </c>
    </row>
    <row r="133" spans="1:36">
      <c r="A133" s="1118">
        <f t="shared" ca="1" si="15"/>
        <v>11</v>
      </c>
      <c r="B133" s="1101">
        <f t="shared" si="16"/>
        <v>0</v>
      </c>
      <c r="C133" s="2149">
        <f t="shared" si="17"/>
        <v>0</v>
      </c>
      <c r="D133" s="2150">
        <f t="shared" si="21"/>
        <v>0</v>
      </c>
      <c r="E133" s="2145">
        <f t="shared" si="22"/>
        <v>0</v>
      </c>
      <c r="F133" s="2145">
        <f t="shared" si="18"/>
        <v>0</v>
      </c>
      <c r="G133" s="2145">
        <f t="shared" si="23"/>
        <v>0</v>
      </c>
      <c r="H133" s="2145">
        <f>IF(K132&lt;0.01,0,IF(Adm!$S$4=Adm!$S$8,0,K132*Adm!$V$4))</f>
        <v>0</v>
      </c>
      <c r="I133" s="2145">
        <f>IF(K132&lt;0.01,0,IF($I$16&lt;&gt;"",Adm!$Q$6*1.16,0))</f>
        <v>0</v>
      </c>
      <c r="J133" s="2145">
        <f t="shared" si="19"/>
        <v>0</v>
      </c>
      <c r="K133" s="2145">
        <f t="shared" si="20"/>
        <v>0</v>
      </c>
      <c r="L133" s="2146"/>
      <c r="W133" s="1352">
        <f t="shared" si="24"/>
        <v>8</v>
      </c>
      <c r="X133" s="1367">
        <f>IF(W133=1,Adm!$AP$3,0)</f>
        <v>0</v>
      </c>
      <c r="Z133" s="1153"/>
      <c r="AC133" s="1375">
        <f t="shared" si="28"/>
        <v>0</v>
      </c>
      <c r="AD133" s="1373">
        <f t="shared" si="25"/>
        <v>0</v>
      </c>
      <c r="AE133" s="1373">
        <f t="shared" si="29"/>
        <v>0</v>
      </c>
      <c r="AF133" s="1373">
        <f t="shared" si="27"/>
        <v>0</v>
      </c>
      <c r="AG133" s="1371">
        <f t="shared" si="26"/>
        <v>0</v>
      </c>
      <c r="AH133" s="1359" t="e">
        <f>HLOOKUP($AH$13,Sustitución,117,0)</f>
        <v>#N/A</v>
      </c>
      <c r="AJ133" s="1360">
        <f>Captura!AI203</f>
        <v>0</v>
      </c>
    </row>
    <row r="134" spans="1:36">
      <c r="A134" s="1118">
        <f t="shared" ca="1" si="15"/>
        <v>12</v>
      </c>
      <c r="B134" s="1101">
        <f t="shared" si="16"/>
        <v>0</v>
      </c>
      <c r="C134" s="2149">
        <f t="shared" si="17"/>
        <v>0</v>
      </c>
      <c r="D134" s="2150">
        <f t="shared" si="21"/>
        <v>0</v>
      </c>
      <c r="E134" s="2145">
        <f t="shared" si="22"/>
        <v>0</v>
      </c>
      <c r="F134" s="2145">
        <f t="shared" si="18"/>
        <v>0</v>
      </c>
      <c r="G134" s="2145">
        <f t="shared" si="23"/>
        <v>0</v>
      </c>
      <c r="H134" s="2145">
        <f>IF(K133&lt;0.01,0,IF(Adm!$S$4=Adm!$S$8,0,K133*Adm!$V$4))</f>
        <v>0</v>
      </c>
      <c r="I134" s="2145">
        <f>IF(K133&lt;0.01,0,IF($I$16&lt;&gt;"",Adm!$Q$6*1.16,0))</f>
        <v>0</v>
      </c>
      <c r="J134" s="2145">
        <f t="shared" si="19"/>
        <v>0</v>
      </c>
      <c r="K134" s="2145">
        <f t="shared" si="20"/>
        <v>0</v>
      </c>
      <c r="L134" s="2146"/>
      <c r="W134" s="1352">
        <f t="shared" si="24"/>
        <v>9</v>
      </c>
      <c r="X134" s="1367">
        <f>IF(W134=1,Adm!$AP$3,0)</f>
        <v>0</v>
      </c>
      <c r="Z134" s="1153"/>
      <c r="AC134" s="1375">
        <f t="shared" si="28"/>
        <v>0</v>
      </c>
      <c r="AD134" s="1373">
        <f t="shared" si="25"/>
        <v>0</v>
      </c>
      <c r="AE134" s="1373">
        <f t="shared" si="29"/>
        <v>0</v>
      </c>
      <c r="AF134" s="1373">
        <f t="shared" si="27"/>
        <v>0</v>
      </c>
      <c r="AG134" s="1371">
        <f t="shared" si="26"/>
        <v>0</v>
      </c>
      <c r="AH134" s="1359" t="e">
        <f>HLOOKUP($AH$13,Sustitución,118,0)</f>
        <v>#N/A</v>
      </c>
      <c r="AJ134" s="1360">
        <f>Captura!AI204</f>
        <v>0</v>
      </c>
    </row>
    <row r="135" spans="1:36">
      <c r="A135" s="1118">
        <f t="shared" ca="1" si="15"/>
        <v>1</v>
      </c>
      <c r="B135" s="1101">
        <f t="shared" si="16"/>
        <v>0</v>
      </c>
      <c r="C135" s="2149">
        <f t="shared" si="17"/>
        <v>0</v>
      </c>
      <c r="D135" s="2150">
        <f t="shared" si="21"/>
        <v>0</v>
      </c>
      <c r="E135" s="2145">
        <f t="shared" si="22"/>
        <v>0</v>
      </c>
      <c r="F135" s="2145">
        <f t="shared" si="18"/>
        <v>0</v>
      </c>
      <c r="G135" s="2145">
        <f t="shared" si="23"/>
        <v>0</v>
      </c>
      <c r="H135" s="2145">
        <f>IF(K134&lt;0.01,0,IF(Adm!$S$4=Adm!$S$8,0,K134*Adm!$V$4))</f>
        <v>0</v>
      </c>
      <c r="I135" s="2145">
        <f>IF(K134&lt;0.01,0,IF($I$16&lt;&gt;"",Adm!$Q$6*1.16,0))</f>
        <v>0</v>
      </c>
      <c r="J135" s="2145">
        <f t="shared" si="19"/>
        <v>0</v>
      </c>
      <c r="K135" s="2145">
        <f t="shared" si="20"/>
        <v>0</v>
      </c>
      <c r="L135" s="2146"/>
      <c r="W135" s="1352">
        <f t="shared" si="24"/>
        <v>10</v>
      </c>
      <c r="X135" s="1367">
        <f>IF(W135=1,Adm!$AP$3,0)</f>
        <v>0</v>
      </c>
      <c r="Z135" s="1153"/>
      <c r="AC135" s="1375">
        <f t="shared" si="28"/>
        <v>0</v>
      </c>
      <c r="AD135" s="1373">
        <f t="shared" si="25"/>
        <v>0</v>
      </c>
      <c r="AE135" s="1373">
        <f t="shared" si="29"/>
        <v>0</v>
      </c>
      <c r="AF135" s="1373">
        <f t="shared" si="27"/>
        <v>0</v>
      </c>
      <c r="AG135" s="1371">
        <f t="shared" si="26"/>
        <v>0</v>
      </c>
      <c r="AH135" s="1359" t="e">
        <f>HLOOKUP($AH$13,Sustitución,119,0)</f>
        <v>#N/A</v>
      </c>
      <c r="AJ135" s="1360">
        <f>Captura!AI205</f>
        <v>0</v>
      </c>
    </row>
    <row r="136" spans="1:36">
      <c r="A136" s="1118">
        <f t="shared" ca="1" si="15"/>
        <v>2</v>
      </c>
      <c r="B136" s="1101">
        <f t="shared" si="16"/>
        <v>0</v>
      </c>
      <c r="C136" s="2149">
        <f t="shared" si="17"/>
        <v>0</v>
      </c>
      <c r="D136" s="2150">
        <f t="shared" si="21"/>
        <v>0</v>
      </c>
      <c r="E136" s="2145">
        <f t="shared" si="22"/>
        <v>0</v>
      </c>
      <c r="F136" s="2145">
        <f t="shared" si="18"/>
        <v>0</v>
      </c>
      <c r="G136" s="2145">
        <f t="shared" si="23"/>
        <v>0</v>
      </c>
      <c r="H136" s="2145">
        <f>IF(K135&lt;0.01,0,IF(Adm!$S$4=Adm!$S$8,0,K135*Adm!$V$4))</f>
        <v>0</v>
      </c>
      <c r="I136" s="2145">
        <f>IF(K135&lt;0.01,0,IF($I$16&lt;&gt;"",Adm!$Q$6*1.16,0))</f>
        <v>0</v>
      </c>
      <c r="J136" s="2145">
        <f t="shared" si="19"/>
        <v>0</v>
      </c>
      <c r="K136" s="2145">
        <f t="shared" si="20"/>
        <v>0</v>
      </c>
      <c r="L136" s="2146"/>
      <c r="W136" s="1352">
        <f t="shared" si="24"/>
        <v>11</v>
      </c>
      <c r="X136" s="1367">
        <f>IF(W136=1,Adm!$AP$3,0)</f>
        <v>0</v>
      </c>
      <c r="Z136" s="1153"/>
      <c r="AC136" s="1375">
        <f t="shared" si="28"/>
        <v>0</v>
      </c>
      <c r="AD136" s="1373">
        <f t="shared" si="25"/>
        <v>0</v>
      </c>
      <c r="AE136" s="1373">
        <f t="shared" si="29"/>
        <v>0</v>
      </c>
      <c r="AF136" s="1373">
        <f t="shared" si="27"/>
        <v>0</v>
      </c>
      <c r="AG136" s="1371">
        <f t="shared" si="26"/>
        <v>0</v>
      </c>
      <c r="AH136" s="1359" t="e">
        <f>HLOOKUP($AH$13,Sustitución,120,0)</f>
        <v>#N/A</v>
      </c>
      <c r="AJ136" s="1360">
        <f>Captura!AI206</f>
        <v>0</v>
      </c>
    </row>
    <row r="137" spans="1:36">
      <c r="A137" s="1118">
        <f t="shared" ca="1" si="15"/>
        <v>3</v>
      </c>
      <c r="B137" s="1101">
        <f t="shared" si="16"/>
        <v>0</v>
      </c>
      <c r="C137" s="2149">
        <f t="shared" si="17"/>
        <v>0</v>
      </c>
      <c r="D137" s="2150">
        <f t="shared" si="21"/>
        <v>0</v>
      </c>
      <c r="E137" s="2145">
        <f t="shared" si="22"/>
        <v>0</v>
      </c>
      <c r="F137" s="2145">
        <f t="shared" si="18"/>
        <v>0</v>
      </c>
      <c r="G137" s="2145">
        <f t="shared" si="23"/>
        <v>0</v>
      </c>
      <c r="H137" s="2145">
        <f>IF(K136&lt;0.01,0,IF(Adm!$S$4=Adm!$S$8,0,K136*Adm!$V$4))</f>
        <v>0</v>
      </c>
      <c r="I137" s="2145">
        <f>IF(K136&lt;0.01,0,IF($I$16&lt;&gt;"",Adm!$Q$6*1.16,0))</f>
        <v>0</v>
      </c>
      <c r="J137" s="2145">
        <f t="shared" si="19"/>
        <v>0</v>
      </c>
      <c r="K137" s="2145">
        <f t="shared" si="20"/>
        <v>0</v>
      </c>
      <c r="L137" s="2146"/>
      <c r="W137" s="1352">
        <f t="shared" si="24"/>
        <v>12</v>
      </c>
      <c r="X137" s="1367">
        <f>IF(W137=1,Adm!$AP$3,0)</f>
        <v>0</v>
      </c>
      <c r="Z137" s="1153"/>
      <c r="AC137" s="1375">
        <f t="shared" si="28"/>
        <v>0</v>
      </c>
      <c r="AD137" s="1373">
        <f t="shared" si="25"/>
        <v>0</v>
      </c>
      <c r="AE137" s="1373">
        <f t="shared" si="29"/>
        <v>0</v>
      </c>
      <c r="AF137" s="1373">
        <f t="shared" si="27"/>
        <v>0</v>
      </c>
      <c r="AG137" s="1371">
        <f t="shared" si="26"/>
        <v>0</v>
      </c>
      <c r="AH137" s="1359" t="e">
        <f>HLOOKUP($AH$13,Sustitución,121,0)</f>
        <v>#N/A</v>
      </c>
      <c r="AJ137" s="1360">
        <f>Captura!AI207</f>
        <v>0</v>
      </c>
    </row>
    <row r="138" spans="1:36">
      <c r="A138" s="1118">
        <f t="shared" ca="1" si="15"/>
        <v>4</v>
      </c>
      <c r="B138" s="1101">
        <f t="shared" si="16"/>
        <v>0</v>
      </c>
      <c r="C138" s="2149">
        <f t="shared" si="17"/>
        <v>0</v>
      </c>
      <c r="D138" s="2150">
        <f t="shared" si="21"/>
        <v>0</v>
      </c>
      <c r="E138" s="2145">
        <f t="shared" si="22"/>
        <v>0</v>
      </c>
      <c r="F138" s="2145">
        <f t="shared" si="18"/>
        <v>0</v>
      </c>
      <c r="G138" s="2145">
        <f t="shared" si="23"/>
        <v>0</v>
      </c>
      <c r="H138" s="2145">
        <f>IF(K137&lt;0.01,0,IF(Adm!$S$4=Adm!$S$8,0,K137*Adm!$V$4))</f>
        <v>0</v>
      </c>
      <c r="I138" s="2145">
        <f>IF(K137&lt;0.01,0,IF($I$16&lt;&gt;"",Adm!$Q$6*1.16,0))</f>
        <v>0</v>
      </c>
      <c r="J138" s="2145">
        <f t="shared" si="19"/>
        <v>0</v>
      </c>
      <c r="K138" s="2145">
        <f t="shared" si="20"/>
        <v>0</v>
      </c>
      <c r="L138" s="2146"/>
      <c r="W138" s="1352">
        <f t="shared" si="24"/>
        <v>1</v>
      </c>
      <c r="X138" s="1367">
        <f>IF(W138=1,Adm!$AP$3,0)</f>
        <v>0</v>
      </c>
      <c r="Z138" s="1153"/>
      <c r="AC138" s="1375">
        <f t="shared" si="28"/>
        <v>0</v>
      </c>
      <c r="AD138" s="1373">
        <f t="shared" si="25"/>
        <v>0</v>
      </c>
      <c r="AE138" s="1373">
        <f t="shared" si="29"/>
        <v>0</v>
      </c>
      <c r="AF138" s="1373">
        <f t="shared" si="27"/>
        <v>0</v>
      </c>
      <c r="AG138" s="1371">
        <f t="shared" si="26"/>
        <v>0</v>
      </c>
      <c r="AH138" s="1359" t="e">
        <f>HLOOKUP($AH$13,Sustitución,122,0)</f>
        <v>#N/A</v>
      </c>
      <c r="AJ138" s="1360">
        <f>Captura!AI208</f>
        <v>0</v>
      </c>
    </row>
    <row r="139" spans="1:36">
      <c r="A139" s="1118">
        <f t="shared" ca="1" si="15"/>
        <v>5</v>
      </c>
      <c r="B139" s="1101">
        <f t="shared" si="16"/>
        <v>0</v>
      </c>
      <c r="C139" s="2149">
        <f t="shared" si="17"/>
        <v>0</v>
      </c>
      <c r="D139" s="2150">
        <f t="shared" si="21"/>
        <v>0</v>
      </c>
      <c r="E139" s="2145">
        <f t="shared" si="22"/>
        <v>0</v>
      </c>
      <c r="F139" s="2145">
        <f t="shared" si="18"/>
        <v>0</v>
      </c>
      <c r="G139" s="2145">
        <f t="shared" si="23"/>
        <v>0</v>
      </c>
      <c r="H139" s="2145">
        <f>IF(K138&lt;0.01,0,IF(Adm!$S$4=Adm!$S$8,0,K138*Adm!$V$4))</f>
        <v>0</v>
      </c>
      <c r="I139" s="2145">
        <f>IF(K138&lt;0.01,0,IF($I$16&lt;&gt;"",Adm!$Q$6*1.16,0))</f>
        <v>0</v>
      </c>
      <c r="J139" s="2145">
        <f t="shared" si="19"/>
        <v>0</v>
      </c>
      <c r="K139" s="2145">
        <f t="shared" si="20"/>
        <v>0</v>
      </c>
      <c r="L139" s="2146"/>
      <c r="W139" s="1352">
        <f t="shared" si="24"/>
        <v>2</v>
      </c>
      <c r="X139" s="1367">
        <f>IF(W139=1,Adm!$AP$3,0)</f>
        <v>0</v>
      </c>
      <c r="Z139" s="1153"/>
      <c r="AC139" s="1375">
        <f t="shared" si="28"/>
        <v>0</v>
      </c>
      <c r="AD139" s="1373">
        <f t="shared" si="25"/>
        <v>0</v>
      </c>
      <c r="AE139" s="1373">
        <f t="shared" si="29"/>
        <v>0</v>
      </c>
      <c r="AF139" s="1373">
        <f t="shared" si="27"/>
        <v>0</v>
      </c>
      <c r="AG139" s="1371">
        <f t="shared" si="26"/>
        <v>0</v>
      </c>
      <c r="AH139" s="1359" t="e">
        <f>HLOOKUP($AH$13,Sustitución,123,0)</f>
        <v>#N/A</v>
      </c>
      <c r="AJ139" s="1360">
        <f>Captura!AI209</f>
        <v>0</v>
      </c>
    </row>
    <row r="140" spans="1:36">
      <c r="A140" s="1118">
        <f t="shared" ca="1" si="15"/>
        <v>6</v>
      </c>
      <c r="B140" s="1101">
        <f t="shared" si="16"/>
        <v>0</v>
      </c>
      <c r="C140" s="2149">
        <f t="shared" si="17"/>
        <v>0</v>
      </c>
      <c r="D140" s="2150">
        <f t="shared" si="21"/>
        <v>0</v>
      </c>
      <c r="E140" s="2145">
        <f t="shared" si="22"/>
        <v>0</v>
      </c>
      <c r="F140" s="2145">
        <f t="shared" si="18"/>
        <v>0</v>
      </c>
      <c r="G140" s="2145">
        <f t="shared" si="23"/>
        <v>0</v>
      </c>
      <c r="H140" s="2145">
        <f>IF(K139&lt;0.01,0,IF(Adm!$S$4=Adm!$S$8,0,K139*Adm!$V$4))</f>
        <v>0</v>
      </c>
      <c r="I140" s="2145">
        <f>IF(K139&lt;0.01,0,IF($I$16&lt;&gt;"",Adm!$Q$6*1.16,0))</f>
        <v>0</v>
      </c>
      <c r="J140" s="2145">
        <f t="shared" si="19"/>
        <v>0</v>
      </c>
      <c r="K140" s="2145">
        <f t="shared" si="20"/>
        <v>0</v>
      </c>
      <c r="L140" s="2146"/>
      <c r="W140" s="1352">
        <f t="shared" si="24"/>
        <v>3</v>
      </c>
      <c r="X140" s="1367">
        <f>IF(W140=1,Adm!$AP$3,0)</f>
        <v>0</v>
      </c>
      <c r="Z140" s="1153"/>
      <c r="AC140" s="1375">
        <f t="shared" si="28"/>
        <v>0</v>
      </c>
      <c r="AD140" s="1373">
        <f t="shared" si="25"/>
        <v>0</v>
      </c>
      <c r="AE140" s="1373">
        <f t="shared" si="29"/>
        <v>0</v>
      </c>
      <c r="AF140" s="1373">
        <f t="shared" si="27"/>
        <v>0</v>
      </c>
      <c r="AG140" s="1371">
        <f t="shared" si="26"/>
        <v>0</v>
      </c>
      <c r="AH140" s="1359" t="e">
        <f>HLOOKUP($AH$13,Sustitución,124,0)</f>
        <v>#N/A</v>
      </c>
      <c r="AJ140" s="1360">
        <f>Captura!AI210</f>
        <v>0</v>
      </c>
    </row>
    <row r="141" spans="1:36">
      <c r="A141" s="1118">
        <f t="shared" ca="1" si="15"/>
        <v>7</v>
      </c>
      <c r="B141" s="1101">
        <f t="shared" si="16"/>
        <v>0</v>
      </c>
      <c r="C141" s="2149">
        <f t="shared" si="17"/>
        <v>0</v>
      </c>
      <c r="D141" s="2150">
        <f t="shared" si="21"/>
        <v>0</v>
      </c>
      <c r="E141" s="2145">
        <f t="shared" si="22"/>
        <v>0</v>
      </c>
      <c r="F141" s="2145">
        <f t="shared" si="18"/>
        <v>0</v>
      </c>
      <c r="G141" s="2145">
        <f t="shared" si="23"/>
        <v>0</v>
      </c>
      <c r="H141" s="2145">
        <f>IF(K140&lt;0.01,0,IF(Adm!$S$4=Adm!$S$8,0,K140*Adm!$V$4))</f>
        <v>0</v>
      </c>
      <c r="I141" s="2145">
        <f>IF(K140&lt;0.01,0,IF($I$16&lt;&gt;"",Adm!$Q$6*1.16,0))</f>
        <v>0</v>
      </c>
      <c r="J141" s="2145">
        <f t="shared" si="19"/>
        <v>0</v>
      </c>
      <c r="K141" s="2145">
        <f t="shared" si="20"/>
        <v>0</v>
      </c>
      <c r="L141" s="2146"/>
      <c r="W141" s="1352">
        <f t="shared" si="24"/>
        <v>4</v>
      </c>
      <c r="X141" s="1367">
        <f>IF(W141=1,Adm!$AP$3,0)</f>
        <v>0</v>
      </c>
      <c r="Z141" s="1153"/>
      <c r="AC141" s="1375">
        <f t="shared" si="28"/>
        <v>0</v>
      </c>
      <c r="AD141" s="1373">
        <f t="shared" si="25"/>
        <v>0</v>
      </c>
      <c r="AE141" s="1373">
        <f t="shared" si="29"/>
        <v>0</v>
      </c>
      <c r="AF141" s="1373">
        <f t="shared" si="27"/>
        <v>0</v>
      </c>
      <c r="AG141" s="1371">
        <f t="shared" si="26"/>
        <v>0</v>
      </c>
      <c r="AH141" s="1359" t="e">
        <f>HLOOKUP($AH$13,Sustitución,125,0)</f>
        <v>#N/A</v>
      </c>
      <c r="AJ141" s="1360">
        <f>Captura!AI211</f>
        <v>0</v>
      </c>
    </row>
    <row r="142" spans="1:36">
      <c r="A142" s="1118">
        <f t="shared" ca="1" si="15"/>
        <v>8</v>
      </c>
      <c r="B142" s="1101">
        <f t="shared" si="16"/>
        <v>0</v>
      </c>
      <c r="C142" s="2149">
        <f t="shared" si="17"/>
        <v>0</v>
      </c>
      <c r="D142" s="2150">
        <f t="shared" si="21"/>
        <v>0</v>
      </c>
      <c r="E142" s="2145">
        <f t="shared" si="22"/>
        <v>0</v>
      </c>
      <c r="F142" s="2145">
        <f t="shared" si="18"/>
        <v>0</v>
      </c>
      <c r="G142" s="2145">
        <f t="shared" si="23"/>
        <v>0</v>
      </c>
      <c r="H142" s="2145">
        <f>IF(K141&lt;0.01,0,IF(Adm!$S$4=Adm!$S$8,0,K141*Adm!$V$4))</f>
        <v>0</v>
      </c>
      <c r="I142" s="2145">
        <f>IF(K141&lt;0.01,0,IF($I$16&lt;&gt;"",Adm!$Q$6*1.16,0))</f>
        <v>0</v>
      </c>
      <c r="J142" s="2145">
        <f t="shared" si="19"/>
        <v>0</v>
      </c>
      <c r="K142" s="2145">
        <f t="shared" si="20"/>
        <v>0</v>
      </c>
      <c r="L142" s="2146"/>
      <c r="W142" s="1352">
        <f t="shared" si="24"/>
        <v>5</v>
      </c>
      <c r="X142" s="1367">
        <f>IF(W142=1,Adm!$AP$3,0)</f>
        <v>0</v>
      </c>
      <c r="Z142" s="1153"/>
      <c r="AC142" s="1375">
        <f t="shared" si="28"/>
        <v>0</v>
      </c>
      <c r="AD142" s="1373">
        <f t="shared" si="25"/>
        <v>0</v>
      </c>
      <c r="AE142" s="1373">
        <f t="shared" si="29"/>
        <v>0</v>
      </c>
      <c r="AF142" s="1373">
        <f t="shared" si="27"/>
        <v>0</v>
      </c>
      <c r="AG142" s="1371">
        <f t="shared" si="26"/>
        <v>0</v>
      </c>
      <c r="AH142" s="1359" t="e">
        <f>HLOOKUP($AH$13,Sustitución,125,0)</f>
        <v>#N/A</v>
      </c>
      <c r="AJ142" s="1360">
        <f>Captura!AI212</f>
        <v>0</v>
      </c>
    </row>
    <row r="143" spans="1:36">
      <c r="A143" s="1118">
        <f t="shared" ca="1" si="15"/>
        <v>9</v>
      </c>
      <c r="B143" s="1101">
        <f t="shared" si="16"/>
        <v>0</v>
      </c>
      <c r="C143" s="2149">
        <f t="shared" si="17"/>
        <v>0</v>
      </c>
      <c r="D143" s="2150">
        <f t="shared" si="21"/>
        <v>0</v>
      </c>
      <c r="E143" s="2145">
        <f t="shared" si="22"/>
        <v>0</v>
      </c>
      <c r="F143" s="2145">
        <f t="shared" si="18"/>
        <v>0</v>
      </c>
      <c r="G143" s="2145">
        <f t="shared" si="23"/>
        <v>0</v>
      </c>
      <c r="H143" s="2145">
        <f>IF(K142&lt;0.01,0,IF(Adm!$S$4=Adm!$S$8,0,K142*Adm!$V$4))</f>
        <v>0</v>
      </c>
      <c r="I143" s="2145">
        <f>IF(K142&lt;0.01,0,IF($I$16&lt;&gt;"",Adm!$Q$6*1.16,0))</f>
        <v>0</v>
      </c>
      <c r="J143" s="2145">
        <f t="shared" si="19"/>
        <v>0</v>
      </c>
      <c r="K143" s="2145">
        <f t="shared" si="20"/>
        <v>0</v>
      </c>
      <c r="L143" s="2146"/>
      <c r="W143" s="1352">
        <f t="shared" si="24"/>
        <v>6</v>
      </c>
      <c r="X143" s="1367">
        <f>IF(W143=1,Adm!$AP$3,0)</f>
        <v>0</v>
      </c>
      <c r="Z143" s="1153"/>
      <c r="AC143" s="1375">
        <f t="shared" si="28"/>
        <v>0</v>
      </c>
      <c r="AD143" s="1373">
        <f t="shared" si="25"/>
        <v>0</v>
      </c>
      <c r="AE143" s="1373">
        <f t="shared" si="29"/>
        <v>0</v>
      </c>
      <c r="AF143" s="1373">
        <f t="shared" si="27"/>
        <v>0</v>
      </c>
      <c r="AG143" s="1371">
        <f t="shared" si="26"/>
        <v>0</v>
      </c>
      <c r="AH143" s="1359" t="e">
        <f>HLOOKUP($AH$13,Sustitución,127,0)</f>
        <v>#N/A</v>
      </c>
      <c r="AJ143" s="1360">
        <f>Captura!AI213</f>
        <v>0</v>
      </c>
    </row>
    <row r="144" spans="1:36">
      <c r="A144" s="1118">
        <f t="shared" ca="1" si="15"/>
        <v>10</v>
      </c>
      <c r="B144" s="1101">
        <f t="shared" si="16"/>
        <v>0</v>
      </c>
      <c r="C144" s="2149">
        <f t="shared" si="17"/>
        <v>0</v>
      </c>
      <c r="D144" s="2150">
        <f t="shared" si="21"/>
        <v>0</v>
      </c>
      <c r="E144" s="2145">
        <f t="shared" si="22"/>
        <v>0</v>
      </c>
      <c r="F144" s="2145">
        <f t="shared" si="18"/>
        <v>0</v>
      </c>
      <c r="G144" s="2145">
        <f t="shared" si="23"/>
        <v>0</v>
      </c>
      <c r="H144" s="2145">
        <f>IF(K143&lt;0.01,0,IF(Adm!$S$4=Adm!$S$8,0,K143*Adm!$V$4))</f>
        <v>0</v>
      </c>
      <c r="I144" s="2145">
        <f>IF(K143&lt;0.01,0,IF($I$16&lt;&gt;"",Adm!$Q$6*1.16,0))</f>
        <v>0</v>
      </c>
      <c r="J144" s="2145">
        <f t="shared" si="19"/>
        <v>0</v>
      </c>
      <c r="K144" s="2145">
        <f t="shared" si="20"/>
        <v>0</v>
      </c>
      <c r="L144" s="2146"/>
      <c r="W144" s="1352">
        <f t="shared" si="24"/>
        <v>7</v>
      </c>
      <c r="X144" s="1367">
        <f>IF(W144=1,Adm!$AP$3,0)</f>
        <v>0</v>
      </c>
      <c r="Z144" s="1153"/>
      <c r="AC144" s="1375">
        <f t="shared" si="28"/>
        <v>0</v>
      </c>
      <c r="AD144" s="1373">
        <f t="shared" si="25"/>
        <v>0</v>
      </c>
      <c r="AE144" s="1373">
        <f t="shared" si="29"/>
        <v>0</v>
      </c>
      <c r="AF144" s="1373">
        <f t="shared" si="27"/>
        <v>0</v>
      </c>
      <c r="AG144" s="1371">
        <f t="shared" si="26"/>
        <v>0</v>
      </c>
      <c r="AH144" s="1359" t="e">
        <f>HLOOKUP($AH$13,Sustitución,128,0)</f>
        <v>#N/A</v>
      </c>
      <c r="AJ144" s="1360">
        <f>Captura!AI214</f>
        <v>0</v>
      </c>
    </row>
    <row r="145" spans="1:36">
      <c r="A145" s="1118">
        <f t="shared" ca="1" si="15"/>
        <v>11</v>
      </c>
      <c r="B145" s="1101">
        <f t="shared" si="16"/>
        <v>0</v>
      </c>
      <c r="C145" s="2149">
        <f t="shared" si="17"/>
        <v>0</v>
      </c>
      <c r="D145" s="2150">
        <f t="shared" si="21"/>
        <v>0</v>
      </c>
      <c r="E145" s="2145">
        <f t="shared" si="22"/>
        <v>0</v>
      </c>
      <c r="F145" s="2145">
        <f t="shared" si="18"/>
        <v>0</v>
      </c>
      <c r="G145" s="2145">
        <f t="shared" si="23"/>
        <v>0</v>
      </c>
      <c r="H145" s="2145">
        <f>IF(K144&lt;0.01,0,IF(Adm!$S$4=Adm!$S$8,0,K144*Adm!$V$4))</f>
        <v>0</v>
      </c>
      <c r="I145" s="2145">
        <f>IF(K144&lt;0.01,0,IF($I$16&lt;&gt;"",Adm!$Q$6*1.16,0))</f>
        <v>0</v>
      </c>
      <c r="J145" s="2145">
        <f t="shared" si="19"/>
        <v>0</v>
      </c>
      <c r="K145" s="2145">
        <f t="shared" si="20"/>
        <v>0</v>
      </c>
      <c r="L145" s="2146"/>
      <c r="W145" s="1352">
        <f t="shared" si="24"/>
        <v>8</v>
      </c>
      <c r="X145" s="1367">
        <f>IF(W145=1,Adm!$AP$3,0)</f>
        <v>0</v>
      </c>
      <c r="Z145" s="1153"/>
      <c r="AC145" s="1375">
        <f t="shared" si="28"/>
        <v>0</v>
      </c>
      <c r="AD145" s="1373">
        <f t="shared" si="25"/>
        <v>0</v>
      </c>
      <c r="AE145" s="1373">
        <f t="shared" si="29"/>
        <v>0</v>
      </c>
      <c r="AF145" s="1373">
        <f t="shared" si="27"/>
        <v>0</v>
      </c>
      <c r="AG145" s="1371">
        <f t="shared" si="26"/>
        <v>0</v>
      </c>
      <c r="AH145" s="1359" t="e">
        <f>HLOOKUP($AH$13,Sustitución,129,0)</f>
        <v>#N/A</v>
      </c>
      <c r="AJ145" s="1360">
        <f>Captura!AI215</f>
        <v>0</v>
      </c>
    </row>
    <row r="146" spans="1:36">
      <c r="A146" s="1118">
        <f t="shared" ref="A146:A209" ca="1" si="30">IF(A145=12,1,A145+1)</f>
        <v>12</v>
      </c>
      <c r="B146" s="1101">
        <f t="shared" ref="B146:B209" si="31">IF(K145&lt;0.01,0,B145-1)</f>
        <v>0</v>
      </c>
      <c r="C146" s="2149">
        <f t="shared" ref="C146:C209" si="32">IF(K145&lt;0.01,0,C145+1)</f>
        <v>0</v>
      </c>
      <c r="D146" s="2150">
        <f t="shared" si="21"/>
        <v>0</v>
      </c>
      <c r="E146" s="2145">
        <f t="shared" si="22"/>
        <v>0</v>
      </c>
      <c r="F146" s="2145">
        <f t="shared" ref="F146:F209" si="33">IF(K145&lt;0.01,0,G146-E146)</f>
        <v>0</v>
      </c>
      <c r="G146" s="2145">
        <f t="shared" si="23"/>
        <v>0</v>
      </c>
      <c r="H146" s="2145">
        <f>IF(K145&lt;0.01,0,IF(Adm!$S$4=Adm!$S$8,0,K145*Adm!$V$4))</f>
        <v>0</v>
      </c>
      <c r="I146" s="2145">
        <f>IF(K145&lt;0.01,0,IF($I$16&lt;&gt;"",Adm!$Q$6*1.16,0))</f>
        <v>0</v>
      </c>
      <c r="J146" s="2145">
        <f t="shared" ref="J146:J209" si="34">G146+H146+I146</f>
        <v>0</v>
      </c>
      <c r="K146" s="2145">
        <f t="shared" ref="K146:K209" si="35">IF(K145&lt;0.01,0,K145-F146-L146)</f>
        <v>0</v>
      </c>
      <c r="L146" s="2146"/>
      <c r="W146" s="1352">
        <f t="shared" si="24"/>
        <v>9</v>
      </c>
      <c r="X146" s="1367">
        <f>IF(W146=1,Adm!$AP$3,0)</f>
        <v>0</v>
      </c>
      <c r="Z146" s="1153"/>
      <c r="AC146" s="1375">
        <f t="shared" si="28"/>
        <v>0</v>
      </c>
      <c r="AD146" s="1373">
        <f t="shared" si="25"/>
        <v>0</v>
      </c>
      <c r="AE146" s="1373">
        <f t="shared" si="29"/>
        <v>0</v>
      </c>
      <c r="AF146" s="1373">
        <f t="shared" si="27"/>
        <v>0</v>
      </c>
      <c r="AG146" s="1371">
        <f t="shared" si="26"/>
        <v>0</v>
      </c>
      <c r="AH146" s="1359" t="e">
        <f>HLOOKUP($AH$13,Sustitución,130,0)</f>
        <v>#N/A</v>
      </c>
      <c r="AJ146" s="1360">
        <f>Captura!AI216</f>
        <v>0</v>
      </c>
    </row>
    <row r="147" spans="1:36">
      <c r="A147" s="1118">
        <f t="shared" ca="1" si="30"/>
        <v>1</v>
      </c>
      <c r="B147" s="1101">
        <f t="shared" si="31"/>
        <v>0</v>
      </c>
      <c r="C147" s="2149">
        <f t="shared" si="32"/>
        <v>0</v>
      </c>
      <c r="D147" s="2150">
        <f t="shared" ref="D147:D210" si="36">IF(K146&lt;0.01,0,D146)</f>
        <v>0</v>
      </c>
      <c r="E147" s="2145">
        <f t="shared" ref="E147:E210" si="37">IF(K146&lt;0.01,0,K146*D147*30.4166/360)</f>
        <v>0</v>
      </c>
      <c r="F147" s="2145">
        <f t="shared" si="33"/>
        <v>0</v>
      </c>
      <c r="G147" s="2145">
        <f t="shared" ref="G147:G210" si="38">IF(K146&lt;0.1,0,MIN(K146+E147,IF(AC147&gt;0,AC147,G146*(1+X147))))</f>
        <v>0</v>
      </c>
      <c r="H147" s="2145">
        <f>IF(K146&lt;0.01,0,IF(Adm!$S$4=Adm!$S$8,0,K146*Adm!$V$4))</f>
        <v>0</v>
      </c>
      <c r="I147" s="2145">
        <f>IF(K146&lt;0.01,0,IF($I$16&lt;&gt;"",Adm!$Q$6*1.16,0))</f>
        <v>0</v>
      </c>
      <c r="J147" s="2145">
        <f t="shared" si="34"/>
        <v>0</v>
      </c>
      <c r="K147" s="2145">
        <f t="shared" si="35"/>
        <v>0</v>
      </c>
      <c r="L147" s="2146"/>
      <c r="W147" s="1352">
        <f t="shared" ref="W147:W210" si="39">IF(W146=12,1,W146+1)</f>
        <v>10</v>
      </c>
      <c r="X147" s="1367">
        <f>IF(W147=1,Adm!$AP$3,0)</f>
        <v>0</v>
      </c>
      <c r="Z147" s="1153"/>
      <c r="AC147" s="1375">
        <f t="shared" si="28"/>
        <v>0</v>
      </c>
      <c r="AD147" s="1373">
        <f t="shared" ref="AD147:AD210" si="40">IF(AND($AE$12=1,L146&gt;0.1),AE147,0)</f>
        <v>0</v>
      </c>
      <c r="AE147" s="1373">
        <f t="shared" si="29"/>
        <v>0</v>
      </c>
      <c r="AF147" s="1373">
        <f t="shared" si="27"/>
        <v>0</v>
      </c>
      <c r="AG147" s="1371">
        <f t="shared" ref="AG147:AG210" si="41">IF(AND($AE$12=2,L146&lt;0.01),0,IF($AE$12=2,(K146*AH147)+E147,0))</f>
        <v>0</v>
      </c>
      <c r="AH147" s="1359" t="e">
        <f>HLOOKUP($AH$13,Sustitución,131,0)</f>
        <v>#N/A</v>
      </c>
      <c r="AJ147" s="1360">
        <f>Captura!AI217</f>
        <v>0</v>
      </c>
    </row>
    <row r="148" spans="1:36">
      <c r="A148" s="1118">
        <f t="shared" ca="1" si="30"/>
        <v>2</v>
      </c>
      <c r="B148" s="1101">
        <f t="shared" si="31"/>
        <v>0</v>
      </c>
      <c r="C148" s="2149">
        <f t="shared" si="32"/>
        <v>0</v>
      </c>
      <c r="D148" s="2150">
        <f t="shared" si="36"/>
        <v>0</v>
      </c>
      <c r="E148" s="2145">
        <f t="shared" si="37"/>
        <v>0</v>
      </c>
      <c r="F148" s="2145">
        <f t="shared" si="33"/>
        <v>0</v>
      </c>
      <c r="G148" s="2145">
        <f t="shared" si="38"/>
        <v>0</v>
      </c>
      <c r="H148" s="2145">
        <f>IF(K147&lt;0.01,0,IF(Adm!$S$4=Adm!$S$8,0,K147*Adm!$V$4))</f>
        <v>0</v>
      </c>
      <c r="I148" s="2145">
        <f>IF(K147&lt;0.01,0,IF($I$16&lt;&gt;"",Adm!$Q$6*1.16,0))</f>
        <v>0</v>
      </c>
      <c r="J148" s="2145">
        <f t="shared" si="34"/>
        <v>0</v>
      </c>
      <c r="K148" s="2145">
        <f t="shared" si="35"/>
        <v>0</v>
      </c>
      <c r="L148" s="2146"/>
      <c r="W148" s="1352">
        <f t="shared" si="39"/>
        <v>11</v>
      </c>
      <c r="X148" s="1367">
        <f>IF(W148=1,Adm!$AP$3,0)</f>
        <v>0</v>
      </c>
      <c r="Z148" s="1153"/>
      <c r="AC148" s="1375">
        <f t="shared" si="28"/>
        <v>0</v>
      </c>
      <c r="AD148" s="1373">
        <f t="shared" si="40"/>
        <v>0</v>
      </c>
      <c r="AE148" s="1373">
        <f t="shared" si="29"/>
        <v>0</v>
      </c>
      <c r="AF148" s="1373">
        <f t="shared" ref="AF148:AF211" si="42">IF(AND(AG148&gt;0.01,$AC$12=2),AG148,0)</f>
        <v>0</v>
      </c>
      <c r="AG148" s="1371">
        <f t="shared" si="41"/>
        <v>0</v>
      </c>
      <c r="AH148" s="1359" t="e">
        <f>HLOOKUP($AH$13,Sustitución,132,0)</f>
        <v>#N/A</v>
      </c>
      <c r="AJ148" s="1360">
        <f>Captura!AI218</f>
        <v>0</v>
      </c>
    </row>
    <row r="149" spans="1:36">
      <c r="A149" s="1118">
        <f t="shared" ca="1" si="30"/>
        <v>3</v>
      </c>
      <c r="B149" s="1101">
        <f t="shared" si="31"/>
        <v>0</v>
      </c>
      <c r="C149" s="2149">
        <f t="shared" si="32"/>
        <v>0</v>
      </c>
      <c r="D149" s="2150">
        <f t="shared" si="36"/>
        <v>0</v>
      </c>
      <c r="E149" s="2145">
        <f t="shared" si="37"/>
        <v>0</v>
      </c>
      <c r="F149" s="2145">
        <f t="shared" si="33"/>
        <v>0</v>
      </c>
      <c r="G149" s="2145">
        <f t="shared" si="38"/>
        <v>0</v>
      </c>
      <c r="H149" s="2145">
        <f>IF(K148&lt;0.01,0,IF(Adm!$S$4=Adm!$S$8,0,K148*Adm!$V$4))</f>
        <v>0</v>
      </c>
      <c r="I149" s="2145">
        <f>IF(K148&lt;0.01,0,IF($I$16&lt;&gt;"",Adm!$Q$6*1.16,0))</f>
        <v>0</v>
      </c>
      <c r="J149" s="2145">
        <f t="shared" si="34"/>
        <v>0</v>
      </c>
      <c r="K149" s="2145">
        <f t="shared" si="35"/>
        <v>0</v>
      </c>
      <c r="L149" s="2146"/>
      <c r="W149" s="1352">
        <f t="shared" si="39"/>
        <v>12</v>
      </c>
      <c r="X149" s="1367">
        <f>IF(W149=1,Adm!$AP$3,0)</f>
        <v>0</v>
      </c>
      <c r="Z149" s="1153"/>
      <c r="AC149" s="1375">
        <f t="shared" ref="AC149:AC212" si="43">IF(AD149&gt;1,AD149,IF(AF149&gt;1,AF149,0))</f>
        <v>0</v>
      </c>
      <c r="AD149" s="1373">
        <f t="shared" si="40"/>
        <v>0</v>
      </c>
      <c r="AE149" s="1373">
        <f t="shared" ref="AE149:AE212" si="44">IF(AND($AE$12=1,$AC$12=2),PMT((($D$18/360)*(365/12)),B148,-K148),0)</f>
        <v>0</v>
      </c>
      <c r="AF149" s="1373">
        <f t="shared" si="42"/>
        <v>0</v>
      </c>
      <c r="AG149" s="1371">
        <f t="shared" si="41"/>
        <v>0</v>
      </c>
      <c r="AH149" s="1359" t="e">
        <f>HLOOKUP($AH$13,Sustitución,133,0)</f>
        <v>#N/A</v>
      </c>
      <c r="AJ149" s="1360">
        <f>Captura!AI219</f>
        <v>0</v>
      </c>
    </row>
    <row r="150" spans="1:36">
      <c r="A150" s="1118">
        <f t="shared" ca="1" si="30"/>
        <v>4</v>
      </c>
      <c r="B150" s="1101">
        <f t="shared" si="31"/>
        <v>0</v>
      </c>
      <c r="C150" s="2149">
        <f t="shared" si="32"/>
        <v>0</v>
      </c>
      <c r="D150" s="2150">
        <f t="shared" si="36"/>
        <v>0</v>
      </c>
      <c r="E150" s="2145">
        <f t="shared" si="37"/>
        <v>0</v>
      </c>
      <c r="F150" s="2145">
        <f t="shared" si="33"/>
        <v>0</v>
      </c>
      <c r="G150" s="2145">
        <f t="shared" si="38"/>
        <v>0</v>
      </c>
      <c r="H150" s="2145">
        <f>IF(K149&lt;0.01,0,IF(Adm!$S$4=Adm!$S$8,0,K149*Adm!$V$4))</f>
        <v>0</v>
      </c>
      <c r="I150" s="2145">
        <f>IF(K149&lt;0.01,0,IF($I$16&lt;&gt;"",Adm!$Q$6*1.16,0))</f>
        <v>0</v>
      </c>
      <c r="J150" s="2145">
        <f t="shared" si="34"/>
        <v>0</v>
      </c>
      <c r="K150" s="2145">
        <f t="shared" si="35"/>
        <v>0</v>
      </c>
      <c r="L150" s="2146"/>
      <c r="W150" s="1352">
        <f t="shared" si="39"/>
        <v>1</v>
      </c>
      <c r="X150" s="1367">
        <f>IF(W150=1,Adm!$AP$3,0)</f>
        <v>0</v>
      </c>
      <c r="Z150" s="1153"/>
      <c r="AC150" s="1375">
        <f t="shared" si="43"/>
        <v>0</v>
      </c>
      <c r="AD150" s="1373">
        <f t="shared" si="40"/>
        <v>0</v>
      </c>
      <c r="AE150" s="1373">
        <f t="shared" si="44"/>
        <v>0</v>
      </c>
      <c r="AF150" s="1373">
        <f t="shared" si="42"/>
        <v>0</v>
      </c>
      <c r="AG150" s="1371">
        <f t="shared" si="41"/>
        <v>0</v>
      </c>
      <c r="AH150" s="1359" t="e">
        <f>HLOOKUP($AH$13,Sustitución,134,0)</f>
        <v>#N/A</v>
      </c>
      <c r="AJ150" s="1360">
        <f>Captura!AI220</f>
        <v>0</v>
      </c>
    </row>
    <row r="151" spans="1:36">
      <c r="A151" s="1118">
        <f t="shared" ca="1" si="30"/>
        <v>5</v>
      </c>
      <c r="B151" s="1101">
        <f t="shared" si="31"/>
        <v>0</v>
      </c>
      <c r="C151" s="2149">
        <f t="shared" si="32"/>
        <v>0</v>
      </c>
      <c r="D151" s="2150">
        <f t="shared" si="36"/>
        <v>0</v>
      </c>
      <c r="E151" s="2145">
        <f t="shared" si="37"/>
        <v>0</v>
      </c>
      <c r="F151" s="2145">
        <f t="shared" si="33"/>
        <v>0</v>
      </c>
      <c r="G151" s="2145">
        <f t="shared" si="38"/>
        <v>0</v>
      </c>
      <c r="H151" s="2145">
        <f>IF(K150&lt;0.01,0,IF(Adm!$S$4=Adm!$S$8,0,K150*Adm!$V$4))</f>
        <v>0</v>
      </c>
      <c r="I151" s="2145">
        <f>IF(K150&lt;0.01,0,IF($I$16&lt;&gt;"",Adm!$Q$6*1.16,0))</f>
        <v>0</v>
      </c>
      <c r="J151" s="2145">
        <f t="shared" si="34"/>
        <v>0</v>
      </c>
      <c r="K151" s="2145">
        <f t="shared" si="35"/>
        <v>0</v>
      </c>
      <c r="L151" s="2146"/>
      <c r="W151" s="1352">
        <f t="shared" si="39"/>
        <v>2</v>
      </c>
      <c r="X151" s="1367">
        <f>IF(W151=1,Adm!$AP$3,0)</f>
        <v>0</v>
      </c>
      <c r="Z151" s="1153"/>
      <c r="AC151" s="1375">
        <f t="shared" si="43"/>
        <v>0</v>
      </c>
      <c r="AD151" s="1373">
        <f t="shared" si="40"/>
        <v>0</v>
      </c>
      <c r="AE151" s="1373">
        <f t="shared" si="44"/>
        <v>0</v>
      </c>
      <c r="AF151" s="1373">
        <f t="shared" si="42"/>
        <v>0</v>
      </c>
      <c r="AG151" s="1371">
        <f t="shared" si="41"/>
        <v>0</v>
      </c>
      <c r="AH151" s="1359" t="e">
        <f>HLOOKUP($AH$13,Sustitución,135,0)</f>
        <v>#N/A</v>
      </c>
      <c r="AJ151" s="1360">
        <f>Captura!AI221</f>
        <v>0</v>
      </c>
    </row>
    <row r="152" spans="1:36">
      <c r="A152" s="1118">
        <f t="shared" ca="1" si="30"/>
        <v>6</v>
      </c>
      <c r="B152" s="1101">
        <f t="shared" si="31"/>
        <v>0</v>
      </c>
      <c r="C152" s="2149">
        <f t="shared" si="32"/>
        <v>0</v>
      </c>
      <c r="D152" s="2150">
        <f t="shared" si="36"/>
        <v>0</v>
      </c>
      <c r="E152" s="2145">
        <f t="shared" si="37"/>
        <v>0</v>
      </c>
      <c r="F152" s="2145">
        <f t="shared" si="33"/>
        <v>0</v>
      </c>
      <c r="G152" s="2145">
        <f t="shared" si="38"/>
        <v>0</v>
      </c>
      <c r="H152" s="2145">
        <f>IF(K151&lt;0.01,0,IF(Adm!$S$4=Adm!$S$8,0,K151*Adm!$V$4))</f>
        <v>0</v>
      </c>
      <c r="I152" s="2145">
        <f>IF(K151&lt;0.01,0,IF($I$16&lt;&gt;"",Adm!$Q$6*1.16,0))</f>
        <v>0</v>
      </c>
      <c r="J152" s="2145">
        <f t="shared" si="34"/>
        <v>0</v>
      </c>
      <c r="K152" s="2145">
        <f t="shared" si="35"/>
        <v>0</v>
      </c>
      <c r="L152" s="2146"/>
      <c r="W152" s="1352">
        <f t="shared" si="39"/>
        <v>3</v>
      </c>
      <c r="X152" s="1367">
        <f>IF(W152=1,Adm!$AP$3,0)</f>
        <v>0</v>
      </c>
      <c r="Z152" s="1153"/>
      <c r="AC152" s="1375">
        <f t="shared" si="43"/>
        <v>0</v>
      </c>
      <c r="AD152" s="1373">
        <f t="shared" si="40"/>
        <v>0</v>
      </c>
      <c r="AE152" s="1373">
        <f t="shared" si="44"/>
        <v>0</v>
      </c>
      <c r="AF152" s="1373">
        <f t="shared" si="42"/>
        <v>0</v>
      </c>
      <c r="AG152" s="1371">
        <f t="shared" si="41"/>
        <v>0</v>
      </c>
      <c r="AH152" s="1359" t="e">
        <f>HLOOKUP($AH$13,Sustitución,136,0)</f>
        <v>#N/A</v>
      </c>
      <c r="AJ152" s="1360">
        <f>Captura!AI222</f>
        <v>0</v>
      </c>
    </row>
    <row r="153" spans="1:36">
      <c r="A153" s="1118">
        <f t="shared" ca="1" si="30"/>
        <v>7</v>
      </c>
      <c r="B153" s="1101">
        <f t="shared" si="31"/>
        <v>0</v>
      </c>
      <c r="C153" s="2149">
        <f t="shared" si="32"/>
        <v>0</v>
      </c>
      <c r="D153" s="2150">
        <f t="shared" si="36"/>
        <v>0</v>
      </c>
      <c r="E153" s="2145">
        <f t="shared" si="37"/>
        <v>0</v>
      </c>
      <c r="F153" s="2145">
        <f t="shared" si="33"/>
        <v>0</v>
      </c>
      <c r="G153" s="2145">
        <f t="shared" si="38"/>
        <v>0</v>
      </c>
      <c r="H153" s="2145">
        <f>IF(K152&lt;0.01,0,IF(Adm!$S$4=Adm!$S$8,0,K152*Adm!$V$4))</f>
        <v>0</v>
      </c>
      <c r="I153" s="2145">
        <f>IF(K152&lt;0.01,0,IF($I$16&lt;&gt;"",Adm!$Q$6*1.16,0))</f>
        <v>0</v>
      </c>
      <c r="J153" s="2145">
        <f t="shared" si="34"/>
        <v>0</v>
      </c>
      <c r="K153" s="2145">
        <f t="shared" si="35"/>
        <v>0</v>
      </c>
      <c r="L153" s="2146"/>
      <c r="W153" s="1352">
        <f t="shared" si="39"/>
        <v>4</v>
      </c>
      <c r="X153" s="1367">
        <f>IF(W153=1,Adm!$AP$3,0)</f>
        <v>0</v>
      </c>
      <c r="Z153" s="1153"/>
      <c r="AC153" s="1375">
        <f t="shared" si="43"/>
        <v>0</v>
      </c>
      <c r="AD153" s="1373">
        <f t="shared" si="40"/>
        <v>0</v>
      </c>
      <c r="AE153" s="1373">
        <f t="shared" si="44"/>
        <v>0</v>
      </c>
      <c r="AF153" s="1373">
        <f t="shared" si="42"/>
        <v>0</v>
      </c>
      <c r="AG153" s="1371">
        <f t="shared" si="41"/>
        <v>0</v>
      </c>
      <c r="AH153" s="1359" t="e">
        <f>HLOOKUP($AH$13,Sustitución,137,0)</f>
        <v>#N/A</v>
      </c>
      <c r="AJ153" s="1360">
        <f>Captura!AI223</f>
        <v>0</v>
      </c>
    </row>
    <row r="154" spans="1:36">
      <c r="A154" s="1118">
        <f t="shared" ca="1" si="30"/>
        <v>8</v>
      </c>
      <c r="B154" s="1101">
        <f t="shared" si="31"/>
        <v>0</v>
      </c>
      <c r="C154" s="2149">
        <f t="shared" si="32"/>
        <v>0</v>
      </c>
      <c r="D154" s="2150">
        <f t="shared" si="36"/>
        <v>0</v>
      </c>
      <c r="E154" s="2145">
        <f t="shared" si="37"/>
        <v>0</v>
      </c>
      <c r="F154" s="2145">
        <f t="shared" si="33"/>
        <v>0</v>
      </c>
      <c r="G154" s="2145">
        <f t="shared" si="38"/>
        <v>0</v>
      </c>
      <c r="H154" s="2145">
        <f>IF(K153&lt;0.01,0,IF(Adm!$S$4=Adm!$S$8,0,K153*Adm!$V$4))</f>
        <v>0</v>
      </c>
      <c r="I154" s="2145">
        <f>IF(K153&lt;0.01,0,IF($I$16&lt;&gt;"",Adm!$Q$6*1.16,0))</f>
        <v>0</v>
      </c>
      <c r="J154" s="2145">
        <f t="shared" si="34"/>
        <v>0</v>
      </c>
      <c r="K154" s="2145">
        <f t="shared" si="35"/>
        <v>0</v>
      </c>
      <c r="L154" s="2146"/>
      <c r="W154" s="1352">
        <f t="shared" si="39"/>
        <v>5</v>
      </c>
      <c r="X154" s="1367">
        <f>IF(W154=1,Adm!$AP$3,0)</f>
        <v>0</v>
      </c>
      <c r="Z154" s="1153"/>
      <c r="AC154" s="1375">
        <f t="shared" si="43"/>
        <v>0</v>
      </c>
      <c r="AD154" s="1373">
        <f t="shared" si="40"/>
        <v>0</v>
      </c>
      <c r="AE154" s="1373">
        <f t="shared" si="44"/>
        <v>0</v>
      </c>
      <c r="AF154" s="1373">
        <f t="shared" si="42"/>
        <v>0</v>
      </c>
      <c r="AG154" s="1371">
        <f t="shared" si="41"/>
        <v>0</v>
      </c>
      <c r="AH154" s="1359" t="e">
        <f>HLOOKUP($AH$13,Sustitución,138,0)</f>
        <v>#N/A</v>
      </c>
      <c r="AJ154" s="1360">
        <f>Captura!AI224</f>
        <v>0</v>
      </c>
    </row>
    <row r="155" spans="1:36">
      <c r="A155" s="1118">
        <f t="shared" ca="1" si="30"/>
        <v>9</v>
      </c>
      <c r="B155" s="1101">
        <f t="shared" si="31"/>
        <v>0</v>
      </c>
      <c r="C155" s="2149">
        <f t="shared" si="32"/>
        <v>0</v>
      </c>
      <c r="D155" s="2150">
        <f t="shared" si="36"/>
        <v>0</v>
      </c>
      <c r="E155" s="2145">
        <f t="shared" si="37"/>
        <v>0</v>
      </c>
      <c r="F155" s="2145">
        <f t="shared" si="33"/>
        <v>0</v>
      </c>
      <c r="G155" s="2145">
        <f t="shared" si="38"/>
        <v>0</v>
      </c>
      <c r="H155" s="2145">
        <f>IF(K154&lt;0.01,0,IF(Adm!$S$4=Adm!$S$8,0,K154*Adm!$V$4))</f>
        <v>0</v>
      </c>
      <c r="I155" s="2145">
        <f>IF(K154&lt;0.01,0,IF($I$16&lt;&gt;"",Adm!$Q$6*1.16,0))</f>
        <v>0</v>
      </c>
      <c r="J155" s="2145">
        <f t="shared" si="34"/>
        <v>0</v>
      </c>
      <c r="K155" s="2145">
        <f t="shared" si="35"/>
        <v>0</v>
      </c>
      <c r="L155" s="2146"/>
      <c r="W155" s="1352">
        <f t="shared" si="39"/>
        <v>6</v>
      </c>
      <c r="X155" s="1367">
        <f>IF(W155=1,Adm!$AP$3,0)</f>
        <v>0</v>
      </c>
      <c r="Z155" s="1153"/>
      <c r="AC155" s="1375">
        <f t="shared" si="43"/>
        <v>0</v>
      </c>
      <c r="AD155" s="1373">
        <f t="shared" si="40"/>
        <v>0</v>
      </c>
      <c r="AE155" s="1373">
        <f t="shared" si="44"/>
        <v>0</v>
      </c>
      <c r="AF155" s="1373">
        <f t="shared" si="42"/>
        <v>0</v>
      </c>
      <c r="AG155" s="1371">
        <f t="shared" si="41"/>
        <v>0</v>
      </c>
      <c r="AH155" s="1359" t="e">
        <f>HLOOKUP($AH$13,Sustitución,139,0)</f>
        <v>#N/A</v>
      </c>
      <c r="AJ155" s="1360">
        <f>Captura!AI225</f>
        <v>0</v>
      </c>
    </row>
    <row r="156" spans="1:36">
      <c r="A156" s="1118">
        <f t="shared" ca="1" si="30"/>
        <v>10</v>
      </c>
      <c r="B156" s="1101">
        <f t="shared" si="31"/>
        <v>0</v>
      </c>
      <c r="C156" s="2149">
        <f t="shared" si="32"/>
        <v>0</v>
      </c>
      <c r="D156" s="2150">
        <f t="shared" si="36"/>
        <v>0</v>
      </c>
      <c r="E156" s="2145">
        <f t="shared" si="37"/>
        <v>0</v>
      </c>
      <c r="F156" s="2145">
        <f t="shared" si="33"/>
        <v>0</v>
      </c>
      <c r="G156" s="2145">
        <f t="shared" si="38"/>
        <v>0</v>
      </c>
      <c r="H156" s="2145">
        <f>IF(K155&lt;0.01,0,IF(Adm!$S$4=Adm!$S$8,0,K155*Adm!$V$4))</f>
        <v>0</v>
      </c>
      <c r="I156" s="2145">
        <f>IF(K155&lt;0.01,0,IF($I$16&lt;&gt;"",Adm!$Q$6*1.16,0))</f>
        <v>0</v>
      </c>
      <c r="J156" s="2145">
        <f t="shared" si="34"/>
        <v>0</v>
      </c>
      <c r="K156" s="2145">
        <f t="shared" si="35"/>
        <v>0</v>
      </c>
      <c r="L156" s="2146"/>
      <c r="W156" s="1352">
        <f t="shared" si="39"/>
        <v>7</v>
      </c>
      <c r="X156" s="1367">
        <f>IF(W156=1,Adm!$AP$3,0)</f>
        <v>0</v>
      </c>
      <c r="Z156" s="1153"/>
      <c r="AC156" s="1375">
        <f t="shared" si="43"/>
        <v>0</v>
      </c>
      <c r="AD156" s="1373">
        <f t="shared" si="40"/>
        <v>0</v>
      </c>
      <c r="AE156" s="1373">
        <f t="shared" si="44"/>
        <v>0</v>
      </c>
      <c r="AF156" s="1373">
        <f t="shared" si="42"/>
        <v>0</v>
      </c>
      <c r="AG156" s="1371">
        <f t="shared" si="41"/>
        <v>0</v>
      </c>
      <c r="AH156" s="1359" t="e">
        <f>HLOOKUP($AH$13,Sustitución,140,0)</f>
        <v>#N/A</v>
      </c>
      <c r="AJ156" s="1360">
        <f>Captura!AI226</f>
        <v>0</v>
      </c>
    </row>
    <row r="157" spans="1:36">
      <c r="A157" s="1118">
        <f t="shared" ca="1" si="30"/>
        <v>11</v>
      </c>
      <c r="B157" s="1101">
        <f t="shared" si="31"/>
        <v>0</v>
      </c>
      <c r="C157" s="2149">
        <f t="shared" si="32"/>
        <v>0</v>
      </c>
      <c r="D157" s="2150">
        <f t="shared" si="36"/>
        <v>0</v>
      </c>
      <c r="E157" s="2145">
        <f t="shared" si="37"/>
        <v>0</v>
      </c>
      <c r="F157" s="2145">
        <f t="shared" si="33"/>
        <v>0</v>
      </c>
      <c r="G157" s="2145">
        <f t="shared" si="38"/>
        <v>0</v>
      </c>
      <c r="H157" s="2145">
        <f>IF(K156&lt;0.01,0,IF(Adm!$S$4=Adm!$S$8,0,K156*Adm!$V$4))</f>
        <v>0</v>
      </c>
      <c r="I157" s="2145">
        <f>IF(K156&lt;0.01,0,IF($I$16&lt;&gt;"",Adm!$Q$6*1.16,0))</f>
        <v>0</v>
      </c>
      <c r="J157" s="2145">
        <f t="shared" si="34"/>
        <v>0</v>
      </c>
      <c r="K157" s="2145">
        <f t="shared" si="35"/>
        <v>0</v>
      </c>
      <c r="L157" s="2146"/>
      <c r="W157" s="1352">
        <f t="shared" si="39"/>
        <v>8</v>
      </c>
      <c r="X157" s="1367">
        <f>IF(W157=1,Adm!$AP$3,0)</f>
        <v>0</v>
      </c>
      <c r="Z157" s="1153"/>
      <c r="AC157" s="1375">
        <f t="shared" si="43"/>
        <v>0</v>
      </c>
      <c r="AD157" s="1373">
        <f t="shared" si="40"/>
        <v>0</v>
      </c>
      <c r="AE157" s="1373">
        <f t="shared" si="44"/>
        <v>0</v>
      </c>
      <c r="AF157" s="1373">
        <f t="shared" si="42"/>
        <v>0</v>
      </c>
      <c r="AG157" s="1371">
        <f t="shared" si="41"/>
        <v>0</v>
      </c>
      <c r="AH157" s="1359" t="e">
        <f>HLOOKUP($AH$13,Sustitución,141,0)</f>
        <v>#N/A</v>
      </c>
      <c r="AJ157" s="1360">
        <f>Captura!AI227</f>
        <v>0</v>
      </c>
    </row>
    <row r="158" spans="1:36">
      <c r="A158" s="1118">
        <f t="shared" ca="1" si="30"/>
        <v>12</v>
      </c>
      <c r="B158" s="1101">
        <f t="shared" si="31"/>
        <v>0</v>
      </c>
      <c r="C158" s="2149">
        <f t="shared" si="32"/>
        <v>0</v>
      </c>
      <c r="D158" s="2150">
        <f t="shared" si="36"/>
        <v>0</v>
      </c>
      <c r="E158" s="2145">
        <f t="shared" si="37"/>
        <v>0</v>
      </c>
      <c r="F158" s="2145">
        <f t="shared" si="33"/>
        <v>0</v>
      </c>
      <c r="G158" s="2145">
        <f t="shared" si="38"/>
        <v>0</v>
      </c>
      <c r="H158" s="2145">
        <f>IF(K157&lt;0.01,0,IF(Adm!$S$4=Adm!$S$8,0,K157*Adm!$V$4))</f>
        <v>0</v>
      </c>
      <c r="I158" s="2145">
        <f>IF(K157&lt;0.01,0,IF($I$16&lt;&gt;"",Adm!$Q$6*1.16,0))</f>
        <v>0</v>
      </c>
      <c r="J158" s="2145">
        <f t="shared" si="34"/>
        <v>0</v>
      </c>
      <c r="K158" s="2145">
        <f t="shared" si="35"/>
        <v>0</v>
      </c>
      <c r="L158" s="2146"/>
      <c r="W158" s="1352">
        <f t="shared" si="39"/>
        <v>9</v>
      </c>
      <c r="X158" s="1367">
        <f>IF(W158=1,Adm!$AP$3,0)</f>
        <v>0</v>
      </c>
      <c r="Z158" s="1153"/>
      <c r="AC158" s="1375">
        <f t="shared" si="43"/>
        <v>0</v>
      </c>
      <c r="AD158" s="1373">
        <f t="shared" si="40"/>
        <v>0</v>
      </c>
      <c r="AE158" s="1373">
        <f t="shared" si="44"/>
        <v>0</v>
      </c>
      <c r="AF158" s="1373">
        <f t="shared" si="42"/>
        <v>0</v>
      </c>
      <c r="AG158" s="1371">
        <f t="shared" si="41"/>
        <v>0</v>
      </c>
      <c r="AH158" s="1359" t="e">
        <f>HLOOKUP($AH$13,Sustitución,142,0)</f>
        <v>#N/A</v>
      </c>
      <c r="AJ158" s="1360">
        <f>Captura!AI228</f>
        <v>0</v>
      </c>
    </row>
    <row r="159" spans="1:36">
      <c r="A159" s="1118">
        <f t="shared" ca="1" si="30"/>
        <v>1</v>
      </c>
      <c r="B159" s="1101">
        <f t="shared" si="31"/>
        <v>0</v>
      </c>
      <c r="C159" s="2149">
        <f t="shared" si="32"/>
        <v>0</v>
      </c>
      <c r="D159" s="2150">
        <f t="shared" si="36"/>
        <v>0</v>
      </c>
      <c r="E159" s="2145">
        <f t="shared" si="37"/>
        <v>0</v>
      </c>
      <c r="F159" s="2145">
        <f t="shared" si="33"/>
        <v>0</v>
      </c>
      <c r="G159" s="2145">
        <f t="shared" si="38"/>
        <v>0</v>
      </c>
      <c r="H159" s="2145">
        <f>IF(K158&lt;0.01,0,IF(Adm!$S$4=Adm!$S$8,0,K158*Adm!$V$4))</f>
        <v>0</v>
      </c>
      <c r="I159" s="2145">
        <f>IF(K158&lt;0.01,0,IF($I$16&lt;&gt;"",Adm!$Q$6*1.16,0))</f>
        <v>0</v>
      </c>
      <c r="J159" s="2145">
        <f t="shared" si="34"/>
        <v>0</v>
      </c>
      <c r="K159" s="2145">
        <f t="shared" si="35"/>
        <v>0</v>
      </c>
      <c r="L159" s="2146"/>
      <c r="W159" s="1352">
        <f t="shared" si="39"/>
        <v>10</v>
      </c>
      <c r="X159" s="1367">
        <f>IF(W159=1,Adm!$AP$3,0)</f>
        <v>0</v>
      </c>
      <c r="Z159" s="1153"/>
      <c r="AC159" s="1375">
        <f t="shared" si="43"/>
        <v>0</v>
      </c>
      <c r="AD159" s="1373">
        <f t="shared" si="40"/>
        <v>0</v>
      </c>
      <c r="AE159" s="1373">
        <f t="shared" si="44"/>
        <v>0</v>
      </c>
      <c r="AF159" s="1373">
        <f t="shared" si="42"/>
        <v>0</v>
      </c>
      <c r="AG159" s="1371">
        <f t="shared" si="41"/>
        <v>0</v>
      </c>
      <c r="AH159" s="1359" t="e">
        <f>HLOOKUP($AH$13,Sustitución,143,0)</f>
        <v>#N/A</v>
      </c>
      <c r="AJ159" s="1360">
        <f>Captura!AI229</f>
        <v>0</v>
      </c>
    </row>
    <row r="160" spans="1:36">
      <c r="A160" s="1118">
        <f t="shared" ca="1" si="30"/>
        <v>2</v>
      </c>
      <c r="B160" s="1101">
        <f t="shared" si="31"/>
        <v>0</v>
      </c>
      <c r="C160" s="2149">
        <f t="shared" si="32"/>
        <v>0</v>
      </c>
      <c r="D160" s="2150">
        <f t="shared" si="36"/>
        <v>0</v>
      </c>
      <c r="E160" s="2145">
        <f t="shared" si="37"/>
        <v>0</v>
      </c>
      <c r="F160" s="2145">
        <f t="shared" si="33"/>
        <v>0</v>
      </c>
      <c r="G160" s="2145">
        <f t="shared" si="38"/>
        <v>0</v>
      </c>
      <c r="H160" s="2145">
        <f>IF(K159&lt;0.01,0,IF(Adm!$S$4=Adm!$S$8,0,K159*Adm!$V$4))</f>
        <v>0</v>
      </c>
      <c r="I160" s="2145">
        <f>IF(K159&lt;0.01,0,IF($I$16&lt;&gt;"",Adm!$Q$6*1.16,0))</f>
        <v>0</v>
      </c>
      <c r="J160" s="2145">
        <f t="shared" si="34"/>
        <v>0</v>
      </c>
      <c r="K160" s="2145">
        <f t="shared" si="35"/>
        <v>0</v>
      </c>
      <c r="L160" s="2146"/>
      <c r="W160" s="1352">
        <f t="shared" si="39"/>
        <v>11</v>
      </c>
      <c r="X160" s="1367">
        <f>IF(W160=1,Adm!$AP$3,0)</f>
        <v>0</v>
      </c>
      <c r="Z160" s="1153"/>
      <c r="AC160" s="1375">
        <f t="shared" si="43"/>
        <v>0</v>
      </c>
      <c r="AD160" s="1373">
        <f t="shared" si="40"/>
        <v>0</v>
      </c>
      <c r="AE160" s="1373">
        <f t="shared" si="44"/>
        <v>0</v>
      </c>
      <c r="AF160" s="1373">
        <f t="shared" si="42"/>
        <v>0</v>
      </c>
      <c r="AG160" s="1371">
        <f t="shared" si="41"/>
        <v>0</v>
      </c>
      <c r="AH160" s="1359" t="e">
        <f>HLOOKUP($AH$13,Sustitución,144,0)</f>
        <v>#N/A</v>
      </c>
      <c r="AJ160" s="1360">
        <f>Captura!AI230</f>
        <v>0</v>
      </c>
    </row>
    <row r="161" spans="1:36">
      <c r="A161" s="1118">
        <f t="shared" ca="1" si="30"/>
        <v>3</v>
      </c>
      <c r="B161" s="1101">
        <f t="shared" si="31"/>
        <v>0</v>
      </c>
      <c r="C161" s="2149">
        <f t="shared" si="32"/>
        <v>0</v>
      </c>
      <c r="D161" s="2150">
        <f t="shared" si="36"/>
        <v>0</v>
      </c>
      <c r="E161" s="2145">
        <f t="shared" si="37"/>
        <v>0</v>
      </c>
      <c r="F161" s="2145">
        <f t="shared" si="33"/>
        <v>0</v>
      </c>
      <c r="G161" s="2145">
        <f t="shared" si="38"/>
        <v>0</v>
      </c>
      <c r="H161" s="2145">
        <f>IF(K160&lt;0.01,0,IF(Adm!$S$4=Adm!$S$8,0,K160*Adm!$V$4))</f>
        <v>0</v>
      </c>
      <c r="I161" s="2145">
        <f>IF(K160&lt;0.01,0,IF($I$16&lt;&gt;"",Adm!$Q$6*1.16,0))</f>
        <v>0</v>
      </c>
      <c r="J161" s="2145">
        <f t="shared" si="34"/>
        <v>0</v>
      </c>
      <c r="K161" s="2145">
        <f t="shared" si="35"/>
        <v>0</v>
      </c>
      <c r="L161" s="2146"/>
      <c r="W161" s="1352">
        <f t="shared" si="39"/>
        <v>12</v>
      </c>
      <c r="X161" s="1367">
        <f>IF(W161=1,Adm!$AP$3,0)</f>
        <v>0</v>
      </c>
      <c r="Z161" s="1153"/>
      <c r="AC161" s="1375">
        <f t="shared" si="43"/>
        <v>0</v>
      </c>
      <c r="AD161" s="1373">
        <f t="shared" si="40"/>
        <v>0</v>
      </c>
      <c r="AE161" s="1373">
        <f t="shared" si="44"/>
        <v>0</v>
      </c>
      <c r="AF161" s="1373">
        <f t="shared" si="42"/>
        <v>0</v>
      </c>
      <c r="AG161" s="1371">
        <f t="shared" si="41"/>
        <v>0</v>
      </c>
      <c r="AH161" s="1359" t="e">
        <f>HLOOKUP($AH$13,Sustitución,145,0)</f>
        <v>#N/A</v>
      </c>
      <c r="AJ161" s="1360">
        <f>Captura!AI231</f>
        <v>0</v>
      </c>
    </row>
    <row r="162" spans="1:36">
      <c r="A162" s="1118">
        <f t="shared" ca="1" si="30"/>
        <v>4</v>
      </c>
      <c r="B162" s="1101">
        <f t="shared" si="31"/>
        <v>0</v>
      </c>
      <c r="C162" s="2149">
        <f t="shared" si="32"/>
        <v>0</v>
      </c>
      <c r="D162" s="2150">
        <f t="shared" si="36"/>
        <v>0</v>
      </c>
      <c r="E162" s="2145">
        <f t="shared" si="37"/>
        <v>0</v>
      </c>
      <c r="F162" s="2145">
        <f t="shared" si="33"/>
        <v>0</v>
      </c>
      <c r="G162" s="2145">
        <f t="shared" si="38"/>
        <v>0</v>
      </c>
      <c r="H162" s="2145">
        <f>IF(K161&lt;0.01,0,IF(Adm!$S$4=Adm!$S$8,0,K161*Adm!$V$4))</f>
        <v>0</v>
      </c>
      <c r="I162" s="2145">
        <f>IF(K161&lt;0.01,0,IF($I$16&lt;&gt;"",Adm!$Q$6*1.16,0))</f>
        <v>0</v>
      </c>
      <c r="J162" s="2145">
        <f t="shared" si="34"/>
        <v>0</v>
      </c>
      <c r="K162" s="2145">
        <f t="shared" si="35"/>
        <v>0</v>
      </c>
      <c r="L162" s="2146"/>
      <c r="W162" s="1352">
        <f t="shared" si="39"/>
        <v>1</v>
      </c>
      <c r="X162" s="1367">
        <f>IF(W162=1,Adm!$AP$3,0)</f>
        <v>0</v>
      </c>
      <c r="Z162" s="1153"/>
      <c r="AC162" s="1375">
        <f t="shared" si="43"/>
        <v>0</v>
      </c>
      <c r="AD162" s="1373">
        <f t="shared" si="40"/>
        <v>0</v>
      </c>
      <c r="AE162" s="1373">
        <f t="shared" si="44"/>
        <v>0</v>
      </c>
      <c r="AF162" s="1373">
        <f t="shared" si="42"/>
        <v>0</v>
      </c>
      <c r="AG162" s="1371">
        <f t="shared" si="41"/>
        <v>0</v>
      </c>
      <c r="AH162" s="1359" t="e">
        <f>HLOOKUP($AH$13,Sustitución,146,0)</f>
        <v>#N/A</v>
      </c>
      <c r="AJ162" s="1360">
        <f>Captura!AI232</f>
        <v>0</v>
      </c>
    </row>
    <row r="163" spans="1:36">
      <c r="A163" s="1118">
        <f t="shared" ca="1" si="30"/>
        <v>5</v>
      </c>
      <c r="B163" s="1101">
        <f t="shared" si="31"/>
        <v>0</v>
      </c>
      <c r="C163" s="2149">
        <f t="shared" si="32"/>
        <v>0</v>
      </c>
      <c r="D163" s="2150">
        <f t="shared" si="36"/>
        <v>0</v>
      </c>
      <c r="E163" s="2145">
        <f t="shared" si="37"/>
        <v>0</v>
      </c>
      <c r="F163" s="2145">
        <f t="shared" si="33"/>
        <v>0</v>
      </c>
      <c r="G163" s="2145">
        <f t="shared" si="38"/>
        <v>0</v>
      </c>
      <c r="H163" s="2145">
        <f>IF(K162&lt;0.01,0,IF(Adm!$S$4=Adm!$S$8,0,K162*Adm!$V$4))</f>
        <v>0</v>
      </c>
      <c r="I163" s="2145">
        <f>IF(K162&lt;0.01,0,IF($I$16&lt;&gt;"",Adm!$Q$6*1.16,0))</f>
        <v>0</v>
      </c>
      <c r="J163" s="2145">
        <f t="shared" si="34"/>
        <v>0</v>
      </c>
      <c r="K163" s="2145">
        <f t="shared" si="35"/>
        <v>0</v>
      </c>
      <c r="L163" s="2146"/>
      <c r="W163" s="1352">
        <f t="shared" si="39"/>
        <v>2</v>
      </c>
      <c r="X163" s="1367">
        <f>IF(W163=1,Adm!$AP$3,0)</f>
        <v>0</v>
      </c>
      <c r="Z163" s="1153"/>
      <c r="AC163" s="1375">
        <f t="shared" si="43"/>
        <v>0</v>
      </c>
      <c r="AD163" s="1373">
        <f t="shared" si="40"/>
        <v>0</v>
      </c>
      <c r="AE163" s="1373">
        <f t="shared" si="44"/>
        <v>0</v>
      </c>
      <c r="AF163" s="1373">
        <f t="shared" si="42"/>
        <v>0</v>
      </c>
      <c r="AG163" s="1371">
        <f t="shared" si="41"/>
        <v>0</v>
      </c>
      <c r="AH163" s="1359" t="e">
        <f>HLOOKUP($AH$13,Sustitución,147,0)</f>
        <v>#N/A</v>
      </c>
      <c r="AJ163" s="1360">
        <f>Captura!AI233</f>
        <v>0</v>
      </c>
    </row>
    <row r="164" spans="1:36">
      <c r="A164" s="1118">
        <f t="shared" ca="1" si="30"/>
        <v>6</v>
      </c>
      <c r="B164" s="1101">
        <f t="shared" si="31"/>
        <v>0</v>
      </c>
      <c r="C164" s="2149">
        <f t="shared" si="32"/>
        <v>0</v>
      </c>
      <c r="D164" s="2150">
        <f t="shared" si="36"/>
        <v>0</v>
      </c>
      <c r="E164" s="2145">
        <f t="shared" si="37"/>
        <v>0</v>
      </c>
      <c r="F164" s="2145">
        <f t="shared" si="33"/>
        <v>0</v>
      </c>
      <c r="G164" s="2145">
        <f t="shared" si="38"/>
        <v>0</v>
      </c>
      <c r="H164" s="2145">
        <f>IF(K163&lt;0.01,0,IF(Adm!$S$4=Adm!$S$8,0,K163*Adm!$V$4))</f>
        <v>0</v>
      </c>
      <c r="I164" s="2145">
        <f>IF(K163&lt;0.01,0,IF($I$16&lt;&gt;"",Adm!$Q$6*1.16,0))</f>
        <v>0</v>
      </c>
      <c r="J164" s="2145">
        <f t="shared" si="34"/>
        <v>0</v>
      </c>
      <c r="K164" s="2145">
        <f t="shared" si="35"/>
        <v>0</v>
      </c>
      <c r="L164" s="2146"/>
      <c r="W164" s="1352">
        <f t="shared" si="39"/>
        <v>3</v>
      </c>
      <c r="X164" s="1367">
        <f>IF(W164=1,Adm!$AP$3,0)</f>
        <v>0</v>
      </c>
      <c r="Z164" s="1153"/>
      <c r="AC164" s="1375">
        <f t="shared" si="43"/>
        <v>0</v>
      </c>
      <c r="AD164" s="1373">
        <f t="shared" si="40"/>
        <v>0</v>
      </c>
      <c r="AE164" s="1373">
        <f t="shared" si="44"/>
        <v>0</v>
      </c>
      <c r="AF164" s="1373">
        <f t="shared" si="42"/>
        <v>0</v>
      </c>
      <c r="AG164" s="1371">
        <f t="shared" si="41"/>
        <v>0</v>
      </c>
      <c r="AH164" s="1359" t="e">
        <f>HLOOKUP($AH$13,Sustitución,148,0)</f>
        <v>#N/A</v>
      </c>
      <c r="AJ164" s="1360">
        <f>Captura!AI234</f>
        <v>0</v>
      </c>
    </row>
    <row r="165" spans="1:36">
      <c r="A165" s="1118">
        <f t="shared" ca="1" si="30"/>
        <v>7</v>
      </c>
      <c r="B165" s="1101">
        <f t="shared" si="31"/>
        <v>0</v>
      </c>
      <c r="C165" s="2149">
        <f t="shared" si="32"/>
        <v>0</v>
      </c>
      <c r="D165" s="2150">
        <f t="shared" si="36"/>
        <v>0</v>
      </c>
      <c r="E165" s="2145">
        <f t="shared" si="37"/>
        <v>0</v>
      </c>
      <c r="F165" s="2145">
        <f t="shared" si="33"/>
        <v>0</v>
      </c>
      <c r="G165" s="2145">
        <f t="shared" si="38"/>
        <v>0</v>
      </c>
      <c r="H165" s="2145">
        <f>IF(K164&lt;0.01,0,IF(Adm!$S$4=Adm!$S$8,0,K164*Adm!$V$4))</f>
        <v>0</v>
      </c>
      <c r="I165" s="2145">
        <f>IF(K164&lt;0.01,0,IF($I$16&lt;&gt;"",Adm!$Q$6*1.16,0))</f>
        <v>0</v>
      </c>
      <c r="J165" s="2145">
        <f t="shared" si="34"/>
        <v>0</v>
      </c>
      <c r="K165" s="2145">
        <f t="shared" si="35"/>
        <v>0</v>
      </c>
      <c r="L165" s="2146"/>
      <c r="W165" s="1352">
        <f t="shared" si="39"/>
        <v>4</v>
      </c>
      <c r="X165" s="1367">
        <f>IF(W165=1,Adm!$AP$3,0)</f>
        <v>0</v>
      </c>
      <c r="Z165" s="1153"/>
      <c r="AC165" s="1375">
        <f t="shared" si="43"/>
        <v>0</v>
      </c>
      <c r="AD165" s="1373">
        <f t="shared" si="40"/>
        <v>0</v>
      </c>
      <c r="AE165" s="1373">
        <f t="shared" si="44"/>
        <v>0</v>
      </c>
      <c r="AF165" s="1373">
        <f t="shared" si="42"/>
        <v>0</v>
      </c>
      <c r="AG165" s="1371">
        <f t="shared" si="41"/>
        <v>0</v>
      </c>
      <c r="AH165" s="1359" t="e">
        <f>HLOOKUP($AH$13,Sustitución,149,0)</f>
        <v>#N/A</v>
      </c>
      <c r="AJ165" s="1360">
        <f>Captura!AI235</f>
        <v>0</v>
      </c>
    </row>
    <row r="166" spans="1:36">
      <c r="A166" s="1118">
        <f t="shared" ca="1" si="30"/>
        <v>8</v>
      </c>
      <c r="B166" s="1101">
        <f t="shared" si="31"/>
        <v>0</v>
      </c>
      <c r="C166" s="2149">
        <f t="shared" si="32"/>
        <v>0</v>
      </c>
      <c r="D166" s="2150">
        <f t="shared" si="36"/>
        <v>0</v>
      </c>
      <c r="E166" s="2145">
        <f t="shared" si="37"/>
        <v>0</v>
      </c>
      <c r="F166" s="2145">
        <f t="shared" si="33"/>
        <v>0</v>
      </c>
      <c r="G166" s="2145">
        <f t="shared" si="38"/>
        <v>0</v>
      </c>
      <c r="H166" s="2145">
        <f>IF(K165&lt;0.01,0,IF(Adm!$S$4=Adm!$S$8,0,K165*Adm!$V$4))</f>
        <v>0</v>
      </c>
      <c r="I166" s="2145">
        <f>IF(K165&lt;0.01,0,IF($I$16&lt;&gt;"",Adm!$Q$6*1.16,0))</f>
        <v>0</v>
      </c>
      <c r="J166" s="2145">
        <f t="shared" si="34"/>
        <v>0</v>
      </c>
      <c r="K166" s="2145">
        <f t="shared" si="35"/>
        <v>0</v>
      </c>
      <c r="L166" s="2146"/>
      <c r="W166" s="1352">
        <f t="shared" si="39"/>
        <v>5</v>
      </c>
      <c r="X166" s="1367">
        <f>IF(W166=1,Adm!$AP$3,0)</f>
        <v>0</v>
      </c>
      <c r="Z166" s="1153"/>
      <c r="AC166" s="1375">
        <f t="shared" si="43"/>
        <v>0</v>
      </c>
      <c r="AD166" s="1373">
        <f t="shared" si="40"/>
        <v>0</v>
      </c>
      <c r="AE166" s="1373">
        <f t="shared" si="44"/>
        <v>0</v>
      </c>
      <c r="AF166" s="1373">
        <f t="shared" si="42"/>
        <v>0</v>
      </c>
      <c r="AG166" s="1371">
        <f t="shared" si="41"/>
        <v>0</v>
      </c>
      <c r="AH166" s="1359" t="e">
        <f>HLOOKUP($AH$13,Sustitución,150,0)</f>
        <v>#N/A</v>
      </c>
      <c r="AJ166" s="1360">
        <f>Captura!AI236</f>
        <v>0</v>
      </c>
    </row>
    <row r="167" spans="1:36">
      <c r="A167" s="1118">
        <f t="shared" ca="1" si="30"/>
        <v>9</v>
      </c>
      <c r="B167" s="1101">
        <f t="shared" si="31"/>
        <v>0</v>
      </c>
      <c r="C167" s="2149">
        <f t="shared" si="32"/>
        <v>0</v>
      </c>
      <c r="D167" s="2150">
        <f t="shared" si="36"/>
        <v>0</v>
      </c>
      <c r="E167" s="2145">
        <f t="shared" si="37"/>
        <v>0</v>
      </c>
      <c r="F167" s="2145">
        <f t="shared" si="33"/>
        <v>0</v>
      </c>
      <c r="G167" s="2145">
        <f t="shared" si="38"/>
        <v>0</v>
      </c>
      <c r="H167" s="2145">
        <f>IF(K166&lt;0.01,0,IF(Adm!$S$4=Adm!$S$8,0,K166*Adm!$V$4))</f>
        <v>0</v>
      </c>
      <c r="I167" s="2145">
        <f>IF(K166&lt;0.01,0,IF($I$16&lt;&gt;"",Adm!$Q$6*1.16,0))</f>
        <v>0</v>
      </c>
      <c r="J167" s="2145">
        <f t="shared" si="34"/>
        <v>0</v>
      </c>
      <c r="K167" s="2145">
        <f t="shared" si="35"/>
        <v>0</v>
      </c>
      <c r="L167" s="2146"/>
      <c r="W167" s="1352">
        <f t="shared" si="39"/>
        <v>6</v>
      </c>
      <c r="X167" s="1367">
        <f>IF(W167=1,Adm!$AP$3,0)</f>
        <v>0</v>
      </c>
      <c r="Z167" s="1153"/>
      <c r="AC167" s="1375">
        <f t="shared" si="43"/>
        <v>0</v>
      </c>
      <c r="AD167" s="1373">
        <f t="shared" si="40"/>
        <v>0</v>
      </c>
      <c r="AE167" s="1373">
        <f t="shared" si="44"/>
        <v>0</v>
      </c>
      <c r="AF167" s="1373">
        <f t="shared" si="42"/>
        <v>0</v>
      </c>
      <c r="AG167" s="1371">
        <f t="shared" si="41"/>
        <v>0</v>
      </c>
      <c r="AH167" s="1359" t="e">
        <f>HLOOKUP($AH$13,Sustitución,151,0)</f>
        <v>#N/A</v>
      </c>
      <c r="AJ167" s="1360">
        <f>Captura!AI237</f>
        <v>0</v>
      </c>
    </row>
    <row r="168" spans="1:36">
      <c r="A168" s="1118">
        <f t="shared" ca="1" si="30"/>
        <v>10</v>
      </c>
      <c r="B168" s="1101">
        <f t="shared" si="31"/>
        <v>0</v>
      </c>
      <c r="C168" s="2149">
        <f t="shared" si="32"/>
        <v>0</v>
      </c>
      <c r="D168" s="2150">
        <f t="shared" si="36"/>
        <v>0</v>
      </c>
      <c r="E168" s="2145">
        <f t="shared" si="37"/>
        <v>0</v>
      </c>
      <c r="F168" s="2145">
        <f t="shared" si="33"/>
        <v>0</v>
      </c>
      <c r="G168" s="2145">
        <f t="shared" si="38"/>
        <v>0</v>
      </c>
      <c r="H168" s="2145">
        <f>IF(K167&lt;0.01,0,IF(Adm!$S$4=Adm!$S$8,0,K167*Adm!$V$4))</f>
        <v>0</v>
      </c>
      <c r="I168" s="2145">
        <f>IF(K167&lt;0.01,0,IF($I$16&lt;&gt;"",Adm!$Q$6*1.16,0))</f>
        <v>0</v>
      </c>
      <c r="J168" s="2145">
        <f t="shared" si="34"/>
        <v>0</v>
      </c>
      <c r="K168" s="2145">
        <f t="shared" si="35"/>
        <v>0</v>
      </c>
      <c r="L168" s="2146"/>
      <c r="W168" s="1352">
        <f t="shared" si="39"/>
        <v>7</v>
      </c>
      <c r="X168" s="1367">
        <f>IF(W168=1,Adm!$AP$3,0)</f>
        <v>0</v>
      </c>
      <c r="Z168" s="1153"/>
      <c r="AC168" s="1375">
        <f t="shared" si="43"/>
        <v>0</v>
      </c>
      <c r="AD168" s="1373">
        <f t="shared" si="40"/>
        <v>0</v>
      </c>
      <c r="AE168" s="1373">
        <f t="shared" si="44"/>
        <v>0</v>
      </c>
      <c r="AF168" s="1373">
        <f t="shared" si="42"/>
        <v>0</v>
      </c>
      <c r="AG168" s="1371">
        <f t="shared" si="41"/>
        <v>0</v>
      </c>
      <c r="AH168" s="1359" t="e">
        <f>HLOOKUP($AH$13,Sustitución,152,0)</f>
        <v>#N/A</v>
      </c>
      <c r="AJ168" s="1360">
        <f>Captura!AI238</f>
        <v>0</v>
      </c>
    </row>
    <row r="169" spans="1:36">
      <c r="A169" s="1118">
        <f t="shared" ca="1" si="30"/>
        <v>11</v>
      </c>
      <c r="B169" s="1101">
        <f t="shared" si="31"/>
        <v>0</v>
      </c>
      <c r="C169" s="2149">
        <f t="shared" si="32"/>
        <v>0</v>
      </c>
      <c r="D169" s="2150">
        <f t="shared" si="36"/>
        <v>0</v>
      </c>
      <c r="E169" s="2145">
        <f t="shared" si="37"/>
        <v>0</v>
      </c>
      <c r="F169" s="2145">
        <f t="shared" si="33"/>
        <v>0</v>
      </c>
      <c r="G169" s="2145">
        <f t="shared" si="38"/>
        <v>0</v>
      </c>
      <c r="H169" s="2145">
        <f>IF(K168&lt;0.01,0,IF(Adm!$S$4=Adm!$S$8,0,K168*Adm!$V$4))</f>
        <v>0</v>
      </c>
      <c r="I169" s="2145">
        <f>IF(K168&lt;0.01,0,IF($I$16&lt;&gt;"",Adm!$Q$6*1.16,0))</f>
        <v>0</v>
      </c>
      <c r="J169" s="2145">
        <f t="shared" si="34"/>
        <v>0</v>
      </c>
      <c r="K169" s="2145">
        <f t="shared" si="35"/>
        <v>0</v>
      </c>
      <c r="L169" s="2146"/>
      <c r="W169" s="1352">
        <f t="shared" si="39"/>
        <v>8</v>
      </c>
      <c r="X169" s="1367">
        <f>IF(W169=1,Adm!$AP$3,0)</f>
        <v>0</v>
      </c>
      <c r="Z169" s="1153"/>
      <c r="AC169" s="1375">
        <f t="shared" si="43"/>
        <v>0</v>
      </c>
      <c r="AD169" s="1373">
        <f t="shared" si="40"/>
        <v>0</v>
      </c>
      <c r="AE169" s="1373">
        <f t="shared" si="44"/>
        <v>0</v>
      </c>
      <c r="AF169" s="1373">
        <f t="shared" si="42"/>
        <v>0</v>
      </c>
      <c r="AG169" s="1371">
        <f t="shared" si="41"/>
        <v>0</v>
      </c>
      <c r="AH169" s="1359" t="e">
        <f>HLOOKUP($AH$13,Sustitución,153,0)</f>
        <v>#N/A</v>
      </c>
      <c r="AJ169" s="1360">
        <f>Captura!AI239</f>
        <v>0</v>
      </c>
    </row>
    <row r="170" spans="1:36">
      <c r="A170" s="1118">
        <f t="shared" ca="1" si="30"/>
        <v>12</v>
      </c>
      <c r="B170" s="1101">
        <f t="shared" si="31"/>
        <v>0</v>
      </c>
      <c r="C170" s="2149">
        <f t="shared" si="32"/>
        <v>0</v>
      </c>
      <c r="D170" s="2150">
        <f t="shared" si="36"/>
        <v>0</v>
      </c>
      <c r="E170" s="2145">
        <f t="shared" si="37"/>
        <v>0</v>
      </c>
      <c r="F170" s="2145">
        <f t="shared" si="33"/>
        <v>0</v>
      </c>
      <c r="G170" s="2145">
        <f t="shared" si="38"/>
        <v>0</v>
      </c>
      <c r="H170" s="2145">
        <f>IF(K169&lt;0.01,0,IF(Adm!$S$4=Adm!$S$8,0,K169*Adm!$V$4))</f>
        <v>0</v>
      </c>
      <c r="I170" s="2145">
        <f>IF(K169&lt;0.01,0,IF($I$16&lt;&gt;"",Adm!$Q$6*1.16,0))</f>
        <v>0</v>
      </c>
      <c r="J170" s="2145">
        <f t="shared" si="34"/>
        <v>0</v>
      </c>
      <c r="K170" s="2145">
        <f t="shared" si="35"/>
        <v>0</v>
      </c>
      <c r="L170" s="2146"/>
      <c r="W170" s="1352">
        <f t="shared" si="39"/>
        <v>9</v>
      </c>
      <c r="X170" s="1367">
        <f>IF(W170=1,Adm!$AP$3,0)</f>
        <v>0</v>
      </c>
      <c r="Z170" s="1153"/>
      <c r="AC170" s="1375">
        <f t="shared" si="43"/>
        <v>0</v>
      </c>
      <c r="AD170" s="1373">
        <f t="shared" si="40"/>
        <v>0</v>
      </c>
      <c r="AE170" s="1373">
        <f t="shared" si="44"/>
        <v>0</v>
      </c>
      <c r="AF170" s="1373">
        <f t="shared" si="42"/>
        <v>0</v>
      </c>
      <c r="AG170" s="1371">
        <f t="shared" si="41"/>
        <v>0</v>
      </c>
      <c r="AH170" s="1359" t="e">
        <f>HLOOKUP($AH$13,Sustitución,154,0)</f>
        <v>#N/A</v>
      </c>
      <c r="AJ170" s="1360">
        <f>Captura!AI240</f>
        <v>0</v>
      </c>
    </row>
    <row r="171" spans="1:36">
      <c r="A171" s="1118">
        <f t="shared" ca="1" si="30"/>
        <v>1</v>
      </c>
      <c r="B171" s="1101">
        <f t="shared" si="31"/>
        <v>0</v>
      </c>
      <c r="C171" s="2149">
        <f t="shared" si="32"/>
        <v>0</v>
      </c>
      <c r="D171" s="2150">
        <f t="shared" si="36"/>
        <v>0</v>
      </c>
      <c r="E171" s="2145">
        <f t="shared" si="37"/>
        <v>0</v>
      </c>
      <c r="F171" s="2145">
        <f t="shared" si="33"/>
        <v>0</v>
      </c>
      <c r="G171" s="2145">
        <f t="shared" si="38"/>
        <v>0</v>
      </c>
      <c r="H171" s="2145">
        <f>IF(K170&lt;0.01,0,IF(Adm!$S$4=Adm!$S$8,0,K170*Adm!$V$4))</f>
        <v>0</v>
      </c>
      <c r="I171" s="2145">
        <f>IF(K170&lt;0.01,0,IF($I$16&lt;&gt;"",Adm!$Q$6*1.16,0))</f>
        <v>0</v>
      </c>
      <c r="J171" s="2145">
        <f t="shared" si="34"/>
        <v>0</v>
      </c>
      <c r="K171" s="2145">
        <f t="shared" si="35"/>
        <v>0</v>
      </c>
      <c r="L171" s="2146"/>
      <c r="W171" s="1352">
        <f t="shared" si="39"/>
        <v>10</v>
      </c>
      <c r="X171" s="1367">
        <f>IF(W171=1,Adm!$AP$3,0)</f>
        <v>0</v>
      </c>
      <c r="Z171" s="1153"/>
      <c r="AC171" s="1375">
        <f t="shared" si="43"/>
        <v>0</v>
      </c>
      <c r="AD171" s="1373">
        <f t="shared" si="40"/>
        <v>0</v>
      </c>
      <c r="AE171" s="1373">
        <f t="shared" si="44"/>
        <v>0</v>
      </c>
      <c r="AF171" s="1373">
        <f t="shared" si="42"/>
        <v>0</v>
      </c>
      <c r="AG171" s="1371">
        <f t="shared" si="41"/>
        <v>0</v>
      </c>
      <c r="AH171" s="1359" t="e">
        <f>HLOOKUP($AH$13,Sustitución,155,0)</f>
        <v>#N/A</v>
      </c>
      <c r="AJ171" s="1360">
        <f>Captura!AI241</f>
        <v>0</v>
      </c>
    </row>
    <row r="172" spans="1:36">
      <c r="A172" s="1118">
        <f t="shared" ca="1" si="30"/>
        <v>2</v>
      </c>
      <c r="B172" s="1101">
        <f t="shared" si="31"/>
        <v>0</v>
      </c>
      <c r="C172" s="2149">
        <f t="shared" si="32"/>
        <v>0</v>
      </c>
      <c r="D172" s="2150">
        <f t="shared" si="36"/>
        <v>0</v>
      </c>
      <c r="E172" s="2145">
        <f t="shared" si="37"/>
        <v>0</v>
      </c>
      <c r="F172" s="2145">
        <f t="shared" si="33"/>
        <v>0</v>
      </c>
      <c r="G172" s="2145">
        <f t="shared" si="38"/>
        <v>0</v>
      </c>
      <c r="H172" s="2145">
        <f>IF(K171&lt;0.01,0,IF(Adm!$S$4=Adm!$S$8,0,K171*Adm!$V$4))</f>
        <v>0</v>
      </c>
      <c r="I172" s="2145">
        <f>IF(K171&lt;0.01,0,IF($I$16&lt;&gt;"",Adm!$Q$6*1.16,0))</f>
        <v>0</v>
      </c>
      <c r="J172" s="2145">
        <f t="shared" si="34"/>
        <v>0</v>
      </c>
      <c r="K172" s="2145">
        <f t="shared" si="35"/>
        <v>0</v>
      </c>
      <c r="L172" s="2146"/>
      <c r="W172" s="1352">
        <f t="shared" si="39"/>
        <v>11</v>
      </c>
      <c r="X172" s="1367">
        <f>IF(W172=1,Adm!$AP$3,0)</f>
        <v>0</v>
      </c>
      <c r="Z172" s="1153"/>
      <c r="AC172" s="1375">
        <f t="shared" si="43"/>
        <v>0</v>
      </c>
      <c r="AD172" s="1373">
        <f t="shared" si="40"/>
        <v>0</v>
      </c>
      <c r="AE172" s="1373">
        <f t="shared" si="44"/>
        <v>0</v>
      </c>
      <c r="AF172" s="1373">
        <f t="shared" si="42"/>
        <v>0</v>
      </c>
      <c r="AG172" s="1371">
        <f t="shared" si="41"/>
        <v>0</v>
      </c>
      <c r="AH172" s="1359" t="e">
        <f>HLOOKUP($AH$13,Sustitución,156,0)</f>
        <v>#N/A</v>
      </c>
      <c r="AJ172" s="1360">
        <f>Captura!AI242</f>
        <v>0</v>
      </c>
    </row>
    <row r="173" spans="1:36">
      <c r="A173" s="1118">
        <f t="shared" ca="1" si="30"/>
        <v>3</v>
      </c>
      <c r="B173" s="1101">
        <f t="shared" si="31"/>
        <v>0</v>
      </c>
      <c r="C173" s="2149">
        <f t="shared" si="32"/>
        <v>0</v>
      </c>
      <c r="D173" s="2150">
        <f t="shared" si="36"/>
        <v>0</v>
      </c>
      <c r="E173" s="2145">
        <f t="shared" si="37"/>
        <v>0</v>
      </c>
      <c r="F173" s="2145">
        <f t="shared" si="33"/>
        <v>0</v>
      </c>
      <c r="G173" s="2145">
        <f t="shared" si="38"/>
        <v>0</v>
      </c>
      <c r="H173" s="2145">
        <f>IF(K172&lt;0.01,0,IF(Adm!$S$4=Adm!$S$8,0,K172*Adm!$V$4))</f>
        <v>0</v>
      </c>
      <c r="I173" s="2145">
        <f>IF(K172&lt;0.01,0,IF($I$16&lt;&gt;"",Adm!$Q$6*1.16,0))</f>
        <v>0</v>
      </c>
      <c r="J173" s="2145">
        <f t="shared" si="34"/>
        <v>0</v>
      </c>
      <c r="K173" s="2145">
        <f t="shared" si="35"/>
        <v>0</v>
      </c>
      <c r="L173" s="2146"/>
      <c r="W173" s="1352">
        <f t="shared" si="39"/>
        <v>12</v>
      </c>
      <c r="X173" s="1367">
        <f>IF(W173=1,Adm!$AP$3,0)</f>
        <v>0</v>
      </c>
      <c r="Z173" s="1153"/>
      <c r="AC173" s="1375">
        <f t="shared" si="43"/>
        <v>0</v>
      </c>
      <c r="AD173" s="1373">
        <f t="shared" si="40"/>
        <v>0</v>
      </c>
      <c r="AE173" s="1373">
        <f t="shared" si="44"/>
        <v>0</v>
      </c>
      <c r="AF173" s="1373">
        <f t="shared" si="42"/>
        <v>0</v>
      </c>
      <c r="AG173" s="1371">
        <f t="shared" si="41"/>
        <v>0</v>
      </c>
      <c r="AH173" s="1359" t="e">
        <f>HLOOKUP($AH$13,Sustitución,157,0)</f>
        <v>#N/A</v>
      </c>
      <c r="AJ173" s="1360">
        <f>Captura!AI243</f>
        <v>0</v>
      </c>
    </row>
    <row r="174" spans="1:36">
      <c r="A174" s="1118">
        <f t="shared" ca="1" si="30"/>
        <v>4</v>
      </c>
      <c r="B174" s="1101">
        <f t="shared" si="31"/>
        <v>0</v>
      </c>
      <c r="C174" s="2149">
        <f t="shared" si="32"/>
        <v>0</v>
      </c>
      <c r="D174" s="2150">
        <f t="shared" si="36"/>
        <v>0</v>
      </c>
      <c r="E174" s="2145">
        <f t="shared" si="37"/>
        <v>0</v>
      </c>
      <c r="F174" s="2145">
        <f t="shared" si="33"/>
        <v>0</v>
      </c>
      <c r="G174" s="2145">
        <f t="shared" si="38"/>
        <v>0</v>
      </c>
      <c r="H174" s="2145">
        <f>IF(K173&lt;0.01,0,IF(Adm!$S$4=Adm!$S$8,0,K173*Adm!$V$4))</f>
        <v>0</v>
      </c>
      <c r="I174" s="2145">
        <f>IF(K173&lt;0.01,0,IF($I$16&lt;&gt;"",Adm!$Q$6*1.16,0))</f>
        <v>0</v>
      </c>
      <c r="J174" s="2145">
        <f t="shared" si="34"/>
        <v>0</v>
      </c>
      <c r="K174" s="2145">
        <f t="shared" si="35"/>
        <v>0</v>
      </c>
      <c r="L174" s="2146"/>
      <c r="W174" s="1352">
        <f t="shared" si="39"/>
        <v>1</v>
      </c>
      <c r="X174" s="1367">
        <f>IF(W174=1,Adm!$AP$3,0)</f>
        <v>0</v>
      </c>
      <c r="Z174" s="1153"/>
      <c r="AC174" s="1375">
        <f t="shared" si="43"/>
        <v>0</v>
      </c>
      <c r="AD174" s="1373">
        <f t="shared" si="40"/>
        <v>0</v>
      </c>
      <c r="AE174" s="1373">
        <f t="shared" si="44"/>
        <v>0</v>
      </c>
      <c r="AF174" s="1373">
        <f t="shared" si="42"/>
        <v>0</v>
      </c>
      <c r="AG174" s="1371">
        <f t="shared" si="41"/>
        <v>0</v>
      </c>
      <c r="AH174" s="1359" t="e">
        <f>HLOOKUP($AH$13,Sustitución,158,0)</f>
        <v>#N/A</v>
      </c>
      <c r="AJ174" s="1360">
        <f>Captura!AI244</f>
        <v>0</v>
      </c>
    </row>
    <row r="175" spans="1:36">
      <c r="A175" s="1118">
        <f t="shared" ca="1" si="30"/>
        <v>5</v>
      </c>
      <c r="B175" s="1101">
        <f t="shared" si="31"/>
        <v>0</v>
      </c>
      <c r="C175" s="2149">
        <f t="shared" si="32"/>
        <v>0</v>
      </c>
      <c r="D175" s="2150">
        <f t="shared" si="36"/>
        <v>0</v>
      </c>
      <c r="E175" s="2145">
        <f t="shared" si="37"/>
        <v>0</v>
      </c>
      <c r="F175" s="2145">
        <f t="shared" si="33"/>
        <v>0</v>
      </c>
      <c r="G175" s="2145">
        <f t="shared" si="38"/>
        <v>0</v>
      </c>
      <c r="H175" s="2145">
        <f>IF(K174&lt;0.01,0,IF(Adm!$S$4=Adm!$S$8,0,K174*Adm!$V$4))</f>
        <v>0</v>
      </c>
      <c r="I175" s="2145">
        <f>IF(K174&lt;0.01,0,IF($I$16&lt;&gt;"",Adm!$Q$6*1.16,0))</f>
        <v>0</v>
      </c>
      <c r="J175" s="2145">
        <f t="shared" si="34"/>
        <v>0</v>
      </c>
      <c r="K175" s="2145">
        <f t="shared" si="35"/>
        <v>0</v>
      </c>
      <c r="L175" s="2146"/>
      <c r="W175" s="1352">
        <f t="shared" si="39"/>
        <v>2</v>
      </c>
      <c r="X175" s="1367">
        <f>IF(W175=1,Adm!$AP$3,0)</f>
        <v>0</v>
      </c>
      <c r="Z175" s="1153"/>
      <c r="AC175" s="1375">
        <f t="shared" si="43"/>
        <v>0</v>
      </c>
      <c r="AD175" s="1373">
        <f t="shared" si="40"/>
        <v>0</v>
      </c>
      <c r="AE175" s="1373">
        <f t="shared" si="44"/>
        <v>0</v>
      </c>
      <c r="AF175" s="1373">
        <f t="shared" si="42"/>
        <v>0</v>
      </c>
      <c r="AG175" s="1371">
        <f t="shared" si="41"/>
        <v>0</v>
      </c>
      <c r="AH175" s="1359" t="e">
        <f>HLOOKUP($AH$13,Sustitución,159,0)</f>
        <v>#N/A</v>
      </c>
      <c r="AJ175" s="1360">
        <f>Captura!AI245</f>
        <v>0</v>
      </c>
    </row>
    <row r="176" spans="1:36">
      <c r="A176" s="1118">
        <f t="shared" ca="1" si="30"/>
        <v>6</v>
      </c>
      <c r="B176" s="1101">
        <f t="shared" si="31"/>
        <v>0</v>
      </c>
      <c r="C176" s="2149">
        <f t="shared" si="32"/>
        <v>0</v>
      </c>
      <c r="D176" s="2150">
        <f t="shared" si="36"/>
        <v>0</v>
      </c>
      <c r="E176" s="2145">
        <f t="shared" si="37"/>
        <v>0</v>
      </c>
      <c r="F176" s="2145">
        <f t="shared" si="33"/>
        <v>0</v>
      </c>
      <c r="G176" s="2145">
        <f t="shared" si="38"/>
        <v>0</v>
      </c>
      <c r="H176" s="2145">
        <f>IF(K175&lt;0.01,0,IF(Adm!$S$4=Adm!$S$8,0,K175*Adm!$V$4))</f>
        <v>0</v>
      </c>
      <c r="I176" s="2145">
        <f>IF(K175&lt;0.01,0,IF($I$16&lt;&gt;"",Adm!$Q$6*1.16,0))</f>
        <v>0</v>
      </c>
      <c r="J176" s="2145">
        <f t="shared" si="34"/>
        <v>0</v>
      </c>
      <c r="K176" s="2145">
        <f t="shared" si="35"/>
        <v>0</v>
      </c>
      <c r="L176" s="2146"/>
      <c r="W176" s="1352">
        <f t="shared" si="39"/>
        <v>3</v>
      </c>
      <c r="X176" s="1367">
        <f>IF(W176=1,Adm!$AP$3,0)</f>
        <v>0</v>
      </c>
      <c r="Z176" s="1153"/>
      <c r="AC176" s="1375">
        <f t="shared" si="43"/>
        <v>0</v>
      </c>
      <c r="AD176" s="1373">
        <f t="shared" si="40"/>
        <v>0</v>
      </c>
      <c r="AE176" s="1373">
        <f t="shared" si="44"/>
        <v>0</v>
      </c>
      <c r="AF176" s="1373">
        <f t="shared" si="42"/>
        <v>0</v>
      </c>
      <c r="AG176" s="1371">
        <f t="shared" si="41"/>
        <v>0</v>
      </c>
      <c r="AH176" s="1359" t="e">
        <f>HLOOKUP($AH$13,Sustitución,160,0)</f>
        <v>#N/A</v>
      </c>
      <c r="AJ176" s="1360">
        <f>Captura!AI246</f>
        <v>0</v>
      </c>
    </row>
    <row r="177" spans="1:36">
      <c r="A177" s="1118">
        <f t="shared" ca="1" si="30"/>
        <v>7</v>
      </c>
      <c r="B177" s="1101">
        <f t="shared" si="31"/>
        <v>0</v>
      </c>
      <c r="C177" s="2149">
        <f t="shared" si="32"/>
        <v>0</v>
      </c>
      <c r="D177" s="2150">
        <f t="shared" si="36"/>
        <v>0</v>
      </c>
      <c r="E177" s="2145">
        <f t="shared" si="37"/>
        <v>0</v>
      </c>
      <c r="F177" s="2145">
        <f t="shared" si="33"/>
        <v>0</v>
      </c>
      <c r="G177" s="2145">
        <f t="shared" si="38"/>
        <v>0</v>
      </c>
      <c r="H177" s="2145">
        <f>IF(K176&lt;0.01,0,IF(Adm!$S$4=Adm!$S$8,0,K176*Adm!$V$4))</f>
        <v>0</v>
      </c>
      <c r="I177" s="2145">
        <f>IF(K176&lt;0.01,0,IF($I$16&lt;&gt;"",Adm!$Q$6*1.16,0))</f>
        <v>0</v>
      </c>
      <c r="J177" s="2145">
        <f t="shared" si="34"/>
        <v>0</v>
      </c>
      <c r="K177" s="2145">
        <f t="shared" si="35"/>
        <v>0</v>
      </c>
      <c r="L177" s="2146"/>
      <c r="W177" s="1352">
        <f t="shared" si="39"/>
        <v>4</v>
      </c>
      <c r="X177" s="1367">
        <f>IF(W177=1,Adm!$AP$3,0)</f>
        <v>0</v>
      </c>
      <c r="Z177" s="1153"/>
      <c r="AC177" s="1375">
        <f t="shared" si="43"/>
        <v>0</v>
      </c>
      <c r="AD177" s="1373">
        <f t="shared" si="40"/>
        <v>0</v>
      </c>
      <c r="AE177" s="1373">
        <f t="shared" si="44"/>
        <v>0</v>
      </c>
      <c r="AF177" s="1373">
        <f t="shared" si="42"/>
        <v>0</v>
      </c>
      <c r="AG177" s="1371">
        <f t="shared" si="41"/>
        <v>0</v>
      </c>
      <c r="AH177" s="1359" t="e">
        <f>HLOOKUP($AH$13,Sustitución,161,0)</f>
        <v>#N/A</v>
      </c>
      <c r="AJ177" s="1360">
        <f>Captura!AI247</f>
        <v>0</v>
      </c>
    </row>
    <row r="178" spans="1:36">
      <c r="A178" s="1118">
        <f t="shared" ca="1" si="30"/>
        <v>8</v>
      </c>
      <c r="B178" s="1101">
        <f t="shared" si="31"/>
        <v>0</v>
      </c>
      <c r="C178" s="2149">
        <f t="shared" si="32"/>
        <v>0</v>
      </c>
      <c r="D178" s="2150">
        <f t="shared" si="36"/>
        <v>0</v>
      </c>
      <c r="E178" s="2145">
        <f t="shared" si="37"/>
        <v>0</v>
      </c>
      <c r="F178" s="2145">
        <f t="shared" si="33"/>
        <v>0</v>
      </c>
      <c r="G178" s="2145">
        <f t="shared" si="38"/>
        <v>0</v>
      </c>
      <c r="H178" s="2145">
        <f>IF(K177&lt;0.01,0,IF(Adm!$S$4=Adm!$S$8,0,K177*Adm!$V$4))</f>
        <v>0</v>
      </c>
      <c r="I178" s="2145">
        <f>IF(K177&lt;0.01,0,IF($I$16&lt;&gt;"",Adm!$Q$6*1.16,0))</f>
        <v>0</v>
      </c>
      <c r="J178" s="2145">
        <f t="shared" si="34"/>
        <v>0</v>
      </c>
      <c r="K178" s="2145">
        <f t="shared" si="35"/>
        <v>0</v>
      </c>
      <c r="L178" s="2146"/>
      <c r="W178" s="1352">
        <f t="shared" si="39"/>
        <v>5</v>
      </c>
      <c r="X178" s="1367">
        <f>IF(W178=1,Adm!$AP$3,0)</f>
        <v>0</v>
      </c>
      <c r="Z178" s="1153"/>
      <c r="AC178" s="1375">
        <f t="shared" si="43"/>
        <v>0</v>
      </c>
      <c r="AD178" s="1373">
        <f t="shared" si="40"/>
        <v>0</v>
      </c>
      <c r="AE178" s="1373">
        <f t="shared" si="44"/>
        <v>0</v>
      </c>
      <c r="AF178" s="1373">
        <f t="shared" si="42"/>
        <v>0</v>
      </c>
      <c r="AG178" s="1371">
        <f t="shared" si="41"/>
        <v>0</v>
      </c>
      <c r="AH178" s="1359" t="e">
        <f>HLOOKUP($AH$13,Sustitución,162,0)</f>
        <v>#N/A</v>
      </c>
      <c r="AJ178" s="1360">
        <f>Captura!AI248</f>
        <v>0</v>
      </c>
    </row>
    <row r="179" spans="1:36">
      <c r="A179" s="1118">
        <f t="shared" ca="1" si="30"/>
        <v>9</v>
      </c>
      <c r="B179" s="1101">
        <f t="shared" si="31"/>
        <v>0</v>
      </c>
      <c r="C179" s="2149">
        <f t="shared" si="32"/>
        <v>0</v>
      </c>
      <c r="D179" s="2150">
        <f t="shared" si="36"/>
        <v>0</v>
      </c>
      <c r="E179" s="2145">
        <f t="shared" si="37"/>
        <v>0</v>
      </c>
      <c r="F179" s="2145">
        <f t="shared" si="33"/>
        <v>0</v>
      </c>
      <c r="G179" s="2145">
        <f t="shared" si="38"/>
        <v>0</v>
      </c>
      <c r="H179" s="2145">
        <f>IF(K178&lt;0.01,0,IF(Adm!$S$4=Adm!$S$8,0,K178*Adm!$V$4))</f>
        <v>0</v>
      </c>
      <c r="I179" s="2145">
        <f>IF(K178&lt;0.01,0,IF($I$16&lt;&gt;"",Adm!$Q$6*1.16,0))</f>
        <v>0</v>
      </c>
      <c r="J179" s="2145">
        <f t="shared" si="34"/>
        <v>0</v>
      </c>
      <c r="K179" s="2145">
        <f t="shared" si="35"/>
        <v>0</v>
      </c>
      <c r="L179" s="2146"/>
      <c r="W179" s="1352">
        <f t="shared" si="39"/>
        <v>6</v>
      </c>
      <c r="X179" s="1367">
        <f>IF(W179=1,Adm!$AP$3,0)</f>
        <v>0</v>
      </c>
      <c r="Z179" s="1153"/>
      <c r="AC179" s="1375">
        <f t="shared" si="43"/>
        <v>0</v>
      </c>
      <c r="AD179" s="1373">
        <f t="shared" si="40"/>
        <v>0</v>
      </c>
      <c r="AE179" s="1373">
        <f t="shared" si="44"/>
        <v>0</v>
      </c>
      <c r="AF179" s="1373">
        <f t="shared" si="42"/>
        <v>0</v>
      </c>
      <c r="AG179" s="1371">
        <f t="shared" si="41"/>
        <v>0</v>
      </c>
      <c r="AH179" s="1359" t="e">
        <f>HLOOKUP($AH$13,Sustitución,163,0)</f>
        <v>#N/A</v>
      </c>
      <c r="AJ179" s="1360">
        <f>Captura!AI249</f>
        <v>0</v>
      </c>
    </row>
    <row r="180" spans="1:36">
      <c r="A180" s="1118">
        <f t="shared" ca="1" si="30"/>
        <v>10</v>
      </c>
      <c r="B180" s="1101">
        <f t="shared" si="31"/>
        <v>0</v>
      </c>
      <c r="C180" s="2149">
        <f t="shared" si="32"/>
        <v>0</v>
      </c>
      <c r="D180" s="2150">
        <f t="shared" si="36"/>
        <v>0</v>
      </c>
      <c r="E180" s="2145">
        <f t="shared" si="37"/>
        <v>0</v>
      </c>
      <c r="F180" s="2145">
        <f t="shared" si="33"/>
        <v>0</v>
      </c>
      <c r="G180" s="2145">
        <f t="shared" si="38"/>
        <v>0</v>
      </c>
      <c r="H180" s="2145">
        <f>IF(K179&lt;0.01,0,IF(Adm!$S$4=Adm!$S$8,0,K179*Adm!$V$4))</f>
        <v>0</v>
      </c>
      <c r="I180" s="2145">
        <f>IF(K179&lt;0.01,0,IF($I$16&lt;&gt;"",Adm!$Q$6*1.16,0))</f>
        <v>0</v>
      </c>
      <c r="J180" s="2145">
        <f t="shared" si="34"/>
        <v>0</v>
      </c>
      <c r="K180" s="2145">
        <f t="shared" si="35"/>
        <v>0</v>
      </c>
      <c r="L180" s="2146"/>
      <c r="W180" s="1352">
        <f t="shared" si="39"/>
        <v>7</v>
      </c>
      <c r="X180" s="1367">
        <f>IF(W180=1,Adm!$AP$3,0)</f>
        <v>0</v>
      </c>
      <c r="Z180" s="1153"/>
      <c r="AC180" s="1375">
        <f t="shared" si="43"/>
        <v>0</v>
      </c>
      <c r="AD180" s="1373">
        <f t="shared" si="40"/>
        <v>0</v>
      </c>
      <c r="AE180" s="1373">
        <f t="shared" si="44"/>
        <v>0</v>
      </c>
      <c r="AF180" s="1373">
        <f t="shared" si="42"/>
        <v>0</v>
      </c>
      <c r="AG180" s="1371">
        <f t="shared" si="41"/>
        <v>0</v>
      </c>
      <c r="AH180" s="1359" t="e">
        <f>HLOOKUP($AH$13,Sustitución,164,0)</f>
        <v>#N/A</v>
      </c>
      <c r="AJ180" s="1360">
        <f>Captura!AI250</f>
        <v>0</v>
      </c>
    </row>
    <row r="181" spans="1:36">
      <c r="A181" s="1118">
        <f t="shared" ca="1" si="30"/>
        <v>11</v>
      </c>
      <c r="B181" s="1101">
        <f t="shared" si="31"/>
        <v>0</v>
      </c>
      <c r="C181" s="2149">
        <f t="shared" si="32"/>
        <v>0</v>
      </c>
      <c r="D181" s="2150">
        <f t="shared" si="36"/>
        <v>0</v>
      </c>
      <c r="E181" s="2145">
        <f t="shared" si="37"/>
        <v>0</v>
      </c>
      <c r="F181" s="2145">
        <f t="shared" si="33"/>
        <v>0</v>
      </c>
      <c r="G181" s="2145">
        <f t="shared" si="38"/>
        <v>0</v>
      </c>
      <c r="H181" s="2145">
        <f>IF(K180&lt;0.01,0,IF(Adm!$S$4=Adm!$S$8,0,K180*Adm!$V$4))</f>
        <v>0</v>
      </c>
      <c r="I181" s="2145">
        <f>IF(K180&lt;0.01,0,IF($I$16&lt;&gt;"",Adm!$Q$6*1.16,0))</f>
        <v>0</v>
      </c>
      <c r="J181" s="2145">
        <f t="shared" si="34"/>
        <v>0</v>
      </c>
      <c r="K181" s="2145">
        <f t="shared" si="35"/>
        <v>0</v>
      </c>
      <c r="L181" s="2146"/>
      <c r="W181" s="1352">
        <f t="shared" si="39"/>
        <v>8</v>
      </c>
      <c r="X181" s="1367">
        <f>IF(W181=1,Adm!$AP$3,0)</f>
        <v>0</v>
      </c>
      <c r="Z181" s="1153"/>
      <c r="AC181" s="1375">
        <f t="shared" si="43"/>
        <v>0</v>
      </c>
      <c r="AD181" s="1373">
        <f t="shared" si="40"/>
        <v>0</v>
      </c>
      <c r="AE181" s="1373">
        <f t="shared" si="44"/>
        <v>0</v>
      </c>
      <c r="AF181" s="1373">
        <f t="shared" si="42"/>
        <v>0</v>
      </c>
      <c r="AG181" s="1371">
        <f t="shared" si="41"/>
        <v>0</v>
      </c>
      <c r="AH181" s="1359" t="e">
        <f>HLOOKUP($AH$13,Sustitución,165,0)</f>
        <v>#N/A</v>
      </c>
      <c r="AJ181" s="1360">
        <f>Captura!AI251</f>
        <v>0</v>
      </c>
    </row>
    <row r="182" spans="1:36">
      <c r="A182" s="1118">
        <f t="shared" ca="1" si="30"/>
        <v>12</v>
      </c>
      <c r="B182" s="1101">
        <f t="shared" si="31"/>
        <v>0</v>
      </c>
      <c r="C182" s="2149">
        <f t="shared" si="32"/>
        <v>0</v>
      </c>
      <c r="D182" s="2150">
        <f t="shared" si="36"/>
        <v>0</v>
      </c>
      <c r="E182" s="2145">
        <f t="shared" si="37"/>
        <v>0</v>
      </c>
      <c r="F182" s="2145">
        <f t="shared" si="33"/>
        <v>0</v>
      </c>
      <c r="G182" s="2145">
        <f t="shared" si="38"/>
        <v>0</v>
      </c>
      <c r="H182" s="2145">
        <f>IF(K181&lt;0.01,0,IF(Adm!$S$4=Adm!$S$8,0,K181*Adm!$V$4))</f>
        <v>0</v>
      </c>
      <c r="I182" s="2145">
        <f>IF(K181&lt;0.01,0,IF($I$16&lt;&gt;"",Adm!$Q$6*1.16,0))</f>
        <v>0</v>
      </c>
      <c r="J182" s="2145">
        <f t="shared" si="34"/>
        <v>0</v>
      </c>
      <c r="K182" s="2145">
        <f t="shared" si="35"/>
        <v>0</v>
      </c>
      <c r="L182" s="2146"/>
      <c r="W182" s="1352">
        <f t="shared" si="39"/>
        <v>9</v>
      </c>
      <c r="X182" s="1367">
        <f>IF(W182=1,Adm!$AP$3,0)</f>
        <v>0</v>
      </c>
      <c r="Z182" s="1153"/>
      <c r="AC182" s="1375">
        <f t="shared" si="43"/>
        <v>0</v>
      </c>
      <c r="AD182" s="1373">
        <f t="shared" si="40"/>
        <v>0</v>
      </c>
      <c r="AE182" s="1373">
        <f t="shared" si="44"/>
        <v>0</v>
      </c>
      <c r="AF182" s="1373">
        <f t="shared" si="42"/>
        <v>0</v>
      </c>
      <c r="AG182" s="1371">
        <f t="shared" si="41"/>
        <v>0</v>
      </c>
      <c r="AH182" s="1359" t="e">
        <f>HLOOKUP($AH$13,Sustitución,166,0)</f>
        <v>#N/A</v>
      </c>
      <c r="AJ182" s="1360">
        <f>Captura!AI252</f>
        <v>0</v>
      </c>
    </row>
    <row r="183" spans="1:36">
      <c r="A183" s="1118">
        <f t="shared" ca="1" si="30"/>
        <v>1</v>
      </c>
      <c r="B183" s="1101">
        <f t="shared" si="31"/>
        <v>0</v>
      </c>
      <c r="C183" s="2149">
        <f t="shared" si="32"/>
        <v>0</v>
      </c>
      <c r="D183" s="2150">
        <f t="shared" si="36"/>
        <v>0</v>
      </c>
      <c r="E183" s="2145">
        <f t="shared" si="37"/>
        <v>0</v>
      </c>
      <c r="F183" s="2145">
        <f t="shared" si="33"/>
        <v>0</v>
      </c>
      <c r="G183" s="2145">
        <f t="shared" si="38"/>
        <v>0</v>
      </c>
      <c r="H183" s="2145">
        <f>IF(K182&lt;0.01,0,IF(Adm!$S$4=Adm!$S$8,0,K182*Adm!$V$4))</f>
        <v>0</v>
      </c>
      <c r="I183" s="2145">
        <f>IF(K182&lt;0.01,0,IF($I$16&lt;&gt;"",Adm!$Q$6*1.16,0))</f>
        <v>0</v>
      </c>
      <c r="J183" s="2145">
        <f t="shared" si="34"/>
        <v>0</v>
      </c>
      <c r="K183" s="2145">
        <f t="shared" si="35"/>
        <v>0</v>
      </c>
      <c r="L183" s="2146"/>
      <c r="W183" s="1352">
        <f t="shared" si="39"/>
        <v>10</v>
      </c>
      <c r="X183" s="1367">
        <f>IF(W183=1,Adm!$AP$3,0)</f>
        <v>0</v>
      </c>
      <c r="Z183" s="1153"/>
      <c r="AC183" s="1375">
        <f t="shared" si="43"/>
        <v>0</v>
      </c>
      <c r="AD183" s="1373">
        <f t="shared" si="40"/>
        <v>0</v>
      </c>
      <c r="AE183" s="1373">
        <f t="shared" si="44"/>
        <v>0</v>
      </c>
      <c r="AF183" s="1373">
        <f t="shared" si="42"/>
        <v>0</v>
      </c>
      <c r="AG183" s="1371">
        <f t="shared" si="41"/>
        <v>0</v>
      </c>
      <c r="AH183" s="1359" t="e">
        <f>HLOOKUP($AH$13,Sustitución,167,0)</f>
        <v>#N/A</v>
      </c>
      <c r="AJ183" s="1360">
        <f>Captura!AI253</f>
        <v>0</v>
      </c>
    </row>
    <row r="184" spans="1:36">
      <c r="A184" s="1118">
        <f t="shared" ca="1" si="30"/>
        <v>2</v>
      </c>
      <c r="B184" s="1101">
        <f t="shared" si="31"/>
        <v>0</v>
      </c>
      <c r="C184" s="2149">
        <f t="shared" si="32"/>
        <v>0</v>
      </c>
      <c r="D184" s="2150">
        <f t="shared" si="36"/>
        <v>0</v>
      </c>
      <c r="E184" s="2145">
        <f t="shared" si="37"/>
        <v>0</v>
      </c>
      <c r="F184" s="2145">
        <f t="shared" si="33"/>
        <v>0</v>
      </c>
      <c r="G184" s="2145">
        <f t="shared" si="38"/>
        <v>0</v>
      </c>
      <c r="H184" s="2145">
        <f>IF(K183&lt;0.01,0,IF(Adm!$S$4=Adm!$S$8,0,K183*Adm!$V$4))</f>
        <v>0</v>
      </c>
      <c r="I184" s="2145">
        <f>IF(K183&lt;0.01,0,IF($I$16&lt;&gt;"",Adm!$Q$6*1.16,0))</f>
        <v>0</v>
      </c>
      <c r="J184" s="2145">
        <f t="shared" si="34"/>
        <v>0</v>
      </c>
      <c r="K184" s="2145">
        <f t="shared" si="35"/>
        <v>0</v>
      </c>
      <c r="L184" s="2146"/>
      <c r="W184" s="1352">
        <f t="shared" si="39"/>
        <v>11</v>
      </c>
      <c r="X184" s="1367">
        <f>IF(W184=1,Adm!$AP$3,0)</f>
        <v>0</v>
      </c>
      <c r="Z184" s="1153"/>
      <c r="AC184" s="1375">
        <f t="shared" si="43"/>
        <v>0</v>
      </c>
      <c r="AD184" s="1373">
        <f t="shared" si="40"/>
        <v>0</v>
      </c>
      <c r="AE184" s="1373">
        <f t="shared" si="44"/>
        <v>0</v>
      </c>
      <c r="AF184" s="1373">
        <f t="shared" si="42"/>
        <v>0</v>
      </c>
      <c r="AG184" s="1371">
        <f t="shared" si="41"/>
        <v>0</v>
      </c>
      <c r="AH184" s="1359" t="e">
        <f>HLOOKUP($AH$13,Sustitución,168,0)</f>
        <v>#N/A</v>
      </c>
      <c r="AJ184" s="1360">
        <f>Captura!AI254</f>
        <v>0</v>
      </c>
    </row>
    <row r="185" spans="1:36">
      <c r="A185" s="1118">
        <f t="shared" ca="1" si="30"/>
        <v>3</v>
      </c>
      <c r="B185" s="1101">
        <f t="shared" si="31"/>
        <v>0</v>
      </c>
      <c r="C185" s="2149">
        <f t="shared" si="32"/>
        <v>0</v>
      </c>
      <c r="D185" s="2150">
        <f t="shared" si="36"/>
        <v>0</v>
      </c>
      <c r="E185" s="2145">
        <f t="shared" si="37"/>
        <v>0</v>
      </c>
      <c r="F185" s="2145">
        <f t="shared" si="33"/>
        <v>0</v>
      </c>
      <c r="G185" s="2145">
        <f t="shared" si="38"/>
        <v>0</v>
      </c>
      <c r="H185" s="2145">
        <f>IF(K184&lt;0.01,0,IF(Adm!$S$4=Adm!$S$8,0,K184*Adm!$V$4))</f>
        <v>0</v>
      </c>
      <c r="I185" s="2145">
        <f>IF(K184&lt;0.01,0,IF($I$16&lt;&gt;"",Adm!$Q$6*1.16,0))</f>
        <v>0</v>
      </c>
      <c r="J185" s="2145">
        <f t="shared" si="34"/>
        <v>0</v>
      </c>
      <c r="K185" s="2145">
        <f t="shared" si="35"/>
        <v>0</v>
      </c>
      <c r="L185" s="2146"/>
      <c r="W185" s="1352">
        <f t="shared" si="39"/>
        <v>12</v>
      </c>
      <c r="X185" s="1367">
        <f>IF(W185=1,Adm!$AP$3,0)</f>
        <v>0</v>
      </c>
      <c r="Z185" s="1153"/>
      <c r="AC185" s="1375">
        <f t="shared" si="43"/>
        <v>0</v>
      </c>
      <c r="AD185" s="1373">
        <f t="shared" si="40"/>
        <v>0</v>
      </c>
      <c r="AE185" s="1373">
        <f t="shared" si="44"/>
        <v>0</v>
      </c>
      <c r="AF185" s="1373">
        <f t="shared" si="42"/>
        <v>0</v>
      </c>
      <c r="AG185" s="1371">
        <f t="shared" si="41"/>
        <v>0</v>
      </c>
      <c r="AH185" s="1359" t="e">
        <f>HLOOKUP($AH$13,Sustitución,169,0)</f>
        <v>#N/A</v>
      </c>
      <c r="AJ185" s="1360">
        <f>Captura!AI255</f>
        <v>0</v>
      </c>
    </row>
    <row r="186" spans="1:36">
      <c r="A186" s="1118">
        <f t="shared" ca="1" si="30"/>
        <v>4</v>
      </c>
      <c r="B186" s="1101">
        <f t="shared" si="31"/>
        <v>0</v>
      </c>
      <c r="C186" s="2149">
        <f t="shared" si="32"/>
        <v>0</v>
      </c>
      <c r="D186" s="2150">
        <f t="shared" si="36"/>
        <v>0</v>
      </c>
      <c r="E186" s="2145">
        <f t="shared" si="37"/>
        <v>0</v>
      </c>
      <c r="F186" s="2145">
        <f t="shared" si="33"/>
        <v>0</v>
      </c>
      <c r="G186" s="2145">
        <f t="shared" si="38"/>
        <v>0</v>
      </c>
      <c r="H186" s="2145">
        <f>IF(K185&lt;0.01,0,IF(Adm!$S$4=Adm!$S$8,0,K185*Adm!$V$4))</f>
        <v>0</v>
      </c>
      <c r="I186" s="2145">
        <f>IF(K185&lt;0.01,0,IF($I$16&lt;&gt;"",Adm!$Q$6*1.16,0))</f>
        <v>0</v>
      </c>
      <c r="J186" s="2145">
        <f t="shared" si="34"/>
        <v>0</v>
      </c>
      <c r="K186" s="2145">
        <f t="shared" si="35"/>
        <v>0</v>
      </c>
      <c r="L186" s="2146"/>
      <c r="W186" s="1352">
        <f t="shared" si="39"/>
        <v>1</v>
      </c>
      <c r="X186" s="1367">
        <f>IF(W186=1,Adm!$AP$3,0)</f>
        <v>0</v>
      </c>
      <c r="Z186" s="1153"/>
      <c r="AC186" s="1375">
        <f t="shared" si="43"/>
        <v>0</v>
      </c>
      <c r="AD186" s="1373">
        <f t="shared" si="40"/>
        <v>0</v>
      </c>
      <c r="AE186" s="1373">
        <f t="shared" si="44"/>
        <v>0</v>
      </c>
      <c r="AF186" s="1373">
        <f t="shared" si="42"/>
        <v>0</v>
      </c>
      <c r="AG186" s="1371">
        <f t="shared" si="41"/>
        <v>0</v>
      </c>
      <c r="AH186" s="1359" t="e">
        <f>HLOOKUP($AH$13,Sustitución,170,0)</f>
        <v>#N/A</v>
      </c>
      <c r="AJ186" s="1360">
        <f>Captura!AI256</f>
        <v>0</v>
      </c>
    </row>
    <row r="187" spans="1:36">
      <c r="A187" s="1118">
        <f t="shared" ca="1" si="30"/>
        <v>5</v>
      </c>
      <c r="B187" s="1101">
        <f t="shared" si="31"/>
        <v>0</v>
      </c>
      <c r="C187" s="2149">
        <f t="shared" si="32"/>
        <v>0</v>
      </c>
      <c r="D187" s="2150">
        <f t="shared" si="36"/>
        <v>0</v>
      </c>
      <c r="E187" s="2145">
        <f t="shared" si="37"/>
        <v>0</v>
      </c>
      <c r="F187" s="2145">
        <f t="shared" si="33"/>
        <v>0</v>
      </c>
      <c r="G187" s="2145">
        <f t="shared" si="38"/>
        <v>0</v>
      </c>
      <c r="H187" s="2145">
        <f>IF(K186&lt;0.01,0,IF(Adm!$S$4=Adm!$S$8,0,K186*Adm!$V$4))</f>
        <v>0</v>
      </c>
      <c r="I187" s="2145">
        <f>IF(K186&lt;0.01,0,IF($I$16&lt;&gt;"",Adm!$Q$6*1.16,0))</f>
        <v>0</v>
      </c>
      <c r="J187" s="2145">
        <f t="shared" si="34"/>
        <v>0</v>
      </c>
      <c r="K187" s="2145">
        <f t="shared" si="35"/>
        <v>0</v>
      </c>
      <c r="L187" s="2146"/>
      <c r="W187" s="1352">
        <f t="shared" si="39"/>
        <v>2</v>
      </c>
      <c r="X187" s="1367">
        <f>IF(W187=1,Adm!$AP$3,0)</f>
        <v>0</v>
      </c>
      <c r="Z187" s="1153"/>
      <c r="AC187" s="1375">
        <f t="shared" si="43"/>
        <v>0</v>
      </c>
      <c r="AD187" s="1373">
        <f t="shared" si="40"/>
        <v>0</v>
      </c>
      <c r="AE187" s="1373">
        <f t="shared" si="44"/>
        <v>0</v>
      </c>
      <c r="AF187" s="1373">
        <f t="shared" si="42"/>
        <v>0</v>
      </c>
      <c r="AG187" s="1371">
        <f t="shared" si="41"/>
        <v>0</v>
      </c>
      <c r="AH187" s="1359" t="e">
        <f>HLOOKUP($AH$13,Sustitución,171,0)</f>
        <v>#N/A</v>
      </c>
      <c r="AJ187" s="1360">
        <f>Captura!AI257</f>
        <v>0</v>
      </c>
    </row>
    <row r="188" spans="1:36">
      <c r="A188" s="1118">
        <f t="shared" ca="1" si="30"/>
        <v>6</v>
      </c>
      <c r="B188" s="1101">
        <f t="shared" si="31"/>
        <v>0</v>
      </c>
      <c r="C188" s="2149">
        <f t="shared" si="32"/>
        <v>0</v>
      </c>
      <c r="D188" s="2150">
        <f t="shared" si="36"/>
        <v>0</v>
      </c>
      <c r="E188" s="2145">
        <f t="shared" si="37"/>
        <v>0</v>
      </c>
      <c r="F188" s="2145">
        <f t="shared" si="33"/>
        <v>0</v>
      </c>
      <c r="G188" s="2145">
        <f t="shared" si="38"/>
        <v>0</v>
      </c>
      <c r="H188" s="2145">
        <f>IF(K187&lt;0.01,0,IF(Adm!$S$4=Adm!$S$8,0,K187*Adm!$V$4))</f>
        <v>0</v>
      </c>
      <c r="I188" s="2145">
        <f>IF(K187&lt;0.01,0,IF($I$16&lt;&gt;"",Adm!$Q$6*1.16,0))</f>
        <v>0</v>
      </c>
      <c r="J188" s="2145">
        <f t="shared" si="34"/>
        <v>0</v>
      </c>
      <c r="K188" s="2145">
        <f t="shared" si="35"/>
        <v>0</v>
      </c>
      <c r="L188" s="2146"/>
      <c r="W188" s="1352">
        <f t="shared" si="39"/>
        <v>3</v>
      </c>
      <c r="X188" s="1367">
        <f>IF(W188=1,Adm!$AP$3,0)</f>
        <v>0</v>
      </c>
      <c r="Z188" s="1153"/>
      <c r="AC188" s="1375">
        <f t="shared" si="43"/>
        <v>0</v>
      </c>
      <c r="AD188" s="1373">
        <f t="shared" si="40"/>
        <v>0</v>
      </c>
      <c r="AE188" s="1373">
        <f t="shared" si="44"/>
        <v>0</v>
      </c>
      <c r="AF188" s="1373">
        <f t="shared" si="42"/>
        <v>0</v>
      </c>
      <c r="AG188" s="1371">
        <f t="shared" si="41"/>
        <v>0</v>
      </c>
      <c r="AH188" s="1359" t="e">
        <f>HLOOKUP($AH$13,Sustitución,172,0)</f>
        <v>#N/A</v>
      </c>
      <c r="AJ188" s="1360">
        <f>Captura!AI258</f>
        <v>0</v>
      </c>
    </row>
    <row r="189" spans="1:36">
      <c r="A189" s="1118">
        <f t="shared" ca="1" si="30"/>
        <v>7</v>
      </c>
      <c r="B189" s="1101">
        <f t="shared" si="31"/>
        <v>0</v>
      </c>
      <c r="C189" s="2149">
        <f t="shared" si="32"/>
        <v>0</v>
      </c>
      <c r="D189" s="2150">
        <f t="shared" si="36"/>
        <v>0</v>
      </c>
      <c r="E189" s="2145">
        <f t="shared" si="37"/>
        <v>0</v>
      </c>
      <c r="F189" s="2145">
        <f t="shared" si="33"/>
        <v>0</v>
      </c>
      <c r="G189" s="2145">
        <f t="shared" si="38"/>
        <v>0</v>
      </c>
      <c r="H189" s="2145">
        <f>IF(K188&lt;0.01,0,IF(Adm!$S$4=Adm!$S$8,0,K188*Adm!$V$4))</f>
        <v>0</v>
      </c>
      <c r="I189" s="2145">
        <f>IF(K188&lt;0.01,0,IF($I$16&lt;&gt;"",Adm!$Q$6*1.16,0))</f>
        <v>0</v>
      </c>
      <c r="J189" s="2145">
        <f t="shared" si="34"/>
        <v>0</v>
      </c>
      <c r="K189" s="2145">
        <f t="shared" si="35"/>
        <v>0</v>
      </c>
      <c r="L189" s="2146"/>
      <c r="W189" s="1352">
        <f t="shared" si="39"/>
        <v>4</v>
      </c>
      <c r="X189" s="1367">
        <f>IF(W189=1,Adm!$AP$3,0)</f>
        <v>0</v>
      </c>
      <c r="Z189" s="1153"/>
      <c r="AC189" s="1375">
        <f t="shared" si="43"/>
        <v>0</v>
      </c>
      <c r="AD189" s="1373">
        <f t="shared" si="40"/>
        <v>0</v>
      </c>
      <c r="AE189" s="1373">
        <f t="shared" si="44"/>
        <v>0</v>
      </c>
      <c r="AF189" s="1373">
        <f t="shared" si="42"/>
        <v>0</v>
      </c>
      <c r="AG189" s="1371">
        <f t="shared" si="41"/>
        <v>0</v>
      </c>
      <c r="AH189" s="1359" t="e">
        <f>HLOOKUP($AH$13,Sustitución,173,0)</f>
        <v>#N/A</v>
      </c>
      <c r="AJ189" s="1360">
        <f>Captura!AI259</f>
        <v>0</v>
      </c>
    </row>
    <row r="190" spans="1:36">
      <c r="A190" s="1118">
        <f t="shared" ca="1" si="30"/>
        <v>8</v>
      </c>
      <c r="B190" s="1101">
        <f t="shared" si="31"/>
        <v>0</v>
      </c>
      <c r="C190" s="2149">
        <f t="shared" si="32"/>
        <v>0</v>
      </c>
      <c r="D190" s="2150">
        <f t="shared" si="36"/>
        <v>0</v>
      </c>
      <c r="E190" s="2145">
        <f t="shared" si="37"/>
        <v>0</v>
      </c>
      <c r="F190" s="2145">
        <f t="shared" si="33"/>
        <v>0</v>
      </c>
      <c r="G190" s="2145">
        <f t="shared" si="38"/>
        <v>0</v>
      </c>
      <c r="H190" s="2145">
        <f>IF(K189&lt;0.01,0,IF(Adm!$S$4=Adm!$S$8,0,K189*Adm!$V$4))</f>
        <v>0</v>
      </c>
      <c r="I190" s="2145">
        <f>IF(K189&lt;0.01,0,IF($I$16&lt;&gt;"",Adm!$Q$6*1.16,0))</f>
        <v>0</v>
      </c>
      <c r="J190" s="2145">
        <f t="shared" si="34"/>
        <v>0</v>
      </c>
      <c r="K190" s="2145">
        <f t="shared" si="35"/>
        <v>0</v>
      </c>
      <c r="L190" s="2146"/>
      <c r="W190" s="1352">
        <f t="shared" si="39"/>
        <v>5</v>
      </c>
      <c r="X190" s="1367">
        <f>IF(W190=1,Adm!$AP$3,0)</f>
        <v>0</v>
      </c>
      <c r="Z190" s="1153"/>
      <c r="AC190" s="1375">
        <f t="shared" si="43"/>
        <v>0</v>
      </c>
      <c r="AD190" s="1373">
        <f t="shared" si="40"/>
        <v>0</v>
      </c>
      <c r="AE190" s="1373">
        <f t="shared" si="44"/>
        <v>0</v>
      </c>
      <c r="AF190" s="1373">
        <f t="shared" si="42"/>
        <v>0</v>
      </c>
      <c r="AG190" s="1371">
        <f t="shared" si="41"/>
        <v>0</v>
      </c>
      <c r="AH190" s="1359" t="e">
        <f>HLOOKUP($AH$13,Sustitución,174,0)</f>
        <v>#N/A</v>
      </c>
      <c r="AJ190" s="1360">
        <f>Captura!AI260</f>
        <v>0</v>
      </c>
    </row>
    <row r="191" spans="1:36">
      <c r="A191" s="1118">
        <f t="shared" ca="1" si="30"/>
        <v>9</v>
      </c>
      <c r="B191" s="1101">
        <f t="shared" si="31"/>
        <v>0</v>
      </c>
      <c r="C191" s="2149">
        <f t="shared" si="32"/>
        <v>0</v>
      </c>
      <c r="D191" s="2150">
        <f t="shared" si="36"/>
        <v>0</v>
      </c>
      <c r="E191" s="2145">
        <f t="shared" si="37"/>
        <v>0</v>
      </c>
      <c r="F191" s="2145">
        <f t="shared" si="33"/>
        <v>0</v>
      </c>
      <c r="G191" s="2145">
        <f t="shared" si="38"/>
        <v>0</v>
      </c>
      <c r="H191" s="2145">
        <f>IF(K190&lt;0.01,0,IF(Adm!$S$4=Adm!$S$8,0,K190*Adm!$V$4))</f>
        <v>0</v>
      </c>
      <c r="I191" s="2145">
        <f>IF(K190&lt;0.01,0,IF($I$16&lt;&gt;"",Adm!$Q$6*1.16,0))</f>
        <v>0</v>
      </c>
      <c r="J191" s="2145">
        <f t="shared" si="34"/>
        <v>0</v>
      </c>
      <c r="K191" s="2145">
        <f t="shared" si="35"/>
        <v>0</v>
      </c>
      <c r="L191" s="2146"/>
      <c r="W191" s="1352">
        <f t="shared" si="39"/>
        <v>6</v>
      </c>
      <c r="X191" s="1367">
        <f>IF(W191=1,Adm!$AP$3,0)</f>
        <v>0</v>
      </c>
      <c r="Z191" s="1153"/>
      <c r="AC191" s="1375">
        <f t="shared" si="43"/>
        <v>0</v>
      </c>
      <c r="AD191" s="1373">
        <f t="shared" si="40"/>
        <v>0</v>
      </c>
      <c r="AE191" s="1373">
        <f t="shared" si="44"/>
        <v>0</v>
      </c>
      <c r="AF191" s="1373">
        <f t="shared" si="42"/>
        <v>0</v>
      </c>
      <c r="AG191" s="1371">
        <f t="shared" si="41"/>
        <v>0</v>
      </c>
      <c r="AH191" s="1359" t="e">
        <f>HLOOKUP($AH$13,Sustitución,175,0)</f>
        <v>#N/A</v>
      </c>
      <c r="AJ191" s="1360">
        <f>Captura!AI261</f>
        <v>0</v>
      </c>
    </row>
    <row r="192" spans="1:36">
      <c r="A192" s="1118">
        <f t="shared" ca="1" si="30"/>
        <v>10</v>
      </c>
      <c r="B192" s="1101">
        <f t="shared" si="31"/>
        <v>0</v>
      </c>
      <c r="C192" s="2149">
        <f t="shared" si="32"/>
        <v>0</v>
      </c>
      <c r="D192" s="2150">
        <f t="shared" si="36"/>
        <v>0</v>
      </c>
      <c r="E192" s="2145">
        <f t="shared" si="37"/>
        <v>0</v>
      </c>
      <c r="F192" s="2145">
        <f t="shared" si="33"/>
        <v>0</v>
      </c>
      <c r="G192" s="2145">
        <f t="shared" si="38"/>
        <v>0</v>
      </c>
      <c r="H192" s="2145">
        <f>IF(K191&lt;0.01,0,IF(Adm!$S$4=Adm!$S$8,0,K191*Adm!$V$4))</f>
        <v>0</v>
      </c>
      <c r="I192" s="2145">
        <f>IF(K191&lt;0.01,0,IF($I$16&lt;&gt;"",Adm!$Q$6*1.16,0))</f>
        <v>0</v>
      </c>
      <c r="J192" s="2145">
        <f t="shared" si="34"/>
        <v>0</v>
      </c>
      <c r="K192" s="2145">
        <f t="shared" si="35"/>
        <v>0</v>
      </c>
      <c r="L192" s="2146"/>
      <c r="W192" s="1352">
        <f t="shared" si="39"/>
        <v>7</v>
      </c>
      <c r="X192" s="1367">
        <f>IF(W192=1,Adm!$AP$3,0)</f>
        <v>0</v>
      </c>
      <c r="Z192" s="1153"/>
      <c r="AC192" s="1375">
        <f t="shared" si="43"/>
        <v>0</v>
      </c>
      <c r="AD192" s="1373">
        <f t="shared" si="40"/>
        <v>0</v>
      </c>
      <c r="AE192" s="1373">
        <f t="shared" si="44"/>
        <v>0</v>
      </c>
      <c r="AF192" s="1373">
        <f t="shared" si="42"/>
        <v>0</v>
      </c>
      <c r="AG192" s="1371">
        <f t="shared" si="41"/>
        <v>0</v>
      </c>
      <c r="AH192" s="1359" t="e">
        <f>HLOOKUP($AH$13,Sustitución,176,0)</f>
        <v>#N/A</v>
      </c>
      <c r="AJ192" s="1360">
        <f>Captura!AI262</f>
        <v>0</v>
      </c>
    </row>
    <row r="193" spans="1:36">
      <c r="A193" s="1118">
        <f t="shared" ca="1" si="30"/>
        <v>11</v>
      </c>
      <c r="B193" s="1101">
        <f t="shared" si="31"/>
        <v>0</v>
      </c>
      <c r="C193" s="2149">
        <f t="shared" si="32"/>
        <v>0</v>
      </c>
      <c r="D193" s="2150">
        <f t="shared" si="36"/>
        <v>0</v>
      </c>
      <c r="E193" s="2145">
        <f t="shared" si="37"/>
        <v>0</v>
      </c>
      <c r="F193" s="2145">
        <f t="shared" si="33"/>
        <v>0</v>
      </c>
      <c r="G193" s="2145">
        <f t="shared" si="38"/>
        <v>0</v>
      </c>
      <c r="H193" s="2145">
        <f>IF(K192&lt;0.01,0,IF(Adm!$S$4=Adm!$S$8,0,K192*Adm!$V$4))</f>
        <v>0</v>
      </c>
      <c r="I193" s="2145">
        <f>IF(K192&lt;0.01,0,IF($I$16&lt;&gt;"",Adm!$Q$6*1.16,0))</f>
        <v>0</v>
      </c>
      <c r="J193" s="2145">
        <f t="shared" si="34"/>
        <v>0</v>
      </c>
      <c r="K193" s="2145">
        <f t="shared" si="35"/>
        <v>0</v>
      </c>
      <c r="L193" s="2146"/>
      <c r="W193" s="1352">
        <f t="shared" si="39"/>
        <v>8</v>
      </c>
      <c r="X193" s="1367">
        <f>IF(W193=1,Adm!$AP$3,0)</f>
        <v>0</v>
      </c>
      <c r="Z193" s="1153"/>
      <c r="AC193" s="1375">
        <f t="shared" si="43"/>
        <v>0</v>
      </c>
      <c r="AD193" s="1373">
        <f t="shared" si="40"/>
        <v>0</v>
      </c>
      <c r="AE193" s="1373">
        <f t="shared" si="44"/>
        <v>0</v>
      </c>
      <c r="AF193" s="1373">
        <f t="shared" si="42"/>
        <v>0</v>
      </c>
      <c r="AG193" s="1371">
        <f t="shared" si="41"/>
        <v>0</v>
      </c>
      <c r="AH193" s="1359" t="e">
        <f>HLOOKUP($AH$13,Sustitución,177,0)</f>
        <v>#N/A</v>
      </c>
      <c r="AJ193" s="1360">
        <f>Captura!AI263</f>
        <v>0</v>
      </c>
    </row>
    <row r="194" spans="1:36">
      <c r="A194" s="1118">
        <f t="shared" ca="1" si="30"/>
        <v>12</v>
      </c>
      <c r="B194" s="1101">
        <f t="shared" si="31"/>
        <v>0</v>
      </c>
      <c r="C194" s="2149">
        <f t="shared" si="32"/>
        <v>0</v>
      </c>
      <c r="D194" s="2150">
        <f t="shared" si="36"/>
        <v>0</v>
      </c>
      <c r="E194" s="2145">
        <f t="shared" si="37"/>
        <v>0</v>
      </c>
      <c r="F194" s="2145">
        <f t="shared" si="33"/>
        <v>0</v>
      </c>
      <c r="G194" s="2145">
        <f t="shared" si="38"/>
        <v>0</v>
      </c>
      <c r="H194" s="2145">
        <f>IF(K193&lt;0.01,0,IF(Adm!$S$4=Adm!$S$8,0,K193*Adm!$V$4))</f>
        <v>0</v>
      </c>
      <c r="I194" s="2145">
        <f>IF(K193&lt;0.01,0,IF($I$16&lt;&gt;"",Adm!$Q$6*1.16,0))</f>
        <v>0</v>
      </c>
      <c r="J194" s="2145">
        <f t="shared" si="34"/>
        <v>0</v>
      </c>
      <c r="K194" s="2145">
        <f t="shared" si="35"/>
        <v>0</v>
      </c>
      <c r="L194" s="2146"/>
      <c r="W194" s="1352">
        <f t="shared" si="39"/>
        <v>9</v>
      </c>
      <c r="X194" s="1367">
        <f>IF(W194=1,Adm!$AP$3,0)</f>
        <v>0</v>
      </c>
      <c r="Z194" s="1153"/>
      <c r="AC194" s="1375">
        <f t="shared" si="43"/>
        <v>0</v>
      </c>
      <c r="AD194" s="1373">
        <f t="shared" si="40"/>
        <v>0</v>
      </c>
      <c r="AE194" s="1373">
        <f t="shared" si="44"/>
        <v>0</v>
      </c>
      <c r="AF194" s="1373">
        <f t="shared" si="42"/>
        <v>0</v>
      </c>
      <c r="AG194" s="1371">
        <f t="shared" si="41"/>
        <v>0</v>
      </c>
      <c r="AH194" s="1359" t="e">
        <f>HLOOKUP($AH$13,Sustitución,178,0)</f>
        <v>#N/A</v>
      </c>
      <c r="AJ194" s="1360">
        <f>Captura!AI264</f>
        <v>0</v>
      </c>
    </row>
    <row r="195" spans="1:36">
      <c r="A195" s="1118">
        <f t="shared" ca="1" si="30"/>
        <v>1</v>
      </c>
      <c r="B195" s="1101">
        <f t="shared" si="31"/>
        <v>0</v>
      </c>
      <c r="C195" s="2149">
        <f t="shared" si="32"/>
        <v>0</v>
      </c>
      <c r="D195" s="2150">
        <f t="shared" si="36"/>
        <v>0</v>
      </c>
      <c r="E195" s="2145">
        <f t="shared" si="37"/>
        <v>0</v>
      </c>
      <c r="F195" s="2145">
        <f t="shared" si="33"/>
        <v>0</v>
      </c>
      <c r="G195" s="2145">
        <f t="shared" si="38"/>
        <v>0</v>
      </c>
      <c r="H195" s="2145">
        <f>IF(K194&lt;0.01,0,IF(Adm!$S$4=Adm!$S$8,0,K194*Adm!$V$4))</f>
        <v>0</v>
      </c>
      <c r="I195" s="2145">
        <f>IF(K194&lt;0.01,0,IF($I$16&lt;&gt;"",Adm!$Q$6*1.16,0))</f>
        <v>0</v>
      </c>
      <c r="J195" s="2145">
        <f t="shared" si="34"/>
        <v>0</v>
      </c>
      <c r="K195" s="2145">
        <f t="shared" si="35"/>
        <v>0</v>
      </c>
      <c r="L195" s="2146"/>
      <c r="W195" s="1352">
        <f t="shared" si="39"/>
        <v>10</v>
      </c>
      <c r="X195" s="1367">
        <f>IF(W195=1,Adm!$AP$3,0)</f>
        <v>0</v>
      </c>
      <c r="Z195" s="1153"/>
      <c r="AC195" s="1375">
        <f t="shared" si="43"/>
        <v>0</v>
      </c>
      <c r="AD195" s="1373">
        <f t="shared" si="40"/>
        <v>0</v>
      </c>
      <c r="AE195" s="1373">
        <f t="shared" si="44"/>
        <v>0</v>
      </c>
      <c r="AF195" s="1373">
        <f t="shared" si="42"/>
        <v>0</v>
      </c>
      <c r="AG195" s="1371">
        <f t="shared" si="41"/>
        <v>0</v>
      </c>
      <c r="AH195" s="1359" t="e">
        <f>HLOOKUP($AH$13,Sustitución,179,0)</f>
        <v>#N/A</v>
      </c>
      <c r="AJ195" s="1360">
        <f>Captura!AI265</f>
        <v>0</v>
      </c>
    </row>
    <row r="196" spans="1:36">
      <c r="A196" s="1118">
        <f t="shared" ca="1" si="30"/>
        <v>2</v>
      </c>
      <c r="B196" s="1101">
        <f t="shared" si="31"/>
        <v>0</v>
      </c>
      <c r="C196" s="2149">
        <f t="shared" si="32"/>
        <v>0</v>
      </c>
      <c r="D196" s="2150">
        <f t="shared" si="36"/>
        <v>0</v>
      </c>
      <c r="E196" s="2145">
        <f t="shared" si="37"/>
        <v>0</v>
      </c>
      <c r="F196" s="2145">
        <f t="shared" si="33"/>
        <v>0</v>
      </c>
      <c r="G196" s="2145">
        <f t="shared" si="38"/>
        <v>0</v>
      </c>
      <c r="H196" s="2145">
        <f>IF(K195&lt;0.01,0,IF(Adm!$S$4=Adm!$S$8,0,K195*Adm!$V$4))</f>
        <v>0</v>
      </c>
      <c r="I196" s="2145">
        <f>IF(K195&lt;0.01,0,IF($I$16&lt;&gt;"",Adm!$Q$6*1.16,0))</f>
        <v>0</v>
      </c>
      <c r="J196" s="2145">
        <f t="shared" si="34"/>
        <v>0</v>
      </c>
      <c r="K196" s="2145">
        <f t="shared" si="35"/>
        <v>0</v>
      </c>
      <c r="L196" s="2146"/>
      <c r="W196" s="1352">
        <f t="shared" si="39"/>
        <v>11</v>
      </c>
      <c r="X196" s="1367">
        <f>IF(W196=1,Adm!$AP$3,0)</f>
        <v>0</v>
      </c>
      <c r="Z196" s="1153"/>
      <c r="AC196" s="1375">
        <f t="shared" si="43"/>
        <v>0</v>
      </c>
      <c r="AD196" s="1373">
        <f t="shared" si="40"/>
        <v>0</v>
      </c>
      <c r="AE196" s="1373">
        <f t="shared" si="44"/>
        <v>0</v>
      </c>
      <c r="AF196" s="1373">
        <f t="shared" si="42"/>
        <v>0</v>
      </c>
      <c r="AG196" s="1371">
        <f t="shared" si="41"/>
        <v>0</v>
      </c>
      <c r="AH196" s="1359" t="e">
        <f>HLOOKUP($AH$13,Sustitución,180,0)</f>
        <v>#N/A</v>
      </c>
      <c r="AJ196" s="1360">
        <f>Captura!AI266</f>
        <v>0</v>
      </c>
    </row>
    <row r="197" spans="1:36">
      <c r="A197" s="1118">
        <f t="shared" ca="1" si="30"/>
        <v>3</v>
      </c>
      <c r="B197" s="1101">
        <f t="shared" si="31"/>
        <v>0</v>
      </c>
      <c r="C197" s="2149">
        <f t="shared" si="32"/>
        <v>0</v>
      </c>
      <c r="D197" s="2150">
        <f t="shared" si="36"/>
        <v>0</v>
      </c>
      <c r="E197" s="2145">
        <f t="shared" si="37"/>
        <v>0</v>
      </c>
      <c r="F197" s="2145">
        <f t="shared" si="33"/>
        <v>0</v>
      </c>
      <c r="G197" s="2145">
        <f t="shared" si="38"/>
        <v>0</v>
      </c>
      <c r="H197" s="2145">
        <f>IF(K196&lt;0.01,0,IF(Adm!$S$4=Adm!$S$8,0,K196*Adm!$V$4))</f>
        <v>0</v>
      </c>
      <c r="I197" s="2145">
        <f>IF(K196&lt;0.01,0,IF($I$16&lt;&gt;"",Adm!$Q$6*1.16,0))</f>
        <v>0</v>
      </c>
      <c r="J197" s="2145">
        <f t="shared" si="34"/>
        <v>0</v>
      </c>
      <c r="K197" s="2145">
        <f t="shared" si="35"/>
        <v>0</v>
      </c>
      <c r="L197" s="2146"/>
      <c r="W197" s="1352">
        <f t="shared" si="39"/>
        <v>12</v>
      </c>
      <c r="X197" s="1367">
        <f>IF(W197=1,Adm!$AP$3,0)</f>
        <v>0</v>
      </c>
      <c r="Z197" s="1153"/>
      <c r="AC197" s="1375">
        <f t="shared" si="43"/>
        <v>0</v>
      </c>
      <c r="AD197" s="1373">
        <f t="shared" si="40"/>
        <v>0</v>
      </c>
      <c r="AE197" s="1373">
        <f t="shared" si="44"/>
        <v>0</v>
      </c>
      <c r="AF197" s="1373">
        <f t="shared" si="42"/>
        <v>0</v>
      </c>
      <c r="AG197" s="1371">
        <f t="shared" si="41"/>
        <v>0</v>
      </c>
      <c r="AH197" s="1359" t="e">
        <f>HLOOKUP($AH$13,Sustitución,181,0)</f>
        <v>#N/A</v>
      </c>
      <c r="AJ197" s="1360">
        <f>Captura!AI267</f>
        <v>0</v>
      </c>
    </row>
    <row r="198" spans="1:36">
      <c r="A198" s="1118">
        <f t="shared" ca="1" si="30"/>
        <v>4</v>
      </c>
      <c r="B198" s="1101">
        <f t="shared" si="31"/>
        <v>0</v>
      </c>
      <c r="C198" s="2149">
        <f t="shared" si="32"/>
        <v>0</v>
      </c>
      <c r="D198" s="2150">
        <f t="shared" si="36"/>
        <v>0</v>
      </c>
      <c r="E198" s="2145">
        <f t="shared" si="37"/>
        <v>0</v>
      </c>
      <c r="F198" s="2145">
        <f t="shared" si="33"/>
        <v>0</v>
      </c>
      <c r="G198" s="2145">
        <f t="shared" si="38"/>
        <v>0</v>
      </c>
      <c r="H198" s="2145">
        <f>IF(K197&lt;0.01,0,IF(Adm!$S$4=Adm!$S$8,0,K197*Adm!$V$4))</f>
        <v>0</v>
      </c>
      <c r="I198" s="2145">
        <f>IF(K197&lt;0.01,0,IF($I$16&lt;&gt;"",Adm!$Q$6*1.16,0))</f>
        <v>0</v>
      </c>
      <c r="J198" s="2145">
        <f t="shared" si="34"/>
        <v>0</v>
      </c>
      <c r="K198" s="2145">
        <f t="shared" si="35"/>
        <v>0</v>
      </c>
      <c r="L198" s="2146"/>
      <c r="W198" s="1352">
        <f t="shared" si="39"/>
        <v>1</v>
      </c>
      <c r="X198" s="1367">
        <f>IF(W198=1,Adm!$AP$3,0)</f>
        <v>0</v>
      </c>
      <c r="Z198" s="1153"/>
      <c r="AC198" s="1375">
        <f t="shared" si="43"/>
        <v>0</v>
      </c>
      <c r="AD198" s="1373">
        <f t="shared" si="40"/>
        <v>0</v>
      </c>
      <c r="AE198" s="1373">
        <f t="shared" si="44"/>
        <v>0</v>
      </c>
      <c r="AF198" s="1373">
        <f t="shared" si="42"/>
        <v>0</v>
      </c>
      <c r="AG198" s="1371">
        <f t="shared" si="41"/>
        <v>0</v>
      </c>
      <c r="AH198" s="1359" t="e">
        <f>HLOOKUP($AH$13,Sustitución,182,0)</f>
        <v>#N/A</v>
      </c>
      <c r="AJ198" s="1360">
        <f>Captura!AI268</f>
        <v>0</v>
      </c>
    </row>
    <row r="199" spans="1:36">
      <c r="A199" s="1118">
        <f t="shared" ca="1" si="30"/>
        <v>5</v>
      </c>
      <c r="B199" s="1101">
        <f t="shared" si="31"/>
        <v>0</v>
      </c>
      <c r="C199" s="2149">
        <f t="shared" si="32"/>
        <v>0</v>
      </c>
      <c r="D199" s="2150">
        <f t="shared" si="36"/>
        <v>0</v>
      </c>
      <c r="E199" s="2145">
        <f t="shared" si="37"/>
        <v>0</v>
      </c>
      <c r="F199" s="2145">
        <f t="shared" si="33"/>
        <v>0</v>
      </c>
      <c r="G199" s="2145">
        <f t="shared" si="38"/>
        <v>0</v>
      </c>
      <c r="H199" s="2145">
        <f>IF(K198&lt;0.01,0,IF(Adm!$S$4=Adm!$S$8,0,K198*Adm!$V$4))</f>
        <v>0</v>
      </c>
      <c r="I199" s="2145">
        <f>IF(K198&lt;0.01,0,IF($I$16&lt;&gt;"",Adm!$Q$6*1.16,0))</f>
        <v>0</v>
      </c>
      <c r="J199" s="2145">
        <f t="shared" si="34"/>
        <v>0</v>
      </c>
      <c r="K199" s="2145">
        <f t="shared" si="35"/>
        <v>0</v>
      </c>
      <c r="L199" s="2146"/>
      <c r="W199" s="1352">
        <f t="shared" si="39"/>
        <v>2</v>
      </c>
      <c r="X199" s="1367">
        <f>IF(W199=1,Adm!$AP$3,0)</f>
        <v>0</v>
      </c>
      <c r="Z199" s="1153"/>
      <c r="AC199" s="1375">
        <f t="shared" si="43"/>
        <v>0</v>
      </c>
      <c r="AD199" s="1373">
        <f t="shared" si="40"/>
        <v>0</v>
      </c>
      <c r="AE199" s="1373">
        <f t="shared" si="44"/>
        <v>0</v>
      </c>
      <c r="AF199" s="1373">
        <f t="shared" si="42"/>
        <v>0</v>
      </c>
      <c r="AG199" s="1371">
        <f t="shared" si="41"/>
        <v>0</v>
      </c>
      <c r="AH199" s="1359" t="e">
        <f>HLOOKUP($AH$13,Sustitución,183,0)</f>
        <v>#N/A</v>
      </c>
      <c r="AJ199" s="1360">
        <f>Captura!AI269</f>
        <v>0</v>
      </c>
    </row>
    <row r="200" spans="1:36">
      <c r="A200" s="1118">
        <f t="shared" ca="1" si="30"/>
        <v>6</v>
      </c>
      <c r="B200" s="1101">
        <f t="shared" si="31"/>
        <v>0</v>
      </c>
      <c r="C200" s="2149">
        <f t="shared" si="32"/>
        <v>0</v>
      </c>
      <c r="D200" s="2150">
        <f t="shared" si="36"/>
        <v>0</v>
      </c>
      <c r="E200" s="2145">
        <f t="shared" si="37"/>
        <v>0</v>
      </c>
      <c r="F200" s="2145">
        <f t="shared" si="33"/>
        <v>0</v>
      </c>
      <c r="G200" s="2145">
        <f t="shared" si="38"/>
        <v>0</v>
      </c>
      <c r="H200" s="2145">
        <f>IF(K199&lt;0.01,0,IF(Adm!$S$4=Adm!$S$8,0,K199*Adm!$V$4))</f>
        <v>0</v>
      </c>
      <c r="I200" s="2145">
        <f>IF(K199&lt;0.01,0,IF($I$16&lt;&gt;"",Adm!$Q$6*1.16,0))</f>
        <v>0</v>
      </c>
      <c r="J200" s="2145">
        <f t="shared" si="34"/>
        <v>0</v>
      </c>
      <c r="K200" s="2145">
        <f t="shared" si="35"/>
        <v>0</v>
      </c>
      <c r="L200" s="2146"/>
      <c r="W200" s="1352">
        <f t="shared" si="39"/>
        <v>3</v>
      </c>
      <c r="X200" s="1367">
        <f>IF(W200=1,Adm!$AP$3,0)</f>
        <v>0</v>
      </c>
      <c r="Z200" s="1153"/>
      <c r="AC200" s="1375">
        <f t="shared" si="43"/>
        <v>0</v>
      </c>
      <c r="AD200" s="1373">
        <f t="shared" si="40"/>
        <v>0</v>
      </c>
      <c r="AE200" s="1373">
        <f t="shared" si="44"/>
        <v>0</v>
      </c>
      <c r="AF200" s="1373">
        <f t="shared" si="42"/>
        <v>0</v>
      </c>
      <c r="AG200" s="1371">
        <f t="shared" si="41"/>
        <v>0</v>
      </c>
      <c r="AH200" s="1359" t="e">
        <f>HLOOKUP($AH$13,Sustitución,184,0)</f>
        <v>#N/A</v>
      </c>
      <c r="AJ200" s="1360">
        <f>Captura!AI270</f>
        <v>0</v>
      </c>
    </row>
    <row r="201" spans="1:36">
      <c r="A201" s="1118">
        <f t="shared" ca="1" si="30"/>
        <v>7</v>
      </c>
      <c r="B201" s="1101">
        <f t="shared" si="31"/>
        <v>0</v>
      </c>
      <c r="C201" s="2149">
        <f t="shared" si="32"/>
        <v>0</v>
      </c>
      <c r="D201" s="2150">
        <f t="shared" si="36"/>
        <v>0</v>
      </c>
      <c r="E201" s="2145">
        <f t="shared" si="37"/>
        <v>0</v>
      </c>
      <c r="F201" s="2145">
        <f t="shared" si="33"/>
        <v>0</v>
      </c>
      <c r="G201" s="2145">
        <f t="shared" si="38"/>
        <v>0</v>
      </c>
      <c r="H201" s="2145">
        <f>IF(K200&lt;0.01,0,IF(Adm!$S$4=Adm!$S$8,0,K200*Adm!$V$4))</f>
        <v>0</v>
      </c>
      <c r="I201" s="2145">
        <f>IF(K200&lt;0.01,0,IF($I$16&lt;&gt;"",Adm!$Q$6*1.16,0))</f>
        <v>0</v>
      </c>
      <c r="J201" s="2145">
        <f t="shared" si="34"/>
        <v>0</v>
      </c>
      <c r="K201" s="2145">
        <f t="shared" si="35"/>
        <v>0</v>
      </c>
      <c r="L201" s="2146"/>
      <c r="W201" s="1352">
        <f t="shared" si="39"/>
        <v>4</v>
      </c>
      <c r="X201" s="1367">
        <f>IF(W201=1,Adm!$AP$3,0)</f>
        <v>0</v>
      </c>
      <c r="Z201" s="1153"/>
      <c r="AC201" s="1375">
        <f t="shared" si="43"/>
        <v>0</v>
      </c>
      <c r="AD201" s="1373">
        <f t="shared" si="40"/>
        <v>0</v>
      </c>
      <c r="AE201" s="1373">
        <f t="shared" si="44"/>
        <v>0</v>
      </c>
      <c r="AF201" s="1373">
        <f t="shared" si="42"/>
        <v>0</v>
      </c>
      <c r="AG201" s="1371">
        <f t="shared" si="41"/>
        <v>0</v>
      </c>
      <c r="AH201" s="1359" t="e">
        <f>HLOOKUP($AH$13,Sustitución,185,0)</f>
        <v>#N/A</v>
      </c>
      <c r="AJ201" s="1360">
        <f>Captura!AI271</f>
        <v>0</v>
      </c>
    </row>
    <row r="202" spans="1:36">
      <c r="A202" s="1118">
        <f t="shared" ca="1" si="30"/>
        <v>8</v>
      </c>
      <c r="B202" s="1101">
        <f t="shared" si="31"/>
        <v>0</v>
      </c>
      <c r="C202" s="2149">
        <f t="shared" si="32"/>
        <v>0</v>
      </c>
      <c r="D202" s="2150">
        <f t="shared" si="36"/>
        <v>0</v>
      </c>
      <c r="E202" s="2145">
        <f t="shared" si="37"/>
        <v>0</v>
      </c>
      <c r="F202" s="2145">
        <f t="shared" si="33"/>
        <v>0</v>
      </c>
      <c r="G202" s="2145">
        <f t="shared" si="38"/>
        <v>0</v>
      </c>
      <c r="H202" s="2145">
        <f>IF(K201&lt;0.01,0,IF(Adm!$S$4=Adm!$S$8,0,K201*Adm!$V$4))</f>
        <v>0</v>
      </c>
      <c r="I202" s="2145">
        <f>IF(K201&lt;0.01,0,IF($I$16&lt;&gt;"",Adm!$Q$6*1.16,0))</f>
        <v>0</v>
      </c>
      <c r="J202" s="2145">
        <f t="shared" si="34"/>
        <v>0</v>
      </c>
      <c r="K202" s="2145">
        <f t="shared" si="35"/>
        <v>0</v>
      </c>
      <c r="L202" s="2146"/>
      <c r="W202" s="1352">
        <f t="shared" si="39"/>
        <v>5</v>
      </c>
      <c r="X202" s="1367">
        <f>IF(W202=1,Adm!$AP$3,0)</f>
        <v>0</v>
      </c>
      <c r="Z202" s="1153"/>
      <c r="AC202" s="1375">
        <f t="shared" si="43"/>
        <v>0</v>
      </c>
      <c r="AD202" s="1373">
        <f t="shared" si="40"/>
        <v>0</v>
      </c>
      <c r="AE202" s="1373">
        <f t="shared" si="44"/>
        <v>0</v>
      </c>
      <c r="AF202" s="1373">
        <f t="shared" si="42"/>
        <v>0</v>
      </c>
      <c r="AG202" s="1371">
        <f t="shared" si="41"/>
        <v>0</v>
      </c>
      <c r="AH202" s="1359" t="e">
        <f>HLOOKUP($AH$13,Sustitución,186,0)</f>
        <v>#N/A</v>
      </c>
      <c r="AJ202" s="1360">
        <f>Captura!AI272</f>
        <v>0</v>
      </c>
    </row>
    <row r="203" spans="1:36">
      <c r="A203" s="1118">
        <f t="shared" ca="1" si="30"/>
        <v>9</v>
      </c>
      <c r="B203" s="1101">
        <f t="shared" si="31"/>
        <v>0</v>
      </c>
      <c r="C203" s="2149">
        <f t="shared" si="32"/>
        <v>0</v>
      </c>
      <c r="D203" s="2150">
        <f t="shared" si="36"/>
        <v>0</v>
      </c>
      <c r="E203" s="2145">
        <f t="shared" si="37"/>
        <v>0</v>
      </c>
      <c r="F203" s="2145">
        <f t="shared" si="33"/>
        <v>0</v>
      </c>
      <c r="G203" s="2145">
        <f t="shared" si="38"/>
        <v>0</v>
      </c>
      <c r="H203" s="2145">
        <f>IF(K202&lt;0.01,0,IF(Adm!$S$4=Adm!$S$8,0,K202*Adm!$V$4))</f>
        <v>0</v>
      </c>
      <c r="I203" s="2145">
        <f>IF(K202&lt;0.01,0,IF($I$16&lt;&gt;"",Adm!$Q$6*1.16,0))</f>
        <v>0</v>
      </c>
      <c r="J203" s="2145">
        <f t="shared" si="34"/>
        <v>0</v>
      </c>
      <c r="K203" s="2145">
        <f t="shared" si="35"/>
        <v>0</v>
      </c>
      <c r="L203" s="2146"/>
      <c r="W203" s="1352">
        <f t="shared" si="39"/>
        <v>6</v>
      </c>
      <c r="X203" s="1367">
        <f>IF(W203=1,Adm!$AP$3,0)</f>
        <v>0</v>
      </c>
      <c r="Z203" s="1153"/>
      <c r="AC203" s="1375">
        <f t="shared" si="43"/>
        <v>0</v>
      </c>
      <c r="AD203" s="1373">
        <f t="shared" si="40"/>
        <v>0</v>
      </c>
      <c r="AE203" s="1373">
        <f t="shared" si="44"/>
        <v>0</v>
      </c>
      <c r="AF203" s="1373">
        <f t="shared" si="42"/>
        <v>0</v>
      </c>
      <c r="AG203" s="1371">
        <f t="shared" si="41"/>
        <v>0</v>
      </c>
      <c r="AH203" s="1359" t="e">
        <f>HLOOKUP($AH$13,Sustitución,187,0)</f>
        <v>#N/A</v>
      </c>
      <c r="AJ203" s="1360">
        <f>Captura!AI273</f>
        <v>0</v>
      </c>
    </row>
    <row r="204" spans="1:36">
      <c r="A204" s="1118">
        <f t="shared" ca="1" si="30"/>
        <v>10</v>
      </c>
      <c r="B204" s="1101">
        <f t="shared" si="31"/>
        <v>0</v>
      </c>
      <c r="C204" s="2149">
        <f t="shared" si="32"/>
        <v>0</v>
      </c>
      <c r="D204" s="2150">
        <f t="shared" si="36"/>
        <v>0</v>
      </c>
      <c r="E204" s="2145">
        <f t="shared" si="37"/>
        <v>0</v>
      </c>
      <c r="F204" s="2145">
        <f t="shared" si="33"/>
        <v>0</v>
      </c>
      <c r="G204" s="2145">
        <f t="shared" si="38"/>
        <v>0</v>
      </c>
      <c r="H204" s="2145">
        <f>IF(K203&lt;0.01,0,IF(Adm!$S$4=Adm!$S$8,0,K203*Adm!$V$4))</f>
        <v>0</v>
      </c>
      <c r="I204" s="2145">
        <f>IF(K203&lt;0.01,0,IF($I$16&lt;&gt;"",Adm!$Q$6*1.16,0))</f>
        <v>0</v>
      </c>
      <c r="J204" s="2145">
        <f t="shared" si="34"/>
        <v>0</v>
      </c>
      <c r="K204" s="2145">
        <f t="shared" si="35"/>
        <v>0</v>
      </c>
      <c r="L204" s="2146"/>
      <c r="W204" s="1352">
        <f t="shared" si="39"/>
        <v>7</v>
      </c>
      <c r="X204" s="1367">
        <f>IF(W204=1,Adm!$AP$3,0)</f>
        <v>0</v>
      </c>
      <c r="Z204" s="1153"/>
      <c r="AC204" s="1375">
        <f t="shared" si="43"/>
        <v>0</v>
      </c>
      <c r="AD204" s="1373">
        <f t="shared" si="40"/>
        <v>0</v>
      </c>
      <c r="AE204" s="1373">
        <f t="shared" si="44"/>
        <v>0</v>
      </c>
      <c r="AF204" s="1373">
        <f t="shared" si="42"/>
        <v>0</v>
      </c>
      <c r="AG204" s="1371">
        <f t="shared" si="41"/>
        <v>0</v>
      </c>
      <c r="AH204" s="1359" t="e">
        <f>HLOOKUP($AH$13,Sustitución,188,0)</f>
        <v>#N/A</v>
      </c>
      <c r="AJ204" s="1360">
        <f>Captura!AI274</f>
        <v>0</v>
      </c>
    </row>
    <row r="205" spans="1:36">
      <c r="A205" s="1118">
        <f t="shared" ca="1" si="30"/>
        <v>11</v>
      </c>
      <c r="B205" s="1101">
        <f t="shared" si="31"/>
        <v>0</v>
      </c>
      <c r="C205" s="2149">
        <f t="shared" si="32"/>
        <v>0</v>
      </c>
      <c r="D205" s="2150">
        <f t="shared" si="36"/>
        <v>0</v>
      </c>
      <c r="E205" s="2145">
        <f t="shared" si="37"/>
        <v>0</v>
      </c>
      <c r="F205" s="2145">
        <f t="shared" si="33"/>
        <v>0</v>
      </c>
      <c r="G205" s="2145">
        <f t="shared" si="38"/>
        <v>0</v>
      </c>
      <c r="H205" s="2145">
        <f>IF(K204&lt;0.01,0,IF(Adm!$S$4=Adm!$S$8,0,K204*Adm!$V$4))</f>
        <v>0</v>
      </c>
      <c r="I205" s="2145">
        <f>IF(K204&lt;0.01,0,IF($I$16&lt;&gt;"",Adm!$Q$6*1.16,0))</f>
        <v>0</v>
      </c>
      <c r="J205" s="2145">
        <f t="shared" si="34"/>
        <v>0</v>
      </c>
      <c r="K205" s="2145">
        <f t="shared" si="35"/>
        <v>0</v>
      </c>
      <c r="L205" s="2146"/>
      <c r="W205" s="1352">
        <f t="shared" si="39"/>
        <v>8</v>
      </c>
      <c r="X205" s="1367">
        <f>IF(W205=1,Adm!$AP$3,0)</f>
        <v>0</v>
      </c>
      <c r="Z205" s="1153"/>
      <c r="AC205" s="1375">
        <f t="shared" si="43"/>
        <v>0</v>
      </c>
      <c r="AD205" s="1373">
        <f t="shared" si="40"/>
        <v>0</v>
      </c>
      <c r="AE205" s="1373">
        <f t="shared" si="44"/>
        <v>0</v>
      </c>
      <c r="AF205" s="1373">
        <f t="shared" si="42"/>
        <v>0</v>
      </c>
      <c r="AG205" s="1371">
        <f t="shared" si="41"/>
        <v>0</v>
      </c>
      <c r="AH205" s="1359" t="e">
        <f>HLOOKUP($AH$13,Sustitución,189,0)</f>
        <v>#N/A</v>
      </c>
      <c r="AJ205" s="1360">
        <f>Captura!AI275</f>
        <v>0</v>
      </c>
    </row>
    <row r="206" spans="1:36">
      <c r="A206" s="1118">
        <f t="shared" ca="1" si="30"/>
        <v>12</v>
      </c>
      <c r="B206" s="1101">
        <f t="shared" si="31"/>
        <v>0</v>
      </c>
      <c r="C206" s="2149">
        <f t="shared" si="32"/>
        <v>0</v>
      </c>
      <c r="D206" s="2150">
        <f t="shared" si="36"/>
        <v>0</v>
      </c>
      <c r="E206" s="2145">
        <f t="shared" si="37"/>
        <v>0</v>
      </c>
      <c r="F206" s="2145">
        <f t="shared" si="33"/>
        <v>0</v>
      </c>
      <c r="G206" s="2145">
        <f t="shared" si="38"/>
        <v>0</v>
      </c>
      <c r="H206" s="2145">
        <f>IF(K205&lt;0.01,0,IF(Adm!$S$4=Adm!$S$8,0,K205*Adm!$V$4))</f>
        <v>0</v>
      </c>
      <c r="I206" s="2145">
        <f>IF(K205&lt;0.01,0,IF($I$16&lt;&gt;"",Adm!$Q$6*1.16,0))</f>
        <v>0</v>
      </c>
      <c r="J206" s="2145">
        <f t="shared" si="34"/>
        <v>0</v>
      </c>
      <c r="K206" s="2145">
        <f t="shared" si="35"/>
        <v>0</v>
      </c>
      <c r="L206" s="2146"/>
      <c r="W206" s="1352">
        <f t="shared" si="39"/>
        <v>9</v>
      </c>
      <c r="X206" s="1367">
        <f>IF(W206=1,Adm!$AP$3,0)</f>
        <v>0</v>
      </c>
      <c r="Z206" s="1153"/>
      <c r="AC206" s="1375">
        <f t="shared" si="43"/>
        <v>0</v>
      </c>
      <c r="AD206" s="1373">
        <f t="shared" si="40"/>
        <v>0</v>
      </c>
      <c r="AE206" s="1373">
        <f t="shared" si="44"/>
        <v>0</v>
      </c>
      <c r="AF206" s="1373">
        <f t="shared" si="42"/>
        <v>0</v>
      </c>
      <c r="AG206" s="1371">
        <f t="shared" si="41"/>
        <v>0</v>
      </c>
      <c r="AH206" s="1359" t="e">
        <f>HLOOKUP($AH$13,Sustitución,190,0)</f>
        <v>#N/A</v>
      </c>
      <c r="AJ206" s="1360">
        <f>Captura!AI276</f>
        <v>0</v>
      </c>
    </row>
    <row r="207" spans="1:36">
      <c r="A207" s="1118">
        <f t="shared" ca="1" si="30"/>
        <v>1</v>
      </c>
      <c r="B207" s="1101">
        <f t="shared" si="31"/>
        <v>0</v>
      </c>
      <c r="C207" s="2149">
        <f t="shared" si="32"/>
        <v>0</v>
      </c>
      <c r="D207" s="2150">
        <f t="shared" si="36"/>
        <v>0</v>
      </c>
      <c r="E207" s="2145">
        <f t="shared" si="37"/>
        <v>0</v>
      </c>
      <c r="F207" s="2145">
        <f t="shared" si="33"/>
        <v>0</v>
      </c>
      <c r="G207" s="2145">
        <f t="shared" si="38"/>
        <v>0</v>
      </c>
      <c r="H207" s="2145">
        <f>IF(K206&lt;0.01,0,IF(Adm!$S$4=Adm!$S$8,0,K206*Adm!$V$4))</f>
        <v>0</v>
      </c>
      <c r="I207" s="2145">
        <f>IF(K206&lt;0.01,0,IF($I$16&lt;&gt;"",Adm!$Q$6*1.16,0))</f>
        <v>0</v>
      </c>
      <c r="J207" s="2145">
        <f t="shared" si="34"/>
        <v>0</v>
      </c>
      <c r="K207" s="2145">
        <f t="shared" si="35"/>
        <v>0</v>
      </c>
      <c r="L207" s="2146"/>
      <c r="W207" s="1352">
        <f t="shared" si="39"/>
        <v>10</v>
      </c>
      <c r="X207" s="1367">
        <f>IF(W207=1,Adm!$AP$3,0)</f>
        <v>0</v>
      </c>
      <c r="Z207" s="1153"/>
      <c r="AC207" s="1375">
        <f t="shared" si="43"/>
        <v>0</v>
      </c>
      <c r="AD207" s="1373">
        <f t="shared" si="40"/>
        <v>0</v>
      </c>
      <c r="AE207" s="1373">
        <f t="shared" si="44"/>
        <v>0</v>
      </c>
      <c r="AF207" s="1373">
        <f t="shared" si="42"/>
        <v>0</v>
      </c>
      <c r="AG207" s="1371">
        <f t="shared" si="41"/>
        <v>0</v>
      </c>
      <c r="AH207" s="1359" t="e">
        <f>HLOOKUP($AH$13,Sustitución,191,0)</f>
        <v>#N/A</v>
      </c>
      <c r="AJ207" s="1360">
        <f>Captura!AI277</f>
        <v>0</v>
      </c>
    </row>
    <row r="208" spans="1:36">
      <c r="A208" s="1118">
        <f t="shared" ca="1" si="30"/>
        <v>2</v>
      </c>
      <c r="B208" s="1101">
        <f t="shared" si="31"/>
        <v>0</v>
      </c>
      <c r="C208" s="2149">
        <f t="shared" si="32"/>
        <v>0</v>
      </c>
      <c r="D208" s="2150">
        <f t="shared" si="36"/>
        <v>0</v>
      </c>
      <c r="E208" s="2145">
        <f t="shared" si="37"/>
        <v>0</v>
      </c>
      <c r="F208" s="2145">
        <f t="shared" si="33"/>
        <v>0</v>
      </c>
      <c r="G208" s="2145">
        <f t="shared" si="38"/>
        <v>0</v>
      </c>
      <c r="H208" s="2145">
        <f>IF(K207&lt;0.01,0,IF(Adm!$S$4=Adm!$S$8,0,K207*Adm!$V$4))</f>
        <v>0</v>
      </c>
      <c r="I208" s="2145">
        <f>IF(K207&lt;0.01,0,IF($I$16&lt;&gt;"",Adm!$Q$6*1.16,0))</f>
        <v>0</v>
      </c>
      <c r="J208" s="2145">
        <f t="shared" si="34"/>
        <v>0</v>
      </c>
      <c r="K208" s="2145">
        <f t="shared" si="35"/>
        <v>0</v>
      </c>
      <c r="L208" s="2146"/>
      <c r="W208" s="1352">
        <f t="shared" si="39"/>
        <v>11</v>
      </c>
      <c r="X208" s="1367">
        <f>IF(W208=1,Adm!$AP$3,0)</f>
        <v>0</v>
      </c>
      <c r="Z208" s="1153"/>
      <c r="AC208" s="1375">
        <f t="shared" si="43"/>
        <v>0</v>
      </c>
      <c r="AD208" s="1373">
        <f t="shared" si="40"/>
        <v>0</v>
      </c>
      <c r="AE208" s="1373">
        <f t="shared" si="44"/>
        <v>0</v>
      </c>
      <c r="AF208" s="1373">
        <f t="shared" si="42"/>
        <v>0</v>
      </c>
      <c r="AG208" s="1371">
        <f t="shared" si="41"/>
        <v>0</v>
      </c>
      <c r="AH208" s="1359" t="e">
        <f>HLOOKUP($AH$13,Sustitución,192,0)</f>
        <v>#N/A</v>
      </c>
      <c r="AJ208" s="1360">
        <f>Captura!AI278</f>
        <v>0</v>
      </c>
    </row>
    <row r="209" spans="1:36">
      <c r="A209" s="1118">
        <f t="shared" ca="1" si="30"/>
        <v>3</v>
      </c>
      <c r="B209" s="1101">
        <f t="shared" si="31"/>
        <v>0</v>
      </c>
      <c r="C209" s="2149">
        <f t="shared" si="32"/>
        <v>0</v>
      </c>
      <c r="D209" s="2150">
        <f t="shared" si="36"/>
        <v>0</v>
      </c>
      <c r="E209" s="2145">
        <f t="shared" si="37"/>
        <v>0</v>
      </c>
      <c r="F209" s="2145">
        <f t="shared" si="33"/>
        <v>0</v>
      </c>
      <c r="G209" s="2145">
        <f t="shared" si="38"/>
        <v>0</v>
      </c>
      <c r="H209" s="2145">
        <f>IF(K208&lt;0.01,0,IF(Adm!$S$4=Adm!$S$8,0,K208*Adm!$V$4))</f>
        <v>0</v>
      </c>
      <c r="I209" s="2145">
        <f>IF(K208&lt;0.01,0,IF($I$16&lt;&gt;"",Adm!$Q$6*1.16,0))</f>
        <v>0</v>
      </c>
      <c r="J209" s="2145">
        <f t="shared" si="34"/>
        <v>0</v>
      </c>
      <c r="K209" s="2145">
        <f t="shared" si="35"/>
        <v>0</v>
      </c>
      <c r="L209" s="2146"/>
      <c r="W209" s="1352">
        <f t="shared" si="39"/>
        <v>12</v>
      </c>
      <c r="X209" s="1367">
        <f>IF(W209=1,Adm!$AP$3,0)</f>
        <v>0</v>
      </c>
      <c r="Z209" s="1153"/>
      <c r="AC209" s="1375">
        <f t="shared" si="43"/>
        <v>0</v>
      </c>
      <c r="AD209" s="1373">
        <f t="shared" si="40"/>
        <v>0</v>
      </c>
      <c r="AE209" s="1373">
        <f t="shared" si="44"/>
        <v>0</v>
      </c>
      <c r="AF209" s="1373">
        <f t="shared" si="42"/>
        <v>0</v>
      </c>
      <c r="AG209" s="1371">
        <f t="shared" si="41"/>
        <v>0</v>
      </c>
      <c r="AH209" s="1359" t="e">
        <f>HLOOKUP($AH$13,Sustitución,193,0)</f>
        <v>#N/A</v>
      </c>
      <c r="AJ209" s="1360">
        <f>Captura!AI279</f>
        <v>0</v>
      </c>
    </row>
    <row r="210" spans="1:36">
      <c r="A210" s="1118">
        <f t="shared" ref="A210:A257" ca="1" si="45">IF(A209=12,1,A209+1)</f>
        <v>4</v>
      </c>
      <c r="B210" s="1101">
        <f t="shared" ref="B210:B257" si="46">IF(K209&lt;0.01,0,B209-1)</f>
        <v>0</v>
      </c>
      <c r="C210" s="2149">
        <f t="shared" ref="C210:C257" si="47">IF(K209&lt;0.01,0,C209+1)</f>
        <v>0</v>
      </c>
      <c r="D210" s="2150">
        <f t="shared" si="36"/>
        <v>0</v>
      </c>
      <c r="E210" s="2145">
        <f t="shared" si="37"/>
        <v>0</v>
      </c>
      <c r="F210" s="2145">
        <f t="shared" ref="F210:F257" si="48">IF(K209&lt;0.01,0,G210-E210)</f>
        <v>0</v>
      </c>
      <c r="G210" s="2145">
        <f t="shared" si="38"/>
        <v>0</v>
      </c>
      <c r="H210" s="2145">
        <f>IF(K209&lt;0.01,0,IF(Adm!$S$4=Adm!$S$8,0,K209*Adm!$V$4))</f>
        <v>0</v>
      </c>
      <c r="I210" s="2145">
        <f>IF(K209&lt;0.01,0,IF($I$16&lt;&gt;"",Adm!$Q$6*1.16,0))</f>
        <v>0</v>
      </c>
      <c r="J210" s="2145">
        <f t="shared" ref="J210:J257" si="49">G210+H210+I210</f>
        <v>0</v>
      </c>
      <c r="K210" s="2145">
        <f t="shared" ref="K210:K257" si="50">IF(K209&lt;0.01,0,K209-F210-L210)</f>
        <v>0</v>
      </c>
      <c r="L210" s="2146"/>
      <c r="W210" s="1352">
        <f t="shared" si="39"/>
        <v>1</v>
      </c>
      <c r="X210" s="1367">
        <f>IF(W210=1,Adm!$AP$3,0)</f>
        <v>0</v>
      </c>
      <c r="Z210" s="1153"/>
      <c r="AC210" s="1375">
        <f t="shared" si="43"/>
        <v>0</v>
      </c>
      <c r="AD210" s="1373">
        <f t="shared" si="40"/>
        <v>0</v>
      </c>
      <c r="AE210" s="1373">
        <f t="shared" si="44"/>
        <v>0</v>
      </c>
      <c r="AF210" s="1373">
        <f t="shared" si="42"/>
        <v>0</v>
      </c>
      <c r="AG210" s="1371">
        <f t="shared" si="41"/>
        <v>0</v>
      </c>
      <c r="AH210" s="1359" t="e">
        <f>HLOOKUP($AH$13,Sustitución,194,0)</f>
        <v>#N/A</v>
      </c>
      <c r="AJ210" s="1360">
        <f>Captura!AI280</f>
        <v>0</v>
      </c>
    </row>
    <row r="211" spans="1:36">
      <c r="A211" s="1118">
        <f t="shared" ca="1" si="45"/>
        <v>5</v>
      </c>
      <c r="B211" s="1101">
        <f t="shared" si="46"/>
        <v>0</v>
      </c>
      <c r="C211" s="2149">
        <f t="shared" si="47"/>
        <v>0</v>
      </c>
      <c r="D211" s="2150">
        <f t="shared" ref="D211:D257" si="51">IF(K210&lt;0.01,0,D210)</f>
        <v>0</v>
      </c>
      <c r="E211" s="2145">
        <f t="shared" ref="E211:E257" si="52">IF(K210&lt;0.01,0,K210*D211*30.4166/360)</f>
        <v>0</v>
      </c>
      <c r="F211" s="2145">
        <f t="shared" si="48"/>
        <v>0</v>
      </c>
      <c r="G211" s="2145">
        <f t="shared" ref="G211:G257" si="53">IF(K210&lt;0.1,0,MIN(K210+E211,IF(AC211&gt;0,AC211,G210*(1+X211))))</f>
        <v>0</v>
      </c>
      <c r="H211" s="2145">
        <f>IF(K210&lt;0.01,0,IF(Adm!$S$4=Adm!$S$8,0,K210*Adm!$V$4))</f>
        <v>0</v>
      </c>
      <c r="I211" s="2145">
        <f>IF(K210&lt;0.01,0,IF($I$16&lt;&gt;"",Adm!$Q$6*1.16,0))</f>
        <v>0</v>
      </c>
      <c r="J211" s="2145">
        <f t="shared" si="49"/>
        <v>0</v>
      </c>
      <c r="K211" s="2145">
        <f t="shared" si="50"/>
        <v>0</v>
      </c>
      <c r="L211" s="2146"/>
      <c r="W211" s="1352">
        <f t="shared" ref="W211:W257" si="54">IF(W210=12,1,W210+1)</f>
        <v>2</v>
      </c>
      <c r="X211" s="1367">
        <f>IF(W211=1,Adm!$AP$3,0)</f>
        <v>0</v>
      </c>
      <c r="Z211" s="1153"/>
      <c r="AC211" s="1375">
        <f t="shared" si="43"/>
        <v>0</v>
      </c>
      <c r="AD211" s="1373">
        <f t="shared" ref="AD211:AD257" si="55">IF(AND($AE$12=1,L210&gt;0.1),AE211,0)</f>
        <v>0</v>
      </c>
      <c r="AE211" s="1373">
        <f t="shared" si="44"/>
        <v>0</v>
      </c>
      <c r="AF211" s="1373">
        <f t="shared" si="42"/>
        <v>0</v>
      </c>
      <c r="AG211" s="1371">
        <f t="shared" ref="AG211:AG257" si="56">IF(AND($AE$12=2,L210&lt;0.01),0,IF($AE$12=2,(K210*AH211)+E211,0))</f>
        <v>0</v>
      </c>
      <c r="AH211" s="1359" t="e">
        <f>HLOOKUP($AH$13,Sustitución,195,0)</f>
        <v>#N/A</v>
      </c>
      <c r="AJ211" s="1360">
        <f>Captura!AI281</f>
        <v>0</v>
      </c>
    </row>
    <row r="212" spans="1:36">
      <c r="A212" s="1118">
        <f t="shared" ca="1" si="45"/>
        <v>6</v>
      </c>
      <c r="B212" s="1101">
        <f t="shared" si="46"/>
        <v>0</v>
      </c>
      <c r="C212" s="2149">
        <f t="shared" si="47"/>
        <v>0</v>
      </c>
      <c r="D212" s="2150">
        <f t="shared" si="51"/>
        <v>0</v>
      </c>
      <c r="E212" s="2145">
        <f t="shared" si="52"/>
        <v>0</v>
      </c>
      <c r="F212" s="2145">
        <f t="shared" si="48"/>
        <v>0</v>
      </c>
      <c r="G212" s="2145">
        <f t="shared" si="53"/>
        <v>0</v>
      </c>
      <c r="H212" s="2145">
        <f>IF(K211&lt;0.01,0,IF(Adm!$S$4=Adm!$S$8,0,K211*Adm!$V$4))</f>
        <v>0</v>
      </c>
      <c r="I212" s="2145">
        <f>IF(K211&lt;0.01,0,IF($I$16&lt;&gt;"",Adm!$Q$6*1.16,0))</f>
        <v>0</v>
      </c>
      <c r="J212" s="2145">
        <f t="shared" si="49"/>
        <v>0</v>
      </c>
      <c r="K212" s="2145">
        <f t="shared" si="50"/>
        <v>0</v>
      </c>
      <c r="L212" s="2146"/>
      <c r="W212" s="1352">
        <f t="shared" si="54"/>
        <v>3</v>
      </c>
      <c r="X212" s="1367">
        <f>IF(W212=1,Adm!$AP$3,0)</f>
        <v>0</v>
      </c>
      <c r="Z212" s="1153"/>
      <c r="AC212" s="1375">
        <f t="shared" si="43"/>
        <v>0</v>
      </c>
      <c r="AD212" s="1373">
        <f t="shared" si="55"/>
        <v>0</v>
      </c>
      <c r="AE212" s="1373">
        <f t="shared" si="44"/>
        <v>0</v>
      </c>
      <c r="AF212" s="1373">
        <f t="shared" ref="AF212:AF257" si="57">IF(AND(AG212&gt;0.01,$AC$12=2),AG212,0)</f>
        <v>0</v>
      </c>
      <c r="AG212" s="1371">
        <f t="shared" si="56"/>
        <v>0</v>
      </c>
      <c r="AH212" s="1359" t="e">
        <f>HLOOKUP($AH$13,Sustitución,196,0)</f>
        <v>#N/A</v>
      </c>
      <c r="AJ212" s="1360">
        <f>Captura!AI282</f>
        <v>0</v>
      </c>
    </row>
    <row r="213" spans="1:36">
      <c r="A213" s="1118">
        <f t="shared" ca="1" si="45"/>
        <v>7</v>
      </c>
      <c r="B213" s="1101">
        <f t="shared" si="46"/>
        <v>0</v>
      </c>
      <c r="C213" s="2149">
        <f t="shared" si="47"/>
        <v>0</v>
      </c>
      <c r="D213" s="2150">
        <f t="shared" si="51"/>
        <v>0</v>
      </c>
      <c r="E213" s="2145">
        <f t="shared" si="52"/>
        <v>0</v>
      </c>
      <c r="F213" s="2145">
        <f t="shared" si="48"/>
        <v>0</v>
      </c>
      <c r="G213" s="2145">
        <f t="shared" si="53"/>
        <v>0</v>
      </c>
      <c r="H213" s="2145">
        <f>IF(K212&lt;0.01,0,IF(Adm!$S$4=Adm!$S$8,0,K212*Adm!$V$4))</f>
        <v>0</v>
      </c>
      <c r="I213" s="2145">
        <f>IF(K212&lt;0.01,0,IF($I$16&lt;&gt;"",Adm!$Q$6*1.16,0))</f>
        <v>0</v>
      </c>
      <c r="J213" s="2145">
        <f t="shared" si="49"/>
        <v>0</v>
      </c>
      <c r="K213" s="2145">
        <f t="shared" si="50"/>
        <v>0</v>
      </c>
      <c r="L213" s="2146"/>
      <c r="W213" s="1352">
        <f t="shared" si="54"/>
        <v>4</v>
      </c>
      <c r="X213" s="1367">
        <f>IF(W213=1,Adm!$AP$3,0)</f>
        <v>0</v>
      </c>
      <c r="Z213" s="1153"/>
      <c r="AC213" s="1375">
        <f t="shared" ref="AC213:AC257" si="58">IF(AD213&gt;1,AD213,IF(AF213&gt;1,AF213,0))</f>
        <v>0</v>
      </c>
      <c r="AD213" s="1373">
        <f t="shared" si="55"/>
        <v>0</v>
      </c>
      <c r="AE213" s="1373">
        <f t="shared" ref="AE213:AE257" si="59">IF(AND($AE$12=1,$AC$12=2),PMT((($D$18/360)*(365/12)),B212,-K212),0)</f>
        <v>0</v>
      </c>
      <c r="AF213" s="1373">
        <f t="shared" si="57"/>
        <v>0</v>
      </c>
      <c r="AG213" s="1371">
        <f t="shared" si="56"/>
        <v>0</v>
      </c>
      <c r="AH213" s="1359" t="e">
        <f>HLOOKUP($AH$13,Sustitución,197,0)</f>
        <v>#N/A</v>
      </c>
      <c r="AJ213" s="1360">
        <f>Captura!AI283</f>
        <v>0</v>
      </c>
    </row>
    <row r="214" spans="1:36">
      <c r="A214" s="1118">
        <f t="shared" ca="1" si="45"/>
        <v>8</v>
      </c>
      <c r="B214" s="1101">
        <f t="shared" si="46"/>
        <v>0</v>
      </c>
      <c r="C214" s="2149">
        <f t="shared" si="47"/>
        <v>0</v>
      </c>
      <c r="D214" s="2150">
        <f t="shared" si="51"/>
        <v>0</v>
      </c>
      <c r="E214" s="2145">
        <f t="shared" si="52"/>
        <v>0</v>
      </c>
      <c r="F214" s="2145">
        <f t="shared" si="48"/>
        <v>0</v>
      </c>
      <c r="G214" s="2145">
        <f t="shared" si="53"/>
        <v>0</v>
      </c>
      <c r="H214" s="2145">
        <f>IF(K213&lt;0.01,0,IF(Adm!$S$4=Adm!$S$8,0,K213*Adm!$V$4))</f>
        <v>0</v>
      </c>
      <c r="I214" s="2145">
        <f>IF(K213&lt;0.01,0,IF($I$16&lt;&gt;"",Adm!$Q$6*1.16,0))</f>
        <v>0</v>
      </c>
      <c r="J214" s="2145">
        <f t="shared" si="49"/>
        <v>0</v>
      </c>
      <c r="K214" s="2145">
        <f t="shared" si="50"/>
        <v>0</v>
      </c>
      <c r="L214" s="2146"/>
      <c r="W214" s="1352">
        <f t="shared" si="54"/>
        <v>5</v>
      </c>
      <c r="X214" s="1367">
        <f>IF(W214=1,Adm!$AP$3,0)</f>
        <v>0</v>
      </c>
      <c r="Z214" s="1153"/>
      <c r="AC214" s="1375">
        <f t="shared" si="58"/>
        <v>0</v>
      </c>
      <c r="AD214" s="1373">
        <f t="shared" si="55"/>
        <v>0</v>
      </c>
      <c r="AE214" s="1373">
        <f t="shared" si="59"/>
        <v>0</v>
      </c>
      <c r="AF214" s="1373">
        <f t="shared" si="57"/>
        <v>0</v>
      </c>
      <c r="AG214" s="1371">
        <f t="shared" si="56"/>
        <v>0</v>
      </c>
      <c r="AH214" s="1359" t="e">
        <f>HLOOKUP($AH$13,Sustitución,198,0)</f>
        <v>#N/A</v>
      </c>
      <c r="AJ214" s="1360">
        <f>Captura!AI284</f>
        <v>0</v>
      </c>
    </row>
    <row r="215" spans="1:36">
      <c r="A215" s="1118">
        <f t="shared" ca="1" si="45"/>
        <v>9</v>
      </c>
      <c r="B215" s="1101">
        <f t="shared" si="46"/>
        <v>0</v>
      </c>
      <c r="C215" s="2149">
        <f t="shared" si="47"/>
        <v>0</v>
      </c>
      <c r="D215" s="2150">
        <f t="shared" si="51"/>
        <v>0</v>
      </c>
      <c r="E215" s="2145">
        <f t="shared" si="52"/>
        <v>0</v>
      </c>
      <c r="F215" s="2145">
        <f t="shared" si="48"/>
        <v>0</v>
      </c>
      <c r="G215" s="2145">
        <f t="shared" si="53"/>
        <v>0</v>
      </c>
      <c r="H215" s="2145">
        <f>IF(K214&lt;0.01,0,IF(Adm!$S$4=Adm!$S$8,0,K214*Adm!$V$4))</f>
        <v>0</v>
      </c>
      <c r="I215" s="2145">
        <f>IF(K214&lt;0.01,0,IF($I$16&lt;&gt;"",Adm!$Q$6*1.16,0))</f>
        <v>0</v>
      </c>
      <c r="J215" s="2145">
        <f t="shared" si="49"/>
        <v>0</v>
      </c>
      <c r="K215" s="2145">
        <f t="shared" si="50"/>
        <v>0</v>
      </c>
      <c r="L215" s="2146"/>
      <c r="W215" s="1352">
        <f t="shared" si="54"/>
        <v>6</v>
      </c>
      <c r="X215" s="1367">
        <f>IF(W215=1,Adm!$AP$3,0)</f>
        <v>0</v>
      </c>
      <c r="Z215" s="1153"/>
      <c r="AC215" s="1375">
        <f t="shared" si="58"/>
        <v>0</v>
      </c>
      <c r="AD215" s="1373">
        <f t="shared" si="55"/>
        <v>0</v>
      </c>
      <c r="AE215" s="1373">
        <f t="shared" si="59"/>
        <v>0</v>
      </c>
      <c r="AF215" s="1373">
        <f t="shared" si="57"/>
        <v>0</v>
      </c>
      <c r="AG215" s="1371">
        <f t="shared" si="56"/>
        <v>0</v>
      </c>
      <c r="AH215" s="1359" t="e">
        <f>HLOOKUP($AH$13,Sustitución,199,0)</f>
        <v>#N/A</v>
      </c>
      <c r="AJ215" s="1360">
        <f>Captura!AI285</f>
        <v>0</v>
      </c>
    </row>
    <row r="216" spans="1:36">
      <c r="A216" s="1118">
        <f t="shared" ca="1" si="45"/>
        <v>10</v>
      </c>
      <c r="B216" s="1101">
        <f t="shared" si="46"/>
        <v>0</v>
      </c>
      <c r="C216" s="2149">
        <f t="shared" si="47"/>
        <v>0</v>
      </c>
      <c r="D216" s="2150">
        <f t="shared" si="51"/>
        <v>0</v>
      </c>
      <c r="E216" s="2145">
        <f t="shared" si="52"/>
        <v>0</v>
      </c>
      <c r="F216" s="2145">
        <f t="shared" si="48"/>
        <v>0</v>
      </c>
      <c r="G216" s="2145">
        <f t="shared" si="53"/>
        <v>0</v>
      </c>
      <c r="H216" s="2145">
        <f>IF(K215&lt;0.01,0,IF(Adm!$S$4=Adm!$S$8,0,K215*Adm!$V$4))</f>
        <v>0</v>
      </c>
      <c r="I216" s="2145">
        <f>IF(K215&lt;0.01,0,IF($I$16&lt;&gt;"",Adm!$Q$6*1.16,0))</f>
        <v>0</v>
      </c>
      <c r="J216" s="2145">
        <f t="shared" si="49"/>
        <v>0</v>
      </c>
      <c r="K216" s="2145">
        <f t="shared" si="50"/>
        <v>0</v>
      </c>
      <c r="L216" s="2146"/>
      <c r="W216" s="1352">
        <f t="shared" si="54"/>
        <v>7</v>
      </c>
      <c r="X216" s="1367">
        <f>IF(W216=1,Adm!$AP$3,0)</f>
        <v>0</v>
      </c>
      <c r="Z216" s="1153"/>
      <c r="AC216" s="1375">
        <f t="shared" si="58"/>
        <v>0</v>
      </c>
      <c r="AD216" s="1373">
        <f t="shared" si="55"/>
        <v>0</v>
      </c>
      <c r="AE216" s="1373">
        <f t="shared" si="59"/>
        <v>0</v>
      </c>
      <c r="AF216" s="1373">
        <f t="shared" si="57"/>
        <v>0</v>
      </c>
      <c r="AG216" s="1371">
        <f t="shared" si="56"/>
        <v>0</v>
      </c>
      <c r="AH216" s="1359" t="e">
        <f>HLOOKUP($AH$13,Sustitución,200,0)</f>
        <v>#N/A</v>
      </c>
      <c r="AJ216" s="1360">
        <f>Captura!AI286</f>
        <v>0</v>
      </c>
    </row>
    <row r="217" spans="1:36">
      <c r="A217" s="1118">
        <f t="shared" ca="1" si="45"/>
        <v>11</v>
      </c>
      <c r="B217" s="1101">
        <f t="shared" si="46"/>
        <v>0</v>
      </c>
      <c r="C217" s="2149">
        <f t="shared" si="47"/>
        <v>0</v>
      </c>
      <c r="D217" s="2150">
        <f t="shared" si="51"/>
        <v>0</v>
      </c>
      <c r="E217" s="2145">
        <f t="shared" si="52"/>
        <v>0</v>
      </c>
      <c r="F217" s="2145">
        <f t="shared" si="48"/>
        <v>0</v>
      </c>
      <c r="G217" s="2145">
        <f t="shared" si="53"/>
        <v>0</v>
      </c>
      <c r="H217" s="2145">
        <f>IF(K216&lt;0.01,0,IF(Adm!$S$4=Adm!$S$8,0,K216*Adm!$V$4))</f>
        <v>0</v>
      </c>
      <c r="I217" s="2145">
        <f>IF(K216&lt;0.01,0,IF($I$16&lt;&gt;"",Adm!$Q$6*1.16,0))</f>
        <v>0</v>
      </c>
      <c r="J217" s="2145">
        <f t="shared" si="49"/>
        <v>0</v>
      </c>
      <c r="K217" s="2145">
        <f t="shared" si="50"/>
        <v>0</v>
      </c>
      <c r="L217" s="2146"/>
      <c r="W217" s="1352">
        <f t="shared" si="54"/>
        <v>8</v>
      </c>
      <c r="X217" s="1367">
        <f>IF(W217=1,Adm!$AP$3,0)</f>
        <v>0</v>
      </c>
      <c r="Z217" s="1153"/>
      <c r="AC217" s="1375">
        <f t="shared" si="58"/>
        <v>0</v>
      </c>
      <c r="AD217" s="1373">
        <f t="shared" si="55"/>
        <v>0</v>
      </c>
      <c r="AE217" s="1373">
        <f t="shared" si="59"/>
        <v>0</v>
      </c>
      <c r="AF217" s="1373">
        <f t="shared" si="57"/>
        <v>0</v>
      </c>
      <c r="AG217" s="1371">
        <f t="shared" si="56"/>
        <v>0</v>
      </c>
      <c r="AH217" s="1359" t="e">
        <f>HLOOKUP($AH$13,Sustitución,201,0)</f>
        <v>#N/A</v>
      </c>
      <c r="AJ217" s="1360">
        <f>Captura!AI287</f>
        <v>0</v>
      </c>
    </row>
    <row r="218" spans="1:36">
      <c r="A218" s="1118">
        <f t="shared" ca="1" si="45"/>
        <v>12</v>
      </c>
      <c r="B218" s="1101">
        <f t="shared" si="46"/>
        <v>0</v>
      </c>
      <c r="C218" s="2149">
        <f t="shared" si="47"/>
        <v>0</v>
      </c>
      <c r="D218" s="2150">
        <f t="shared" si="51"/>
        <v>0</v>
      </c>
      <c r="E218" s="2145">
        <f t="shared" si="52"/>
        <v>0</v>
      </c>
      <c r="F218" s="2145">
        <f t="shared" si="48"/>
        <v>0</v>
      </c>
      <c r="G218" s="2145">
        <f t="shared" si="53"/>
        <v>0</v>
      </c>
      <c r="H218" s="2145">
        <f>IF(K217&lt;0.01,0,IF(Adm!$S$4=Adm!$S$8,0,K217*Adm!$V$4))</f>
        <v>0</v>
      </c>
      <c r="I218" s="2145">
        <f>IF(K217&lt;0.01,0,IF($I$16&lt;&gt;"",Adm!$Q$6*1.16,0))</f>
        <v>0</v>
      </c>
      <c r="J218" s="2145">
        <f t="shared" si="49"/>
        <v>0</v>
      </c>
      <c r="K218" s="2145">
        <f t="shared" si="50"/>
        <v>0</v>
      </c>
      <c r="L218" s="2146"/>
      <c r="W218" s="1352">
        <f t="shared" si="54"/>
        <v>9</v>
      </c>
      <c r="X218" s="1367">
        <f>IF(W218=1,Adm!$AP$3,0)</f>
        <v>0</v>
      </c>
      <c r="Z218" s="1153"/>
      <c r="AC218" s="1375">
        <f t="shared" si="58"/>
        <v>0</v>
      </c>
      <c r="AD218" s="1373">
        <f t="shared" si="55"/>
        <v>0</v>
      </c>
      <c r="AE218" s="1373">
        <f t="shared" si="59"/>
        <v>0</v>
      </c>
      <c r="AF218" s="1373">
        <f t="shared" si="57"/>
        <v>0</v>
      </c>
      <c r="AG218" s="1371">
        <f t="shared" si="56"/>
        <v>0</v>
      </c>
      <c r="AH218" s="1359" t="e">
        <f>HLOOKUP($AH$13,Sustitución,202,0)</f>
        <v>#N/A</v>
      </c>
      <c r="AJ218" s="1360">
        <f>Captura!AI288</f>
        <v>0</v>
      </c>
    </row>
    <row r="219" spans="1:36">
      <c r="A219" s="1118">
        <f t="shared" ca="1" si="45"/>
        <v>1</v>
      </c>
      <c r="B219" s="1101">
        <f t="shared" si="46"/>
        <v>0</v>
      </c>
      <c r="C219" s="2149">
        <f t="shared" si="47"/>
        <v>0</v>
      </c>
      <c r="D219" s="2150">
        <f t="shared" si="51"/>
        <v>0</v>
      </c>
      <c r="E219" s="2145">
        <f t="shared" si="52"/>
        <v>0</v>
      </c>
      <c r="F219" s="2145">
        <f t="shared" si="48"/>
        <v>0</v>
      </c>
      <c r="G219" s="2145">
        <f t="shared" si="53"/>
        <v>0</v>
      </c>
      <c r="H219" s="2145">
        <f>IF(K218&lt;0.01,0,IF(Adm!$S$4=Adm!$S$8,0,K218*Adm!$V$4))</f>
        <v>0</v>
      </c>
      <c r="I219" s="2145">
        <f>IF(K218&lt;0.01,0,IF($I$16&lt;&gt;"",Adm!$Q$6*1.16,0))</f>
        <v>0</v>
      </c>
      <c r="J219" s="2145">
        <f t="shared" si="49"/>
        <v>0</v>
      </c>
      <c r="K219" s="2145">
        <f t="shared" si="50"/>
        <v>0</v>
      </c>
      <c r="L219" s="2146"/>
      <c r="W219" s="1352">
        <f t="shared" si="54"/>
        <v>10</v>
      </c>
      <c r="X219" s="1367">
        <f>IF(W219=1,Adm!$AP$3,0)</f>
        <v>0</v>
      </c>
      <c r="Z219" s="1153"/>
      <c r="AC219" s="1375">
        <f t="shared" si="58"/>
        <v>0</v>
      </c>
      <c r="AD219" s="1373">
        <f t="shared" si="55"/>
        <v>0</v>
      </c>
      <c r="AE219" s="1373">
        <f t="shared" si="59"/>
        <v>0</v>
      </c>
      <c r="AF219" s="1373">
        <f t="shared" si="57"/>
        <v>0</v>
      </c>
      <c r="AG219" s="1371">
        <f t="shared" si="56"/>
        <v>0</v>
      </c>
      <c r="AH219" s="1359" t="e">
        <f>HLOOKUP($AH$13,Sustitución,203,0)</f>
        <v>#N/A</v>
      </c>
      <c r="AJ219" s="1360">
        <f>Captura!AI289</f>
        <v>0</v>
      </c>
    </row>
    <row r="220" spans="1:36">
      <c r="A220" s="1118">
        <f t="shared" ca="1" si="45"/>
        <v>2</v>
      </c>
      <c r="B220" s="1101">
        <f t="shared" si="46"/>
        <v>0</v>
      </c>
      <c r="C220" s="2149">
        <f t="shared" si="47"/>
        <v>0</v>
      </c>
      <c r="D220" s="2150">
        <f t="shared" si="51"/>
        <v>0</v>
      </c>
      <c r="E220" s="2145">
        <f t="shared" si="52"/>
        <v>0</v>
      </c>
      <c r="F220" s="2145">
        <f t="shared" si="48"/>
        <v>0</v>
      </c>
      <c r="G220" s="2145">
        <f t="shared" si="53"/>
        <v>0</v>
      </c>
      <c r="H220" s="2145">
        <f>IF(K219&lt;0.01,0,IF(Adm!$S$4=Adm!$S$8,0,K219*Adm!$V$4))</f>
        <v>0</v>
      </c>
      <c r="I220" s="2145">
        <f>IF(K219&lt;0.01,0,IF($I$16&lt;&gt;"",Adm!$Q$6*1.16,0))</f>
        <v>0</v>
      </c>
      <c r="J220" s="2145">
        <f t="shared" si="49"/>
        <v>0</v>
      </c>
      <c r="K220" s="2145">
        <f t="shared" si="50"/>
        <v>0</v>
      </c>
      <c r="L220" s="2146"/>
      <c r="W220" s="1352">
        <f t="shared" si="54"/>
        <v>11</v>
      </c>
      <c r="X220" s="1367">
        <f>IF(W220=1,Adm!$AP$3,0)</f>
        <v>0</v>
      </c>
      <c r="Z220" s="1153"/>
      <c r="AC220" s="1375">
        <f t="shared" si="58"/>
        <v>0</v>
      </c>
      <c r="AD220" s="1373">
        <f t="shared" si="55"/>
        <v>0</v>
      </c>
      <c r="AE220" s="1373">
        <f t="shared" si="59"/>
        <v>0</v>
      </c>
      <c r="AF220" s="1373">
        <f t="shared" si="57"/>
        <v>0</v>
      </c>
      <c r="AG220" s="1371">
        <f t="shared" si="56"/>
        <v>0</v>
      </c>
      <c r="AH220" s="1359" t="e">
        <f>HLOOKUP($AH$13,Sustitución,204,0)</f>
        <v>#N/A</v>
      </c>
      <c r="AJ220" s="1360">
        <f>Captura!AI290</f>
        <v>0</v>
      </c>
    </row>
    <row r="221" spans="1:36">
      <c r="A221" s="1118">
        <f t="shared" ca="1" si="45"/>
        <v>3</v>
      </c>
      <c r="B221" s="1101">
        <f t="shared" si="46"/>
        <v>0</v>
      </c>
      <c r="C221" s="2149">
        <f t="shared" si="47"/>
        <v>0</v>
      </c>
      <c r="D221" s="2150">
        <f t="shared" si="51"/>
        <v>0</v>
      </c>
      <c r="E221" s="2145">
        <f t="shared" si="52"/>
        <v>0</v>
      </c>
      <c r="F221" s="2145">
        <f t="shared" si="48"/>
        <v>0</v>
      </c>
      <c r="G221" s="2145">
        <f t="shared" si="53"/>
        <v>0</v>
      </c>
      <c r="H221" s="2145">
        <f>IF(K220&lt;0.01,0,IF(Adm!$S$4=Adm!$S$8,0,K220*Adm!$V$4))</f>
        <v>0</v>
      </c>
      <c r="I221" s="2145">
        <f>IF(K220&lt;0.01,0,IF($I$16&lt;&gt;"",Adm!$Q$6*1.16,0))</f>
        <v>0</v>
      </c>
      <c r="J221" s="2145">
        <f t="shared" si="49"/>
        <v>0</v>
      </c>
      <c r="K221" s="2145">
        <f t="shared" si="50"/>
        <v>0</v>
      </c>
      <c r="L221" s="2146"/>
      <c r="W221" s="1352">
        <f t="shared" si="54"/>
        <v>12</v>
      </c>
      <c r="X221" s="1367">
        <f>IF(W221=1,Adm!$AP$3,0)</f>
        <v>0</v>
      </c>
      <c r="Z221" s="1153"/>
      <c r="AC221" s="1375">
        <f t="shared" si="58"/>
        <v>0</v>
      </c>
      <c r="AD221" s="1373">
        <f t="shared" si="55"/>
        <v>0</v>
      </c>
      <c r="AE221" s="1373">
        <f t="shared" si="59"/>
        <v>0</v>
      </c>
      <c r="AF221" s="1373">
        <f t="shared" si="57"/>
        <v>0</v>
      </c>
      <c r="AG221" s="1371">
        <f t="shared" si="56"/>
        <v>0</v>
      </c>
      <c r="AH221" s="1359" t="e">
        <f>HLOOKUP($AH$13,Sustitución,205,0)</f>
        <v>#N/A</v>
      </c>
      <c r="AJ221" s="1360">
        <f>Captura!AI291</f>
        <v>0</v>
      </c>
    </row>
    <row r="222" spans="1:36">
      <c r="A222" s="1118">
        <f t="shared" ca="1" si="45"/>
        <v>4</v>
      </c>
      <c r="B222" s="1101">
        <f t="shared" si="46"/>
        <v>0</v>
      </c>
      <c r="C222" s="2149">
        <f t="shared" si="47"/>
        <v>0</v>
      </c>
      <c r="D222" s="2150">
        <f t="shared" si="51"/>
        <v>0</v>
      </c>
      <c r="E222" s="2145">
        <f t="shared" si="52"/>
        <v>0</v>
      </c>
      <c r="F222" s="2145">
        <f t="shared" si="48"/>
        <v>0</v>
      </c>
      <c r="G222" s="2145">
        <f t="shared" si="53"/>
        <v>0</v>
      </c>
      <c r="H222" s="2145">
        <f>IF(K221&lt;0.01,0,IF(Adm!$S$4=Adm!$S$8,0,K221*Adm!$V$4))</f>
        <v>0</v>
      </c>
      <c r="I222" s="2145">
        <f>IF(K221&lt;0.01,0,IF($I$16&lt;&gt;"",Adm!$Q$6*1.16,0))</f>
        <v>0</v>
      </c>
      <c r="J222" s="2145">
        <f t="shared" si="49"/>
        <v>0</v>
      </c>
      <c r="K222" s="2145">
        <f t="shared" si="50"/>
        <v>0</v>
      </c>
      <c r="L222" s="2146"/>
      <c r="W222" s="1352">
        <f t="shared" si="54"/>
        <v>1</v>
      </c>
      <c r="X222" s="1367">
        <f>IF(W222=1,Adm!$AP$3,0)</f>
        <v>0</v>
      </c>
      <c r="Z222" s="1153"/>
      <c r="AC222" s="1375">
        <f t="shared" si="58"/>
        <v>0</v>
      </c>
      <c r="AD222" s="1373">
        <f t="shared" si="55"/>
        <v>0</v>
      </c>
      <c r="AE222" s="1373">
        <f t="shared" si="59"/>
        <v>0</v>
      </c>
      <c r="AF222" s="1373">
        <f t="shared" si="57"/>
        <v>0</v>
      </c>
      <c r="AG222" s="1371">
        <f t="shared" si="56"/>
        <v>0</v>
      </c>
      <c r="AH222" s="1359" t="e">
        <f>HLOOKUP($AH$13,Sustitución,206,0)</f>
        <v>#N/A</v>
      </c>
      <c r="AJ222" s="1360">
        <f>Captura!AI292</f>
        <v>0</v>
      </c>
    </row>
    <row r="223" spans="1:36">
      <c r="A223" s="1118">
        <f t="shared" ca="1" si="45"/>
        <v>5</v>
      </c>
      <c r="B223" s="1101">
        <f t="shared" si="46"/>
        <v>0</v>
      </c>
      <c r="C223" s="2149">
        <f t="shared" si="47"/>
        <v>0</v>
      </c>
      <c r="D223" s="2150">
        <f t="shared" si="51"/>
        <v>0</v>
      </c>
      <c r="E223" s="2145">
        <f t="shared" si="52"/>
        <v>0</v>
      </c>
      <c r="F223" s="2145">
        <f t="shared" si="48"/>
        <v>0</v>
      </c>
      <c r="G223" s="2145">
        <f t="shared" si="53"/>
        <v>0</v>
      </c>
      <c r="H223" s="2145">
        <f>IF(K222&lt;0.01,0,IF(Adm!$S$4=Adm!$S$8,0,K222*Adm!$V$4))</f>
        <v>0</v>
      </c>
      <c r="I223" s="2145">
        <f>IF(K222&lt;0.01,0,IF($I$16&lt;&gt;"",Adm!$Q$6*1.16,0))</f>
        <v>0</v>
      </c>
      <c r="J223" s="2145">
        <f t="shared" si="49"/>
        <v>0</v>
      </c>
      <c r="K223" s="2145">
        <f t="shared" si="50"/>
        <v>0</v>
      </c>
      <c r="L223" s="2146"/>
      <c r="W223" s="1352">
        <f t="shared" si="54"/>
        <v>2</v>
      </c>
      <c r="X223" s="1367">
        <f>IF(W223=1,Adm!$AP$3,0)</f>
        <v>0</v>
      </c>
      <c r="Z223" s="1153"/>
      <c r="AC223" s="1375">
        <f t="shared" si="58"/>
        <v>0</v>
      </c>
      <c r="AD223" s="1373">
        <f t="shared" si="55"/>
        <v>0</v>
      </c>
      <c r="AE223" s="1373">
        <f t="shared" si="59"/>
        <v>0</v>
      </c>
      <c r="AF223" s="1373">
        <f t="shared" si="57"/>
        <v>0</v>
      </c>
      <c r="AG223" s="1371">
        <f t="shared" si="56"/>
        <v>0</v>
      </c>
      <c r="AH223" s="1359" t="e">
        <f>HLOOKUP($AH$13,Sustitución,207,0)</f>
        <v>#N/A</v>
      </c>
      <c r="AJ223" s="1360">
        <f>Captura!AI293</f>
        <v>0</v>
      </c>
    </row>
    <row r="224" spans="1:36">
      <c r="A224" s="1118">
        <f t="shared" ca="1" si="45"/>
        <v>6</v>
      </c>
      <c r="B224" s="1101">
        <f t="shared" si="46"/>
        <v>0</v>
      </c>
      <c r="C224" s="2149">
        <f t="shared" si="47"/>
        <v>0</v>
      </c>
      <c r="D224" s="2150">
        <f t="shared" si="51"/>
        <v>0</v>
      </c>
      <c r="E224" s="2145">
        <f t="shared" si="52"/>
        <v>0</v>
      </c>
      <c r="F224" s="2145">
        <f t="shared" si="48"/>
        <v>0</v>
      </c>
      <c r="G224" s="2145">
        <f t="shared" si="53"/>
        <v>0</v>
      </c>
      <c r="H224" s="2145">
        <f>IF(K223&lt;0.01,0,IF(Adm!$S$4=Adm!$S$8,0,K223*Adm!$V$4))</f>
        <v>0</v>
      </c>
      <c r="I224" s="2145">
        <f>IF(K223&lt;0.01,0,IF($I$16&lt;&gt;"",Adm!$Q$6*1.16,0))</f>
        <v>0</v>
      </c>
      <c r="J224" s="2145">
        <f t="shared" si="49"/>
        <v>0</v>
      </c>
      <c r="K224" s="2145">
        <f t="shared" si="50"/>
        <v>0</v>
      </c>
      <c r="L224" s="2146"/>
      <c r="W224" s="1352">
        <f t="shared" si="54"/>
        <v>3</v>
      </c>
      <c r="X224" s="1367">
        <f>IF(W224=1,Adm!$AP$3,0)</f>
        <v>0</v>
      </c>
      <c r="Z224" s="1153"/>
      <c r="AC224" s="1375">
        <f t="shared" si="58"/>
        <v>0</v>
      </c>
      <c r="AD224" s="1373">
        <f t="shared" si="55"/>
        <v>0</v>
      </c>
      <c r="AE224" s="1373">
        <f t="shared" si="59"/>
        <v>0</v>
      </c>
      <c r="AF224" s="1373">
        <f t="shared" si="57"/>
        <v>0</v>
      </c>
      <c r="AG224" s="1371">
        <f t="shared" si="56"/>
        <v>0</v>
      </c>
      <c r="AH224" s="1359" t="e">
        <f>HLOOKUP($AH$13,Sustitución,208,0)</f>
        <v>#N/A</v>
      </c>
      <c r="AJ224" s="1360">
        <f>Captura!AI294</f>
        <v>0</v>
      </c>
    </row>
    <row r="225" spans="1:36">
      <c r="A225" s="1118">
        <f t="shared" ca="1" si="45"/>
        <v>7</v>
      </c>
      <c r="B225" s="1101">
        <f t="shared" si="46"/>
        <v>0</v>
      </c>
      <c r="C225" s="2149">
        <f t="shared" si="47"/>
        <v>0</v>
      </c>
      <c r="D225" s="2150">
        <f t="shared" si="51"/>
        <v>0</v>
      </c>
      <c r="E225" s="2145">
        <f t="shared" si="52"/>
        <v>0</v>
      </c>
      <c r="F225" s="2145">
        <f t="shared" si="48"/>
        <v>0</v>
      </c>
      <c r="G225" s="2145">
        <f t="shared" si="53"/>
        <v>0</v>
      </c>
      <c r="H225" s="2145">
        <f>IF(K224&lt;0.01,0,IF(Adm!$S$4=Adm!$S$8,0,K224*Adm!$V$4))</f>
        <v>0</v>
      </c>
      <c r="I225" s="2145">
        <f>IF(K224&lt;0.01,0,IF($I$16&lt;&gt;"",Adm!$Q$6*1.16,0))</f>
        <v>0</v>
      </c>
      <c r="J225" s="2145">
        <f t="shared" si="49"/>
        <v>0</v>
      </c>
      <c r="K225" s="2145">
        <f t="shared" si="50"/>
        <v>0</v>
      </c>
      <c r="L225" s="2146"/>
      <c r="W225" s="1352">
        <f t="shared" si="54"/>
        <v>4</v>
      </c>
      <c r="X225" s="1367">
        <f>IF(W225=1,Adm!$AP$3,0)</f>
        <v>0</v>
      </c>
      <c r="Z225" s="1153"/>
      <c r="AC225" s="1375">
        <f t="shared" si="58"/>
        <v>0</v>
      </c>
      <c r="AD225" s="1373">
        <f t="shared" si="55"/>
        <v>0</v>
      </c>
      <c r="AE225" s="1373">
        <f t="shared" si="59"/>
        <v>0</v>
      </c>
      <c r="AF225" s="1373">
        <f t="shared" si="57"/>
        <v>0</v>
      </c>
      <c r="AG225" s="1371">
        <f t="shared" si="56"/>
        <v>0</v>
      </c>
      <c r="AH225" s="1359" t="e">
        <f>HLOOKUP($AH$13,Sustitución,209,0)</f>
        <v>#N/A</v>
      </c>
      <c r="AJ225" s="1360">
        <f>Captura!AI295</f>
        <v>0</v>
      </c>
    </row>
    <row r="226" spans="1:36">
      <c r="A226" s="1118">
        <f t="shared" ca="1" si="45"/>
        <v>8</v>
      </c>
      <c r="B226" s="1101">
        <f t="shared" si="46"/>
        <v>0</v>
      </c>
      <c r="C226" s="2149">
        <f t="shared" si="47"/>
        <v>0</v>
      </c>
      <c r="D226" s="2150">
        <f t="shared" si="51"/>
        <v>0</v>
      </c>
      <c r="E226" s="2145">
        <f t="shared" si="52"/>
        <v>0</v>
      </c>
      <c r="F226" s="2145">
        <f t="shared" si="48"/>
        <v>0</v>
      </c>
      <c r="G226" s="2145">
        <f t="shared" si="53"/>
        <v>0</v>
      </c>
      <c r="H226" s="2145">
        <f>IF(K225&lt;0.01,0,IF(Adm!$S$4=Adm!$S$8,0,K225*Adm!$V$4))</f>
        <v>0</v>
      </c>
      <c r="I226" s="2145">
        <f>IF(K225&lt;0.01,0,IF($I$16&lt;&gt;"",Adm!$Q$6*1.16,0))</f>
        <v>0</v>
      </c>
      <c r="J226" s="2145">
        <f t="shared" si="49"/>
        <v>0</v>
      </c>
      <c r="K226" s="2145">
        <f t="shared" si="50"/>
        <v>0</v>
      </c>
      <c r="L226" s="2146"/>
      <c r="W226" s="1352">
        <f t="shared" si="54"/>
        <v>5</v>
      </c>
      <c r="X226" s="1367">
        <f>IF(W226=1,Adm!$AP$3,0)</f>
        <v>0</v>
      </c>
      <c r="Z226" s="1153"/>
      <c r="AC226" s="1375">
        <f t="shared" si="58"/>
        <v>0</v>
      </c>
      <c r="AD226" s="1373">
        <f t="shared" si="55"/>
        <v>0</v>
      </c>
      <c r="AE226" s="1373">
        <f t="shared" si="59"/>
        <v>0</v>
      </c>
      <c r="AF226" s="1373">
        <f t="shared" si="57"/>
        <v>0</v>
      </c>
      <c r="AG226" s="1371">
        <f t="shared" si="56"/>
        <v>0</v>
      </c>
      <c r="AH226" s="1359" t="e">
        <f>HLOOKUP($AH$13,Sustitución,210,0)</f>
        <v>#N/A</v>
      </c>
      <c r="AJ226" s="1360">
        <f>Captura!AI296</f>
        <v>0</v>
      </c>
    </row>
    <row r="227" spans="1:36">
      <c r="A227" s="1118">
        <f t="shared" ca="1" si="45"/>
        <v>9</v>
      </c>
      <c r="B227" s="1101">
        <f t="shared" si="46"/>
        <v>0</v>
      </c>
      <c r="C227" s="2149">
        <f t="shared" si="47"/>
        <v>0</v>
      </c>
      <c r="D227" s="2150">
        <f t="shared" si="51"/>
        <v>0</v>
      </c>
      <c r="E227" s="2145">
        <f t="shared" si="52"/>
        <v>0</v>
      </c>
      <c r="F227" s="2145">
        <f t="shared" si="48"/>
        <v>0</v>
      </c>
      <c r="G227" s="2145">
        <f t="shared" si="53"/>
        <v>0</v>
      </c>
      <c r="H227" s="2145">
        <f>IF(K226&lt;0.01,0,IF(Adm!$S$4=Adm!$S$8,0,K226*Adm!$V$4))</f>
        <v>0</v>
      </c>
      <c r="I227" s="2145">
        <f>IF(K226&lt;0.01,0,IF($I$16&lt;&gt;"",Adm!$Q$6*1.16,0))</f>
        <v>0</v>
      </c>
      <c r="J227" s="2145">
        <f t="shared" si="49"/>
        <v>0</v>
      </c>
      <c r="K227" s="2145">
        <f t="shared" si="50"/>
        <v>0</v>
      </c>
      <c r="L227" s="2146"/>
      <c r="W227" s="1352">
        <f t="shared" si="54"/>
        <v>6</v>
      </c>
      <c r="X227" s="1367">
        <f>IF(W227=1,Adm!$AP$3,0)</f>
        <v>0</v>
      </c>
      <c r="Z227" s="1153"/>
      <c r="AC227" s="1375">
        <f t="shared" si="58"/>
        <v>0</v>
      </c>
      <c r="AD227" s="1373">
        <f t="shared" si="55"/>
        <v>0</v>
      </c>
      <c r="AE227" s="1373">
        <f t="shared" si="59"/>
        <v>0</v>
      </c>
      <c r="AF227" s="1373">
        <f t="shared" si="57"/>
        <v>0</v>
      </c>
      <c r="AG227" s="1371">
        <f t="shared" si="56"/>
        <v>0</v>
      </c>
      <c r="AH227" s="1359" t="e">
        <f>HLOOKUP($AH$13,Sustitución,211,0)</f>
        <v>#N/A</v>
      </c>
      <c r="AJ227" s="1360">
        <f>Captura!AI297</f>
        <v>0</v>
      </c>
    </row>
    <row r="228" spans="1:36">
      <c r="A228" s="1118">
        <f t="shared" ca="1" si="45"/>
        <v>10</v>
      </c>
      <c r="B228" s="1101">
        <f t="shared" si="46"/>
        <v>0</v>
      </c>
      <c r="C228" s="2149">
        <f t="shared" si="47"/>
        <v>0</v>
      </c>
      <c r="D228" s="2150">
        <f t="shared" si="51"/>
        <v>0</v>
      </c>
      <c r="E228" s="2145">
        <f t="shared" si="52"/>
        <v>0</v>
      </c>
      <c r="F228" s="2145">
        <f t="shared" si="48"/>
        <v>0</v>
      </c>
      <c r="G228" s="2145">
        <f t="shared" si="53"/>
        <v>0</v>
      </c>
      <c r="H228" s="2145">
        <f>IF(K227&lt;0.01,0,IF(Adm!$S$4=Adm!$S$8,0,K227*Adm!$V$4))</f>
        <v>0</v>
      </c>
      <c r="I228" s="2145">
        <f>IF(K227&lt;0.01,0,IF($I$16&lt;&gt;"",Adm!$Q$6*1.16,0))</f>
        <v>0</v>
      </c>
      <c r="J228" s="2145">
        <f t="shared" si="49"/>
        <v>0</v>
      </c>
      <c r="K228" s="2145">
        <f t="shared" si="50"/>
        <v>0</v>
      </c>
      <c r="L228" s="2146"/>
      <c r="W228" s="1352">
        <f t="shared" si="54"/>
        <v>7</v>
      </c>
      <c r="X228" s="1367">
        <f>IF(W228=1,Adm!$AP$3,0)</f>
        <v>0</v>
      </c>
      <c r="Z228" s="1153"/>
      <c r="AC228" s="1375">
        <f t="shared" si="58"/>
        <v>0</v>
      </c>
      <c r="AD228" s="1373">
        <f t="shared" si="55"/>
        <v>0</v>
      </c>
      <c r="AE228" s="1373">
        <f t="shared" si="59"/>
        <v>0</v>
      </c>
      <c r="AF228" s="1373">
        <f t="shared" si="57"/>
        <v>0</v>
      </c>
      <c r="AG228" s="1371">
        <f t="shared" si="56"/>
        <v>0</v>
      </c>
      <c r="AH228" s="1359" t="e">
        <f>HLOOKUP($AH$13,Sustitución,212,0)</f>
        <v>#N/A</v>
      </c>
      <c r="AJ228" s="1360">
        <f>Captura!AI298</f>
        <v>0</v>
      </c>
    </row>
    <row r="229" spans="1:36">
      <c r="A229" s="1118">
        <f t="shared" ca="1" si="45"/>
        <v>11</v>
      </c>
      <c r="B229" s="1101">
        <f t="shared" si="46"/>
        <v>0</v>
      </c>
      <c r="C229" s="2149">
        <f t="shared" si="47"/>
        <v>0</v>
      </c>
      <c r="D229" s="2150">
        <f t="shared" si="51"/>
        <v>0</v>
      </c>
      <c r="E229" s="2145">
        <f t="shared" si="52"/>
        <v>0</v>
      </c>
      <c r="F229" s="2145">
        <f t="shared" si="48"/>
        <v>0</v>
      </c>
      <c r="G229" s="2145">
        <f t="shared" si="53"/>
        <v>0</v>
      </c>
      <c r="H229" s="2145">
        <f>IF(K228&lt;0.01,0,IF(Adm!$S$4=Adm!$S$8,0,K228*Adm!$V$4))</f>
        <v>0</v>
      </c>
      <c r="I229" s="2145">
        <f>IF(K228&lt;0.01,0,IF($I$16&lt;&gt;"",Adm!$Q$6*1.16,0))</f>
        <v>0</v>
      </c>
      <c r="J229" s="2145">
        <f t="shared" si="49"/>
        <v>0</v>
      </c>
      <c r="K229" s="2145">
        <f t="shared" si="50"/>
        <v>0</v>
      </c>
      <c r="L229" s="2146"/>
      <c r="W229" s="1352">
        <f t="shared" si="54"/>
        <v>8</v>
      </c>
      <c r="X229" s="1367">
        <f>IF(W229=1,Adm!$AP$3,0)</f>
        <v>0</v>
      </c>
      <c r="Z229" s="1153"/>
      <c r="AC229" s="1375">
        <f t="shared" si="58"/>
        <v>0</v>
      </c>
      <c r="AD229" s="1373">
        <f t="shared" si="55"/>
        <v>0</v>
      </c>
      <c r="AE229" s="1373">
        <f t="shared" si="59"/>
        <v>0</v>
      </c>
      <c r="AF229" s="1373">
        <f t="shared" si="57"/>
        <v>0</v>
      </c>
      <c r="AG229" s="1371">
        <f t="shared" si="56"/>
        <v>0</v>
      </c>
      <c r="AH229" s="1359" t="e">
        <f>HLOOKUP($AH$13,Sustitución,213,0)</f>
        <v>#N/A</v>
      </c>
      <c r="AJ229" s="1360">
        <f>Captura!AI299</f>
        <v>0</v>
      </c>
    </row>
    <row r="230" spans="1:36">
      <c r="A230" s="1118">
        <f t="shared" ca="1" si="45"/>
        <v>12</v>
      </c>
      <c r="B230" s="1101">
        <f t="shared" si="46"/>
        <v>0</v>
      </c>
      <c r="C230" s="2149">
        <f t="shared" si="47"/>
        <v>0</v>
      </c>
      <c r="D230" s="2150">
        <f t="shared" si="51"/>
        <v>0</v>
      </c>
      <c r="E230" s="2145">
        <f t="shared" si="52"/>
        <v>0</v>
      </c>
      <c r="F230" s="2145">
        <f t="shared" si="48"/>
        <v>0</v>
      </c>
      <c r="G230" s="2145">
        <f t="shared" si="53"/>
        <v>0</v>
      </c>
      <c r="H230" s="2145">
        <f>IF(K229&lt;0.01,0,IF(Adm!$S$4=Adm!$S$8,0,K229*Adm!$V$4))</f>
        <v>0</v>
      </c>
      <c r="I230" s="2145">
        <f>IF(K229&lt;0.01,0,IF($I$16&lt;&gt;"",Adm!$Q$6*1.16,0))</f>
        <v>0</v>
      </c>
      <c r="J230" s="2145">
        <f t="shared" si="49"/>
        <v>0</v>
      </c>
      <c r="K230" s="2145">
        <f t="shared" si="50"/>
        <v>0</v>
      </c>
      <c r="L230" s="2146"/>
      <c r="W230" s="1352">
        <f t="shared" si="54"/>
        <v>9</v>
      </c>
      <c r="X230" s="1367">
        <f>IF(W230=1,Adm!$AP$3,0)</f>
        <v>0</v>
      </c>
      <c r="Z230" s="1153"/>
      <c r="AC230" s="1375">
        <f t="shared" si="58"/>
        <v>0</v>
      </c>
      <c r="AD230" s="1373">
        <f t="shared" si="55"/>
        <v>0</v>
      </c>
      <c r="AE230" s="1373">
        <f t="shared" si="59"/>
        <v>0</v>
      </c>
      <c r="AF230" s="1373">
        <f t="shared" si="57"/>
        <v>0</v>
      </c>
      <c r="AG230" s="1371">
        <f t="shared" si="56"/>
        <v>0</v>
      </c>
      <c r="AH230" s="1359" t="e">
        <f>HLOOKUP($AH$13,Sustitución,214,0)</f>
        <v>#N/A</v>
      </c>
      <c r="AJ230" s="1360">
        <f>Captura!AI300</f>
        <v>0</v>
      </c>
    </row>
    <row r="231" spans="1:36">
      <c r="A231" s="1118">
        <f t="shared" ca="1" si="45"/>
        <v>1</v>
      </c>
      <c r="B231" s="1101">
        <f t="shared" si="46"/>
        <v>0</v>
      </c>
      <c r="C231" s="2149">
        <f t="shared" si="47"/>
        <v>0</v>
      </c>
      <c r="D231" s="2150">
        <f t="shared" si="51"/>
        <v>0</v>
      </c>
      <c r="E231" s="2145">
        <f t="shared" si="52"/>
        <v>0</v>
      </c>
      <c r="F231" s="2145">
        <f t="shared" si="48"/>
        <v>0</v>
      </c>
      <c r="G231" s="2145">
        <f t="shared" si="53"/>
        <v>0</v>
      </c>
      <c r="H231" s="2145">
        <f>IF(K230&lt;0.01,0,IF(Adm!$S$4=Adm!$S$8,0,K230*Adm!$V$4))</f>
        <v>0</v>
      </c>
      <c r="I231" s="2145">
        <f>IF(K230&lt;0.01,0,IF($I$16&lt;&gt;"",Adm!$Q$6*1.16,0))</f>
        <v>0</v>
      </c>
      <c r="J231" s="2145">
        <f t="shared" si="49"/>
        <v>0</v>
      </c>
      <c r="K231" s="2145">
        <f t="shared" si="50"/>
        <v>0</v>
      </c>
      <c r="L231" s="2146"/>
      <c r="W231" s="1352">
        <f t="shared" si="54"/>
        <v>10</v>
      </c>
      <c r="X231" s="1367">
        <f>IF(W231=1,Adm!$AP$3,0)</f>
        <v>0</v>
      </c>
      <c r="Z231" s="1153"/>
      <c r="AC231" s="1375">
        <f t="shared" si="58"/>
        <v>0</v>
      </c>
      <c r="AD231" s="1373">
        <f t="shared" si="55"/>
        <v>0</v>
      </c>
      <c r="AE231" s="1373">
        <f t="shared" si="59"/>
        <v>0</v>
      </c>
      <c r="AF231" s="1373">
        <f t="shared" si="57"/>
        <v>0</v>
      </c>
      <c r="AG231" s="1371">
        <f t="shared" si="56"/>
        <v>0</v>
      </c>
      <c r="AH231" s="1359" t="e">
        <f>HLOOKUP($AH$13,Sustitución,215,0)</f>
        <v>#N/A</v>
      </c>
      <c r="AJ231" s="1360">
        <f>Captura!AI301</f>
        <v>0</v>
      </c>
    </row>
    <row r="232" spans="1:36">
      <c r="A232" s="1118">
        <f t="shared" ca="1" si="45"/>
        <v>2</v>
      </c>
      <c r="B232" s="1101">
        <f t="shared" si="46"/>
        <v>0</v>
      </c>
      <c r="C232" s="2149">
        <f t="shared" si="47"/>
        <v>0</v>
      </c>
      <c r="D232" s="2150">
        <f t="shared" si="51"/>
        <v>0</v>
      </c>
      <c r="E232" s="2145">
        <f t="shared" si="52"/>
        <v>0</v>
      </c>
      <c r="F232" s="2145">
        <f t="shared" si="48"/>
        <v>0</v>
      </c>
      <c r="G232" s="2145">
        <f t="shared" si="53"/>
        <v>0</v>
      </c>
      <c r="H232" s="2145">
        <f>IF(K231&lt;0.01,0,IF(Adm!$S$4=Adm!$S$8,0,K231*Adm!$V$4))</f>
        <v>0</v>
      </c>
      <c r="I232" s="2145">
        <f>IF(K231&lt;0.01,0,IF($I$16&lt;&gt;"",Adm!$Q$6*1.16,0))</f>
        <v>0</v>
      </c>
      <c r="J232" s="2145">
        <f t="shared" si="49"/>
        <v>0</v>
      </c>
      <c r="K232" s="2145">
        <f t="shared" si="50"/>
        <v>0</v>
      </c>
      <c r="L232" s="2146"/>
      <c r="W232" s="1352">
        <f t="shared" si="54"/>
        <v>11</v>
      </c>
      <c r="X232" s="1367">
        <f>IF(W232=1,Adm!$AP$3,0)</f>
        <v>0</v>
      </c>
      <c r="Z232" s="1153"/>
      <c r="AC232" s="1375">
        <f t="shared" si="58"/>
        <v>0</v>
      </c>
      <c r="AD232" s="1373">
        <f t="shared" si="55"/>
        <v>0</v>
      </c>
      <c r="AE232" s="1373">
        <f t="shared" si="59"/>
        <v>0</v>
      </c>
      <c r="AF232" s="1373">
        <f t="shared" si="57"/>
        <v>0</v>
      </c>
      <c r="AG232" s="1371">
        <f t="shared" si="56"/>
        <v>0</v>
      </c>
      <c r="AH232" s="1359" t="e">
        <f>HLOOKUP($AH$13,Sustitución,216,0)</f>
        <v>#N/A</v>
      </c>
      <c r="AJ232" s="1360">
        <f>Captura!AI302</f>
        <v>0</v>
      </c>
    </row>
    <row r="233" spans="1:36">
      <c r="A233" s="1118">
        <f t="shared" ca="1" si="45"/>
        <v>3</v>
      </c>
      <c r="B233" s="1101">
        <f t="shared" si="46"/>
        <v>0</v>
      </c>
      <c r="C233" s="2149">
        <f t="shared" si="47"/>
        <v>0</v>
      </c>
      <c r="D233" s="2150">
        <f t="shared" si="51"/>
        <v>0</v>
      </c>
      <c r="E233" s="2145">
        <f t="shared" si="52"/>
        <v>0</v>
      </c>
      <c r="F233" s="2145">
        <f t="shared" si="48"/>
        <v>0</v>
      </c>
      <c r="G233" s="2145">
        <f t="shared" si="53"/>
        <v>0</v>
      </c>
      <c r="H233" s="2145">
        <f>IF(K232&lt;0.01,0,IF(Adm!$S$4=Adm!$S$8,0,K232*Adm!$V$4))</f>
        <v>0</v>
      </c>
      <c r="I233" s="2145">
        <f>IF(K232&lt;0.01,0,IF($I$16&lt;&gt;"",Adm!$Q$6*1.16,0))</f>
        <v>0</v>
      </c>
      <c r="J233" s="2145">
        <f t="shared" si="49"/>
        <v>0</v>
      </c>
      <c r="K233" s="2145">
        <f t="shared" si="50"/>
        <v>0</v>
      </c>
      <c r="L233" s="2146"/>
      <c r="W233" s="1352">
        <f t="shared" si="54"/>
        <v>12</v>
      </c>
      <c r="X233" s="1367">
        <f>IF(W233=1,Adm!$AP$3,0)</f>
        <v>0</v>
      </c>
      <c r="Z233" s="1153"/>
      <c r="AC233" s="1375">
        <f t="shared" si="58"/>
        <v>0</v>
      </c>
      <c r="AD233" s="1373">
        <f t="shared" si="55"/>
        <v>0</v>
      </c>
      <c r="AE233" s="1373">
        <f t="shared" si="59"/>
        <v>0</v>
      </c>
      <c r="AF233" s="1373">
        <f t="shared" si="57"/>
        <v>0</v>
      </c>
      <c r="AG233" s="1371">
        <f t="shared" si="56"/>
        <v>0</v>
      </c>
      <c r="AH233" s="1359" t="e">
        <f>HLOOKUP($AH$13,Sustitución,217,0)</f>
        <v>#N/A</v>
      </c>
      <c r="AJ233" s="1360">
        <f>Captura!AI303</f>
        <v>0</v>
      </c>
    </row>
    <row r="234" spans="1:36">
      <c r="A234" s="1118">
        <f t="shared" ca="1" si="45"/>
        <v>4</v>
      </c>
      <c r="B234" s="1101">
        <f t="shared" si="46"/>
        <v>0</v>
      </c>
      <c r="C234" s="2149">
        <f t="shared" si="47"/>
        <v>0</v>
      </c>
      <c r="D234" s="2150">
        <f t="shared" si="51"/>
        <v>0</v>
      </c>
      <c r="E234" s="2145">
        <f t="shared" si="52"/>
        <v>0</v>
      </c>
      <c r="F234" s="2145">
        <f t="shared" si="48"/>
        <v>0</v>
      </c>
      <c r="G234" s="2145">
        <f t="shared" si="53"/>
        <v>0</v>
      </c>
      <c r="H234" s="2145">
        <f>IF(K233&lt;0.01,0,IF(Adm!$S$4=Adm!$S$8,0,K233*Adm!$V$4))</f>
        <v>0</v>
      </c>
      <c r="I234" s="2145">
        <f>IF(K233&lt;0.01,0,IF($I$16&lt;&gt;"",Adm!$Q$6*1.16,0))</f>
        <v>0</v>
      </c>
      <c r="J234" s="2145">
        <f t="shared" si="49"/>
        <v>0</v>
      </c>
      <c r="K234" s="2145">
        <f t="shared" si="50"/>
        <v>0</v>
      </c>
      <c r="L234" s="2146"/>
      <c r="W234" s="1352">
        <f t="shared" si="54"/>
        <v>1</v>
      </c>
      <c r="X234" s="1367">
        <f>IF(W234=1,Adm!$AP$3,0)</f>
        <v>0</v>
      </c>
      <c r="Z234" s="1153"/>
      <c r="AC234" s="1375">
        <f t="shared" si="58"/>
        <v>0</v>
      </c>
      <c r="AD234" s="1373">
        <f t="shared" si="55"/>
        <v>0</v>
      </c>
      <c r="AE234" s="1373">
        <f t="shared" si="59"/>
        <v>0</v>
      </c>
      <c r="AF234" s="1373">
        <f t="shared" si="57"/>
        <v>0</v>
      </c>
      <c r="AG234" s="1371">
        <f t="shared" si="56"/>
        <v>0</v>
      </c>
      <c r="AH234" s="1359" t="e">
        <f>HLOOKUP($AH$13,Sustitución,218,0)</f>
        <v>#N/A</v>
      </c>
      <c r="AJ234" s="1360">
        <f>Captura!AI304</f>
        <v>0</v>
      </c>
    </row>
    <row r="235" spans="1:36">
      <c r="A235" s="1118">
        <f t="shared" ca="1" si="45"/>
        <v>5</v>
      </c>
      <c r="B235" s="1101">
        <f t="shared" si="46"/>
        <v>0</v>
      </c>
      <c r="C235" s="2149">
        <f t="shared" si="47"/>
        <v>0</v>
      </c>
      <c r="D235" s="2150">
        <f t="shared" si="51"/>
        <v>0</v>
      </c>
      <c r="E235" s="2145">
        <f t="shared" si="52"/>
        <v>0</v>
      </c>
      <c r="F235" s="2145">
        <f t="shared" si="48"/>
        <v>0</v>
      </c>
      <c r="G235" s="2145">
        <f t="shared" si="53"/>
        <v>0</v>
      </c>
      <c r="H235" s="2145">
        <f>IF(K234&lt;0.01,0,IF(Adm!$S$4=Adm!$S$8,0,K234*Adm!$V$4))</f>
        <v>0</v>
      </c>
      <c r="I235" s="2145">
        <f>IF(K234&lt;0.01,0,IF($I$16&lt;&gt;"",Adm!$Q$6*1.16,0))</f>
        <v>0</v>
      </c>
      <c r="J235" s="2145">
        <f t="shared" si="49"/>
        <v>0</v>
      </c>
      <c r="K235" s="2145">
        <f t="shared" si="50"/>
        <v>0</v>
      </c>
      <c r="L235" s="2146"/>
      <c r="W235" s="1352">
        <f t="shared" si="54"/>
        <v>2</v>
      </c>
      <c r="X235" s="1367">
        <f>IF(W235=1,Adm!$AP$3,0)</f>
        <v>0</v>
      </c>
      <c r="Z235" s="1153"/>
      <c r="AC235" s="1375">
        <f t="shared" si="58"/>
        <v>0</v>
      </c>
      <c r="AD235" s="1373">
        <f t="shared" si="55"/>
        <v>0</v>
      </c>
      <c r="AE235" s="1373">
        <f t="shared" si="59"/>
        <v>0</v>
      </c>
      <c r="AF235" s="1373">
        <f t="shared" si="57"/>
        <v>0</v>
      </c>
      <c r="AG235" s="1371">
        <f t="shared" si="56"/>
        <v>0</v>
      </c>
      <c r="AH235" s="1359" t="e">
        <f>HLOOKUP($AH$13,Sustitución,219,0)</f>
        <v>#N/A</v>
      </c>
      <c r="AJ235" s="1360">
        <f>Captura!AI305</f>
        <v>0</v>
      </c>
    </row>
    <row r="236" spans="1:36">
      <c r="A236" s="1118">
        <f t="shared" ca="1" si="45"/>
        <v>6</v>
      </c>
      <c r="B236" s="1101">
        <f t="shared" si="46"/>
        <v>0</v>
      </c>
      <c r="C236" s="2149">
        <f t="shared" si="47"/>
        <v>0</v>
      </c>
      <c r="D236" s="2150">
        <f t="shared" si="51"/>
        <v>0</v>
      </c>
      <c r="E236" s="2145">
        <f t="shared" si="52"/>
        <v>0</v>
      </c>
      <c r="F236" s="2145">
        <f t="shared" si="48"/>
        <v>0</v>
      </c>
      <c r="G236" s="2145">
        <f t="shared" si="53"/>
        <v>0</v>
      </c>
      <c r="H236" s="2145">
        <f>IF(K235&lt;0.01,0,IF(Adm!$S$4=Adm!$S$8,0,K235*Adm!$V$4))</f>
        <v>0</v>
      </c>
      <c r="I236" s="2145">
        <f>IF(K235&lt;0.01,0,IF($I$16&lt;&gt;"",Adm!$Q$6*1.16,0))</f>
        <v>0</v>
      </c>
      <c r="J236" s="2145">
        <f t="shared" si="49"/>
        <v>0</v>
      </c>
      <c r="K236" s="2145">
        <f t="shared" si="50"/>
        <v>0</v>
      </c>
      <c r="L236" s="2146"/>
      <c r="W236" s="1352">
        <f t="shared" si="54"/>
        <v>3</v>
      </c>
      <c r="X236" s="1367">
        <f>IF(W236=1,Adm!$AP$3,0)</f>
        <v>0</v>
      </c>
      <c r="Z236" s="1153"/>
      <c r="AC236" s="1375">
        <f t="shared" si="58"/>
        <v>0</v>
      </c>
      <c r="AD236" s="1373">
        <f t="shared" si="55"/>
        <v>0</v>
      </c>
      <c r="AE236" s="1373">
        <f t="shared" si="59"/>
        <v>0</v>
      </c>
      <c r="AF236" s="1373">
        <f t="shared" si="57"/>
        <v>0</v>
      </c>
      <c r="AG236" s="1371">
        <f t="shared" si="56"/>
        <v>0</v>
      </c>
      <c r="AH236" s="1359" t="e">
        <f>HLOOKUP($AH$13,Sustitución,220,0)</f>
        <v>#N/A</v>
      </c>
      <c r="AJ236" s="1360">
        <f>Captura!AI306</f>
        <v>0</v>
      </c>
    </row>
    <row r="237" spans="1:36">
      <c r="A237" s="1118">
        <f t="shared" ca="1" si="45"/>
        <v>7</v>
      </c>
      <c r="B237" s="1101">
        <f t="shared" si="46"/>
        <v>0</v>
      </c>
      <c r="C237" s="2149">
        <f t="shared" si="47"/>
        <v>0</v>
      </c>
      <c r="D237" s="2150">
        <f t="shared" si="51"/>
        <v>0</v>
      </c>
      <c r="E237" s="2145">
        <f t="shared" si="52"/>
        <v>0</v>
      </c>
      <c r="F237" s="2145">
        <f t="shared" si="48"/>
        <v>0</v>
      </c>
      <c r="G237" s="2145">
        <f t="shared" si="53"/>
        <v>0</v>
      </c>
      <c r="H237" s="2145">
        <f>IF(K236&lt;0.01,0,IF(Adm!$S$4=Adm!$S$8,0,K236*Adm!$V$4))</f>
        <v>0</v>
      </c>
      <c r="I237" s="2145">
        <f>IF(K236&lt;0.01,0,IF($I$16&lt;&gt;"",Adm!$Q$6*1.16,0))</f>
        <v>0</v>
      </c>
      <c r="J237" s="2145">
        <f t="shared" si="49"/>
        <v>0</v>
      </c>
      <c r="K237" s="2145">
        <f t="shared" si="50"/>
        <v>0</v>
      </c>
      <c r="L237" s="2146"/>
      <c r="W237" s="1352">
        <f t="shared" si="54"/>
        <v>4</v>
      </c>
      <c r="X237" s="1367">
        <f>IF(W237=1,Adm!$AP$3,0)</f>
        <v>0</v>
      </c>
      <c r="Z237" s="1153"/>
      <c r="AC237" s="1375">
        <f t="shared" si="58"/>
        <v>0</v>
      </c>
      <c r="AD237" s="1373">
        <f t="shared" si="55"/>
        <v>0</v>
      </c>
      <c r="AE237" s="1373">
        <f t="shared" si="59"/>
        <v>0</v>
      </c>
      <c r="AF237" s="1373">
        <f t="shared" si="57"/>
        <v>0</v>
      </c>
      <c r="AG237" s="1371">
        <f t="shared" si="56"/>
        <v>0</v>
      </c>
      <c r="AH237" s="1359" t="e">
        <f>HLOOKUP($AH$13,Sustitución,221,0)</f>
        <v>#N/A</v>
      </c>
      <c r="AJ237" s="1360">
        <f>Captura!AI307</f>
        <v>0</v>
      </c>
    </row>
    <row r="238" spans="1:36">
      <c r="A238" s="1118">
        <f t="shared" ca="1" si="45"/>
        <v>8</v>
      </c>
      <c r="B238" s="1101">
        <f t="shared" si="46"/>
        <v>0</v>
      </c>
      <c r="C238" s="2149">
        <f t="shared" si="47"/>
        <v>0</v>
      </c>
      <c r="D238" s="2150">
        <f t="shared" si="51"/>
        <v>0</v>
      </c>
      <c r="E238" s="2145">
        <f t="shared" si="52"/>
        <v>0</v>
      </c>
      <c r="F238" s="2145">
        <f t="shared" si="48"/>
        <v>0</v>
      </c>
      <c r="G238" s="2145">
        <f t="shared" si="53"/>
        <v>0</v>
      </c>
      <c r="H238" s="2145">
        <f>IF(K237&lt;0.01,0,IF(Adm!$S$4=Adm!$S$8,0,K237*Adm!$V$4))</f>
        <v>0</v>
      </c>
      <c r="I238" s="2145">
        <f>IF(K237&lt;0.01,0,IF($I$16&lt;&gt;"",Adm!$Q$6*1.16,0))</f>
        <v>0</v>
      </c>
      <c r="J238" s="2145">
        <f t="shared" si="49"/>
        <v>0</v>
      </c>
      <c r="K238" s="2145">
        <f t="shared" si="50"/>
        <v>0</v>
      </c>
      <c r="L238" s="2146"/>
      <c r="W238" s="1352">
        <f t="shared" si="54"/>
        <v>5</v>
      </c>
      <c r="X238" s="1367">
        <f>IF(W238=1,Adm!$AP$3,0)</f>
        <v>0</v>
      </c>
      <c r="Z238" s="1153"/>
      <c r="AC238" s="1375">
        <f t="shared" si="58"/>
        <v>0</v>
      </c>
      <c r="AD238" s="1373">
        <f t="shared" si="55"/>
        <v>0</v>
      </c>
      <c r="AE238" s="1373">
        <f t="shared" si="59"/>
        <v>0</v>
      </c>
      <c r="AF238" s="1373">
        <f t="shared" si="57"/>
        <v>0</v>
      </c>
      <c r="AG238" s="1371">
        <f t="shared" si="56"/>
        <v>0</v>
      </c>
      <c r="AH238" s="1359" t="e">
        <f>HLOOKUP($AH$13,Sustitución,222,0)</f>
        <v>#N/A</v>
      </c>
      <c r="AJ238" s="1360">
        <f>Captura!AI308</f>
        <v>0</v>
      </c>
    </row>
    <row r="239" spans="1:36">
      <c r="A239" s="1118">
        <f t="shared" ca="1" si="45"/>
        <v>9</v>
      </c>
      <c r="B239" s="1101">
        <f t="shared" si="46"/>
        <v>0</v>
      </c>
      <c r="C239" s="2149">
        <f t="shared" si="47"/>
        <v>0</v>
      </c>
      <c r="D239" s="2150">
        <f t="shared" si="51"/>
        <v>0</v>
      </c>
      <c r="E239" s="2145">
        <f t="shared" si="52"/>
        <v>0</v>
      </c>
      <c r="F239" s="2145">
        <f t="shared" si="48"/>
        <v>0</v>
      </c>
      <c r="G239" s="2145">
        <f t="shared" si="53"/>
        <v>0</v>
      </c>
      <c r="H239" s="2145">
        <f>IF(K238&lt;0.01,0,IF(Adm!$S$4=Adm!$S$8,0,K238*Adm!$V$4))</f>
        <v>0</v>
      </c>
      <c r="I239" s="2145">
        <f>IF(K238&lt;0.01,0,IF($I$16&lt;&gt;"",Adm!$Q$6*1.16,0))</f>
        <v>0</v>
      </c>
      <c r="J239" s="2145">
        <f t="shared" si="49"/>
        <v>0</v>
      </c>
      <c r="K239" s="2145">
        <f t="shared" si="50"/>
        <v>0</v>
      </c>
      <c r="L239" s="2146"/>
      <c r="W239" s="1352">
        <f t="shared" si="54"/>
        <v>6</v>
      </c>
      <c r="X239" s="1367">
        <f>IF(W239=1,Adm!$AP$3,0)</f>
        <v>0</v>
      </c>
      <c r="Z239" s="1153"/>
      <c r="AC239" s="1375">
        <f t="shared" si="58"/>
        <v>0</v>
      </c>
      <c r="AD239" s="1373">
        <f t="shared" si="55"/>
        <v>0</v>
      </c>
      <c r="AE239" s="1373">
        <f t="shared" si="59"/>
        <v>0</v>
      </c>
      <c r="AF239" s="1373">
        <f t="shared" si="57"/>
        <v>0</v>
      </c>
      <c r="AG239" s="1371">
        <f t="shared" si="56"/>
        <v>0</v>
      </c>
      <c r="AH239" s="1359" t="e">
        <f>HLOOKUP($AH$13,Sustitución,223,0)</f>
        <v>#N/A</v>
      </c>
      <c r="AJ239" s="1360">
        <f>Captura!AI309</f>
        <v>0</v>
      </c>
    </row>
    <row r="240" spans="1:36">
      <c r="A240" s="1118">
        <f t="shared" ca="1" si="45"/>
        <v>10</v>
      </c>
      <c r="B240" s="1101">
        <f t="shared" si="46"/>
        <v>0</v>
      </c>
      <c r="C240" s="2149">
        <f t="shared" si="47"/>
        <v>0</v>
      </c>
      <c r="D240" s="2150">
        <f t="shared" si="51"/>
        <v>0</v>
      </c>
      <c r="E240" s="2145">
        <f t="shared" si="52"/>
        <v>0</v>
      </c>
      <c r="F240" s="2145">
        <f t="shared" si="48"/>
        <v>0</v>
      </c>
      <c r="G240" s="2145">
        <f t="shared" si="53"/>
        <v>0</v>
      </c>
      <c r="H240" s="2145">
        <f>IF(K239&lt;0.01,0,IF(Adm!$S$4=Adm!$S$8,0,K239*Adm!$V$4))</f>
        <v>0</v>
      </c>
      <c r="I240" s="2145">
        <f>IF(K239&lt;0.01,0,IF($I$16&lt;&gt;"",Adm!$Q$6*1.16,0))</f>
        <v>0</v>
      </c>
      <c r="J240" s="2145">
        <f t="shared" si="49"/>
        <v>0</v>
      </c>
      <c r="K240" s="2145">
        <f t="shared" si="50"/>
        <v>0</v>
      </c>
      <c r="L240" s="2146"/>
      <c r="W240" s="1352">
        <f t="shared" si="54"/>
        <v>7</v>
      </c>
      <c r="X240" s="1367">
        <f>IF(W240=1,Adm!$AP$3,0)</f>
        <v>0</v>
      </c>
      <c r="Z240" s="1153"/>
      <c r="AC240" s="1375">
        <f t="shared" si="58"/>
        <v>0</v>
      </c>
      <c r="AD240" s="1373">
        <f t="shared" si="55"/>
        <v>0</v>
      </c>
      <c r="AE240" s="1373">
        <f t="shared" si="59"/>
        <v>0</v>
      </c>
      <c r="AF240" s="1373">
        <f t="shared" si="57"/>
        <v>0</v>
      </c>
      <c r="AG240" s="1371">
        <f t="shared" si="56"/>
        <v>0</v>
      </c>
      <c r="AH240" s="1359" t="e">
        <f>HLOOKUP($AH$13,Sustitución,224,0)</f>
        <v>#N/A</v>
      </c>
      <c r="AJ240" s="1360">
        <f>Captura!AI310</f>
        <v>0</v>
      </c>
    </row>
    <row r="241" spans="1:36">
      <c r="A241" s="1118">
        <f t="shared" ca="1" si="45"/>
        <v>11</v>
      </c>
      <c r="B241" s="1101">
        <f t="shared" si="46"/>
        <v>0</v>
      </c>
      <c r="C241" s="2149">
        <f t="shared" si="47"/>
        <v>0</v>
      </c>
      <c r="D241" s="2150">
        <f t="shared" si="51"/>
        <v>0</v>
      </c>
      <c r="E241" s="2145">
        <f t="shared" si="52"/>
        <v>0</v>
      </c>
      <c r="F241" s="2145">
        <f t="shared" si="48"/>
        <v>0</v>
      </c>
      <c r="G241" s="2145">
        <f t="shared" si="53"/>
        <v>0</v>
      </c>
      <c r="H241" s="2145">
        <f>IF(K240&lt;0.01,0,IF(Adm!$S$4=Adm!$S$8,0,K240*Adm!$V$4))</f>
        <v>0</v>
      </c>
      <c r="I241" s="2145">
        <f>IF(K240&lt;0.01,0,IF($I$16&lt;&gt;"",Adm!$Q$6*1.16,0))</f>
        <v>0</v>
      </c>
      <c r="J241" s="2145">
        <f t="shared" si="49"/>
        <v>0</v>
      </c>
      <c r="K241" s="2145">
        <f t="shared" si="50"/>
        <v>0</v>
      </c>
      <c r="L241" s="2146"/>
      <c r="W241" s="1352">
        <f t="shared" si="54"/>
        <v>8</v>
      </c>
      <c r="X241" s="1367">
        <f>IF(W241=1,Adm!$AP$3,0)</f>
        <v>0</v>
      </c>
      <c r="Z241" s="1153"/>
      <c r="AC241" s="1375">
        <f t="shared" si="58"/>
        <v>0</v>
      </c>
      <c r="AD241" s="1373">
        <f t="shared" si="55"/>
        <v>0</v>
      </c>
      <c r="AE241" s="1373">
        <f t="shared" si="59"/>
        <v>0</v>
      </c>
      <c r="AF241" s="1373">
        <f t="shared" si="57"/>
        <v>0</v>
      </c>
      <c r="AG241" s="1371">
        <f t="shared" si="56"/>
        <v>0</v>
      </c>
      <c r="AH241" s="1359" t="e">
        <f>HLOOKUP($AH$13,Sustitución,225,0)</f>
        <v>#N/A</v>
      </c>
      <c r="AJ241" s="1360">
        <f>Captura!AI311</f>
        <v>0</v>
      </c>
    </row>
    <row r="242" spans="1:36">
      <c r="A242" s="1118">
        <f t="shared" ca="1" si="45"/>
        <v>12</v>
      </c>
      <c r="B242" s="1101">
        <f t="shared" si="46"/>
        <v>0</v>
      </c>
      <c r="C242" s="2149">
        <f t="shared" si="47"/>
        <v>0</v>
      </c>
      <c r="D242" s="2150">
        <f t="shared" si="51"/>
        <v>0</v>
      </c>
      <c r="E242" s="2145">
        <f t="shared" si="52"/>
        <v>0</v>
      </c>
      <c r="F242" s="2145">
        <f t="shared" si="48"/>
        <v>0</v>
      </c>
      <c r="G242" s="2145">
        <f t="shared" si="53"/>
        <v>0</v>
      </c>
      <c r="H242" s="2145">
        <f>IF(K241&lt;0.01,0,IF(Adm!$S$4=Adm!$S$8,0,K241*Adm!$V$4))</f>
        <v>0</v>
      </c>
      <c r="I242" s="2145">
        <f>IF(K241&lt;0.01,0,IF($I$16&lt;&gt;"",Adm!$Q$6*1.16,0))</f>
        <v>0</v>
      </c>
      <c r="J242" s="2145">
        <f t="shared" si="49"/>
        <v>0</v>
      </c>
      <c r="K242" s="2145">
        <f t="shared" si="50"/>
        <v>0</v>
      </c>
      <c r="L242" s="2146"/>
      <c r="W242" s="1352">
        <f t="shared" si="54"/>
        <v>9</v>
      </c>
      <c r="X242" s="1367">
        <f>IF(W242=1,Adm!$AP$3,0)</f>
        <v>0</v>
      </c>
      <c r="Z242" s="1153"/>
      <c r="AC242" s="1375">
        <f t="shared" si="58"/>
        <v>0</v>
      </c>
      <c r="AD242" s="1373">
        <f t="shared" si="55"/>
        <v>0</v>
      </c>
      <c r="AE242" s="1373">
        <f t="shared" si="59"/>
        <v>0</v>
      </c>
      <c r="AF242" s="1373">
        <f t="shared" si="57"/>
        <v>0</v>
      </c>
      <c r="AG242" s="1371">
        <f t="shared" si="56"/>
        <v>0</v>
      </c>
      <c r="AH242" s="1359" t="e">
        <f>HLOOKUP($AH$13,Sustitución,226,0)</f>
        <v>#N/A</v>
      </c>
      <c r="AJ242" s="1360">
        <f>Captura!AI312</f>
        <v>0</v>
      </c>
    </row>
    <row r="243" spans="1:36">
      <c r="A243" s="1118">
        <f t="shared" ca="1" si="45"/>
        <v>1</v>
      </c>
      <c r="B243" s="1101">
        <f t="shared" si="46"/>
        <v>0</v>
      </c>
      <c r="C243" s="2149">
        <f t="shared" si="47"/>
        <v>0</v>
      </c>
      <c r="D243" s="2150">
        <f t="shared" si="51"/>
        <v>0</v>
      </c>
      <c r="E243" s="2145">
        <f t="shared" si="52"/>
        <v>0</v>
      </c>
      <c r="F243" s="2145">
        <f t="shared" si="48"/>
        <v>0</v>
      </c>
      <c r="G243" s="2145">
        <f t="shared" si="53"/>
        <v>0</v>
      </c>
      <c r="H243" s="2145">
        <f>IF(K242&lt;0.01,0,IF(Adm!$S$4=Adm!$S$8,0,K242*Adm!$V$4))</f>
        <v>0</v>
      </c>
      <c r="I243" s="2145">
        <f>IF(K242&lt;0.01,0,IF($I$16&lt;&gt;"",Adm!$Q$6*1.16,0))</f>
        <v>0</v>
      </c>
      <c r="J243" s="2145">
        <f t="shared" si="49"/>
        <v>0</v>
      </c>
      <c r="K243" s="2145">
        <f t="shared" si="50"/>
        <v>0</v>
      </c>
      <c r="L243" s="2146"/>
      <c r="W243" s="1352">
        <f t="shared" si="54"/>
        <v>10</v>
      </c>
      <c r="X243" s="1367">
        <f>IF(W243=1,Adm!$AP$3,0)</f>
        <v>0</v>
      </c>
      <c r="Z243" s="1153"/>
      <c r="AC243" s="1375">
        <f t="shared" si="58"/>
        <v>0</v>
      </c>
      <c r="AD243" s="1373">
        <f t="shared" si="55"/>
        <v>0</v>
      </c>
      <c r="AE243" s="1373">
        <f t="shared" si="59"/>
        <v>0</v>
      </c>
      <c r="AF243" s="1373">
        <f t="shared" si="57"/>
        <v>0</v>
      </c>
      <c r="AG243" s="1371">
        <f t="shared" si="56"/>
        <v>0</v>
      </c>
      <c r="AH243" s="1359" t="e">
        <f>HLOOKUP($AH$13,Sustitución,227,0)</f>
        <v>#N/A</v>
      </c>
      <c r="AJ243" s="1360">
        <f>Captura!AI313</f>
        <v>0</v>
      </c>
    </row>
    <row r="244" spans="1:36">
      <c r="A244" s="1118">
        <f t="shared" ca="1" si="45"/>
        <v>2</v>
      </c>
      <c r="B244" s="1101">
        <f t="shared" si="46"/>
        <v>0</v>
      </c>
      <c r="C244" s="2149">
        <f t="shared" si="47"/>
        <v>0</v>
      </c>
      <c r="D244" s="2150">
        <f t="shared" si="51"/>
        <v>0</v>
      </c>
      <c r="E244" s="2145">
        <f t="shared" si="52"/>
        <v>0</v>
      </c>
      <c r="F244" s="2145">
        <f t="shared" si="48"/>
        <v>0</v>
      </c>
      <c r="G244" s="2145">
        <f t="shared" si="53"/>
        <v>0</v>
      </c>
      <c r="H244" s="2145">
        <f>IF(K243&lt;0.01,0,IF(Adm!$S$4=Adm!$S$8,0,K243*Adm!$V$4))</f>
        <v>0</v>
      </c>
      <c r="I244" s="2145">
        <f>IF(K243&lt;0.01,0,IF($I$16&lt;&gt;"",Adm!$Q$6*1.16,0))</f>
        <v>0</v>
      </c>
      <c r="J244" s="2145">
        <f t="shared" si="49"/>
        <v>0</v>
      </c>
      <c r="K244" s="2145">
        <f t="shared" si="50"/>
        <v>0</v>
      </c>
      <c r="L244" s="2146"/>
      <c r="W244" s="1352">
        <f t="shared" si="54"/>
        <v>11</v>
      </c>
      <c r="X244" s="1367">
        <f>IF(W244=1,Adm!$AP$3,0)</f>
        <v>0</v>
      </c>
      <c r="Z244" s="1153"/>
      <c r="AC244" s="1375">
        <f t="shared" si="58"/>
        <v>0</v>
      </c>
      <c r="AD244" s="1373">
        <f t="shared" si="55"/>
        <v>0</v>
      </c>
      <c r="AE244" s="1373">
        <f t="shared" si="59"/>
        <v>0</v>
      </c>
      <c r="AF244" s="1373">
        <f t="shared" si="57"/>
        <v>0</v>
      </c>
      <c r="AG244" s="1371">
        <f t="shared" si="56"/>
        <v>0</v>
      </c>
      <c r="AH244" s="1359" t="e">
        <f>HLOOKUP($AH$13,Sustitución,228,0)</f>
        <v>#N/A</v>
      </c>
      <c r="AJ244" s="1360">
        <f>Captura!AI314</f>
        <v>0</v>
      </c>
    </row>
    <row r="245" spans="1:36">
      <c r="A245" s="1118">
        <f t="shared" ca="1" si="45"/>
        <v>3</v>
      </c>
      <c r="B245" s="1101">
        <f t="shared" si="46"/>
        <v>0</v>
      </c>
      <c r="C245" s="2149">
        <f t="shared" si="47"/>
        <v>0</v>
      </c>
      <c r="D245" s="2150">
        <f t="shared" si="51"/>
        <v>0</v>
      </c>
      <c r="E245" s="2145">
        <f t="shared" si="52"/>
        <v>0</v>
      </c>
      <c r="F245" s="2145">
        <f t="shared" si="48"/>
        <v>0</v>
      </c>
      <c r="G245" s="2145">
        <f t="shared" si="53"/>
        <v>0</v>
      </c>
      <c r="H245" s="2145">
        <f>IF(K244&lt;0.01,0,IF(Adm!$S$4=Adm!$S$8,0,K244*Adm!$V$4))</f>
        <v>0</v>
      </c>
      <c r="I245" s="2145">
        <f>IF(K244&lt;0.01,0,IF($I$16&lt;&gt;"",Adm!$Q$6*1.16,0))</f>
        <v>0</v>
      </c>
      <c r="J245" s="2145">
        <f t="shared" si="49"/>
        <v>0</v>
      </c>
      <c r="K245" s="2145">
        <f t="shared" si="50"/>
        <v>0</v>
      </c>
      <c r="L245" s="2146"/>
      <c r="W245" s="1352">
        <f t="shared" si="54"/>
        <v>12</v>
      </c>
      <c r="X245" s="1367">
        <f>IF(W245=1,Adm!$AP$3,0)</f>
        <v>0</v>
      </c>
      <c r="Z245" s="1153"/>
      <c r="AC245" s="1375">
        <f t="shared" si="58"/>
        <v>0</v>
      </c>
      <c r="AD245" s="1373">
        <f t="shared" si="55"/>
        <v>0</v>
      </c>
      <c r="AE245" s="1373">
        <f t="shared" si="59"/>
        <v>0</v>
      </c>
      <c r="AF245" s="1373">
        <f t="shared" si="57"/>
        <v>0</v>
      </c>
      <c r="AG245" s="1371">
        <f t="shared" si="56"/>
        <v>0</v>
      </c>
      <c r="AH245" s="1359" t="e">
        <f>HLOOKUP($AH$13,Sustitución,229,0)</f>
        <v>#N/A</v>
      </c>
      <c r="AJ245" s="1360">
        <f>Captura!AI315</f>
        <v>0</v>
      </c>
    </row>
    <row r="246" spans="1:36">
      <c r="A246" s="1118">
        <f t="shared" ca="1" si="45"/>
        <v>4</v>
      </c>
      <c r="B246" s="1101">
        <f t="shared" si="46"/>
        <v>0</v>
      </c>
      <c r="C246" s="2149">
        <f t="shared" si="47"/>
        <v>0</v>
      </c>
      <c r="D246" s="2150">
        <f t="shared" si="51"/>
        <v>0</v>
      </c>
      <c r="E246" s="2145">
        <f t="shared" si="52"/>
        <v>0</v>
      </c>
      <c r="F246" s="2145">
        <f t="shared" si="48"/>
        <v>0</v>
      </c>
      <c r="G246" s="2145">
        <f t="shared" si="53"/>
        <v>0</v>
      </c>
      <c r="H246" s="2145">
        <f>IF(K245&lt;0.01,0,IF(Adm!$S$4=Adm!$S$8,0,K245*Adm!$V$4))</f>
        <v>0</v>
      </c>
      <c r="I246" s="2145">
        <f>IF(K245&lt;0.01,0,IF($I$16&lt;&gt;"",Adm!$Q$6*1.16,0))</f>
        <v>0</v>
      </c>
      <c r="J246" s="2145">
        <f t="shared" si="49"/>
        <v>0</v>
      </c>
      <c r="K246" s="2145">
        <f t="shared" si="50"/>
        <v>0</v>
      </c>
      <c r="L246" s="2146"/>
      <c r="W246" s="1352">
        <f t="shared" si="54"/>
        <v>1</v>
      </c>
      <c r="X246" s="1367">
        <f>IF(W246=1,Adm!$AP$3,0)</f>
        <v>0</v>
      </c>
      <c r="Z246" s="1153"/>
      <c r="AC246" s="1375">
        <f t="shared" si="58"/>
        <v>0</v>
      </c>
      <c r="AD246" s="1373">
        <f t="shared" si="55"/>
        <v>0</v>
      </c>
      <c r="AE246" s="1373">
        <f t="shared" si="59"/>
        <v>0</v>
      </c>
      <c r="AF246" s="1373">
        <f t="shared" si="57"/>
        <v>0</v>
      </c>
      <c r="AG246" s="1371">
        <f t="shared" si="56"/>
        <v>0</v>
      </c>
      <c r="AH246" s="1359" t="e">
        <f>HLOOKUP($AH$13,Sustitución,230,0)</f>
        <v>#N/A</v>
      </c>
      <c r="AJ246" s="1360">
        <f>Captura!AI316</f>
        <v>0</v>
      </c>
    </row>
    <row r="247" spans="1:36">
      <c r="A247" s="1118">
        <f t="shared" ca="1" si="45"/>
        <v>5</v>
      </c>
      <c r="B247" s="1101">
        <f t="shared" si="46"/>
        <v>0</v>
      </c>
      <c r="C247" s="2149">
        <f t="shared" si="47"/>
        <v>0</v>
      </c>
      <c r="D247" s="2150">
        <f t="shared" si="51"/>
        <v>0</v>
      </c>
      <c r="E247" s="2145">
        <f t="shared" si="52"/>
        <v>0</v>
      </c>
      <c r="F247" s="2145">
        <f t="shared" si="48"/>
        <v>0</v>
      </c>
      <c r="G247" s="2145">
        <f t="shared" si="53"/>
        <v>0</v>
      </c>
      <c r="H247" s="2145">
        <f>IF(K246&lt;0.01,0,IF(Adm!$S$4=Adm!$S$8,0,K246*Adm!$V$4))</f>
        <v>0</v>
      </c>
      <c r="I247" s="2145">
        <f>IF(K246&lt;0.01,0,IF($I$16&lt;&gt;"",Adm!$Q$6*1.16,0))</f>
        <v>0</v>
      </c>
      <c r="J247" s="2145">
        <f t="shared" si="49"/>
        <v>0</v>
      </c>
      <c r="K247" s="2145">
        <f t="shared" si="50"/>
        <v>0</v>
      </c>
      <c r="L247" s="2146"/>
      <c r="W247" s="1352">
        <f t="shared" si="54"/>
        <v>2</v>
      </c>
      <c r="X247" s="1367">
        <f>IF(W247=1,Adm!$AP$3,0)</f>
        <v>0</v>
      </c>
      <c r="Z247" s="1153"/>
      <c r="AC247" s="1375">
        <f t="shared" si="58"/>
        <v>0</v>
      </c>
      <c r="AD247" s="1373">
        <f t="shared" si="55"/>
        <v>0</v>
      </c>
      <c r="AE247" s="1373">
        <f t="shared" si="59"/>
        <v>0</v>
      </c>
      <c r="AF247" s="1373">
        <f t="shared" si="57"/>
        <v>0</v>
      </c>
      <c r="AG247" s="1371">
        <f t="shared" si="56"/>
        <v>0</v>
      </c>
      <c r="AH247" s="1359" t="e">
        <f>HLOOKUP($AH$13,Sustitución,231,0)</f>
        <v>#N/A</v>
      </c>
      <c r="AJ247" s="1360">
        <f>Captura!AI317</f>
        <v>0</v>
      </c>
    </row>
    <row r="248" spans="1:36">
      <c r="A248" s="1118">
        <f t="shared" ca="1" si="45"/>
        <v>6</v>
      </c>
      <c r="B248" s="1101">
        <f t="shared" si="46"/>
        <v>0</v>
      </c>
      <c r="C248" s="2149">
        <f t="shared" si="47"/>
        <v>0</v>
      </c>
      <c r="D248" s="2150">
        <f t="shared" si="51"/>
        <v>0</v>
      </c>
      <c r="E248" s="2145">
        <f t="shared" si="52"/>
        <v>0</v>
      </c>
      <c r="F248" s="2145">
        <f t="shared" si="48"/>
        <v>0</v>
      </c>
      <c r="G248" s="2145">
        <f t="shared" si="53"/>
        <v>0</v>
      </c>
      <c r="H248" s="2145">
        <f>IF(K247&lt;0.01,0,IF(Adm!$S$4=Adm!$S$8,0,K247*Adm!$V$4))</f>
        <v>0</v>
      </c>
      <c r="I248" s="2145">
        <f>IF(K247&lt;0.01,0,IF($I$16&lt;&gt;"",Adm!$Q$6*1.16,0))</f>
        <v>0</v>
      </c>
      <c r="J248" s="2145">
        <f t="shared" si="49"/>
        <v>0</v>
      </c>
      <c r="K248" s="2145">
        <f t="shared" si="50"/>
        <v>0</v>
      </c>
      <c r="L248" s="2146"/>
      <c r="W248" s="1352">
        <f t="shared" si="54"/>
        <v>3</v>
      </c>
      <c r="X248" s="1367">
        <f>IF(W248=1,Adm!$AP$3,0)</f>
        <v>0</v>
      </c>
      <c r="Z248" s="1153"/>
      <c r="AC248" s="1375">
        <f t="shared" si="58"/>
        <v>0</v>
      </c>
      <c r="AD248" s="1373">
        <f t="shared" si="55"/>
        <v>0</v>
      </c>
      <c r="AE248" s="1373">
        <f t="shared" si="59"/>
        <v>0</v>
      </c>
      <c r="AF248" s="1373">
        <f t="shared" si="57"/>
        <v>0</v>
      </c>
      <c r="AG248" s="1371">
        <f t="shared" si="56"/>
        <v>0</v>
      </c>
      <c r="AH248" s="1359" t="e">
        <f>HLOOKUP($AH$13,Sustitución,232,0)</f>
        <v>#N/A</v>
      </c>
      <c r="AJ248" s="1360">
        <f>Captura!AI318</f>
        <v>0</v>
      </c>
    </row>
    <row r="249" spans="1:36">
      <c r="A249" s="1118">
        <f t="shared" ca="1" si="45"/>
        <v>7</v>
      </c>
      <c r="B249" s="1101">
        <f t="shared" si="46"/>
        <v>0</v>
      </c>
      <c r="C249" s="2149">
        <f t="shared" si="47"/>
        <v>0</v>
      </c>
      <c r="D249" s="2150">
        <f t="shared" si="51"/>
        <v>0</v>
      </c>
      <c r="E249" s="2145">
        <f t="shared" si="52"/>
        <v>0</v>
      </c>
      <c r="F249" s="2145">
        <f t="shared" si="48"/>
        <v>0</v>
      </c>
      <c r="G249" s="2145">
        <f t="shared" si="53"/>
        <v>0</v>
      </c>
      <c r="H249" s="2145">
        <f>IF(K248&lt;0.01,0,IF(Adm!$S$4=Adm!$S$8,0,K248*Adm!$V$4))</f>
        <v>0</v>
      </c>
      <c r="I249" s="2145">
        <f>IF(K248&lt;0.01,0,IF($I$16&lt;&gt;"",Adm!$Q$6*1.16,0))</f>
        <v>0</v>
      </c>
      <c r="J249" s="2145">
        <f t="shared" si="49"/>
        <v>0</v>
      </c>
      <c r="K249" s="2145">
        <f t="shared" si="50"/>
        <v>0</v>
      </c>
      <c r="L249" s="2146"/>
      <c r="W249" s="1352">
        <f t="shared" si="54"/>
        <v>4</v>
      </c>
      <c r="X249" s="1367">
        <f>IF(W249=1,Adm!$AP$3,0)</f>
        <v>0</v>
      </c>
      <c r="Z249" s="1153"/>
      <c r="AC249" s="1375">
        <f t="shared" si="58"/>
        <v>0</v>
      </c>
      <c r="AD249" s="1373">
        <f t="shared" si="55"/>
        <v>0</v>
      </c>
      <c r="AE249" s="1373">
        <f t="shared" si="59"/>
        <v>0</v>
      </c>
      <c r="AF249" s="1373">
        <f t="shared" si="57"/>
        <v>0</v>
      </c>
      <c r="AG249" s="1371">
        <f t="shared" si="56"/>
        <v>0</v>
      </c>
      <c r="AH249" s="1359" t="e">
        <f>HLOOKUP($AH$13,Sustitución,233,0)</f>
        <v>#N/A</v>
      </c>
      <c r="AJ249" s="1360">
        <f>Captura!AI319</f>
        <v>0</v>
      </c>
    </row>
    <row r="250" spans="1:36">
      <c r="A250" s="1118">
        <f t="shared" ca="1" si="45"/>
        <v>8</v>
      </c>
      <c r="B250" s="1101">
        <f t="shared" si="46"/>
        <v>0</v>
      </c>
      <c r="C250" s="2149">
        <f t="shared" si="47"/>
        <v>0</v>
      </c>
      <c r="D250" s="2150">
        <f t="shared" si="51"/>
        <v>0</v>
      </c>
      <c r="E250" s="2145">
        <f t="shared" si="52"/>
        <v>0</v>
      </c>
      <c r="F250" s="2145">
        <f t="shared" si="48"/>
        <v>0</v>
      </c>
      <c r="G250" s="2145">
        <f t="shared" si="53"/>
        <v>0</v>
      </c>
      <c r="H250" s="2145">
        <f>IF(K249&lt;0.01,0,IF(Adm!$S$4=Adm!$S$8,0,K249*Adm!$V$4))</f>
        <v>0</v>
      </c>
      <c r="I250" s="2145">
        <f>IF(K249&lt;0.01,0,IF($I$16&lt;&gt;"",Adm!$Q$6*1.16,0))</f>
        <v>0</v>
      </c>
      <c r="J250" s="2145">
        <f t="shared" si="49"/>
        <v>0</v>
      </c>
      <c r="K250" s="2145">
        <f t="shared" si="50"/>
        <v>0</v>
      </c>
      <c r="L250" s="2146"/>
      <c r="W250" s="1352">
        <f t="shared" si="54"/>
        <v>5</v>
      </c>
      <c r="X250" s="1367">
        <f>IF(W250=1,Adm!$AP$3,0)</f>
        <v>0</v>
      </c>
      <c r="Z250" s="1153"/>
      <c r="AC250" s="1375">
        <f t="shared" si="58"/>
        <v>0</v>
      </c>
      <c r="AD250" s="1373">
        <f t="shared" si="55"/>
        <v>0</v>
      </c>
      <c r="AE250" s="1373">
        <f t="shared" si="59"/>
        <v>0</v>
      </c>
      <c r="AF250" s="1373">
        <f t="shared" si="57"/>
        <v>0</v>
      </c>
      <c r="AG250" s="1371">
        <f t="shared" si="56"/>
        <v>0</v>
      </c>
      <c r="AH250" s="1359" t="e">
        <f>HLOOKUP($AH$13,Sustitución,234,0)</f>
        <v>#N/A</v>
      </c>
      <c r="AJ250" s="1360">
        <f>Captura!AI320</f>
        <v>0</v>
      </c>
    </row>
    <row r="251" spans="1:36">
      <c r="A251" s="1118">
        <f t="shared" ca="1" si="45"/>
        <v>9</v>
      </c>
      <c r="B251" s="1101">
        <f t="shared" si="46"/>
        <v>0</v>
      </c>
      <c r="C251" s="2149">
        <f t="shared" si="47"/>
        <v>0</v>
      </c>
      <c r="D251" s="2150">
        <f t="shared" si="51"/>
        <v>0</v>
      </c>
      <c r="E251" s="2145">
        <f t="shared" si="52"/>
        <v>0</v>
      </c>
      <c r="F251" s="2145">
        <f t="shared" si="48"/>
        <v>0</v>
      </c>
      <c r="G251" s="2145">
        <f t="shared" si="53"/>
        <v>0</v>
      </c>
      <c r="H251" s="2145">
        <f>IF(K250&lt;0.01,0,IF(Adm!$S$4=Adm!$S$8,0,K250*Adm!$V$4))</f>
        <v>0</v>
      </c>
      <c r="I251" s="2145">
        <f>IF(K250&lt;0.01,0,IF($I$16&lt;&gt;"",Adm!$Q$6*1.16,0))</f>
        <v>0</v>
      </c>
      <c r="J251" s="2145">
        <f t="shared" si="49"/>
        <v>0</v>
      </c>
      <c r="K251" s="2145">
        <f t="shared" si="50"/>
        <v>0</v>
      </c>
      <c r="L251" s="2146"/>
      <c r="W251" s="1352">
        <f t="shared" si="54"/>
        <v>6</v>
      </c>
      <c r="X251" s="1367">
        <f>IF(W251=1,Adm!$AP$3,0)</f>
        <v>0</v>
      </c>
      <c r="Z251" s="1153"/>
      <c r="AC251" s="1375">
        <f t="shared" si="58"/>
        <v>0</v>
      </c>
      <c r="AD251" s="1373">
        <f t="shared" si="55"/>
        <v>0</v>
      </c>
      <c r="AE251" s="1373">
        <f t="shared" si="59"/>
        <v>0</v>
      </c>
      <c r="AF251" s="1373">
        <f t="shared" si="57"/>
        <v>0</v>
      </c>
      <c r="AG251" s="1371">
        <f t="shared" si="56"/>
        <v>0</v>
      </c>
      <c r="AH251" s="1359" t="e">
        <f>HLOOKUP($AH$13,Sustitución,235,0)</f>
        <v>#N/A</v>
      </c>
      <c r="AJ251" s="1360">
        <f>Captura!AI321</f>
        <v>0</v>
      </c>
    </row>
    <row r="252" spans="1:36">
      <c r="A252" s="1118">
        <f t="shared" ca="1" si="45"/>
        <v>10</v>
      </c>
      <c r="B252" s="1101">
        <f t="shared" si="46"/>
        <v>0</v>
      </c>
      <c r="C252" s="2149">
        <f t="shared" si="47"/>
        <v>0</v>
      </c>
      <c r="D252" s="2150">
        <f t="shared" si="51"/>
        <v>0</v>
      </c>
      <c r="E252" s="2145">
        <f t="shared" si="52"/>
        <v>0</v>
      </c>
      <c r="F252" s="2145">
        <f t="shared" si="48"/>
        <v>0</v>
      </c>
      <c r="G252" s="2145">
        <f t="shared" si="53"/>
        <v>0</v>
      </c>
      <c r="H252" s="2145">
        <f>IF(K251&lt;0.01,0,IF(Adm!$S$4=Adm!$S$8,0,K251*Adm!$V$4))</f>
        <v>0</v>
      </c>
      <c r="I252" s="2145">
        <f>IF(K251&lt;0.01,0,IF($I$16&lt;&gt;"",Adm!$Q$6*1.16,0))</f>
        <v>0</v>
      </c>
      <c r="J252" s="2145">
        <f t="shared" si="49"/>
        <v>0</v>
      </c>
      <c r="K252" s="2145">
        <f t="shared" si="50"/>
        <v>0</v>
      </c>
      <c r="L252" s="2146"/>
      <c r="W252" s="1352">
        <f t="shared" si="54"/>
        <v>7</v>
      </c>
      <c r="X252" s="1367">
        <f>IF(W252=1,Adm!$AP$3,0)</f>
        <v>0</v>
      </c>
      <c r="Z252" s="1153"/>
      <c r="AC252" s="1375">
        <f t="shared" si="58"/>
        <v>0</v>
      </c>
      <c r="AD252" s="1373">
        <f t="shared" si="55"/>
        <v>0</v>
      </c>
      <c r="AE252" s="1373">
        <f t="shared" si="59"/>
        <v>0</v>
      </c>
      <c r="AF252" s="1373">
        <f t="shared" si="57"/>
        <v>0</v>
      </c>
      <c r="AG252" s="1371">
        <f t="shared" si="56"/>
        <v>0</v>
      </c>
      <c r="AH252" s="1359" t="e">
        <f>HLOOKUP($AH$13,Sustitución,236,0)</f>
        <v>#N/A</v>
      </c>
      <c r="AJ252" s="1360">
        <f>Captura!AI322</f>
        <v>0</v>
      </c>
    </row>
    <row r="253" spans="1:36">
      <c r="A253" s="1118">
        <f t="shared" ca="1" si="45"/>
        <v>11</v>
      </c>
      <c r="B253" s="1101">
        <f t="shared" si="46"/>
        <v>0</v>
      </c>
      <c r="C253" s="2149">
        <f t="shared" si="47"/>
        <v>0</v>
      </c>
      <c r="D253" s="2150">
        <f t="shared" si="51"/>
        <v>0</v>
      </c>
      <c r="E253" s="2145">
        <f t="shared" si="52"/>
        <v>0</v>
      </c>
      <c r="F253" s="2145">
        <f t="shared" si="48"/>
        <v>0</v>
      </c>
      <c r="G253" s="2145">
        <f t="shared" si="53"/>
        <v>0</v>
      </c>
      <c r="H253" s="2145">
        <f>IF(K252&lt;0.01,0,IF(Adm!$S$4=Adm!$S$8,0,K252*Adm!$V$4))</f>
        <v>0</v>
      </c>
      <c r="I253" s="2145">
        <f>IF(K252&lt;0.01,0,IF($I$16&lt;&gt;"",Adm!$Q$6*1.16,0))</f>
        <v>0</v>
      </c>
      <c r="J253" s="2145">
        <f t="shared" si="49"/>
        <v>0</v>
      </c>
      <c r="K253" s="2145">
        <f t="shared" si="50"/>
        <v>0</v>
      </c>
      <c r="L253" s="2146"/>
      <c r="W253" s="1352">
        <f t="shared" si="54"/>
        <v>8</v>
      </c>
      <c r="X253" s="1367">
        <f>IF(W253=1,Adm!$AP$3,0)</f>
        <v>0</v>
      </c>
      <c r="Z253" s="1153"/>
      <c r="AC253" s="1375">
        <f t="shared" si="58"/>
        <v>0</v>
      </c>
      <c r="AD253" s="1373">
        <f t="shared" si="55"/>
        <v>0</v>
      </c>
      <c r="AE253" s="1373">
        <f t="shared" si="59"/>
        <v>0</v>
      </c>
      <c r="AF253" s="1373">
        <f t="shared" si="57"/>
        <v>0</v>
      </c>
      <c r="AG253" s="1371">
        <f t="shared" si="56"/>
        <v>0</v>
      </c>
      <c r="AH253" s="1359" t="e">
        <f>HLOOKUP($AH$13,Sustitución,237,0)</f>
        <v>#N/A</v>
      </c>
      <c r="AJ253" s="1360">
        <f>Captura!AI323</f>
        <v>0</v>
      </c>
    </row>
    <row r="254" spans="1:36">
      <c r="A254" s="1118">
        <f t="shared" ca="1" si="45"/>
        <v>12</v>
      </c>
      <c r="B254" s="1101">
        <f t="shared" si="46"/>
        <v>0</v>
      </c>
      <c r="C254" s="2149">
        <f t="shared" si="47"/>
        <v>0</v>
      </c>
      <c r="D254" s="2150">
        <f t="shared" si="51"/>
        <v>0</v>
      </c>
      <c r="E254" s="2145">
        <f t="shared" si="52"/>
        <v>0</v>
      </c>
      <c r="F254" s="2145">
        <f t="shared" si="48"/>
        <v>0</v>
      </c>
      <c r="G254" s="2145">
        <f t="shared" si="53"/>
        <v>0</v>
      </c>
      <c r="H254" s="2145">
        <f>IF(K253&lt;0.01,0,IF(Adm!$S$4=Adm!$S$8,0,K253*Adm!$V$4))</f>
        <v>0</v>
      </c>
      <c r="I254" s="2145">
        <f>IF(K253&lt;0.01,0,IF($I$16&lt;&gt;"",Adm!$Q$6*1.16,0))</f>
        <v>0</v>
      </c>
      <c r="J254" s="2145">
        <f t="shared" si="49"/>
        <v>0</v>
      </c>
      <c r="K254" s="2145">
        <f t="shared" si="50"/>
        <v>0</v>
      </c>
      <c r="L254" s="2146"/>
      <c r="W254" s="1352">
        <f t="shared" si="54"/>
        <v>9</v>
      </c>
      <c r="X254" s="1367">
        <f>IF(W254=1,Adm!$AP$3,0)</f>
        <v>0</v>
      </c>
      <c r="Z254" s="1153"/>
      <c r="AC254" s="1375">
        <f t="shared" si="58"/>
        <v>0</v>
      </c>
      <c r="AD254" s="1373">
        <f t="shared" si="55"/>
        <v>0</v>
      </c>
      <c r="AE254" s="1373">
        <f t="shared" si="59"/>
        <v>0</v>
      </c>
      <c r="AF254" s="1373">
        <f t="shared" si="57"/>
        <v>0</v>
      </c>
      <c r="AG254" s="1371">
        <f t="shared" si="56"/>
        <v>0</v>
      </c>
      <c r="AH254" s="1359" t="e">
        <f>HLOOKUP($AH$13,Sustitución,238,0)</f>
        <v>#N/A</v>
      </c>
      <c r="AJ254" s="1360">
        <f>Captura!AI324</f>
        <v>0</v>
      </c>
    </row>
    <row r="255" spans="1:36">
      <c r="A255" s="1118">
        <f t="shared" ca="1" si="45"/>
        <v>1</v>
      </c>
      <c r="B255" s="1101">
        <f t="shared" si="46"/>
        <v>0</v>
      </c>
      <c r="C255" s="2149">
        <f t="shared" si="47"/>
        <v>0</v>
      </c>
      <c r="D255" s="2150">
        <f t="shared" si="51"/>
        <v>0</v>
      </c>
      <c r="E255" s="2145">
        <f t="shared" si="52"/>
        <v>0</v>
      </c>
      <c r="F255" s="2145">
        <f t="shared" si="48"/>
        <v>0</v>
      </c>
      <c r="G255" s="2145">
        <f t="shared" si="53"/>
        <v>0</v>
      </c>
      <c r="H255" s="2145">
        <f>IF(K254&lt;0.01,0,IF(Adm!$S$4=Adm!$S$8,0,K254*Adm!$V$4))</f>
        <v>0</v>
      </c>
      <c r="I255" s="2145">
        <f>IF(K254&lt;0.01,0,IF($I$16&lt;&gt;"",Adm!$Q$6*1.16,0))</f>
        <v>0</v>
      </c>
      <c r="J255" s="2145">
        <f t="shared" si="49"/>
        <v>0</v>
      </c>
      <c r="K255" s="2145">
        <f t="shared" si="50"/>
        <v>0</v>
      </c>
      <c r="L255" s="2146"/>
      <c r="W255" s="1352">
        <f t="shared" si="54"/>
        <v>10</v>
      </c>
      <c r="X255" s="1367">
        <f>IF(W255=1,Adm!$AP$3,0)</f>
        <v>0</v>
      </c>
      <c r="Z255" s="1153"/>
      <c r="AC255" s="1375">
        <f t="shared" si="58"/>
        <v>0</v>
      </c>
      <c r="AD255" s="1373">
        <f t="shared" si="55"/>
        <v>0</v>
      </c>
      <c r="AE255" s="1373">
        <f t="shared" si="59"/>
        <v>0</v>
      </c>
      <c r="AF255" s="1373">
        <f t="shared" si="57"/>
        <v>0</v>
      </c>
      <c r="AG255" s="1371">
        <f t="shared" si="56"/>
        <v>0</v>
      </c>
      <c r="AH255" s="1359" t="e">
        <f>HLOOKUP($AH$13,Sustitución,239,0)</f>
        <v>#N/A</v>
      </c>
      <c r="AJ255" s="1360">
        <f>Captura!AI325</f>
        <v>0</v>
      </c>
    </row>
    <row r="256" spans="1:36">
      <c r="A256" s="1118">
        <f t="shared" ca="1" si="45"/>
        <v>2</v>
      </c>
      <c r="B256" s="1101">
        <f t="shared" si="46"/>
        <v>0</v>
      </c>
      <c r="C256" s="2149">
        <f t="shared" si="47"/>
        <v>0</v>
      </c>
      <c r="D256" s="2150">
        <f t="shared" si="51"/>
        <v>0</v>
      </c>
      <c r="E256" s="2145">
        <f t="shared" si="52"/>
        <v>0</v>
      </c>
      <c r="F256" s="2145">
        <f t="shared" si="48"/>
        <v>0</v>
      </c>
      <c r="G256" s="2145">
        <f t="shared" si="53"/>
        <v>0</v>
      </c>
      <c r="H256" s="2145">
        <f>IF(K255&lt;0.01,0,IF(Adm!$S$4=Adm!$S$8,0,K255*Adm!$V$4))</f>
        <v>0</v>
      </c>
      <c r="I256" s="2145">
        <f>IF(K255&lt;0.01,0,IF($I$16&lt;&gt;"",Adm!$Q$6*1.16,0))</f>
        <v>0</v>
      </c>
      <c r="J256" s="2145">
        <f t="shared" si="49"/>
        <v>0</v>
      </c>
      <c r="K256" s="2145">
        <f t="shared" si="50"/>
        <v>0</v>
      </c>
      <c r="L256" s="2146"/>
      <c r="W256" s="1352">
        <f t="shared" si="54"/>
        <v>11</v>
      </c>
      <c r="X256" s="1367">
        <f>IF(W256=1,Adm!$AP$3,0)</f>
        <v>0</v>
      </c>
      <c r="Z256" s="1153"/>
      <c r="AC256" s="1375">
        <f t="shared" si="58"/>
        <v>0</v>
      </c>
      <c r="AD256" s="1373">
        <f t="shared" si="55"/>
        <v>0</v>
      </c>
      <c r="AE256" s="1373">
        <f t="shared" si="59"/>
        <v>0</v>
      </c>
      <c r="AF256" s="1373">
        <f t="shared" si="57"/>
        <v>0</v>
      </c>
      <c r="AG256" s="1371">
        <f t="shared" si="56"/>
        <v>0</v>
      </c>
      <c r="AH256" s="1359" t="e">
        <f>HLOOKUP($AH$13,Sustitución,240,0)</f>
        <v>#N/A</v>
      </c>
      <c r="AJ256" s="1360">
        <f>Captura!AI326</f>
        <v>0</v>
      </c>
    </row>
    <row r="257" spans="1:36">
      <c r="A257" s="1118">
        <f t="shared" ca="1" si="45"/>
        <v>3</v>
      </c>
      <c r="B257" s="1101">
        <f t="shared" si="46"/>
        <v>0</v>
      </c>
      <c r="C257" s="2149">
        <f t="shared" si="47"/>
        <v>0</v>
      </c>
      <c r="D257" s="2150">
        <f t="shared" si="51"/>
        <v>0</v>
      </c>
      <c r="E257" s="2145">
        <f t="shared" si="52"/>
        <v>0</v>
      </c>
      <c r="F257" s="2145">
        <f t="shared" si="48"/>
        <v>0</v>
      </c>
      <c r="G257" s="2145">
        <f t="shared" si="53"/>
        <v>0</v>
      </c>
      <c r="H257" s="2145">
        <f>IF(K256&lt;0.01,0,IF(Adm!$S$4=Adm!$S$8,0,K256*Adm!$V$4))</f>
        <v>0</v>
      </c>
      <c r="I257" s="2145">
        <f>IF(K256&lt;0.01,0,IF($I$16&lt;&gt;"",Adm!$Q$6*1.16,0))</f>
        <v>0</v>
      </c>
      <c r="J257" s="2145">
        <f t="shared" si="49"/>
        <v>0</v>
      </c>
      <c r="K257" s="2145">
        <f t="shared" si="50"/>
        <v>0</v>
      </c>
      <c r="L257" s="2146"/>
      <c r="W257" s="1386">
        <f t="shared" si="54"/>
        <v>12</v>
      </c>
      <c r="X257" s="1367">
        <f>IF(W257=1,Adm!$AP$3,0)</f>
        <v>0</v>
      </c>
      <c r="Z257" s="1153"/>
      <c r="AC257" s="1375">
        <f t="shared" si="58"/>
        <v>0</v>
      </c>
      <c r="AD257" s="1373">
        <f t="shared" si="55"/>
        <v>0</v>
      </c>
      <c r="AE257" s="1373">
        <f t="shared" si="59"/>
        <v>0</v>
      </c>
      <c r="AF257" s="1373">
        <f t="shared" si="57"/>
        <v>0</v>
      </c>
      <c r="AG257" s="1371">
        <f t="shared" si="56"/>
        <v>0</v>
      </c>
      <c r="AH257" s="1389" t="e">
        <f>HLOOKUP($AH$13,Sustitución,241,0)</f>
        <v>#N/A</v>
      </c>
      <c r="AJ257" s="1360">
        <f>Captura!AI327</f>
        <v>0</v>
      </c>
    </row>
    <row r="258" spans="1:36" ht="9" customHeight="1">
      <c r="A258" s="1118"/>
      <c r="C258" s="1101"/>
      <c r="D258" s="1431"/>
      <c r="E258" s="1393"/>
      <c r="F258" s="1393"/>
      <c r="G258" s="1393"/>
      <c r="H258" s="1393"/>
      <c r="I258" s="1393"/>
      <c r="J258" s="1393"/>
      <c r="K258" s="1393"/>
      <c r="L258" s="1432"/>
      <c r="W258" s="1395"/>
      <c r="X258" s="1433"/>
      <c r="Z258" s="1153"/>
      <c r="AC258" s="1373"/>
      <c r="AD258" s="1373"/>
      <c r="AE258" s="1373"/>
      <c r="AF258" s="1373"/>
      <c r="AG258" s="1371"/>
      <c r="AH258" s="1434"/>
    </row>
    <row r="259" spans="1:36">
      <c r="C259" s="1396" t="s">
        <v>466</v>
      </c>
      <c r="D259" s="1435"/>
      <c r="E259" s="1445">
        <f>SUM(E18:E257)</f>
        <v>0</v>
      </c>
      <c r="F259" s="1445">
        <f t="shared" ref="F259:J259" si="60">SUM(F18:F257)</f>
        <v>0</v>
      </c>
      <c r="G259" s="1445">
        <f t="shared" si="60"/>
        <v>0</v>
      </c>
      <c r="H259" s="1445">
        <f t="shared" si="60"/>
        <v>0</v>
      </c>
      <c r="I259" s="1445">
        <f t="shared" si="60"/>
        <v>0</v>
      </c>
      <c r="J259" s="1445">
        <f t="shared" si="60"/>
        <v>0</v>
      </c>
      <c r="K259" s="1437"/>
      <c r="L259" s="1438">
        <f>SUM(L18:L257)</f>
        <v>0</v>
      </c>
    </row>
    <row r="260" spans="1:36" ht="27" customHeight="1">
      <c r="C260" s="2266" t="str">
        <f>Captura!C390</f>
        <v>ESTE DOCUMENTO NO ES UNA OFERTA VINCULANTE</v>
      </c>
      <c r="D260" s="2266"/>
      <c r="E260" s="2266"/>
      <c r="F260" s="2266"/>
      <c r="G260" s="2266"/>
      <c r="H260" s="2266"/>
      <c r="I260" s="2266"/>
      <c r="J260" s="2266"/>
      <c r="K260" s="2266"/>
      <c r="L260" s="2266"/>
    </row>
    <row r="261" spans="1:36" ht="30.75" customHeight="1">
      <c r="C261" s="2265" t="str">
        <f>Captura!C391</f>
        <v xml:space="preserve">Este documento es únicamente de carácter informativo y para fines ilustrativos por lo que no implica asunción de obligación ni compromiso por parte de Banco Santander México S.A.,  ni de Entidad alguna referida en el presente documento, integrante o no del Grupo Financiero Santander México. </v>
      </c>
      <c r="D261" s="2265"/>
      <c r="E261" s="2265"/>
      <c r="F261" s="2265"/>
      <c r="G261" s="2265"/>
      <c r="H261" s="2265"/>
      <c r="I261" s="2265"/>
      <c r="J261" s="2265"/>
      <c r="K261" s="2265"/>
      <c r="L261" s="2265"/>
    </row>
    <row r="262" spans="1:36">
      <c r="C262" s="2265" t="str">
        <f>Captura!C392</f>
        <v>Las condiciones del producto, criterios de elegibilidad, planes, importes de beneficios y políticas de crédito que se refieren en el simulador están sujetas a cambio sin previo aviso.</v>
      </c>
      <c r="D262" s="2265"/>
      <c r="E262" s="2265"/>
      <c r="F262" s="2265"/>
      <c r="G262" s="2265"/>
      <c r="H262" s="2265"/>
      <c r="I262" s="2265"/>
      <c r="J262" s="2265"/>
      <c r="K262" s="2265"/>
      <c r="L262" s="2265"/>
    </row>
    <row r="263" spans="1:36">
      <c r="C263" s="2265" t="str">
        <f>Captura!C393</f>
        <v>La autorización del crédito es una facultad discrecional de Banco Santander México S.A. por lo que se reserva el derecho de otorgarla o negarla.</v>
      </c>
      <c r="D263" s="2265"/>
      <c r="E263" s="2265"/>
      <c r="F263" s="2265"/>
      <c r="G263" s="2265"/>
      <c r="H263" s="2265"/>
      <c r="I263" s="2265"/>
      <c r="J263" s="2265"/>
      <c r="K263" s="2265"/>
      <c r="L263" s="2265"/>
    </row>
    <row r="264" spans="1:36" ht="30" customHeight="1">
      <c r="C264" s="2265" t="str">
        <f>Captura!C394</f>
        <v>Banco Santander México S.A. se reserva el derecho de solicitar información adicional y/o restringir parámetros de enganche, monto, plazo o tasa en función de las características específicas del solicitante y del inmueble.</v>
      </c>
      <c r="D264" s="2265"/>
      <c r="E264" s="2265"/>
      <c r="F264" s="2265"/>
      <c r="G264" s="2265"/>
      <c r="H264" s="2265"/>
      <c r="I264" s="2265"/>
      <c r="J264" s="2265"/>
      <c r="K264" s="2265"/>
      <c r="L264" s="2265"/>
    </row>
    <row r="265" spans="1:36">
      <c r="C265" s="2265" t="str">
        <f>Captura!C395</f>
        <v>Los productos hipotecarios son emitidos por Banco Santander México, S.A., Institución de Banca Múltiple, Grupo Financiero Santander México</v>
      </c>
      <c r="D265" s="2265"/>
      <c r="E265" s="2265"/>
      <c r="F265" s="2265"/>
      <c r="G265" s="2265"/>
      <c r="H265" s="2265"/>
      <c r="I265" s="2265"/>
      <c r="J265" s="2265"/>
      <c r="K265" s="2265"/>
      <c r="L265" s="2265"/>
    </row>
    <row r="266" spans="1:36" ht="33" customHeight="1">
      <c r="C266" s="2265" t="str">
        <f>Captura!C397</f>
        <v>El cálculo en el Seguro de referencia es única y exclusivamente con fines informativos e ilustrativos. La calidad en la prestación de los servicios y responsabilidad en el otorgamiento de los mismos es responsabilidad directa de Zúrich Santander Seguros México S.A. y/o de la aseguradora con la que contrate estos seguros.</v>
      </c>
      <c r="D266" s="2265"/>
      <c r="E266" s="2265"/>
      <c r="F266" s="2265"/>
      <c r="G266" s="2265"/>
      <c r="H266" s="2265"/>
      <c r="I266" s="2265"/>
      <c r="J266" s="2265"/>
      <c r="K266" s="2265"/>
      <c r="L266" s="2265"/>
    </row>
    <row r="267" spans="1:36">
      <c r="C267" s="2266" t="str">
        <f>Captura!C398</f>
        <v>NOTAS</v>
      </c>
      <c r="D267" s="2266"/>
      <c r="E267" s="2266"/>
      <c r="F267" s="2266"/>
      <c r="G267" s="2266"/>
      <c r="H267" s="2266"/>
      <c r="I267" s="2266"/>
      <c r="J267" s="2266"/>
      <c r="K267" s="2266"/>
      <c r="L267" s="2266"/>
    </row>
    <row r="268" spans="1:36">
      <c r="C268" s="2265" t="str">
        <f>Captura!C399</f>
        <v/>
      </c>
      <c r="D268" s="2265"/>
      <c r="E268" s="2265"/>
      <c r="F268" s="2265"/>
      <c r="G268" s="2265"/>
      <c r="H268" s="2265"/>
      <c r="I268" s="2265"/>
      <c r="J268" s="2265"/>
      <c r="K268" s="2265"/>
      <c r="L268" s="2265"/>
    </row>
    <row r="269" spans="1:36">
      <c r="C269" s="2265" t="str">
        <f>Captura!C400</f>
        <v/>
      </c>
      <c r="D269" s="2265"/>
      <c r="E269" s="2265"/>
      <c r="F269" s="2265"/>
      <c r="G269" s="2265"/>
      <c r="H269" s="2265"/>
      <c r="I269" s="2265"/>
      <c r="J269" s="2265"/>
      <c r="K269" s="2265"/>
      <c r="L269" s="2265"/>
    </row>
    <row r="270" spans="1:36">
      <c r="C270" s="2265" t="str">
        <f>Captura!C402</f>
        <v/>
      </c>
      <c r="D270" s="2265"/>
      <c r="E270" s="2265"/>
      <c r="F270" s="2265"/>
      <c r="G270" s="2265"/>
      <c r="H270" s="2265"/>
      <c r="I270" s="2265"/>
      <c r="J270" s="2265"/>
      <c r="K270" s="2265"/>
      <c r="L270" s="2265"/>
    </row>
    <row r="271" spans="1:36" ht="30" customHeight="1">
      <c r="C271" s="2265" t="str">
        <f>IF(L259&gt;0,"Este documento simula pagos anticipados supuestos unicamente a modo de ejemplo. La tabla real de amortización se le entregará por los medios establecidos en su contrato de Crédito Hipotecario. ","")</f>
        <v/>
      </c>
      <c r="D271" s="2265"/>
      <c r="E271" s="2265"/>
      <c r="F271" s="2265"/>
      <c r="G271" s="2265"/>
      <c r="H271" s="2265"/>
      <c r="I271" s="2265"/>
      <c r="J271" s="2265"/>
      <c r="K271" s="2265"/>
      <c r="L271" s="2265"/>
    </row>
    <row r="272" spans="1:36">
      <c r="C272" s="2265"/>
      <c r="D272" s="2265"/>
      <c r="E272" s="2265"/>
      <c r="F272" s="2265"/>
      <c r="G272" s="2265"/>
      <c r="H272" s="2265"/>
      <c r="I272" s="2265"/>
      <c r="J272" s="2265"/>
      <c r="K272" s="2265"/>
      <c r="L272" s="2265"/>
    </row>
    <row r="273" spans="3:12">
      <c r="C273" s="1102" t="str">
        <f>inicio!C22</f>
        <v>Versión. 2026-1 Ro (09 marzo 2026)</v>
      </c>
      <c r="D273" s="1439"/>
      <c r="E273" s="1439"/>
      <c r="F273" s="1439"/>
      <c r="G273" s="1439"/>
      <c r="H273" s="1439"/>
      <c r="I273" s="1439"/>
      <c r="J273" s="1439"/>
      <c r="K273" s="1439"/>
      <c r="L273" s="1439" t="str">
        <f>inicio!L22</f>
        <v>BHF-034 (032026)</v>
      </c>
    </row>
  </sheetData>
  <sheetProtection algorithmName="SHA-512" hashValue="/Sal3D0zeoL0gbjTasmCPPnBkf6/LzN6Xn9UDRCVswBm8ueHV3bL3gwu0ysdE6bIV90qE7d3/qKdc1belfkrOg==" saltValue="XSKS7UlBdlzJq8TwqjTJSw==" spinCount="100000" sheet="1" objects="1" scenarios="1"/>
  <mergeCells count="18">
    <mergeCell ref="C264:L264"/>
    <mergeCell ref="C265:L265"/>
    <mergeCell ref="K1:L1"/>
    <mergeCell ref="E5:H5"/>
    <mergeCell ref="E7:H7"/>
    <mergeCell ref="K7:L7"/>
    <mergeCell ref="C272:L272"/>
    <mergeCell ref="C15:L15"/>
    <mergeCell ref="C266:L266"/>
    <mergeCell ref="C267:L267"/>
    <mergeCell ref="C268:L268"/>
    <mergeCell ref="C269:L269"/>
    <mergeCell ref="C270:L270"/>
    <mergeCell ref="C271:L271"/>
    <mergeCell ref="C260:L260"/>
    <mergeCell ref="C261:L261"/>
    <mergeCell ref="C262:L262"/>
    <mergeCell ref="C263:L263"/>
  </mergeCells>
  <conditionalFormatting sqref="D13">
    <cfRule type="expression" dxfId="177" priority="2" stopIfTrue="1">
      <formula>#REF!&gt;0</formula>
    </cfRule>
  </conditionalFormatting>
  <conditionalFormatting sqref="H16:I16">
    <cfRule type="cellIs" dxfId="176" priority="1" stopIfTrue="1" operator="greaterThan">
      <formula>""""""</formula>
    </cfRule>
  </conditionalFormatting>
  <dataValidations disablePrompts="1" count="1">
    <dataValidation type="list" allowBlank="1" showInputMessage="1" showErrorMessage="1" sqref="L14" xr:uid="{00000000-0002-0000-0800-000000000000}">
      <formula1>$AC$9:$AC$10</formula1>
    </dataValidation>
  </dataValidations>
  <pageMargins left="0.19685039370078741" right="0.19685039370078741" top="0.19685039370078741" bottom="0.15748031496062992" header="0.31496062992125984" footer="0.31496062992125984"/>
  <pageSetup scale="65" orientation="landscape" horizontalDpi="4294967294" verticalDpi="4294967294"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tabColor rgb="FFFF0000"/>
  </sheetPr>
  <dimension ref="A1:CF330"/>
  <sheetViews>
    <sheetView showGridLines="0" showRowColHeaders="0" showZeros="0" topLeftCell="C1" zoomScale="80" zoomScaleNormal="80" workbookViewId="0">
      <selection activeCell="D3" sqref="D3:H3"/>
    </sheetView>
  </sheetViews>
  <sheetFormatPr baseColWidth="10" defaultColWidth="11.44140625" defaultRowHeight="13.2"/>
  <cols>
    <col min="1" max="2" width="0" style="1102" hidden="1" customWidth="1"/>
    <col min="3" max="3" width="18.77734375" style="1102" customWidth="1"/>
    <col min="4" max="4" width="15" style="1102" customWidth="1"/>
    <col min="5" max="5" width="14.21875" style="1102" customWidth="1"/>
    <col min="6" max="6" width="16.77734375" style="1102" customWidth="1"/>
    <col min="7" max="7" width="24.21875" style="1102" customWidth="1"/>
    <col min="8" max="8" width="20.44140625" style="1102" customWidth="1"/>
    <col min="9" max="9" width="21.21875" style="1102" customWidth="1"/>
    <col min="10" max="10" width="17.21875" style="1102" customWidth="1"/>
    <col min="11" max="11" width="19.21875" style="1102" customWidth="1"/>
    <col min="12" max="12" width="18.77734375" style="1102" customWidth="1"/>
    <col min="13" max="13" width="19.77734375" style="1102" customWidth="1"/>
    <col min="14" max="14" width="17.21875" style="1102" customWidth="1"/>
    <col min="15" max="15" width="11.44140625" style="1102" customWidth="1"/>
    <col min="16" max="21" width="11.44140625" style="1102" hidden="1" customWidth="1"/>
    <col min="22" max="23" width="14.77734375" style="1102" hidden="1" customWidth="1"/>
    <col min="24" max="24" width="12.77734375" style="1102" hidden="1" customWidth="1"/>
    <col min="25" max="25" width="14.77734375" style="1102" hidden="1" customWidth="1"/>
    <col min="26" max="26" width="6.21875" style="1102" hidden="1" customWidth="1"/>
    <col min="27" max="27" width="14.77734375" style="1102" hidden="1" customWidth="1"/>
    <col min="28" max="28" width="19.5546875" style="1102" hidden="1" customWidth="1"/>
    <col min="29" max="31" width="11.44140625" style="1102" hidden="1" customWidth="1"/>
    <col min="32" max="32" width="17" style="1102" hidden="1" customWidth="1"/>
    <col min="33" max="34" width="23.21875" style="1102" hidden="1" customWidth="1"/>
    <col min="35" max="35" width="18.21875" style="1102" hidden="1" customWidth="1"/>
    <col min="36" max="41" width="11.44140625" style="1102" hidden="1" customWidth="1"/>
    <col min="42" max="42" width="15.5546875" style="1102" hidden="1" customWidth="1"/>
    <col min="43" max="84" width="11.44140625" style="1102" hidden="1" customWidth="1"/>
    <col min="85" max="150" width="11.44140625" style="1102" customWidth="1"/>
    <col min="151" max="16384" width="11.44140625" style="1102"/>
  </cols>
  <sheetData>
    <row r="1" spans="3:25" ht="28.2">
      <c r="C1" s="1446"/>
      <c r="D1" s="1446"/>
      <c r="E1" s="1924" t="s">
        <v>483</v>
      </c>
      <c r="F1" s="1447"/>
      <c r="G1" s="1447"/>
      <c r="H1" s="1447"/>
      <c r="I1" s="1447"/>
      <c r="J1" s="1447"/>
      <c r="K1" s="1447"/>
      <c r="M1" s="2241">
        <f ca="1">TODAY()</f>
        <v>46098</v>
      </c>
      <c r="N1" s="2241"/>
      <c r="X1" s="1448" t="str">
        <f>IF(AND(Adm!GL4="No asalariado",OR(Adm!GH6="Si",Adm!GH10="SI")),"No aplican programas del INFONVAVIT para no asalariados",IF(AND(F9&gt;"",F11=0),"Captura plazo",IF(AND(F9&gt;"",OR(F13=0,F15=0)),"Indica seguros",IF(AND(F9&gt;"",OR(F13="si",F15="si"),F17=""),"Indica modalidad de seguros",IF(AND(Adm!$AS$3="SI",F17=Adm!$S$18),"Indica modalidad de seguros correcta ",IF(AND(F9&gt;"",F27=0),"Captura importes",IF(AND(F9&gt;"",F21=0),"Captura intervinientes",IF(AND(F9&gt;0,F23=""),"Indica esquema de pago",IF(AND(F9&gt;"",F25&lt;250000),"El valor mínimo de la vivienda son $250,000",IF(AND(F9&gt;"",F27&lt;100000),"El monto mínimo de crédito son $100,000",IF(AND(F9&gt;"",F25=0),"Captura valor de vivienda",IF(AND(F9&gt;"",F27&gt;Adm!GY5),"El monto máximo de crédito es de $6,000,000",""))))))))))))</f>
        <v/>
      </c>
      <c r="Y1" s="1448" t="str">
        <f>IF(Adm!IH5="FALSO","Corrige oferta","")</f>
        <v/>
      </c>
    </row>
    <row r="2" spans="3:25">
      <c r="M2" s="1109" t="s">
        <v>388</v>
      </c>
      <c r="N2" s="1110" t="str">
        <f ca="1">TEXT(M1,M2)</f>
        <v>17 mar 2026</v>
      </c>
      <c r="X2" s="1291" t="str">
        <f>IF(Y1&lt;&gt;"",Y1,X1)</f>
        <v/>
      </c>
    </row>
    <row r="3" spans="3:25">
      <c r="C3" s="1135" t="s">
        <v>390</v>
      </c>
      <c r="D3" s="2291"/>
      <c r="E3" s="2291"/>
      <c r="F3" s="2291"/>
      <c r="G3" s="2291"/>
      <c r="H3" s="2291"/>
      <c r="Y3" s="1102" t="e">
        <f>IF(Adm!IH5="FALSO","Corrige oferta",IF(Adm!II5="VERDADERO","",IF(Adm!II5="FALSO","Corrige colectivo",IF(Adm!H9="VERDADERO",""))))</f>
        <v>#N/A</v>
      </c>
    </row>
    <row r="4" spans="3:25" ht="5.0999999999999996" customHeight="1"/>
    <row r="5" spans="3:25">
      <c r="C5" s="1449"/>
      <c r="D5" s="1449"/>
      <c r="E5" s="1449"/>
      <c r="F5" s="1449"/>
      <c r="G5" s="1449"/>
      <c r="H5" s="1449"/>
      <c r="I5" s="1449"/>
      <c r="J5" s="1449"/>
      <c r="K5" s="1449"/>
      <c r="L5" s="1449"/>
      <c r="M5" s="1449"/>
      <c r="N5" s="1449"/>
    </row>
    <row r="7" spans="3:25">
      <c r="C7" s="1119" t="s">
        <v>400</v>
      </c>
      <c r="F7" s="2272" t="s">
        <v>187</v>
      </c>
      <c r="G7" s="2273"/>
      <c r="N7" s="1450"/>
    </row>
    <row r="8" spans="3:25" ht="5.0999999999999996" customHeight="1"/>
    <row r="9" spans="3:25">
      <c r="C9" s="1119" t="s">
        <v>2</v>
      </c>
      <c r="F9" s="2272"/>
      <c r="G9" s="2273"/>
      <c r="H9" s="1142" t="s">
        <v>404</v>
      </c>
      <c r="I9" s="2151" t="s">
        <v>233</v>
      </c>
      <c r="L9" s="2057" t="str">
        <f>IF(Adm!$IK$3="SI","¿Con referencias crediticias en México?","")</f>
        <v/>
      </c>
      <c r="M9" s="1451"/>
      <c r="N9" s="1141"/>
    </row>
    <row r="10" spans="3:25" ht="5.0999999999999996" customHeight="1">
      <c r="I10" s="1155"/>
      <c r="J10" s="1155"/>
    </row>
    <row r="11" spans="3:25">
      <c r="C11" s="1135" t="s">
        <v>484</v>
      </c>
      <c r="F11" s="2274"/>
      <c r="G11" s="2275"/>
      <c r="I11" s="1135" t="str">
        <f>IF(Adm!GG4=Adm!GF114,"Crédito que otorga el INFONAVIT","")</f>
        <v/>
      </c>
      <c r="J11" s="1452"/>
      <c r="K11" s="2282"/>
      <c r="L11" s="2282"/>
    </row>
    <row r="12" spans="3:25" ht="5.0999999999999996" customHeight="1"/>
    <row r="13" spans="3:25">
      <c r="C13" s="1146" t="s">
        <v>485</v>
      </c>
      <c r="F13" s="2274" t="s">
        <v>88</v>
      </c>
      <c r="G13" s="2275"/>
      <c r="I13" s="1135" t="str">
        <f>IF(Adm!GG4=Adm!GF114,"Saldo de la Subcuenta de Vivienda","")</f>
        <v/>
      </c>
      <c r="J13" s="1135"/>
      <c r="K13" s="2282"/>
      <c r="L13" s="2282"/>
      <c r="X13" s="1453"/>
      <c r="Y13" s="1453"/>
    </row>
    <row r="14" spans="3:25" ht="5.0999999999999996" customHeight="1"/>
    <row r="15" spans="3:25">
      <c r="C15" s="1146" t="s">
        <v>486</v>
      </c>
      <c r="F15" s="2274" t="s">
        <v>88</v>
      </c>
      <c r="G15" s="2275"/>
      <c r="I15" s="1117" t="str">
        <f>IF(Adm!GG4=Adm!GF114,"Para créditos conyugales deberás capturar la suma de los dos créditos","")</f>
        <v/>
      </c>
      <c r="J15" s="1117"/>
    </row>
    <row r="16" spans="3:25" ht="5.0999999999999996" customHeight="1">
      <c r="C16" s="1146"/>
    </row>
    <row r="17" spans="3:14">
      <c r="E17" s="1454" t="str">
        <f>IF(OR(F13="si",F15="si"),"Modalidad de Seguros","")</f>
        <v>Modalidad de Seguros</v>
      </c>
      <c r="F17" s="2274" t="s">
        <v>231</v>
      </c>
      <c r="G17" s="2275"/>
    </row>
    <row r="18" spans="3:14" ht="5.0999999999999996" customHeight="1">
      <c r="E18" s="1142"/>
    </row>
    <row r="19" spans="3:14">
      <c r="C19" s="1152" t="s">
        <v>407</v>
      </c>
      <c r="F19" s="2290"/>
      <c r="G19" s="2289"/>
      <c r="I19" s="1135" t="str">
        <f>IF(Adm!GG4=Adm!GF116,"¿Se ubica en el estado de Coahuila?","")</f>
        <v/>
      </c>
      <c r="J19" s="1135"/>
      <c r="K19" s="2238"/>
      <c r="L19" s="2238"/>
    </row>
    <row r="20" spans="3:14" ht="5.0999999999999996" customHeight="1"/>
    <row r="21" spans="3:14">
      <c r="C21" s="1154" t="s">
        <v>408</v>
      </c>
      <c r="F21" s="2288">
        <v>1</v>
      </c>
      <c r="G21" s="2289"/>
      <c r="H21" s="1142" t="str">
        <f>IF(Adm!GG4=Adm!GF116,"SUSTITUCION","")</f>
        <v/>
      </c>
      <c r="I21" s="1135" t="str">
        <f>IF(Adm!GG4=Adm!GF116,"Origen del crédito","")</f>
        <v/>
      </c>
      <c r="J21" s="1135"/>
      <c r="K21" s="2238"/>
      <c r="L21" s="2238"/>
    </row>
    <row r="22" spans="3:14" ht="5.0999999999999996" customHeight="1"/>
    <row r="23" spans="3:14">
      <c r="C23" s="1135" t="s">
        <v>409</v>
      </c>
      <c r="F23" s="2288"/>
      <c r="G23" s="2289"/>
      <c r="I23" s="1135" t="str">
        <f>IF(OR(Adm!HC3="SI",Adm!HC3=0),"",IF(Adm!GG4=Adm!GF116,"Indique Programa para Liquidez adicional",""))</f>
        <v/>
      </c>
      <c r="J23" s="1135"/>
      <c r="K23" s="2238"/>
      <c r="L23" s="2238"/>
    </row>
    <row r="24" spans="3:14" ht="7.2" customHeight="1"/>
    <row r="25" spans="3:14">
      <c r="C25" s="1119" t="s">
        <v>487</v>
      </c>
      <c r="F25" s="2285"/>
      <c r="G25" s="2286"/>
      <c r="I25" s="1135" t="str">
        <f>IF(AND(Adm!GG4=Adm!GF116,Adm!HB4=Adm!HB14),"¿Desea Apoyo INFONAVIT?","")</f>
        <v/>
      </c>
      <c r="J25" s="1135"/>
      <c r="K25" s="2238"/>
      <c r="L25" s="2238"/>
    </row>
    <row r="26" spans="3:14" ht="7.2" customHeight="1"/>
    <row r="27" spans="3:14">
      <c r="C27" s="1119" t="s">
        <v>488</v>
      </c>
      <c r="F27" s="2285"/>
      <c r="G27" s="2286"/>
      <c r="J27" s="1455" t="str">
        <f>IF(OR(Adm!HA4=Adm!HA14,Adm!HA4=Adm!HA15),"",IF(Adm!HC3="SI","",IF(Adm!GG4=Adm!GF116,"¿Desea menor monto de crédito de liquidez? Captura importe","")))</f>
        <v/>
      </c>
      <c r="K27" s="2276"/>
      <c r="L27" s="2276"/>
    </row>
    <row r="28" spans="3:14">
      <c r="D28" s="1117" t="s">
        <v>489</v>
      </c>
      <c r="F28" s="2284"/>
      <c r="G28" s="2284"/>
    </row>
    <row r="29" spans="3:14" ht="13.8" thickBot="1">
      <c r="C29" s="2283" t="str">
        <f>IF(Adm!GG4="","",X2)</f>
        <v/>
      </c>
      <c r="D29" s="2283"/>
      <c r="E29" s="2283"/>
      <c r="F29" s="2283"/>
      <c r="G29" s="2283"/>
      <c r="H29" s="2283"/>
      <c r="I29" s="2283"/>
      <c r="J29" s="2283"/>
      <c r="K29" s="2283"/>
      <c r="L29" s="2283"/>
      <c r="M29" s="2283"/>
      <c r="N29" s="2283"/>
    </row>
    <row r="30" spans="3:14" ht="18.75" customHeight="1">
      <c r="C30" s="1526" t="s">
        <v>490</v>
      </c>
      <c r="D30" s="1456"/>
      <c r="E30" s="1456"/>
      <c r="F30" s="1456"/>
      <c r="G30" s="1456"/>
      <c r="H30" s="1456"/>
      <c r="I30" s="1456"/>
      <c r="J30" s="1456"/>
      <c r="K30" s="1456"/>
      <c r="L30" s="1456"/>
      <c r="M30" s="1456"/>
      <c r="N30" s="1456"/>
    </row>
    <row r="31" spans="3:14" s="1107" customFormat="1" ht="23.25" customHeight="1">
      <c r="C31" s="1457" t="str">
        <f>IF(OR(Adm!$B$4=Adm!$A$119,Adm!$B$4=Adm!$A$120),"El aforo final estará en función de la Evaluación de Crédito","Te mostramos las tasas a las que podrías acceder de acuerdo al Perfil de Riesgo y condiciones indicadas. La tasa y el aforo final estarán en función de la Evaluación de Crédito")</f>
        <v>Te mostramos las tasas a las que podrías acceder de acuerdo al Perfil de Riesgo y condiciones indicadas. La tasa y el aforo final estarán en función de la Evaluación de Crédito</v>
      </c>
      <c r="D31" s="1458"/>
      <c r="E31" s="1458"/>
      <c r="F31" s="1458"/>
      <c r="G31" s="1458"/>
      <c r="H31" s="1458"/>
      <c r="I31" s="1458"/>
      <c r="J31" s="1458"/>
      <c r="K31" s="1458"/>
      <c r="L31" s="1458"/>
      <c r="M31" s="1458"/>
      <c r="N31" s="1458"/>
    </row>
    <row r="32" spans="3:14" ht="30.75" customHeight="1">
      <c r="D32" s="1227"/>
      <c r="H32" s="1459" t="str">
        <f>IF(Adm!GG4=0,"",IF(Free!C29&lt;&gt;"","",IF(Cal!AP106="","","Tasa Perfil 5")))</f>
        <v/>
      </c>
      <c r="J32" s="1460"/>
      <c r="K32" s="1459" t="str">
        <f>IF(Adm!$GG$4=0,"",IF($C$29&lt;&gt;"","",IF(OR(E40="Selecciona",E40=""),"",IF(Cal!AT106="","",CONCATENATE("Tasa"," ",E40)))))</f>
        <v/>
      </c>
    </row>
    <row r="33" spans="3:12" ht="15" customHeight="1">
      <c r="C33" s="2279" t="s">
        <v>411</v>
      </c>
      <c r="D33" s="2280"/>
      <c r="E33" s="2281"/>
      <c r="F33" s="1181"/>
      <c r="H33" s="1461" t="str">
        <f>IF(Adm!$GG$4=0,"",IF($C$29&lt;&gt;"","",IF(Cal!$AP$106="","","Crédito Principal")))</f>
        <v/>
      </c>
      <c r="I33" s="1462" t="str">
        <f>IF(Adm!$GG$4=0,"",IF($C$29&lt;&gt;"","",IF(Cal!$AQ$105="NO","","Crédito Liquidez")))</f>
        <v/>
      </c>
      <c r="J33" s="1463"/>
      <c r="K33" s="1461" t="str">
        <f>IF(Adm!$GG$4=0,"",IF($C$29&lt;&gt;"","",IF(OR(E40="Selecciona",E40=""),"",IF(Cal!AT106="","","Crédito Principal"))))</f>
        <v/>
      </c>
      <c r="L33" s="1462" t="str">
        <f>IF(Adm!$GG$4=0,"",IF($C$29&lt;&gt;"","",IF(OR(E40="Selecciona",E40=""),"",IF(Cal!AU105="NO","","Crédito Liquidez"))))</f>
        <v/>
      </c>
    </row>
    <row r="34" spans="3:12">
      <c r="C34" s="1179" t="s">
        <v>412</v>
      </c>
      <c r="D34" s="1464">
        <f>Cal!AP107</f>
        <v>0</v>
      </c>
      <c r="E34" s="1465"/>
      <c r="F34" s="1181"/>
      <c r="G34" s="1119" t="str">
        <f>IF($H$33="","","Financiamiento máximo")</f>
        <v/>
      </c>
      <c r="H34" s="1466">
        <f>IF($H$33="",0,Cal!AP118)</f>
        <v>0</v>
      </c>
      <c r="I34" s="1101"/>
      <c r="J34" s="1394"/>
      <c r="K34" s="1467">
        <f>IF($K$33="",0,Cal!AT118)</f>
        <v>0</v>
      </c>
      <c r="L34" s="1101"/>
    </row>
    <row r="35" spans="3:12">
      <c r="C35" s="1179" t="s">
        <v>413</v>
      </c>
      <c r="D35" s="1464">
        <f>Cal!AP108</f>
        <v>0</v>
      </c>
      <c r="E35" s="1468"/>
      <c r="F35" s="1181"/>
      <c r="G35" s="1119" t="str">
        <f>IF($H$33="","","Tasa de Interés")</f>
        <v/>
      </c>
      <c r="H35" s="1469">
        <f>IF($H$33="",0,Cal!AP116)</f>
        <v>0</v>
      </c>
      <c r="I35" s="1191">
        <f>IF($I$33="",0,Cal!AQ116)</f>
        <v>0</v>
      </c>
      <c r="J35" s="1101"/>
      <c r="K35" s="1195">
        <f>IF($K$33="",0,Cal!AT116)</f>
        <v>0</v>
      </c>
      <c r="L35" s="1191">
        <f>IF($L$33="",0,Cal!AU116)</f>
        <v>0</v>
      </c>
    </row>
    <row r="36" spans="3:12">
      <c r="C36" s="1179" t="s">
        <v>414</v>
      </c>
      <c r="D36" s="1101">
        <f>Cal!AP109</f>
        <v>0</v>
      </c>
      <c r="E36" s="1470"/>
      <c r="F36" s="1181"/>
      <c r="G36" s="1143" t="str">
        <f>IF($H$33="","","Total Crédito")</f>
        <v/>
      </c>
      <c r="H36" s="1471">
        <f>IF($H$33="",0,Cal!AP119)</f>
        <v>0</v>
      </c>
      <c r="I36" s="1471">
        <f>IF($I$33="",0,Cal!AQ119)</f>
        <v>0</v>
      </c>
      <c r="J36" s="1394"/>
      <c r="K36" s="1471">
        <f>IF($K$33="",0,Cal!AT119)</f>
        <v>0</v>
      </c>
      <c r="L36" s="1471">
        <f>IF($L$33="",0,Cal!AU119)</f>
        <v>0</v>
      </c>
    </row>
    <row r="37" spans="3:12">
      <c r="C37" s="1472"/>
      <c r="D37" s="1198"/>
      <c r="E37" s="1200"/>
      <c r="F37" s="1181"/>
      <c r="G37" s="1119" t="str">
        <f>IF($H$33="","","Ingresos mín. requeridos")</f>
        <v/>
      </c>
      <c r="H37" s="1473">
        <f>IF($H$33="",0,Cal!AP128)</f>
        <v>0</v>
      </c>
      <c r="I37" s="1473"/>
      <c r="J37" s="1101"/>
      <c r="K37" s="1473">
        <f>IF($K$33="",0,Cal!AT128)</f>
        <v>0</v>
      </c>
      <c r="L37" s="1473"/>
    </row>
    <row r="38" spans="3:12">
      <c r="C38" s="1119"/>
      <c r="D38" s="1469"/>
      <c r="E38" s="1227"/>
      <c r="F38" s="1474"/>
      <c r="G38" s="1473"/>
      <c r="H38" s="1473"/>
      <c r="I38" s="1473"/>
      <c r="J38" s="1475"/>
      <c r="K38" s="1473"/>
      <c r="L38" s="1473"/>
    </row>
    <row r="39" spans="3:12">
      <c r="C39" s="2262" t="s">
        <v>415</v>
      </c>
      <c r="D39" s="2262"/>
      <c r="E39" s="1227"/>
      <c r="F39" s="1474"/>
      <c r="G39" s="1217" t="str">
        <f>IF($H$33="","","GASTOS MENSUALES")</f>
        <v/>
      </c>
      <c r="H39" s="1473"/>
      <c r="I39" s="1473"/>
      <c r="J39" s="1101"/>
      <c r="K39" s="1473"/>
      <c r="L39" s="1473"/>
    </row>
    <row r="40" spans="3:12" ht="15" customHeight="1">
      <c r="C40" s="2262"/>
      <c r="D40" s="2262"/>
      <c r="E40" s="2152"/>
      <c r="F40" s="1474"/>
      <c r="G40" s="1102" t="str">
        <f>IF($H$33="","","Pago Mensual inicial (k+ i)")</f>
        <v/>
      </c>
      <c r="H40" s="1473">
        <f>IF($H$33="",0,Cal!AP123)</f>
        <v>0</v>
      </c>
      <c r="I40" s="1473">
        <f>IF($I$33="",0,Cal!AQ123)</f>
        <v>0</v>
      </c>
      <c r="J40" s="1101"/>
      <c r="K40" s="1473">
        <f>IF($K$33="",0,Cal!AT123)</f>
        <v>0</v>
      </c>
      <c r="L40" s="1473">
        <f>IF($L$33="",0,Cal!AU123)</f>
        <v>0</v>
      </c>
    </row>
    <row r="41" spans="3:12">
      <c r="C41" s="2262"/>
      <c r="D41" s="2262"/>
      <c r="E41" s="1227"/>
      <c r="F41" s="1474"/>
      <c r="G41" s="1102" t="str">
        <f>IF($H$33="","","Seguro de Vida")</f>
        <v/>
      </c>
      <c r="H41" s="1473">
        <f>IF($H$33="",0,Cal!AP124)</f>
        <v>0</v>
      </c>
      <c r="I41" s="1473">
        <f>IF($I$33="",0,Cal!AQ124)</f>
        <v>0</v>
      </c>
      <c r="J41" s="1101"/>
      <c r="K41" s="1473">
        <f>IF($K$33="",0,Cal!AT124)</f>
        <v>0</v>
      </c>
      <c r="L41" s="1473">
        <f>IF($L$33="",0,Cal!AU124)</f>
        <v>0</v>
      </c>
    </row>
    <row r="42" spans="3:12">
      <c r="C42" s="2262"/>
      <c r="D42" s="2262"/>
      <c r="F42" s="1474"/>
      <c r="G42" s="1102" t="str">
        <f>IF($H$33="","","Seguro de Daños")</f>
        <v/>
      </c>
      <c r="H42" s="1473">
        <f>IF($H$33="",0,Cal!AP125)</f>
        <v>0</v>
      </c>
      <c r="I42" s="1473">
        <f>IF($I$33="",0,Cal!AQ125)</f>
        <v>0</v>
      </c>
      <c r="J42" s="1101"/>
      <c r="K42" s="1473">
        <f>IF($K$33="",0,Cal!AT125)</f>
        <v>0</v>
      </c>
      <c r="L42" s="1473">
        <f>IF($L$33="",0,Cal!AU125)</f>
        <v>0</v>
      </c>
    </row>
    <row r="43" spans="3:12">
      <c r="D43" s="1227"/>
      <c r="E43" s="1227"/>
      <c r="F43" s="1474"/>
      <c r="G43" s="2030" t="str">
        <f>IF($H$33="","","Administración autorización de crédito diferido (+IVA)")</f>
        <v/>
      </c>
      <c r="H43" s="1473">
        <f>IF($H$33="",0,Cal!AP126)</f>
        <v>0</v>
      </c>
      <c r="I43" s="1473">
        <f>IF($I$33="",0,Cal!AQ126)</f>
        <v>0</v>
      </c>
      <c r="J43" s="1101"/>
      <c r="K43" s="1473">
        <f>IF($K$33="",0,Cal!AT126)</f>
        <v>0</v>
      </c>
      <c r="L43" s="1473">
        <f>IF($L$33="",0,Cal!AU126)</f>
        <v>0</v>
      </c>
    </row>
    <row r="44" spans="3:12">
      <c r="D44" s="1227"/>
      <c r="E44" s="1227"/>
      <c r="F44" s="1474"/>
      <c r="G44" s="1107" t="str">
        <f>IF($H$33="","","IVA de Intereses")</f>
        <v/>
      </c>
      <c r="H44" s="1473">
        <f>IF($H$33="",0,Cal!AP129)</f>
        <v>0</v>
      </c>
      <c r="I44" s="1473">
        <f>IF($I$33="",0,Cal!AQ129)</f>
        <v>0</v>
      </c>
      <c r="J44" s="1101"/>
      <c r="K44" s="1473">
        <f>IF($K$33="",0,Cal!AT129)</f>
        <v>0</v>
      </c>
      <c r="L44" s="1473">
        <f>IF($L$33="",0,Cal!AU128)</f>
        <v>0</v>
      </c>
    </row>
    <row r="45" spans="3:12">
      <c r="D45" s="1473" t="str">
        <f>IF($C$32="","",Cal!BD112)</f>
        <v/>
      </c>
      <c r="E45" s="1476"/>
      <c r="F45" s="1474"/>
      <c r="G45" s="1143" t="str">
        <f>IF($H$33="","","Total mensualidad Inicial")</f>
        <v/>
      </c>
      <c r="H45" s="1477">
        <f>IF($H$33="",0,SUM(H40:H44))</f>
        <v>0</v>
      </c>
      <c r="I45" s="1477">
        <f>IF($I$33="",0,SUM(I40:I44))</f>
        <v>0</v>
      </c>
      <c r="J45" s="1101"/>
      <c r="K45" s="1477">
        <f>IF($K$33="",0,SUM(K40:K44))</f>
        <v>0</v>
      </c>
      <c r="L45" s="1477">
        <f>IF($L$33="",0,SUM(L40:L44))</f>
        <v>0</v>
      </c>
    </row>
    <row r="46" spans="3:12">
      <c r="E46" s="1476"/>
      <c r="F46" s="1474"/>
      <c r="G46" s="1927" t="str">
        <f>IF($H$33="","","Incremento anual en el pago")</f>
        <v/>
      </c>
      <c r="H46" s="1224">
        <f>IF($H$33="",0,Cal!AP127)</f>
        <v>0</v>
      </c>
      <c r="I46" s="1191">
        <f>IF($I$33="",0,Cal!AQ127)</f>
        <v>0</v>
      </c>
      <c r="J46" s="1101"/>
      <c r="K46" s="1191">
        <f>IF($K$33="",0,Cal!AT127)</f>
        <v>0</v>
      </c>
      <c r="L46" s="1191">
        <f>IF($L$33="",0,Cal!AU127)</f>
        <v>0</v>
      </c>
    </row>
    <row r="47" spans="3:12" ht="11.25" customHeight="1">
      <c r="D47" s="1473" t="str">
        <f>IF($C$32="","",Cal!BD114)</f>
        <v/>
      </c>
      <c r="E47" s="1476"/>
      <c r="F47" s="1474"/>
      <c r="G47" s="1191"/>
      <c r="H47" s="1224"/>
      <c r="I47" s="1101"/>
      <c r="J47" s="1101"/>
      <c r="K47" s="1101"/>
      <c r="L47" s="1101"/>
    </row>
    <row r="48" spans="3:12">
      <c r="C48" s="1146"/>
      <c r="D48" s="1473"/>
      <c r="E48" s="1476"/>
      <c r="F48" s="1474"/>
      <c r="G48" s="1227" t="str">
        <f>IF($H$33="","","GASTOS INICIALES")</f>
        <v/>
      </c>
      <c r="H48" s="1224"/>
      <c r="I48" s="1101"/>
      <c r="J48" s="1101"/>
      <c r="K48" s="1101"/>
      <c r="L48" s="1101"/>
    </row>
    <row r="49" spans="3:43" ht="4.5" customHeight="1">
      <c r="C49" s="1146"/>
      <c r="D49" s="1473"/>
      <c r="E49" s="1476"/>
      <c r="F49" s="1474"/>
      <c r="H49" s="1224"/>
      <c r="I49" s="1101"/>
      <c r="J49" s="1101"/>
      <c r="K49" s="1101"/>
      <c r="L49" s="1101"/>
    </row>
    <row r="50" spans="3:43">
      <c r="C50" s="1146"/>
      <c r="D50" s="1473"/>
      <c r="E50" s="1476"/>
      <c r="F50" s="1474"/>
      <c r="G50" s="1107" t="str">
        <f>IF($H$33="","","Contratación crédito")</f>
        <v/>
      </c>
      <c r="H50" s="1473">
        <f>IF($H$33="",0,Cal!AP110)</f>
        <v>0</v>
      </c>
      <c r="I50" s="1473">
        <f>IF($I$33="",0,Cal!AQ110)</f>
        <v>0</v>
      </c>
      <c r="J50" s="1101"/>
      <c r="K50" s="1473">
        <f>IF($K$33="",0,Cal!AT110)</f>
        <v>0</v>
      </c>
      <c r="L50" s="1473">
        <f>IF($L$33="",0,Cal!AU110)</f>
        <v>0</v>
      </c>
    </row>
    <row r="51" spans="3:43" s="1126" customFormat="1">
      <c r="C51" s="2016"/>
      <c r="D51" s="2017"/>
      <c r="E51" s="2018"/>
      <c r="F51" s="1474"/>
      <c r="G51" s="2031" t="str">
        <f>IF($H$33="","","Gastos de preoriginación avalúo hipotecario")</f>
        <v/>
      </c>
      <c r="H51" s="2017">
        <f>IF($H$33="",0,Cal!AP111)</f>
        <v>0</v>
      </c>
      <c r="I51" s="2017"/>
      <c r="J51" s="1159"/>
      <c r="K51" s="2017">
        <f>IF($K$33="",0,Cal!AT111)</f>
        <v>0</v>
      </c>
      <c r="L51" s="2017"/>
    </row>
    <row r="52" spans="3:43">
      <c r="C52" s="1146"/>
      <c r="D52" s="1473"/>
      <c r="E52" s="1476"/>
      <c r="F52" s="1474"/>
      <c r="G52" s="1107" t="str">
        <f>IF($H$33="","","Gastos Notariales")</f>
        <v/>
      </c>
      <c r="H52" s="1473">
        <f>IF($H$33="",0,Cal!AP112)</f>
        <v>0</v>
      </c>
      <c r="I52" s="1473"/>
      <c r="J52" s="1101"/>
      <c r="K52" s="1473">
        <f>IF($K$33="",0,Cal!AT112)</f>
        <v>0</v>
      </c>
      <c r="L52" s="1473"/>
    </row>
    <row r="53" spans="3:43">
      <c r="C53" s="1146"/>
      <c r="D53" s="1473"/>
      <c r="E53" s="1476"/>
      <c r="F53" s="1474"/>
      <c r="G53" s="1107" t="str">
        <f>IF($H$33="","",IF(Adm!B4=Adm!A115,"Gastos INFONAVIT",""))</f>
        <v/>
      </c>
      <c r="H53" s="1473">
        <f>IF($H$33="",0,Cal!AP114)</f>
        <v>0</v>
      </c>
      <c r="I53" s="1473"/>
      <c r="J53" s="1101"/>
      <c r="K53" s="1473">
        <f>IF($K$33="",0,Cal!AT114)</f>
        <v>0</v>
      </c>
      <c r="L53" s="1473"/>
    </row>
    <row r="54" spans="3:43">
      <c r="C54" s="1146"/>
      <c r="D54" s="1473"/>
      <c r="E54" s="1476"/>
      <c r="F54" s="1474"/>
      <c r="G54" s="1107" t="str">
        <f>IF($H$33="","","Enganche")</f>
        <v/>
      </c>
      <c r="H54" s="1473">
        <f>IF($H$33="",0,Cal!AP115)</f>
        <v>0</v>
      </c>
      <c r="I54" s="1473"/>
      <c r="J54" s="1101"/>
      <c r="K54" s="1473">
        <f>IF($K$33="",0,Cal!AT115)</f>
        <v>0</v>
      </c>
      <c r="L54" s="1473"/>
    </row>
    <row r="55" spans="3:43">
      <c r="C55" s="1146"/>
      <c r="D55" s="1473"/>
      <c r="E55" s="1476"/>
      <c r="F55" s="1474"/>
      <c r="G55" s="1146" t="str">
        <f>IF($H$33="","","Subtotal Gastos")</f>
        <v/>
      </c>
      <c r="H55" s="1477">
        <f>IF($H$33="",0,SUM(H50:H54))</f>
        <v>0</v>
      </c>
      <c r="I55" s="1473"/>
      <c r="J55" s="1101"/>
      <c r="K55" s="1477">
        <f>IF($K$33="",0,SUM(K50:K54))</f>
        <v>0</v>
      </c>
      <c r="L55" s="1473"/>
    </row>
    <row r="56" spans="3:43" ht="13.8" thickBot="1">
      <c r="C56" s="1478"/>
      <c r="D56" s="1473"/>
      <c r="E56" s="1464"/>
      <c r="G56" s="1191"/>
      <c r="H56" s="1224"/>
    </row>
    <row r="57" spans="3:43" ht="14.4" thickTop="1" thickBot="1">
      <c r="C57" s="1479" t="s">
        <v>491</v>
      </c>
      <c r="D57" s="1480"/>
      <c r="E57" s="1480"/>
      <c r="F57" s="1480"/>
      <c r="G57" s="1480"/>
      <c r="H57" s="1480"/>
      <c r="I57" s="1481"/>
      <c r="J57" s="1481"/>
      <c r="K57" s="1481"/>
      <c r="L57" s="1481"/>
      <c r="M57" s="1481"/>
      <c r="N57" s="1481"/>
    </row>
    <row r="58" spans="3:43" ht="13.8" thickTop="1">
      <c r="C58" s="1482"/>
      <c r="D58" s="1483"/>
      <c r="E58" s="1483"/>
      <c r="F58" s="1483"/>
      <c r="G58" s="1483"/>
      <c r="H58" s="1483"/>
      <c r="I58" s="2277" t="s">
        <v>417</v>
      </c>
      <c r="J58" s="2278"/>
      <c r="K58" s="1484"/>
      <c r="L58" s="2278" t="s">
        <v>418</v>
      </c>
      <c r="M58" s="2278"/>
      <c r="N58" s="1485"/>
    </row>
    <row r="59" spans="3:43">
      <c r="C59" s="1251" t="s">
        <v>492</v>
      </c>
      <c r="D59" s="1483"/>
      <c r="E59" s="1483"/>
      <c r="F59" s="1486"/>
      <c r="G59" s="1483"/>
      <c r="H59" s="1483"/>
      <c r="I59" s="1248" t="s">
        <v>412</v>
      </c>
      <c r="J59" s="1255">
        <f>Cal!BO107</f>
        <v>0</v>
      </c>
      <c r="K59" s="1487"/>
      <c r="L59" s="2020" t="s">
        <v>419</v>
      </c>
      <c r="M59" s="1488">
        <f>Cal!BO110</f>
        <v>0</v>
      </c>
      <c r="N59" s="1489"/>
    </row>
    <row r="60" spans="3:43" ht="39.6">
      <c r="C60" s="1482"/>
      <c r="D60" s="1483"/>
      <c r="E60" s="1483"/>
      <c r="F60" s="1483"/>
      <c r="G60" s="1483"/>
      <c r="H60" s="1483"/>
      <c r="I60" s="1248" t="s">
        <v>413</v>
      </c>
      <c r="J60" s="1255">
        <f>Cal!BO108</f>
        <v>0</v>
      </c>
      <c r="K60" s="1487"/>
      <c r="L60" s="2021" t="s">
        <v>421</v>
      </c>
      <c r="M60" s="2019">
        <f>Cal!BO111</f>
        <v>0</v>
      </c>
      <c r="N60" s="1489"/>
    </row>
    <row r="61" spans="3:43">
      <c r="C61" s="1482"/>
      <c r="D61" s="1483"/>
      <c r="E61" s="1483"/>
      <c r="F61" s="1483"/>
      <c r="G61" s="1483"/>
      <c r="H61" s="1483"/>
      <c r="I61" s="1248" t="s">
        <v>414</v>
      </c>
      <c r="J61" s="1490">
        <f>Cal!BO109</f>
        <v>0</v>
      </c>
      <c r="K61" s="1487"/>
      <c r="L61" s="2022" t="s">
        <v>422</v>
      </c>
      <c r="M61" s="1255">
        <f>Cal!BO112</f>
        <v>0</v>
      </c>
      <c r="N61" s="1489"/>
    </row>
    <row r="62" spans="3:43">
      <c r="D62" s="1483"/>
      <c r="E62" s="1483"/>
      <c r="F62" s="1491" t="str">
        <f>IF(Cal!BP105="SI","Ver tabla de liquidez","")</f>
        <v/>
      </c>
      <c r="G62" s="1483"/>
      <c r="H62" s="1483"/>
      <c r="I62" s="1253" t="s">
        <v>423</v>
      </c>
      <c r="J62" s="1492">
        <f>Cal!BO118</f>
        <v>0</v>
      </c>
      <c r="K62" s="1487"/>
      <c r="L62" s="2022" t="s">
        <v>365</v>
      </c>
      <c r="M62" s="1255">
        <f>Cal!BO115</f>
        <v>0</v>
      </c>
      <c r="N62" s="1489"/>
    </row>
    <row r="63" spans="3:43">
      <c r="C63" s="1482"/>
      <c r="D63" s="1483"/>
      <c r="E63" s="1483"/>
      <c r="F63" s="1483"/>
      <c r="G63" s="1483"/>
      <c r="H63" s="1483"/>
      <c r="I63" s="1261" t="s">
        <v>366</v>
      </c>
      <c r="J63" s="1493">
        <f>Cal!BO116</f>
        <v>0</v>
      </c>
      <c r="K63" s="1487"/>
      <c r="L63" s="1244" t="s">
        <v>364</v>
      </c>
      <c r="M63" s="1255">
        <f>Cal!BO114</f>
        <v>0</v>
      </c>
      <c r="N63" s="1489"/>
      <c r="AF63" s="1267" t="s">
        <v>425</v>
      </c>
      <c r="AG63" s="1268"/>
      <c r="AH63" s="1268"/>
      <c r="AI63" s="1270"/>
      <c r="AJ63" s="1126"/>
      <c r="AK63" s="1126"/>
      <c r="AM63" s="1271" t="s">
        <v>427</v>
      </c>
      <c r="AN63" s="1272">
        <v>1000000</v>
      </c>
      <c r="AO63" s="1126"/>
      <c r="AP63" s="1126"/>
      <c r="AQ63" s="1126"/>
    </row>
    <row r="64" spans="3:43">
      <c r="C64" s="1482"/>
      <c r="D64" s="1483"/>
      <c r="E64" s="1483"/>
      <c r="F64" s="1483"/>
      <c r="G64" s="1483"/>
      <c r="H64" s="1483"/>
      <c r="I64" s="1494" t="s">
        <v>493</v>
      </c>
      <c r="J64" s="1495">
        <f>Cal!BO119</f>
        <v>0</v>
      </c>
      <c r="K64" s="1496"/>
      <c r="L64" s="1497" t="s">
        <v>429</v>
      </c>
      <c r="M64" s="1495">
        <f>SUM(M59:M63)</f>
        <v>0</v>
      </c>
      <c r="N64" s="1498"/>
      <c r="AF64" s="1122" t="s">
        <v>430</v>
      </c>
      <c r="AI64" s="1283"/>
      <c r="AK64" s="1107"/>
      <c r="AM64" s="1284" t="s">
        <v>74</v>
      </c>
      <c r="AN64" s="1285">
        <f>Cal!BO116</f>
        <v>0</v>
      </c>
      <c r="AO64" s="1107"/>
      <c r="AP64" s="1107"/>
      <c r="AQ64" s="1107"/>
    </row>
    <row r="65" spans="1:43" ht="7.5" customHeight="1">
      <c r="AF65" s="1499">
        <f>IF(N67=AF63,1,IF(N67=AF64,2,1))</f>
        <v>1</v>
      </c>
      <c r="AI65" s="1292" t="s">
        <v>433</v>
      </c>
      <c r="AK65" s="1107"/>
      <c r="AM65" s="1293" t="s">
        <v>434</v>
      </c>
      <c r="AN65" s="1294">
        <f>Cal!BO117</f>
        <v>0</v>
      </c>
      <c r="AO65" s="1107"/>
      <c r="AP65" s="1107"/>
      <c r="AQ65" s="1107"/>
    </row>
    <row r="66" spans="1:43" ht="10.5" customHeight="1">
      <c r="AF66" s="1122"/>
      <c r="AG66" s="1316" t="s">
        <v>443</v>
      </c>
      <c r="AI66" s="1500">
        <v>1</v>
      </c>
      <c r="AK66" s="1107"/>
      <c r="AM66" s="1284" t="s">
        <v>438</v>
      </c>
      <c r="AN66" s="1501">
        <f>Cal!BO127</f>
        <v>0</v>
      </c>
      <c r="AO66" s="1107"/>
      <c r="AP66" s="1107"/>
      <c r="AQ66" s="1107"/>
    </row>
    <row r="67" spans="1:43" ht="24.75" customHeight="1">
      <c r="C67" s="1152" t="s">
        <v>435</v>
      </c>
      <c r="D67" s="1502" t="e">
        <f>CAT!HR20</f>
        <v>#NUM!</v>
      </c>
      <c r="E67" s="1311" t="s">
        <v>436</v>
      </c>
      <c r="J67" s="1503" t="str">
        <f>IF(Adm!GG4=Adm!GF113,"¿El salario es mayor? Sólo para ver las Aportaciones Patronales captura el salario",IF(AND(Adm!GG4=Adm!GF116,Adm!GJ4="si"),"¿El salario es mayor? Sólo para ver las Aportaciones Patronales captura el salario",""))</f>
        <v/>
      </c>
      <c r="K67" s="1923"/>
      <c r="M67" s="1302" t="s">
        <v>437</v>
      </c>
      <c r="N67" s="1303"/>
      <c r="AA67" s="1314" t="s">
        <v>440</v>
      </c>
      <c r="AB67" s="1314" t="s">
        <v>441</v>
      </c>
      <c r="AF67" s="1315" t="s">
        <v>442</v>
      </c>
      <c r="AG67" s="1317">
        <f>D71</f>
        <v>0</v>
      </c>
      <c r="AI67" s="1283"/>
      <c r="AK67" s="1107"/>
      <c r="AM67" s="1284" t="s">
        <v>7</v>
      </c>
      <c r="AN67" s="1318">
        <f>Cal!BO109</f>
        <v>0</v>
      </c>
      <c r="AO67" s="1107"/>
      <c r="AP67" s="1107"/>
      <c r="AQ67" s="1107"/>
    </row>
    <row r="68" spans="1:43" s="1126" customFormat="1" ht="21.75" customHeight="1">
      <c r="C68" s="1242" t="str">
        <f ca="1">CONCATENATE("Calculado al"," ",N2," ",".Para fines informativos y de comparación.")</f>
        <v>Calculado al 17 mar 2026 .Para fines informativos y de comparación.</v>
      </c>
      <c r="M68" s="1302" t="s">
        <v>439</v>
      </c>
      <c r="N68" s="1504" t="str">
        <f>CONCATENATE(T70," ","meses","")</f>
        <v>0 meses</v>
      </c>
      <c r="AF68" s="1122"/>
      <c r="AG68" s="1102"/>
      <c r="AH68" s="1102"/>
      <c r="AI68" s="1283"/>
      <c r="AJ68" s="1102"/>
      <c r="AK68" s="1107"/>
      <c r="AM68" s="1284" t="s">
        <v>494</v>
      </c>
      <c r="AN68" s="1505">
        <f>Adm!HI4</f>
        <v>2.5000000000000001E-3</v>
      </c>
      <c r="AO68" s="1107"/>
      <c r="AP68" s="1107"/>
      <c r="AQ68" s="1107"/>
    </row>
    <row r="69" spans="1:43" ht="39.6">
      <c r="A69" s="1321" t="s">
        <v>444</v>
      </c>
      <c r="B69" s="1322" t="s">
        <v>445</v>
      </c>
      <c r="C69" s="1323" t="s">
        <v>446</v>
      </c>
      <c r="D69" s="1323" t="s">
        <v>447</v>
      </c>
      <c r="E69" s="1323" t="s">
        <v>448</v>
      </c>
      <c r="F69" s="1323" t="s">
        <v>449</v>
      </c>
      <c r="G69" s="1323" t="s">
        <v>450</v>
      </c>
      <c r="H69" s="1323" t="str">
        <f>IF(Adm!$GS$4=Adm!$GS$8,"",IF(Adm!$GS$12=Adm!$GS$16,"","Seguro Vida"))</f>
        <v>Seguro Vida</v>
      </c>
      <c r="I69" s="1323" t="str">
        <f>IF(Adm!$GS$5=Adm!$GS$8,"",IF(Adm!$GS$12=Adm!$GS$16,"","Seguro daños"))</f>
        <v>Seguro daños</v>
      </c>
      <c r="J69" s="1323" t="str">
        <f>IF(Adm!$GO$4&gt;0,"IVA de Intereses","")</f>
        <v/>
      </c>
      <c r="K69" s="1323" t="s">
        <v>452</v>
      </c>
      <c r="L69" s="1323" t="str">
        <f>IF(Adm!$GJ$4="si","Aportaciones Patronales","")</f>
        <v/>
      </c>
      <c r="M69" s="1323" t="s">
        <v>453</v>
      </c>
      <c r="N69" s="1324" t="s">
        <v>495</v>
      </c>
      <c r="T69" s="1266" t="s">
        <v>424</v>
      </c>
      <c r="U69" s="1326" t="s">
        <v>444</v>
      </c>
      <c r="V69" s="2270" t="s">
        <v>454</v>
      </c>
      <c r="W69" s="2271"/>
      <c r="X69" s="1118"/>
      <c r="Y69" s="1506" t="s">
        <v>496</v>
      </c>
      <c r="Z69" s="1118"/>
      <c r="AA69" s="1507">
        <f>Cal!BO128</f>
        <v>0</v>
      </c>
      <c r="AF69" s="1330" t="s">
        <v>455</v>
      </c>
      <c r="AG69" s="1333" t="s">
        <v>458</v>
      </c>
      <c r="AH69" s="1334" t="s">
        <v>459</v>
      </c>
      <c r="AI69" s="1335" t="s">
        <v>460</v>
      </c>
      <c r="AK69" s="1293"/>
      <c r="AL69" s="1336" t="s">
        <v>444</v>
      </c>
      <c r="AM69" s="1336" t="s">
        <v>443</v>
      </c>
      <c r="AN69" s="1336" t="s">
        <v>448</v>
      </c>
      <c r="AO69" s="1336" t="s">
        <v>449</v>
      </c>
      <c r="AP69" s="1336" t="s">
        <v>461</v>
      </c>
      <c r="AQ69" s="1336" t="s">
        <v>462</v>
      </c>
    </row>
    <row r="70" spans="1:43">
      <c r="A70" s="1101">
        <f ca="1">MONTH(M1)</f>
        <v>3</v>
      </c>
      <c r="B70" s="1117">
        <f>Adm!H4</f>
        <v>0</v>
      </c>
      <c r="C70" s="1101">
        <v>0</v>
      </c>
      <c r="M70" s="2142">
        <f>IF(Adm!GG4=0,0,Cal!BO119)</f>
        <v>0</v>
      </c>
      <c r="T70" s="1282">
        <f>MAXA(C70:C310)</f>
        <v>0</v>
      </c>
      <c r="U70" s="1340">
        <v>12</v>
      </c>
      <c r="V70" s="1341" t="s">
        <v>463</v>
      </c>
      <c r="W70" s="1508" t="s">
        <v>497</v>
      </c>
      <c r="X70" s="1509"/>
      <c r="Y70" s="1510"/>
      <c r="Z70" s="1509"/>
      <c r="AA70" s="1339"/>
      <c r="AB70" s="1339"/>
      <c r="AF70" s="1122"/>
      <c r="AI70" s="1344" t="s">
        <v>464</v>
      </c>
      <c r="AK70" s="1345">
        <v>1</v>
      </c>
      <c r="AL70" s="1346"/>
      <c r="AM70" s="1347"/>
      <c r="AN70" s="1347"/>
      <c r="AO70" s="1347"/>
      <c r="AP70" s="1347"/>
      <c r="AQ70" s="1348">
        <f>AN63</f>
        <v>1000000</v>
      </c>
    </row>
    <row r="71" spans="1:43">
      <c r="A71" s="1118">
        <f t="shared" ref="A71:A134" ca="1" si="0">IF(A70=12,1,A70+1)</f>
        <v>4</v>
      </c>
      <c r="B71" s="1351">
        <f t="shared" ref="B71:B134" si="1">IF(M70&gt;0,B70-1,0)</f>
        <v>0</v>
      </c>
      <c r="C71" s="2143">
        <f>IF(M70&gt;0,C70+1,0)</f>
        <v>0</v>
      </c>
      <c r="D71" s="2144">
        <f>IF(M70&gt;0,Adm!HD4,0)</f>
        <v>0</v>
      </c>
      <c r="E71" s="2145">
        <f>IF(M70&lt;0.01,0,M70*D71*30.4166/360)</f>
        <v>0</v>
      </c>
      <c r="F71" s="2145">
        <f>IF(M70&lt;0.01,0,G71-E71)</f>
        <v>0</v>
      </c>
      <c r="G71" s="2145">
        <f>IF(M70&lt;0.1,0,M70*Cal!BO117/1000)</f>
        <v>0</v>
      </c>
      <c r="H71" s="2145">
        <f>IF(M70&lt;0.01,0,M70*Adm!$GV$4)</f>
        <v>0</v>
      </c>
      <c r="I71" s="2145">
        <f>IF(M70&lt;0.01,0,Cal!$BO$108*Adm!$GW$4)</f>
        <v>0</v>
      </c>
      <c r="J71" s="2145">
        <f>IF(M70&lt;0.01,0,IF(Adm!$GO$4&gt;0,E71*Adm!$GO$4,0))</f>
        <v>0</v>
      </c>
      <c r="K71" s="2145">
        <f>G71+H71+I71+J71</f>
        <v>0</v>
      </c>
      <c r="L71" s="2145">
        <f>IF(Adm!$GJ$4="si",MIN(M70+E71+H71+I71-K71,AB71),0)</f>
        <v>0</v>
      </c>
      <c r="M71" s="2145">
        <f>IF(M70&lt;0.001,0,+M70-F71-L71-N71)</f>
        <v>0</v>
      </c>
      <c r="N71" s="2153"/>
      <c r="U71" s="1352">
        <f>IF(U70=12,1,U70+1)</f>
        <v>1</v>
      </c>
      <c r="V71" s="1339"/>
      <c r="W71" s="1343"/>
      <c r="Y71" s="1510"/>
      <c r="AA71" s="1511">
        <f>IF(AND(Adm!GJ4="si",K67&gt;0,K67&lt;Adm!GJ9),K67,IF(AND(Adm!GJ4="si",K67&gt;0,K67&gt;Adm!GJ9),Adm!GJ9,IF(AND(Adm!GJ4="si",K67=0,AA69&lt;Adm!GJ9),AA69,IF(AND(Adm!GJ4="si",K67=0,AA69&gt;Adm!GJ9),Adm!GJ9,0))))</f>
        <v>0</v>
      </c>
      <c r="AB71" s="1356">
        <v>0</v>
      </c>
      <c r="AF71" s="1357"/>
      <c r="AG71" s="1358"/>
      <c r="AH71" s="1358"/>
      <c r="AI71" s="1359">
        <f>HLOOKUP($AI$66,anticipadofree,2,0)</f>
        <v>0</v>
      </c>
      <c r="AK71" s="1360">
        <f>AO71/AQ70</f>
        <v>0</v>
      </c>
      <c r="AL71" s="1361">
        <v>1</v>
      </c>
      <c r="AM71" s="1191">
        <f>AN64</f>
        <v>0</v>
      </c>
      <c r="AN71" s="1362">
        <f>AQ70*AM71*30.4166/360</f>
        <v>0</v>
      </c>
      <c r="AO71" s="1362">
        <f t="shared" ref="AO71:AO134" si="2">AP71-AN71</f>
        <v>0</v>
      </c>
      <c r="AP71" s="1362">
        <f>AQ70*AN65/1000</f>
        <v>0</v>
      </c>
      <c r="AQ71" s="1363">
        <f>IF(AQ70&lt;0.001,0,AQ70-AO71-AR71)</f>
        <v>1000000</v>
      </c>
    </row>
    <row r="72" spans="1:43">
      <c r="A72" s="1118">
        <f t="shared" ca="1" si="0"/>
        <v>5</v>
      </c>
      <c r="B72" s="1351">
        <f t="shared" si="1"/>
        <v>0</v>
      </c>
      <c r="C72" s="2143">
        <f>IF(M71&lt;0.01,0,C71+1)</f>
        <v>0</v>
      </c>
      <c r="D72" s="2144">
        <f>IF(M71&lt;0.01,0,D71)</f>
        <v>0</v>
      </c>
      <c r="E72" s="2145">
        <f t="shared" ref="E72:E135" si="3">IF(M71&lt;0.01,0,M71*D72*30.4166/360)</f>
        <v>0</v>
      </c>
      <c r="F72" s="2145">
        <f t="shared" ref="F72:F135" si="4">IF(M71&lt;0.01,0,G72-E72)</f>
        <v>0</v>
      </c>
      <c r="G72" s="2145">
        <f>IF(M71&lt;0.01,0,MIN(M71+E72,IF(AF72&gt;0,AF72,G71*(1+V72))))</f>
        <v>0</v>
      </c>
      <c r="H72" s="2145">
        <f>IF(M71&lt;0.01,0,M71*Adm!$GV$4)</f>
        <v>0</v>
      </c>
      <c r="I72" s="2145">
        <f>IF(M71&lt;0.01,0,Cal!$BO$108*Adm!$GW$4)</f>
        <v>0</v>
      </c>
      <c r="J72" s="2145">
        <f>IF(M71&lt;0.01,0,IF(Adm!$GO$4&gt;0,E72*Adm!$GO$4,0))</f>
        <v>0</v>
      </c>
      <c r="K72" s="2145">
        <f t="shared" ref="K72:K135" si="5">G72+H72+I72+J72</f>
        <v>0</v>
      </c>
      <c r="L72" s="2145">
        <f>IF(Adm!$GJ$4="si",MIN(M71+E72+H72+I72-K72,AB72),0)</f>
        <v>0</v>
      </c>
      <c r="M72" s="2145">
        <f t="shared" ref="M72:M135" si="6">IF(M71&lt;0.001,0,+M71-F72-L72-N72)</f>
        <v>0</v>
      </c>
      <c r="N72" s="2153"/>
      <c r="U72" s="1352">
        <f t="shared" ref="U72:U135" si="7">IF(U71=12,1,U71+1)</f>
        <v>2</v>
      </c>
      <c r="V72" s="1512">
        <f>IF(U72=1,Cal!$BO$127,0)</f>
        <v>0</v>
      </c>
      <c r="W72" s="1343"/>
      <c r="Y72" s="1513" t="e">
        <f>VLOOKUP(Adm!HD4,Adm!HF4:HH5,2,0)</f>
        <v>#N/A</v>
      </c>
      <c r="AA72" s="1368">
        <f>AA71</f>
        <v>0</v>
      </c>
      <c r="AB72" s="1369">
        <f t="shared" ref="AB72:AB135" ca="1" si="8">IF(MOD(A72,2)=0,AA72*0.05*2,0)</f>
        <v>0</v>
      </c>
      <c r="AF72" s="1370">
        <f>IF(AG72&gt;1,AG72,0)</f>
        <v>0</v>
      </c>
      <c r="AG72" s="1373">
        <f>IF(AND(AH72&gt;0.01,$AF$65=2),AH72,0)</f>
        <v>0</v>
      </c>
      <c r="AH72" s="1371">
        <f>IF(N71&lt;0.01,0,IF($AF$65=2,M71*AI72)+E72)</f>
        <v>0</v>
      </c>
      <c r="AI72" s="1359">
        <f>HLOOKUP($AI$66,anticipadofree,3,0)</f>
        <v>0</v>
      </c>
      <c r="AK72" s="1360">
        <f t="shared" ref="AK72:AK135" si="9">AO72/AQ71</f>
        <v>0</v>
      </c>
      <c r="AL72" s="1361">
        <f>IF(AQ71&lt;=0,"",AL71+1)</f>
        <v>2</v>
      </c>
      <c r="AM72" s="1191">
        <f>AM71</f>
        <v>0</v>
      </c>
      <c r="AN72" s="1362">
        <f t="shared" ref="AN72:AN135" si="10">AQ71*AM72*30.4166/360</f>
        <v>0</v>
      </c>
      <c r="AO72" s="1362">
        <f t="shared" si="2"/>
        <v>0</v>
      </c>
      <c r="AP72" s="1362">
        <f>MIN(AQ71+AN72,AP71)</f>
        <v>0</v>
      </c>
      <c r="AQ72" s="1363">
        <f t="shared" ref="AQ72:AQ135" si="11">IF(AQ71&lt;0.001,0,AQ71-AO72-AR72)</f>
        <v>1000000</v>
      </c>
    </row>
    <row r="73" spans="1:43">
      <c r="A73" s="1118">
        <f t="shared" ca="1" si="0"/>
        <v>6</v>
      </c>
      <c r="B73" s="1351">
        <f t="shared" si="1"/>
        <v>0</v>
      </c>
      <c r="C73" s="2143">
        <f t="shared" ref="C73:C136" si="12">IF(M72&lt;0.01,0,C72+1)</f>
        <v>0</v>
      </c>
      <c r="D73" s="2144">
        <f t="shared" ref="D73:D106" si="13">IF(M72&lt;0.01,0,D72)</f>
        <v>0</v>
      </c>
      <c r="E73" s="2145">
        <f t="shared" si="3"/>
        <v>0</v>
      </c>
      <c r="F73" s="2145">
        <f t="shared" si="4"/>
        <v>0</v>
      </c>
      <c r="G73" s="2145">
        <f t="shared" ref="G73:G136" si="14">IF(M72&lt;0.01,0,MIN(M72+E73,IF(AF73&gt;0,AF73,G72*(1+V73))))</f>
        <v>0</v>
      </c>
      <c r="H73" s="2145">
        <f>IF(M72&lt;0.01,0,M72*Adm!$GV$4)</f>
        <v>0</v>
      </c>
      <c r="I73" s="2145">
        <f>IF(M72&lt;0.01,0,Cal!$BO$108*Adm!$GW$4)</f>
        <v>0</v>
      </c>
      <c r="J73" s="2145">
        <f>IF(M72&lt;0.01,0,IF(Adm!$GO$4&gt;0,E73*Adm!$GO$4,0))</f>
        <v>0</v>
      </c>
      <c r="K73" s="2145">
        <f t="shared" si="5"/>
        <v>0</v>
      </c>
      <c r="L73" s="2145">
        <f>IF(Adm!$GJ$4="si",MIN(M72+E73+H73+I73-K73,AB73),0)</f>
        <v>0</v>
      </c>
      <c r="M73" s="2145">
        <f t="shared" si="6"/>
        <v>0</v>
      </c>
      <c r="N73" s="2153"/>
      <c r="U73" s="1352">
        <f t="shared" si="7"/>
        <v>3</v>
      </c>
      <c r="V73" s="1514">
        <f>IF(U73=1,Cal!$BO$127,0)</f>
        <v>0</v>
      </c>
      <c r="W73" s="1343"/>
      <c r="Y73" s="1510" t="s">
        <v>498</v>
      </c>
      <c r="AA73" s="1368">
        <f t="shared" ref="AA73:AA136" si="15">AA72</f>
        <v>0</v>
      </c>
      <c r="AB73" s="1369">
        <f t="shared" ca="1" si="8"/>
        <v>0</v>
      </c>
      <c r="AF73" s="1370">
        <f t="shared" ref="AF73:AF136" si="16">IF(AG73&gt;1,AG73,0)</f>
        <v>0</v>
      </c>
      <c r="AG73" s="1373">
        <f t="shared" ref="AG73:AG136" si="17">IF(AND(AH73&gt;0.01,$AF$65=2),AH73,0)</f>
        <v>0</v>
      </c>
      <c r="AH73" s="1371">
        <f t="shared" ref="AH73:AH136" si="18">IF(N72&lt;0.01,0,IF($AF$65=2,M72*AI73)+E73)</f>
        <v>0</v>
      </c>
      <c r="AI73" s="1359">
        <f>HLOOKUP($AI$66,anticipadofree,4,0)</f>
        <v>0</v>
      </c>
      <c r="AK73" s="1360">
        <f t="shared" si="9"/>
        <v>0</v>
      </c>
      <c r="AL73" s="1361">
        <f>IF(AQ72&lt;=0,"",AL72+1)</f>
        <v>3</v>
      </c>
      <c r="AM73" s="1191">
        <f t="shared" ref="AM73:AM136" si="19">AM72</f>
        <v>0</v>
      </c>
      <c r="AN73" s="1362">
        <f t="shared" si="10"/>
        <v>0</v>
      </c>
      <c r="AO73" s="1362">
        <f t="shared" si="2"/>
        <v>0</v>
      </c>
      <c r="AP73" s="1362">
        <f t="shared" ref="AP73:AP136" si="20">MIN(AQ72+AN73,AP72)</f>
        <v>0</v>
      </c>
      <c r="AQ73" s="1363">
        <f t="shared" si="11"/>
        <v>1000000</v>
      </c>
    </row>
    <row r="74" spans="1:43">
      <c r="A74" s="1118">
        <f t="shared" ca="1" si="0"/>
        <v>7</v>
      </c>
      <c r="B74" s="1351">
        <f t="shared" si="1"/>
        <v>0</v>
      </c>
      <c r="C74" s="2143">
        <f t="shared" si="12"/>
        <v>0</v>
      </c>
      <c r="D74" s="2144">
        <f t="shared" si="13"/>
        <v>0</v>
      </c>
      <c r="E74" s="2145">
        <f t="shared" si="3"/>
        <v>0</v>
      </c>
      <c r="F74" s="2145">
        <f t="shared" si="4"/>
        <v>0</v>
      </c>
      <c r="G74" s="2145">
        <f t="shared" si="14"/>
        <v>0</v>
      </c>
      <c r="H74" s="2145">
        <f>IF(M73&lt;0.01,0,M73*Adm!$GV$4)</f>
        <v>0</v>
      </c>
      <c r="I74" s="2145">
        <f>IF(M73&lt;0.01,0,Cal!$BO$108*Adm!$GW$4)</f>
        <v>0</v>
      </c>
      <c r="J74" s="2145">
        <f>IF(M73&lt;0.01,0,IF(Adm!$GO$4&gt;0,E74*Adm!$GO$4,0))</f>
        <v>0</v>
      </c>
      <c r="K74" s="2145">
        <f t="shared" si="5"/>
        <v>0</v>
      </c>
      <c r="L74" s="2145">
        <f>IF(Adm!$GJ$4="si",MIN(M73+E74+H74+I74-K74,AB74),0)</f>
        <v>0</v>
      </c>
      <c r="M74" s="2145">
        <f t="shared" si="6"/>
        <v>0</v>
      </c>
      <c r="N74" s="2153"/>
      <c r="U74" s="1352">
        <f t="shared" si="7"/>
        <v>4</v>
      </c>
      <c r="V74" s="1514">
        <f>IF(U74=1,Cal!$BO$127,0)</f>
        <v>0</v>
      </c>
      <c r="W74" s="1343"/>
      <c r="Y74" s="1515" t="e">
        <f>VLOOKUP(Adm!HD4,Adm!HF4:HH5,3,0)</f>
        <v>#N/A</v>
      </c>
      <c r="AA74" s="1368">
        <f t="shared" si="15"/>
        <v>0</v>
      </c>
      <c r="AB74" s="1369">
        <f t="shared" ca="1" si="8"/>
        <v>0</v>
      </c>
      <c r="AF74" s="1370">
        <f t="shared" si="16"/>
        <v>0</v>
      </c>
      <c r="AG74" s="1373">
        <f t="shared" si="17"/>
        <v>0</v>
      </c>
      <c r="AH74" s="1371">
        <f t="shared" si="18"/>
        <v>0</v>
      </c>
      <c r="AI74" s="1359">
        <f>HLOOKUP($AI$66,anticipadofree,5,0)</f>
        <v>0</v>
      </c>
      <c r="AK74" s="1360">
        <f t="shared" si="9"/>
        <v>0</v>
      </c>
      <c r="AL74" s="1361">
        <f t="shared" ref="AL74:AL137" si="21">IF(AQ73&lt;=0,"",AL73+1)</f>
        <v>4</v>
      </c>
      <c r="AM74" s="1191">
        <f t="shared" si="19"/>
        <v>0</v>
      </c>
      <c r="AN74" s="1362">
        <f t="shared" si="10"/>
        <v>0</v>
      </c>
      <c r="AO74" s="1362">
        <f t="shared" si="2"/>
        <v>0</v>
      </c>
      <c r="AP74" s="1362">
        <f t="shared" si="20"/>
        <v>0</v>
      </c>
      <c r="AQ74" s="1363">
        <f t="shared" si="11"/>
        <v>1000000</v>
      </c>
    </row>
    <row r="75" spans="1:43">
      <c r="A75" s="1118">
        <f t="shared" ca="1" si="0"/>
        <v>8</v>
      </c>
      <c r="B75" s="1351">
        <f t="shared" si="1"/>
        <v>0</v>
      </c>
      <c r="C75" s="2143">
        <f t="shared" si="12"/>
        <v>0</v>
      </c>
      <c r="D75" s="2144">
        <f t="shared" si="13"/>
        <v>0</v>
      </c>
      <c r="E75" s="2145">
        <f t="shared" si="3"/>
        <v>0</v>
      </c>
      <c r="F75" s="2145">
        <f t="shared" si="4"/>
        <v>0</v>
      </c>
      <c r="G75" s="2145">
        <f t="shared" si="14"/>
        <v>0</v>
      </c>
      <c r="H75" s="2145">
        <f>IF(M74&lt;0.01,0,M74*Adm!$GV$4)</f>
        <v>0</v>
      </c>
      <c r="I75" s="2145">
        <f>IF(M74&lt;0.01,0,Cal!$BO$108*Adm!$GW$4)</f>
        <v>0</v>
      </c>
      <c r="J75" s="2145">
        <f>IF(M74&lt;0.01,0,IF(Adm!$GO$4&gt;0,E75*Adm!$GO$4,0))</f>
        <v>0</v>
      </c>
      <c r="K75" s="2145">
        <f t="shared" si="5"/>
        <v>0</v>
      </c>
      <c r="L75" s="2145">
        <f>IF(Adm!$GJ$4="si",MIN(M74+E75+H75+I75-K75,AB75),0)</f>
        <v>0</v>
      </c>
      <c r="M75" s="2145">
        <f t="shared" si="6"/>
        <v>0</v>
      </c>
      <c r="N75" s="2153"/>
      <c r="U75" s="1352">
        <f t="shared" si="7"/>
        <v>5</v>
      </c>
      <c r="V75" s="1514">
        <f>IF(U75=1,Cal!$BO$127,0)</f>
        <v>0</v>
      </c>
      <c r="W75" s="1343"/>
      <c r="AA75" s="1368">
        <f t="shared" si="15"/>
        <v>0</v>
      </c>
      <c r="AB75" s="1369">
        <f t="shared" ca="1" si="8"/>
        <v>0</v>
      </c>
      <c r="AF75" s="1370">
        <f t="shared" si="16"/>
        <v>0</v>
      </c>
      <c r="AG75" s="1373">
        <f t="shared" si="17"/>
        <v>0</v>
      </c>
      <c r="AH75" s="1371">
        <f t="shared" si="18"/>
        <v>0</v>
      </c>
      <c r="AI75" s="1359">
        <f>HLOOKUP($AI$66,anticipadofree,6,0)</f>
        <v>0</v>
      </c>
      <c r="AK75" s="1360">
        <f t="shared" si="9"/>
        <v>0</v>
      </c>
      <c r="AL75" s="1361">
        <f t="shared" si="21"/>
        <v>5</v>
      </c>
      <c r="AM75" s="1191">
        <f t="shared" si="19"/>
        <v>0</v>
      </c>
      <c r="AN75" s="1362">
        <f t="shared" si="10"/>
        <v>0</v>
      </c>
      <c r="AO75" s="1362">
        <f t="shared" si="2"/>
        <v>0</v>
      </c>
      <c r="AP75" s="1362">
        <f t="shared" si="20"/>
        <v>0</v>
      </c>
      <c r="AQ75" s="1363">
        <f t="shared" si="11"/>
        <v>1000000</v>
      </c>
    </row>
    <row r="76" spans="1:43">
      <c r="A76" s="1118">
        <f t="shared" ca="1" si="0"/>
        <v>9</v>
      </c>
      <c r="B76" s="1351">
        <f t="shared" si="1"/>
        <v>0</v>
      </c>
      <c r="C76" s="2143">
        <f t="shared" si="12"/>
        <v>0</v>
      </c>
      <c r="D76" s="2144">
        <f t="shared" si="13"/>
        <v>0</v>
      </c>
      <c r="E76" s="2145">
        <f t="shared" si="3"/>
        <v>0</v>
      </c>
      <c r="F76" s="2145">
        <f t="shared" si="4"/>
        <v>0</v>
      </c>
      <c r="G76" s="2145">
        <f t="shared" si="14"/>
        <v>0</v>
      </c>
      <c r="H76" s="2145">
        <f>IF(M75&lt;0.01,0,M75*Adm!$GV$4)</f>
        <v>0</v>
      </c>
      <c r="I76" s="2145">
        <f>IF(M75&lt;0.01,0,Cal!$BO$108*Adm!$GW$4)</f>
        <v>0</v>
      </c>
      <c r="J76" s="2145">
        <f>IF(M75&lt;0.01,0,IF(Adm!$GO$4&gt;0,E76*Adm!$GO$4,0))</f>
        <v>0</v>
      </c>
      <c r="K76" s="2145">
        <f t="shared" si="5"/>
        <v>0</v>
      </c>
      <c r="L76" s="2145">
        <f>IF(Adm!$GJ$4="si",MIN(M75+E76+H76+I76-K76,AB76),0)</f>
        <v>0</v>
      </c>
      <c r="M76" s="2145">
        <f t="shared" si="6"/>
        <v>0</v>
      </c>
      <c r="N76" s="2153"/>
      <c r="U76" s="1352">
        <f t="shared" si="7"/>
        <v>6</v>
      </c>
      <c r="V76" s="1514">
        <f>IF(U76=1,Cal!$BO$127,0)</f>
        <v>0</v>
      </c>
      <c r="W76" s="1343"/>
      <c r="AA76" s="1368">
        <f t="shared" si="15"/>
        <v>0</v>
      </c>
      <c r="AB76" s="1369">
        <f t="shared" ca="1" si="8"/>
        <v>0</v>
      </c>
      <c r="AF76" s="1370">
        <f t="shared" si="16"/>
        <v>0</v>
      </c>
      <c r="AG76" s="1373">
        <f t="shared" si="17"/>
        <v>0</v>
      </c>
      <c r="AH76" s="1371">
        <f t="shared" si="18"/>
        <v>0</v>
      </c>
      <c r="AI76" s="1359">
        <f>HLOOKUP($AI$66,anticipadofree,7,0)</f>
        <v>0</v>
      </c>
      <c r="AK76" s="1360">
        <f t="shared" si="9"/>
        <v>0</v>
      </c>
      <c r="AL76" s="1361">
        <f t="shared" si="21"/>
        <v>6</v>
      </c>
      <c r="AM76" s="1191">
        <f t="shared" si="19"/>
        <v>0</v>
      </c>
      <c r="AN76" s="1362">
        <f t="shared" si="10"/>
        <v>0</v>
      </c>
      <c r="AO76" s="1362">
        <f t="shared" si="2"/>
        <v>0</v>
      </c>
      <c r="AP76" s="1362">
        <f t="shared" si="20"/>
        <v>0</v>
      </c>
      <c r="AQ76" s="1363">
        <f t="shared" si="11"/>
        <v>1000000</v>
      </c>
    </row>
    <row r="77" spans="1:43">
      <c r="A77" s="1118">
        <f t="shared" ca="1" si="0"/>
        <v>10</v>
      </c>
      <c r="B77" s="1351">
        <f t="shared" si="1"/>
        <v>0</v>
      </c>
      <c r="C77" s="2143">
        <f t="shared" si="12"/>
        <v>0</v>
      </c>
      <c r="D77" s="2144">
        <f t="shared" si="13"/>
        <v>0</v>
      </c>
      <c r="E77" s="2145">
        <f t="shared" si="3"/>
        <v>0</v>
      </c>
      <c r="F77" s="2145">
        <f t="shared" si="4"/>
        <v>0</v>
      </c>
      <c r="G77" s="2145">
        <f t="shared" si="14"/>
        <v>0</v>
      </c>
      <c r="H77" s="2145">
        <f>IF(M76&lt;0.01,0,M76*Adm!$GV$4)</f>
        <v>0</v>
      </c>
      <c r="I77" s="2145">
        <f>IF(M76&lt;0.01,0,Cal!$BO$108*Adm!$GW$4)</f>
        <v>0</v>
      </c>
      <c r="J77" s="2145">
        <f>IF(M76&lt;0.01,0,IF(Adm!$GO$4&gt;0,E77*Adm!$GO$4,0))</f>
        <v>0</v>
      </c>
      <c r="K77" s="2145">
        <f t="shared" si="5"/>
        <v>0</v>
      </c>
      <c r="L77" s="2145">
        <f>IF(Adm!$GJ$4="si",MIN(M76+E77+H77+I77-K77,AB77),0)</f>
        <v>0</v>
      </c>
      <c r="M77" s="2145">
        <f t="shared" si="6"/>
        <v>0</v>
      </c>
      <c r="N77" s="2153"/>
      <c r="U77" s="1352">
        <f t="shared" si="7"/>
        <v>7</v>
      </c>
      <c r="V77" s="1514">
        <f>IF(U77=1,Cal!$BO$127,0)</f>
        <v>0</v>
      </c>
      <c r="W77" s="1343"/>
      <c r="AA77" s="1368">
        <f t="shared" si="15"/>
        <v>0</v>
      </c>
      <c r="AB77" s="1369">
        <f t="shared" ca="1" si="8"/>
        <v>0</v>
      </c>
      <c r="AF77" s="1370">
        <f t="shared" si="16"/>
        <v>0</v>
      </c>
      <c r="AG77" s="1373">
        <f t="shared" si="17"/>
        <v>0</v>
      </c>
      <c r="AH77" s="1371">
        <f t="shared" si="18"/>
        <v>0</v>
      </c>
      <c r="AI77" s="1359">
        <f>HLOOKUP($AI$66,anticipadofree,8,0)</f>
        <v>0</v>
      </c>
      <c r="AK77" s="1360">
        <f t="shared" si="9"/>
        <v>0</v>
      </c>
      <c r="AL77" s="1361">
        <f t="shared" si="21"/>
        <v>7</v>
      </c>
      <c r="AM77" s="1191">
        <f t="shared" si="19"/>
        <v>0</v>
      </c>
      <c r="AN77" s="1362">
        <f t="shared" si="10"/>
        <v>0</v>
      </c>
      <c r="AO77" s="1362">
        <f t="shared" si="2"/>
        <v>0</v>
      </c>
      <c r="AP77" s="1362">
        <f t="shared" si="20"/>
        <v>0</v>
      </c>
      <c r="AQ77" s="1363">
        <f t="shared" si="11"/>
        <v>1000000</v>
      </c>
    </row>
    <row r="78" spans="1:43">
      <c r="A78" s="1118">
        <f t="shared" ca="1" si="0"/>
        <v>11</v>
      </c>
      <c r="B78" s="1351">
        <f t="shared" si="1"/>
        <v>0</v>
      </c>
      <c r="C78" s="2143">
        <f t="shared" si="12"/>
        <v>0</v>
      </c>
      <c r="D78" s="2144">
        <f t="shared" si="13"/>
        <v>0</v>
      </c>
      <c r="E78" s="2145">
        <f t="shared" si="3"/>
        <v>0</v>
      </c>
      <c r="F78" s="2145">
        <f t="shared" si="4"/>
        <v>0</v>
      </c>
      <c r="G78" s="2145">
        <f t="shared" si="14"/>
        <v>0</v>
      </c>
      <c r="H78" s="2145">
        <f>IF(M77&lt;0.01,0,M77*Adm!$GV$4)</f>
        <v>0</v>
      </c>
      <c r="I78" s="2145">
        <f>IF(M77&lt;0.01,0,Cal!$BO$108*Adm!$GW$4)</f>
        <v>0</v>
      </c>
      <c r="J78" s="2145">
        <f>IF(M77&lt;0.01,0,IF(Adm!$GO$4&gt;0,E78*Adm!$GO$4,0))</f>
        <v>0</v>
      </c>
      <c r="K78" s="2145">
        <f t="shared" si="5"/>
        <v>0</v>
      </c>
      <c r="L78" s="2145">
        <f>IF(Adm!$GJ$4="si",MIN(M77+E78+H78+I78-K78,AB78),0)</f>
        <v>0</v>
      </c>
      <c r="M78" s="2145">
        <f t="shared" si="6"/>
        <v>0</v>
      </c>
      <c r="N78" s="2153"/>
      <c r="U78" s="1352">
        <f t="shared" si="7"/>
        <v>8</v>
      </c>
      <c r="V78" s="1514">
        <f>IF(U78=1,Cal!$BO$127,0)</f>
        <v>0</v>
      </c>
      <c r="W78" s="1343"/>
      <c r="AA78" s="1368">
        <f t="shared" si="15"/>
        <v>0</v>
      </c>
      <c r="AB78" s="1369">
        <f t="shared" ca="1" si="8"/>
        <v>0</v>
      </c>
      <c r="AF78" s="1370">
        <f t="shared" si="16"/>
        <v>0</v>
      </c>
      <c r="AG78" s="1373">
        <f t="shared" si="17"/>
        <v>0</v>
      </c>
      <c r="AH78" s="1371">
        <f t="shared" si="18"/>
        <v>0</v>
      </c>
      <c r="AI78" s="1359">
        <f>HLOOKUP($AI$66,anticipadofree,9,0)</f>
        <v>0</v>
      </c>
      <c r="AK78" s="1360">
        <f t="shared" si="9"/>
        <v>0</v>
      </c>
      <c r="AL78" s="1361">
        <f t="shared" si="21"/>
        <v>8</v>
      </c>
      <c r="AM78" s="1191">
        <f t="shared" si="19"/>
        <v>0</v>
      </c>
      <c r="AN78" s="1362">
        <f t="shared" si="10"/>
        <v>0</v>
      </c>
      <c r="AO78" s="1362">
        <f t="shared" si="2"/>
        <v>0</v>
      </c>
      <c r="AP78" s="1362">
        <f t="shared" si="20"/>
        <v>0</v>
      </c>
      <c r="AQ78" s="1363">
        <f t="shared" si="11"/>
        <v>1000000</v>
      </c>
    </row>
    <row r="79" spans="1:43">
      <c r="A79" s="1118">
        <f t="shared" ca="1" si="0"/>
        <v>12</v>
      </c>
      <c r="B79" s="1351">
        <f t="shared" si="1"/>
        <v>0</v>
      </c>
      <c r="C79" s="2143">
        <f t="shared" si="12"/>
        <v>0</v>
      </c>
      <c r="D79" s="2144">
        <f t="shared" si="13"/>
        <v>0</v>
      </c>
      <c r="E79" s="2145">
        <f t="shared" si="3"/>
        <v>0</v>
      </c>
      <c r="F79" s="2145">
        <f t="shared" si="4"/>
        <v>0</v>
      </c>
      <c r="G79" s="2145">
        <f t="shared" si="14"/>
        <v>0</v>
      </c>
      <c r="H79" s="2145">
        <f>IF(M78&lt;0.01,0,M78*Adm!$GV$4)</f>
        <v>0</v>
      </c>
      <c r="I79" s="2145">
        <f>IF(M78&lt;0.01,0,Cal!$BO$108*Adm!$GW$4)</f>
        <v>0</v>
      </c>
      <c r="J79" s="2145">
        <f>IF(M78&lt;0.01,0,IF(Adm!$GO$4&gt;0,E79*Adm!$GO$4,0))</f>
        <v>0</v>
      </c>
      <c r="K79" s="2145">
        <f t="shared" si="5"/>
        <v>0</v>
      </c>
      <c r="L79" s="2145">
        <f>IF(Adm!$GJ$4="si",MIN(M78+E79+H79+I79-K79,AB79),0)</f>
        <v>0</v>
      </c>
      <c r="M79" s="2145">
        <f t="shared" si="6"/>
        <v>0</v>
      </c>
      <c r="N79" s="2153"/>
      <c r="U79" s="1352">
        <f t="shared" si="7"/>
        <v>9</v>
      </c>
      <c r="V79" s="1514">
        <f>IF(U79=1,Cal!$BO$127,0)</f>
        <v>0</v>
      </c>
      <c r="W79" s="1343"/>
      <c r="AA79" s="1368">
        <f t="shared" si="15"/>
        <v>0</v>
      </c>
      <c r="AB79" s="1369">
        <f t="shared" ca="1" si="8"/>
        <v>0</v>
      </c>
      <c r="AF79" s="1370">
        <f t="shared" si="16"/>
        <v>0</v>
      </c>
      <c r="AG79" s="1373">
        <f t="shared" si="17"/>
        <v>0</v>
      </c>
      <c r="AH79" s="1371">
        <f t="shared" si="18"/>
        <v>0</v>
      </c>
      <c r="AI79" s="1359">
        <f>HLOOKUP($AI$66,anticipadofree,10,0)</f>
        <v>0</v>
      </c>
      <c r="AK79" s="1360">
        <f t="shared" si="9"/>
        <v>0</v>
      </c>
      <c r="AL79" s="1361">
        <f t="shared" si="21"/>
        <v>9</v>
      </c>
      <c r="AM79" s="1191">
        <f t="shared" si="19"/>
        <v>0</v>
      </c>
      <c r="AN79" s="1362">
        <f t="shared" si="10"/>
        <v>0</v>
      </c>
      <c r="AO79" s="1362">
        <f t="shared" si="2"/>
        <v>0</v>
      </c>
      <c r="AP79" s="1362">
        <f t="shared" si="20"/>
        <v>0</v>
      </c>
      <c r="AQ79" s="1363">
        <f t="shared" si="11"/>
        <v>1000000</v>
      </c>
    </row>
    <row r="80" spans="1:43">
      <c r="A80" s="1118">
        <f t="shared" ca="1" si="0"/>
        <v>1</v>
      </c>
      <c r="B80" s="1351">
        <f t="shared" si="1"/>
        <v>0</v>
      </c>
      <c r="C80" s="2143">
        <f t="shared" si="12"/>
        <v>0</v>
      </c>
      <c r="D80" s="2144">
        <f t="shared" si="13"/>
        <v>0</v>
      </c>
      <c r="E80" s="2145">
        <f t="shared" si="3"/>
        <v>0</v>
      </c>
      <c r="F80" s="2145">
        <f t="shared" si="4"/>
        <v>0</v>
      </c>
      <c r="G80" s="2145">
        <f t="shared" si="14"/>
        <v>0</v>
      </c>
      <c r="H80" s="2145">
        <f>IF(M79&lt;0.01,0,M79*Adm!$GV$4)</f>
        <v>0</v>
      </c>
      <c r="I80" s="2145">
        <f>IF(M79&lt;0.01,0,Cal!$BO$108*Adm!$GW$4)</f>
        <v>0</v>
      </c>
      <c r="J80" s="2145">
        <f>IF(M79&lt;0.01,0,IF(Adm!$GO$4&gt;0,E80*Adm!$GO$4,0))</f>
        <v>0</v>
      </c>
      <c r="K80" s="2145">
        <f t="shared" si="5"/>
        <v>0</v>
      </c>
      <c r="L80" s="2145">
        <f>IF(Adm!$GJ$4="si",MIN(M79+E80+H80+I80-K80,AB80),0)</f>
        <v>0</v>
      </c>
      <c r="M80" s="2145">
        <f t="shared" si="6"/>
        <v>0</v>
      </c>
      <c r="N80" s="2153"/>
      <c r="U80" s="1352">
        <f t="shared" si="7"/>
        <v>10</v>
      </c>
      <c r="V80" s="1514">
        <f>IF(U80=1,Cal!$BO$127,0)</f>
        <v>0</v>
      </c>
      <c r="W80" s="1343"/>
      <c r="AA80" s="1368">
        <f t="shared" si="15"/>
        <v>0</v>
      </c>
      <c r="AB80" s="1369">
        <f t="shared" ca="1" si="8"/>
        <v>0</v>
      </c>
      <c r="AF80" s="1370">
        <f t="shared" si="16"/>
        <v>0</v>
      </c>
      <c r="AG80" s="1373">
        <f t="shared" si="17"/>
        <v>0</v>
      </c>
      <c r="AH80" s="1371">
        <f t="shared" si="18"/>
        <v>0</v>
      </c>
      <c r="AI80" s="1359">
        <f>HLOOKUP($AI$66,anticipadofree,11,0)</f>
        <v>0</v>
      </c>
      <c r="AK80" s="1360">
        <f t="shared" si="9"/>
        <v>0</v>
      </c>
      <c r="AL80" s="1361">
        <f t="shared" si="21"/>
        <v>10</v>
      </c>
      <c r="AM80" s="1191">
        <f t="shared" si="19"/>
        <v>0</v>
      </c>
      <c r="AN80" s="1362">
        <f t="shared" si="10"/>
        <v>0</v>
      </c>
      <c r="AO80" s="1362">
        <f t="shared" si="2"/>
        <v>0</v>
      </c>
      <c r="AP80" s="1362">
        <f t="shared" si="20"/>
        <v>0</v>
      </c>
      <c r="AQ80" s="1363">
        <f t="shared" si="11"/>
        <v>1000000</v>
      </c>
    </row>
    <row r="81" spans="1:43">
      <c r="A81" s="1118">
        <f t="shared" ca="1" si="0"/>
        <v>2</v>
      </c>
      <c r="B81" s="1351">
        <f t="shared" si="1"/>
        <v>0</v>
      </c>
      <c r="C81" s="2143">
        <f t="shared" si="12"/>
        <v>0</v>
      </c>
      <c r="D81" s="2144">
        <f t="shared" si="13"/>
        <v>0</v>
      </c>
      <c r="E81" s="2145">
        <f t="shared" si="3"/>
        <v>0</v>
      </c>
      <c r="F81" s="2145">
        <f t="shared" si="4"/>
        <v>0</v>
      </c>
      <c r="G81" s="2145">
        <f t="shared" si="14"/>
        <v>0</v>
      </c>
      <c r="H81" s="2145">
        <f>IF(M80&lt;0.01,0,M80*Adm!$GV$4)</f>
        <v>0</v>
      </c>
      <c r="I81" s="2145">
        <f>IF(M80&lt;0.01,0,Cal!$BO$108*Adm!$GW$4)</f>
        <v>0</v>
      </c>
      <c r="J81" s="2145">
        <f>IF(M80&lt;0.01,0,IF(Adm!$GO$4&gt;0,E81*Adm!$GO$4,0))</f>
        <v>0</v>
      </c>
      <c r="K81" s="2145">
        <f t="shared" si="5"/>
        <v>0</v>
      </c>
      <c r="L81" s="2145">
        <f>IF(Adm!$GJ$4="si",MIN(M80+E81+H81+I81-K81,AB81),0)</f>
        <v>0</v>
      </c>
      <c r="M81" s="2145">
        <f t="shared" si="6"/>
        <v>0</v>
      </c>
      <c r="N81" s="2153"/>
      <c r="U81" s="1352">
        <f t="shared" si="7"/>
        <v>11</v>
      </c>
      <c r="V81" s="1514">
        <f>IF(U81=1,Cal!$BO$127,0)</f>
        <v>0</v>
      </c>
      <c r="W81" s="1343"/>
      <c r="AA81" s="1368">
        <f t="shared" si="15"/>
        <v>0</v>
      </c>
      <c r="AB81" s="1369">
        <f t="shared" ca="1" si="8"/>
        <v>0</v>
      </c>
      <c r="AF81" s="1370">
        <f t="shared" si="16"/>
        <v>0</v>
      </c>
      <c r="AG81" s="1373">
        <f t="shared" si="17"/>
        <v>0</v>
      </c>
      <c r="AH81" s="1371">
        <f t="shared" si="18"/>
        <v>0</v>
      </c>
      <c r="AI81" s="1359">
        <f>HLOOKUP($AI$66,anticipadofree,12,0)</f>
        <v>0</v>
      </c>
      <c r="AK81" s="1360">
        <f t="shared" si="9"/>
        <v>0</v>
      </c>
      <c r="AL81" s="1361">
        <f t="shared" si="21"/>
        <v>11</v>
      </c>
      <c r="AM81" s="1191">
        <f t="shared" si="19"/>
        <v>0</v>
      </c>
      <c r="AN81" s="1362">
        <f t="shared" si="10"/>
        <v>0</v>
      </c>
      <c r="AO81" s="1362">
        <f t="shared" si="2"/>
        <v>0</v>
      </c>
      <c r="AP81" s="1362">
        <f t="shared" si="20"/>
        <v>0</v>
      </c>
      <c r="AQ81" s="1363">
        <f t="shared" si="11"/>
        <v>1000000</v>
      </c>
    </row>
    <row r="82" spans="1:43">
      <c r="A82" s="1118">
        <f t="shared" ca="1" si="0"/>
        <v>3</v>
      </c>
      <c r="B82" s="1351">
        <f t="shared" si="1"/>
        <v>0</v>
      </c>
      <c r="C82" s="2143">
        <f t="shared" si="12"/>
        <v>0</v>
      </c>
      <c r="D82" s="2144">
        <f t="shared" si="13"/>
        <v>0</v>
      </c>
      <c r="E82" s="2145">
        <f t="shared" si="3"/>
        <v>0</v>
      </c>
      <c r="F82" s="2145">
        <f t="shared" si="4"/>
        <v>0</v>
      </c>
      <c r="G82" s="2145">
        <f t="shared" si="14"/>
        <v>0</v>
      </c>
      <c r="H82" s="2145">
        <f>IF(M81&lt;0.01,0,M81*Adm!$GV$4)</f>
        <v>0</v>
      </c>
      <c r="I82" s="2145">
        <f>IF(M81&lt;0.01,0,Cal!$BO$108*Adm!$GW$4)</f>
        <v>0</v>
      </c>
      <c r="J82" s="2145">
        <f>IF(M81&lt;0.01,0,IF(Adm!$GO$4&gt;0,E82*Adm!$GO$4,0))</f>
        <v>0</v>
      </c>
      <c r="K82" s="2145">
        <f t="shared" si="5"/>
        <v>0</v>
      </c>
      <c r="L82" s="2145">
        <f>IF(Adm!$GJ$4="si",MIN(M81+E82+H82+I82-K82,AB82),0)</f>
        <v>0</v>
      </c>
      <c r="M82" s="2145">
        <f t="shared" si="6"/>
        <v>0</v>
      </c>
      <c r="N82" s="2153"/>
      <c r="U82" s="1352">
        <f t="shared" si="7"/>
        <v>12</v>
      </c>
      <c r="V82" s="1514">
        <f>IF(U82=1,Cal!$BO$127,0)</f>
        <v>0</v>
      </c>
      <c r="W82" s="1343"/>
      <c r="AA82" s="1368">
        <f t="shared" si="15"/>
        <v>0</v>
      </c>
      <c r="AB82" s="1369">
        <f t="shared" ca="1" si="8"/>
        <v>0</v>
      </c>
      <c r="AF82" s="1370">
        <f t="shared" si="16"/>
        <v>0</v>
      </c>
      <c r="AG82" s="1373">
        <f t="shared" si="17"/>
        <v>0</v>
      </c>
      <c r="AH82" s="1371">
        <f t="shared" si="18"/>
        <v>0</v>
      </c>
      <c r="AI82" s="1359">
        <f>HLOOKUP($AI$66,anticipadofree,13,0)</f>
        <v>0</v>
      </c>
      <c r="AK82" s="1360">
        <f t="shared" si="9"/>
        <v>0</v>
      </c>
      <c r="AL82" s="1361">
        <f t="shared" si="21"/>
        <v>12</v>
      </c>
      <c r="AM82" s="1191">
        <f t="shared" si="19"/>
        <v>0</v>
      </c>
      <c r="AN82" s="1362">
        <f t="shared" si="10"/>
        <v>0</v>
      </c>
      <c r="AO82" s="1362">
        <f t="shared" si="2"/>
        <v>0</v>
      </c>
      <c r="AP82" s="1362">
        <f t="shared" si="20"/>
        <v>0</v>
      </c>
      <c r="AQ82" s="1363">
        <f t="shared" si="11"/>
        <v>1000000</v>
      </c>
    </row>
    <row r="83" spans="1:43">
      <c r="A83" s="1118">
        <f t="shared" ca="1" si="0"/>
        <v>4</v>
      </c>
      <c r="B83" s="1351">
        <f t="shared" si="1"/>
        <v>0</v>
      </c>
      <c r="C83" s="2143">
        <f t="shared" si="12"/>
        <v>0</v>
      </c>
      <c r="D83" s="2144">
        <f t="shared" si="13"/>
        <v>0</v>
      </c>
      <c r="E83" s="2145">
        <f t="shared" si="3"/>
        <v>0</v>
      </c>
      <c r="F83" s="2145">
        <f t="shared" si="4"/>
        <v>0</v>
      </c>
      <c r="G83" s="2145">
        <f t="shared" si="14"/>
        <v>0</v>
      </c>
      <c r="H83" s="2145">
        <f>IF(M82&lt;0.01,0,M82*Adm!$GV$4)</f>
        <v>0</v>
      </c>
      <c r="I83" s="2145">
        <f>IF(M82&lt;0.01,0,Cal!$BO$108*Adm!$GW$4)</f>
        <v>0</v>
      </c>
      <c r="J83" s="2145">
        <f>IF(M82&lt;0.01,0,IF(Adm!$GO$4&gt;0,E83*Adm!$GO$4,0))</f>
        <v>0</v>
      </c>
      <c r="K83" s="2145">
        <f t="shared" si="5"/>
        <v>0</v>
      </c>
      <c r="L83" s="2145">
        <f>IF(Adm!$GJ$4="si",MIN(M82+E83+H83+I83-K83,AB83),0)</f>
        <v>0</v>
      </c>
      <c r="M83" s="2145">
        <f t="shared" si="6"/>
        <v>0</v>
      </c>
      <c r="N83" s="2153"/>
      <c r="U83" s="1352">
        <f t="shared" si="7"/>
        <v>1</v>
      </c>
      <c r="V83" s="1514">
        <f>IF(U83=1,Cal!$BO$127,0)</f>
        <v>0</v>
      </c>
      <c r="W83" s="1343"/>
      <c r="AA83" s="1368">
        <f t="shared" si="15"/>
        <v>0</v>
      </c>
      <c r="AB83" s="1369">
        <f t="shared" ca="1" si="8"/>
        <v>0</v>
      </c>
      <c r="AF83" s="1370">
        <f t="shared" si="16"/>
        <v>0</v>
      </c>
      <c r="AG83" s="1373">
        <f t="shared" si="17"/>
        <v>0</v>
      </c>
      <c r="AH83" s="1371">
        <f t="shared" si="18"/>
        <v>0</v>
      </c>
      <c r="AI83" s="1359">
        <f>HLOOKUP($AI$66,anticipadofree,14,0)</f>
        <v>0</v>
      </c>
      <c r="AK83" s="1360">
        <f t="shared" si="9"/>
        <v>0</v>
      </c>
      <c r="AL83" s="1377">
        <f t="shared" si="21"/>
        <v>13</v>
      </c>
      <c r="AM83" s="1516">
        <f t="shared" si="19"/>
        <v>0</v>
      </c>
      <c r="AN83" s="1378">
        <f t="shared" si="10"/>
        <v>0</v>
      </c>
      <c r="AO83" s="1378">
        <f t="shared" si="2"/>
        <v>0</v>
      </c>
      <c r="AP83" s="1378">
        <f>MIN(AQ82+AN83,AP82*(1+$AN$66))</f>
        <v>0</v>
      </c>
      <c r="AQ83" s="1363">
        <f t="shared" si="11"/>
        <v>1000000</v>
      </c>
    </row>
    <row r="84" spans="1:43">
      <c r="A84" s="1118">
        <f t="shared" ca="1" si="0"/>
        <v>5</v>
      </c>
      <c r="B84" s="1351">
        <f t="shared" si="1"/>
        <v>0</v>
      </c>
      <c r="C84" s="2143">
        <f t="shared" si="12"/>
        <v>0</v>
      </c>
      <c r="D84" s="2144">
        <f t="shared" si="13"/>
        <v>0</v>
      </c>
      <c r="E84" s="2145">
        <f t="shared" si="3"/>
        <v>0</v>
      </c>
      <c r="F84" s="2145">
        <f t="shared" si="4"/>
        <v>0</v>
      </c>
      <c r="G84" s="2145">
        <f t="shared" si="14"/>
        <v>0</v>
      </c>
      <c r="H84" s="2145">
        <f>IF(M83&lt;0.01,0,M83*Adm!$GV$4)</f>
        <v>0</v>
      </c>
      <c r="I84" s="2145">
        <f>IF(M83&lt;0.01,0,Cal!$BO$108*Adm!$GW$4)</f>
        <v>0</v>
      </c>
      <c r="J84" s="2145">
        <f>IF(M83&lt;0.01,0,IF(Adm!$GO$4&gt;0,E84*Adm!$GO$4,0))</f>
        <v>0</v>
      </c>
      <c r="K84" s="2145">
        <f t="shared" si="5"/>
        <v>0</v>
      </c>
      <c r="L84" s="2145">
        <f>IF(Adm!$GJ$4="si",MIN(M83+E84+H84+I84-K84,AB84),0)</f>
        <v>0</v>
      </c>
      <c r="M84" s="2145">
        <f t="shared" si="6"/>
        <v>0</v>
      </c>
      <c r="N84" s="2153"/>
      <c r="U84" s="1352">
        <f t="shared" si="7"/>
        <v>2</v>
      </c>
      <c r="V84" s="1514">
        <f>IF(U84=1,Cal!$BO$127,0)</f>
        <v>0</v>
      </c>
      <c r="W84" s="1343"/>
      <c r="AA84" s="1368">
        <f t="shared" si="15"/>
        <v>0</v>
      </c>
      <c r="AB84" s="1369">
        <f t="shared" ca="1" si="8"/>
        <v>0</v>
      </c>
      <c r="AF84" s="1370">
        <f t="shared" si="16"/>
        <v>0</v>
      </c>
      <c r="AG84" s="1373">
        <f t="shared" si="17"/>
        <v>0</v>
      </c>
      <c r="AH84" s="1371">
        <f t="shared" si="18"/>
        <v>0</v>
      </c>
      <c r="AI84" s="1359">
        <f>HLOOKUP($AI$66,anticipadofree,15,0)</f>
        <v>0</v>
      </c>
      <c r="AK84" s="1360">
        <f t="shared" si="9"/>
        <v>0</v>
      </c>
      <c r="AL84" s="1361">
        <f t="shared" si="21"/>
        <v>14</v>
      </c>
      <c r="AM84" s="1191">
        <f t="shared" si="19"/>
        <v>0</v>
      </c>
      <c r="AN84" s="1362">
        <f t="shared" si="10"/>
        <v>0</v>
      </c>
      <c r="AO84" s="1362">
        <f t="shared" si="2"/>
        <v>0</v>
      </c>
      <c r="AP84" s="1362">
        <f t="shared" si="20"/>
        <v>0</v>
      </c>
      <c r="AQ84" s="1363">
        <f t="shared" si="11"/>
        <v>1000000</v>
      </c>
    </row>
    <row r="85" spans="1:43">
      <c r="A85" s="1118">
        <f t="shared" ca="1" si="0"/>
        <v>6</v>
      </c>
      <c r="B85" s="1351">
        <f t="shared" si="1"/>
        <v>0</v>
      </c>
      <c r="C85" s="2143">
        <f t="shared" si="12"/>
        <v>0</v>
      </c>
      <c r="D85" s="2144">
        <f t="shared" si="13"/>
        <v>0</v>
      </c>
      <c r="E85" s="2145">
        <f t="shared" si="3"/>
        <v>0</v>
      </c>
      <c r="F85" s="2145">
        <f t="shared" si="4"/>
        <v>0</v>
      </c>
      <c r="G85" s="2145">
        <f t="shared" si="14"/>
        <v>0</v>
      </c>
      <c r="H85" s="2145">
        <f>IF(M84&lt;0.01,0,M84*Adm!$GV$4)</f>
        <v>0</v>
      </c>
      <c r="I85" s="2145">
        <f>IF(M84&lt;0.01,0,Cal!$BO$108*Adm!$GW$4)</f>
        <v>0</v>
      </c>
      <c r="J85" s="2145">
        <f>IF(M84&lt;0.01,0,IF(Adm!$GO$4&gt;0,E85*Adm!$GO$4,0))</f>
        <v>0</v>
      </c>
      <c r="K85" s="2145">
        <f t="shared" si="5"/>
        <v>0</v>
      </c>
      <c r="L85" s="2145">
        <f>IF(Adm!$GJ$4="si",MIN(M84+E85+H85+I85-K85,AB85),0)</f>
        <v>0</v>
      </c>
      <c r="M85" s="2145">
        <f t="shared" si="6"/>
        <v>0</v>
      </c>
      <c r="N85" s="2153"/>
      <c r="U85" s="1352">
        <f t="shared" si="7"/>
        <v>3</v>
      </c>
      <c r="V85" s="1514">
        <f>IF(U85=1,Cal!$BO$127,0)</f>
        <v>0</v>
      </c>
      <c r="W85" s="1343"/>
      <c r="AA85" s="1368">
        <f t="shared" si="15"/>
        <v>0</v>
      </c>
      <c r="AB85" s="1369">
        <f t="shared" ca="1" si="8"/>
        <v>0</v>
      </c>
      <c r="AF85" s="1370">
        <f t="shared" si="16"/>
        <v>0</v>
      </c>
      <c r="AG85" s="1373">
        <f t="shared" si="17"/>
        <v>0</v>
      </c>
      <c r="AH85" s="1371">
        <f t="shared" si="18"/>
        <v>0</v>
      </c>
      <c r="AI85" s="1359">
        <f>HLOOKUP($AI$66,anticipadofree,16,0)</f>
        <v>0</v>
      </c>
      <c r="AK85" s="1360">
        <f t="shared" si="9"/>
        <v>0</v>
      </c>
      <c r="AL85" s="1361">
        <f t="shared" si="21"/>
        <v>15</v>
      </c>
      <c r="AM85" s="1191">
        <f t="shared" si="19"/>
        <v>0</v>
      </c>
      <c r="AN85" s="1362">
        <f t="shared" si="10"/>
        <v>0</v>
      </c>
      <c r="AO85" s="1362">
        <f t="shared" si="2"/>
        <v>0</v>
      </c>
      <c r="AP85" s="1362">
        <f t="shared" si="20"/>
        <v>0</v>
      </c>
      <c r="AQ85" s="1363">
        <f t="shared" si="11"/>
        <v>1000000</v>
      </c>
    </row>
    <row r="86" spans="1:43">
      <c r="A86" s="1118">
        <f t="shared" ca="1" si="0"/>
        <v>7</v>
      </c>
      <c r="B86" s="1351">
        <f t="shared" si="1"/>
        <v>0</v>
      </c>
      <c r="C86" s="2143">
        <f t="shared" si="12"/>
        <v>0</v>
      </c>
      <c r="D86" s="2144">
        <f t="shared" si="13"/>
        <v>0</v>
      </c>
      <c r="E86" s="2145">
        <f t="shared" si="3"/>
        <v>0</v>
      </c>
      <c r="F86" s="2145">
        <f t="shared" si="4"/>
        <v>0</v>
      </c>
      <c r="G86" s="2145">
        <f t="shared" si="14"/>
        <v>0</v>
      </c>
      <c r="H86" s="2145">
        <f>IF(M85&lt;0.01,0,M85*Adm!$GV$4)</f>
        <v>0</v>
      </c>
      <c r="I86" s="2145">
        <f>IF(M85&lt;0.01,0,Cal!$BO$108*Adm!$GW$4)</f>
        <v>0</v>
      </c>
      <c r="J86" s="2145">
        <f>IF(M85&lt;0.01,0,IF(Adm!$GO$4&gt;0,E86*Adm!$GO$4,0))</f>
        <v>0</v>
      </c>
      <c r="K86" s="2145">
        <f t="shared" si="5"/>
        <v>0</v>
      </c>
      <c r="L86" s="2145">
        <f>IF(Adm!$GJ$4="si",MIN(M85+E86+H86+I86-K86,AB86),0)</f>
        <v>0</v>
      </c>
      <c r="M86" s="2145">
        <f t="shared" si="6"/>
        <v>0</v>
      </c>
      <c r="N86" s="2153"/>
      <c r="U86" s="1352">
        <f t="shared" si="7"/>
        <v>4</v>
      </c>
      <c r="V86" s="1514">
        <f>IF(U86=1,Cal!$BO$127,0)</f>
        <v>0</v>
      </c>
      <c r="W86" s="1343"/>
      <c r="AA86" s="1368">
        <f t="shared" si="15"/>
        <v>0</v>
      </c>
      <c r="AB86" s="1369">
        <f t="shared" ca="1" si="8"/>
        <v>0</v>
      </c>
      <c r="AF86" s="1370">
        <f t="shared" si="16"/>
        <v>0</v>
      </c>
      <c r="AG86" s="1373">
        <f t="shared" si="17"/>
        <v>0</v>
      </c>
      <c r="AH86" s="1371">
        <f t="shared" si="18"/>
        <v>0</v>
      </c>
      <c r="AI86" s="1359">
        <f>HLOOKUP($AI$66,anticipadofree,17,0)</f>
        <v>0</v>
      </c>
      <c r="AK86" s="1360">
        <f t="shared" si="9"/>
        <v>0</v>
      </c>
      <c r="AL86" s="1361">
        <f t="shared" si="21"/>
        <v>16</v>
      </c>
      <c r="AM86" s="1191">
        <f t="shared" si="19"/>
        <v>0</v>
      </c>
      <c r="AN86" s="1362">
        <f t="shared" si="10"/>
        <v>0</v>
      </c>
      <c r="AO86" s="1362">
        <f t="shared" si="2"/>
        <v>0</v>
      </c>
      <c r="AP86" s="1362">
        <f t="shared" si="20"/>
        <v>0</v>
      </c>
      <c r="AQ86" s="1363">
        <f t="shared" si="11"/>
        <v>1000000</v>
      </c>
    </row>
    <row r="87" spans="1:43">
      <c r="A87" s="1118">
        <f t="shared" ca="1" si="0"/>
        <v>8</v>
      </c>
      <c r="B87" s="1351">
        <f t="shared" si="1"/>
        <v>0</v>
      </c>
      <c r="C87" s="2143">
        <f t="shared" si="12"/>
        <v>0</v>
      </c>
      <c r="D87" s="2144">
        <f t="shared" si="13"/>
        <v>0</v>
      </c>
      <c r="E87" s="2145">
        <f t="shared" si="3"/>
        <v>0</v>
      </c>
      <c r="F87" s="2145">
        <f t="shared" si="4"/>
        <v>0</v>
      </c>
      <c r="G87" s="2145">
        <f t="shared" si="14"/>
        <v>0</v>
      </c>
      <c r="H87" s="2145">
        <f>IF(M86&lt;0.01,0,M86*Adm!$GV$4)</f>
        <v>0</v>
      </c>
      <c r="I87" s="2145">
        <f>IF(M86&lt;0.01,0,Cal!$BO$108*Adm!$GW$4)</f>
        <v>0</v>
      </c>
      <c r="J87" s="2145">
        <f>IF(M86&lt;0.01,0,IF(Adm!$GO$4&gt;0,E87*Adm!$GO$4,0))</f>
        <v>0</v>
      </c>
      <c r="K87" s="2145">
        <f t="shared" si="5"/>
        <v>0</v>
      </c>
      <c r="L87" s="2145">
        <f>IF(Adm!$GJ$4="si",MIN(M86+E87+H87+I87-K87,AB87),0)</f>
        <v>0</v>
      </c>
      <c r="M87" s="2145">
        <f t="shared" si="6"/>
        <v>0</v>
      </c>
      <c r="N87" s="2153"/>
      <c r="U87" s="1352">
        <f t="shared" si="7"/>
        <v>5</v>
      </c>
      <c r="V87" s="1514">
        <f>IF(U87=1,Cal!$BO$127,0)</f>
        <v>0</v>
      </c>
      <c r="W87" s="1343"/>
      <c r="AA87" s="1368">
        <f t="shared" si="15"/>
        <v>0</v>
      </c>
      <c r="AB87" s="1369">
        <f t="shared" ca="1" si="8"/>
        <v>0</v>
      </c>
      <c r="AF87" s="1370">
        <f t="shared" si="16"/>
        <v>0</v>
      </c>
      <c r="AG87" s="1373">
        <f t="shared" si="17"/>
        <v>0</v>
      </c>
      <c r="AH87" s="1371">
        <f t="shared" si="18"/>
        <v>0</v>
      </c>
      <c r="AI87" s="1359">
        <f>HLOOKUP($AI$66,anticipadofree,18,0)</f>
        <v>0</v>
      </c>
      <c r="AK87" s="1360">
        <f t="shared" si="9"/>
        <v>0</v>
      </c>
      <c r="AL87" s="1361">
        <f t="shared" si="21"/>
        <v>17</v>
      </c>
      <c r="AM87" s="1191">
        <f t="shared" si="19"/>
        <v>0</v>
      </c>
      <c r="AN87" s="1362">
        <f t="shared" si="10"/>
        <v>0</v>
      </c>
      <c r="AO87" s="1362">
        <f t="shared" si="2"/>
        <v>0</v>
      </c>
      <c r="AP87" s="1362">
        <f t="shared" si="20"/>
        <v>0</v>
      </c>
      <c r="AQ87" s="1363">
        <f t="shared" si="11"/>
        <v>1000000</v>
      </c>
    </row>
    <row r="88" spans="1:43">
      <c r="A88" s="1118">
        <f t="shared" ca="1" si="0"/>
        <v>9</v>
      </c>
      <c r="B88" s="1351">
        <f t="shared" si="1"/>
        <v>0</v>
      </c>
      <c r="C88" s="2143">
        <f t="shared" si="12"/>
        <v>0</v>
      </c>
      <c r="D88" s="2144">
        <f t="shared" si="13"/>
        <v>0</v>
      </c>
      <c r="E88" s="2145">
        <f t="shared" si="3"/>
        <v>0</v>
      </c>
      <c r="F88" s="2145">
        <f t="shared" si="4"/>
        <v>0</v>
      </c>
      <c r="G88" s="2145">
        <f t="shared" si="14"/>
        <v>0</v>
      </c>
      <c r="H88" s="2145">
        <f>IF(M87&lt;0.01,0,M87*Adm!$GV$4)</f>
        <v>0</v>
      </c>
      <c r="I88" s="2145">
        <f>IF(M87&lt;0.01,0,Cal!$BO$108*Adm!$GW$4)</f>
        <v>0</v>
      </c>
      <c r="J88" s="2145">
        <f>IF(M87&lt;0.01,0,IF(Adm!$GO$4&gt;0,E88*Adm!$GO$4,0))</f>
        <v>0</v>
      </c>
      <c r="K88" s="2145">
        <f t="shared" si="5"/>
        <v>0</v>
      </c>
      <c r="L88" s="2145">
        <f>IF(Adm!$GJ$4="si",MIN(M87+E88+H88+I88-K88,AB88),0)</f>
        <v>0</v>
      </c>
      <c r="M88" s="2145">
        <f t="shared" si="6"/>
        <v>0</v>
      </c>
      <c r="N88" s="2153"/>
      <c r="U88" s="1352">
        <f t="shared" si="7"/>
        <v>6</v>
      </c>
      <c r="V88" s="1514">
        <f>IF(U88=1,Cal!$BO$127,0)</f>
        <v>0</v>
      </c>
      <c r="W88" s="1343"/>
      <c r="AA88" s="1368">
        <f t="shared" si="15"/>
        <v>0</v>
      </c>
      <c r="AB88" s="1369">
        <f t="shared" ca="1" si="8"/>
        <v>0</v>
      </c>
      <c r="AF88" s="1370">
        <f t="shared" si="16"/>
        <v>0</v>
      </c>
      <c r="AG88" s="1373">
        <f t="shared" si="17"/>
        <v>0</v>
      </c>
      <c r="AH88" s="1371">
        <f t="shared" si="18"/>
        <v>0</v>
      </c>
      <c r="AI88" s="1359">
        <f>HLOOKUP($AI$66,anticipadofree,19,0)</f>
        <v>0</v>
      </c>
      <c r="AK88" s="1360">
        <f t="shared" si="9"/>
        <v>0</v>
      </c>
      <c r="AL88" s="1361">
        <f t="shared" si="21"/>
        <v>18</v>
      </c>
      <c r="AM88" s="1191">
        <f t="shared" si="19"/>
        <v>0</v>
      </c>
      <c r="AN88" s="1362">
        <f t="shared" si="10"/>
        <v>0</v>
      </c>
      <c r="AO88" s="1362">
        <f t="shared" si="2"/>
        <v>0</v>
      </c>
      <c r="AP88" s="1362">
        <f t="shared" si="20"/>
        <v>0</v>
      </c>
      <c r="AQ88" s="1363">
        <f t="shared" si="11"/>
        <v>1000000</v>
      </c>
    </row>
    <row r="89" spans="1:43">
      <c r="A89" s="1118">
        <f t="shared" ca="1" si="0"/>
        <v>10</v>
      </c>
      <c r="B89" s="1351">
        <f t="shared" si="1"/>
        <v>0</v>
      </c>
      <c r="C89" s="2143">
        <f t="shared" si="12"/>
        <v>0</v>
      </c>
      <c r="D89" s="2144">
        <f t="shared" si="13"/>
        <v>0</v>
      </c>
      <c r="E89" s="2145">
        <f t="shared" si="3"/>
        <v>0</v>
      </c>
      <c r="F89" s="2145">
        <f t="shared" si="4"/>
        <v>0</v>
      </c>
      <c r="G89" s="2145">
        <f t="shared" si="14"/>
        <v>0</v>
      </c>
      <c r="H89" s="2145">
        <f>IF(M88&lt;0.01,0,M88*Adm!$GV$4)</f>
        <v>0</v>
      </c>
      <c r="I89" s="2145">
        <f>IF(M88&lt;0.01,0,Cal!$BO$108*Adm!$GW$4)</f>
        <v>0</v>
      </c>
      <c r="J89" s="2145">
        <f>IF(M88&lt;0.01,0,IF(Adm!$GO$4&gt;0,E89*Adm!$GO$4,0))</f>
        <v>0</v>
      </c>
      <c r="K89" s="2145">
        <f t="shared" si="5"/>
        <v>0</v>
      </c>
      <c r="L89" s="2145">
        <f>IF(Adm!$GJ$4="si",MIN(M88+E89+H89+I89-K89,AB89),0)</f>
        <v>0</v>
      </c>
      <c r="M89" s="2145">
        <f t="shared" si="6"/>
        <v>0</v>
      </c>
      <c r="N89" s="2153"/>
      <c r="U89" s="1352">
        <f t="shared" si="7"/>
        <v>7</v>
      </c>
      <c r="V89" s="1514">
        <f>IF(U89=1,Cal!$BO$127,0)</f>
        <v>0</v>
      </c>
      <c r="W89" s="1343"/>
      <c r="AA89" s="1368">
        <f t="shared" si="15"/>
        <v>0</v>
      </c>
      <c r="AB89" s="1369">
        <f t="shared" ca="1" si="8"/>
        <v>0</v>
      </c>
      <c r="AF89" s="1370">
        <f t="shared" si="16"/>
        <v>0</v>
      </c>
      <c r="AG89" s="1373">
        <f t="shared" si="17"/>
        <v>0</v>
      </c>
      <c r="AH89" s="1371">
        <f t="shared" si="18"/>
        <v>0</v>
      </c>
      <c r="AI89" s="1359">
        <f>HLOOKUP($AI$66,anticipadofree,20,0)</f>
        <v>0</v>
      </c>
      <c r="AK89" s="1360">
        <f t="shared" si="9"/>
        <v>0</v>
      </c>
      <c r="AL89" s="1361">
        <f t="shared" si="21"/>
        <v>19</v>
      </c>
      <c r="AM89" s="1191">
        <f t="shared" si="19"/>
        <v>0</v>
      </c>
      <c r="AN89" s="1362">
        <f t="shared" si="10"/>
        <v>0</v>
      </c>
      <c r="AO89" s="1362">
        <f t="shared" si="2"/>
        <v>0</v>
      </c>
      <c r="AP89" s="1362">
        <f t="shared" si="20"/>
        <v>0</v>
      </c>
      <c r="AQ89" s="1363">
        <f t="shared" si="11"/>
        <v>1000000</v>
      </c>
    </row>
    <row r="90" spans="1:43">
      <c r="A90" s="1118">
        <f t="shared" ca="1" si="0"/>
        <v>11</v>
      </c>
      <c r="B90" s="1351">
        <f t="shared" si="1"/>
        <v>0</v>
      </c>
      <c r="C90" s="2143">
        <f t="shared" si="12"/>
        <v>0</v>
      </c>
      <c r="D90" s="2144">
        <f t="shared" si="13"/>
        <v>0</v>
      </c>
      <c r="E90" s="2145">
        <f t="shared" si="3"/>
        <v>0</v>
      </c>
      <c r="F90" s="2145">
        <f t="shared" si="4"/>
        <v>0</v>
      </c>
      <c r="G90" s="2145">
        <f t="shared" si="14"/>
        <v>0</v>
      </c>
      <c r="H90" s="2145">
        <f>IF(M89&lt;0.01,0,M89*Adm!$GV$4)</f>
        <v>0</v>
      </c>
      <c r="I90" s="2145">
        <f>IF(M89&lt;0.01,0,Cal!$BO$108*Adm!$GW$4)</f>
        <v>0</v>
      </c>
      <c r="J90" s="2145">
        <f>IF(M89&lt;0.01,0,IF(Adm!$GO$4&gt;0,E90*Adm!$GO$4,0))</f>
        <v>0</v>
      </c>
      <c r="K90" s="2145">
        <f t="shared" si="5"/>
        <v>0</v>
      </c>
      <c r="L90" s="2145">
        <f>IF(Adm!$GJ$4="si",MIN(M89+E90+H90+I90-K90,AB90),0)</f>
        <v>0</v>
      </c>
      <c r="M90" s="2145">
        <f t="shared" si="6"/>
        <v>0</v>
      </c>
      <c r="N90" s="2153"/>
      <c r="U90" s="1352">
        <f t="shared" si="7"/>
        <v>8</v>
      </c>
      <c r="V90" s="1514">
        <f>IF(U90=1,Cal!$BO$127,0)</f>
        <v>0</v>
      </c>
      <c r="W90" s="1343"/>
      <c r="AA90" s="1368">
        <f t="shared" si="15"/>
        <v>0</v>
      </c>
      <c r="AB90" s="1369">
        <f t="shared" ca="1" si="8"/>
        <v>0</v>
      </c>
      <c r="AF90" s="1370">
        <f t="shared" si="16"/>
        <v>0</v>
      </c>
      <c r="AG90" s="1373">
        <f t="shared" si="17"/>
        <v>0</v>
      </c>
      <c r="AH90" s="1371">
        <f t="shared" si="18"/>
        <v>0</v>
      </c>
      <c r="AI90" s="1359">
        <f>HLOOKUP($AI$66,anticipadofree,21,0)</f>
        <v>0</v>
      </c>
      <c r="AK90" s="1360">
        <f t="shared" si="9"/>
        <v>0</v>
      </c>
      <c r="AL90" s="1361">
        <f t="shared" si="21"/>
        <v>20</v>
      </c>
      <c r="AM90" s="1191">
        <f t="shared" si="19"/>
        <v>0</v>
      </c>
      <c r="AN90" s="1362">
        <f t="shared" si="10"/>
        <v>0</v>
      </c>
      <c r="AO90" s="1362">
        <f t="shared" si="2"/>
        <v>0</v>
      </c>
      <c r="AP90" s="1362">
        <f t="shared" si="20"/>
        <v>0</v>
      </c>
      <c r="AQ90" s="1363">
        <f t="shared" si="11"/>
        <v>1000000</v>
      </c>
    </row>
    <row r="91" spans="1:43">
      <c r="A91" s="1118">
        <f t="shared" ca="1" si="0"/>
        <v>12</v>
      </c>
      <c r="B91" s="1351">
        <f t="shared" si="1"/>
        <v>0</v>
      </c>
      <c r="C91" s="2143">
        <f t="shared" si="12"/>
        <v>0</v>
      </c>
      <c r="D91" s="2144">
        <f t="shared" si="13"/>
        <v>0</v>
      </c>
      <c r="E91" s="2145">
        <f t="shared" si="3"/>
        <v>0</v>
      </c>
      <c r="F91" s="2145">
        <f t="shared" si="4"/>
        <v>0</v>
      </c>
      <c r="G91" s="2145">
        <f t="shared" si="14"/>
        <v>0</v>
      </c>
      <c r="H91" s="2145">
        <f>IF(M90&lt;0.01,0,M90*Adm!$GV$4)</f>
        <v>0</v>
      </c>
      <c r="I91" s="2145">
        <f>IF(M90&lt;0.01,0,Cal!$BO$108*Adm!$GW$4)</f>
        <v>0</v>
      </c>
      <c r="J91" s="2145">
        <f>IF(M90&lt;0.01,0,IF(Adm!$GO$4&gt;0,E91*Adm!$GO$4,0))</f>
        <v>0</v>
      </c>
      <c r="K91" s="2145">
        <f t="shared" si="5"/>
        <v>0</v>
      </c>
      <c r="L91" s="2145">
        <f>IF(Adm!$GJ$4="si",MIN(M90+E91+H91+I91-K91,AB91),0)</f>
        <v>0</v>
      </c>
      <c r="M91" s="2145">
        <f t="shared" si="6"/>
        <v>0</v>
      </c>
      <c r="N91" s="2153"/>
      <c r="U91" s="1352">
        <f t="shared" si="7"/>
        <v>9</v>
      </c>
      <c r="V91" s="1514">
        <f>IF(U91=1,Cal!$BO$127,0)</f>
        <v>0</v>
      </c>
      <c r="W91" s="1343"/>
      <c r="AA91" s="1368">
        <f t="shared" si="15"/>
        <v>0</v>
      </c>
      <c r="AB91" s="1369">
        <f t="shared" ca="1" si="8"/>
        <v>0</v>
      </c>
      <c r="AF91" s="1370">
        <f t="shared" si="16"/>
        <v>0</v>
      </c>
      <c r="AG91" s="1373">
        <f t="shared" si="17"/>
        <v>0</v>
      </c>
      <c r="AH91" s="1371">
        <f t="shared" si="18"/>
        <v>0</v>
      </c>
      <c r="AI91" s="1359">
        <f>HLOOKUP($AI$66,anticipadofree,22,0)</f>
        <v>0</v>
      </c>
      <c r="AK91" s="1360">
        <f t="shared" si="9"/>
        <v>0</v>
      </c>
      <c r="AL91" s="1361">
        <f t="shared" si="21"/>
        <v>21</v>
      </c>
      <c r="AM91" s="1191">
        <f t="shared" si="19"/>
        <v>0</v>
      </c>
      <c r="AN91" s="1362">
        <f t="shared" si="10"/>
        <v>0</v>
      </c>
      <c r="AO91" s="1362">
        <f t="shared" si="2"/>
        <v>0</v>
      </c>
      <c r="AP91" s="1362">
        <f t="shared" si="20"/>
        <v>0</v>
      </c>
      <c r="AQ91" s="1363">
        <f t="shared" si="11"/>
        <v>1000000</v>
      </c>
    </row>
    <row r="92" spans="1:43">
      <c r="A92" s="1118">
        <f t="shared" ca="1" si="0"/>
        <v>1</v>
      </c>
      <c r="B92" s="1351">
        <f t="shared" si="1"/>
        <v>0</v>
      </c>
      <c r="C92" s="2143">
        <f t="shared" si="12"/>
        <v>0</v>
      </c>
      <c r="D92" s="2144">
        <f t="shared" si="13"/>
        <v>0</v>
      </c>
      <c r="E92" s="2145">
        <f t="shared" si="3"/>
        <v>0</v>
      </c>
      <c r="F92" s="2145">
        <f t="shared" si="4"/>
        <v>0</v>
      </c>
      <c r="G92" s="2145">
        <f t="shared" si="14"/>
        <v>0</v>
      </c>
      <c r="H92" s="2145">
        <f>IF(M91&lt;0.01,0,M91*Adm!$GV$4)</f>
        <v>0</v>
      </c>
      <c r="I92" s="2145">
        <f>IF(M91&lt;0.01,0,Cal!$BO$108*Adm!$GW$4)</f>
        <v>0</v>
      </c>
      <c r="J92" s="2145">
        <f>IF(M91&lt;0.01,0,IF(Adm!$GO$4&gt;0,E92*Adm!$GO$4,0))</f>
        <v>0</v>
      </c>
      <c r="K92" s="2145">
        <f t="shared" si="5"/>
        <v>0</v>
      </c>
      <c r="L92" s="2145">
        <f>IF(Adm!$GJ$4="si",MIN(M91+E92+H92+I92-K92,AB92),0)</f>
        <v>0</v>
      </c>
      <c r="M92" s="2145">
        <f t="shared" si="6"/>
        <v>0</v>
      </c>
      <c r="N92" s="2153"/>
      <c r="U92" s="1352">
        <f t="shared" si="7"/>
        <v>10</v>
      </c>
      <c r="V92" s="1514">
        <f>IF(U92=1,Cal!$BO$127,0)</f>
        <v>0</v>
      </c>
      <c r="W92" s="1343"/>
      <c r="AA92" s="1368">
        <f t="shared" si="15"/>
        <v>0</v>
      </c>
      <c r="AB92" s="1369">
        <f t="shared" ca="1" si="8"/>
        <v>0</v>
      </c>
      <c r="AF92" s="1370">
        <f t="shared" si="16"/>
        <v>0</v>
      </c>
      <c r="AG92" s="1373">
        <f t="shared" si="17"/>
        <v>0</v>
      </c>
      <c r="AH92" s="1371">
        <f t="shared" si="18"/>
        <v>0</v>
      </c>
      <c r="AI92" s="1359">
        <f>HLOOKUP($AI$66,anticipadofree,23,0)</f>
        <v>0</v>
      </c>
      <c r="AK92" s="1360">
        <f t="shared" si="9"/>
        <v>0</v>
      </c>
      <c r="AL92" s="1361">
        <f t="shared" si="21"/>
        <v>22</v>
      </c>
      <c r="AM92" s="1191">
        <f t="shared" si="19"/>
        <v>0</v>
      </c>
      <c r="AN92" s="1362">
        <f t="shared" si="10"/>
        <v>0</v>
      </c>
      <c r="AO92" s="1362">
        <f t="shared" si="2"/>
        <v>0</v>
      </c>
      <c r="AP92" s="1362">
        <f t="shared" si="20"/>
        <v>0</v>
      </c>
      <c r="AQ92" s="1363">
        <f t="shared" si="11"/>
        <v>1000000</v>
      </c>
    </row>
    <row r="93" spans="1:43">
      <c r="A93" s="1118">
        <f t="shared" ca="1" si="0"/>
        <v>2</v>
      </c>
      <c r="B93" s="1351">
        <f t="shared" si="1"/>
        <v>0</v>
      </c>
      <c r="C93" s="2143">
        <f t="shared" si="12"/>
        <v>0</v>
      </c>
      <c r="D93" s="2144">
        <f t="shared" si="13"/>
        <v>0</v>
      </c>
      <c r="E93" s="2145">
        <f t="shared" si="3"/>
        <v>0</v>
      </c>
      <c r="F93" s="2145">
        <f t="shared" si="4"/>
        <v>0</v>
      </c>
      <c r="G93" s="2145">
        <f t="shared" si="14"/>
        <v>0</v>
      </c>
      <c r="H93" s="2145">
        <f>IF(M92&lt;0.01,0,M92*Adm!$GV$4)</f>
        <v>0</v>
      </c>
      <c r="I93" s="2145">
        <f>IF(M92&lt;0.01,0,Cal!$BO$108*Adm!$GW$4)</f>
        <v>0</v>
      </c>
      <c r="J93" s="2145">
        <f>IF(M92&lt;0.01,0,IF(Adm!$GO$4&gt;0,E93*Adm!$GO$4,0))</f>
        <v>0</v>
      </c>
      <c r="K93" s="2145">
        <f t="shared" si="5"/>
        <v>0</v>
      </c>
      <c r="L93" s="2145">
        <f>IF(Adm!$GJ$4="si",MIN(M92+E93+H93+I93-K93,AB93),0)</f>
        <v>0</v>
      </c>
      <c r="M93" s="2145">
        <f t="shared" si="6"/>
        <v>0</v>
      </c>
      <c r="N93" s="2153"/>
      <c r="U93" s="1352">
        <f t="shared" si="7"/>
        <v>11</v>
      </c>
      <c r="V93" s="1514">
        <f>IF(U93=1,Cal!$BO$127,0)</f>
        <v>0</v>
      </c>
      <c r="W93" s="1343"/>
      <c r="AA93" s="1368">
        <f t="shared" si="15"/>
        <v>0</v>
      </c>
      <c r="AB93" s="1369">
        <f t="shared" ca="1" si="8"/>
        <v>0</v>
      </c>
      <c r="AF93" s="1370">
        <f t="shared" si="16"/>
        <v>0</v>
      </c>
      <c r="AG93" s="1373">
        <f t="shared" si="17"/>
        <v>0</v>
      </c>
      <c r="AH93" s="1371">
        <f t="shared" si="18"/>
        <v>0</v>
      </c>
      <c r="AI93" s="1359">
        <f>HLOOKUP($AI$66,anticipadofree,24,0)</f>
        <v>0</v>
      </c>
      <c r="AK93" s="1360">
        <f t="shared" si="9"/>
        <v>0</v>
      </c>
      <c r="AL93" s="1361">
        <f t="shared" si="21"/>
        <v>23</v>
      </c>
      <c r="AM93" s="1191">
        <f t="shared" si="19"/>
        <v>0</v>
      </c>
      <c r="AN93" s="1362">
        <f t="shared" si="10"/>
        <v>0</v>
      </c>
      <c r="AO93" s="1362">
        <f t="shared" si="2"/>
        <v>0</v>
      </c>
      <c r="AP93" s="1362">
        <f t="shared" si="20"/>
        <v>0</v>
      </c>
      <c r="AQ93" s="1363">
        <f t="shared" si="11"/>
        <v>1000000</v>
      </c>
    </row>
    <row r="94" spans="1:43">
      <c r="A94" s="1118">
        <f t="shared" ca="1" si="0"/>
        <v>3</v>
      </c>
      <c r="B94" s="1351">
        <f t="shared" si="1"/>
        <v>0</v>
      </c>
      <c r="C94" s="2143">
        <f t="shared" si="12"/>
        <v>0</v>
      </c>
      <c r="D94" s="2144">
        <f t="shared" si="13"/>
        <v>0</v>
      </c>
      <c r="E94" s="2145">
        <f t="shared" si="3"/>
        <v>0</v>
      </c>
      <c r="F94" s="2145">
        <f t="shared" si="4"/>
        <v>0</v>
      </c>
      <c r="G94" s="2145">
        <f t="shared" si="14"/>
        <v>0</v>
      </c>
      <c r="H94" s="2145">
        <f>IF(M93&lt;0.01,0,M93*Adm!$GV$4)</f>
        <v>0</v>
      </c>
      <c r="I94" s="2145">
        <f>IF(M93&lt;0.01,0,Cal!$BO$108*Adm!$GW$4)</f>
        <v>0</v>
      </c>
      <c r="J94" s="2145">
        <f>IF(M93&lt;0.01,0,IF(Adm!$GO$4&gt;0,E94*Adm!$GO$4,0))</f>
        <v>0</v>
      </c>
      <c r="K94" s="2145">
        <f t="shared" si="5"/>
        <v>0</v>
      </c>
      <c r="L94" s="2145">
        <f>IF(Adm!$GJ$4="si",MIN(M93+E94+H94+I94-K94,AB94),0)</f>
        <v>0</v>
      </c>
      <c r="M94" s="2145">
        <f t="shared" si="6"/>
        <v>0</v>
      </c>
      <c r="N94" s="2153"/>
      <c r="U94" s="1352">
        <f t="shared" si="7"/>
        <v>12</v>
      </c>
      <c r="V94" s="1514">
        <f>IF(U94=1,Cal!$BO$127,0)</f>
        <v>0</v>
      </c>
      <c r="W94" s="1343"/>
      <c r="AA94" s="1368">
        <f t="shared" si="15"/>
        <v>0</v>
      </c>
      <c r="AB94" s="1369">
        <f t="shared" ca="1" si="8"/>
        <v>0</v>
      </c>
      <c r="AF94" s="1370">
        <f t="shared" si="16"/>
        <v>0</v>
      </c>
      <c r="AG94" s="1373">
        <f t="shared" si="17"/>
        <v>0</v>
      </c>
      <c r="AH94" s="1371">
        <f t="shared" si="18"/>
        <v>0</v>
      </c>
      <c r="AI94" s="1359">
        <f>HLOOKUP($AI$66,anticipadofree,25,0)</f>
        <v>0</v>
      </c>
      <c r="AK94" s="1360">
        <f t="shared" si="9"/>
        <v>0</v>
      </c>
      <c r="AL94" s="1361">
        <f t="shared" si="21"/>
        <v>24</v>
      </c>
      <c r="AM94" s="1191">
        <f t="shared" si="19"/>
        <v>0</v>
      </c>
      <c r="AN94" s="1362">
        <f t="shared" si="10"/>
        <v>0</v>
      </c>
      <c r="AO94" s="1362">
        <f t="shared" si="2"/>
        <v>0</v>
      </c>
      <c r="AP94" s="1362">
        <f t="shared" si="20"/>
        <v>0</v>
      </c>
      <c r="AQ94" s="1363">
        <f t="shared" si="11"/>
        <v>1000000</v>
      </c>
    </row>
    <row r="95" spans="1:43">
      <c r="A95" s="1118">
        <f t="shared" ca="1" si="0"/>
        <v>4</v>
      </c>
      <c r="B95" s="1351">
        <f t="shared" si="1"/>
        <v>0</v>
      </c>
      <c r="C95" s="2143">
        <f t="shared" si="12"/>
        <v>0</v>
      </c>
      <c r="D95" s="2144">
        <f t="shared" si="13"/>
        <v>0</v>
      </c>
      <c r="E95" s="2145">
        <f t="shared" si="3"/>
        <v>0</v>
      </c>
      <c r="F95" s="2145">
        <f t="shared" si="4"/>
        <v>0</v>
      </c>
      <c r="G95" s="2145">
        <f t="shared" si="14"/>
        <v>0</v>
      </c>
      <c r="H95" s="2145">
        <f>IF(M94&lt;0.01,0,M94*Adm!$GV$4)</f>
        <v>0</v>
      </c>
      <c r="I95" s="2145">
        <f>IF(M94&lt;0.01,0,Cal!$BO$108*Adm!$GW$4)</f>
        <v>0</v>
      </c>
      <c r="J95" s="2145">
        <f>IF(M94&lt;0.01,0,IF(Adm!$GO$4&gt;0,E95*Adm!$GO$4,0))</f>
        <v>0</v>
      </c>
      <c r="K95" s="2145">
        <f t="shared" si="5"/>
        <v>0</v>
      </c>
      <c r="L95" s="2145">
        <f>IF(Adm!$GJ$4="si",MIN(M94+E95+H95+I95-K95,AB95),0)</f>
        <v>0</v>
      </c>
      <c r="M95" s="2145">
        <f t="shared" si="6"/>
        <v>0</v>
      </c>
      <c r="N95" s="2153"/>
      <c r="U95" s="1352">
        <f t="shared" si="7"/>
        <v>1</v>
      </c>
      <c r="V95" s="1514">
        <f>IF(U95=1,Cal!$BO$127,0)</f>
        <v>0</v>
      </c>
      <c r="W95" s="1343"/>
      <c r="AA95" s="1368">
        <f t="shared" si="15"/>
        <v>0</v>
      </c>
      <c r="AB95" s="1369">
        <f t="shared" ca="1" si="8"/>
        <v>0</v>
      </c>
      <c r="AF95" s="1370">
        <f t="shared" si="16"/>
        <v>0</v>
      </c>
      <c r="AG95" s="1373">
        <f t="shared" si="17"/>
        <v>0</v>
      </c>
      <c r="AH95" s="1371">
        <f t="shared" si="18"/>
        <v>0</v>
      </c>
      <c r="AI95" s="1359">
        <f>HLOOKUP($AI$66,anticipadofree,26,0)</f>
        <v>0</v>
      </c>
      <c r="AK95" s="1360">
        <f t="shared" si="9"/>
        <v>0</v>
      </c>
      <c r="AL95" s="1377">
        <f t="shared" si="21"/>
        <v>25</v>
      </c>
      <c r="AM95" s="1516">
        <f t="shared" si="19"/>
        <v>0</v>
      </c>
      <c r="AN95" s="1378">
        <f t="shared" si="10"/>
        <v>0</v>
      </c>
      <c r="AO95" s="1378">
        <f t="shared" si="2"/>
        <v>0</v>
      </c>
      <c r="AP95" s="1378">
        <f>MIN(AQ94+AN95,AP94*(1+$AN$66))</f>
        <v>0</v>
      </c>
      <c r="AQ95" s="1363">
        <f t="shared" si="11"/>
        <v>1000000</v>
      </c>
    </row>
    <row r="96" spans="1:43">
      <c r="A96" s="1118">
        <f t="shared" ca="1" si="0"/>
        <v>5</v>
      </c>
      <c r="B96" s="1351">
        <f t="shared" si="1"/>
        <v>0</v>
      </c>
      <c r="C96" s="2143">
        <f t="shared" si="12"/>
        <v>0</v>
      </c>
      <c r="D96" s="2144">
        <f t="shared" si="13"/>
        <v>0</v>
      </c>
      <c r="E96" s="2145">
        <f t="shared" si="3"/>
        <v>0</v>
      </c>
      <c r="F96" s="2145">
        <f t="shared" si="4"/>
        <v>0</v>
      </c>
      <c r="G96" s="2145">
        <f t="shared" si="14"/>
        <v>0</v>
      </c>
      <c r="H96" s="2145">
        <f>IF(M95&lt;0.01,0,M95*Adm!$GV$4)</f>
        <v>0</v>
      </c>
      <c r="I96" s="2145">
        <f>IF(M95&lt;0.01,0,Cal!$BO$108*Adm!$GW$4)</f>
        <v>0</v>
      </c>
      <c r="J96" s="2145">
        <f>IF(M95&lt;0.01,0,IF(Adm!$GO$4&gt;0,E96*Adm!$GO$4,0))</f>
        <v>0</v>
      </c>
      <c r="K96" s="2145">
        <f t="shared" si="5"/>
        <v>0</v>
      </c>
      <c r="L96" s="2145">
        <f>IF(Adm!$GJ$4="si",MIN(M95+E96+H96+I96-K96,AB96),0)</f>
        <v>0</v>
      </c>
      <c r="M96" s="2145">
        <f t="shared" si="6"/>
        <v>0</v>
      </c>
      <c r="N96" s="2153"/>
      <c r="U96" s="1352">
        <f t="shared" si="7"/>
        <v>2</v>
      </c>
      <c r="V96" s="1514">
        <f>IF(U96=1,Cal!$BO$127,0)</f>
        <v>0</v>
      </c>
      <c r="W96" s="1343"/>
      <c r="AA96" s="1368">
        <f t="shared" si="15"/>
        <v>0</v>
      </c>
      <c r="AB96" s="1369">
        <f t="shared" ca="1" si="8"/>
        <v>0</v>
      </c>
      <c r="AF96" s="1370">
        <f t="shared" si="16"/>
        <v>0</v>
      </c>
      <c r="AG96" s="1373">
        <f t="shared" si="17"/>
        <v>0</v>
      </c>
      <c r="AH96" s="1371">
        <f t="shared" si="18"/>
        <v>0</v>
      </c>
      <c r="AI96" s="1359">
        <f>HLOOKUP($AI$66,anticipadofree,27,0)</f>
        <v>0</v>
      </c>
      <c r="AK96" s="1360">
        <f t="shared" si="9"/>
        <v>0</v>
      </c>
      <c r="AL96" s="1361">
        <f t="shared" si="21"/>
        <v>26</v>
      </c>
      <c r="AM96" s="1191">
        <f t="shared" si="19"/>
        <v>0</v>
      </c>
      <c r="AN96" s="1362">
        <f t="shared" si="10"/>
        <v>0</v>
      </c>
      <c r="AO96" s="1362">
        <f t="shared" si="2"/>
        <v>0</v>
      </c>
      <c r="AP96" s="1362">
        <f t="shared" si="20"/>
        <v>0</v>
      </c>
      <c r="AQ96" s="1363">
        <f t="shared" si="11"/>
        <v>1000000</v>
      </c>
    </row>
    <row r="97" spans="1:43">
      <c r="A97" s="1118">
        <f t="shared" ca="1" si="0"/>
        <v>6</v>
      </c>
      <c r="B97" s="1351">
        <f t="shared" si="1"/>
        <v>0</v>
      </c>
      <c r="C97" s="2143">
        <f t="shared" si="12"/>
        <v>0</v>
      </c>
      <c r="D97" s="2154">
        <f t="shared" si="13"/>
        <v>0</v>
      </c>
      <c r="E97" s="2145">
        <f t="shared" si="3"/>
        <v>0</v>
      </c>
      <c r="F97" s="2145">
        <f t="shared" si="4"/>
        <v>0</v>
      </c>
      <c r="G97" s="2145">
        <f t="shared" si="14"/>
        <v>0</v>
      </c>
      <c r="H97" s="2145">
        <f>IF(M96&lt;0.01,0,M96*Adm!$GV$4)</f>
        <v>0</v>
      </c>
      <c r="I97" s="2145">
        <f>IF(M96&lt;0.01,0,Cal!$BO$108*Adm!$GW$4)</f>
        <v>0</v>
      </c>
      <c r="J97" s="2145">
        <f>IF(M96&lt;0.01,0,IF(Adm!$GO$4&gt;0,E97*Adm!$GO$4,0))</f>
        <v>0</v>
      </c>
      <c r="K97" s="2145">
        <f t="shared" si="5"/>
        <v>0</v>
      </c>
      <c r="L97" s="2145">
        <f>IF(Adm!$GJ$4="si",MIN(M96+E97+H97+I97-K97,AB97),0)</f>
        <v>0</v>
      </c>
      <c r="M97" s="2145">
        <f t="shared" si="6"/>
        <v>0</v>
      </c>
      <c r="N97" s="2153"/>
      <c r="U97" s="1352">
        <f t="shared" si="7"/>
        <v>3</v>
      </c>
      <c r="V97" s="1514">
        <f>IF(U97=1,Cal!$BO$127,0)</f>
        <v>0</v>
      </c>
      <c r="W97" s="1343"/>
      <c r="AA97" s="1368">
        <f t="shared" si="15"/>
        <v>0</v>
      </c>
      <c r="AB97" s="1369">
        <f t="shared" ca="1" si="8"/>
        <v>0</v>
      </c>
      <c r="AF97" s="1370">
        <f t="shared" si="16"/>
        <v>0</v>
      </c>
      <c r="AG97" s="1373">
        <f t="shared" si="17"/>
        <v>0</v>
      </c>
      <c r="AH97" s="1371">
        <f t="shared" si="18"/>
        <v>0</v>
      </c>
      <c r="AI97" s="1359">
        <f>HLOOKUP($AI$66,anticipadofree,28,0)</f>
        <v>0</v>
      </c>
      <c r="AK97" s="1360">
        <f t="shared" si="9"/>
        <v>0</v>
      </c>
      <c r="AL97" s="1361">
        <f t="shared" si="21"/>
        <v>27</v>
      </c>
      <c r="AM97" s="1191">
        <f t="shared" si="19"/>
        <v>0</v>
      </c>
      <c r="AN97" s="1362">
        <f t="shared" si="10"/>
        <v>0</v>
      </c>
      <c r="AO97" s="1362">
        <f t="shared" si="2"/>
        <v>0</v>
      </c>
      <c r="AP97" s="1362">
        <f t="shared" si="20"/>
        <v>0</v>
      </c>
      <c r="AQ97" s="1363">
        <f t="shared" si="11"/>
        <v>1000000</v>
      </c>
    </row>
    <row r="98" spans="1:43">
      <c r="A98" s="1118">
        <f t="shared" ca="1" si="0"/>
        <v>7</v>
      </c>
      <c r="B98" s="1351">
        <f t="shared" si="1"/>
        <v>0</v>
      </c>
      <c r="C98" s="2143">
        <f t="shared" si="12"/>
        <v>0</v>
      </c>
      <c r="D98" s="2154">
        <f t="shared" si="13"/>
        <v>0</v>
      </c>
      <c r="E98" s="2145">
        <f t="shared" si="3"/>
        <v>0</v>
      </c>
      <c r="F98" s="2145">
        <f t="shared" si="4"/>
        <v>0</v>
      </c>
      <c r="G98" s="2145">
        <f t="shared" si="14"/>
        <v>0</v>
      </c>
      <c r="H98" s="2145">
        <f>IF(M97&lt;0.01,0,M97*Adm!$GV$4)</f>
        <v>0</v>
      </c>
      <c r="I98" s="2145">
        <f>IF(M97&lt;0.01,0,Cal!$BO$108*Adm!$GW$4)</f>
        <v>0</v>
      </c>
      <c r="J98" s="2145">
        <f>IF(M97&lt;0.01,0,IF(Adm!$GO$4&gt;0,E98*Adm!$GO$4,0))</f>
        <v>0</v>
      </c>
      <c r="K98" s="2145">
        <f t="shared" si="5"/>
        <v>0</v>
      </c>
      <c r="L98" s="2145">
        <f>IF(Adm!$GJ$4="si",MIN(M97+E98+H98+I98-K98,AB98),0)</f>
        <v>0</v>
      </c>
      <c r="M98" s="2145">
        <f t="shared" si="6"/>
        <v>0</v>
      </c>
      <c r="N98" s="2153"/>
      <c r="U98" s="1352">
        <f t="shared" si="7"/>
        <v>4</v>
      </c>
      <c r="V98" s="1514">
        <f>IF(U98=1,Cal!$BO$127,0)</f>
        <v>0</v>
      </c>
      <c r="W98" s="1343"/>
      <c r="AA98" s="1368">
        <f t="shared" si="15"/>
        <v>0</v>
      </c>
      <c r="AB98" s="1369">
        <f t="shared" ca="1" si="8"/>
        <v>0</v>
      </c>
      <c r="AF98" s="1370">
        <f t="shared" si="16"/>
        <v>0</v>
      </c>
      <c r="AG98" s="1373">
        <f t="shared" si="17"/>
        <v>0</v>
      </c>
      <c r="AH98" s="1371">
        <f t="shared" si="18"/>
        <v>0</v>
      </c>
      <c r="AI98" s="1359">
        <f>HLOOKUP($AI$66,anticipadofree,29,0)</f>
        <v>0</v>
      </c>
      <c r="AK98" s="1360">
        <f t="shared" si="9"/>
        <v>0</v>
      </c>
      <c r="AL98" s="1361">
        <f t="shared" si="21"/>
        <v>28</v>
      </c>
      <c r="AM98" s="1191">
        <f t="shared" si="19"/>
        <v>0</v>
      </c>
      <c r="AN98" s="1362">
        <f t="shared" si="10"/>
        <v>0</v>
      </c>
      <c r="AO98" s="1362">
        <f t="shared" si="2"/>
        <v>0</v>
      </c>
      <c r="AP98" s="1362">
        <f t="shared" si="20"/>
        <v>0</v>
      </c>
      <c r="AQ98" s="1363">
        <f t="shared" si="11"/>
        <v>1000000</v>
      </c>
    </row>
    <row r="99" spans="1:43">
      <c r="A99" s="1118">
        <f t="shared" ca="1" si="0"/>
        <v>8</v>
      </c>
      <c r="B99" s="1351">
        <f t="shared" si="1"/>
        <v>0</v>
      </c>
      <c r="C99" s="2143">
        <f t="shared" si="12"/>
        <v>0</v>
      </c>
      <c r="D99" s="2154">
        <f t="shared" si="13"/>
        <v>0</v>
      </c>
      <c r="E99" s="2145">
        <f t="shared" si="3"/>
        <v>0</v>
      </c>
      <c r="F99" s="2145">
        <f t="shared" si="4"/>
        <v>0</v>
      </c>
      <c r="G99" s="2145">
        <f t="shared" si="14"/>
        <v>0</v>
      </c>
      <c r="H99" s="2145">
        <f>IF(M98&lt;0.01,0,M98*Adm!$GV$4)</f>
        <v>0</v>
      </c>
      <c r="I99" s="2145">
        <f>IF(M98&lt;0.01,0,Cal!$BO$108*Adm!$GW$4)</f>
        <v>0</v>
      </c>
      <c r="J99" s="2145">
        <f>IF(M98&lt;0.01,0,IF(Adm!$GO$4&gt;0,E99*Adm!$GO$4,0))</f>
        <v>0</v>
      </c>
      <c r="K99" s="2145">
        <f t="shared" si="5"/>
        <v>0</v>
      </c>
      <c r="L99" s="2145">
        <f>IF(Adm!$GJ$4="si",MIN(M98+E99+H99+I99-K99,AB99),0)</f>
        <v>0</v>
      </c>
      <c r="M99" s="2145">
        <f t="shared" si="6"/>
        <v>0</v>
      </c>
      <c r="N99" s="2153"/>
      <c r="U99" s="1352">
        <f t="shared" si="7"/>
        <v>5</v>
      </c>
      <c r="V99" s="1514">
        <f>IF(U99=1,Cal!$BO$127,0)</f>
        <v>0</v>
      </c>
      <c r="W99" s="1343"/>
      <c r="AA99" s="1368">
        <f t="shared" si="15"/>
        <v>0</v>
      </c>
      <c r="AB99" s="1369">
        <f t="shared" ca="1" si="8"/>
        <v>0</v>
      </c>
      <c r="AF99" s="1370">
        <f t="shared" si="16"/>
        <v>0</v>
      </c>
      <c r="AG99" s="1373">
        <f t="shared" si="17"/>
        <v>0</v>
      </c>
      <c r="AH99" s="1371">
        <f t="shared" si="18"/>
        <v>0</v>
      </c>
      <c r="AI99" s="1359">
        <f>HLOOKUP($AI$66,anticipadofree,30,0)</f>
        <v>0</v>
      </c>
      <c r="AK99" s="1360">
        <f t="shared" si="9"/>
        <v>0</v>
      </c>
      <c r="AL99" s="1361">
        <f t="shared" si="21"/>
        <v>29</v>
      </c>
      <c r="AM99" s="1191">
        <f t="shared" si="19"/>
        <v>0</v>
      </c>
      <c r="AN99" s="1362">
        <f t="shared" si="10"/>
        <v>0</v>
      </c>
      <c r="AO99" s="1362">
        <f t="shared" si="2"/>
        <v>0</v>
      </c>
      <c r="AP99" s="1362">
        <f t="shared" si="20"/>
        <v>0</v>
      </c>
      <c r="AQ99" s="1363">
        <f t="shared" si="11"/>
        <v>1000000</v>
      </c>
    </row>
    <row r="100" spans="1:43">
      <c r="A100" s="1118">
        <f t="shared" ca="1" si="0"/>
        <v>9</v>
      </c>
      <c r="B100" s="1351">
        <f t="shared" si="1"/>
        <v>0</v>
      </c>
      <c r="C100" s="2143">
        <f t="shared" si="12"/>
        <v>0</v>
      </c>
      <c r="D100" s="2154">
        <f t="shared" si="13"/>
        <v>0</v>
      </c>
      <c r="E100" s="2145">
        <f t="shared" si="3"/>
        <v>0</v>
      </c>
      <c r="F100" s="2145">
        <f t="shared" si="4"/>
        <v>0</v>
      </c>
      <c r="G100" s="2145">
        <f t="shared" si="14"/>
        <v>0</v>
      </c>
      <c r="H100" s="2145">
        <f>IF(M99&lt;0.01,0,M99*Adm!$GV$4)</f>
        <v>0</v>
      </c>
      <c r="I100" s="2145">
        <f>IF(M99&lt;0.01,0,Cal!$BO$108*Adm!$GW$4)</f>
        <v>0</v>
      </c>
      <c r="J100" s="2145">
        <f>IF(M99&lt;0.01,0,IF(Adm!$GO$4&gt;0,E100*Adm!$GO$4,0))</f>
        <v>0</v>
      </c>
      <c r="K100" s="2145">
        <f t="shared" si="5"/>
        <v>0</v>
      </c>
      <c r="L100" s="2145">
        <f>IF(Adm!$GJ$4="si",MIN(M99+E100+H100+I100-K100,AB100),0)</f>
        <v>0</v>
      </c>
      <c r="M100" s="2145">
        <f t="shared" si="6"/>
        <v>0</v>
      </c>
      <c r="N100" s="2153"/>
      <c r="U100" s="1352">
        <f t="shared" si="7"/>
        <v>6</v>
      </c>
      <c r="V100" s="1514">
        <f>IF(U100=1,Cal!$BO$127,0)</f>
        <v>0</v>
      </c>
      <c r="W100" s="1343"/>
      <c r="AA100" s="1368">
        <f t="shared" si="15"/>
        <v>0</v>
      </c>
      <c r="AB100" s="1369">
        <f t="shared" ca="1" si="8"/>
        <v>0</v>
      </c>
      <c r="AF100" s="1370">
        <f t="shared" si="16"/>
        <v>0</v>
      </c>
      <c r="AG100" s="1373">
        <f t="shared" si="17"/>
        <v>0</v>
      </c>
      <c r="AH100" s="1371">
        <f t="shared" si="18"/>
        <v>0</v>
      </c>
      <c r="AI100" s="1359">
        <f>HLOOKUP($AI$66,anticipadofree,31,0)</f>
        <v>0</v>
      </c>
      <c r="AK100" s="1360">
        <f t="shared" si="9"/>
        <v>0</v>
      </c>
      <c r="AL100" s="1361">
        <f t="shared" si="21"/>
        <v>30</v>
      </c>
      <c r="AM100" s="1191">
        <f t="shared" si="19"/>
        <v>0</v>
      </c>
      <c r="AN100" s="1362">
        <f t="shared" si="10"/>
        <v>0</v>
      </c>
      <c r="AO100" s="1362">
        <f t="shared" si="2"/>
        <v>0</v>
      </c>
      <c r="AP100" s="1362">
        <f t="shared" si="20"/>
        <v>0</v>
      </c>
      <c r="AQ100" s="1363">
        <f t="shared" si="11"/>
        <v>1000000</v>
      </c>
    </row>
    <row r="101" spans="1:43">
      <c r="A101" s="1118">
        <f t="shared" ca="1" si="0"/>
        <v>10</v>
      </c>
      <c r="B101" s="1351">
        <f t="shared" si="1"/>
        <v>0</v>
      </c>
      <c r="C101" s="2143">
        <f t="shared" si="12"/>
        <v>0</v>
      </c>
      <c r="D101" s="2154">
        <f t="shared" si="13"/>
        <v>0</v>
      </c>
      <c r="E101" s="2145">
        <f t="shared" si="3"/>
        <v>0</v>
      </c>
      <c r="F101" s="2145">
        <f t="shared" si="4"/>
        <v>0</v>
      </c>
      <c r="G101" s="2145">
        <f t="shared" si="14"/>
        <v>0</v>
      </c>
      <c r="H101" s="2145">
        <f>IF(M100&lt;0.01,0,M100*Adm!$GV$4)</f>
        <v>0</v>
      </c>
      <c r="I101" s="2145">
        <f>IF(M100&lt;0.01,0,Cal!$BO$108*Adm!$GW$4)</f>
        <v>0</v>
      </c>
      <c r="J101" s="2145">
        <f>IF(M100&lt;0.01,0,IF(Adm!$GO$4&gt;0,E101*Adm!$GO$4,0))</f>
        <v>0</v>
      </c>
      <c r="K101" s="2145">
        <f t="shared" si="5"/>
        <v>0</v>
      </c>
      <c r="L101" s="2145">
        <f>IF(Adm!$GJ$4="si",MIN(M100+E101+H101+I101-K101,AB101),0)</f>
        <v>0</v>
      </c>
      <c r="M101" s="2145">
        <f t="shared" si="6"/>
        <v>0</v>
      </c>
      <c r="N101" s="2153"/>
      <c r="U101" s="1352">
        <f t="shared" si="7"/>
        <v>7</v>
      </c>
      <c r="V101" s="1514">
        <f>IF(U101=1,Cal!$BO$127,0)</f>
        <v>0</v>
      </c>
      <c r="W101" s="1343"/>
      <c r="AA101" s="1368">
        <f t="shared" si="15"/>
        <v>0</v>
      </c>
      <c r="AB101" s="1369">
        <f t="shared" ca="1" si="8"/>
        <v>0</v>
      </c>
      <c r="AF101" s="1370">
        <f t="shared" si="16"/>
        <v>0</v>
      </c>
      <c r="AG101" s="1373">
        <f t="shared" si="17"/>
        <v>0</v>
      </c>
      <c r="AH101" s="1371">
        <f t="shared" si="18"/>
        <v>0</v>
      </c>
      <c r="AI101" s="1359">
        <f>HLOOKUP($AI$66,anticipadofree,32,0)</f>
        <v>0</v>
      </c>
      <c r="AK101" s="1360">
        <f t="shared" si="9"/>
        <v>0</v>
      </c>
      <c r="AL101" s="1361">
        <f t="shared" si="21"/>
        <v>31</v>
      </c>
      <c r="AM101" s="1191">
        <f t="shared" si="19"/>
        <v>0</v>
      </c>
      <c r="AN101" s="1362">
        <f t="shared" si="10"/>
        <v>0</v>
      </c>
      <c r="AO101" s="1362">
        <f t="shared" si="2"/>
        <v>0</v>
      </c>
      <c r="AP101" s="1362">
        <f t="shared" si="20"/>
        <v>0</v>
      </c>
      <c r="AQ101" s="1363">
        <f t="shared" si="11"/>
        <v>1000000</v>
      </c>
    </row>
    <row r="102" spans="1:43">
      <c r="A102" s="1118">
        <f t="shared" ca="1" si="0"/>
        <v>11</v>
      </c>
      <c r="B102" s="1351">
        <f t="shared" si="1"/>
        <v>0</v>
      </c>
      <c r="C102" s="2143">
        <f t="shared" si="12"/>
        <v>0</v>
      </c>
      <c r="D102" s="2154">
        <f t="shared" si="13"/>
        <v>0</v>
      </c>
      <c r="E102" s="2145">
        <f t="shared" si="3"/>
        <v>0</v>
      </c>
      <c r="F102" s="2145">
        <f t="shared" si="4"/>
        <v>0</v>
      </c>
      <c r="G102" s="2145">
        <f t="shared" si="14"/>
        <v>0</v>
      </c>
      <c r="H102" s="2145">
        <f>IF(M101&lt;0.01,0,M101*Adm!$GV$4)</f>
        <v>0</v>
      </c>
      <c r="I102" s="2145">
        <f>IF(M101&lt;0.01,0,Cal!$BO$108*Adm!$GW$4)</f>
        <v>0</v>
      </c>
      <c r="J102" s="2145">
        <f>IF(M101&lt;0.01,0,IF(Adm!$GO$4&gt;0,E102*Adm!$GO$4,0))</f>
        <v>0</v>
      </c>
      <c r="K102" s="2145">
        <f t="shared" si="5"/>
        <v>0</v>
      </c>
      <c r="L102" s="2145">
        <f>IF(Adm!$GJ$4="si",MIN(M101+E102+H102+I102-K102,AB102),0)</f>
        <v>0</v>
      </c>
      <c r="M102" s="2145">
        <f t="shared" si="6"/>
        <v>0</v>
      </c>
      <c r="N102" s="2153"/>
      <c r="U102" s="1352">
        <f t="shared" si="7"/>
        <v>8</v>
      </c>
      <c r="V102" s="1514">
        <f>IF(U102=1,Cal!$BO$127,0)</f>
        <v>0</v>
      </c>
      <c r="W102" s="1343"/>
      <c r="AA102" s="1368">
        <f t="shared" si="15"/>
        <v>0</v>
      </c>
      <c r="AB102" s="1369">
        <f t="shared" ca="1" si="8"/>
        <v>0</v>
      </c>
      <c r="AF102" s="1370">
        <f t="shared" si="16"/>
        <v>0</v>
      </c>
      <c r="AG102" s="1373">
        <f t="shared" si="17"/>
        <v>0</v>
      </c>
      <c r="AH102" s="1371">
        <f t="shared" si="18"/>
        <v>0</v>
      </c>
      <c r="AI102" s="1359">
        <f>HLOOKUP($AI$66,anticipadofree,33,0)</f>
        <v>0</v>
      </c>
      <c r="AK102" s="1360">
        <f t="shared" si="9"/>
        <v>0</v>
      </c>
      <c r="AL102" s="1361">
        <f t="shared" si="21"/>
        <v>32</v>
      </c>
      <c r="AM102" s="1191">
        <f t="shared" si="19"/>
        <v>0</v>
      </c>
      <c r="AN102" s="1362">
        <f t="shared" si="10"/>
        <v>0</v>
      </c>
      <c r="AO102" s="1362">
        <f t="shared" si="2"/>
        <v>0</v>
      </c>
      <c r="AP102" s="1362">
        <f t="shared" si="20"/>
        <v>0</v>
      </c>
      <c r="AQ102" s="1363">
        <f t="shared" si="11"/>
        <v>1000000</v>
      </c>
    </row>
    <row r="103" spans="1:43">
      <c r="A103" s="1118">
        <f t="shared" ca="1" si="0"/>
        <v>12</v>
      </c>
      <c r="B103" s="1351">
        <f t="shared" si="1"/>
        <v>0</v>
      </c>
      <c r="C103" s="2143">
        <f t="shared" si="12"/>
        <v>0</v>
      </c>
      <c r="D103" s="2154">
        <f t="shared" si="13"/>
        <v>0</v>
      </c>
      <c r="E103" s="2145">
        <f t="shared" si="3"/>
        <v>0</v>
      </c>
      <c r="F103" s="2145">
        <f t="shared" si="4"/>
        <v>0</v>
      </c>
      <c r="G103" s="2145">
        <f t="shared" si="14"/>
        <v>0</v>
      </c>
      <c r="H103" s="2145">
        <f>IF(M102&lt;0.01,0,M102*Adm!$GV$4)</f>
        <v>0</v>
      </c>
      <c r="I103" s="2145">
        <f>IF(M102&lt;0.01,0,Cal!$BO$108*Adm!$GW$4)</f>
        <v>0</v>
      </c>
      <c r="J103" s="2145">
        <f>IF(M102&lt;0.01,0,IF(Adm!$GO$4&gt;0,E103*Adm!$GO$4,0))</f>
        <v>0</v>
      </c>
      <c r="K103" s="2145">
        <f t="shared" si="5"/>
        <v>0</v>
      </c>
      <c r="L103" s="2145">
        <f>IF(Adm!$GJ$4="si",MIN(M102+E103+H103+I103-K103,AB103),0)</f>
        <v>0</v>
      </c>
      <c r="M103" s="2145">
        <f t="shared" si="6"/>
        <v>0</v>
      </c>
      <c r="N103" s="2153"/>
      <c r="U103" s="1352">
        <f t="shared" si="7"/>
        <v>9</v>
      </c>
      <c r="V103" s="1514">
        <f>IF(U103=1,Cal!$BO$127,0)</f>
        <v>0</v>
      </c>
      <c r="W103" s="1343"/>
      <c r="AA103" s="1368">
        <f t="shared" si="15"/>
        <v>0</v>
      </c>
      <c r="AB103" s="1369">
        <f t="shared" ca="1" si="8"/>
        <v>0</v>
      </c>
      <c r="AF103" s="1370">
        <f t="shared" si="16"/>
        <v>0</v>
      </c>
      <c r="AG103" s="1373">
        <f t="shared" si="17"/>
        <v>0</v>
      </c>
      <c r="AH103" s="1371">
        <f t="shared" si="18"/>
        <v>0</v>
      </c>
      <c r="AI103" s="1359">
        <f>HLOOKUP($AI$66,anticipadofree,34,0)</f>
        <v>0</v>
      </c>
      <c r="AK103" s="1360">
        <f t="shared" si="9"/>
        <v>0</v>
      </c>
      <c r="AL103" s="1361">
        <f t="shared" si="21"/>
        <v>33</v>
      </c>
      <c r="AM103" s="1191">
        <f t="shared" si="19"/>
        <v>0</v>
      </c>
      <c r="AN103" s="1362">
        <f t="shared" si="10"/>
        <v>0</v>
      </c>
      <c r="AO103" s="1362">
        <f t="shared" si="2"/>
        <v>0</v>
      </c>
      <c r="AP103" s="1362">
        <f t="shared" si="20"/>
        <v>0</v>
      </c>
      <c r="AQ103" s="1363">
        <f t="shared" si="11"/>
        <v>1000000</v>
      </c>
    </row>
    <row r="104" spans="1:43">
      <c r="A104" s="1118">
        <f t="shared" ca="1" si="0"/>
        <v>1</v>
      </c>
      <c r="B104" s="1351">
        <f t="shared" si="1"/>
        <v>0</v>
      </c>
      <c r="C104" s="2143">
        <f t="shared" si="12"/>
        <v>0</v>
      </c>
      <c r="D104" s="2154">
        <f t="shared" si="13"/>
        <v>0</v>
      </c>
      <c r="E104" s="2145">
        <f t="shared" si="3"/>
        <v>0</v>
      </c>
      <c r="F104" s="2145">
        <f t="shared" si="4"/>
        <v>0</v>
      </c>
      <c r="G104" s="2145">
        <f t="shared" si="14"/>
        <v>0</v>
      </c>
      <c r="H104" s="2145">
        <f>IF(M103&lt;0.01,0,M103*Adm!$GV$4)</f>
        <v>0</v>
      </c>
      <c r="I104" s="2145">
        <f>IF(M103&lt;0.01,0,Cal!$BO$108*Adm!$GW$4)</f>
        <v>0</v>
      </c>
      <c r="J104" s="2145">
        <f>IF(M103&lt;0.01,0,IF(Adm!$GO$4&gt;0,E104*Adm!$GO$4,0))</f>
        <v>0</v>
      </c>
      <c r="K104" s="2145">
        <f t="shared" si="5"/>
        <v>0</v>
      </c>
      <c r="L104" s="2145">
        <f>IF(Adm!$GJ$4="si",MIN(M103+E104+H104+I104-K104,AB104),0)</f>
        <v>0</v>
      </c>
      <c r="M104" s="2145">
        <f t="shared" si="6"/>
        <v>0</v>
      </c>
      <c r="N104" s="2153"/>
      <c r="U104" s="1352">
        <f t="shared" si="7"/>
        <v>10</v>
      </c>
      <c r="V104" s="1514">
        <f>IF(U104=1,Cal!$BO$127,0)</f>
        <v>0</v>
      </c>
      <c r="W104" s="1343"/>
      <c r="AA104" s="1368">
        <f t="shared" si="15"/>
        <v>0</v>
      </c>
      <c r="AB104" s="1369">
        <f t="shared" ca="1" si="8"/>
        <v>0</v>
      </c>
      <c r="AF104" s="1370">
        <f t="shared" si="16"/>
        <v>0</v>
      </c>
      <c r="AG104" s="1373">
        <f t="shared" si="17"/>
        <v>0</v>
      </c>
      <c r="AH104" s="1371">
        <f t="shared" si="18"/>
        <v>0</v>
      </c>
      <c r="AI104" s="1359">
        <f>HLOOKUP($AI$66,anticipadofree,35,0)</f>
        <v>0</v>
      </c>
      <c r="AK104" s="1360">
        <f t="shared" si="9"/>
        <v>0</v>
      </c>
      <c r="AL104" s="1361">
        <f t="shared" si="21"/>
        <v>34</v>
      </c>
      <c r="AM104" s="1191">
        <f t="shared" si="19"/>
        <v>0</v>
      </c>
      <c r="AN104" s="1362">
        <f t="shared" si="10"/>
        <v>0</v>
      </c>
      <c r="AO104" s="1362">
        <f t="shared" si="2"/>
        <v>0</v>
      </c>
      <c r="AP104" s="1362">
        <f t="shared" si="20"/>
        <v>0</v>
      </c>
      <c r="AQ104" s="1363">
        <f t="shared" si="11"/>
        <v>1000000</v>
      </c>
    </row>
    <row r="105" spans="1:43">
      <c r="A105" s="1118">
        <f t="shared" ca="1" si="0"/>
        <v>2</v>
      </c>
      <c r="B105" s="1351">
        <f t="shared" si="1"/>
        <v>0</v>
      </c>
      <c r="C105" s="2143">
        <f t="shared" si="12"/>
        <v>0</v>
      </c>
      <c r="D105" s="2154">
        <f t="shared" si="13"/>
        <v>0</v>
      </c>
      <c r="E105" s="2145">
        <f t="shared" si="3"/>
        <v>0</v>
      </c>
      <c r="F105" s="2145">
        <f t="shared" si="4"/>
        <v>0</v>
      </c>
      <c r="G105" s="2145">
        <f t="shared" si="14"/>
        <v>0</v>
      </c>
      <c r="H105" s="2145">
        <f>IF(M104&lt;0.01,0,M104*Adm!$GV$4)</f>
        <v>0</v>
      </c>
      <c r="I105" s="2145">
        <f>IF(M104&lt;0.01,0,Cal!$BO$108*Adm!$GW$4)</f>
        <v>0</v>
      </c>
      <c r="J105" s="2145">
        <f>IF(M104&lt;0.01,0,IF(Adm!$GO$4&gt;0,E105*Adm!$GO$4,0))</f>
        <v>0</v>
      </c>
      <c r="K105" s="2145">
        <f t="shared" si="5"/>
        <v>0</v>
      </c>
      <c r="L105" s="2145">
        <f>IF(Adm!$GJ$4="si",MIN(M104+E105+H105+I105-K105,AB105),0)</f>
        <v>0</v>
      </c>
      <c r="M105" s="2145">
        <f t="shared" si="6"/>
        <v>0</v>
      </c>
      <c r="N105" s="2153"/>
      <c r="U105" s="1352">
        <f t="shared" si="7"/>
        <v>11</v>
      </c>
      <c r="V105" s="1514">
        <f>IF(U105=1,Cal!$BO$127,0)</f>
        <v>0</v>
      </c>
      <c r="W105" s="1343"/>
      <c r="AA105" s="1368">
        <f t="shared" si="15"/>
        <v>0</v>
      </c>
      <c r="AB105" s="1369">
        <f t="shared" ca="1" si="8"/>
        <v>0</v>
      </c>
      <c r="AF105" s="1370">
        <f t="shared" si="16"/>
        <v>0</v>
      </c>
      <c r="AG105" s="1373">
        <f t="shared" si="17"/>
        <v>0</v>
      </c>
      <c r="AH105" s="1371">
        <f t="shared" si="18"/>
        <v>0</v>
      </c>
      <c r="AI105" s="1359">
        <f>HLOOKUP($AI$66,anticipadofree,36,0)</f>
        <v>0</v>
      </c>
      <c r="AK105" s="1360">
        <f t="shared" si="9"/>
        <v>0</v>
      </c>
      <c r="AL105" s="1361">
        <f t="shared" si="21"/>
        <v>35</v>
      </c>
      <c r="AM105" s="1191">
        <f t="shared" si="19"/>
        <v>0</v>
      </c>
      <c r="AN105" s="1362">
        <f t="shared" si="10"/>
        <v>0</v>
      </c>
      <c r="AO105" s="1362">
        <f t="shared" si="2"/>
        <v>0</v>
      </c>
      <c r="AP105" s="1362">
        <f t="shared" si="20"/>
        <v>0</v>
      </c>
      <c r="AQ105" s="1363">
        <f t="shared" si="11"/>
        <v>1000000</v>
      </c>
    </row>
    <row r="106" spans="1:43">
      <c r="A106" s="1118">
        <f t="shared" ca="1" si="0"/>
        <v>3</v>
      </c>
      <c r="B106" s="1351">
        <f t="shared" si="1"/>
        <v>0</v>
      </c>
      <c r="C106" s="2143">
        <f t="shared" si="12"/>
        <v>0</v>
      </c>
      <c r="D106" s="2154">
        <f t="shared" si="13"/>
        <v>0</v>
      </c>
      <c r="E106" s="2145">
        <f t="shared" si="3"/>
        <v>0</v>
      </c>
      <c r="F106" s="2145">
        <f t="shared" si="4"/>
        <v>0</v>
      </c>
      <c r="G106" s="2145">
        <f t="shared" si="14"/>
        <v>0</v>
      </c>
      <c r="H106" s="2145">
        <f>IF(M105&lt;0.01,0,M105*Adm!$GV$4)</f>
        <v>0</v>
      </c>
      <c r="I106" s="2145">
        <f>IF(M105&lt;0.01,0,Cal!$BO$108*Adm!$GW$4)</f>
        <v>0</v>
      </c>
      <c r="J106" s="2145">
        <f>IF(M105&lt;0.01,0,IF(Adm!$GO$4&gt;0,E106*Adm!$GO$4,0))</f>
        <v>0</v>
      </c>
      <c r="K106" s="2145">
        <f t="shared" si="5"/>
        <v>0</v>
      </c>
      <c r="L106" s="2145">
        <f>IF(Adm!$GJ$4="si",MIN(M105+E106+H106+I106-K106,AB106),0)</f>
        <v>0</v>
      </c>
      <c r="M106" s="2145">
        <f t="shared" si="6"/>
        <v>0</v>
      </c>
      <c r="N106" s="2153"/>
      <c r="U106" s="1352">
        <f t="shared" si="7"/>
        <v>12</v>
      </c>
      <c r="V106" s="1514">
        <f>IF(U106=1,Cal!$BO$127,0)</f>
        <v>0</v>
      </c>
      <c r="W106" s="1343"/>
      <c r="AA106" s="1368">
        <f t="shared" si="15"/>
        <v>0</v>
      </c>
      <c r="AB106" s="1369">
        <f t="shared" ca="1" si="8"/>
        <v>0</v>
      </c>
      <c r="AF106" s="1370">
        <f t="shared" si="16"/>
        <v>0</v>
      </c>
      <c r="AG106" s="1373">
        <f t="shared" si="17"/>
        <v>0</v>
      </c>
      <c r="AH106" s="1371">
        <f t="shared" si="18"/>
        <v>0</v>
      </c>
      <c r="AI106" s="1359">
        <f>HLOOKUP($AI$66,anticipadofree,37,0)</f>
        <v>0</v>
      </c>
      <c r="AK106" s="1360">
        <f t="shared" si="9"/>
        <v>0</v>
      </c>
      <c r="AL106" s="1361">
        <f t="shared" si="21"/>
        <v>36</v>
      </c>
      <c r="AM106" s="1191">
        <f t="shared" si="19"/>
        <v>0</v>
      </c>
      <c r="AN106" s="1362">
        <f t="shared" si="10"/>
        <v>0</v>
      </c>
      <c r="AO106" s="1362">
        <f t="shared" si="2"/>
        <v>0</v>
      </c>
      <c r="AP106" s="1362">
        <f t="shared" si="20"/>
        <v>0</v>
      </c>
      <c r="AQ106" s="1363">
        <f t="shared" si="11"/>
        <v>1000000</v>
      </c>
    </row>
    <row r="107" spans="1:43">
      <c r="A107" s="1118">
        <f t="shared" ca="1" si="0"/>
        <v>4</v>
      </c>
      <c r="B107" s="1351">
        <f t="shared" si="1"/>
        <v>0</v>
      </c>
      <c r="C107" s="2143">
        <f t="shared" si="12"/>
        <v>0</v>
      </c>
      <c r="D107" s="2154">
        <f t="shared" ref="D107:D170" si="22">IF(M106&lt;0.01,0,IF(D106=$Y$72,D106,IF(D106-W107&lt;=$Y$72,D106-W107,D106-W107)))</f>
        <v>0</v>
      </c>
      <c r="E107" s="2145">
        <f t="shared" si="3"/>
        <v>0</v>
      </c>
      <c r="F107" s="2145">
        <f t="shared" si="4"/>
        <v>0</v>
      </c>
      <c r="G107" s="2145">
        <f t="shared" si="14"/>
        <v>0</v>
      </c>
      <c r="H107" s="2145">
        <f>IF(M106&lt;0.01,0,M106*Adm!$GV$4)</f>
        <v>0</v>
      </c>
      <c r="I107" s="2145">
        <f>IF(M106&lt;0.01,0,Cal!$BO$108*Adm!$GW$4)</f>
        <v>0</v>
      </c>
      <c r="J107" s="2145">
        <f>IF(M106&lt;0.01,0,IF(Adm!$GO$4&gt;0,E107*Adm!$GO$4,0))</f>
        <v>0</v>
      </c>
      <c r="K107" s="2145">
        <f t="shared" si="5"/>
        <v>0</v>
      </c>
      <c r="L107" s="2145">
        <f>IF(Adm!$GJ$4="si",MIN(M106+E107+H107+I107-K107,AB107),0)</f>
        <v>0</v>
      </c>
      <c r="M107" s="2145">
        <f t="shared" si="6"/>
        <v>0</v>
      </c>
      <c r="N107" s="2153"/>
      <c r="U107" s="1352">
        <f t="shared" si="7"/>
        <v>1</v>
      </c>
      <c r="V107" s="1514">
        <f>IF(U107=1,Cal!$BO$127,0)</f>
        <v>0</v>
      </c>
      <c r="W107" s="1517">
        <f>IF(U107=1,Adm!$HI$4,0)</f>
        <v>2.5000000000000001E-3</v>
      </c>
      <c r="X107" s="1518"/>
      <c r="Y107" s="1518"/>
      <c r="Z107" s="1518"/>
      <c r="AA107" s="1368">
        <f t="shared" si="15"/>
        <v>0</v>
      </c>
      <c r="AB107" s="1369">
        <f t="shared" ca="1" si="8"/>
        <v>0</v>
      </c>
      <c r="AF107" s="1370">
        <f t="shared" si="16"/>
        <v>0</v>
      </c>
      <c r="AG107" s="1373">
        <f t="shared" si="17"/>
        <v>0</v>
      </c>
      <c r="AH107" s="1371">
        <f t="shared" si="18"/>
        <v>0</v>
      </c>
      <c r="AI107" s="1359">
        <f>HLOOKUP($AI$66,anticipadofree,38,0)</f>
        <v>-2.1122638888888888E-4</v>
      </c>
      <c r="AK107" s="1360">
        <f t="shared" si="9"/>
        <v>-2.1122638888888888E-4</v>
      </c>
      <c r="AL107" s="1377">
        <f t="shared" si="21"/>
        <v>37</v>
      </c>
      <c r="AM107" s="1519">
        <f>AM106+$AN$68</f>
        <v>2.5000000000000001E-3</v>
      </c>
      <c r="AN107" s="1378">
        <f t="shared" si="10"/>
        <v>211.22638888888889</v>
      </c>
      <c r="AO107" s="1378">
        <f t="shared" si="2"/>
        <v>-211.22638888888889</v>
      </c>
      <c r="AP107" s="1378">
        <f>MIN(AQ106+AN107,AP106*(1+$AN$66))</f>
        <v>0</v>
      </c>
      <c r="AQ107" s="1363">
        <f t="shared" si="11"/>
        <v>1000211.2263888889</v>
      </c>
    </row>
    <row r="108" spans="1:43">
      <c r="A108" s="1118">
        <f t="shared" ca="1" si="0"/>
        <v>5</v>
      </c>
      <c r="B108" s="1351">
        <f t="shared" si="1"/>
        <v>0</v>
      </c>
      <c r="C108" s="2143">
        <f t="shared" si="12"/>
        <v>0</v>
      </c>
      <c r="D108" s="2154">
        <f t="shared" si="22"/>
        <v>0</v>
      </c>
      <c r="E108" s="2145">
        <f t="shared" si="3"/>
        <v>0</v>
      </c>
      <c r="F108" s="2145">
        <f t="shared" si="4"/>
        <v>0</v>
      </c>
      <c r="G108" s="2145">
        <f t="shared" si="14"/>
        <v>0</v>
      </c>
      <c r="H108" s="2145">
        <f>IF(M107&lt;0.01,0,M107*Adm!$GV$4)</f>
        <v>0</v>
      </c>
      <c r="I108" s="2145">
        <f>IF(M107&lt;0.01,0,Cal!$BO$108*Adm!$GW$4)</f>
        <v>0</v>
      </c>
      <c r="J108" s="2145">
        <f>IF(M107&lt;0.01,0,IF(Adm!$GO$4&gt;0,E108*Adm!$GO$4,0))</f>
        <v>0</v>
      </c>
      <c r="K108" s="2145">
        <f t="shared" si="5"/>
        <v>0</v>
      </c>
      <c r="L108" s="2145">
        <f>IF(Adm!$GJ$4="si",MIN(M107+E108+H108+I108-K108,AB108),0)</f>
        <v>0</v>
      </c>
      <c r="M108" s="2145">
        <f t="shared" si="6"/>
        <v>0</v>
      </c>
      <c r="N108" s="2153"/>
      <c r="U108" s="1352">
        <f t="shared" si="7"/>
        <v>2</v>
      </c>
      <c r="V108" s="1514">
        <f>IF(U108=1,Cal!$BO$127,0)</f>
        <v>0</v>
      </c>
      <c r="W108" s="1517">
        <f>IF(U108=1,Adm!$HI$4,0)</f>
        <v>0</v>
      </c>
      <c r="X108" s="1518"/>
      <c r="Y108" s="1518"/>
      <c r="Z108" s="1518"/>
      <c r="AA108" s="1368">
        <f t="shared" si="15"/>
        <v>0</v>
      </c>
      <c r="AB108" s="1369">
        <f t="shared" ca="1" si="8"/>
        <v>0</v>
      </c>
      <c r="AF108" s="1370">
        <f t="shared" si="16"/>
        <v>0</v>
      </c>
      <c r="AG108" s="1373">
        <f t="shared" si="17"/>
        <v>0</v>
      </c>
      <c r="AH108" s="1371">
        <f t="shared" si="18"/>
        <v>0</v>
      </c>
      <c r="AI108" s="1359">
        <f>HLOOKUP($AI$66,anticipadofree,39,0)</f>
        <v>-2.1122638888888891E-4</v>
      </c>
      <c r="AK108" s="1360">
        <f t="shared" si="9"/>
        <v>-2.1122638888888891E-4</v>
      </c>
      <c r="AL108" s="1361">
        <f t="shared" si="21"/>
        <v>38</v>
      </c>
      <c r="AM108" s="1191">
        <f t="shared" si="19"/>
        <v>2.5000000000000001E-3</v>
      </c>
      <c r="AN108" s="1362">
        <f t="shared" si="10"/>
        <v>211.27100547625196</v>
      </c>
      <c r="AO108" s="1362">
        <f t="shared" si="2"/>
        <v>-211.27100547625196</v>
      </c>
      <c r="AP108" s="1362">
        <f t="shared" si="20"/>
        <v>0</v>
      </c>
      <c r="AQ108" s="1363">
        <f t="shared" si="11"/>
        <v>1000422.4973943651</v>
      </c>
    </row>
    <row r="109" spans="1:43">
      <c r="A109" s="1118">
        <f t="shared" ca="1" si="0"/>
        <v>6</v>
      </c>
      <c r="B109" s="1351">
        <f t="shared" si="1"/>
        <v>0</v>
      </c>
      <c r="C109" s="2143">
        <f t="shared" si="12"/>
        <v>0</v>
      </c>
      <c r="D109" s="2154">
        <f t="shared" si="22"/>
        <v>0</v>
      </c>
      <c r="E109" s="2145">
        <f t="shared" si="3"/>
        <v>0</v>
      </c>
      <c r="F109" s="2145">
        <f t="shared" si="4"/>
        <v>0</v>
      </c>
      <c r="G109" s="2145">
        <f t="shared" si="14"/>
        <v>0</v>
      </c>
      <c r="H109" s="2145">
        <f>IF(M108&lt;0.01,0,M108*Adm!$GV$4)</f>
        <v>0</v>
      </c>
      <c r="I109" s="2145">
        <f>IF(M108&lt;0.01,0,Cal!$BO$108*Adm!$GW$4)</f>
        <v>0</v>
      </c>
      <c r="J109" s="2145">
        <f>IF(M108&lt;0.01,0,IF(Adm!$GO$4&gt;0,E109*Adm!$GO$4,0))</f>
        <v>0</v>
      </c>
      <c r="K109" s="2145">
        <f t="shared" si="5"/>
        <v>0</v>
      </c>
      <c r="L109" s="2145">
        <f>IF(Adm!$GJ$4="si",MIN(M108+E109+H109+I109-K109,AB109),0)</f>
        <v>0</v>
      </c>
      <c r="M109" s="2145">
        <f t="shared" si="6"/>
        <v>0</v>
      </c>
      <c r="N109" s="2153"/>
      <c r="U109" s="1352">
        <f t="shared" si="7"/>
        <v>3</v>
      </c>
      <c r="V109" s="1514">
        <f>IF(U109=1,Cal!$BO$127,0)</f>
        <v>0</v>
      </c>
      <c r="W109" s="1517">
        <f>IF(U109=1,Adm!$HI$4,0)</f>
        <v>0</v>
      </c>
      <c r="X109" s="1518"/>
      <c r="Y109" s="1518"/>
      <c r="Z109" s="1518"/>
      <c r="AA109" s="1368">
        <f t="shared" si="15"/>
        <v>0</v>
      </c>
      <c r="AB109" s="1369">
        <f t="shared" ca="1" si="8"/>
        <v>0</v>
      </c>
      <c r="AF109" s="1370">
        <f t="shared" si="16"/>
        <v>0</v>
      </c>
      <c r="AG109" s="1373">
        <f t="shared" si="17"/>
        <v>0</v>
      </c>
      <c r="AH109" s="1371">
        <f t="shared" si="18"/>
        <v>0</v>
      </c>
      <c r="AI109" s="1359">
        <f>HLOOKUP($AI$66,anticipadofree,40,0)</f>
        <v>-2.1122638888888891E-4</v>
      </c>
      <c r="AK109" s="1360">
        <f t="shared" si="9"/>
        <v>-2.1122638888888891E-4</v>
      </c>
      <c r="AL109" s="1361">
        <f t="shared" si="21"/>
        <v>39</v>
      </c>
      <c r="AM109" s="1191">
        <f t="shared" si="19"/>
        <v>2.5000000000000001E-3</v>
      </c>
      <c r="AN109" s="1362">
        <f t="shared" si="10"/>
        <v>211.31563148781561</v>
      </c>
      <c r="AO109" s="1362">
        <f t="shared" si="2"/>
        <v>-211.31563148781561</v>
      </c>
      <c r="AP109" s="1362">
        <f t="shared" si="20"/>
        <v>0</v>
      </c>
      <c r="AQ109" s="1363">
        <f t="shared" si="11"/>
        <v>1000633.813025853</v>
      </c>
    </row>
    <row r="110" spans="1:43">
      <c r="A110" s="1118">
        <f t="shared" ca="1" si="0"/>
        <v>7</v>
      </c>
      <c r="B110" s="1351">
        <f t="shared" si="1"/>
        <v>0</v>
      </c>
      <c r="C110" s="2143">
        <f t="shared" si="12"/>
        <v>0</v>
      </c>
      <c r="D110" s="2154">
        <f t="shared" si="22"/>
        <v>0</v>
      </c>
      <c r="E110" s="2145">
        <f t="shared" si="3"/>
        <v>0</v>
      </c>
      <c r="F110" s="2145">
        <f t="shared" si="4"/>
        <v>0</v>
      </c>
      <c r="G110" s="2145">
        <f t="shared" si="14"/>
        <v>0</v>
      </c>
      <c r="H110" s="2145">
        <f>IF(M109&lt;0.01,0,M109*Adm!$GV$4)</f>
        <v>0</v>
      </c>
      <c r="I110" s="2145">
        <f>IF(M109&lt;0.01,0,Cal!$BO$108*Adm!$GW$4)</f>
        <v>0</v>
      </c>
      <c r="J110" s="2145">
        <f>IF(M109&lt;0.01,0,IF(Adm!$GO$4&gt;0,E110*Adm!$GO$4,0))</f>
        <v>0</v>
      </c>
      <c r="K110" s="2145">
        <f t="shared" si="5"/>
        <v>0</v>
      </c>
      <c r="L110" s="2145">
        <f>IF(Adm!$GJ$4="si",MIN(M109+E110+H110+I110-K110,AB110),0)</f>
        <v>0</v>
      </c>
      <c r="M110" s="2145">
        <f t="shared" si="6"/>
        <v>0</v>
      </c>
      <c r="N110" s="2153"/>
      <c r="U110" s="1352">
        <f t="shared" si="7"/>
        <v>4</v>
      </c>
      <c r="V110" s="1514">
        <f>IF(U110=1,Cal!$BO$127,0)</f>
        <v>0</v>
      </c>
      <c r="W110" s="1517">
        <f>IF(U110=1,Adm!$HI$4,0)</f>
        <v>0</v>
      </c>
      <c r="X110" s="1518"/>
      <c r="Y110" s="1518"/>
      <c r="Z110" s="1518"/>
      <c r="AA110" s="1368">
        <f t="shared" si="15"/>
        <v>0</v>
      </c>
      <c r="AB110" s="1369">
        <f t="shared" ca="1" si="8"/>
        <v>0</v>
      </c>
      <c r="AF110" s="1370">
        <f t="shared" si="16"/>
        <v>0</v>
      </c>
      <c r="AG110" s="1373">
        <f t="shared" si="17"/>
        <v>0</v>
      </c>
      <c r="AH110" s="1371">
        <f t="shared" si="18"/>
        <v>0</v>
      </c>
      <c r="AI110" s="1359">
        <f>HLOOKUP($AI$66,anticipadofree,41,0)</f>
        <v>-2.1122638888888891E-4</v>
      </c>
      <c r="AK110" s="1360">
        <f t="shared" si="9"/>
        <v>-2.1122638888888891E-4</v>
      </c>
      <c r="AL110" s="1361">
        <f t="shared" si="21"/>
        <v>40</v>
      </c>
      <c r="AM110" s="1191">
        <f t="shared" si="19"/>
        <v>2.5000000000000001E-3</v>
      </c>
      <c r="AN110" s="1362">
        <f t="shared" si="10"/>
        <v>211.36026692557058</v>
      </c>
      <c r="AO110" s="1362">
        <f t="shared" si="2"/>
        <v>-211.36026692557058</v>
      </c>
      <c r="AP110" s="1362">
        <f t="shared" si="20"/>
        <v>0</v>
      </c>
      <c r="AQ110" s="1363">
        <f t="shared" si="11"/>
        <v>1000845.1732927785</v>
      </c>
    </row>
    <row r="111" spans="1:43">
      <c r="A111" s="1118">
        <f t="shared" ca="1" si="0"/>
        <v>8</v>
      </c>
      <c r="B111" s="1351">
        <f t="shared" si="1"/>
        <v>0</v>
      </c>
      <c r="C111" s="2143">
        <f t="shared" si="12"/>
        <v>0</v>
      </c>
      <c r="D111" s="2154">
        <f t="shared" si="22"/>
        <v>0</v>
      </c>
      <c r="E111" s="2145">
        <f t="shared" si="3"/>
        <v>0</v>
      </c>
      <c r="F111" s="2145">
        <f t="shared" si="4"/>
        <v>0</v>
      </c>
      <c r="G111" s="2145">
        <f t="shared" si="14"/>
        <v>0</v>
      </c>
      <c r="H111" s="2145">
        <f>IF(M110&lt;0.01,0,M110*Adm!$GV$4)</f>
        <v>0</v>
      </c>
      <c r="I111" s="2145">
        <f>IF(M110&lt;0.01,0,Cal!$BO$108*Adm!$GW$4)</f>
        <v>0</v>
      </c>
      <c r="J111" s="2145">
        <f>IF(M110&lt;0.01,0,IF(Adm!$GO$4&gt;0,E111*Adm!$GO$4,0))</f>
        <v>0</v>
      </c>
      <c r="K111" s="2145">
        <f t="shared" si="5"/>
        <v>0</v>
      </c>
      <c r="L111" s="2145">
        <f>IF(Adm!$GJ$4="si",MIN(M110+E111+H111+I111-K111,AB111),0)</f>
        <v>0</v>
      </c>
      <c r="M111" s="2145">
        <f t="shared" si="6"/>
        <v>0</v>
      </c>
      <c r="N111" s="2153"/>
      <c r="U111" s="1352">
        <f t="shared" si="7"/>
        <v>5</v>
      </c>
      <c r="V111" s="1514">
        <f>IF(U111=1,Cal!$BO$127,0)</f>
        <v>0</v>
      </c>
      <c r="W111" s="1517">
        <f>IF(U111=1,Adm!$HI$4,0)</f>
        <v>0</v>
      </c>
      <c r="X111" s="1518"/>
      <c r="Y111" s="1518"/>
      <c r="Z111" s="1518"/>
      <c r="AA111" s="1368">
        <f t="shared" si="15"/>
        <v>0</v>
      </c>
      <c r="AB111" s="1369">
        <f t="shared" ca="1" si="8"/>
        <v>0</v>
      </c>
      <c r="AF111" s="1370">
        <f t="shared" si="16"/>
        <v>0</v>
      </c>
      <c r="AG111" s="1373">
        <f t="shared" si="17"/>
        <v>0</v>
      </c>
      <c r="AH111" s="1371">
        <f t="shared" si="18"/>
        <v>0</v>
      </c>
      <c r="AI111" s="1359">
        <f>HLOOKUP($AI$66,anticipadofree,42,0)</f>
        <v>-2.1122638888888891E-4</v>
      </c>
      <c r="AK111" s="1360">
        <f t="shared" si="9"/>
        <v>-2.1122638888888891E-4</v>
      </c>
      <c r="AL111" s="1361">
        <f t="shared" si="21"/>
        <v>41</v>
      </c>
      <c r="AM111" s="1191">
        <f t="shared" si="19"/>
        <v>2.5000000000000001E-3</v>
      </c>
      <c r="AN111" s="1362">
        <f t="shared" si="10"/>
        <v>211.40491179150786</v>
      </c>
      <c r="AO111" s="1362">
        <f t="shared" si="2"/>
        <v>-211.40491179150786</v>
      </c>
      <c r="AP111" s="1362">
        <f t="shared" si="20"/>
        <v>0</v>
      </c>
      <c r="AQ111" s="1363">
        <f t="shared" si="11"/>
        <v>1001056.5782045701</v>
      </c>
    </row>
    <row r="112" spans="1:43">
      <c r="A112" s="1118">
        <f t="shared" ca="1" si="0"/>
        <v>9</v>
      </c>
      <c r="B112" s="1351">
        <f t="shared" si="1"/>
        <v>0</v>
      </c>
      <c r="C112" s="2143">
        <f t="shared" si="12"/>
        <v>0</v>
      </c>
      <c r="D112" s="2154">
        <f t="shared" si="22"/>
        <v>0</v>
      </c>
      <c r="E112" s="2145">
        <f t="shared" si="3"/>
        <v>0</v>
      </c>
      <c r="F112" s="2145">
        <f t="shared" si="4"/>
        <v>0</v>
      </c>
      <c r="G112" s="2145">
        <f t="shared" si="14"/>
        <v>0</v>
      </c>
      <c r="H112" s="2145">
        <f>IF(M111&lt;0.01,0,M111*Adm!$GV$4)</f>
        <v>0</v>
      </c>
      <c r="I112" s="2145">
        <f>IF(M111&lt;0.01,0,Cal!$BO$108*Adm!$GW$4)</f>
        <v>0</v>
      </c>
      <c r="J112" s="2145">
        <f>IF(M111&lt;0.01,0,IF(Adm!$GO$4&gt;0,E112*Adm!$GO$4,0))</f>
        <v>0</v>
      </c>
      <c r="K112" s="2145">
        <f t="shared" si="5"/>
        <v>0</v>
      </c>
      <c r="L112" s="2145">
        <f>IF(Adm!$GJ$4="si",MIN(M111+E112+H112+I112-K112,AB112),0)</f>
        <v>0</v>
      </c>
      <c r="M112" s="2145">
        <f t="shared" si="6"/>
        <v>0</v>
      </c>
      <c r="N112" s="2153"/>
      <c r="U112" s="1352">
        <f t="shared" si="7"/>
        <v>6</v>
      </c>
      <c r="V112" s="1514">
        <f>IF(U112=1,Cal!$BO$127,0)</f>
        <v>0</v>
      </c>
      <c r="W112" s="1517">
        <f>IF(U112=1,Adm!$HI$4,0)</f>
        <v>0</v>
      </c>
      <c r="X112" s="1518"/>
      <c r="Y112" s="1518"/>
      <c r="Z112" s="1518"/>
      <c r="AA112" s="1368">
        <f t="shared" si="15"/>
        <v>0</v>
      </c>
      <c r="AB112" s="1369">
        <f t="shared" ca="1" si="8"/>
        <v>0</v>
      </c>
      <c r="AF112" s="1370">
        <f t="shared" si="16"/>
        <v>0</v>
      </c>
      <c r="AG112" s="1373">
        <f t="shared" si="17"/>
        <v>0</v>
      </c>
      <c r="AH112" s="1371">
        <f t="shared" si="18"/>
        <v>0</v>
      </c>
      <c r="AI112" s="1359">
        <f>HLOOKUP($AI$66,anticipadofree,43,0)</f>
        <v>-2.1122638888888891E-4</v>
      </c>
      <c r="AK112" s="1360">
        <f t="shared" si="9"/>
        <v>-2.1122638888888891E-4</v>
      </c>
      <c r="AL112" s="1361">
        <f t="shared" si="21"/>
        <v>42</v>
      </c>
      <c r="AM112" s="1191">
        <f t="shared" si="19"/>
        <v>2.5000000000000001E-3</v>
      </c>
      <c r="AN112" s="1362">
        <f t="shared" si="10"/>
        <v>211.44956608761896</v>
      </c>
      <c r="AO112" s="1362">
        <f t="shared" si="2"/>
        <v>-211.44956608761896</v>
      </c>
      <c r="AP112" s="1362">
        <f t="shared" si="20"/>
        <v>0</v>
      </c>
      <c r="AQ112" s="1363">
        <f t="shared" si="11"/>
        <v>1001268.0277706577</v>
      </c>
    </row>
    <row r="113" spans="1:43">
      <c r="A113" s="1118">
        <f t="shared" ca="1" si="0"/>
        <v>10</v>
      </c>
      <c r="B113" s="1351">
        <f t="shared" si="1"/>
        <v>0</v>
      </c>
      <c r="C113" s="2143">
        <f t="shared" si="12"/>
        <v>0</v>
      </c>
      <c r="D113" s="2154">
        <f t="shared" si="22"/>
        <v>0</v>
      </c>
      <c r="E113" s="2145">
        <f t="shared" si="3"/>
        <v>0</v>
      </c>
      <c r="F113" s="2145">
        <f t="shared" si="4"/>
        <v>0</v>
      </c>
      <c r="G113" s="2145">
        <f t="shared" si="14"/>
        <v>0</v>
      </c>
      <c r="H113" s="2145">
        <f>IF(M112&lt;0.01,0,M112*Adm!$GV$4)</f>
        <v>0</v>
      </c>
      <c r="I113" s="2145">
        <f>IF(M112&lt;0.01,0,Cal!$BO$108*Adm!$GW$4)</f>
        <v>0</v>
      </c>
      <c r="J113" s="2145">
        <f>IF(M112&lt;0.01,0,IF(Adm!$GO$4&gt;0,E113*Adm!$GO$4,0))</f>
        <v>0</v>
      </c>
      <c r="K113" s="2145">
        <f t="shared" si="5"/>
        <v>0</v>
      </c>
      <c r="L113" s="2145">
        <f>IF(Adm!$GJ$4="si",MIN(M112+E113+H113+I113-K113,AB113),0)</f>
        <v>0</v>
      </c>
      <c r="M113" s="2145">
        <f t="shared" si="6"/>
        <v>0</v>
      </c>
      <c r="N113" s="2153"/>
      <c r="U113" s="1352">
        <f t="shared" si="7"/>
        <v>7</v>
      </c>
      <c r="V113" s="1514">
        <f>IF(U113=1,Cal!$BO$127,0)</f>
        <v>0</v>
      </c>
      <c r="W113" s="1517">
        <f>IF(U113=1,Adm!$HI$4,0)</f>
        <v>0</v>
      </c>
      <c r="X113" s="1518"/>
      <c r="Y113" s="1518"/>
      <c r="Z113" s="1518"/>
      <c r="AA113" s="1368">
        <f t="shared" si="15"/>
        <v>0</v>
      </c>
      <c r="AB113" s="1369">
        <f t="shared" ca="1" si="8"/>
        <v>0</v>
      </c>
      <c r="AF113" s="1370">
        <f t="shared" si="16"/>
        <v>0</v>
      </c>
      <c r="AG113" s="1373">
        <f t="shared" si="17"/>
        <v>0</v>
      </c>
      <c r="AH113" s="1371">
        <f t="shared" si="18"/>
        <v>0</v>
      </c>
      <c r="AI113" s="1359">
        <f>HLOOKUP($AI$66,anticipadofree,44,0)</f>
        <v>-2.1122638888888888E-4</v>
      </c>
      <c r="AK113" s="1360">
        <f t="shared" si="9"/>
        <v>-2.1122638888888888E-4</v>
      </c>
      <c r="AL113" s="1361">
        <f t="shared" si="21"/>
        <v>43</v>
      </c>
      <c r="AM113" s="1191">
        <f t="shared" si="19"/>
        <v>2.5000000000000001E-3</v>
      </c>
      <c r="AN113" s="1362">
        <f t="shared" si="10"/>
        <v>211.49422981589572</v>
      </c>
      <c r="AO113" s="1362">
        <f t="shared" si="2"/>
        <v>-211.49422981589572</v>
      </c>
      <c r="AP113" s="1362">
        <f t="shared" si="20"/>
        <v>0</v>
      </c>
      <c r="AQ113" s="1363">
        <f t="shared" si="11"/>
        <v>1001479.5220004736</v>
      </c>
    </row>
    <row r="114" spans="1:43">
      <c r="A114" s="1118">
        <f t="shared" ca="1" si="0"/>
        <v>11</v>
      </c>
      <c r="B114" s="1351">
        <f t="shared" si="1"/>
        <v>0</v>
      </c>
      <c r="C114" s="2143">
        <f t="shared" si="12"/>
        <v>0</v>
      </c>
      <c r="D114" s="2154">
        <f t="shared" si="22"/>
        <v>0</v>
      </c>
      <c r="E114" s="2145">
        <f t="shared" si="3"/>
        <v>0</v>
      </c>
      <c r="F114" s="2145">
        <f t="shared" si="4"/>
        <v>0</v>
      </c>
      <c r="G114" s="2145">
        <f t="shared" si="14"/>
        <v>0</v>
      </c>
      <c r="H114" s="2145">
        <f>IF(M113&lt;0.01,0,M113*Adm!$GV$4)</f>
        <v>0</v>
      </c>
      <c r="I114" s="2145">
        <f>IF(M113&lt;0.01,0,Cal!$BO$108*Adm!$GW$4)</f>
        <v>0</v>
      </c>
      <c r="J114" s="2145">
        <f>IF(M113&lt;0.01,0,IF(Adm!$GO$4&gt;0,E114*Adm!$GO$4,0))</f>
        <v>0</v>
      </c>
      <c r="K114" s="2145">
        <f t="shared" si="5"/>
        <v>0</v>
      </c>
      <c r="L114" s="2145">
        <f>IF(Adm!$GJ$4="si",MIN(M113+E114+H114+I114-K114,AB114),0)</f>
        <v>0</v>
      </c>
      <c r="M114" s="2145">
        <f t="shared" si="6"/>
        <v>0</v>
      </c>
      <c r="N114" s="2153"/>
      <c r="U114" s="1352">
        <f t="shared" si="7"/>
        <v>8</v>
      </c>
      <c r="V114" s="1514">
        <f>IF(U114=1,Cal!$BO$127,0)</f>
        <v>0</v>
      </c>
      <c r="W114" s="1517">
        <f>IF(U114=1,Adm!$HI$4,0)</f>
        <v>0</v>
      </c>
      <c r="X114" s="1518"/>
      <c r="Y114" s="1518"/>
      <c r="Z114" s="1518"/>
      <c r="AA114" s="1368">
        <f t="shared" si="15"/>
        <v>0</v>
      </c>
      <c r="AB114" s="1369">
        <f t="shared" ca="1" si="8"/>
        <v>0</v>
      </c>
      <c r="AF114" s="1370">
        <f t="shared" si="16"/>
        <v>0</v>
      </c>
      <c r="AG114" s="1373">
        <f t="shared" si="17"/>
        <v>0</v>
      </c>
      <c r="AH114" s="1371">
        <f t="shared" si="18"/>
        <v>0</v>
      </c>
      <c r="AI114" s="1359">
        <f>HLOOKUP($AI$66,anticipadofree,45,0)</f>
        <v>-2.1122638888888888E-4</v>
      </c>
      <c r="AK114" s="1360">
        <f t="shared" si="9"/>
        <v>-2.1122638888888888E-4</v>
      </c>
      <c r="AL114" s="1361">
        <f t="shared" si="21"/>
        <v>44</v>
      </c>
      <c r="AM114" s="1191">
        <f t="shared" si="19"/>
        <v>2.5000000000000001E-3</v>
      </c>
      <c r="AN114" s="1362">
        <f t="shared" si="10"/>
        <v>211.53890297833058</v>
      </c>
      <c r="AO114" s="1362">
        <f t="shared" si="2"/>
        <v>-211.53890297833058</v>
      </c>
      <c r="AP114" s="1362">
        <f t="shared" si="20"/>
        <v>0</v>
      </c>
      <c r="AQ114" s="1363">
        <f t="shared" si="11"/>
        <v>1001691.0609034519</v>
      </c>
    </row>
    <row r="115" spans="1:43">
      <c r="A115" s="1118">
        <f t="shared" ca="1" si="0"/>
        <v>12</v>
      </c>
      <c r="B115" s="1351">
        <f t="shared" si="1"/>
        <v>0</v>
      </c>
      <c r="C115" s="2143">
        <f t="shared" si="12"/>
        <v>0</v>
      </c>
      <c r="D115" s="2154">
        <f t="shared" si="22"/>
        <v>0</v>
      </c>
      <c r="E115" s="2145">
        <f t="shared" si="3"/>
        <v>0</v>
      </c>
      <c r="F115" s="2145">
        <f t="shared" si="4"/>
        <v>0</v>
      </c>
      <c r="G115" s="2145">
        <f t="shared" si="14"/>
        <v>0</v>
      </c>
      <c r="H115" s="2145">
        <f>IF(M114&lt;0.01,0,M114*Adm!$GV$4)</f>
        <v>0</v>
      </c>
      <c r="I115" s="2145">
        <f>IF(M114&lt;0.01,0,Cal!$BO$108*Adm!$GW$4)</f>
        <v>0</v>
      </c>
      <c r="J115" s="2145">
        <f>IF(M114&lt;0.01,0,IF(Adm!$GO$4&gt;0,E115*Adm!$GO$4,0))</f>
        <v>0</v>
      </c>
      <c r="K115" s="2145">
        <f t="shared" si="5"/>
        <v>0</v>
      </c>
      <c r="L115" s="2145">
        <f>IF(Adm!$GJ$4="si",MIN(M114+E115+H115+I115-K115,AB115),0)</f>
        <v>0</v>
      </c>
      <c r="M115" s="2145">
        <f t="shared" si="6"/>
        <v>0</v>
      </c>
      <c r="N115" s="2153"/>
      <c r="U115" s="1352">
        <f t="shared" si="7"/>
        <v>9</v>
      </c>
      <c r="V115" s="1514">
        <f>IF(U115=1,Cal!$BO$127,0)</f>
        <v>0</v>
      </c>
      <c r="W115" s="1517">
        <f>IF(U115=1,Adm!$HI$4,0)</f>
        <v>0</v>
      </c>
      <c r="X115" s="1518"/>
      <c r="Y115" s="1518"/>
      <c r="Z115" s="1518"/>
      <c r="AA115" s="1368">
        <f t="shared" si="15"/>
        <v>0</v>
      </c>
      <c r="AB115" s="1369">
        <f t="shared" ca="1" si="8"/>
        <v>0</v>
      </c>
      <c r="AF115" s="1370">
        <f t="shared" si="16"/>
        <v>0</v>
      </c>
      <c r="AG115" s="1373">
        <f t="shared" si="17"/>
        <v>0</v>
      </c>
      <c r="AH115" s="1371">
        <f t="shared" si="18"/>
        <v>0</v>
      </c>
      <c r="AI115" s="1359">
        <f>HLOOKUP($AI$66,anticipadofree,46,0)</f>
        <v>-2.1122638888888888E-4</v>
      </c>
      <c r="AK115" s="1360">
        <f t="shared" si="9"/>
        <v>-2.1122638888888888E-4</v>
      </c>
      <c r="AL115" s="1361">
        <f t="shared" si="21"/>
        <v>45</v>
      </c>
      <c r="AM115" s="1191">
        <f t="shared" si="19"/>
        <v>2.5000000000000001E-3</v>
      </c>
      <c r="AN115" s="1362">
        <f t="shared" si="10"/>
        <v>211.58358557691619</v>
      </c>
      <c r="AO115" s="1362">
        <f t="shared" si="2"/>
        <v>-211.58358557691619</v>
      </c>
      <c r="AP115" s="1362">
        <f t="shared" si="20"/>
        <v>0</v>
      </c>
      <c r="AQ115" s="1363">
        <f t="shared" si="11"/>
        <v>1001902.6444890288</v>
      </c>
    </row>
    <row r="116" spans="1:43">
      <c r="A116" s="1118">
        <f t="shared" ca="1" si="0"/>
        <v>1</v>
      </c>
      <c r="B116" s="1351">
        <f t="shared" si="1"/>
        <v>0</v>
      </c>
      <c r="C116" s="2143">
        <f t="shared" si="12"/>
        <v>0</v>
      </c>
      <c r="D116" s="2154">
        <f t="shared" si="22"/>
        <v>0</v>
      </c>
      <c r="E116" s="2145">
        <f t="shared" si="3"/>
        <v>0</v>
      </c>
      <c r="F116" s="2145">
        <f t="shared" si="4"/>
        <v>0</v>
      </c>
      <c r="G116" s="2145">
        <f t="shared" si="14"/>
        <v>0</v>
      </c>
      <c r="H116" s="2145">
        <f>IF(M115&lt;0.01,0,M115*Adm!$GV$4)</f>
        <v>0</v>
      </c>
      <c r="I116" s="2145">
        <f>IF(M115&lt;0.01,0,Cal!$BO$108*Adm!$GW$4)</f>
        <v>0</v>
      </c>
      <c r="J116" s="2145">
        <f>IF(M115&lt;0.01,0,IF(Adm!$GO$4&gt;0,E116*Adm!$GO$4,0))</f>
        <v>0</v>
      </c>
      <c r="K116" s="2145">
        <f t="shared" si="5"/>
        <v>0</v>
      </c>
      <c r="L116" s="2145">
        <f>IF(Adm!$GJ$4="si",MIN(M115+E116+H116+I116-K116,AB116),0)</f>
        <v>0</v>
      </c>
      <c r="M116" s="2145">
        <f t="shared" si="6"/>
        <v>0</v>
      </c>
      <c r="N116" s="2153"/>
      <c r="U116" s="1352">
        <f t="shared" si="7"/>
        <v>10</v>
      </c>
      <c r="V116" s="1514">
        <f>IF(U116=1,Cal!$BO$127,0)</f>
        <v>0</v>
      </c>
      <c r="W116" s="1517">
        <f>IF(U116=1,Adm!$HI$4,0)</f>
        <v>0</v>
      </c>
      <c r="X116" s="1518"/>
      <c r="Y116" s="1518"/>
      <c r="Z116" s="1518"/>
      <c r="AA116" s="1368">
        <f t="shared" si="15"/>
        <v>0</v>
      </c>
      <c r="AB116" s="1369">
        <f t="shared" ca="1" si="8"/>
        <v>0</v>
      </c>
      <c r="AF116" s="1370">
        <f t="shared" si="16"/>
        <v>0</v>
      </c>
      <c r="AG116" s="1373">
        <f t="shared" si="17"/>
        <v>0</v>
      </c>
      <c r="AH116" s="1371">
        <f t="shared" si="18"/>
        <v>0</v>
      </c>
      <c r="AI116" s="1359">
        <f>HLOOKUP($AI$66,anticipadofree,47,0)</f>
        <v>-2.1122638888888891E-4</v>
      </c>
      <c r="AK116" s="1360">
        <f t="shared" si="9"/>
        <v>-2.1122638888888891E-4</v>
      </c>
      <c r="AL116" s="1361">
        <f t="shared" si="21"/>
        <v>46</v>
      </c>
      <c r="AM116" s="1191">
        <f t="shared" si="19"/>
        <v>2.5000000000000001E-3</v>
      </c>
      <c r="AN116" s="1362">
        <f t="shared" si="10"/>
        <v>211.62827761364582</v>
      </c>
      <c r="AO116" s="1362">
        <f t="shared" si="2"/>
        <v>-211.62827761364582</v>
      </c>
      <c r="AP116" s="1362">
        <f t="shared" si="20"/>
        <v>0</v>
      </c>
      <c r="AQ116" s="1363">
        <f t="shared" si="11"/>
        <v>1002114.2727666425</v>
      </c>
    </row>
    <row r="117" spans="1:43">
      <c r="A117" s="1118">
        <f t="shared" ca="1" si="0"/>
        <v>2</v>
      </c>
      <c r="B117" s="1351">
        <f t="shared" si="1"/>
        <v>0</v>
      </c>
      <c r="C117" s="2143">
        <f t="shared" si="12"/>
        <v>0</v>
      </c>
      <c r="D117" s="2154">
        <f t="shared" si="22"/>
        <v>0</v>
      </c>
      <c r="E117" s="2145">
        <f t="shared" si="3"/>
        <v>0</v>
      </c>
      <c r="F117" s="2145">
        <f t="shared" si="4"/>
        <v>0</v>
      </c>
      <c r="G117" s="2145">
        <f t="shared" si="14"/>
        <v>0</v>
      </c>
      <c r="H117" s="2145">
        <f>IF(M116&lt;0.01,0,M116*Adm!$GV$4)</f>
        <v>0</v>
      </c>
      <c r="I117" s="2145">
        <f>IF(M116&lt;0.01,0,Cal!$BO$108*Adm!$GW$4)</f>
        <v>0</v>
      </c>
      <c r="J117" s="2145">
        <f>IF(M116&lt;0.01,0,IF(Adm!$GO$4&gt;0,E117*Adm!$GO$4,0))</f>
        <v>0</v>
      </c>
      <c r="K117" s="2145">
        <f t="shared" si="5"/>
        <v>0</v>
      </c>
      <c r="L117" s="2145">
        <f>IF(Adm!$GJ$4="si",MIN(M116+E117+H117+I117-K117,AB117),0)</f>
        <v>0</v>
      </c>
      <c r="M117" s="2145">
        <f t="shared" si="6"/>
        <v>0</v>
      </c>
      <c r="N117" s="2153"/>
      <c r="U117" s="1352">
        <f t="shared" si="7"/>
        <v>11</v>
      </c>
      <c r="V117" s="1514">
        <f>IF(U117=1,Cal!$BO$127,0)</f>
        <v>0</v>
      </c>
      <c r="W117" s="1517">
        <f>IF(U117=1,Adm!$HI$4,0)</f>
        <v>0</v>
      </c>
      <c r="X117" s="1518"/>
      <c r="Y117" s="1518"/>
      <c r="Z117" s="1518"/>
      <c r="AA117" s="1368">
        <f t="shared" si="15"/>
        <v>0</v>
      </c>
      <c r="AB117" s="1369">
        <f t="shared" ca="1" si="8"/>
        <v>0</v>
      </c>
      <c r="AF117" s="1370">
        <f t="shared" si="16"/>
        <v>0</v>
      </c>
      <c r="AG117" s="1373">
        <f t="shared" si="17"/>
        <v>0</v>
      </c>
      <c r="AH117" s="1371">
        <f t="shared" si="18"/>
        <v>0</v>
      </c>
      <c r="AI117" s="1359">
        <f>HLOOKUP($AI$66,anticipadofree,48,0)</f>
        <v>-2.1122638888888891E-4</v>
      </c>
      <c r="AK117" s="1360">
        <f t="shared" si="9"/>
        <v>-2.1122638888888891E-4</v>
      </c>
      <c r="AL117" s="1361">
        <f t="shared" si="21"/>
        <v>47</v>
      </c>
      <c r="AM117" s="1191">
        <f t="shared" si="19"/>
        <v>2.5000000000000001E-3</v>
      </c>
      <c r="AN117" s="1362">
        <f t="shared" si="10"/>
        <v>211.67297909051291</v>
      </c>
      <c r="AO117" s="1362">
        <f t="shared" si="2"/>
        <v>-211.67297909051291</v>
      </c>
      <c r="AP117" s="1362">
        <f t="shared" si="20"/>
        <v>0</v>
      </c>
      <c r="AQ117" s="1363">
        <f t="shared" si="11"/>
        <v>1002325.945745733</v>
      </c>
    </row>
    <row r="118" spans="1:43">
      <c r="A118" s="1118">
        <f t="shared" ca="1" si="0"/>
        <v>3</v>
      </c>
      <c r="B118" s="1351">
        <f t="shared" si="1"/>
        <v>0</v>
      </c>
      <c r="C118" s="2143">
        <f t="shared" si="12"/>
        <v>0</v>
      </c>
      <c r="D118" s="2154">
        <f t="shared" si="22"/>
        <v>0</v>
      </c>
      <c r="E118" s="2145">
        <f t="shared" si="3"/>
        <v>0</v>
      </c>
      <c r="F118" s="2145">
        <f t="shared" si="4"/>
        <v>0</v>
      </c>
      <c r="G118" s="2145">
        <f t="shared" si="14"/>
        <v>0</v>
      </c>
      <c r="H118" s="2145">
        <f>IF(M117&lt;0.01,0,M117*Adm!$GV$4)</f>
        <v>0</v>
      </c>
      <c r="I118" s="2145">
        <f>IF(M117&lt;0.01,0,Cal!$BO$108*Adm!$GW$4)</f>
        <v>0</v>
      </c>
      <c r="J118" s="2145">
        <f>IF(M117&lt;0.01,0,IF(Adm!$GO$4&gt;0,E118*Adm!$GO$4,0))</f>
        <v>0</v>
      </c>
      <c r="K118" s="2145">
        <f t="shared" si="5"/>
        <v>0</v>
      </c>
      <c r="L118" s="2145">
        <f>IF(Adm!$GJ$4="si",MIN(M117+E118+H118+I118-K118,AB118),0)</f>
        <v>0</v>
      </c>
      <c r="M118" s="2145">
        <f t="shared" si="6"/>
        <v>0</v>
      </c>
      <c r="N118" s="2153"/>
      <c r="U118" s="1352">
        <f t="shared" si="7"/>
        <v>12</v>
      </c>
      <c r="V118" s="1514">
        <f>IF(U118=1,Cal!$BO$127,0)</f>
        <v>0</v>
      </c>
      <c r="W118" s="1517">
        <f>IF(U118=1,Adm!$HI$4,0)</f>
        <v>0</v>
      </c>
      <c r="X118" s="1518"/>
      <c r="Y118" s="1518"/>
      <c r="Z118" s="1518"/>
      <c r="AA118" s="1368">
        <f t="shared" si="15"/>
        <v>0</v>
      </c>
      <c r="AB118" s="1369">
        <f t="shared" ca="1" si="8"/>
        <v>0</v>
      </c>
      <c r="AF118" s="1370">
        <f t="shared" si="16"/>
        <v>0</v>
      </c>
      <c r="AG118" s="1373">
        <f t="shared" si="17"/>
        <v>0</v>
      </c>
      <c r="AH118" s="1371">
        <f t="shared" si="18"/>
        <v>0</v>
      </c>
      <c r="AI118" s="1359">
        <f>HLOOKUP($AI$66,anticipadofree,49,0)</f>
        <v>-2.1122638888888891E-4</v>
      </c>
      <c r="AK118" s="1360">
        <f t="shared" si="9"/>
        <v>-2.1122638888888891E-4</v>
      </c>
      <c r="AL118" s="1361">
        <f t="shared" si="21"/>
        <v>48</v>
      </c>
      <c r="AM118" s="1191">
        <f t="shared" si="19"/>
        <v>2.5000000000000001E-3</v>
      </c>
      <c r="AN118" s="1362">
        <f t="shared" si="10"/>
        <v>211.71769000951156</v>
      </c>
      <c r="AO118" s="1362">
        <f t="shared" si="2"/>
        <v>-211.71769000951156</v>
      </c>
      <c r="AP118" s="1362">
        <f t="shared" si="20"/>
        <v>0</v>
      </c>
      <c r="AQ118" s="1363">
        <f t="shared" si="11"/>
        <v>1002537.6634357425</v>
      </c>
    </row>
    <row r="119" spans="1:43">
      <c r="A119" s="1118">
        <f t="shared" ca="1" si="0"/>
        <v>4</v>
      </c>
      <c r="B119" s="1351">
        <f t="shared" si="1"/>
        <v>0</v>
      </c>
      <c r="C119" s="2143">
        <f t="shared" si="12"/>
        <v>0</v>
      </c>
      <c r="D119" s="2154">
        <f t="shared" si="22"/>
        <v>0</v>
      </c>
      <c r="E119" s="2145">
        <f t="shared" si="3"/>
        <v>0</v>
      </c>
      <c r="F119" s="2145">
        <f t="shared" si="4"/>
        <v>0</v>
      </c>
      <c r="G119" s="2145">
        <f t="shared" si="14"/>
        <v>0</v>
      </c>
      <c r="H119" s="2145">
        <f>IF(M118&lt;0.01,0,M118*Adm!$GV$4)</f>
        <v>0</v>
      </c>
      <c r="I119" s="2145">
        <f>IF(M118&lt;0.01,0,Cal!$BO$108*Adm!$GW$4)</f>
        <v>0</v>
      </c>
      <c r="J119" s="2145">
        <f>IF(M118&lt;0.01,0,IF(Adm!$GO$4&gt;0,E119*Adm!$GO$4,0))</f>
        <v>0</v>
      </c>
      <c r="K119" s="2145">
        <f t="shared" si="5"/>
        <v>0</v>
      </c>
      <c r="L119" s="2145">
        <f>IF(Adm!$GJ$4="si",MIN(M118+E119+H119+I119-K119,AB119),0)</f>
        <v>0</v>
      </c>
      <c r="M119" s="2145">
        <f t="shared" si="6"/>
        <v>0</v>
      </c>
      <c r="N119" s="2153"/>
      <c r="U119" s="1352">
        <f t="shared" si="7"/>
        <v>1</v>
      </c>
      <c r="V119" s="1514">
        <f>IF(U119=1,Cal!$BO$127,0)</f>
        <v>0</v>
      </c>
      <c r="W119" s="1517">
        <f>IF(U119=1,Adm!$HI$4,0)</f>
        <v>2.5000000000000001E-3</v>
      </c>
      <c r="X119" s="1518"/>
      <c r="Y119" s="1518"/>
      <c r="Z119" s="1518"/>
      <c r="AA119" s="1368">
        <f t="shared" si="15"/>
        <v>0</v>
      </c>
      <c r="AB119" s="1369">
        <f t="shared" ca="1" si="8"/>
        <v>0</v>
      </c>
      <c r="AF119" s="1370">
        <f t="shared" si="16"/>
        <v>0</v>
      </c>
      <c r="AG119" s="1373">
        <f t="shared" si="17"/>
        <v>0</v>
      </c>
      <c r="AH119" s="1371">
        <f t="shared" si="18"/>
        <v>0</v>
      </c>
      <c r="AI119" s="1359">
        <f>HLOOKUP($AI$66,anticipadofree,50,0)</f>
        <v>-4.224527777777777E-4</v>
      </c>
      <c r="AK119" s="1360">
        <f t="shared" si="9"/>
        <v>-4.224527777777777E-4</v>
      </c>
      <c r="AL119" s="1377">
        <f t="shared" si="21"/>
        <v>49</v>
      </c>
      <c r="AM119" s="1519">
        <f>AM118+$AN$68</f>
        <v>5.0000000000000001E-3</v>
      </c>
      <c r="AN119" s="1378">
        <f t="shared" si="10"/>
        <v>423.52482074527222</v>
      </c>
      <c r="AO119" s="1378">
        <f t="shared" si="2"/>
        <v>-423.52482074527222</v>
      </c>
      <c r="AP119" s="1378">
        <f>MIN(AQ118+AN119,AP118*(1+$AN$66))</f>
        <v>0</v>
      </c>
      <c r="AQ119" s="1363">
        <f t="shared" si="11"/>
        <v>1002961.1882564877</v>
      </c>
    </row>
    <row r="120" spans="1:43">
      <c r="A120" s="1118">
        <f t="shared" ca="1" si="0"/>
        <v>5</v>
      </c>
      <c r="B120" s="1351">
        <f t="shared" si="1"/>
        <v>0</v>
      </c>
      <c r="C120" s="2143">
        <f t="shared" si="12"/>
        <v>0</v>
      </c>
      <c r="D120" s="2154">
        <f t="shared" si="22"/>
        <v>0</v>
      </c>
      <c r="E120" s="2145">
        <f t="shared" si="3"/>
        <v>0</v>
      </c>
      <c r="F120" s="2145">
        <f t="shared" si="4"/>
        <v>0</v>
      </c>
      <c r="G120" s="2145">
        <f t="shared" si="14"/>
        <v>0</v>
      </c>
      <c r="H120" s="2145">
        <f>IF(M119&lt;0.01,0,M119*Adm!$GV$4)</f>
        <v>0</v>
      </c>
      <c r="I120" s="2145">
        <f>IF(M119&lt;0.01,0,Cal!$BO$108*Adm!$GW$4)</f>
        <v>0</v>
      </c>
      <c r="J120" s="2145">
        <f>IF(M119&lt;0.01,0,IF(Adm!$GO$4&gt;0,E120*Adm!$GO$4,0))</f>
        <v>0</v>
      </c>
      <c r="K120" s="2145">
        <f t="shared" si="5"/>
        <v>0</v>
      </c>
      <c r="L120" s="2145">
        <f>IF(Adm!$GJ$4="si",MIN(M119+E120+H120+I120-K120,AB120),0)</f>
        <v>0</v>
      </c>
      <c r="M120" s="2145">
        <f t="shared" si="6"/>
        <v>0</v>
      </c>
      <c r="N120" s="2153"/>
      <c r="U120" s="1352">
        <f t="shared" si="7"/>
        <v>2</v>
      </c>
      <c r="V120" s="1514">
        <f>IF(U120=1,Cal!$BO$127,0)</f>
        <v>0</v>
      </c>
      <c r="W120" s="1517">
        <f>IF(U120=1,Adm!$HI$4,0)</f>
        <v>0</v>
      </c>
      <c r="X120" s="1518"/>
      <c r="Y120" s="1518"/>
      <c r="Z120" s="1518"/>
      <c r="AA120" s="1368">
        <f t="shared" si="15"/>
        <v>0</v>
      </c>
      <c r="AB120" s="1369">
        <f t="shared" ca="1" si="8"/>
        <v>0</v>
      </c>
      <c r="AF120" s="1370">
        <f t="shared" si="16"/>
        <v>0</v>
      </c>
      <c r="AG120" s="1373">
        <f t="shared" si="17"/>
        <v>0</v>
      </c>
      <c r="AH120" s="1371">
        <f t="shared" si="18"/>
        <v>0</v>
      </c>
      <c r="AI120" s="1359">
        <f>HLOOKUP($AI$66,anticipadofree,51,0)</f>
        <v>-4.2245277777777781E-4</v>
      </c>
      <c r="AK120" s="1360">
        <f t="shared" si="9"/>
        <v>-4.2245277777777781E-4</v>
      </c>
      <c r="AL120" s="1361">
        <f t="shared" si="21"/>
        <v>50</v>
      </c>
      <c r="AM120" s="1191">
        <f t="shared" si="19"/>
        <v>5.0000000000000001E-3</v>
      </c>
      <c r="AN120" s="1362">
        <f t="shared" si="10"/>
        <v>423.70373998225398</v>
      </c>
      <c r="AO120" s="1362">
        <f t="shared" si="2"/>
        <v>-423.70373998225398</v>
      </c>
      <c r="AP120" s="1362">
        <f t="shared" si="20"/>
        <v>0</v>
      </c>
      <c r="AQ120" s="1363">
        <f t="shared" si="11"/>
        <v>1003384.8919964699</v>
      </c>
    </row>
    <row r="121" spans="1:43">
      <c r="A121" s="1118">
        <f t="shared" ca="1" si="0"/>
        <v>6</v>
      </c>
      <c r="B121" s="1351">
        <f t="shared" si="1"/>
        <v>0</v>
      </c>
      <c r="C121" s="2143">
        <f t="shared" si="12"/>
        <v>0</v>
      </c>
      <c r="D121" s="2154">
        <f t="shared" si="22"/>
        <v>0</v>
      </c>
      <c r="E121" s="2145">
        <f t="shared" si="3"/>
        <v>0</v>
      </c>
      <c r="F121" s="2145">
        <f t="shared" si="4"/>
        <v>0</v>
      </c>
      <c r="G121" s="2145">
        <f t="shared" si="14"/>
        <v>0</v>
      </c>
      <c r="H121" s="2145">
        <f>IF(M120&lt;0.01,0,M120*Adm!$GV$4)</f>
        <v>0</v>
      </c>
      <c r="I121" s="2145">
        <f>IF(M120&lt;0.01,0,Cal!$BO$108*Adm!$GW$4)</f>
        <v>0</v>
      </c>
      <c r="J121" s="2145">
        <f>IF(M120&lt;0.01,0,IF(Adm!$GO$4&gt;0,E121*Adm!$GO$4,0))</f>
        <v>0</v>
      </c>
      <c r="K121" s="2145">
        <f t="shared" si="5"/>
        <v>0</v>
      </c>
      <c r="L121" s="2145">
        <f>IF(Adm!$GJ$4="si",MIN(M120+E121+H121+I121-K121,AB121),0)</f>
        <v>0</v>
      </c>
      <c r="M121" s="2145">
        <f t="shared" si="6"/>
        <v>0</v>
      </c>
      <c r="N121" s="2153"/>
      <c r="U121" s="1352">
        <f t="shared" si="7"/>
        <v>3</v>
      </c>
      <c r="V121" s="1514">
        <f>IF(U121=1,Cal!$BO$127,0)</f>
        <v>0</v>
      </c>
      <c r="W121" s="1517">
        <f>IF(U121=1,Adm!$HI$4,0)</f>
        <v>0</v>
      </c>
      <c r="X121" s="1518"/>
      <c r="Y121" s="1518"/>
      <c r="Z121" s="1518"/>
      <c r="AA121" s="1368">
        <f t="shared" si="15"/>
        <v>0</v>
      </c>
      <c r="AB121" s="1369">
        <f t="shared" ca="1" si="8"/>
        <v>0</v>
      </c>
      <c r="AF121" s="1370">
        <f t="shared" si="16"/>
        <v>0</v>
      </c>
      <c r="AG121" s="1373">
        <f t="shared" si="17"/>
        <v>0</v>
      </c>
      <c r="AH121" s="1371">
        <f t="shared" si="18"/>
        <v>0</v>
      </c>
      <c r="AI121" s="1359">
        <f>HLOOKUP($AI$66,anticipadofree,52,0)</f>
        <v>-4.224527777777777E-4</v>
      </c>
      <c r="AK121" s="1360">
        <f t="shared" si="9"/>
        <v>-4.224527777777777E-4</v>
      </c>
      <c r="AL121" s="1361">
        <f t="shared" si="21"/>
        <v>51</v>
      </c>
      <c r="AM121" s="1191">
        <f t="shared" si="19"/>
        <v>5.0000000000000001E-3</v>
      </c>
      <c r="AN121" s="1362">
        <f t="shared" si="10"/>
        <v>423.88273480416422</v>
      </c>
      <c r="AO121" s="1362">
        <f t="shared" si="2"/>
        <v>-423.88273480416422</v>
      </c>
      <c r="AP121" s="1362">
        <f t="shared" si="20"/>
        <v>0</v>
      </c>
      <c r="AQ121" s="1363">
        <f t="shared" si="11"/>
        <v>1003808.7747312741</v>
      </c>
    </row>
    <row r="122" spans="1:43">
      <c r="A122" s="1118">
        <f t="shared" ca="1" si="0"/>
        <v>7</v>
      </c>
      <c r="B122" s="1351">
        <f t="shared" si="1"/>
        <v>0</v>
      </c>
      <c r="C122" s="2143">
        <f t="shared" si="12"/>
        <v>0</v>
      </c>
      <c r="D122" s="2154">
        <f t="shared" si="22"/>
        <v>0</v>
      </c>
      <c r="E122" s="2145">
        <f t="shared" si="3"/>
        <v>0</v>
      </c>
      <c r="F122" s="2145">
        <f t="shared" si="4"/>
        <v>0</v>
      </c>
      <c r="G122" s="2145">
        <f t="shared" si="14"/>
        <v>0</v>
      </c>
      <c r="H122" s="2145">
        <f>IF(M121&lt;0.01,0,M121*Adm!$GV$4)</f>
        <v>0</v>
      </c>
      <c r="I122" s="2145">
        <f>IF(M121&lt;0.01,0,Cal!$BO$108*Adm!$GW$4)</f>
        <v>0</v>
      </c>
      <c r="J122" s="2145">
        <f>IF(M121&lt;0.01,0,IF(Adm!$GO$4&gt;0,E122*Adm!$GO$4,0))</f>
        <v>0</v>
      </c>
      <c r="K122" s="2145">
        <f t="shared" si="5"/>
        <v>0</v>
      </c>
      <c r="L122" s="2145">
        <f>IF(Adm!$GJ$4="si",MIN(M121+E122+H122+I122-K122,AB122),0)</f>
        <v>0</v>
      </c>
      <c r="M122" s="2145">
        <f t="shared" si="6"/>
        <v>0</v>
      </c>
      <c r="N122" s="2153"/>
      <c r="U122" s="1352">
        <f t="shared" si="7"/>
        <v>4</v>
      </c>
      <c r="V122" s="1514">
        <f>IF(U122=1,Cal!$BO$127,0)</f>
        <v>0</v>
      </c>
      <c r="W122" s="1517">
        <f>IF(U122=1,Adm!$HI$4,0)</f>
        <v>0</v>
      </c>
      <c r="X122" s="1518"/>
      <c r="Y122" s="1518"/>
      <c r="Z122" s="1518"/>
      <c r="AA122" s="1368">
        <f t="shared" si="15"/>
        <v>0</v>
      </c>
      <c r="AB122" s="1369">
        <f t="shared" ca="1" si="8"/>
        <v>0</v>
      </c>
      <c r="AF122" s="1370">
        <f t="shared" si="16"/>
        <v>0</v>
      </c>
      <c r="AG122" s="1373">
        <f t="shared" si="17"/>
        <v>0</v>
      </c>
      <c r="AH122" s="1371">
        <f t="shared" si="18"/>
        <v>0</v>
      </c>
      <c r="AI122" s="1359">
        <f>HLOOKUP($AI$66,anticipadofree,53,0)</f>
        <v>-4.2245277777777776E-4</v>
      </c>
      <c r="AK122" s="1360">
        <f t="shared" si="9"/>
        <v>-4.2245277777777776E-4</v>
      </c>
      <c r="AL122" s="1361">
        <f t="shared" si="21"/>
        <v>52</v>
      </c>
      <c r="AM122" s="1191">
        <f t="shared" si="19"/>
        <v>5.0000000000000001E-3</v>
      </c>
      <c r="AN122" s="1362">
        <f t="shared" si="10"/>
        <v>424.06180524293433</v>
      </c>
      <c r="AO122" s="1362">
        <f t="shared" si="2"/>
        <v>-424.06180524293433</v>
      </c>
      <c r="AP122" s="1362">
        <f t="shared" si="20"/>
        <v>0</v>
      </c>
      <c r="AQ122" s="1363">
        <f t="shared" si="11"/>
        <v>1004232.836536517</v>
      </c>
    </row>
    <row r="123" spans="1:43">
      <c r="A123" s="1118">
        <f t="shared" ca="1" si="0"/>
        <v>8</v>
      </c>
      <c r="B123" s="1351">
        <f t="shared" si="1"/>
        <v>0</v>
      </c>
      <c r="C123" s="2143">
        <f t="shared" si="12"/>
        <v>0</v>
      </c>
      <c r="D123" s="2154">
        <f t="shared" si="22"/>
        <v>0</v>
      </c>
      <c r="E123" s="2145">
        <f t="shared" si="3"/>
        <v>0</v>
      </c>
      <c r="F123" s="2145">
        <f t="shared" si="4"/>
        <v>0</v>
      </c>
      <c r="G123" s="2145">
        <f t="shared" si="14"/>
        <v>0</v>
      </c>
      <c r="H123" s="2145">
        <f>IF(M122&lt;0.01,0,M122*Adm!$GV$4)</f>
        <v>0</v>
      </c>
      <c r="I123" s="2145">
        <f>IF(M122&lt;0.01,0,Cal!$BO$108*Adm!$GW$4)</f>
        <v>0</v>
      </c>
      <c r="J123" s="2145">
        <f>IF(M122&lt;0.01,0,IF(Adm!$GO$4&gt;0,E123*Adm!$GO$4,0))</f>
        <v>0</v>
      </c>
      <c r="K123" s="2145">
        <f t="shared" si="5"/>
        <v>0</v>
      </c>
      <c r="L123" s="2145">
        <f>IF(Adm!$GJ$4="si",MIN(M122+E123+H123+I123-K123,AB123),0)</f>
        <v>0</v>
      </c>
      <c r="M123" s="2145">
        <f t="shared" si="6"/>
        <v>0</v>
      </c>
      <c r="N123" s="2153"/>
      <c r="U123" s="1352">
        <f t="shared" si="7"/>
        <v>5</v>
      </c>
      <c r="V123" s="1514">
        <f>IF(U123=1,Cal!$BO$127,0)</f>
        <v>0</v>
      </c>
      <c r="W123" s="1517">
        <f>IF(U123=1,Adm!$HI$4,0)</f>
        <v>0</v>
      </c>
      <c r="X123" s="1518"/>
      <c r="Y123" s="1518"/>
      <c r="Z123" s="1518"/>
      <c r="AA123" s="1368">
        <f t="shared" si="15"/>
        <v>0</v>
      </c>
      <c r="AB123" s="1369">
        <f t="shared" ca="1" si="8"/>
        <v>0</v>
      </c>
      <c r="AF123" s="1370">
        <f t="shared" si="16"/>
        <v>0</v>
      </c>
      <c r="AG123" s="1373">
        <f t="shared" si="17"/>
        <v>0</v>
      </c>
      <c r="AH123" s="1371">
        <f t="shared" si="18"/>
        <v>0</v>
      </c>
      <c r="AI123" s="1359">
        <f>HLOOKUP($AI$66,anticipadofree,54,0)</f>
        <v>-4.2245277777777776E-4</v>
      </c>
      <c r="AK123" s="1360">
        <f t="shared" si="9"/>
        <v>-4.2245277777777776E-4</v>
      </c>
      <c r="AL123" s="1361">
        <f t="shared" si="21"/>
        <v>53</v>
      </c>
      <c r="AM123" s="1191">
        <f t="shared" si="19"/>
        <v>5.0000000000000001E-3</v>
      </c>
      <c r="AN123" s="1362">
        <f t="shared" si="10"/>
        <v>424.24095133050866</v>
      </c>
      <c r="AO123" s="1362">
        <f t="shared" si="2"/>
        <v>-424.24095133050866</v>
      </c>
      <c r="AP123" s="1362">
        <f t="shared" si="20"/>
        <v>0</v>
      </c>
      <c r="AQ123" s="1363">
        <f t="shared" si="11"/>
        <v>1004657.0774878475</v>
      </c>
    </row>
    <row r="124" spans="1:43">
      <c r="A124" s="1118">
        <f t="shared" ca="1" si="0"/>
        <v>9</v>
      </c>
      <c r="B124" s="1351">
        <f t="shared" si="1"/>
        <v>0</v>
      </c>
      <c r="C124" s="2143">
        <f t="shared" si="12"/>
        <v>0</v>
      </c>
      <c r="D124" s="2154">
        <f t="shared" si="22"/>
        <v>0</v>
      </c>
      <c r="E124" s="2145">
        <f t="shared" si="3"/>
        <v>0</v>
      </c>
      <c r="F124" s="2145">
        <f t="shared" si="4"/>
        <v>0</v>
      </c>
      <c r="G124" s="2145">
        <f t="shared" si="14"/>
        <v>0</v>
      </c>
      <c r="H124" s="2145">
        <f>IF(M123&lt;0.01,0,M123*Adm!$GV$4)</f>
        <v>0</v>
      </c>
      <c r="I124" s="2145">
        <f>IF(M123&lt;0.01,0,Cal!$BO$108*Adm!$GW$4)</f>
        <v>0</v>
      </c>
      <c r="J124" s="2145">
        <f>IF(M123&lt;0.01,0,IF(Adm!$GO$4&gt;0,E124*Adm!$GO$4,0))</f>
        <v>0</v>
      </c>
      <c r="K124" s="2145">
        <f t="shared" si="5"/>
        <v>0</v>
      </c>
      <c r="L124" s="2145">
        <f>IF(Adm!$GJ$4="si",MIN(M123+E124+H124+I124-K124,AB124),0)</f>
        <v>0</v>
      </c>
      <c r="M124" s="2145">
        <f t="shared" si="6"/>
        <v>0</v>
      </c>
      <c r="N124" s="2153"/>
      <c r="U124" s="1352">
        <f t="shared" si="7"/>
        <v>6</v>
      </c>
      <c r="V124" s="1514">
        <f>IF(U124=1,Cal!$BO$127,0)</f>
        <v>0</v>
      </c>
      <c r="W124" s="1517">
        <f>IF(U124=1,Adm!$HI$4,0)</f>
        <v>0</v>
      </c>
      <c r="X124" s="1518"/>
      <c r="Y124" s="1518"/>
      <c r="Z124" s="1518"/>
      <c r="AA124" s="1368">
        <f t="shared" si="15"/>
        <v>0</v>
      </c>
      <c r="AB124" s="1369">
        <f t="shared" ca="1" si="8"/>
        <v>0</v>
      </c>
      <c r="AF124" s="1370">
        <f t="shared" si="16"/>
        <v>0</v>
      </c>
      <c r="AG124" s="1373">
        <f t="shared" si="17"/>
        <v>0</v>
      </c>
      <c r="AH124" s="1371">
        <f t="shared" si="18"/>
        <v>0</v>
      </c>
      <c r="AI124" s="1359">
        <f>HLOOKUP($AI$66,anticipadofree,55,0)</f>
        <v>-4.2245277777777781E-4</v>
      </c>
      <c r="AK124" s="1360">
        <f t="shared" si="9"/>
        <v>-4.2245277777777781E-4</v>
      </c>
      <c r="AL124" s="1361">
        <f t="shared" si="21"/>
        <v>54</v>
      </c>
      <c r="AM124" s="1191">
        <f t="shared" si="19"/>
        <v>5.0000000000000001E-3</v>
      </c>
      <c r="AN124" s="1362">
        <f t="shared" si="10"/>
        <v>424.42017309884534</v>
      </c>
      <c r="AO124" s="1362">
        <f t="shared" si="2"/>
        <v>-424.42017309884534</v>
      </c>
      <c r="AP124" s="1362">
        <f t="shared" si="20"/>
        <v>0</v>
      </c>
      <c r="AQ124" s="1363">
        <f t="shared" si="11"/>
        <v>1005081.4976609463</v>
      </c>
    </row>
    <row r="125" spans="1:43">
      <c r="A125" s="1118">
        <f t="shared" ca="1" si="0"/>
        <v>10</v>
      </c>
      <c r="B125" s="1351">
        <f t="shared" si="1"/>
        <v>0</v>
      </c>
      <c r="C125" s="2143">
        <f t="shared" si="12"/>
        <v>0</v>
      </c>
      <c r="D125" s="2154">
        <f t="shared" si="22"/>
        <v>0</v>
      </c>
      <c r="E125" s="2145">
        <f t="shared" si="3"/>
        <v>0</v>
      </c>
      <c r="F125" s="2145">
        <f t="shared" si="4"/>
        <v>0</v>
      </c>
      <c r="G125" s="2145">
        <f t="shared" si="14"/>
        <v>0</v>
      </c>
      <c r="H125" s="2145">
        <f>IF(M124&lt;0.01,0,M124*Adm!$GV$4)</f>
        <v>0</v>
      </c>
      <c r="I125" s="2145">
        <f>IF(M124&lt;0.01,0,Cal!$BO$108*Adm!$GW$4)</f>
        <v>0</v>
      </c>
      <c r="J125" s="2145">
        <f>IF(M124&lt;0.01,0,IF(Adm!$GO$4&gt;0,E125*Adm!$GO$4,0))</f>
        <v>0</v>
      </c>
      <c r="K125" s="2145">
        <f t="shared" si="5"/>
        <v>0</v>
      </c>
      <c r="L125" s="2145">
        <f>IF(Adm!$GJ$4="si",MIN(M124+E125+H125+I125-K125,AB125),0)</f>
        <v>0</v>
      </c>
      <c r="M125" s="2145">
        <f t="shared" si="6"/>
        <v>0</v>
      </c>
      <c r="N125" s="2153"/>
      <c r="U125" s="1352">
        <f t="shared" si="7"/>
        <v>7</v>
      </c>
      <c r="V125" s="1514">
        <f>IF(U125=1,Cal!$BO$127,0)</f>
        <v>0</v>
      </c>
      <c r="W125" s="1517">
        <f>IF(U125=1,Adm!$HI$4,0)</f>
        <v>0</v>
      </c>
      <c r="X125" s="1518"/>
      <c r="Y125" s="1518"/>
      <c r="Z125" s="1518"/>
      <c r="AA125" s="1368">
        <f t="shared" si="15"/>
        <v>0</v>
      </c>
      <c r="AB125" s="1369">
        <f t="shared" ca="1" si="8"/>
        <v>0</v>
      </c>
      <c r="AF125" s="1370">
        <f t="shared" si="16"/>
        <v>0</v>
      </c>
      <c r="AG125" s="1373">
        <f t="shared" si="17"/>
        <v>0</v>
      </c>
      <c r="AH125" s="1371">
        <f t="shared" si="18"/>
        <v>0</v>
      </c>
      <c r="AI125" s="1359">
        <f>HLOOKUP($AI$66,anticipadofree,56,0)</f>
        <v>-4.224527777777777E-4</v>
      </c>
      <c r="AK125" s="1360">
        <f t="shared" si="9"/>
        <v>-4.224527777777777E-4</v>
      </c>
      <c r="AL125" s="1361">
        <f t="shared" si="21"/>
        <v>55</v>
      </c>
      <c r="AM125" s="1191">
        <f t="shared" si="19"/>
        <v>5.0000000000000001E-3</v>
      </c>
      <c r="AN125" s="1362">
        <f t="shared" si="10"/>
        <v>424.59947057991576</v>
      </c>
      <c r="AO125" s="1362">
        <f t="shared" si="2"/>
        <v>-424.59947057991576</v>
      </c>
      <c r="AP125" s="1362">
        <f t="shared" si="20"/>
        <v>0</v>
      </c>
      <c r="AQ125" s="1363">
        <f t="shared" si="11"/>
        <v>1005506.0971315262</v>
      </c>
    </row>
    <row r="126" spans="1:43">
      <c r="A126" s="1118">
        <f t="shared" ca="1" si="0"/>
        <v>11</v>
      </c>
      <c r="B126" s="1351">
        <f t="shared" si="1"/>
        <v>0</v>
      </c>
      <c r="C126" s="2143">
        <f t="shared" si="12"/>
        <v>0</v>
      </c>
      <c r="D126" s="2154">
        <f t="shared" si="22"/>
        <v>0</v>
      </c>
      <c r="E126" s="2145">
        <f t="shared" si="3"/>
        <v>0</v>
      </c>
      <c r="F126" s="2145">
        <f t="shared" si="4"/>
        <v>0</v>
      </c>
      <c r="G126" s="2145">
        <f t="shared" si="14"/>
        <v>0</v>
      </c>
      <c r="H126" s="2145">
        <f>IF(M125&lt;0.01,0,M125*Adm!$GV$4)</f>
        <v>0</v>
      </c>
      <c r="I126" s="2145">
        <f>IF(M125&lt;0.01,0,Cal!$BO$108*Adm!$GW$4)</f>
        <v>0</v>
      </c>
      <c r="J126" s="2145">
        <f>IF(M125&lt;0.01,0,IF(Adm!$GO$4&gt;0,E126*Adm!$GO$4,0))</f>
        <v>0</v>
      </c>
      <c r="K126" s="2145">
        <f t="shared" si="5"/>
        <v>0</v>
      </c>
      <c r="L126" s="2145">
        <f>IF(Adm!$GJ$4="si",MIN(M125+E126+H126+I126-K126,AB126),0)</f>
        <v>0</v>
      </c>
      <c r="M126" s="2145">
        <f t="shared" si="6"/>
        <v>0</v>
      </c>
      <c r="N126" s="2153"/>
      <c r="U126" s="1352">
        <f t="shared" si="7"/>
        <v>8</v>
      </c>
      <c r="V126" s="1514">
        <f>IF(U126=1,Cal!$BO$127,0)</f>
        <v>0</v>
      </c>
      <c r="W126" s="1517">
        <f>IF(U126=1,Adm!$HI$4,0)</f>
        <v>0</v>
      </c>
      <c r="X126" s="1518"/>
      <c r="Y126" s="1518"/>
      <c r="Z126" s="1518"/>
      <c r="AA126" s="1368">
        <f t="shared" si="15"/>
        <v>0</v>
      </c>
      <c r="AB126" s="1369">
        <f t="shared" ca="1" si="8"/>
        <v>0</v>
      </c>
      <c r="AF126" s="1370">
        <f t="shared" si="16"/>
        <v>0</v>
      </c>
      <c r="AG126" s="1373">
        <f t="shared" si="17"/>
        <v>0</v>
      </c>
      <c r="AH126" s="1371">
        <f t="shared" si="18"/>
        <v>0</v>
      </c>
      <c r="AI126" s="1359">
        <f>HLOOKUP($AI$66,anticipadofree,57,0)</f>
        <v>-4.2245277777777781E-4</v>
      </c>
      <c r="AK126" s="1360">
        <f t="shared" si="9"/>
        <v>-4.2245277777777781E-4</v>
      </c>
      <c r="AL126" s="1361">
        <f t="shared" si="21"/>
        <v>56</v>
      </c>
      <c r="AM126" s="1191">
        <f t="shared" si="19"/>
        <v>5.0000000000000001E-3</v>
      </c>
      <c r="AN126" s="1362">
        <f t="shared" si="10"/>
        <v>424.77884380570532</v>
      </c>
      <c r="AO126" s="1362">
        <f t="shared" si="2"/>
        <v>-424.77884380570532</v>
      </c>
      <c r="AP126" s="1362">
        <f t="shared" si="20"/>
        <v>0</v>
      </c>
      <c r="AQ126" s="1363">
        <f t="shared" si="11"/>
        <v>1005930.8759753319</v>
      </c>
    </row>
    <row r="127" spans="1:43">
      <c r="A127" s="1118">
        <f t="shared" ca="1" si="0"/>
        <v>12</v>
      </c>
      <c r="B127" s="1351">
        <f t="shared" si="1"/>
        <v>0</v>
      </c>
      <c r="C127" s="2143">
        <f t="shared" si="12"/>
        <v>0</v>
      </c>
      <c r="D127" s="2154">
        <f t="shared" si="22"/>
        <v>0</v>
      </c>
      <c r="E127" s="2145">
        <f t="shared" si="3"/>
        <v>0</v>
      </c>
      <c r="F127" s="2145">
        <f t="shared" si="4"/>
        <v>0</v>
      </c>
      <c r="G127" s="2145">
        <f t="shared" si="14"/>
        <v>0</v>
      </c>
      <c r="H127" s="2145">
        <f>IF(M126&lt;0.01,0,M126*Adm!$GV$4)</f>
        <v>0</v>
      </c>
      <c r="I127" s="2145">
        <f>IF(M126&lt;0.01,0,Cal!$BO$108*Adm!$GW$4)</f>
        <v>0</v>
      </c>
      <c r="J127" s="2145">
        <f>IF(M126&lt;0.01,0,IF(Adm!$GO$4&gt;0,E127*Adm!$GO$4,0))</f>
        <v>0</v>
      </c>
      <c r="K127" s="2145">
        <f t="shared" si="5"/>
        <v>0</v>
      </c>
      <c r="L127" s="2145">
        <f>IF(Adm!$GJ$4="si",MIN(M126+E127+H127+I127-K127,AB127),0)</f>
        <v>0</v>
      </c>
      <c r="M127" s="2145">
        <f t="shared" si="6"/>
        <v>0</v>
      </c>
      <c r="N127" s="2153"/>
      <c r="U127" s="1352">
        <f t="shared" si="7"/>
        <v>9</v>
      </c>
      <c r="V127" s="1514">
        <f>IF(U127=1,Cal!$BO$127,0)</f>
        <v>0</v>
      </c>
      <c r="W127" s="1517">
        <f>IF(U127=1,Adm!$HI$4,0)</f>
        <v>0</v>
      </c>
      <c r="X127" s="1518"/>
      <c r="Y127" s="1518"/>
      <c r="Z127" s="1518"/>
      <c r="AA127" s="1368">
        <f t="shared" si="15"/>
        <v>0</v>
      </c>
      <c r="AB127" s="1369">
        <f t="shared" ca="1" si="8"/>
        <v>0</v>
      </c>
      <c r="AF127" s="1370">
        <f t="shared" si="16"/>
        <v>0</v>
      </c>
      <c r="AG127" s="1373">
        <f t="shared" si="17"/>
        <v>0</v>
      </c>
      <c r="AH127" s="1371">
        <f t="shared" si="18"/>
        <v>0</v>
      </c>
      <c r="AI127" s="1359">
        <f>HLOOKUP($AI$66,anticipadofree,58,0)</f>
        <v>-4.2245277777777776E-4</v>
      </c>
      <c r="AK127" s="1360">
        <f t="shared" si="9"/>
        <v>-4.2245277777777776E-4</v>
      </c>
      <c r="AL127" s="1361">
        <f t="shared" si="21"/>
        <v>57</v>
      </c>
      <c r="AM127" s="1191">
        <f t="shared" si="19"/>
        <v>5.0000000000000001E-3</v>
      </c>
      <c r="AN127" s="1362">
        <f t="shared" si="10"/>
        <v>424.95829280821221</v>
      </c>
      <c r="AO127" s="1362">
        <f t="shared" si="2"/>
        <v>-424.95829280821221</v>
      </c>
      <c r="AP127" s="1362">
        <f t="shared" si="20"/>
        <v>0</v>
      </c>
      <c r="AQ127" s="1363">
        <f t="shared" si="11"/>
        <v>1006355.8342681401</v>
      </c>
    </row>
    <row r="128" spans="1:43">
      <c r="A128" s="1118">
        <f t="shared" ca="1" si="0"/>
        <v>1</v>
      </c>
      <c r="B128" s="1351">
        <f t="shared" si="1"/>
        <v>0</v>
      </c>
      <c r="C128" s="2143">
        <f t="shared" si="12"/>
        <v>0</v>
      </c>
      <c r="D128" s="2154">
        <f t="shared" si="22"/>
        <v>0</v>
      </c>
      <c r="E128" s="2145">
        <f t="shared" si="3"/>
        <v>0</v>
      </c>
      <c r="F128" s="2145">
        <f t="shared" si="4"/>
        <v>0</v>
      </c>
      <c r="G128" s="2145">
        <f t="shared" si="14"/>
        <v>0</v>
      </c>
      <c r="H128" s="2145">
        <f>IF(M127&lt;0.01,0,M127*Adm!$GV$4)</f>
        <v>0</v>
      </c>
      <c r="I128" s="2145">
        <f>IF(M127&lt;0.01,0,Cal!$BO$108*Adm!$GW$4)</f>
        <v>0</v>
      </c>
      <c r="J128" s="2145">
        <f>IF(M127&lt;0.01,0,IF(Adm!$GO$4&gt;0,E128*Adm!$GO$4,0))</f>
        <v>0</v>
      </c>
      <c r="K128" s="2145">
        <f t="shared" si="5"/>
        <v>0</v>
      </c>
      <c r="L128" s="2145">
        <f>IF(Adm!$GJ$4="si",MIN(M127+E128+H128+I128-K128,AB128),0)</f>
        <v>0</v>
      </c>
      <c r="M128" s="2145">
        <f t="shared" si="6"/>
        <v>0</v>
      </c>
      <c r="N128" s="2153"/>
      <c r="U128" s="1352">
        <f t="shared" si="7"/>
        <v>10</v>
      </c>
      <c r="V128" s="1514">
        <f>IF(U128=1,Cal!$BO$127,0)</f>
        <v>0</v>
      </c>
      <c r="W128" s="1517">
        <f>IF(U128=1,Adm!$HI$4,0)</f>
        <v>0</v>
      </c>
      <c r="X128" s="1518"/>
      <c r="Y128" s="1518"/>
      <c r="Z128" s="1518"/>
      <c r="AA128" s="1368">
        <f t="shared" si="15"/>
        <v>0</v>
      </c>
      <c r="AB128" s="1369">
        <f t="shared" ca="1" si="8"/>
        <v>0</v>
      </c>
      <c r="AF128" s="1370">
        <f t="shared" si="16"/>
        <v>0</v>
      </c>
      <c r="AG128" s="1373">
        <f t="shared" si="17"/>
        <v>0</v>
      </c>
      <c r="AH128" s="1371">
        <f t="shared" si="18"/>
        <v>0</v>
      </c>
      <c r="AI128" s="1359">
        <f>HLOOKUP($AI$66,anticipadofree,59,0)</f>
        <v>-4.224527777777777E-4</v>
      </c>
      <c r="AK128" s="1360">
        <f t="shared" si="9"/>
        <v>-4.224527777777777E-4</v>
      </c>
      <c r="AL128" s="1361">
        <f t="shared" si="21"/>
        <v>58</v>
      </c>
      <c r="AM128" s="1191">
        <f t="shared" si="19"/>
        <v>5.0000000000000001E-3</v>
      </c>
      <c r="AN128" s="1362">
        <f t="shared" si="10"/>
        <v>425.1378176194487</v>
      </c>
      <c r="AO128" s="1362">
        <f t="shared" si="2"/>
        <v>-425.1378176194487</v>
      </c>
      <c r="AP128" s="1362">
        <f t="shared" si="20"/>
        <v>0</v>
      </c>
      <c r="AQ128" s="1363">
        <f t="shared" si="11"/>
        <v>1006780.9720857596</v>
      </c>
    </row>
    <row r="129" spans="1:43">
      <c r="A129" s="1118">
        <f t="shared" ca="1" si="0"/>
        <v>2</v>
      </c>
      <c r="B129" s="1351">
        <f t="shared" si="1"/>
        <v>0</v>
      </c>
      <c r="C129" s="2143">
        <f t="shared" si="12"/>
        <v>0</v>
      </c>
      <c r="D129" s="2154">
        <f t="shared" si="22"/>
        <v>0</v>
      </c>
      <c r="E129" s="2145">
        <f t="shared" si="3"/>
        <v>0</v>
      </c>
      <c r="F129" s="2145">
        <f t="shared" si="4"/>
        <v>0</v>
      </c>
      <c r="G129" s="2145">
        <f t="shared" si="14"/>
        <v>0</v>
      </c>
      <c r="H129" s="2145">
        <f>IF(M128&lt;0.01,0,M128*Adm!$GV$4)</f>
        <v>0</v>
      </c>
      <c r="I129" s="2145">
        <f>IF(M128&lt;0.01,0,Cal!$BO$108*Adm!$GW$4)</f>
        <v>0</v>
      </c>
      <c r="J129" s="2145">
        <f>IF(M128&lt;0.01,0,IF(Adm!$GO$4&gt;0,E129*Adm!$GO$4,0))</f>
        <v>0</v>
      </c>
      <c r="K129" s="2145">
        <f t="shared" si="5"/>
        <v>0</v>
      </c>
      <c r="L129" s="2145">
        <f>IF(Adm!$GJ$4="si",MIN(M128+E129+H129+I129-K129,AB129),0)</f>
        <v>0</v>
      </c>
      <c r="M129" s="2145">
        <f t="shared" si="6"/>
        <v>0</v>
      </c>
      <c r="N129" s="2153"/>
      <c r="U129" s="1352">
        <f t="shared" si="7"/>
        <v>11</v>
      </c>
      <c r="V129" s="1514">
        <f>IF(U129=1,Cal!$BO$127,0)</f>
        <v>0</v>
      </c>
      <c r="W129" s="1517">
        <f>IF(U129=1,Adm!$HI$4,0)</f>
        <v>0</v>
      </c>
      <c r="X129" s="1518"/>
      <c r="Y129" s="1518"/>
      <c r="Z129" s="1518"/>
      <c r="AA129" s="1368">
        <f t="shared" si="15"/>
        <v>0</v>
      </c>
      <c r="AB129" s="1369">
        <f t="shared" ca="1" si="8"/>
        <v>0</v>
      </c>
      <c r="AF129" s="1370">
        <f t="shared" si="16"/>
        <v>0</v>
      </c>
      <c r="AG129" s="1373">
        <f t="shared" si="17"/>
        <v>0</v>
      </c>
      <c r="AH129" s="1371">
        <f t="shared" si="18"/>
        <v>0</v>
      </c>
      <c r="AI129" s="1359">
        <f>HLOOKUP($AI$66,anticipadofree,60,0)</f>
        <v>-4.2245277777777781E-4</v>
      </c>
      <c r="AK129" s="1360">
        <f t="shared" si="9"/>
        <v>-4.2245277777777781E-4</v>
      </c>
      <c r="AL129" s="1361">
        <f t="shared" si="21"/>
        <v>59</v>
      </c>
      <c r="AM129" s="1191">
        <f t="shared" si="19"/>
        <v>5.0000000000000001E-3</v>
      </c>
      <c r="AN129" s="1362">
        <f t="shared" si="10"/>
        <v>425.31741827144054</v>
      </c>
      <c r="AO129" s="1362">
        <f t="shared" si="2"/>
        <v>-425.31741827144054</v>
      </c>
      <c r="AP129" s="1362">
        <f t="shared" si="20"/>
        <v>0</v>
      </c>
      <c r="AQ129" s="1363">
        <f t="shared" si="11"/>
        <v>1007206.2895040311</v>
      </c>
    </row>
    <row r="130" spans="1:43">
      <c r="A130" s="1118">
        <f t="shared" ca="1" si="0"/>
        <v>3</v>
      </c>
      <c r="B130" s="1351">
        <f t="shared" si="1"/>
        <v>0</v>
      </c>
      <c r="C130" s="2143">
        <f t="shared" si="12"/>
        <v>0</v>
      </c>
      <c r="D130" s="2154">
        <f t="shared" si="22"/>
        <v>0</v>
      </c>
      <c r="E130" s="2145">
        <f t="shared" si="3"/>
        <v>0</v>
      </c>
      <c r="F130" s="2145">
        <f t="shared" si="4"/>
        <v>0</v>
      </c>
      <c r="G130" s="2145">
        <f t="shared" si="14"/>
        <v>0</v>
      </c>
      <c r="H130" s="2145">
        <f>IF(M129&lt;0.01,0,M129*Adm!$GV$4)</f>
        <v>0</v>
      </c>
      <c r="I130" s="2145">
        <f>IF(M129&lt;0.01,0,Cal!$BO$108*Adm!$GW$4)</f>
        <v>0</v>
      </c>
      <c r="J130" s="2145">
        <f>IF(M129&lt;0.01,0,IF(Adm!$GO$4&gt;0,E130*Adm!$GO$4,0))</f>
        <v>0</v>
      </c>
      <c r="K130" s="2145">
        <f t="shared" si="5"/>
        <v>0</v>
      </c>
      <c r="L130" s="2145">
        <f>IF(Adm!$GJ$4="si",MIN(M129+E130+H130+I130-K130,AB130),0)</f>
        <v>0</v>
      </c>
      <c r="M130" s="2145">
        <f t="shared" si="6"/>
        <v>0</v>
      </c>
      <c r="N130" s="2153"/>
      <c r="U130" s="1352">
        <f t="shared" si="7"/>
        <v>12</v>
      </c>
      <c r="V130" s="1514">
        <f>IF(U130=1,Cal!$BO$127,0)</f>
        <v>0</v>
      </c>
      <c r="W130" s="1517">
        <f>IF(U130=1,Adm!$HI$4,0)</f>
        <v>0</v>
      </c>
      <c r="X130" s="1518"/>
      <c r="Y130" s="1518"/>
      <c r="Z130" s="1518"/>
      <c r="AA130" s="1368">
        <f t="shared" si="15"/>
        <v>0</v>
      </c>
      <c r="AB130" s="1369">
        <f t="shared" ca="1" si="8"/>
        <v>0</v>
      </c>
      <c r="AF130" s="1370">
        <f t="shared" si="16"/>
        <v>0</v>
      </c>
      <c r="AG130" s="1373">
        <f t="shared" si="17"/>
        <v>0</v>
      </c>
      <c r="AH130" s="1371">
        <f t="shared" si="18"/>
        <v>0</v>
      </c>
      <c r="AI130" s="1359">
        <f>HLOOKUP($AI$66,anticipadofree,61,0)</f>
        <v>-4.2245277777777781E-4</v>
      </c>
      <c r="AK130" s="1360">
        <f t="shared" si="9"/>
        <v>-4.2245277777777781E-4</v>
      </c>
      <c r="AL130" s="1361">
        <f t="shared" si="21"/>
        <v>60</v>
      </c>
      <c r="AM130" s="1191">
        <f t="shared" si="19"/>
        <v>5.0000000000000001E-3</v>
      </c>
      <c r="AN130" s="1362">
        <f t="shared" si="10"/>
        <v>425.49709479622658</v>
      </c>
      <c r="AO130" s="1362">
        <f t="shared" si="2"/>
        <v>-425.49709479622658</v>
      </c>
      <c r="AP130" s="1362">
        <f t="shared" si="20"/>
        <v>0</v>
      </c>
      <c r="AQ130" s="1363">
        <f t="shared" si="11"/>
        <v>1007631.7865988273</v>
      </c>
    </row>
    <row r="131" spans="1:43">
      <c r="A131" s="1118">
        <f t="shared" ca="1" si="0"/>
        <v>4</v>
      </c>
      <c r="B131" s="1351">
        <f t="shared" si="1"/>
        <v>0</v>
      </c>
      <c r="C131" s="2143">
        <f t="shared" si="12"/>
        <v>0</v>
      </c>
      <c r="D131" s="2154">
        <f t="shared" si="22"/>
        <v>0</v>
      </c>
      <c r="E131" s="2145">
        <f t="shared" si="3"/>
        <v>0</v>
      </c>
      <c r="F131" s="2145">
        <f t="shared" si="4"/>
        <v>0</v>
      </c>
      <c r="G131" s="2145">
        <f t="shared" si="14"/>
        <v>0</v>
      </c>
      <c r="H131" s="2145">
        <f>IF(M130&lt;0.01,0,M130*Adm!$GV$4)</f>
        <v>0</v>
      </c>
      <c r="I131" s="2145">
        <f>IF(M130&lt;0.01,0,Cal!$BO$108*Adm!$GW$4)</f>
        <v>0</v>
      </c>
      <c r="J131" s="2145">
        <f>IF(M130&lt;0.01,0,IF(Adm!$GO$4&gt;0,E131*Adm!$GO$4,0))</f>
        <v>0</v>
      </c>
      <c r="K131" s="2145">
        <f t="shared" si="5"/>
        <v>0</v>
      </c>
      <c r="L131" s="2145">
        <f>IF(Adm!$GJ$4="si",MIN(M130+E131+H131+I131-K131,AB131),0)</f>
        <v>0</v>
      </c>
      <c r="M131" s="2145">
        <f t="shared" si="6"/>
        <v>0</v>
      </c>
      <c r="N131" s="2153"/>
      <c r="U131" s="1352">
        <f t="shared" si="7"/>
        <v>1</v>
      </c>
      <c r="V131" s="1514">
        <f>IF(U131=1,Cal!$BO$127,0)</f>
        <v>0</v>
      </c>
      <c r="W131" s="1517">
        <f>IF(U131=1,Adm!$HI$4,0)</f>
        <v>2.5000000000000001E-3</v>
      </c>
      <c r="X131" s="1518"/>
      <c r="Y131" s="1518"/>
      <c r="Z131" s="1518"/>
      <c r="AA131" s="1368">
        <f t="shared" si="15"/>
        <v>0</v>
      </c>
      <c r="AB131" s="1369">
        <f t="shared" ca="1" si="8"/>
        <v>0</v>
      </c>
      <c r="AF131" s="1370">
        <f t="shared" si="16"/>
        <v>0</v>
      </c>
      <c r="AG131" s="1373">
        <f t="shared" si="17"/>
        <v>0</v>
      </c>
      <c r="AH131" s="1371">
        <f t="shared" si="18"/>
        <v>0</v>
      </c>
      <c r="AI131" s="1359">
        <f>HLOOKUP($AI$66,anticipadofree,62,0)</f>
        <v>-6.3367916666666674E-4</v>
      </c>
      <c r="AK131" s="1360">
        <f t="shared" si="9"/>
        <v>-6.3367916666666674E-4</v>
      </c>
      <c r="AL131" s="1377">
        <f t="shared" si="21"/>
        <v>61</v>
      </c>
      <c r="AM131" s="1519">
        <f>AM130+$AN$68</f>
        <v>7.4999999999999997E-3</v>
      </c>
      <c r="AN131" s="1378">
        <f t="shared" si="10"/>
        <v>638.51527083878943</v>
      </c>
      <c r="AO131" s="1378">
        <f t="shared" si="2"/>
        <v>-638.51527083878943</v>
      </c>
      <c r="AP131" s="1378">
        <f>MIN(AQ130+AN131,AP130*(1+$AN$66))</f>
        <v>0</v>
      </c>
      <c r="AQ131" s="1363">
        <f t="shared" si="11"/>
        <v>1008270.3018696661</v>
      </c>
    </row>
    <row r="132" spans="1:43">
      <c r="A132" s="1118">
        <f t="shared" ca="1" si="0"/>
        <v>5</v>
      </c>
      <c r="B132" s="1351">
        <f t="shared" si="1"/>
        <v>0</v>
      </c>
      <c r="C132" s="2143">
        <f t="shared" si="12"/>
        <v>0</v>
      </c>
      <c r="D132" s="2154">
        <f t="shared" si="22"/>
        <v>0</v>
      </c>
      <c r="E132" s="2145">
        <f t="shared" si="3"/>
        <v>0</v>
      </c>
      <c r="F132" s="2145">
        <f t="shared" si="4"/>
        <v>0</v>
      </c>
      <c r="G132" s="2145">
        <f t="shared" si="14"/>
        <v>0</v>
      </c>
      <c r="H132" s="2145">
        <f>IF(M131&lt;0.01,0,M131*Adm!$GV$4)</f>
        <v>0</v>
      </c>
      <c r="I132" s="2145">
        <f>IF(M131&lt;0.01,0,Cal!$BO$108*Adm!$GW$4)</f>
        <v>0</v>
      </c>
      <c r="J132" s="2145">
        <f>IF(M131&lt;0.01,0,IF(Adm!$GO$4&gt;0,E132*Adm!$GO$4,0))</f>
        <v>0</v>
      </c>
      <c r="K132" s="2145">
        <f t="shared" si="5"/>
        <v>0</v>
      </c>
      <c r="L132" s="2145">
        <f>IF(Adm!$GJ$4="si",MIN(M131+E132+H132+I132-K132,AB132),0)</f>
        <v>0</v>
      </c>
      <c r="M132" s="2145">
        <f t="shared" si="6"/>
        <v>0</v>
      </c>
      <c r="N132" s="2153"/>
      <c r="U132" s="1352">
        <f t="shared" si="7"/>
        <v>2</v>
      </c>
      <c r="V132" s="1514">
        <f>IF(U132=1,Cal!$BO$127,0)</f>
        <v>0</v>
      </c>
      <c r="W132" s="1517">
        <f>IF(U132=1,Adm!$HI$4,0)</f>
        <v>0</v>
      </c>
      <c r="X132" s="1518"/>
      <c r="Y132" s="1518"/>
      <c r="Z132" s="1518"/>
      <c r="AA132" s="1368">
        <f t="shared" si="15"/>
        <v>0</v>
      </c>
      <c r="AB132" s="1369">
        <f t="shared" ca="1" si="8"/>
        <v>0</v>
      </c>
      <c r="AF132" s="1370">
        <f t="shared" si="16"/>
        <v>0</v>
      </c>
      <c r="AG132" s="1373">
        <f t="shared" si="17"/>
        <v>0</v>
      </c>
      <c r="AH132" s="1371">
        <f t="shared" si="18"/>
        <v>0</v>
      </c>
      <c r="AI132" s="1359">
        <f>HLOOKUP($AI$66,anticipadofree,63,0)</f>
        <v>-6.3367916666666653E-4</v>
      </c>
      <c r="AK132" s="1360">
        <f t="shared" si="9"/>
        <v>-6.3367916666666653E-4</v>
      </c>
      <c r="AL132" s="1361">
        <f t="shared" si="21"/>
        <v>62</v>
      </c>
      <c r="AM132" s="1191">
        <f t="shared" si="19"/>
        <v>7.4999999999999997E-3</v>
      </c>
      <c r="AN132" s="1362">
        <f t="shared" si="10"/>
        <v>638.91988466351836</v>
      </c>
      <c r="AO132" s="1362">
        <f t="shared" si="2"/>
        <v>-638.91988466351836</v>
      </c>
      <c r="AP132" s="1362">
        <f t="shared" si="20"/>
        <v>0</v>
      </c>
      <c r="AQ132" s="1363">
        <f t="shared" si="11"/>
        <v>1008909.2217543296</v>
      </c>
    </row>
    <row r="133" spans="1:43">
      <c r="A133" s="1118">
        <f t="shared" ca="1" si="0"/>
        <v>6</v>
      </c>
      <c r="B133" s="1351">
        <f t="shared" si="1"/>
        <v>0</v>
      </c>
      <c r="C133" s="2143">
        <f t="shared" si="12"/>
        <v>0</v>
      </c>
      <c r="D133" s="2154">
        <f t="shared" si="22"/>
        <v>0</v>
      </c>
      <c r="E133" s="2145">
        <f t="shared" si="3"/>
        <v>0</v>
      </c>
      <c r="F133" s="2145">
        <f t="shared" si="4"/>
        <v>0</v>
      </c>
      <c r="G133" s="2145">
        <f t="shared" si="14"/>
        <v>0</v>
      </c>
      <c r="H133" s="2145">
        <f>IF(M132&lt;0.01,0,M132*Adm!$GV$4)</f>
        <v>0</v>
      </c>
      <c r="I133" s="2145">
        <f>IF(M132&lt;0.01,0,Cal!$BO$108*Adm!$GW$4)</f>
        <v>0</v>
      </c>
      <c r="J133" s="2145">
        <f>IF(M132&lt;0.01,0,IF(Adm!$GO$4&gt;0,E133*Adm!$GO$4,0))</f>
        <v>0</v>
      </c>
      <c r="K133" s="2145">
        <f t="shared" si="5"/>
        <v>0</v>
      </c>
      <c r="L133" s="2145">
        <f>IF(Adm!$GJ$4="si",MIN(M132+E133+H133+I133-K133,AB133),0)</f>
        <v>0</v>
      </c>
      <c r="M133" s="2145">
        <f t="shared" si="6"/>
        <v>0</v>
      </c>
      <c r="N133" s="2153"/>
      <c r="U133" s="1352">
        <f t="shared" si="7"/>
        <v>3</v>
      </c>
      <c r="V133" s="1514">
        <f>IF(U133=1,Cal!$BO$127,0)</f>
        <v>0</v>
      </c>
      <c r="W133" s="1517">
        <f>IF(U133=1,Adm!$HI$4,0)</f>
        <v>0</v>
      </c>
      <c r="X133" s="1518"/>
      <c r="Y133" s="1518"/>
      <c r="Z133" s="1518"/>
      <c r="AA133" s="1368">
        <f t="shared" si="15"/>
        <v>0</v>
      </c>
      <c r="AB133" s="1369">
        <f t="shared" ca="1" si="8"/>
        <v>0</v>
      </c>
      <c r="AF133" s="1370">
        <f t="shared" si="16"/>
        <v>0</v>
      </c>
      <c r="AG133" s="1373">
        <f t="shared" si="17"/>
        <v>0</v>
      </c>
      <c r="AH133" s="1371">
        <f t="shared" si="18"/>
        <v>0</v>
      </c>
      <c r="AI133" s="1359">
        <f>HLOOKUP($AI$66,anticipadofree,64,0)</f>
        <v>-6.3367916666666664E-4</v>
      </c>
      <c r="AK133" s="1360">
        <f t="shared" si="9"/>
        <v>-6.3367916666666664E-4</v>
      </c>
      <c r="AL133" s="1361">
        <f t="shared" si="21"/>
        <v>63</v>
      </c>
      <c r="AM133" s="1191">
        <f t="shared" si="19"/>
        <v>7.4999999999999997E-3</v>
      </c>
      <c r="AN133" s="1362">
        <f t="shared" si="10"/>
        <v>639.32475488359876</v>
      </c>
      <c r="AO133" s="1362">
        <f t="shared" si="2"/>
        <v>-639.32475488359876</v>
      </c>
      <c r="AP133" s="1362">
        <f t="shared" si="20"/>
        <v>0</v>
      </c>
      <c r="AQ133" s="1363">
        <f t="shared" si="11"/>
        <v>1009548.5465092133</v>
      </c>
    </row>
    <row r="134" spans="1:43">
      <c r="A134" s="1118">
        <f t="shared" ca="1" si="0"/>
        <v>7</v>
      </c>
      <c r="B134" s="1351">
        <f t="shared" si="1"/>
        <v>0</v>
      </c>
      <c r="C134" s="2143">
        <f t="shared" si="12"/>
        <v>0</v>
      </c>
      <c r="D134" s="2154">
        <f t="shared" si="22"/>
        <v>0</v>
      </c>
      <c r="E134" s="2145">
        <f t="shared" si="3"/>
        <v>0</v>
      </c>
      <c r="F134" s="2145">
        <f t="shared" si="4"/>
        <v>0</v>
      </c>
      <c r="G134" s="2145">
        <f t="shared" si="14"/>
        <v>0</v>
      </c>
      <c r="H134" s="2145">
        <f>IF(M133&lt;0.01,0,M133*Adm!$GV$4)</f>
        <v>0</v>
      </c>
      <c r="I134" s="2145">
        <f>IF(M133&lt;0.01,0,Cal!$BO$108*Adm!$GW$4)</f>
        <v>0</v>
      </c>
      <c r="J134" s="2145">
        <f>IF(M133&lt;0.01,0,IF(Adm!$GO$4&gt;0,E134*Adm!$GO$4,0))</f>
        <v>0</v>
      </c>
      <c r="K134" s="2145">
        <f t="shared" si="5"/>
        <v>0</v>
      </c>
      <c r="L134" s="2145">
        <f>IF(Adm!$GJ$4="si",MIN(M133+E134+H134+I134-K134,AB134),0)</f>
        <v>0</v>
      </c>
      <c r="M134" s="2145">
        <f t="shared" si="6"/>
        <v>0</v>
      </c>
      <c r="N134" s="2153"/>
      <c r="U134" s="1352">
        <f t="shared" si="7"/>
        <v>4</v>
      </c>
      <c r="V134" s="1514">
        <f>IF(U134=1,Cal!$BO$127,0)</f>
        <v>0</v>
      </c>
      <c r="W134" s="1517">
        <f>IF(U134=1,Adm!$HI$4,0)</f>
        <v>0</v>
      </c>
      <c r="X134" s="1518"/>
      <c r="Y134" s="1518"/>
      <c r="Z134" s="1518"/>
      <c r="AA134" s="1368">
        <f t="shared" si="15"/>
        <v>0</v>
      </c>
      <c r="AB134" s="1369">
        <f t="shared" ca="1" si="8"/>
        <v>0</v>
      </c>
      <c r="AF134" s="1370">
        <f t="shared" si="16"/>
        <v>0</v>
      </c>
      <c r="AG134" s="1373">
        <f t="shared" si="17"/>
        <v>0</v>
      </c>
      <c r="AH134" s="1371">
        <f t="shared" si="18"/>
        <v>0</v>
      </c>
      <c r="AI134" s="1359">
        <f>HLOOKUP($AI$66,anticipadofree,65,0)</f>
        <v>-6.3367916666666653E-4</v>
      </c>
      <c r="AK134" s="1360">
        <f t="shared" si="9"/>
        <v>-6.3367916666666653E-4</v>
      </c>
      <c r="AL134" s="1361">
        <f t="shared" si="21"/>
        <v>64</v>
      </c>
      <c r="AM134" s="1191">
        <f t="shared" si="19"/>
        <v>7.4999999999999997E-3</v>
      </c>
      <c r="AN134" s="1362">
        <f t="shared" si="10"/>
        <v>639.72988166150276</v>
      </c>
      <c r="AO134" s="1362">
        <f t="shared" si="2"/>
        <v>-639.72988166150276</v>
      </c>
      <c r="AP134" s="1362">
        <f t="shared" si="20"/>
        <v>0</v>
      </c>
      <c r="AQ134" s="1363">
        <f t="shared" si="11"/>
        <v>1010188.2763908748</v>
      </c>
    </row>
    <row r="135" spans="1:43">
      <c r="A135" s="1118">
        <f t="shared" ref="A135:A198" ca="1" si="23">IF(A134=12,1,A134+1)</f>
        <v>8</v>
      </c>
      <c r="B135" s="1351">
        <f t="shared" ref="B135:B198" si="24">IF(M134&gt;0,B134-1,0)</f>
        <v>0</v>
      </c>
      <c r="C135" s="2143">
        <f t="shared" si="12"/>
        <v>0</v>
      </c>
      <c r="D135" s="2154">
        <f t="shared" si="22"/>
        <v>0</v>
      </c>
      <c r="E135" s="2145">
        <f t="shared" si="3"/>
        <v>0</v>
      </c>
      <c r="F135" s="2145">
        <f t="shared" si="4"/>
        <v>0</v>
      </c>
      <c r="G135" s="2145">
        <f t="shared" si="14"/>
        <v>0</v>
      </c>
      <c r="H135" s="2145">
        <f>IF(M134&lt;0.01,0,M134*Adm!$GV$4)</f>
        <v>0</v>
      </c>
      <c r="I135" s="2145">
        <f>IF(M134&lt;0.01,0,Cal!$BO$108*Adm!$GW$4)</f>
        <v>0</v>
      </c>
      <c r="J135" s="2145">
        <f>IF(M134&lt;0.01,0,IF(Adm!$GO$4&gt;0,E135*Adm!$GO$4,0))</f>
        <v>0</v>
      </c>
      <c r="K135" s="2145">
        <f t="shared" si="5"/>
        <v>0</v>
      </c>
      <c r="L135" s="2145">
        <f>IF(Adm!$GJ$4="si",MIN(M134+E135+H135+I135-K135,AB135),0)</f>
        <v>0</v>
      </c>
      <c r="M135" s="2145">
        <f t="shared" si="6"/>
        <v>0</v>
      </c>
      <c r="N135" s="2153"/>
      <c r="U135" s="1352">
        <f t="shared" si="7"/>
        <v>5</v>
      </c>
      <c r="V135" s="1514">
        <f>IF(U135=1,Cal!$BO$127,0)</f>
        <v>0</v>
      </c>
      <c r="W135" s="1517">
        <f>IF(U135=1,Adm!$HI$4,0)</f>
        <v>0</v>
      </c>
      <c r="X135" s="1518"/>
      <c r="Y135" s="1518"/>
      <c r="Z135" s="1518"/>
      <c r="AA135" s="1368">
        <f t="shared" si="15"/>
        <v>0</v>
      </c>
      <c r="AB135" s="1369">
        <f t="shared" ca="1" si="8"/>
        <v>0</v>
      </c>
      <c r="AF135" s="1370">
        <f t="shared" si="16"/>
        <v>0</v>
      </c>
      <c r="AG135" s="1373">
        <f t="shared" si="17"/>
        <v>0</v>
      </c>
      <c r="AH135" s="1371">
        <f t="shared" si="18"/>
        <v>0</v>
      </c>
      <c r="AI135" s="1359">
        <f>HLOOKUP($AI$66,anticipadofree,66,0)</f>
        <v>-6.3367916666666664E-4</v>
      </c>
      <c r="AK135" s="1360">
        <f t="shared" si="9"/>
        <v>-6.3367916666666664E-4</v>
      </c>
      <c r="AL135" s="1361">
        <f t="shared" si="21"/>
        <v>65</v>
      </c>
      <c r="AM135" s="1191">
        <f t="shared" si="19"/>
        <v>7.4999999999999997E-3</v>
      </c>
      <c r="AN135" s="1362">
        <f t="shared" si="10"/>
        <v>640.13526515980584</v>
      </c>
      <c r="AO135" s="1362">
        <f t="shared" ref="AO135:AO198" si="25">AP135-AN135</f>
        <v>-640.13526515980584</v>
      </c>
      <c r="AP135" s="1362">
        <f t="shared" si="20"/>
        <v>0</v>
      </c>
      <c r="AQ135" s="1363">
        <f t="shared" si="11"/>
        <v>1010828.4116560345</v>
      </c>
    </row>
    <row r="136" spans="1:43">
      <c r="A136" s="1118">
        <f t="shared" ca="1" si="23"/>
        <v>9</v>
      </c>
      <c r="B136" s="1351">
        <f t="shared" si="24"/>
        <v>0</v>
      </c>
      <c r="C136" s="2143">
        <f t="shared" si="12"/>
        <v>0</v>
      </c>
      <c r="D136" s="2154">
        <f t="shared" si="22"/>
        <v>0</v>
      </c>
      <c r="E136" s="2145">
        <f t="shared" ref="E136:E199" si="26">IF(M135&lt;0.01,0,M135*D136*30.4166/360)</f>
        <v>0</v>
      </c>
      <c r="F136" s="2145">
        <f t="shared" ref="F136:F199" si="27">IF(M135&lt;0.01,0,G136-E136)</f>
        <v>0</v>
      </c>
      <c r="G136" s="2145">
        <f t="shared" si="14"/>
        <v>0</v>
      </c>
      <c r="H136" s="2145">
        <f>IF(M135&lt;0.01,0,M135*Adm!$GV$4)</f>
        <v>0</v>
      </c>
      <c r="I136" s="2145">
        <f>IF(M135&lt;0.01,0,Cal!$BO$108*Adm!$GW$4)</f>
        <v>0</v>
      </c>
      <c r="J136" s="2145">
        <f>IF(M135&lt;0.01,0,IF(Adm!$GO$4&gt;0,E136*Adm!$GO$4,0))</f>
        <v>0</v>
      </c>
      <c r="K136" s="2145">
        <f t="shared" ref="K136:K199" si="28">G136+H136+I136+J136</f>
        <v>0</v>
      </c>
      <c r="L136" s="2145">
        <f>IF(Adm!$GJ$4="si",MIN(M135+E136+H136+I136-K136,AB136),0)</f>
        <v>0</v>
      </c>
      <c r="M136" s="2145">
        <f t="shared" ref="M136:M199" si="29">IF(M135&lt;0.001,0,+M135-F136-L136-N136)</f>
        <v>0</v>
      </c>
      <c r="N136" s="2153"/>
      <c r="U136" s="1352">
        <f t="shared" ref="U136:U199" si="30">IF(U135=12,1,U135+1)</f>
        <v>6</v>
      </c>
      <c r="V136" s="1514">
        <f>IF(U136=1,Cal!$BO$127,0)</f>
        <v>0</v>
      </c>
      <c r="W136" s="1517">
        <f>IF(U136=1,Adm!$HI$4,0)</f>
        <v>0</v>
      </c>
      <c r="X136" s="1518"/>
      <c r="Y136" s="1518"/>
      <c r="Z136" s="1518"/>
      <c r="AA136" s="1368">
        <f t="shared" si="15"/>
        <v>0</v>
      </c>
      <c r="AB136" s="1369">
        <f t="shared" ref="AB136:AB199" ca="1" si="31">IF(MOD(A136,2)=0,AA136*0.05*2,0)</f>
        <v>0</v>
      </c>
      <c r="AF136" s="1370">
        <f t="shared" si="16"/>
        <v>0</v>
      </c>
      <c r="AG136" s="1373">
        <f t="shared" si="17"/>
        <v>0</v>
      </c>
      <c r="AH136" s="1371">
        <f t="shared" si="18"/>
        <v>0</v>
      </c>
      <c r="AI136" s="1359">
        <f>HLOOKUP($AI$66,anticipadofree,67,0)</f>
        <v>-6.3367916666666653E-4</v>
      </c>
      <c r="AK136" s="1360">
        <f t="shared" ref="AK136:AK199" si="32">AO136/AQ135</f>
        <v>-6.3367916666666653E-4</v>
      </c>
      <c r="AL136" s="1361">
        <f t="shared" si="21"/>
        <v>66</v>
      </c>
      <c r="AM136" s="1191">
        <f t="shared" si="19"/>
        <v>7.4999999999999997E-3</v>
      </c>
      <c r="AN136" s="1362">
        <f t="shared" ref="AN136:AN199" si="33">AQ135*AM136*30.4166/360</f>
        <v>640.54090554118613</v>
      </c>
      <c r="AO136" s="1362">
        <f t="shared" si="25"/>
        <v>-640.54090554118613</v>
      </c>
      <c r="AP136" s="1362">
        <f t="shared" si="20"/>
        <v>0</v>
      </c>
      <c r="AQ136" s="1363">
        <f t="shared" ref="AQ136:AQ199" si="34">IF(AQ135&lt;0.001,0,AQ135-AO136-AR136)</f>
        <v>1011468.9525615757</v>
      </c>
    </row>
    <row r="137" spans="1:43">
      <c r="A137" s="1118">
        <f t="shared" ca="1" si="23"/>
        <v>10</v>
      </c>
      <c r="B137" s="1351">
        <f t="shared" si="24"/>
        <v>0</v>
      </c>
      <c r="C137" s="2143">
        <f t="shared" ref="C137:C200" si="35">IF(M136&lt;0.01,0,C136+1)</f>
        <v>0</v>
      </c>
      <c r="D137" s="2154">
        <f t="shared" si="22"/>
        <v>0</v>
      </c>
      <c r="E137" s="2145">
        <f t="shared" si="26"/>
        <v>0</v>
      </c>
      <c r="F137" s="2145">
        <f t="shared" si="27"/>
        <v>0</v>
      </c>
      <c r="G137" s="2145">
        <f t="shared" ref="G137:G200" si="36">IF(M136&lt;0.01,0,MIN(M136+E137,IF(AF137&gt;0,AF137,G136*(1+V137))))</f>
        <v>0</v>
      </c>
      <c r="H137" s="2145">
        <f>IF(M136&lt;0.01,0,M136*Adm!$GV$4)</f>
        <v>0</v>
      </c>
      <c r="I137" s="2145">
        <f>IF(M136&lt;0.01,0,Cal!$BO$108*Adm!$GW$4)</f>
        <v>0</v>
      </c>
      <c r="J137" s="2145">
        <f>IF(M136&lt;0.01,0,IF(Adm!$GO$4&gt;0,E137*Adm!$GO$4,0))</f>
        <v>0</v>
      </c>
      <c r="K137" s="2145">
        <f t="shared" si="28"/>
        <v>0</v>
      </c>
      <c r="L137" s="2145">
        <f>IF(Adm!$GJ$4="si",MIN(M136+E137+H137+I137-K137,AB137),0)</f>
        <v>0</v>
      </c>
      <c r="M137" s="2145">
        <f t="shared" si="29"/>
        <v>0</v>
      </c>
      <c r="N137" s="2153"/>
      <c r="U137" s="1352">
        <f t="shared" si="30"/>
        <v>7</v>
      </c>
      <c r="V137" s="1514">
        <f>IF(U137=1,Cal!$BO$127,0)</f>
        <v>0</v>
      </c>
      <c r="W137" s="1517">
        <f>IF(U137=1,Adm!$HI$4,0)</f>
        <v>0</v>
      </c>
      <c r="X137" s="1518"/>
      <c r="Y137" s="1518"/>
      <c r="Z137" s="1518"/>
      <c r="AA137" s="1368">
        <f t="shared" ref="AA137:AA200" si="37">AA136</f>
        <v>0</v>
      </c>
      <c r="AB137" s="1369">
        <f t="shared" ca="1" si="31"/>
        <v>0</v>
      </c>
      <c r="AF137" s="1370">
        <f t="shared" ref="AF137:AF200" si="38">IF(AG137&gt;1,AG137,0)</f>
        <v>0</v>
      </c>
      <c r="AG137" s="1373">
        <f t="shared" ref="AG137:AG200" si="39">IF(AND(AH137&gt;0.01,$AF$65=2),AH137,0)</f>
        <v>0</v>
      </c>
      <c r="AH137" s="1371">
        <f t="shared" ref="AH137:AH200" si="40">IF(N136&lt;0.01,0,IF($AF$65=2,M136*AI137)+E137)</f>
        <v>0</v>
      </c>
      <c r="AI137" s="1359">
        <f>HLOOKUP($AI$66,anticipadofree,68,0)</f>
        <v>-6.3367916666666653E-4</v>
      </c>
      <c r="AK137" s="1360">
        <f t="shared" si="32"/>
        <v>-6.3367916666666653E-4</v>
      </c>
      <c r="AL137" s="1361">
        <f t="shared" si="21"/>
        <v>67</v>
      </c>
      <c r="AM137" s="1191">
        <f t="shared" ref="AM137:AM200" si="41">AM136</f>
        <v>7.4999999999999997E-3</v>
      </c>
      <c r="AN137" s="1362">
        <f t="shared" si="33"/>
        <v>640.94680296842535</v>
      </c>
      <c r="AO137" s="1362">
        <f t="shared" si="25"/>
        <v>-640.94680296842535</v>
      </c>
      <c r="AP137" s="1362">
        <f t="shared" ref="AP137:AP200" si="42">MIN(AQ136+AN137,AP136)</f>
        <v>0</v>
      </c>
      <c r="AQ137" s="1363">
        <f t="shared" si="34"/>
        <v>1012109.8993645441</v>
      </c>
    </row>
    <row r="138" spans="1:43">
      <c r="A138" s="1118">
        <f t="shared" ca="1" si="23"/>
        <v>11</v>
      </c>
      <c r="B138" s="1351">
        <f t="shared" si="24"/>
        <v>0</v>
      </c>
      <c r="C138" s="2143">
        <f t="shared" si="35"/>
        <v>0</v>
      </c>
      <c r="D138" s="2154">
        <f t="shared" si="22"/>
        <v>0</v>
      </c>
      <c r="E138" s="2145">
        <f t="shared" si="26"/>
        <v>0</v>
      </c>
      <c r="F138" s="2145">
        <f t="shared" si="27"/>
        <v>0</v>
      </c>
      <c r="G138" s="2145">
        <f t="shared" si="36"/>
        <v>0</v>
      </c>
      <c r="H138" s="2145">
        <f>IF(M137&lt;0.01,0,M137*Adm!$GV$4)</f>
        <v>0</v>
      </c>
      <c r="I138" s="2145">
        <f>IF(M137&lt;0.01,0,Cal!$BO$108*Adm!$GW$4)</f>
        <v>0</v>
      </c>
      <c r="J138" s="2145">
        <f>IF(M137&lt;0.01,0,IF(Adm!$GO$4&gt;0,E138*Adm!$GO$4,0))</f>
        <v>0</v>
      </c>
      <c r="K138" s="2145">
        <f t="shared" si="28"/>
        <v>0</v>
      </c>
      <c r="L138" s="2145">
        <f>IF(Adm!$GJ$4="si",MIN(M137+E138+H138+I138-K138,AB138),0)</f>
        <v>0</v>
      </c>
      <c r="M138" s="2145">
        <f t="shared" si="29"/>
        <v>0</v>
      </c>
      <c r="N138" s="2153"/>
      <c r="U138" s="1352">
        <f t="shared" si="30"/>
        <v>8</v>
      </c>
      <c r="V138" s="1514">
        <f>IF(U138=1,Cal!$BO$127,0)</f>
        <v>0</v>
      </c>
      <c r="W138" s="1517">
        <f>IF(U138=1,Adm!$HI$4,0)</f>
        <v>0</v>
      </c>
      <c r="X138" s="1518"/>
      <c r="Y138" s="1518"/>
      <c r="Z138" s="1518"/>
      <c r="AA138" s="1368">
        <f t="shared" si="37"/>
        <v>0</v>
      </c>
      <c r="AB138" s="1369">
        <f t="shared" ca="1" si="31"/>
        <v>0</v>
      </c>
      <c r="AF138" s="1370">
        <f t="shared" si="38"/>
        <v>0</v>
      </c>
      <c r="AG138" s="1373">
        <f t="shared" si="39"/>
        <v>0</v>
      </c>
      <c r="AH138" s="1371">
        <f t="shared" si="40"/>
        <v>0</v>
      </c>
      <c r="AI138" s="1359">
        <f>HLOOKUP($AI$66,anticipadofree,69,0)</f>
        <v>-6.3367916666666653E-4</v>
      </c>
      <c r="AK138" s="1360">
        <f t="shared" si="32"/>
        <v>-6.3367916666666653E-4</v>
      </c>
      <c r="AL138" s="1361">
        <f t="shared" ref="AL138:AL201" si="43">IF(AQ137&lt;=0,"",AL137+1)</f>
        <v>68</v>
      </c>
      <c r="AM138" s="1191">
        <f t="shared" si="41"/>
        <v>7.4999999999999997E-3</v>
      </c>
      <c r="AN138" s="1362">
        <f t="shared" si="33"/>
        <v>641.35295760440806</v>
      </c>
      <c r="AO138" s="1362">
        <f t="shared" si="25"/>
        <v>-641.35295760440806</v>
      </c>
      <c r="AP138" s="1362">
        <f t="shared" si="42"/>
        <v>0</v>
      </c>
      <c r="AQ138" s="1363">
        <f t="shared" si="34"/>
        <v>1012751.2523221485</v>
      </c>
    </row>
    <row r="139" spans="1:43">
      <c r="A139" s="1118">
        <f t="shared" ca="1" si="23"/>
        <v>12</v>
      </c>
      <c r="B139" s="1351">
        <f t="shared" si="24"/>
        <v>0</v>
      </c>
      <c r="C139" s="2143">
        <f t="shared" si="35"/>
        <v>0</v>
      </c>
      <c r="D139" s="2154">
        <f t="shared" si="22"/>
        <v>0</v>
      </c>
      <c r="E139" s="2145">
        <f t="shared" si="26"/>
        <v>0</v>
      </c>
      <c r="F139" s="2145">
        <f t="shared" si="27"/>
        <v>0</v>
      </c>
      <c r="G139" s="2145">
        <f t="shared" si="36"/>
        <v>0</v>
      </c>
      <c r="H139" s="2145">
        <f>IF(M138&lt;0.01,0,M138*Adm!$GV$4)</f>
        <v>0</v>
      </c>
      <c r="I139" s="2145">
        <f>IF(M138&lt;0.01,0,Cal!$BO$108*Adm!$GW$4)</f>
        <v>0</v>
      </c>
      <c r="J139" s="2145">
        <f>IF(M138&lt;0.01,0,IF(Adm!$GO$4&gt;0,E139*Adm!$GO$4,0))</f>
        <v>0</v>
      </c>
      <c r="K139" s="2145">
        <f t="shared" si="28"/>
        <v>0</v>
      </c>
      <c r="L139" s="2145">
        <f>IF(Adm!$GJ$4="si",MIN(M138+E139+H139+I139-K139,AB139),0)</f>
        <v>0</v>
      </c>
      <c r="M139" s="2145">
        <f t="shared" si="29"/>
        <v>0</v>
      </c>
      <c r="N139" s="2153"/>
      <c r="U139" s="1352">
        <f t="shared" si="30"/>
        <v>9</v>
      </c>
      <c r="V139" s="1514">
        <f>IF(U139=1,Cal!$BO$127,0)</f>
        <v>0</v>
      </c>
      <c r="W139" s="1517">
        <f>IF(U139=1,Adm!$HI$4,0)</f>
        <v>0</v>
      </c>
      <c r="X139" s="1518"/>
      <c r="Y139" s="1518"/>
      <c r="Z139" s="1518"/>
      <c r="AA139" s="1368">
        <f t="shared" si="37"/>
        <v>0</v>
      </c>
      <c r="AB139" s="1369">
        <f t="shared" ca="1" si="31"/>
        <v>0</v>
      </c>
      <c r="AF139" s="1370">
        <f t="shared" si="38"/>
        <v>0</v>
      </c>
      <c r="AG139" s="1373">
        <f t="shared" si="39"/>
        <v>0</v>
      </c>
      <c r="AH139" s="1371">
        <f t="shared" si="40"/>
        <v>0</v>
      </c>
      <c r="AI139" s="1359">
        <f>HLOOKUP($AI$66,anticipadofree,70,0)</f>
        <v>-6.3367916666666664E-4</v>
      </c>
      <c r="AK139" s="1360">
        <f t="shared" si="32"/>
        <v>-6.3367916666666664E-4</v>
      </c>
      <c r="AL139" s="1361">
        <f t="shared" si="43"/>
        <v>69</v>
      </c>
      <c r="AM139" s="1191">
        <f t="shared" si="41"/>
        <v>7.4999999999999997E-3</v>
      </c>
      <c r="AN139" s="1362">
        <f t="shared" si="33"/>
        <v>641.7593696121221</v>
      </c>
      <c r="AO139" s="1362">
        <f t="shared" si="25"/>
        <v>-641.7593696121221</v>
      </c>
      <c r="AP139" s="1362">
        <f t="shared" si="42"/>
        <v>0</v>
      </c>
      <c r="AQ139" s="1363">
        <f t="shared" si="34"/>
        <v>1013393.0116917606</v>
      </c>
    </row>
    <row r="140" spans="1:43">
      <c r="A140" s="1118">
        <f t="shared" ca="1" si="23"/>
        <v>1</v>
      </c>
      <c r="B140" s="1351">
        <f t="shared" si="24"/>
        <v>0</v>
      </c>
      <c r="C140" s="2143">
        <f t="shared" si="35"/>
        <v>0</v>
      </c>
      <c r="D140" s="2154">
        <f t="shared" si="22"/>
        <v>0</v>
      </c>
      <c r="E140" s="2145">
        <f t="shared" si="26"/>
        <v>0</v>
      </c>
      <c r="F140" s="2145">
        <f t="shared" si="27"/>
        <v>0</v>
      </c>
      <c r="G140" s="2145">
        <f t="shared" si="36"/>
        <v>0</v>
      </c>
      <c r="H140" s="2145">
        <f>IF(M139&lt;0.01,0,M139*Adm!$GV$4)</f>
        <v>0</v>
      </c>
      <c r="I140" s="2145">
        <f>IF(M139&lt;0.01,0,Cal!$BO$108*Adm!$GW$4)</f>
        <v>0</v>
      </c>
      <c r="J140" s="2145">
        <f>IF(M139&lt;0.01,0,IF(Adm!$GO$4&gt;0,E140*Adm!$GO$4,0))</f>
        <v>0</v>
      </c>
      <c r="K140" s="2145">
        <f t="shared" si="28"/>
        <v>0</v>
      </c>
      <c r="L140" s="2145">
        <f>IF(Adm!$GJ$4="si",MIN(M139+E140+H140+I140-K140,AB140),0)</f>
        <v>0</v>
      </c>
      <c r="M140" s="2145">
        <f t="shared" si="29"/>
        <v>0</v>
      </c>
      <c r="N140" s="2153"/>
      <c r="U140" s="1352">
        <f t="shared" si="30"/>
        <v>10</v>
      </c>
      <c r="V140" s="1514">
        <f>IF(U140=1,Cal!$BO$127,0)</f>
        <v>0</v>
      </c>
      <c r="W140" s="1517">
        <f>IF(U140=1,Adm!$HI$4,0)</f>
        <v>0</v>
      </c>
      <c r="X140" s="1518"/>
      <c r="Y140" s="1518"/>
      <c r="Z140" s="1518"/>
      <c r="AA140" s="1368">
        <f t="shared" si="37"/>
        <v>0</v>
      </c>
      <c r="AB140" s="1369">
        <f t="shared" ca="1" si="31"/>
        <v>0</v>
      </c>
      <c r="AF140" s="1370">
        <f t="shared" si="38"/>
        <v>0</v>
      </c>
      <c r="AG140" s="1373">
        <f t="shared" si="39"/>
        <v>0</v>
      </c>
      <c r="AH140" s="1371">
        <f t="shared" si="40"/>
        <v>0</v>
      </c>
      <c r="AI140" s="1359">
        <f>HLOOKUP($AI$66,anticipadofree,71,0)</f>
        <v>-6.3367916666666664E-4</v>
      </c>
      <c r="AK140" s="1360">
        <f t="shared" si="32"/>
        <v>-6.3367916666666664E-4</v>
      </c>
      <c r="AL140" s="1361">
        <f t="shared" si="43"/>
        <v>70</v>
      </c>
      <c r="AM140" s="1191">
        <f t="shared" si="41"/>
        <v>7.4999999999999997E-3</v>
      </c>
      <c r="AN140" s="1362">
        <f t="shared" si="33"/>
        <v>642.16603915465839</v>
      </c>
      <c r="AO140" s="1362">
        <f t="shared" si="25"/>
        <v>-642.16603915465839</v>
      </c>
      <c r="AP140" s="1362">
        <f t="shared" si="42"/>
        <v>0</v>
      </c>
      <c r="AQ140" s="1363">
        <f t="shared" si="34"/>
        <v>1014035.1777309153</v>
      </c>
    </row>
    <row r="141" spans="1:43">
      <c r="A141" s="1118">
        <f t="shared" ca="1" si="23"/>
        <v>2</v>
      </c>
      <c r="B141" s="1351">
        <f t="shared" si="24"/>
        <v>0</v>
      </c>
      <c r="C141" s="2143">
        <f t="shared" si="35"/>
        <v>0</v>
      </c>
      <c r="D141" s="2154">
        <f t="shared" si="22"/>
        <v>0</v>
      </c>
      <c r="E141" s="2145">
        <f t="shared" si="26"/>
        <v>0</v>
      </c>
      <c r="F141" s="2145">
        <f t="shared" si="27"/>
        <v>0</v>
      </c>
      <c r="G141" s="2145">
        <f t="shared" si="36"/>
        <v>0</v>
      </c>
      <c r="H141" s="2145">
        <f>IF(M140&lt;0.01,0,M140*Adm!$GV$4)</f>
        <v>0</v>
      </c>
      <c r="I141" s="2145">
        <f>IF(M140&lt;0.01,0,Cal!$BO$108*Adm!$GW$4)</f>
        <v>0</v>
      </c>
      <c r="J141" s="2145">
        <f>IF(M140&lt;0.01,0,IF(Adm!$GO$4&gt;0,E141*Adm!$GO$4,0))</f>
        <v>0</v>
      </c>
      <c r="K141" s="2145">
        <f t="shared" si="28"/>
        <v>0</v>
      </c>
      <c r="L141" s="2145">
        <f>IF(Adm!$GJ$4="si",MIN(M140+E141+H141+I141-K141,AB141),0)</f>
        <v>0</v>
      </c>
      <c r="M141" s="2145">
        <f t="shared" si="29"/>
        <v>0</v>
      </c>
      <c r="N141" s="2153"/>
      <c r="U141" s="1352">
        <f t="shared" si="30"/>
        <v>11</v>
      </c>
      <c r="V141" s="1514">
        <f>IF(U141=1,Cal!$BO$127,0)</f>
        <v>0</v>
      </c>
      <c r="W141" s="1517">
        <f>IF(U141=1,Adm!$HI$4,0)</f>
        <v>0</v>
      </c>
      <c r="X141" s="1518"/>
      <c r="Y141" s="1518"/>
      <c r="Z141" s="1518"/>
      <c r="AA141" s="1368">
        <f t="shared" si="37"/>
        <v>0</v>
      </c>
      <c r="AB141" s="1369">
        <f t="shared" ca="1" si="31"/>
        <v>0</v>
      </c>
      <c r="AF141" s="1370">
        <f t="shared" si="38"/>
        <v>0</v>
      </c>
      <c r="AG141" s="1373">
        <f t="shared" si="39"/>
        <v>0</v>
      </c>
      <c r="AH141" s="1371">
        <f t="shared" si="40"/>
        <v>0</v>
      </c>
      <c r="AI141" s="1359">
        <f>HLOOKUP($AI$66,anticipadofree,72,0)</f>
        <v>-6.3367916666666664E-4</v>
      </c>
      <c r="AK141" s="1360">
        <f t="shared" si="32"/>
        <v>-6.3367916666666664E-4</v>
      </c>
      <c r="AL141" s="1361">
        <f t="shared" si="43"/>
        <v>71</v>
      </c>
      <c r="AM141" s="1191">
        <f t="shared" si="41"/>
        <v>7.4999999999999997E-3</v>
      </c>
      <c r="AN141" s="1362">
        <f t="shared" si="33"/>
        <v>642.57296639521155</v>
      </c>
      <c r="AO141" s="1362">
        <f t="shared" si="25"/>
        <v>-642.57296639521155</v>
      </c>
      <c r="AP141" s="1362">
        <f t="shared" si="42"/>
        <v>0</v>
      </c>
      <c r="AQ141" s="1363">
        <f t="shared" si="34"/>
        <v>1014677.7506973104</v>
      </c>
    </row>
    <row r="142" spans="1:43">
      <c r="A142" s="1118">
        <f t="shared" ca="1" si="23"/>
        <v>3</v>
      </c>
      <c r="B142" s="1351">
        <f t="shared" si="24"/>
        <v>0</v>
      </c>
      <c r="C142" s="2143">
        <f t="shared" si="35"/>
        <v>0</v>
      </c>
      <c r="D142" s="2154">
        <f t="shared" si="22"/>
        <v>0</v>
      </c>
      <c r="E142" s="2145">
        <f t="shared" si="26"/>
        <v>0</v>
      </c>
      <c r="F142" s="2145">
        <f t="shared" si="27"/>
        <v>0</v>
      </c>
      <c r="G142" s="2145">
        <f t="shared" si="36"/>
        <v>0</v>
      </c>
      <c r="H142" s="2145">
        <f>IF(M141&lt;0.01,0,M141*Adm!$GV$4)</f>
        <v>0</v>
      </c>
      <c r="I142" s="2145">
        <f>IF(M141&lt;0.01,0,Cal!$BO$108*Adm!$GW$4)</f>
        <v>0</v>
      </c>
      <c r="J142" s="2145">
        <f>IF(M141&lt;0.01,0,IF(Adm!$GO$4&gt;0,E142*Adm!$GO$4,0))</f>
        <v>0</v>
      </c>
      <c r="K142" s="2145">
        <f t="shared" si="28"/>
        <v>0</v>
      </c>
      <c r="L142" s="2145">
        <f>IF(Adm!$GJ$4="si",MIN(M141+E142+H142+I142-K142,AB142),0)</f>
        <v>0</v>
      </c>
      <c r="M142" s="2145">
        <f t="shared" si="29"/>
        <v>0</v>
      </c>
      <c r="N142" s="2153"/>
      <c r="U142" s="1352">
        <f t="shared" si="30"/>
        <v>12</v>
      </c>
      <c r="V142" s="1514">
        <f>IF(U142=1,Cal!$BO$127,0)</f>
        <v>0</v>
      </c>
      <c r="W142" s="1517">
        <f>IF(U142=1,Adm!$HI$4,0)</f>
        <v>0</v>
      </c>
      <c r="X142" s="1518"/>
      <c r="Y142" s="1518"/>
      <c r="Z142" s="1518"/>
      <c r="AA142" s="1368">
        <f t="shared" si="37"/>
        <v>0</v>
      </c>
      <c r="AB142" s="1369">
        <f t="shared" ca="1" si="31"/>
        <v>0</v>
      </c>
      <c r="AF142" s="1370">
        <f t="shared" si="38"/>
        <v>0</v>
      </c>
      <c r="AG142" s="1373">
        <f t="shared" si="39"/>
        <v>0</v>
      </c>
      <c r="AH142" s="1371">
        <f t="shared" si="40"/>
        <v>0</v>
      </c>
      <c r="AI142" s="1359">
        <f>HLOOKUP($AI$66,anticipadofree,73,0)</f>
        <v>-6.3367916666666664E-4</v>
      </c>
      <c r="AK142" s="1360">
        <f t="shared" si="32"/>
        <v>-6.3367916666666664E-4</v>
      </c>
      <c r="AL142" s="1361">
        <f t="shared" si="43"/>
        <v>72</v>
      </c>
      <c r="AM142" s="1191">
        <f t="shared" si="41"/>
        <v>7.4999999999999997E-3</v>
      </c>
      <c r="AN142" s="1362">
        <f t="shared" si="33"/>
        <v>642.98015149707942</v>
      </c>
      <c r="AO142" s="1362">
        <f t="shared" si="25"/>
        <v>-642.98015149707942</v>
      </c>
      <c r="AP142" s="1362">
        <f t="shared" si="42"/>
        <v>0</v>
      </c>
      <c r="AQ142" s="1363">
        <f t="shared" si="34"/>
        <v>1015320.7308488075</v>
      </c>
    </row>
    <row r="143" spans="1:43">
      <c r="A143" s="1118">
        <f t="shared" ca="1" si="23"/>
        <v>4</v>
      </c>
      <c r="B143" s="1351">
        <f t="shared" si="24"/>
        <v>0</v>
      </c>
      <c r="C143" s="2143">
        <f t="shared" si="35"/>
        <v>0</v>
      </c>
      <c r="D143" s="2154">
        <f t="shared" si="22"/>
        <v>0</v>
      </c>
      <c r="E143" s="2145">
        <f t="shared" si="26"/>
        <v>0</v>
      </c>
      <c r="F143" s="2145">
        <f t="shared" si="27"/>
        <v>0</v>
      </c>
      <c r="G143" s="2145">
        <f t="shared" si="36"/>
        <v>0</v>
      </c>
      <c r="H143" s="2145">
        <f>IF(M142&lt;0.01,0,M142*Adm!$GV$4)</f>
        <v>0</v>
      </c>
      <c r="I143" s="2145">
        <f>IF(M142&lt;0.01,0,Cal!$BO$108*Adm!$GW$4)</f>
        <v>0</v>
      </c>
      <c r="J143" s="2145">
        <f>IF(M142&lt;0.01,0,IF(Adm!$GO$4&gt;0,E143*Adm!$GO$4,0))</f>
        <v>0</v>
      </c>
      <c r="K143" s="2145">
        <f t="shared" si="28"/>
        <v>0</v>
      </c>
      <c r="L143" s="2145">
        <f>IF(Adm!$GJ$4="si",MIN(M142+E143+H143+I143-K143,AB143),0)</f>
        <v>0</v>
      </c>
      <c r="M143" s="2145">
        <f t="shared" si="29"/>
        <v>0</v>
      </c>
      <c r="N143" s="2153"/>
      <c r="U143" s="1352">
        <f t="shared" si="30"/>
        <v>1</v>
      </c>
      <c r="V143" s="1514">
        <f>IF(U143=1,Cal!$BO$127,0)</f>
        <v>0</v>
      </c>
      <c r="W143" s="1517">
        <f>IF(U143=1,Adm!$HI$4,0)</f>
        <v>2.5000000000000001E-3</v>
      </c>
      <c r="X143" s="1518"/>
      <c r="Y143" s="1518"/>
      <c r="Z143" s="1518"/>
      <c r="AA143" s="1368">
        <f t="shared" si="37"/>
        <v>0</v>
      </c>
      <c r="AB143" s="1369">
        <f t="shared" ca="1" si="31"/>
        <v>0</v>
      </c>
      <c r="AF143" s="1370">
        <f t="shared" si="38"/>
        <v>0</v>
      </c>
      <c r="AG143" s="1373">
        <f t="shared" si="39"/>
        <v>0</v>
      </c>
      <c r="AH143" s="1371">
        <f t="shared" si="40"/>
        <v>0</v>
      </c>
      <c r="AI143" s="1359">
        <f>HLOOKUP($AI$66,anticipadofree,74,0)</f>
        <v>-8.4490555555555562E-4</v>
      </c>
      <c r="AK143" s="1360">
        <f t="shared" si="32"/>
        <v>-8.4490555555555562E-4</v>
      </c>
      <c r="AL143" s="1377">
        <f t="shared" si="43"/>
        <v>73</v>
      </c>
      <c r="AM143" s="1519">
        <f>AM142++$AN$68</f>
        <v>0.01</v>
      </c>
      <c r="AN143" s="1378">
        <f t="shared" si="33"/>
        <v>857.8501261648845</v>
      </c>
      <c r="AO143" s="1378">
        <f t="shared" si="25"/>
        <v>-857.8501261648845</v>
      </c>
      <c r="AP143" s="1378">
        <f>MIN(AQ142+AN143,AP142*(1+$AN$66))</f>
        <v>0</v>
      </c>
      <c r="AQ143" s="1363">
        <f t="shared" si="34"/>
        <v>1016178.5809749723</v>
      </c>
    </row>
    <row r="144" spans="1:43">
      <c r="A144" s="1118">
        <f t="shared" ca="1" si="23"/>
        <v>5</v>
      </c>
      <c r="B144" s="1351">
        <f t="shared" si="24"/>
        <v>0</v>
      </c>
      <c r="C144" s="2143">
        <f t="shared" si="35"/>
        <v>0</v>
      </c>
      <c r="D144" s="2154">
        <f t="shared" si="22"/>
        <v>0</v>
      </c>
      <c r="E144" s="2145">
        <f t="shared" si="26"/>
        <v>0</v>
      </c>
      <c r="F144" s="2145">
        <f t="shared" si="27"/>
        <v>0</v>
      </c>
      <c r="G144" s="2145">
        <f t="shared" si="36"/>
        <v>0</v>
      </c>
      <c r="H144" s="2145">
        <f>IF(M143&lt;0.01,0,M143*Adm!$GV$4)</f>
        <v>0</v>
      </c>
      <c r="I144" s="2145">
        <f>IF(M143&lt;0.01,0,Cal!$BO$108*Adm!$GW$4)</f>
        <v>0</v>
      </c>
      <c r="J144" s="2145">
        <f>IF(M143&lt;0.01,0,IF(Adm!$GO$4&gt;0,E144*Adm!$GO$4,0))</f>
        <v>0</v>
      </c>
      <c r="K144" s="2145">
        <f t="shared" si="28"/>
        <v>0</v>
      </c>
      <c r="L144" s="2145">
        <f>IF(Adm!$GJ$4="si",MIN(M143+E144+H144+I144-K144,AB144),0)</f>
        <v>0</v>
      </c>
      <c r="M144" s="2145">
        <f t="shared" si="29"/>
        <v>0</v>
      </c>
      <c r="N144" s="2153"/>
      <c r="U144" s="1352">
        <f t="shared" si="30"/>
        <v>2</v>
      </c>
      <c r="V144" s="1514">
        <f>IF(U144=1,Cal!$BO$127,0)</f>
        <v>0</v>
      </c>
      <c r="W144" s="1517">
        <f>IF(U144=1,Adm!$HI$4,0)</f>
        <v>0</v>
      </c>
      <c r="X144" s="1518"/>
      <c r="Y144" s="1518"/>
      <c r="Z144" s="1518"/>
      <c r="AA144" s="1368">
        <f t="shared" si="37"/>
        <v>0</v>
      </c>
      <c r="AB144" s="1369">
        <f t="shared" ca="1" si="31"/>
        <v>0</v>
      </c>
      <c r="AF144" s="1370">
        <f t="shared" si="38"/>
        <v>0</v>
      </c>
      <c r="AG144" s="1373">
        <f t="shared" si="39"/>
        <v>0</v>
      </c>
      <c r="AH144" s="1371">
        <f t="shared" si="40"/>
        <v>0</v>
      </c>
      <c r="AI144" s="1359">
        <f>HLOOKUP($AI$66,anticipadofree,75,0)</f>
        <v>-8.4490555555555551E-4</v>
      </c>
      <c r="AK144" s="1360">
        <f t="shared" si="32"/>
        <v>-8.4490555555555551E-4</v>
      </c>
      <c r="AL144" s="1361">
        <f t="shared" si="43"/>
        <v>74</v>
      </c>
      <c r="AM144" s="1191">
        <f t="shared" si="41"/>
        <v>0.01</v>
      </c>
      <c r="AN144" s="1362">
        <f t="shared" si="33"/>
        <v>858.57492850231506</v>
      </c>
      <c r="AO144" s="1362">
        <f t="shared" si="25"/>
        <v>-858.57492850231506</v>
      </c>
      <c r="AP144" s="1362">
        <f t="shared" si="42"/>
        <v>0</v>
      </c>
      <c r="AQ144" s="1363">
        <f t="shared" si="34"/>
        <v>1017037.1559034747</v>
      </c>
    </row>
    <row r="145" spans="1:43">
      <c r="A145" s="1118">
        <f t="shared" ca="1" si="23"/>
        <v>6</v>
      </c>
      <c r="B145" s="1351">
        <f t="shared" si="24"/>
        <v>0</v>
      </c>
      <c r="C145" s="2143">
        <f t="shared" si="35"/>
        <v>0</v>
      </c>
      <c r="D145" s="2154">
        <f t="shared" si="22"/>
        <v>0</v>
      </c>
      <c r="E145" s="2145">
        <f t="shared" si="26"/>
        <v>0</v>
      </c>
      <c r="F145" s="2145">
        <f t="shared" si="27"/>
        <v>0</v>
      </c>
      <c r="G145" s="2145">
        <f t="shared" si="36"/>
        <v>0</v>
      </c>
      <c r="H145" s="2145">
        <f>IF(M144&lt;0.01,0,M144*Adm!$GV$4)</f>
        <v>0</v>
      </c>
      <c r="I145" s="2145">
        <f>IF(M144&lt;0.01,0,Cal!$BO$108*Adm!$GW$4)</f>
        <v>0</v>
      </c>
      <c r="J145" s="2145">
        <f>IF(M144&lt;0.01,0,IF(Adm!$GO$4&gt;0,E145*Adm!$GO$4,0))</f>
        <v>0</v>
      </c>
      <c r="K145" s="2145">
        <f t="shared" si="28"/>
        <v>0</v>
      </c>
      <c r="L145" s="2145">
        <f>IF(Adm!$GJ$4="si",MIN(M144+E145+H145+I145-K145,AB145),0)</f>
        <v>0</v>
      </c>
      <c r="M145" s="2145">
        <f t="shared" si="29"/>
        <v>0</v>
      </c>
      <c r="N145" s="2153"/>
      <c r="U145" s="1352">
        <f t="shared" si="30"/>
        <v>3</v>
      </c>
      <c r="V145" s="1514">
        <f>IF(U145=1,Cal!$BO$127,0)</f>
        <v>0</v>
      </c>
      <c r="W145" s="1517">
        <f>IF(U145=1,Adm!$HI$4,0)</f>
        <v>0</v>
      </c>
      <c r="X145" s="1518"/>
      <c r="Y145" s="1518"/>
      <c r="Z145" s="1518"/>
      <c r="AA145" s="1368">
        <f t="shared" si="37"/>
        <v>0</v>
      </c>
      <c r="AB145" s="1369">
        <f t="shared" ca="1" si="31"/>
        <v>0</v>
      </c>
      <c r="AF145" s="1370">
        <f t="shared" si="38"/>
        <v>0</v>
      </c>
      <c r="AG145" s="1373">
        <f t="shared" si="39"/>
        <v>0</v>
      </c>
      <c r="AH145" s="1371">
        <f t="shared" si="40"/>
        <v>0</v>
      </c>
      <c r="AI145" s="1359">
        <f>HLOOKUP($AI$66,anticipadofree,76,0)</f>
        <v>-8.4490555555555551E-4</v>
      </c>
      <c r="AK145" s="1360">
        <f t="shared" si="32"/>
        <v>-8.4490555555555551E-4</v>
      </c>
      <c r="AL145" s="1361">
        <f t="shared" si="43"/>
        <v>75</v>
      </c>
      <c r="AM145" s="1191">
        <f t="shared" si="41"/>
        <v>0.01</v>
      </c>
      <c r="AN145" s="1362">
        <f t="shared" si="33"/>
        <v>859.30034322926736</v>
      </c>
      <c r="AO145" s="1362">
        <f t="shared" si="25"/>
        <v>-859.30034322926736</v>
      </c>
      <c r="AP145" s="1362">
        <f t="shared" si="42"/>
        <v>0</v>
      </c>
      <c r="AQ145" s="1363">
        <f t="shared" si="34"/>
        <v>1017896.456246704</v>
      </c>
    </row>
    <row r="146" spans="1:43">
      <c r="A146" s="1118">
        <f t="shared" ca="1" si="23"/>
        <v>7</v>
      </c>
      <c r="B146" s="1351">
        <f t="shared" si="24"/>
        <v>0</v>
      </c>
      <c r="C146" s="2143">
        <f t="shared" si="35"/>
        <v>0</v>
      </c>
      <c r="D146" s="2154">
        <f t="shared" si="22"/>
        <v>0</v>
      </c>
      <c r="E146" s="2145">
        <f t="shared" si="26"/>
        <v>0</v>
      </c>
      <c r="F146" s="2145">
        <f t="shared" si="27"/>
        <v>0</v>
      </c>
      <c r="G146" s="2145">
        <f t="shared" si="36"/>
        <v>0</v>
      </c>
      <c r="H146" s="2145">
        <f>IF(M145&lt;0.01,0,M145*Adm!$GV$4)</f>
        <v>0</v>
      </c>
      <c r="I146" s="2145">
        <f>IF(M145&lt;0.01,0,Cal!$BO$108*Adm!$GW$4)</f>
        <v>0</v>
      </c>
      <c r="J146" s="2145">
        <f>IF(M145&lt;0.01,0,IF(Adm!$GO$4&gt;0,E146*Adm!$GO$4,0))</f>
        <v>0</v>
      </c>
      <c r="K146" s="2145">
        <f t="shared" si="28"/>
        <v>0</v>
      </c>
      <c r="L146" s="2145">
        <f>IF(Adm!$GJ$4="si",MIN(M145+E146+H146+I146-K146,AB146),0)</f>
        <v>0</v>
      </c>
      <c r="M146" s="2145">
        <f t="shared" si="29"/>
        <v>0</v>
      </c>
      <c r="N146" s="2153"/>
      <c r="U146" s="1352">
        <f t="shared" si="30"/>
        <v>4</v>
      </c>
      <c r="V146" s="1514">
        <f>IF(U146=1,Cal!$BO$127,0)</f>
        <v>0</v>
      </c>
      <c r="W146" s="1517">
        <f>IF(U146=1,Adm!$HI$4,0)</f>
        <v>0</v>
      </c>
      <c r="X146" s="1518"/>
      <c r="Y146" s="1518"/>
      <c r="Z146" s="1518"/>
      <c r="AA146" s="1368">
        <f t="shared" si="37"/>
        <v>0</v>
      </c>
      <c r="AB146" s="1369">
        <f t="shared" ca="1" si="31"/>
        <v>0</v>
      </c>
      <c r="AF146" s="1370">
        <f t="shared" si="38"/>
        <v>0</v>
      </c>
      <c r="AG146" s="1373">
        <f t="shared" si="39"/>
        <v>0</v>
      </c>
      <c r="AH146" s="1371">
        <f t="shared" si="40"/>
        <v>0</v>
      </c>
      <c r="AI146" s="1359">
        <f>HLOOKUP($AI$66,anticipadofree,77,0)</f>
        <v>-8.4490555555555551E-4</v>
      </c>
      <c r="AK146" s="1360">
        <f t="shared" si="32"/>
        <v>-8.4490555555555551E-4</v>
      </c>
      <c r="AL146" s="1361">
        <f t="shared" si="43"/>
        <v>76</v>
      </c>
      <c r="AM146" s="1191">
        <f t="shared" si="41"/>
        <v>0.01</v>
      </c>
      <c r="AN146" s="1362">
        <f t="shared" si="33"/>
        <v>860.02637086315258</v>
      </c>
      <c r="AO146" s="1362">
        <f t="shared" si="25"/>
        <v>-860.02637086315258</v>
      </c>
      <c r="AP146" s="1362">
        <f t="shared" si="42"/>
        <v>0</v>
      </c>
      <c r="AQ146" s="1363">
        <f t="shared" si="34"/>
        <v>1018756.4826175672</v>
      </c>
    </row>
    <row r="147" spans="1:43">
      <c r="A147" s="1118">
        <f t="shared" ca="1" si="23"/>
        <v>8</v>
      </c>
      <c r="B147" s="1351">
        <f t="shared" si="24"/>
        <v>0</v>
      </c>
      <c r="C147" s="2143">
        <f t="shared" si="35"/>
        <v>0</v>
      </c>
      <c r="D147" s="2154">
        <f t="shared" si="22"/>
        <v>0</v>
      </c>
      <c r="E147" s="2145">
        <f t="shared" si="26"/>
        <v>0</v>
      </c>
      <c r="F147" s="2145">
        <f t="shared" si="27"/>
        <v>0</v>
      </c>
      <c r="G147" s="2145">
        <f t="shared" si="36"/>
        <v>0</v>
      </c>
      <c r="H147" s="2145">
        <f>IF(M146&lt;0.01,0,M146*Adm!$GV$4)</f>
        <v>0</v>
      </c>
      <c r="I147" s="2145">
        <f>IF(M146&lt;0.01,0,Cal!$BO$108*Adm!$GW$4)</f>
        <v>0</v>
      </c>
      <c r="J147" s="2145">
        <f>IF(M146&lt;0.01,0,IF(Adm!$GO$4&gt;0,E147*Adm!$GO$4,0))</f>
        <v>0</v>
      </c>
      <c r="K147" s="2145">
        <f t="shared" si="28"/>
        <v>0</v>
      </c>
      <c r="L147" s="2145">
        <f>IF(Adm!$GJ$4="si",MIN(M146+E147+H147+I147-K147,AB147),0)</f>
        <v>0</v>
      </c>
      <c r="M147" s="2145">
        <f t="shared" si="29"/>
        <v>0</v>
      </c>
      <c r="N147" s="2153"/>
      <c r="U147" s="1352">
        <f t="shared" si="30"/>
        <v>5</v>
      </c>
      <c r="V147" s="1514">
        <f>IF(U147=1,Cal!$BO$127,0)</f>
        <v>0</v>
      </c>
      <c r="W147" s="1517">
        <f>IF(U147=1,Adm!$HI$4,0)</f>
        <v>0</v>
      </c>
      <c r="X147" s="1518"/>
      <c r="Y147" s="1518"/>
      <c r="Z147" s="1518"/>
      <c r="AA147" s="1368">
        <f t="shared" si="37"/>
        <v>0</v>
      </c>
      <c r="AB147" s="1369">
        <f t="shared" ca="1" si="31"/>
        <v>0</v>
      </c>
      <c r="AF147" s="1370">
        <f t="shared" si="38"/>
        <v>0</v>
      </c>
      <c r="AG147" s="1373">
        <f t="shared" si="39"/>
        <v>0</v>
      </c>
      <c r="AH147" s="1371">
        <f t="shared" si="40"/>
        <v>0</v>
      </c>
      <c r="AI147" s="1359">
        <f>HLOOKUP($AI$66,anticipadofree,78,0)</f>
        <v>-8.4490555555555551E-4</v>
      </c>
      <c r="AK147" s="1360">
        <f t="shared" si="32"/>
        <v>-8.4490555555555551E-4</v>
      </c>
      <c r="AL147" s="1361">
        <f t="shared" si="43"/>
        <v>77</v>
      </c>
      <c r="AM147" s="1191">
        <f t="shared" si="41"/>
        <v>0.01</v>
      </c>
      <c r="AN147" s="1362">
        <f t="shared" si="33"/>
        <v>860.75301192181928</v>
      </c>
      <c r="AO147" s="1362">
        <f t="shared" si="25"/>
        <v>-860.75301192181928</v>
      </c>
      <c r="AP147" s="1362">
        <f t="shared" si="42"/>
        <v>0</v>
      </c>
      <c r="AQ147" s="1363">
        <f t="shared" si="34"/>
        <v>1019617.2356294889</v>
      </c>
    </row>
    <row r="148" spans="1:43">
      <c r="A148" s="1118">
        <f t="shared" ca="1" si="23"/>
        <v>9</v>
      </c>
      <c r="B148" s="1351">
        <f t="shared" si="24"/>
        <v>0</v>
      </c>
      <c r="C148" s="2143">
        <f t="shared" si="35"/>
        <v>0</v>
      </c>
      <c r="D148" s="2154">
        <f t="shared" si="22"/>
        <v>0</v>
      </c>
      <c r="E148" s="2145">
        <f t="shared" si="26"/>
        <v>0</v>
      </c>
      <c r="F148" s="2145">
        <f t="shared" si="27"/>
        <v>0</v>
      </c>
      <c r="G148" s="2145">
        <f t="shared" si="36"/>
        <v>0</v>
      </c>
      <c r="H148" s="2145">
        <f>IF(M147&lt;0.01,0,M147*Adm!$GV$4)</f>
        <v>0</v>
      </c>
      <c r="I148" s="2145">
        <f>IF(M147&lt;0.01,0,Cal!$BO$108*Adm!$GW$4)</f>
        <v>0</v>
      </c>
      <c r="J148" s="2145">
        <f>IF(M147&lt;0.01,0,IF(Adm!$GO$4&gt;0,E148*Adm!$GO$4,0))</f>
        <v>0</v>
      </c>
      <c r="K148" s="2145">
        <f t="shared" si="28"/>
        <v>0</v>
      </c>
      <c r="L148" s="2145">
        <f>IF(Adm!$GJ$4="si",MIN(M147+E148+H148+I148-K148,AB148),0)</f>
        <v>0</v>
      </c>
      <c r="M148" s="2145">
        <f t="shared" si="29"/>
        <v>0</v>
      </c>
      <c r="N148" s="2153"/>
      <c r="U148" s="1352">
        <f t="shared" si="30"/>
        <v>6</v>
      </c>
      <c r="V148" s="1514">
        <f>IF(U148=1,Cal!$BO$127,0)</f>
        <v>0</v>
      </c>
      <c r="W148" s="1517">
        <f>IF(U148=1,Adm!$HI$4,0)</f>
        <v>0</v>
      </c>
      <c r="X148" s="1518"/>
      <c r="Y148" s="1518"/>
      <c r="Z148" s="1518"/>
      <c r="AA148" s="1368">
        <f t="shared" si="37"/>
        <v>0</v>
      </c>
      <c r="AB148" s="1369">
        <f t="shared" ca="1" si="31"/>
        <v>0</v>
      </c>
      <c r="AF148" s="1370">
        <f t="shared" si="38"/>
        <v>0</v>
      </c>
      <c r="AG148" s="1373">
        <f t="shared" si="39"/>
        <v>0</v>
      </c>
      <c r="AH148" s="1371">
        <f t="shared" si="40"/>
        <v>0</v>
      </c>
      <c r="AI148" s="1359">
        <f>HLOOKUP($AI$66,anticipadofree,79,0)</f>
        <v>-8.4490555555555551E-4</v>
      </c>
      <c r="AK148" s="1360">
        <f t="shared" si="32"/>
        <v>-8.4490555555555551E-4</v>
      </c>
      <c r="AL148" s="1361">
        <f t="shared" si="43"/>
        <v>78</v>
      </c>
      <c r="AM148" s="1191">
        <f t="shared" si="41"/>
        <v>0.01</v>
      </c>
      <c r="AN148" s="1362">
        <f t="shared" si="33"/>
        <v>861.48026692355313</v>
      </c>
      <c r="AO148" s="1362">
        <f t="shared" si="25"/>
        <v>-861.48026692355313</v>
      </c>
      <c r="AP148" s="1362">
        <f t="shared" si="42"/>
        <v>0</v>
      </c>
      <c r="AQ148" s="1363">
        <f t="shared" si="34"/>
        <v>1020478.7158964125</v>
      </c>
    </row>
    <row r="149" spans="1:43">
      <c r="A149" s="1118">
        <f t="shared" ca="1" si="23"/>
        <v>10</v>
      </c>
      <c r="B149" s="1351">
        <f t="shared" si="24"/>
        <v>0</v>
      </c>
      <c r="C149" s="2143">
        <f t="shared" si="35"/>
        <v>0</v>
      </c>
      <c r="D149" s="2154">
        <f t="shared" si="22"/>
        <v>0</v>
      </c>
      <c r="E149" s="2145">
        <f t="shared" si="26"/>
        <v>0</v>
      </c>
      <c r="F149" s="2145">
        <f t="shared" si="27"/>
        <v>0</v>
      </c>
      <c r="G149" s="2145">
        <f t="shared" si="36"/>
        <v>0</v>
      </c>
      <c r="H149" s="2145">
        <f>IF(M148&lt;0.01,0,M148*Adm!$GV$4)</f>
        <v>0</v>
      </c>
      <c r="I149" s="2145">
        <f>IF(M148&lt;0.01,0,Cal!$BO$108*Adm!$GW$4)</f>
        <v>0</v>
      </c>
      <c r="J149" s="2145">
        <f>IF(M148&lt;0.01,0,IF(Adm!$GO$4&gt;0,E149*Adm!$GO$4,0))</f>
        <v>0</v>
      </c>
      <c r="K149" s="2145">
        <f t="shared" si="28"/>
        <v>0</v>
      </c>
      <c r="L149" s="2145">
        <f>IF(Adm!$GJ$4="si",MIN(M148+E149+H149+I149-K149,AB149),0)</f>
        <v>0</v>
      </c>
      <c r="M149" s="2145">
        <f t="shared" si="29"/>
        <v>0</v>
      </c>
      <c r="N149" s="2153"/>
      <c r="U149" s="1352">
        <f t="shared" si="30"/>
        <v>7</v>
      </c>
      <c r="V149" s="1514">
        <f>IF(U149=1,Cal!$BO$127,0)</f>
        <v>0</v>
      </c>
      <c r="W149" s="1517">
        <f>IF(U149=1,Adm!$HI$4,0)</f>
        <v>0</v>
      </c>
      <c r="X149" s="1518"/>
      <c r="Y149" s="1518"/>
      <c r="Z149" s="1518"/>
      <c r="AA149" s="1368">
        <f t="shared" si="37"/>
        <v>0</v>
      </c>
      <c r="AB149" s="1369">
        <f t="shared" ca="1" si="31"/>
        <v>0</v>
      </c>
      <c r="AF149" s="1370">
        <f t="shared" si="38"/>
        <v>0</v>
      </c>
      <c r="AG149" s="1373">
        <f t="shared" si="39"/>
        <v>0</v>
      </c>
      <c r="AH149" s="1371">
        <f t="shared" si="40"/>
        <v>0</v>
      </c>
      <c r="AI149" s="1359">
        <f>HLOOKUP($AI$66,anticipadofree,80,0)</f>
        <v>-8.4490555555555551E-4</v>
      </c>
      <c r="AK149" s="1360">
        <f t="shared" si="32"/>
        <v>-8.4490555555555551E-4</v>
      </c>
      <c r="AL149" s="1361">
        <f t="shared" si="43"/>
        <v>79</v>
      </c>
      <c r="AM149" s="1191">
        <f t="shared" si="41"/>
        <v>0.01</v>
      </c>
      <c r="AN149" s="1362">
        <f t="shared" si="33"/>
        <v>862.2081363870783</v>
      </c>
      <c r="AO149" s="1362">
        <f t="shared" si="25"/>
        <v>-862.2081363870783</v>
      </c>
      <c r="AP149" s="1362">
        <f t="shared" si="42"/>
        <v>0</v>
      </c>
      <c r="AQ149" s="1363">
        <f t="shared" si="34"/>
        <v>1021340.9240327996</v>
      </c>
    </row>
    <row r="150" spans="1:43">
      <c r="A150" s="1118">
        <f t="shared" ca="1" si="23"/>
        <v>11</v>
      </c>
      <c r="B150" s="1351">
        <f t="shared" si="24"/>
        <v>0</v>
      </c>
      <c r="C150" s="2143">
        <f t="shared" si="35"/>
        <v>0</v>
      </c>
      <c r="D150" s="2144">
        <f t="shared" si="22"/>
        <v>0</v>
      </c>
      <c r="E150" s="2145">
        <f t="shared" si="26"/>
        <v>0</v>
      </c>
      <c r="F150" s="2145">
        <f t="shared" si="27"/>
        <v>0</v>
      </c>
      <c r="G150" s="2145">
        <f t="shared" si="36"/>
        <v>0</v>
      </c>
      <c r="H150" s="2145">
        <f>IF(M149&lt;0.01,0,M149*Adm!$GV$4)</f>
        <v>0</v>
      </c>
      <c r="I150" s="2145">
        <f>IF(M149&lt;0.01,0,Cal!$BO$108*Adm!$GW$4)</f>
        <v>0</v>
      </c>
      <c r="J150" s="2145">
        <f>IF(M149&lt;0.01,0,IF(Adm!$GO$4&gt;0,E150*Adm!$GO$4,0))</f>
        <v>0</v>
      </c>
      <c r="K150" s="2145">
        <f t="shared" si="28"/>
        <v>0</v>
      </c>
      <c r="L150" s="2145">
        <f>IF(Adm!$GJ$4="si",MIN(M149+E150+H150+I150-K150,AB150),0)</f>
        <v>0</v>
      </c>
      <c r="M150" s="2145">
        <f t="shared" si="29"/>
        <v>0</v>
      </c>
      <c r="N150" s="2153"/>
      <c r="U150" s="1352">
        <f t="shared" si="30"/>
        <v>8</v>
      </c>
      <c r="V150" s="1514">
        <f>IF(U150=1,Cal!$BO$127,0)</f>
        <v>0</v>
      </c>
      <c r="W150" s="1517">
        <f>IF(U150=1,Adm!$HI$4,0)</f>
        <v>0</v>
      </c>
      <c r="X150" s="1518"/>
      <c r="Y150" s="1518"/>
      <c r="Z150" s="1518"/>
      <c r="AA150" s="1368">
        <f t="shared" si="37"/>
        <v>0</v>
      </c>
      <c r="AB150" s="1369">
        <f t="shared" ca="1" si="31"/>
        <v>0</v>
      </c>
      <c r="AF150" s="1370">
        <f t="shared" si="38"/>
        <v>0</v>
      </c>
      <c r="AG150" s="1373">
        <f t="shared" si="39"/>
        <v>0</v>
      </c>
      <c r="AH150" s="1371">
        <f t="shared" si="40"/>
        <v>0</v>
      </c>
      <c r="AI150" s="1359">
        <f>HLOOKUP($AI$66,anticipadofree,81,0)</f>
        <v>-8.4490555555555551E-4</v>
      </c>
      <c r="AK150" s="1360">
        <f t="shared" si="32"/>
        <v>-8.4490555555555551E-4</v>
      </c>
      <c r="AL150" s="1361">
        <f t="shared" si="43"/>
        <v>80</v>
      </c>
      <c r="AM150" s="1191">
        <f t="shared" si="41"/>
        <v>0.01</v>
      </c>
      <c r="AN150" s="1362">
        <f t="shared" si="33"/>
        <v>862.93662083155698</v>
      </c>
      <c r="AO150" s="1362">
        <f t="shared" si="25"/>
        <v>-862.93662083155698</v>
      </c>
      <c r="AP150" s="1362">
        <f t="shared" si="42"/>
        <v>0</v>
      </c>
      <c r="AQ150" s="1363">
        <f t="shared" si="34"/>
        <v>1022203.8606536312</v>
      </c>
    </row>
    <row r="151" spans="1:43">
      <c r="A151" s="1118">
        <f t="shared" ca="1" si="23"/>
        <v>12</v>
      </c>
      <c r="B151" s="1351">
        <f t="shared" si="24"/>
        <v>0</v>
      </c>
      <c r="C151" s="2143">
        <f t="shared" si="35"/>
        <v>0</v>
      </c>
      <c r="D151" s="2144">
        <f t="shared" si="22"/>
        <v>0</v>
      </c>
      <c r="E151" s="2145">
        <f t="shared" si="26"/>
        <v>0</v>
      </c>
      <c r="F151" s="2145">
        <f t="shared" si="27"/>
        <v>0</v>
      </c>
      <c r="G151" s="2145">
        <f t="shared" si="36"/>
        <v>0</v>
      </c>
      <c r="H151" s="2145">
        <f>IF(M150&lt;0.01,0,M150*Adm!$GV$4)</f>
        <v>0</v>
      </c>
      <c r="I151" s="2145">
        <f>IF(M150&lt;0.01,0,Cal!$BO$108*Adm!$GW$4)</f>
        <v>0</v>
      </c>
      <c r="J151" s="2145">
        <f>IF(M150&lt;0.01,0,IF(Adm!$GO$4&gt;0,E151*Adm!$GO$4,0))</f>
        <v>0</v>
      </c>
      <c r="K151" s="2145">
        <f t="shared" si="28"/>
        <v>0</v>
      </c>
      <c r="L151" s="2145">
        <f>IF(Adm!$GJ$4="si",MIN(M150+E151+H151+I151-K151,AB151),0)</f>
        <v>0</v>
      </c>
      <c r="M151" s="2145">
        <f t="shared" si="29"/>
        <v>0</v>
      </c>
      <c r="N151" s="2153"/>
      <c r="U151" s="1352">
        <f t="shared" si="30"/>
        <v>9</v>
      </c>
      <c r="V151" s="1514">
        <f>IF(U151=1,Cal!$BO$127,0)</f>
        <v>0</v>
      </c>
      <c r="W151" s="1517">
        <f>IF(U151=1,Adm!$HI$4,0)</f>
        <v>0</v>
      </c>
      <c r="X151" s="1518"/>
      <c r="Y151" s="1518"/>
      <c r="Z151" s="1518"/>
      <c r="AA151" s="1368">
        <f t="shared" si="37"/>
        <v>0</v>
      </c>
      <c r="AB151" s="1369">
        <f t="shared" ca="1" si="31"/>
        <v>0</v>
      </c>
      <c r="AF151" s="1370">
        <f t="shared" si="38"/>
        <v>0</v>
      </c>
      <c r="AG151" s="1373">
        <f t="shared" si="39"/>
        <v>0</v>
      </c>
      <c r="AH151" s="1371">
        <f t="shared" si="40"/>
        <v>0</v>
      </c>
      <c r="AI151" s="1359">
        <f>HLOOKUP($AI$66,anticipadofree,82,0)</f>
        <v>-8.4490555555555541E-4</v>
      </c>
      <c r="AK151" s="1360">
        <f t="shared" si="32"/>
        <v>-8.4490555555555541E-4</v>
      </c>
      <c r="AL151" s="1361">
        <f t="shared" si="43"/>
        <v>81</v>
      </c>
      <c r="AM151" s="1191">
        <f t="shared" si="41"/>
        <v>0.01</v>
      </c>
      <c r="AN151" s="1362">
        <f t="shared" si="33"/>
        <v>863.66572077658975</v>
      </c>
      <c r="AO151" s="1362">
        <f t="shared" si="25"/>
        <v>-863.66572077658975</v>
      </c>
      <c r="AP151" s="1362">
        <f t="shared" si="42"/>
        <v>0</v>
      </c>
      <c r="AQ151" s="1363">
        <f t="shared" si="34"/>
        <v>1023067.5263744077</v>
      </c>
    </row>
    <row r="152" spans="1:43">
      <c r="A152" s="1118">
        <f t="shared" ca="1" si="23"/>
        <v>1</v>
      </c>
      <c r="B152" s="1351">
        <f t="shared" si="24"/>
        <v>0</v>
      </c>
      <c r="C152" s="2143">
        <f t="shared" si="35"/>
        <v>0</v>
      </c>
      <c r="D152" s="2144">
        <f t="shared" si="22"/>
        <v>0</v>
      </c>
      <c r="E152" s="2145">
        <f t="shared" si="26"/>
        <v>0</v>
      </c>
      <c r="F152" s="2145">
        <f t="shared" si="27"/>
        <v>0</v>
      </c>
      <c r="G152" s="2145">
        <f t="shared" si="36"/>
        <v>0</v>
      </c>
      <c r="H152" s="2145">
        <f>IF(M151&lt;0.01,0,M151*Adm!$GV$4)</f>
        <v>0</v>
      </c>
      <c r="I152" s="2145">
        <f>IF(M151&lt;0.01,0,Cal!$BO$108*Adm!$GW$4)</f>
        <v>0</v>
      </c>
      <c r="J152" s="2145">
        <f>IF(M151&lt;0.01,0,IF(Adm!$GO$4&gt;0,E152*Adm!$GO$4,0))</f>
        <v>0</v>
      </c>
      <c r="K152" s="2145">
        <f t="shared" si="28"/>
        <v>0</v>
      </c>
      <c r="L152" s="2145">
        <f>IF(Adm!$GJ$4="si",MIN(M151+E152+H152+I152-K152,AB152),0)</f>
        <v>0</v>
      </c>
      <c r="M152" s="2145">
        <f t="shared" si="29"/>
        <v>0</v>
      </c>
      <c r="N152" s="2153"/>
      <c r="U152" s="1352">
        <f t="shared" si="30"/>
        <v>10</v>
      </c>
      <c r="V152" s="1514">
        <f>IF(U152=1,Cal!$BO$127,0)</f>
        <v>0</v>
      </c>
      <c r="W152" s="1517">
        <f>IF(U152=1,Adm!$HI$4,0)</f>
        <v>0</v>
      </c>
      <c r="X152" s="1518"/>
      <c r="Y152" s="1518"/>
      <c r="Z152" s="1518"/>
      <c r="AA152" s="1368">
        <f t="shared" si="37"/>
        <v>0</v>
      </c>
      <c r="AB152" s="1369">
        <f t="shared" ca="1" si="31"/>
        <v>0</v>
      </c>
      <c r="AF152" s="1370">
        <f t="shared" si="38"/>
        <v>0</v>
      </c>
      <c r="AG152" s="1373">
        <f t="shared" si="39"/>
        <v>0</v>
      </c>
      <c r="AH152" s="1371">
        <f t="shared" si="40"/>
        <v>0</v>
      </c>
      <c r="AI152" s="1359">
        <f>HLOOKUP($AI$66,anticipadofree,83,0)</f>
        <v>-8.4490555555555551E-4</v>
      </c>
      <c r="AK152" s="1360">
        <f t="shared" si="32"/>
        <v>-8.4490555555555551E-4</v>
      </c>
      <c r="AL152" s="1361">
        <f t="shared" si="43"/>
        <v>82</v>
      </c>
      <c r="AM152" s="1191">
        <f t="shared" si="41"/>
        <v>0.01</v>
      </c>
      <c r="AN152" s="1362">
        <f t="shared" si="33"/>
        <v>864.39543674221693</v>
      </c>
      <c r="AO152" s="1362">
        <f t="shared" si="25"/>
        <v>-864.39543674221693</v>
      </c>
      <c r="AP152" s="1362">
        <f t="shared" si="42"/>
        <v>0</v>
      </c>
      <c r="AQ152" s="1363">
        <f t="shared" si="34"/>
        <v>1023931.9218111499</v>
      </c>
    </row>
    <row r="153" spans="1:43">
      <c r="A153" s="1118">
        <f t="shared" ca="1" si="23"/>
        <v>2</v>
      </c>
      <c r="B153" s="1351">
        <f t="shared" si="24"/>
        <v>0</v>
      </c>
      <c r="C153" s="2143">
        <f t="shared" si="35"/>
        <v>0</v>
      </c>
      <c r="D153" s="2144">
        <f t="shared" si="22"/>
        <v>0</v>
      </c>
      <c r="E153" s="2145">
        <f t="shared" si="26"/>
        <v>0</v>
      </c>
      <c r="F153" s="2145">
        <f t="shared" si="27"/>
        <v>0</v>
      </c>
      <c r="G153" s="2145">
        <f t="shared" si="36"/>
        <v>0</v>
      </c>
      <c r="H153" s="2145">
        <f>IF(M152&lt;0.01,0,M152*Adm!$GV$4)</f>
        <v>0</v>
      </c>
      <c r="I153" s="2145">
        <f>IF(M152&lt;0.01,0,Cal!$BO$108*Adm!$GW$4)</f>
        <v>0</v>
      </c>
      <c r="J153" s="2145">
        <f>IF(M152&lt;0.01,0,IF(Adm!$GO$4&gt;0,E153*Adm!$GO$4,0))</f>
        <v>0</v>
      </c>
      <c r="K153" s="2145">
        <f t="shared" si="28"/>
        <v>0</v>
      </c>
      <c r="L153" s="2145">
        <f>IF(Adm!$GJ$4="si",MIN(M152+E153+H153+I153-K153,AB153),0)</f>
        <v>0</v>
      </c>
      <c r="M153" s="2145">
        <f t="shared" si="29"/>
        <v>0</v>
      </c>
      <c r="N153" s="2153"/>
      <c r="U153" s="1352">
        <f t="shared" si="30"/>
        <v>11</v>
      </c>
      <c r="V153" s="1514">
        <f>IF(U153=1,Cal!$BO$127,0)</f>
        <v>0</v>
      </c>
      <c r="W153" s="1517">
        <f>IF(U153=1,Adm!$HI$4,0)</f>
        <v>0</v>
      </c>
      <c r="X153" s="1518"/>
      <c r="Y153" s="1518"/>
      <c r="Z153" s="1518"/>
      <c r="AA153" s="1368">
        <f t="shared" si="37"/>
        <v>0</v>
      </c>
      <c r="AB153" s="1369">
        <f t="shared" ca="1" si="31"/>
        <v>0</v>
      </c>
      <c r="AF153" s="1370">
        <f t="shared" si="38"/>
        <v>0</v>
      </c>
      <c r="AG153" s="1373">
        <f t="shared" si="39"/>
        <v>0</v>
      </c>
      <c r="AH153" s="1371">
        <f t="shared" si="40"/>
        <v>0</v>
      </c>
      <c r="AI153" s="1359">
        <f>HLOOKUP($AI$66,anticipadofree,84,0)</f>
        <v>-8.4490555555555562E-4</v>
      </c>
      <c r="AK153" s="1360">
        <f t="shared" si="32"/>
        <v>-8.4490555555555562E-4</v>
      </c>
      <c r="AL153" s="1361">
        <f t="shared" si="43"/>
        <v>83</v>
      </c>
      <c r="AM153" s="1191">
        <f t="shared" si="41"/>
        <v>0.01</v>
      </c>
      <c r="AN153" s="1362">
        <f t="shared" si="33"/>
        <v>865.12576924891732</v>
      </c>
      <c r="AO153" s="1362">
        <f t="shared" si="25"/>
        <v>-865.12576924891732</v>
      </c>
      <c r="AP153" s="1362">
        <f t="shared" si="42"/>
        <v>0</v>
      </c>
      <c r="AQ153" s="1363">
        <f t="shared" si="34"/>
        <v>1024797.0475803989</v>
      </c>
    </row>
    <row r="154" spans="1:43">
      <c r="A154" s="1118">
        <f t="shared" ca="1" si="23"/>
        <v>3</v>
      </c>
      <c r="B154" s="1351">
        <f t="shared" si="24"/>
        <v>0</v>
      </c>
      <c r="C154" s="2143">
        <f t="shared" si="35"/>
        <v>0</v>
      </c>
      <c r="D154" s="2144">
        <f t="shared" si="22"/>
        <v>0</v>
      </c>
      <c r="E154" s="2145">
        <f t="shared" si="26"/>
        <v>0</v>
      </c>
      <c r="F154" s="2145">
        <f t="shared" si="27"/>
        <v>0</v>
      </c>
      <c r="G154" s="2145">
        <f t="shared" si="36"/>
        <v>0</v>
      </c>
      <c r="H154" s="2145">
        <f>IF(M153&lt;0.01,0,M153*Adm!$GV$4)</f>
        <v>0</v>
      </c>
      <c r="I154" s="2145">
        <f>IF(M153&lt;0.01,0,Cal!$BO$108*Adm!$GW$4)</f>
        <v>0</v>
      </c>
      <c r="J154" s="2145">
        <f>IF(M153&lt;0.01,0,IF(Adm!$GO$4&gt;0,E154*Adm!$GO$4,0))</f>
        <v>0</v>
      </c>
      <c r="K154" s="2145">
        <f t="shared" si="28"/>
        <v>0</v>
      </c>
      <c r="L154" s="2145">
        <f>IF(Adm!$GJ$4="si",MIN(M153+E154+H154+I154-K154,AB154),0)</f>
        <v>0</v>
      </c>
      <c r="M154" s="2145">
        <f t="shared" si="29"/>
        <v>0</v>
      </c>
      <c r="N154" s="2153"/>
      <c r="U154" s="1352">
        <f t="shared" si="30"/>
        <v>12</v>
      </c>
      <c r="V154" s="1514">
        <f>IF(U154=1,Cal!$BO$127,0)</f>
        <v>0</v>
      </c>
      <c r="W154" s="1517">
        <f>IF(U154=1,Adm!$HI$4,0)</f>
        <v>0</v>
      </c>
      <c r="X154" s="1518"/>
      <c r="Y154" s="1518"/>
      <c r="Z154" s="1518"/>
      <c r="AA154" s="1368">
        <f t="shared" si="37"/>
        <v>0</v>
      </c>
      <c r="AB154" s="1369">
        <f t="shared" ca="1" si="31"/>
        <v>0</v>
      </c>
      <c r="AF154" s="1370">
        <f t="shared" si="38"/>
        <v>0</v>
      </c>
      <c r="AG154" s="1373">
        <f t="shared" si="39"/>
        <v>0</v>
      </c>
      <c r="AH154" s="1371">
        <f t="shared" si="40"/>
        <v>0</v>
      </c>
      <c r="AI154" s="1359">
        <f>HLOOKUP($AI$66,anticipadofree,85,0)</f>
        <v>-8.4490555555555541E-4</v>
      </c>
      <c r="AK154" s="1360">
        <f t="shared" si="32"/>
        <v>-8.4490555555555541E-4</v>
      </c>
      <c r="AL154" s="1361">
        <f t="shared" si="43"/>
        <v>84</v>
      </c>
      <c r="AM154" s="1191">
        <f t="shared" si="41"/>
        <v>0.01</v>
      </c>
      <c r="AN154" s="1362">
        <f t="shared" si="33"/>
        <v>865.85671881760982</v>
      </c>
      <c r="AO154" s="1362">
        <f t="shared" si="25"/>
        <v>-865.85671881760982</v>
      </c>
      <c r="AP154" s="1362">
        <f t="shared" si="42"/>
        <v>0</v>
      </c>
      <c r="AQ154" s="1363">
        <f t="shared" si="34"/>
        <v>1025662.9042992165</v>
      </c>
    </row>
    <row r="155" spans="1:43">
      <c r="A155" s="1118">
        <f t="shared" ca="1" si="23"/>
        <v>4</v>
      </c>
      <c r="B155" s="1351">
        <f t="shared" si="24"/>
        <v>0</v>
      </c>
      <c r="C155" s="2143">
        <f t="shared" si="35"/>
        <v>0</v>
      </c>
      <c r="D155" s="2144">
        <f t="shared" si="22"/>
        <v>0</v>
      </c>
      <c r="E155" s="2145">
        <f t="shared" si="26"/>
        <v>0</v>
      </c>
      <c r="F155" s="2145">
        <f t="shared" si="27"/>
        <v>0</v>
      </c>
      <c r="G155" s="2145">
        <f t="shared" si="36"/>
        <v>0</v>
      </c>
      <c r="H155" s="2145">
        <f>IF(M154&lt;0.01,0,M154*Adm!$GV$4)</f>
        <v>0</v>
      </c>
      <c r="I155" s="2145">
        <f>IF(M154&lt;0.01,0,Cal!$BO$108*Adm!$GW$4)</f>
        <v>0</v>
      </c>
      <c r="J155" s="2145">
        <f>IF(M154&lt;0.01,0,IF(Adm!$GO$4&gt;0,E155*Adm!$GO$4,0))</f>
        <v>0</v>
      </c>
      <c r="K155" s="2145">
        <f t="shared" si="28"/>
        <v>0</v>
      </c>
      <c r="L155" s="2145">
        <f>IF(Adm!$GJ$4="si",MIN(M154+E155+H155+I155-K155,AB155),0)</f>
        <v>0</v>
      </c>
      <c r="M155" s="2145">
        <f t="shared" si="29"/>
        <v>0</v>
      </c>
      <c r="N155" s="2153"/>
      <c r="U155" s="1352">
        <f t="shared" si="30"/>
        <v>1</v>
      </c>
      <c r="V155" s="1514">
        <f>IF(U155=1,Cal!$BO$127,0)</f>
        <v>0</v>
      </c>
      <c r="W155" s="1517">
        <f>IF(U155=1,Adm!$HI$4,0)</f>
        <v>2.5000000000000001E-3</v>
      </c>
      <c r="X155" s="1518"/>
      <c r="Y155" s="1518"/>
      <c r="Z155" s="1518"/>
      <c r="AA155" s="1368">
        <f t="shared" si="37"/>
        <v>0</v>
      </c>
      <c r="AB155" s="1369">
        <f t="shared" ca="1" si="31"/>
        <v>0</v>
      </c>
      <c r="AF155" s="1370">
        <f t="shared" si="38"/>
        <v>0</v>
      </c>
      <c r="AG155" s="1373">
        <f t="shared" si="39"/>
        <v>0</v>
      </c>
      <c r="AH155" s="1371">
        <f t="shared" si="40"/>
        <v>0</v>
      </c>
      <c r="AI155" s="1359">
        <f>HLOOKUP($AI$66,anticipadofree,86,0)</f>
        <v>-8.4490555555555551E-4</v>
      </c>
      <c r="AK155" s="1360">
        <f t="shared" si="32"/>
        <v>-8.4490555555555551E-4</v>
      </c>
      <c r="AL155" s="1377">
        <f t="shared" si="43"/>
        <v>85</v>
      </c>
      <c r="AM155" s="1516">
        <f t="shared" si="41"/>
        <v>0.01</v>
      </c>
      <c r="AN155" s="1378">
        <f t="shared" si="33"/>
        <v>866.58828596965407</v>
      </c>
      <c r="AO155" s="1378">
        <f t="shared" si="25"/>
        <v>-866.58828596965407</v>
      </c>
      <c r="AP155" s="1378">
        <f>MIN(AQ154+AN155,AP154*(1+$AN$66))</f>
        <v>0</v>
      </c>
      <c r="AQ155" s="1363">
        <f t="shared" si="34"/>
        <v>1026529.4925851861</v>
      </c>
    </row>
    <row r="156" spans="1:43">
      <c r="A156" s="1118">
        <f t="shared" ca="1" si="23"/>
        <v>5</v>
      </c>
      <c r="B156" s="1351">
        <f t="shared" si="24"/>
        <v>0</v>
      </c>
      <c r="C156" s="2143">
        <f t="shared" si="35"/>
        <v>0</v>
      </c>
      <c r="D156" s="2144">
        <f t="shared" si="22"/>
        <v>0</v>
      </c>
      <c r="E156" s="2145">
        <f t="shared" si="26"/>
        <v>0</v>
      </c>
      <c r="F156" s="2145">
        <f t="shared" si="27"/>
        <v>0</v>
      </c>
      <c r="G156" s="2145">
        <f t="shared" si="36"/>
        <v>0</v>
      </c>
      <c r="H156" s="2145">
        <f>IF(M155&lt;0.01,0,M155*Adm!$GV$4)</f>
        <v>0</v>
      </c>
      <c r="I156" s="2145">
        <f>IF(M155&lt;0.01,0,Cal!$BO$108*Adm!$GW$4)</f>
        <v>0</v>
      </c>
      <c r="J156" s="2145">
        <f>IF(M155&lt;0.01,0,IF(Adm!$GO$4&gt;0,E156*Adm!$GO$4,0))</f>
        <v>0</v>
      </c>
      <c r="K156" s="2145">
        <f t="shared" si="28"/>
        <v>0</v>
      </c>
      <c r="L156" s="2145">
        <f>IF(Adm!$GJ$4="si",MIN(M155+E156+H156+I156-K156,AB156),0)</f>
        <v>0</v>
      </c>
      <c r="M156" s="2145">
        <f t="shared" si="29"/>
        <v>0</v>
      </c>
      <c r="N156" s="2153"/>
      <c r="U156" s="1352">
        <f t="shared" si="30"/>
        <v>2</v>
      </c>
      <c r="V156" s="1514">
        <f>IF(U156=1,Cal!$BO$127,0)</f>
        <v>0</v>
      </c>
      <c r="W156" s="1517">
        <f>IF(U156=1,Adm!$HI$4,0)</f>
        <v>0</v>
      </c>
      <c r="X156" s="1518"/>
      <c r="Y156" s="1518"/>
      <c r="Z156" s="1518"/>
      <c r="AA156" s="1368">
        <f t="shared" si="37"/>
        <v>0</v>
      </c>
      <c r="AB156" s="1369">
        <f t="shared" ca="1" si="31"/>
        <v>0</v>
      </c>
      <c r="AF156" s="1370">
        <f t="shared" si="38"/>
        <v>0</v>
      </c>
      <c r="AG156" s="1373">
        <f t="shared" si="39"/>
        <v>0</v>
      </c>
      <c r="AH156" s="1371">
        <f t="shared" si="40"/>
        <v>0</v>
      </c>
      <c r="AI156" s="1359">
        <f>HLOOKUP($AI$66,anticipadofree,87,0)</f>
        <v>-8.4490555555555551E-4</v>
      </c>
      <c r="AK156" s="1360">
        <f t="shared" si="32"/>
        <v>-8.4490555555555551E-4</v>
      </c>
      <c r="AL156" s="1361">
        <f t="shared" si="43"/>
        <v>86</v>
      </c>
      <c r="AM156" s="1191">
        <f t="shared" si="41"/>
        <v>0.01</v>
      </c>
      <c r="AN156" s="1362">
        <f t="shared" si="33"/>
        <v>867.32047122684924</v>
      </c>
      <c r="AO156" s="1362">
        <f t="shared" si="25"/>
        <v>-867.32047122684924</v>
      </c>
      <c r="AP156" s="1362">
        <f t="shared" si="42"/>
        <v>0</v>
      </c>
      <c r="AQ156" s="1363">
        <f t="shared" si="34"/>
        <v>1027396.813056413</v>
      </c>
    </row>
    <row r="157" spans="1:43">
      <c r="A157" s="1118">
        <f t="shared" ca="1" si="23"/>
        <v>6</v>
      </c>
      <c r="B157" s="1351">
        <f t="shared" si="24"/>
        <v>0</v>
      </c>
      <c r="C157" s="2143">
        <f t="shared" si="35"/>
        <v>0</v>
      </c>
      <c r="D157" s="2144">
        <f t="shared" si="22"/>
        <v>0</v>
      </c>
      <c r="E157" s="2145">
        <f t="shared" si="26"/>
        <v>0</v>
      </c>
      <c r="F157" s="2145">
        <f t="shared" si="27"/>
        <v>0</v>
      </c>
      <c r="G157" s="2145">
        <f t="shared" si="36"/>
        <v>0</v>
      </c>
      <c r="H157" s="2145">
        <f>IF(M156&lt;0.01,0,M156*Adm!$GV$4)</f>
        <v>0</v>
      </c>
      <c r="I157" s="2145">
        <f>IF(M156&lt;0.01,0,Cal!$BO$108*Adm!$GW$4)</f>
        <v>0</v>
      </c>
      <c r="J157" s="2145">
        <f>IF(M156&lt;0.01,0,IF(Adm!$GO$4&gt;0,E157*Adm!$GO$4,0))</f>
        <v>0</v>
      </c>
      <c r="K157" s="2145">
        <f t="shared" si="28"/>
        <v>0</v>
      </c>
      <c r="L157" s="2145">
        <f>IF(Adm!$GJ$4="si",MIN(M156+E157+H157+I157-K157,AB157),0)</f>
        <v>0</v>
      </c>
      <c r="M157" s="2145">
        <f t="shared" si="29"/>
        <v>0</v>
      </c>
      <c r="N157" s="2153"/>
      <c r="U157" s="1352">
        <f t="shared" si="30"/>
        <v>3</v>
      </c>
      <c r="V157" s="1514">
        <f>IF(U157=1,Cal!$BO$127,0)</f>
        <v>0</v>
      </c>
      <c r="W157" s="1517">
        <f>IF(U157=1,Adm!$HI$4,0)</f>
        <v>0</v>
      </c>
      <c r="X157" s="1518"/>
      <c r="Y157" s="1518"/>
      <c r="Z157" s="1518"/>
      <c r="AA157" s="1368">
        <f t="shared" si="37"/>
        <v>0</v>
      </c>
      <c r="AB157" s="1369">
        <f t="shared" ca="1" si="31"/>
        <v>0</v>
      </c>
      <c r="AF157" s="1370">
        <f t="shared" si="38"/>
        <v>0</v>
      </c>
      <c r="AG157" s="1373">
        <f t="shared" si="39"/>
        <v>0</v>
      </c>
      <c r="AH157" s="1371">
        <f t="shared" si="40"/>
        <v>0</v>
      </c>
      <c r="AI157" s="1359">
        <f>HLOOKUP($AI$66,anticipadofree,88,0)</f>
        <v>-8.4490555555555551E-4</v>
      </c>
      <c r="AK157" s="1360">
        <f t="shared" si="32"/>
        <v>-8.4490555555555551E-4</v>
      </c>
      <c r="AL157" s="1361">
        <f t="shared" si="43"/>
        <v>87</v>
      </c>
      <c r="AM157" s="1191">
        <f t="shared" si="41"/>
        <v>0.01</v>
      </c>
      <c r="AN157" s="1362">
        <f t="shared" si="33"/>
        <v>868.05327511143582</v>
      </c>
      <c r="AO157" s="1362">
        <f t="shared" si="25"/>
        <v>-868.05327511143582</v>
      </c>
      <c r="AP157" s="1362">
        <f t="shared" si="42"/>
        <v>0</v>
      </c>
      <c r="AQ157" s="1363">
        <f t="shared" si="34"/>
        <v>1028264.8663315244</v>
      </c>
    </row>
    <row r="158" spans="1:43">
      <c r="A158" s="1118">
        <f t="shared" ca="1" si="23"/>
        <v>7</v>
      </c>
      <c r="B158" s="1351">
        <f t="shared" si="24"/>
        <v>0</v>
      </c>
      <c r="C158" s="2143">
        <f t="shared" si="35"/>
        <v>0</v>
      </c>
      <c r="D158" s="2144">
        <f t="shared" si="22"/>
        <v>0</v>
      </c>
      <c r="E158" s="2145">
        <f t="shared" si="26"/>
        <v>0</v>
      </c>
      <c r="F158" s="2145">
        <f t="shared" si="27"/>
        <v>0</v>
      </c>
      <c r="G158" s="2145">
        <f t="shared" si="36"/>
        <v>0</v>
      </c>
      <c r="H158" s="2145">
        <f>IF(M157&lt;0.01,0,M157*Adm!$GV$4)</f>
        <v>0</v>
      </c>
      <c r="I158" s="2145">
        <f>IF(M157&lt;0.01,0,Cal!$BO$108*Adm!$GW$4)</f>
        <v>0</v>
      </c>
      <c r="J158" s="2145">
        <f>IF(M157&lt;0.01,0,IF(Adm!$GO$4&gt;0,E158*Adm!$GO$4,0))</f>
        <v>0</v>
      </c>
      <c r="K158" s="2145">
        <f t="shared" si="28"/>
        <v>0</v>
      </c>
      <c r="L158" s="2145">
        <f>IF(Adm!$GJ$4="si",MIN(M157+E158+H158+I158-K158,AB158),0)</f>
        <v>0</v>
      </c>
      <c r="M158" s="2145">
        <f t="shared" si="29"/>
        <v>0</v>
      </c>
      <c r="N158" s="2153"/>
      <c r="U158" s="1352">
        <f t="shared" si="30"/>
        <v>4</v>
      </c>
      <c r="V158" s="1514">
        <f>IF(U158=1,Cal!$BO$127,0)</f>
        <v>0</v>
      </c>
      <c r="W158" s="1517">
        <f>IF(U158=1,Adm!$HI$4,0)</f>
        <v>0</v>
      </c>
      <c r="X158" s="1518"/>
      <c r="Y158" s="1518"/>
      <c r="Z158" s="1518"/>
      <c r="AA158" s="1368">
        <f t="shared" si="37"/>
        <v>0</v>
      </c>
      <c r="AB158" s="1369">
        <f t="shared" ca="1" si="31"/>
        <v>0</v>
      </c>
      <c r="AF158" s="1370">
        <f t="shared" si="38"/>
        <v>0</v>
      </c>
      <c r="AG158" s="1373">
        <f t="shared" si="39"/>
        <v>0</v>
      </c>
      <c r="AH158" s="1371">
        <f t="shared" si="40"/>
        <v>0</v>
      </c>
      <c r="AI158" s="1359">
        <f>HLOOKUP($AI$66,anticipadofree,89,0)</f>
        <v>-8.4490555555555573E-4</v>
      </c>
      <c r="AK158" s="1360">
        <f t="shared" si="32"/>
        <v>-8.4490555555555573E-4</v>
      </c>
      <c r="AL158" s="1361">
        <f t="shared" si="43"/>
        <v>88</v>
      </c>
      <c r="AM158" s="1191">
        <f t="shared" si="41"/>
        <v>0.01</v>
      </c>
      <c r="AN158" s="1362">
        <f t="shared" si="33"/>
        <v>868.78669814609589</v>
      </c>
      <c r="AO158" s="1362">
        <f t="shared" si="25"/>
        <v>-868.78669814609589</v>
      </c>
      <c r="AP158" s="1362">
        <f t="shared" si="42"/>
        <v>0</v>
      </c>
      <c r="AQ158" s="1363">
        <f t="shared" si="34"/>
        <v>1029133.6530296706</v>
      </c>
    </row>
    <row r="159" spans="1:43">
      <c r="A159" s="1118">
        <f t="shared" ca="1" si="23"/>
        <v>8</v>
      </c>
      <c r="B159" s="1351">
        <f t="shared" si="24"/>
        <v>0</v>
      </c>
      <c r="C159" s="2143">
        <f t="shared" si="35"/>
        <v>0</v>
      </c>
      <c r="D159" s="2144">
        <f t="shared" si="22"/>
        <v>0</v>
      </c>
      <c r="E159" s="2145">
        <f t="shared" si="26"/>
        <v>0</v>
      </c>
      <c r="F159" s="2145">
        <f t="shared" si="27"/>
        <v>0</v>
      </c>
      <c r="G159" s="2145">
        <f t="shared" si="36"/>
        <v>0</v>
      </c>
      <c r="H159" s="2145">
        <f>IF(M158&lt;0.01,0,M158*Adm!$GV$4)</f>
        <v>0</v>
      </c>
      <c r="I159" s="2145">
        <f>IF(M158&lt;0.01,0,Cal!$BO$108*Adm!$GW$4)</f>
        <v>0</v>
      </c>
      <c r="J159" s="2145">
        <f>IF(M158&lt;0.01,0,IF(Adm!$GO$4&gt;0,E159*Adm!$GO$4,0))</f>
        <v>0</v>
      </c>
      <c r="K159" s="2145">
        <f t="shared" si="28"/>
        <v>0</v>
      </c>
      <c r="L159" s="2145">
        <f>IF(Adm!$GJ$4="si",MIN(M158+E159+H159+I159-K159,AB159),0)</f>
        <v>0</v>
      </c>
      <c r="M159" s="2145">
        <f t="shared" si="29"/>
        <v>0</v>
      </c>
      <c r="N159" s="2153"/>
      <c r="U159" s="1352">
        <f t="shared" si="30"/>
        <v>5</v>
      </c>
      <c r="V159" s="1514">
        <f>IF(U159=1,Cal!$BO$127,0)</f>
        <v>0</v>
      </c>
      <c r="W159" s="1517">
        <f>IF(U159=1,Adm!$HI$4,0)</f>
        <v>0</v>
      </c>
      <c r="X159" s="1518"/>
      <c r="Y159" s="1518"/>
      <c r="Z159" s="1518"/>
      <c r="AA159" s="1368">
        <f t="shared" si="37"/>
        <v>0</v>
      </c>
      <c r="AB159" s="1369">
        <f t="shared" ca="1" si="31"/>
        <v>0</v>
      </c>
      <c r="AF159" s="1370">
        <f t="shared" si="38"/>
        <v>0</v>
      </c>
      <c r="AG159" s="1373">
        <f t="shared" si="39"/>
        <v>0</v>
      </c>
      <c r="AH159" s="1371">
        <f t="shared" si="40"/>
        <v>0</v>
      </c>
      <c r="AI159" s="1359">
        <f>HLOOKUP($AI$66,anticipadofree,90,0)</f>
        <v>-8.4490555555555562E-4</v>
      </c>
      <c r="AK159" s="1360">
        <f t="shared" si="32"/>
        <v>-8.4490555555555562E-4</v>
      </c>
      <c r="AL159" s="1361">
        <f t="shared" si="43"/>
        <v>89</v>
      </c>
      <c r="AM159" s="1191">
        <f t="shared" si="41"/>
        <v>0.01</v>
      </c>
      <c r="AN159" s="1362">
        <f t="shared" si="33"/>
        <v>869.52074085395225</v>
      </c>
      <c r="AO159" s="1362">
        <f t="shared" si="25"/>
        <v>-869.52074085395225</v>
      </c>
      <c r="AP159" s="1362">
        <f t="shared" si="42"/>
        <v>0</v>
      </c>
      <c r="AQ159" s="1363">
        <f t="shared" si="34"/>
        <v>1030003.1737705246</v>
      </c>
    </row>
    <row r="160" spans="1:43">
      <c r="A160" s="1118">
        <f t="shared" ca="1" si="23"/>
        <v>9</v>
      </c>
      <c r="B160" s="1351">
        <f t="shared" si="24"/>
        <v>0</v>
      </c>
      <c r="C160" s="2143">
        <f t="shared" si="35"/>
        <v>0</v>
      </c>
      <c r="D160" s="2144">
        <f t="shared" si="22"/>
        <v>0</v>
      </c>
      <c r="E160" s="2145">
        <f t="shared" si="26"/>
        <v>0</v>
      </c>
      <c r="F160" s="2145">
        <f t="shared" si="27"/>
        <v>0</v>
      </c>
      <c r="G160" s="2145">
        <f t="shared" si="36"/>
        <v>0</v>
      </c>
      <c r="H160" s="2145">
        <f>IF(M159&lt;0.01,0,M159*Adm!$GV$4)</f>
        <v>0</v>
      </c>
      <c r="I160" s="2145">
        <f>IF(M159&lt;0.01,0,Cal!$BO$108*Adm!$GW$4)</f>
        <v>0</v>
      </c>
      <c r="J160" s="2145">
        <f>IF(M159&lt;0.01,0,IF(Adm!$GO$4&gt;0,E160*Adm!$GO$4,0))</f>
        <v>0</v>
      </c>
      <c r="K160" s="2145">
        <f t="shared" si="28"/>
        <v>0</v>
      </c>
      <c r="L160" s="2145">
        <f>IF(Adm!$GJ$4="si",MIN(M159+E160+H160+I160-K160,AB160),0)</f>
        <v>0</v>
      </c>
      <c r="M160" s="2145">
        <f t="shared" si="29"/>
        <v>0</v>
      </c>
      <c r="N160" s="2153"/>
      <c r="U160" s="1352">
        <f t="shared" si="30"/>
        <v>6</v>
      </c>
      <c r="V160" s="1514">
        <f>IF(U160=1,Cal!$BO$127,0)</f>
        <v>0</v>
      </c>
      <c r="W160" s="1517">
        <f>IF(U160=1,Adm!$HI$4,0)</f>
        <v>0</v>
      </c>
      <c r="X160" s="1518"/>
      <c r="Y160" s="1518"/>
      <c r="Z160" s="1518"/>
      <c r="AA160" s="1368">
        <f t="shared" si="37"/>
        <v>0</v>
      </c>
      <c r="AB160" s="1369">
        <f t="shared" ca="1" si="31"/>
        <v>0</v>
      </c>
      <c r="AF160" s="1370">
        <f t="shared" si="38"/>
        <v>0</v>
      </c>
      <c r="AG160" s="1373">
        <f t="shared" si="39"/>
        <v>0</v>
      </c>
      <c r="AH160" s="1371">
        <f t="shared" si="40"/>
        <v>0</v>
      </c>
      <c r="AI160" s="1359">
        <f>HLOOKUP($AI$66,anticipadofree,91,0)</f>
        <v>-8.4490555555555551E-4</v>
      </c>
      <c r="AK160" s="1360">
        <f t="shared" si="32"/>
        <v>-8.4490555555555551E-4</v>
      </c>
      <c r="AL160" s="1361">
        <f t="shared" si="43"/>
        <v>90</v>
      </c>
      <c r="AM160" s="1191">
        <f t="shared" si="41"/>
        <v>0.01</v>
      </c>
      <c r="AN160" s="1362">
        <f t="shared" si="33"/>
        <v>870.25540375857042</v>
      </c>
      <c r="AO160" s="1362">
        <f t="shared" si="25"/>
        <v>-870.25540375857042</v>
      </c>
      <c r="AP160" s="1362">
        <f t="shared" si="42"/>
        <v>0</v>
      </c>
      <c r="AQ160" s="1363">
        <f t="shared" si="34"/>
        <v>1030873.4291742832</v>
      </c>
    </row>
    <row r="161" spans="1:43">
      <c r="A161" s="1118">
        <f t="shared" ca="1" si="23"/>
        <v>10</v>
      </c>
      <c r="B161" s="1351">
        <f t="shared" si="24"/>
        <v>0</v>
      </c>
      <c r="C161" s="2143">
        <f t="shared" si="35"/>
        <v>0</v>
      </c>
      <c r="D161" s="2144">
        <f t="shared" si="22"/>
        <v>0</v>
      </c>
      <c r="E161" s="2145">
        <f t="shared" si="26"/>
        <v>0</v>
      </c>
      <c r="F161" s="2145">
        <f t="shared" si="27"/>
        <v>0</v>
      </c>
      <c r="G161" s="2145">
        <f t="shared" si="36"/>
        <v>0</v>
      </c>
      <c r="H161" s="2145">
        <f>IF(M160&lt;0.01,0,M160*Adm!$GV$4)</f>
        <v>0</v>
      </c>
      <c r="I161" s="2145">
        <f>IF(M160&lt;0.01,0,Cal!$BO$108*Adm!$GW$4)</f>
        <v>0</v>
      </c>
      <c r="J161" s="2145">
        <f>IF(M160&lt;0.01,0,IF(Adm!$GO$4&gt;0,E161*Adm!$GO$4,0))</f>
        <v>0</v>
      </c>
      <c r="K161" s="2145">
        <f t="shared" si="28"/>
        <v>0</v>
      </c>
      <c r="L161" s="2145">
        <f>IF(Adm!$GJ$4="si",MIN(M160+E161+H161+I161-K161,AB161),0)</f>
        <v>0</v>
      </c>
      <c r="M161" s="2145">
        <f t="shared" si="29"/>
        <v>0</v>
      </c>
      <c r="N161" s="2153"/>
      <c r="U161" s="1352">
        <f t="shared" si="30"/>
        <v>7</v>
      </c>
      <c r="V161" s="1514">
        <f>IF(U161=1,Cal!$BO$127,0)</f>
        <v>0</v>
      </c>
      <c r="W161" s="1517">
        <f>IF(U161=1,Adm!$HI$4,0)</f>
        <v>0</v>
      </c>
      <c r="X161" s="1518"/>
      <c r="Y161" s="1518"/>
      <c r="Z161" s="1518"/>
      <c r="AA161" s="1368">
        <f t="shared" si="37"/>
        <v>0</v>
      </c>
      <c r="AB161" s="1369">
        <f t="shared" ca="1" si="31"/>
        <v>0</v>
      </c>
      <c r="AF161" s="1370">
        <f t="shared" si="38"/>
        <v>0</v>
      </c>
      <c r="AG161" s="1373">
        <f t="shared" si="39"/>
        <v>0</v>
      </c>
      <c r="AH161" s="1371">
        <f t="shared" si="40"/>
        <v>0</v>
      </c>
      <c r="AI161" s="1359">
        <f>HLOOKUP($AI$66,anticipadofree,92,0)</f>
        <v>-8.4490555555555562E-4</v>
      </c>
      <c r="AK161" s="1360">
        <f t="shared" si="32"/>
        <v>-8.4490555555555562E-4</v>
      </c>
      <c r="AL161" s="1361">
        <f t="shared" si="43"/>
        <v>91</v>
      </c>
      <c r="AM161" s="1191">
        <f t="shared" si="41"/>
        <v>0.01</v>
      </c>
      <c r="AN161" s="1362">
        <f t="shared" si="33"/>
        <v>870.9906873839584</v>
      </c>
      <c r="AO161" s="1362">
        <f t="shared" si="25"/>
        <v>-870.9906873839584</v>
      </c>
      <c r="AP161" s="1362">
        <f t="shared" si="42"/>
        <v>0</v>
      </c>
      <c r="AQ161" s="1363">
        <f t="shared" si="34"/>
        <v>1031744.4198616671</v>
      </c>
    </row>
    <row r="162" spans="1:43">
      <c r="A162" s="1118">
        <f t="shared" ca="1" si="23"/>
        <v>11</v>
      </c>
      <c r="B162" s="1351">
        <f t="shared" si="24"/>
        <v>0</v>
      </c>
      <c r="C162" s="2143">
        <f t="shared" si="35"/>
        <v>0</v>
      </c>
      <c r="D162" s="2144">
        <f t="shared" si="22"/>
        <v>0</v>
      </c>
      <c r="E162" s="2145">
        <f t="shared" si="26"/>
        <v>0</v>
      </c>
      <c r="F162" s="2145">
        <f t="shared" si="27"/>
        <v>0</v>
      </c>
      <c r="G162" s="2145">
        <f t="shared" si="36"/>
        <v>0</v>
      </c>
      <c r="H162" s="2145">
        <f>IF(M161&lt;0.01,0,M161*Adm!$GV$4)</f>
        <v>0</v>
      </c>
      <c r="I162" s="2145">
        <f>IF(M161&lt;0.01,0,Cal!$BO$108*Adm!$GW$4)</f>
        <v>0</v>
      </c>
      <c r="J162" s="2145">
        <f>IF(M161&lt;0.01,0,IF(Adm!$GO$4&gt;0,E162*Adm!$GO$4,0))</f>
        <v>0</v>
      </c>
      <c r="K162" s="2145">
        <f t="shared" si="28"/>
        <v>0</v>
      </c>
      <c r="L162" s="2145">
        <f>IF(Adm!$GJ$4="si",MIN(M161+E162+H162+I162-K162,AB162),0)</f>
        <v>0</v>
      </c>
      <c r="M162" s="2145">
        <f t="shared" si="29"/>
        <v>0</v>
      </c>
      <c r="N162" s="2153"/>
      <c r="U162" s="1352">
        <f t="shared" si="30"/>
        <v>8</v>
      </c>
      <c r="V162" s="1514">
        <f>IF(U162=1,Cal!$BO$127,0)</f>
        <v>0</v>
      </c>
      <c r="W162" s="1517">
        <f>IF(U162=1,Adm!$HI$4,0)</f>
        <v>0</v>
      </c>
      <c r="X162" s="1518"/>
      <c r="Y162" s="1518"/>
      <c r="Z162" s="1518"/>
      <c r="AA162" s="1368">
        <f t="shared" si="37"/>
        <v>0</v>
      </c>
      <c r="AB162" s="1369">
        <f t="shared" ca="1" si="31"/>
        <v>0</v>
      </c>
      <c r="AF162" s="1370">
        <f t="shared" si="38"/>
        <v>0</v>
      </c>
      <c r="AG162" s="1373">
        <f t="shared" si="39"/>
        <v>0</v>
      </c>
      <c r="AH162" s="1371">
        <f t="shared" si="40"/>
        <v>0</v>
      </c>
      <c r="AI162" s="1359">
        <f>HLOOKUP($AI$66,anticipadofree,93,0)</f>
        <v>-8.4490555555555551E-4</v>
      </c>
      <c r="AK162" s="1360">
        <f t="shared" si="32"/>
        <v>-8.4490555555555551E-4</v>
      </c>
      <c r="AL162" s="1361">
        <f t="shared" si="43"/>
        <v>92</v>
      </c>
      <c r="AM162" s="1191">
        <f t="shared" si="41"/>
        <v>0.01</v>
      </c>
      <c r="AN162" s="1362">
        <f t="shared" si="33"/>
        <v>871.72659225456619</v>
      </c>
      <c r="AO162" s="1362">
        <f t="shared" si="25"/>
        <v>-871.72659225456619</v>
      </c>
      <c r="AP162" s="1362">
        <f t="shared" si="42"/>
        <v>0</v>
      </c>
      <c r="AQ162" s="1363">
        <f t="shared" si="34"/>
        <v>1032616.1464539217</v>
      </c>
    </row>
    <row r="163" spans="1:43">
      <c r="A163" s="1118">
        <f t="shared" ca="1" si="23"/>
        <v>12</v>
      </c>
      <c r="B163" s="1351">
        <f t="shared" si="24"/>
        <v>0</v>
      </c>
      <c r="C163" s="2143">
        <f t="shared" si="35"/>
        <v>0</v>
      </c>
      <c r="D163" s="2144">
        <f t="shared" si="22"/>
        <v>0</v>
      </c>
      <c r="E163" s="2145">
        <f t="shared" si="26"/>
        <v>0</v>
      </c>
      <c r="F163" s="2145">
        <f t="shared" si="27"/>
        <v>0</v>
      </c>
      <c r="G163" s="2145">
        <f t="shared" si="36"/>
        <v>0</v>
      </c>
      <c r="H163" s="2145">
        <f>IF(M162&lt;0.01,0,M162*Adm!$GV$4)</f>
        <v>0</v>
      </c>
      <c r="I163" s="2145">
        <f>IF(M162&lt;0.01,0,Cal!$BO$108*Adm!$GW$4)</f>
        <v>0</v>
      </c>
      <c r="J163" s="2145">
        <f>IF(M162&lt;0.01,0,IF(Adm!$GO$4&gt;0,E163*Adm!$GO$4,0))</f>
        <v>0</v>
      </c>
      <c r="K163" s="2145">
        <f t="shared" si="28"/>
        <v>0</v>
      </c>
      <c r="L163" s="2145">
        <f>IF(Adm!$GJ$4="si",MIN(M162+E163+H163+I163-K163,AB163),0)</f>
        <v>0</v>
      </c>
      <c r="M163" s="2145">
        <f t="shared" si="29"/>
        <v>0</v>
      </c>
      <c r="N163" s="2153"/>
      <c r="U163" s="1352">
        <f t="shared" si="30"/>
        <v>9</v>
      </c>
      <c r="V163" s="1514">
        <f>IF(U163=1,Cal!$BO$127,0)</f>
        <v>0</v>
      </c>
      <c r="W163" s="1517">
        <f>IF(U163=1,Adm!$HI$4,0)</f>
        <v>0</v>
      </c>
      <c r="X163" s="1518"/>
      <c r="Y163" s="1518"/>
      <c r="Z163" s="1518"/>
      <c r="AA163" s="1368">
        <f t="shared" si="37"/>
        <v>0</v>
      </c>
      <c r="AB163" s="1369">
        <f t="shared" ca="1" si="31"/>
        <v>0</v>
      </c>
      <c r="AF163" s="1370">
        <f t="shared" si="38"/>
        <v>0</v>
      </c>
      <c r="AG163" s="1373">
        <f t="shared" si="39"/>
        <v>0</v>
      </c>
      <c r="AH163" s="1371">
        <f t="shared" si="40"/>
        <v>0</v>
      </c>
      <c r="AI163" s="1359">
        <f>HLOOKUP($AI$66,anticipadofree,94,0)</f>
        <v>-8.4490555555555541E-4</v>
      </c>
      <c r="AK163" s="1360">
        <f t="shared" si="32"/>
        <v>-8.4490555555555541E-4</v>
      </c>
      <c r="AL163" s="1361">
        <f t="shared" si="43"/>
        <v>93</v>
      </c>
      <c r="AM163" s="1191">
        <f t="shared" si="41"/>
        <v>0.01</v>
      </c>
      <c r="AN163" s="1362">
        <f t="shared" si="33"/>
        <v>872.46311889528749</v>
      </c>
      <c r="AO163" s="1362">
        <f t="shared" si="25"/>
        <v>-872.46311889528749</v>
      </c>
      <c r="AP163" s="1362">
        <f t="shared" si="42"/>
        <v>0</v>
      </c>
      <c r="AQ163" s="1363">
        <f t="shared" si="34"/>
        <v>1033488.609572817</v>
      </c>
    </row>
    <row r="164" spans="1:43">
      <c r="A164" s="1118">
        <f t="shared" ca="1" si="23"/>
        <v>1</v>
      </c>
      <c r="B164" s="1351">
        <f t="shared" si="24"/>
        <v>0</v>
      </c>
      <c r="C164" s="2143">
        <f t="shared" si="35"/>
        <v>0</v>
      </c>
      <c r="D164" s="2144">
        <f t="shared" si="22"/>
        <v>0</v>
      </c>
      <c r="E164" s="2145">
        <f t="shared" si="26"/>
        <v>0</v>
      </c>
      <c r="F164" s="2145">
        <f t="shared" si="27"/>
        <v>0</v>
      </c>
      <c r="G164" s="2145">
        <f t="shared" si="36"/>
        <v>0</v>
      </c>
      <c r="H164" s="2145">
        <f>IF(M163&lt;0.01,0,M163*Adm!$GV$4)</f>
        <v>0</v>
      </c>
      <c r="I164" s="2145">
        <f>IF(M163&lt;0.01,0,Cal!$BO$108*Adm!$GW$4)</f>
        <v>0</v>
      </c>
      <c r="J164" s="2145">
        <f>IF(M163&lt;0.01,0,IF(Adm!$GO$4&gt;0,E164*Adm!$GO$4,0))</f>
        <v>0</v>
      </c>
      <c r="K164" s="2145">
        <f t="shared" si="28"/>
        <v>0</v>
      </c>
      <c r="L164" s="2145">
        <f>IF(Adm!$GJ$4="si",MIN(M163+E164+H164+I164-K164,AB164),0)</f>
        <v>0</v>
      </c>
      <c r="M164" s="2145">
        <f t="shared" si="29"/>
        <v>0</v>
      </c>
      <c r="N164" s="2153"/>
      <c r="U164" s="1352">
        <f t="shared" si="30"/>
        <v>10</v>
      </c>
      <c r="V164" s="1514">
        <f>IF(U164=1,Cal!$BO$127,0)</f>
        <v>0</v>
      </c>
      <c r="W164" s="1517">
        <f>IF(U164=1,Adm!$HI$4,0)</f>
        <v>0</v>
      </c>
      <c r="X164" s="1518"/>
      <c r="Y164" s="1518"/>
      <c r="Z164" s="1518"/>
      <c r="AA164" s="1368">
        <f t="shared" si="37"/>
        <v>0</v>
      </c>
      <c r="AB164" s="1369">
        <f t="shared" ca="1" si="31"/>
        <v>0</v>
      </c>
      <c r="AF164" s="1370">
        <f t="shared" si="38"/>
        <v>0</v>
      </c>
      <c r="AG164" s="1373">
        <f t="shared" si="39"/>
        <v>0</v>
      </c>
      <c r="AH164" s="1371">
        <f t="shared" si="40"/>
        <v>0</v>
      </c>
      <c r="AI164" s="1359">
        <f>HLOOKUP($AI$66,anticipadofree,95,0)</f>
        <v>-8.4490555555555551E-4</v>
      </c>
      <c r="AK164" s="1360">
        <f t="shared" si="32"/>
        <v>-8.4490555555555551E-4</v>
      </c>
      <c r="AL164" s="1361">
        <f t="shared" si="43"/>
        <v>94</v>
      </c>
      <c r="AM164" s="1191">
        <f t="shared" si="41"/>
        <v>0.01</v>
      </c>
      <c r="AN164" s="1362">
        <f t="shared" si="33"/>
        <v>873.20026783145954</v>
      </c>
      <c r="AO164" s="1362">
        <f t="shared" si="25"/>
        <v>-873.20026783145954</v>
      </c>
      <c r="AP164" s="1362">
        <f t="shared" si="42"/>
        <v>0</v>
      </c>
      <c r="AQ164" s="1363">
        <f t="shared" si="34"/>
        <v>1034361.8098406484</v>
      </c>
    </row>
    <row r="165" spans="1:43">
      <c r="A165" s="1118">
        <f t="shared" ca="1" si="23"/>
        <v>2</v>
      </c>
      <c r="B165" s="1351">
        <f t="shared" si="24"/>
        <v>0</v>
      </c>
      <c r="C165" s="2143">
        <f t="shared" si="35"/>
        <v>0</v>
      </c>
      <c r="D165" s="2144">
        <f t="shared" si="22"/>
        <v>0</v>
      </c>
      <c r="E165" s="2145">
        <f t="shared" si="26"/>
        <v>0</v>
      </c>
      <c r="F165" s="2145">
        <f t="shared" si="27"/>
        <v>0</v>
      </c>
      <c r="G165" s="2145">
        <f t="shared" si="36"/>
        <v>0</v>
      </c>
      <c r="H165" s="2145">
        <f>IF(M164&lt;0.01,0,M164*Adm!$GV$4)</f>
        <v>0</v>
      </c>
      <c r="I165" s="2145">
        <f>IF(M164&lt;0.01,0,Cal!$BO$108*Adm!$GW$4)</f>
        <v>0</v>
      </c>
      <c r="J165" s="2145">
        <f>IF(M164&lt;0.01,0,IF(Adm!$GO$4&gt;0,E165*Adm!$GO$4,0))</f>
        <v>0</v>
      </c>
      <c r="K165" s="2145">
        <f t="shared" si="28"/>
        <v>0</v>
      </c>
      <c r="L165" s="2145">
        <f>IF(Adm!$GJ$4="si",MIN(M164+E165+H165+I165-K165,AB165),0)</f>
        <v>0</v>
      </c>
      <c r="M165" s="2145">
        <f t="shared" si="29"/>
        <v>0</v>
      </c>
      <c r="N165" s="2153"/>
      <c r="U165" s="1352">
        <f t="shared" si="30"/>
        <v>11</v>
      </c>
      <c r="V165" s="1514">
        <f>IF(U165=1,Cal!$BO$127,0)</f>
        <v>0</v>
      </c>
      <c r="W165" s="1517">
        <f>IF(U165=1,Adm!$HI$4,0)</f>
        <v>0</v>
      </c>
      <c r="X165" s="1518"/>
      <c r="Y165" s="1518"/>
      <c r="Z165" s="1518"/>
      <c r="AA165" s="1368">
        <f t="shared" si="37"/>
        <v>0</v>
      </c>
      <c r="AB165" s="1369">
        <f t="shared" ca="1" si="31"/>
        <v>0</v>
      </c>
      <c r="AF165" s="1370">
        <f t="shared" si="38"/>
        <v>0</v>
      </c>
      <c r="AG165" s="1373">
        <f t="shared" si="39"/>
        <v>0</v>
      </c>
      <c r="AH165" s="1371">
        <f t="shared" si="40"/>
        <v>0</v>
      </c>
      <c r="AI165" s="1359">
        <f>HLOOKUP($AI$66,anticipadofree,96,0)</f>
        <v>-8.4490555555555562E-4</v>
      </c>
      <c r="AK165" s="1360">
        <f t="shared" si="32"/>
        <v>-8.4490555555555562E-4</v>
      </c>
      <c r="AL165" s="1361">
        <f t="shared" si="43"/>
        <v>95</v>
      </c>
      <c r="AM165" s="1191">
        <f t="shared" si="41"/>
        <v>0.01</v>
      </c>
      <c r="AN165" s="1362">
        <f t="shared" si="33"/>
        <v>873.93803958886303</v>
      </c>
      <c r="AO165" s="1362">
        <f t="shared" si="25"/>
        <v>-873.93803958886303</v>
      </c>
      <c r="AP165" s="1362">
        <f t="shared" si="42"/>
        <v>0</v>
      </c>
      <c r="AQ165" s="1363">
        <f t="shared" si="34"/>
        <v>1035235.7478802373</v>
      </c>
    </row>
    <row r="166" spans="1:43">
      <c r="A166" s="1118">
        <f t="shared" ca="1" si="23"/>
        <v>3</v>
      </c>
      <c r="B166" s="1351">
        <f t="shared" si="24"/>
        <v>0</v>
      </c>
      <c r="C166" s="2143">
        <f t="shared" si="35"/>
        <v>0</v>
      </c>
      <c r="D166" s="2144">
        <f t="shared" si="22"/>
        <v>0</v>
      </c>
      <c r="E166" s="2145">
        <f t="shared" si="26"/>
        <v>0</v>
      </c>
      <c r="F166" s="2145">
        <f t="shared" si="27"/>
        <v>0</v>
      </c>
      <c r="G166" s="2145">
        <f t="shared" si="36"/>
        <v>0</v>
      </c>
      <c r="H166" s="2145">
        <f>IF(M165&lt;0.01,0,M165*Adm!$GV$4)</f>
        <v>0</v>
      </c>
      <c r="I166" s="2145">
        <f>IF(M165&lt;0.01,0,Cal!$BO$108*Adm!$GW$4)</f>
        <v>0</v>
      </c>
      <c r="J166" s="2145">
        <f>IF(M165&lt;0.01,0,IF(Adm!$GO$4&gt;0,E166*Adm!$GO$4,0))</f>
        <v>0</v>
      </c>
      <c r="K166" s="2145">
        <f t="shared" si="28"/>
        <v>0</v>
      </c>
      <c r="L166" s="2145">
        <f>IF(Adm!$GJ$4="si",MIN(M165+E166+H166+I166-K166,AB166),0)</f>
        <v>0</v>
      </c>
      <c r="M166" s="2145">
        <f t="shared" si="29"/>
        <v>0</v>
      </c>
      <c r="N166" s="2153"/>
      <c r="U166" s="1352">
        <f t="shared" si="30"/>
        <v>12</v>
      </c>
      <c r="V166" s="1514">
        <f>IF(U166=1,Cal!$BO$127,0)</f>
        <v>0</v>
      </c>
      <c r="W166" s="1517">
        <f>IF(U166=1,Adm!$HI$4,0)</f>
        <v>0</v>
      </c>
      <c r="X166" s="1518"/>
      <c r="Y166" s="1518"/>
      <c r="Z166" s="1518"/>
      <c r="AA166" s="1368">
        <f t="shared" si="37"/>
        <v>0</v>
      </c>
      <c r="AB166" s="1369">
        <f t="shared" ca="1" si="31"/>
        <v>0</v>
      </c>
      <c r="AF166" s="1370">
        <f t="shared" si="38"/>
        <v>0</v>
      </c>
      <c r="AG166" s="1373">
        <f t="shared" si="39"/>
        <v>0</v>
      </c>
      <c r="AH166" s="1371">
        <f t="shared" si="40"/>
        <v>0</v>
      </c>
      <c r="AI166" s="1359">
        <f>HLOOKUP($AI$66,anticipadofree,97,0)</f>
        <v>-8.4490555555555551E-4</v>
      </c>
      <c r="AK166" s="1360">
        <f t="shared" si="32"/>
        <v>-8.4490555555555551E-4</v>
      </c>
      <c r="AL166" s="1361">
        <f t="shared" si="43"/>
        <v>96</v>
      </c>
      <c r="AM166" s="1191">
        <f t="shared" si="41"/>
        <v>0.01</v>
      </c>
      <c r="AN166" s="1362">
        <f t="shared" si="33"/>
        <v>874.67643469372285</v>
      </c>
      <c r="AO166" s="1362">
        <f t="shared" si="25"/>
        <v>-874.67643469372285</v>
      </c>
      <c r="AP166" s="1362">
        <f t="shared" si="42"/>
        <v>0</v>
      </c>
      <c r="AQ166" s="1363">
        <f t="shared" si="34"/>
        <v>1036110.424314931</v>
      </c>
    </row>
    <row r="167" spans="1:43">
      <c r="A167" s="1118">
        <f t="shared" ca="1" si="23"/>
        <v>4</v>
      </c>
      <c r="B167" s="1351">
        <f t="shared" si="24"/>
        <v>0</v>
      </c>
      <c r="C167" s="2143">
        <f t="shared" si="35"/>
        <v>0</v>
      </c>
      <c r="D167" s="2144">
        <f t="shared" si="22"/>
        <v>0</v>
      </c>
      <c r="E167" s="2145">
        <f t="shared" si="26"/>
        <v>0</v>
      </c>
      <c r="F167" s="2145">
        <f t="shared" si="27"/>
        <v>0</v>
      </c>
      <c r="G167" s="2145">
        <f t="shared" si="36"/>
        <v>0</v>
      </c>
      <c r="H167" s="2145">
        <f>IF(M166&lt;0.01,0,M166*Adm!$GV$4)</f>
        <v>0</v>
      </c>
      <c r="I167" s="2145">
        <f>IF(M166&lt;0.01,0,Cal!$BO$108*Adm!$GW$4)</f>
        <v>0</v>
      </c>
      <c r="J167" s="2145">
        <f>IF(M166&lt;0.01,0,IF(Adm!$GO$4&gt;0,E167*Adm!$GO$4,0))</f>
        <v>0</v>
      </c>
      <c r="K167" s="2145">
        <f t="shared" si="28"/>
        <v>0</v>
      </c>
      <c r="L167" s="2145">
        <f>IF(Adm!$GJ$4="si",MIN(M166+E167+H167+I167-K167,AB167),0)</f>
        <v>0</v>
      </c>
      <c r="M167" s="2145">
        <f t="shared" si="29"/>
        <v>0</v>
      </c>
      <c r="N167" s="2153"/>
      <c r="U167" s="1352">
        <f t="shared" si="30"/>
        <v>1</v>
      </c>
      <c r="V167" s="1514">
        <f>IF(U167=1,Cal!$BO$127,0)</f>
        <v>0</v>
      </c>
      <c r="W167" s="1517">
        <f>IF(U167=1,Adm!$HI$4,0)</f>
        <v>2.5000000000000001E-3</v>
      </c>
      <c r="X167" s="1518"/>
      <c r="Y167" s="1518"/>
      <c r="Z167" s="1518"/>
      <c r="AA167" s="1368">
        <f t="shared" si="37"/>
        <v>0</v>
      </c>
      <c r="AB167" s="1369">
        <f t="shared" ca="1" si="31"/>
        <v>0</v>
      </c>
      <c r="AF167" s="1370">
        <f t="shared" si="38"/>
        <v>0</v>
      </c>
      <c r="AG167" s="1373">
        <f t="shared" si="39"/>
        <v>0</v>
      </c>
      <c r="AH167" s="1371">
        <f t="shared" si="40"/>
        <v>0</v>
      </c>
      <c r="AI167" s="1359">
        <f>HLOOKUP($AI$66,anticipadofree,98,0)</f>
        <v>-8.4490555555555551E-4</v>
      </c>
      <c r="AK167" s="1360">
        <f t="shared" si="32"/>
        <v>-8.4490555555555551E-4</v>
      </c>
      <c r="AL167" s="1377">
        <f t="shared" si="43"/>
        <v>97</v>
      </c>
      <c r="AM167" s="1516">
        <f t="shared" si="41"/>
        <v>0.01</v>
      </c>
      <c r="AN167" s="1378">
        <f t="shared" si="33"/>
        <v>875.41545367270919</v>
      </c>
      <c r="AO167" s="1378">
        <f t="shared" si="25"/>
        <v>-875.41545367270919</v>
      </c>
      <c r="AP167" s="1378">
        <f>MIN(AQ166+AN167,AP166*(1+$AN$66))</f>
        <v>0</v>
      </c>
      <c r="AQ167" s="1363">
        <f t="shared" si="34"/>
        <v>1036985.8397686038</v>
      </c>
    </row>
    <row r="168" spans="1:43">
      <c r="A168" s="1118">
        <f t="shared" ca="1" si="23"/>
        <v>5</v>
      </c>
      <c r="B168" s="1351">
        <f t="shared" si="24"/>
        <v>0</v>
      </c>
      <c r="C168" s="2143">
        <f t="shared" si="35"/>
        <v>0</v>
      </c>
      <c r="D168" s="2144">
        <f t="shared" si="22"/>
        <v>0</v>
      </c>
      <c r="E168" s="2145">
        <f t="shared" si="26"/>
        <v>0</v>
      </c>
      <c r="F168" s="2145">
        <f t="shared" si="27"/>
        <v>0</v>
      </c>
      <c r="G168" s="2145">
        <f t="shared" si="36"/>
        <v>0</v>
      </c>
      <c r="H168" s="2145">
        <f>IF(M167&lt;0.01,0,M167*Adm!$GV$4)</f>
        <v>0</v>
      </c>
      <c r="I168" s="2145">
        <f>IF(M167&lt;0.01,0,Cal!$BO$108*Adm!$GW$4)</f>
        <v>0</v>
      </c>
      <c r="J168" s="2145">
        <f>IF(M167&lt;0.01,0,IF(Adm!$GO$4&gt;0,E168*Adm!$GO$4,0))</f>
        <v>0</v>
      </c>
      <c r="K168" s="2145">
        <f t="shared" si="28"/>
        <v>0</v>
      </c>
      <c r="L168" s="2145">
        <f>IF(Adm!$GJ$4="si",MIN(M167+E168+H168+I168-K168,AB168),0)</f>
        <v>0</v>
      </c>
      <c r="M168" s="2145">
        <f t="shared" si="29"/>
        <v>0</v>
      </c>
      <c r="N168" s="2153"/>
      <c r="U168" s="1352">
        <f t="shared" si="30"/>
        <v>2</v>
      </c>
      <c r="V168" s="1514">
        <f>IF(U168=1,Cal!$BO$127,0)</f>
        <v>0</v>
      </c>
      <c r="W168" s="1517">
        <f>IF(U168=1,Adm!$HI$4,0)</f>
        <v>0</v>
      </c>
      <c r="X168" s="1518"/>
      <c r="Y168" s="1518"/>
      <c r="Z168" s="1518"/>
      <c r="AA168" s="1368">
        <f t="shared" si="37"/>
        <v>0</v>
      </c>
      <c r="AB168" s="1369">
        <f t="shared" ca="1" si="31"/>
        <v>0</v>
      </c>
      <c r="AF168" s="1370">
        <f t="shared" si="38"/>
        <v>0</v>
      </c>
      <c r="AG168" s="1373">
        <f t="shared" si="39"/>
        <v>0</v>
      </c>
      <c r="AH168" s="1371">
        <f t="shared" si="40"/>
        <v>0</v>
      </c>
      <c r="AI168" s="1359">
        <f>HLOOKUP($AI$66,anticipadofree,99,0)</f>
        <v>-8.4490555555555551E-4</v>
      </c>
      <c r="AK168" s="1360">
        <f t="shared" si="32"/>
        <v>-8.4490555555555551E-4</v>
      </c>
      <c r="AL168" s="1361">
        <f t="shared" si="43"/>
        <v>98</v>
      </c>
      <c r="AM168" s="1191">
        <f t="shared" si="41"/>
        <v>0.01</v>
      </c>
      <c r="AN168" s="1362">
        <f t="shared" si="33"/>
        <v>876.15509705293641</v>
      </c>
      <c r="AO168" s="1362">
        <f t="shared" si="25"/>
        <v>-876.15509705293641</v>
      </c>
      <c r="AP168" s="1362">
        <f t="shared" si="42"/>
        <v>0</v>
      </c>
      <c r="AQ168" s="1363">
        <f t="shared" si="34"/>
        <v>1037861.9948656567</v>
      </c>
    </row>
    <row r="169" spans="1:43">
      <c r="A169" s="1118">
        <f t="shared" ca="1" si="23"/>
        <v>6</v>
      </c>
      <c r="B169" s="1351">
        <f t="shared" si="24"/>
        <v>0</v>
      </c>
      <c r="C169" s="2143">
        <f t="shared" si="35"/>
        <v>0</v>
      </c>
      <c r="D169" s="2144">
        <f t="shared" si="22"/>
        <v>0</v>
      </c>
      <c r="E169" s="2145">
        <f t="shared" si="26"/>
        <v>0</v>
      </c>
      <c r="F169" s="2145">
        <f t="shared" si="27"/>
        <v>0</v>
      </c>
      <c r="G169" s="2145">
        <f t="shared" si="36"/>
        <v>0</v>
      </c>
      <c r="H169" s="2145">
        <f>IF(M168&lt;0.01,0,M168*Adm!$GV$4)</f>
        <v>0</v>
      </c>
      <c r="I169" s="2145">
        <f>IF(M168&lt;0.01,0,Cal!$BO$108*Adm!$GW$4)</f>
        <v>0</v>
      </c>
      <c r="J169" s="2145">
        <f>IF(M168&lt;0.01,0,IF(Adm!$GO$4&gt;0,E169*Adm!$GO$4,0))</f>
        <v>0</v>
      </c>
      <c r="K169" s="2145">
        <f t="shared" si="28"/>
        <v>0</v>
      </c>
      <c r="L169" s="2145">
        <f>IF(Adm!$GJ$4="si",MIN(M168+E169+H169+I169-K169,AB169),0)</f>
        <v>0</v>
      </c>
      <c r="M169" s="2145">
        <f t="shared" si="29"/>
        <v>0</v>
      </c>
      <c r="N169" s="2153"/>
      <c r="U169" s="1352">
        <f t="shared" si="30"/>
        <v>3</v>
      </c>
      <c r="V169" s="1514">
        <f>IF(U169=1,Cal!$BO$127,0)</f>
        <v>0</v>
      </c>
      <c r="W169" s="1517">
        <f>IF(U169=1,Adm!$HI$4,0)</f>
        <v>0</v>
      </c>
      <c r="X169" s="1518"/>
      <c r="Y169" s="1518"/>
      <c r="Z169" s="1518"/>
      <c r="AA169" s="1368">
        <f t="shared" si="37"/>
        <v>0</v>
      </c>
      <c r="AB169" s="1369">
        <f t="shared" ca="1" si="31"/>
        <v>0</v>
      </c>
      <c r="AF169" s="1370">
        <f t="shared" si="38"/>
        <v>0</v>
      </c>
      <c r="AG169" s="1373">
        <f t="shared" si="39"/>
        <v>0</v>
      </c>
      <c r="AH169" s="1371">
        <f t="shared" si="40"/>
        <v>0</v>
      </c>
      <c r="AI169" s="1359">
        <f>HLOOKUP($AI$66,anticipadofree,100,0)</f>
        <v>-8.4490555555555562E-4</v>
      </c>
      <c r="AK169" s="1360">
        <f t="shared" si="32"/>
        <v>-8.4490555555555562E-4</v>
      </c>
      <c r="AL169" s="1361">
        <f t="shared" si="43"/>
        <v>99</v>
      </c>
      <c r="AM169" s="1191">
        <f t="shared" si="41"/>
        <v>0.01</v>
      </c>
      <c r="AN169" s="1362">
        <f t="shared" si="33"/>
        <v>876.89536536196488</v>
      </c>
      <c r="AO169" s="1362">
        <f t="shared" si="25"/>
        <v>-876.89536536196488</v>
      </c>
      <c r="AP169" s="1362">
        <f t="shared" si="42"/>
        <v>0</v>
      </c>
      <c r="AQ169" s="1363">
        <f t="shared" si="34"/>
        <v>1038738.8902310187</v>
      </c>
    </row>
    <row r="170" spans="1:43">
      <c r="A170" s="1118">
        <f t="shared" ca="1" si="23"/>
        <v>7</v>
      </c>
      <c r="B170" s="1351">
        <f t="shared" si="24"/>
        <v>0</v>
      </c>
      <c r="C170" s="2143">
        <f t="shared" si="35"/>
        <v>0</v>
      </c>
      <c r="D170" s="2144">
        <f t="shared" si="22"/>
        <v>0</v>
      </c>
      <c r="E170" s="2145">
        <f t="shared" si="26"/>
        <v>0</v>
      </c>
      <c r="F170" s="2145">
        <f t="shared" si="27"/>
        <v>0</v>
      </c>
      <c r="G170" s="2145">
        <f t="shared" si="36"/>
        <v>0</v>
      </c>
      <c r="H170" s="2145">
        <f>IF(M169&lt;0.01,0,M169*Adm!$GV$4)</f>
        <v>0</v>
      </c>
      <c r="I170" s="2145">
        <f>IF(M169&lt;0.01,0,Cal!$BO$108*Adm!$GW$4)</f>
        <v>0</v>
      </c>
      <c r="J170" s="2145">
        <f>IF(M169&lt;0.01,0,IF(Adm!$GO$4&gt;0,E170*Adm!$GO$4,0))</f>
        <v>0</v>
      </c>
      <c r="K170" s="2145">
        <f t="shared" si="28"/>
        <v>0</v>
      </c>
      <c r="L170" s="2145">
        <f>IF(Adm!$GJ$4="si",MIN(M169+E170+H170+I170-K170,AB170),0)</f>
        <v>0</v>
      </c>
      <c r="M170" s="2145">
        <f t="shared" si="29"/>
        <v>0</v>
      </c>
      <c r="N170" s="2153"/>
      <c r="U170" s="1352">
        <f t="shared" si="30"/>
        <v>4</v>
      </c>
      <c r="V170" s="1514">
        <f>IF(U170=1,Cal!$BO$127,0)</f>
        <v>0</v>
      </c>
      <c r="W170" s="1517">
        <f>IF(U170=1,Adm!$HI$4,0)</f>
        <v>0</v>
      </c>
      <c r="X170" s="1518"/>
      <c r="Y170" s="1518"/>
      <c r="Z170" s="1518"/>
      <c r="AA170" s="1368">
        <f t="shared" si="37"/>
        <v>0</v>
      </c>
      <c r="AB170" s="1369">
        <f t="shared" ca="1" si="31"/>
        <v>0</v>
      </c>
      <c r="AF170" s="1370">
        <f t="shared" si="38"/>
        <v>0</v>
      </c>
      <c r="AG170" s="1373">
        <f t="shared" si="39"/>
        <v>0</v>
      </c>
      <c r="AH170" s="1371">
        <f t="shared" si="40"/>
        <v>0</v>
      </c>
      <c r="AI170" s="1359">
        <f>HLOOKUP($AI$66,anticipadofree,101,0)</f>
        <v>-8.4490555555555551E-4</v>
      </c>
      <c r="AK170" s="1360">
        <f t="shared" si="32"/>
        <v>-8.4490555555555551E-4</v>
      </c>
      <c r="AL170" s="1361">
        <f t="shared" si="43"/>
        <v>100</v>
      </c>
      <c r="AM170" s="1191">
        <f t="shared" si="41"/>
        <v>0.01</v>
      </c>
      <c r="AN170" s="1362">
        <f t="shared" si="33"/>
        <v>877.63625912780003</v>
      </c>
      <c r="AO170" s="1362">
        <f t="shared" si="25"/>
        <v>-877.63625912780003</v>
      </c>
      <c r="AP170" s="1362">
        <f t="shared" si="42"/>
        <v>0</v>
      </c>
      <c r="AQ170" s="1363">
        <f t="shared" si="34"/>
        <v>1039616.5264901464</v>
      </c>
    </row>
    <row r="171" spans="1:43">
      <c r="A171" s="1118">
        <f t="shared" ca="1" si="23"/>
        <v>8</v>
      </c>
      <c r="B171" s="1351">
        <f t="shared" si="24"/>
        <v>0</v>
      </c>
      <c r="C171" s="2143">
        <f t="shared" si="35"/>
        <v>0</v>
      </c>
      <c r="D171" s="2144">
        <f t="shared" ref="D171:D234" si="44">IF(M170&lt;0.01,0,IF(D170=$Y$72,D170,IF(D170-W171&lt;=$Y$72,D170-W171,D170-W171)))</f>
        <v>0</v>
      </c>
      <c r="E171" s="2145">
        <f t="shared" si="26"/>
        <v>0</v>
      </c>
      <c r="F171" s="2145">
        <f t="shared" si="27"/>
        <v>0</v>
      </c>
      <c r="G171" s="2145">
        <f t="shared" si="36"/>
        <v>0</v>
      </c>
      <c r="H171" s="2145">
        <f>IF(M170&lt;0.01,0,M170*Adm!$GV$4)</f>
        <v>0</v>
      </c>
      <c r="I171" s="2145">
        <f>IF(M170&lt;0.01,0,Cal!$BO$108*Adm!$GW$4)</f>
        <v>0</v>
      </c>
      <c r="J171" s="2145">
        <f>IF(M170&lt;0.01,0,IF(Adm!$GO$4&gt;0,E171*Adm!$GO$4,0))</f>
        <v>0</v>
      </c>
      <c r="K171" s="2145">
        <f t="shared" si="28"/>
        <v>0</v>
      </c>
      <c r="L171" s="2145">
        <f>IF(Adm!$GJ$4="si",MIN(M170+E171+H171+I171-K171,AB171),0)</f>
        <v>0</v>
      </c>
      <c r="M171" s="2145">
        <f t="shared" si="29"/>
        <v>0</v>
      </c>
      <c r="N171" s="2153"/>
      <c r="U171" s="1352">
        <f t="shared" si="30"/>
        <v>5</v>
      </c>
      <c r="V171" s="1514">
        <f>IF(U171=1,Cal!$BO$127,0)</f>
        <v>0</v>
      </c>
      <c r="W171" s="1517">
        <f>IF(U171=1,Adm!$HI$4,0)</f>
        <v>0</v>
      </c>
      <c r="X171" s="1518"/>
      <c r="Y171" s="1518"/>
      <c r="Z171" s="1518"/>
      <c r="AA171" s="1368">
        <f t="shared" si="37"/>
        <v>0</v>
      </c>
      <c r="AB171" s="1369">
        <f t="shared" ca="1" si="31"/>
        <v>0</v>
      </c>
      <c r="AF171" s="1370">
        <f t="shared" si="38"/>
        <v>0</v>
      </c>
      <c r="AG171" s="1373">
        <f t="shared" si="39"/>
        <v>0</v>
      </c>
      <c r="AH171" s="1371">
        <f t="shared" si="40"/>
        <v>0</v>
      </c>
      <c r="AI171" s="1359">
        <f>HLOOKUP($AI$66,anticipadofree,102,0)</f>
        <v>-8.4490555555555573E-4</v>
      </c>
      <c r="AK171" s="1360">
        <f t="shared" si="32"/>
        <v>-8.4490555555555573E-4</v>
      </c>
      <c r="AL171" s="1361">
        <f t="shared" si="43"/>
        <v>101</v>
      </c>
      <c r="AM171" s="1191">
        <f t="shared" si="41"/>
        <v>0.01</v>
      </c>
      <c r="AN171" s="1362">
        <f t="shared" si="33"/>
        <v>878.37777887889422</v>
      </c>
      <c r="AO171" s="1362">
        <f t="shared" si="25"/>
        <v>-878.37777887889422</v>
      </c>
      <c r="AP171" s="1362">
        <f t="shared" si="42"/>
        <v>0</v>
      </c>
      <c r="AQ171" s="1363">
        <f t="shared" si="34"/>
        <v>1040494.9042690253</v>
      </c>
    </row>
    <row r="172" spans="1:43">
      <c r="A172" s="1118">
        <f t="shared" ca="1" si="23"/>
        <v>9</v>
      </c>
      <c r="B172" s="1351">
        <f t="shared" si="24"/>
        <v>0</v>
      </c>
      <c r="C172" s="2143">
        <f t="shared" si="35"/>
        <v>0</v>
      </c>
      <c r="D172" s="2144">
        <f t="shared" si="44"/>
        <v>0</v>
      </c>
      <c r="E172" s="2145">
        <f t="shared" si="26"/>
        <v>0</v>
      </c>
      <c r="F172" s="2145">
        <f t="shared" si="27"/>
        <v>0</v>
      </c>
      <c r="G172" s="2145">
        <f t="shared" si="36"/>
        <v>0</v>
      </c>
      <c r="H172" s="2145">
        <f>IF(M171&lt;0.01,0,M171*Adm!$GV$4)</f>
        <v>0</v>
      </c>
      <c r="I172" s="2145">
        <f>IF(M171&lt;0.01,0,Cal!$BO$108*Adm!$GW$4)</f>
        <v>0</v>
      </c>
      <c r="J172" s="2145">
        <f>IF(M171&lt;0.01,0,IF(Adm!$GO$4&gt;0,E172*Adm!$GO$4,0))</f>
        <v>0</v>
      </c>
      <c r="K172" s="2145">
        <f t="shared" si="28"/>
        <v>0</v>
      </c>
      <c r="L172" s="2145">
        <f>IF(Adm!$GJ$4="si",MIN(M171+E172+H172+I172-K172,AB172),0)</f>
        <v>0</v>
      </c>
      <c r="M172" s="2145">
        <f t="shared" si="29"/>
        <v>0</v>
      </c>
      <c r="N172" s="2153"/>
      <c r="U172" s="1352">
        <f t="shared" si="30"/>
        <v>6</v>
      </c>
      <c r="V172" s="1514">
        <f>IF(U172=1,Cal!$BO$127,0)</f>
        <v>0</v>
      </c>
      <c r="W172" s="1517">
        <f>IF(U172=1,Adm!$HI$4,0)</f>
        <v>0</v>
      </c>
      <c r="X172" s="1518"/>
      <c r="Y172" s="1518"/>
      <c r="Z172" s="1518"/>
      <c r="AA172" s="1368">
        <f t="shared" si="37"/>
        <v>0</v>
      </c>
      <c r="AB172" s="1369">
        <f t="shared" ca="1" si="31"/>
        <v>0</v>
      </c>
      <c r="AF172" s="1370">
        <f t="shared" si="38"/>
        <v>0</v>
      </c>
      <c r="AG172" s="1373">
        <f t="shared" si="39"/>
        <v>0</v>
      </c>
      <c r="AH172" s="1371">
        <f t="shared" si="40"/>
        <v>0</v>
      </c>
      <c r="AI172" s="1359">
        <f>HLOOKUP($AI$66,anticipadofree,103,0)</f>
        <v>-8.4490555555555562E-4</v>
      </c>
      <c r="AK172" s="1360">
        <f t="shared" si="32"/>
        <v>-8.4490555555555562E-4</v>
      </c>
      <c r="AL172" s="1361">
        <f t="shared" si="43"/>
        <v>102</v>
      </c>
      <c r="AM172" s="1191">
        <f t="shared" si="41"/>
        <v>0.01</v>
      </c>
      <c r="AN172" s="1362">
        <f t="shared" si="33"/>
        <v>879.11992514414544</v>
      </c>
      <c r="AO172" s="1362">
        <f t="shared" si="25"/>
        <v>-879.11992514414544</v>
      </c>
      <c r="AP172" s="1362">
        <f t="shared" si="42"/>
        <v>0</v>
      </c>
      <c r="AQ172" s="1363">
        <f t="shared" si="34"/>
        <v>1041374.0241941694</v>
      </c>
    </row>
    <row r="173" spans="1:43">
      <c r="A173" s="1118">
        <f t="shared" ca="1" si="23"/>
        <v>10</v>
      </c>
      <c r="B173" s="1351">
        <f t="shared" si="24"/>
        <v>0</v>
      </c>
      <c r="C173" s="2143">
        <f t="shared" si="35"/>
        <v>0</v>
      </c>
      <c r="D173" s="2144">
        <f t="shared" si="44"/>
        <v>0</v>
      </c>
      <c r="E173" s="2145">
        <f t="shared" si="26"/>
        <v>0</v>
      </c>
      <c r="F173" s="2145">
        <f t="shared" si="27"/>
        <v>0</v>
      </c>
      <c r="G173" s="2145">
        <f t="shared" si="36"/>
        <v>0</v>
      </c>
      <c r="H173" s="2145">
        <f>IF(M172&lt;0.01,0,M172*Adm!$GV$4)</f>
        <v>0</v>
      </c>
      <c r="I173" s="2145">
        <f>IF(M172&lt;0.01,0,Cal!$BO$108*Adm!$GW$4)</f>
        <v>0</v>
      </c>
      <c r="J173" s="2145">
        <f>IF(M172&lt;0.01,0,IF(Adm!$GO$4&gt;0,E173*Adm!$GO$4,0))</f>
        <v>0</v>
      </c>
      <c r="K173" s="2145">
        <f t="shared" si="28"/>
        <v>0</v>
      </c>
      <c r="L173" s="2145">
        <f>IF(Adm!$GJ$4="si",MIN(M172+E173+H173+I173-K173,AB173),0)</f>
        <v>0</v>
      </c>
      <c r="M173" s="2145">
        <f t="shared" si="29"/>
        <v>0</v>
      </c>
      <c r="N173" s="2153"/>
      <c r="U173" s="1352">
        <f t="shared" si="30"/>
        <v>7</v>
      </c>
      <c r="V173" s="1514">
        <f>IF(U173=1,Cal!$BO$127,0)</f>
        <v>0</v>
      </c>
      <c r="W173" s="1517">
        <f>IF(U173=1,Adm!$HI$4,0)</f>
        <v>0</v>
      </c>
      <c r="X173" s="1518"/>
      <c r="Y173" s="1518"/>
      <c r="Z173" s="1518"/>
      <c r="AA173" s="1368">
        <f t="shared" si="37"/>
        <v>0</v>
      </c>
      <c r="AB173" s="1369">
        <f t="shared" ca="1" si="31"/>
        <v>0</v>
      </c>
      <c r="AF173" s="1370">
        <f t="shared" si="38"/>
        <v>0</v>
      </c>
      <c r="AG173" s="1373">
        <f t="shared" si="39"/>
        <v>0</v>
      </c>
      <c r="AH173" s="1371">
        <f t="shared" si="40"/>
        <v>0</v>
      </c>
      <c r="AI173" s="1359">
        <f>HLOOKUP($AI$66,anticipadofree,104,0)</f>
        <v>-8.4490555555555541E-4</v>
      </c>
      <c r="AK173" s="1360">
        <f t="shared" si="32"/>
        <v>-8.4490555555555541E-4</v>
      </c>
      <c r="AL173" s="1361">
        <f t="shared" si="43"/>
        <v>103</v>
      </c>
      <c r="AM173" s="1191">
        <f t="shared" si="41"/>
        <v>0.01</v>
      </c>
      <c r="AN173" s="1362">
        <f t="shared" si="33"/>
        <v>879.86269845289917</v>
      </c>
      <c r="AO173" s="1362">
        <f t="shared" si="25"/>
        <v>-879.86269845289917</v>
      </c>
      <c r="AP173" s="1362">
        <f t="shared" si="42"/>
        <v>0</v>
      </c>
      <c r="AQ173" s="1363">
        <f t="shared" si="34"/>
        <v>1042253.8868926223</v>
      </c>
    </row>
    <row r="174" spans="1:43">
      <c r="A174" s="1118">
        <f t="shared" ca="1" si="23"/>
        <v>11</v>
      </c>
      <c r="B174" s="1351">
        <f t="shared" si="24"/>
        <v>0</v>
      </c>
      <c r="C174" s="2143">
        <f t="shared" si="35"/>
        <v>0</v>
      </c>
      <c r="D174" s="2144">
        <f t="shared" si="44"/>
        <v>0</v>
      </c>
      <c r="E174" s="2145">
        <f t="shared" si="26"/>
        <v>0</v>
      </c>
      <c r="F174" s="2145">
        <f t="shared" si="27"/>
        <v>0</v>
      </c>
      <c r="G174" s="2145">
        <f t="shared" si="36"/>
        <v>0</v>
      </c>
      <c r="H174" s="2145">
        <f>IF(M173&lt;0.01,0,M173*Adm!$GV$4)</f>
        <v>0</v>
      </c>
      <c r="I174" s="2145">
        <f>IF(M173&lt;0.01,0,Cal!$BO$108*Adm!$GW$4)</f>
        <v>0</v>
      </c>
      <c r="J174" s="2145">
        <f>IF(M173&lt;0.01,0,IF(Adm!$GO$4&gt;0,E174*Adm!$GO$4,0))</f>
        <v>0</v>
      </c>
      <c r="K174" s="2145">
        <f t="shared" si="28"/>
        <v>0</v>
      </c>
      <c r="L174" s="2145">
        <f>IF(Adm!$GJ$4="si",MIN(M173+E174+H174+I174-K174,AB174),0)</f>
        <v>0</v>
      </c>
      <c r="M174" s="2145">
        <f t="shared" si="29"/>
        <v>0</v>
      </c>
      <c r="N174" s="2153"/>
      <c r="U174" s="1352">
        <f t="shared" si="30"/>
        <v>8</v>
      </c>
      <c r="V174" s="1514">
        <f>IF(U174=1,Cal!$BO$127,0)</f>
        <v>0</v>
      </c>
      <c r="W174" s="1517">
        <f>IF(U174=1,Adm!$HI$4,0)</f>
        <v>0</v>
      </c>
      <c r="X174" s="1518"/>
      <c r="Y174" s="1518"/>
      <c r="Z174" s="1518"/>
      <c r="AA174" s="1368">
        <f t="shared" si="37"/>
        <v>0</v>
      </c>
      <c r="AB174" s="1369">
        <f t="shared" ca="1" si="31"/>
        <v>0</v>
      </c>
      <c r="AF174" s="1370">
        <f t="shared" si="38"/>
        <v>0</v>
      </c>
      <c r="AG174" s="1373">
        <f t="shared" si="39"/>
        <v>0</v>
      </c>
      <c r="AH174" s="1371">
        <f t="shared" si="40"/>
        <v>0</v>
      </c>
      <c r="AI174" s="1359">
        <f>HLOOKUP($AI$66,anticipadofree,105,0)</f>
        <v>-8.4490555555555551E-4</v>
      </c>
      <c r="AK174" s="1360">
        <f t="shared" si="32"/>
        <v>-8.4490555555555551E-4</v>
      </c>
      <c r="AL174" s="1361">
        <f t="shared" si="43"/>
        <v>104</v>
      </c>
      <c r="AM174" s="1191">
        <f t="shared" si="41"/>
        <v>0.01</v>
      </c>
      <c r="AN174" s="1362">
        <f t="shared" si="33"/>
        <v>880.60609933494823</v>
      </c>
      <c r="AO174" s="1362">
        <f t="shared" si="25"/>
        <v>-880.60609933494823</v>
      </c>
      <c r="AP174" s="1362">
        <f t="shared" si="42"/>
        <v>0</v>
      </c>
      <c r="AQ174" s="1363">
        <f t="shared" si="34"/>
        <v>1043134.4929919572</v>
      </c>
    </row>
    <row r="175" spans="1:43">
      <c r="A175" s="1118">
        <f t="shared" ca="1" si="23"/>
        <v>12</v>
      </c>
      <c r="B175" s="1351">
        <f t="shared" si="24"/>
        <v>0</v>
      </c>
      <c r="C175" s="2143">
        <f t="shared" si="35"/>
        <v>0</v>
      </c>
      <c r="D175" s="2144">
        <f t="shared" si="44"/>
        <v>0</v>
      </c>
      <c r="E175" s="2145">
        <f t="shared" si="26"/>
        <v>0</v>
      </c>
      <c r="F175" s="2145">
        <f t="shared" si="27"/>
        <v>0</v>
      </c>
      <c r="G175" s="2145">
        <f t="shared" si="36"/>
        <v>0</v>
      </c>
      <c r="H175" s="2145">
        <f>IF(M174&lt;0.01,0,M174*Adm!$GV$4)</f>
        <v>0</v>
      </c>
      <c r="I175" s="2145">
        <f>IF(M174&lt;0.01,0,Cal!$BO$108*Adm!$GW$4)</f>
        <v>0</v>
      </c>
      <c r="J175" s="2145">
        <f>IF(M174&lt;0.01,0,IF(Adm!$GO$4&gt;0,E175*Adm!$GO$4,0))</f>
        <v>0</v>
      </c>
      <c r="K175" s="2145">
        <f t="shared" si="28"/>
        <v>0</v>
      </c>
      <c r="L175" s="2145">
        <f>IF(Adm!$GJ$4="si",MIN(M174+E175+H175+I175-K175,AB175),0)</f>
        <v>0</v>
      </c>
      <c r="M175" s="2145">
        <f t="shared" si="29"/>
        <v>0</v>
      </c>
      <c r="N175" s="2153"/>
      <c r="U175" s="1352">
        <f t="shared" si="30"/>
        <v>9</v>
      </c>
      <c r="V175" s="1514">
        <f>IF(U175=1,Cal!$BO$127,0)</f>
        <v>0</v>
      </c>
      <c r="W175" s="1517">
        <f>IF(U175=1,Adm!$HI$4,0)</f>
        <v>0</v>
      </c>
      <c r="X175" s="1518"/>
      <c r="Y175" s="1518"/>
      <c r="Z175" s="1518"/>
      <c r="AA175" s="1368">
        <f t="shared" si="37"/>
        <v>0</v>
      </c>
      <c r="AB175" s="1369">
        <f t="shared" ca="1" si="31"/>
        <v>0</v>
      </c>
      <c r="AF175" s="1370">
        <f t="shared" si="38"/>
        <v>0</v>
      </c>
      <c r="AG175" s="1373">
        <f t="shared" si="39"/>
        <v>0</v>
      </c>
      <c r="AH175" s="1371">
        <f t="shared" si="40"/>
        <v>0</v>
      </c>
      <c r="AI175" s="1359">
        <f>HLOOKUP($AI$66,anticipadofree,106,0)</f>
        <v>-8.4490555555555562E-4</v>
      </c>
      <c r="AK175" s="1360">
        <f t="shared" si="32"/>
        <v>-8.4490555555555562E-4</v>
      </c>
      <c r="AL175" s="1361">
        <f t="shared" si="43"/>
        <v>105</v>
      </c>
      <c r="AM175" s="1191">
        <f t="shared" si="41"/>
        <v>0.01</v>
      </c>
      <c r="AN175" s="1362">
        <f t="shared" si="33"/>
        <v>881.35012832053246</v>
      </c>
      <c r="AO175" s="1362">
        <f t="shared" si="25"/>
        <v>-881.35012832053246</v>
      </c>
      <c r="AP175" s="1362">
        <f t="shared" si="42"/>
        <v>0</v>
      </c>
      <c r="AQ175" s="1363">
        <f t="shared" si="34"/>
        <v>1044015.8431202777</v>
      </c>
    </row>
    <row r="176" spans="1:43">
      <c r="A176" s="1118">
        <f t="shared" ca="1" si="23"/>
        <v>1</v>
      </c>
      <c r="B176" s="1351">
        <f t="shared" si="24"/>
        <v>0</v>
      </c>
      <c r="C176" s="2143">
        <f t="shared" si="35"/>
        <v>0</v>
      </c>
      <c r="D176" s="2144">
        <f t="shared" si="44"/>
        <v>0</v>
      </c>
      <c r="E176" s="2145">
        <f t="shared" si="26"/>
        <v>0</v>
      </c>
      <c r="F176" s="2145">
        <f t="shared" si="27"/>
        <v>0</v>
      </c>
      <c r="G176" s="2145">
        <f t="shared" si="36"/>
        <v>0</v>
      </c>
      <c r="H176" s="2145">
        <f>IF(M175&lt;0.01,0,M175*Adm!$GV$4)</f>
        <v>0</v>
      </c>
      <c r="I176" s="2145">
        <f>IF(M175&lt;0.01,0,Cal!$BO$108*Adm!$GW$4)</f>
        <v>0</v>
      </c>
      <c r="J176" s="2145">
        <f>IF(M175&lt;0.01,0,IF(Adm!$GO$4&gt;0,E176*Adm!$GO$4,0))</f>
        <v>0</v>
      </c>
      <c r="K176" s="2145">
        <f t="shared" si="28"/>
        <v>0</v>
      </c>
      <c r="L176" s="2145">
        <f>IF(Adm!$GJ$4="si",MIN(M175+E176+H176+I176-K176,AB176),0)</f>
        <v>0</v>
      </c>
      <c r="M176" s="2145">
        <f t="shared" si="29"/>
        <v>0</v>
      </c>
      <c r="N176" s="2153"/>
      <c r="U176" s="1352">
        <f t="shared" si="30"/>
        <v>10</v>
      </c>
      <c r="V176" s="1514">
        <f>IF(U176=1,Cal!$BO$127,0)</f>
        <v>0</v>
      </c>
      <c r="W176" s="1517">
        <f>IF(U176=1,Adm!$HI$4,0)</f>
        <v>0</v>
      </c>
      <c r="X176" s="1518"/>
      <c r="Y176" s="1518"/>
      <c r="Z176" s="1518"/>
      <c r="AA176" s="1368">
        <f t="shared" si="37"/>
        <v>0</v>
      </c>
      <c r="AB176" s="1369">
        <f t="shared" ca="1" si="31"/>
        <v>0</v>
      </c>
      <c r="AF176" s="1370">
        <f t="shared" si="38"/>
        <v>0</v>
      </c>
      <c r="AG176" s="1373">
        <f t="shared" si="39"/>
        <v>0</v>
      </c>
      <c r="AH176" s="1371">
        <f t="shared" si="40"/>
        <v>0</v>
      </c>
      <c r="AI176" s="1359">
        <f>HLOOKUP($AI$66,anticipadofree,107,0)</f>
        <v>-8.4490555555555541E-4</v>
      </c>
      <c r="AK176" s="1360">
        <f t="shared" si="32"/>
        <v>-8.4490555555555541E-4</v>
      </c>
      <c r="AL176" s="1361">
        <f t="shared" si="43"/>
        <v>106</v>
      </c>
      <c r="AM176" s="1191">
        <f t="shared" si="41"/>
        <v>0.01</v>
      </c>
      <c r="AN176" s="1362">
        <f t="shared" si="33"/>
        <v>882.09478594033988</v>
      </c>
      <c r="AO176" s="1362">
        <f t="shared" si="25"/>
        <v>-882.09478594033988</v>
      </c>
      <c r="AP176" s="1362">
        <f t="shared" si="42"/>
        <v>0</v>
      </c>
      <c r="AQ176" s="1363">
        <f t="shared" si="34"/>
        <v>1044897.9379062181</v>
      </c>
    </row>
    <row r="177" spans="1:43">
      <c r="A177" s="1118">
        <f t="shared" ca="1" si="23"/>
        <v>2</v>
      </c>
      <c r="B177" s="1351">
        <f t="shared" si="24"/>
        <v>0</v>
      </c>
      <c r="C177" s="2143">
        <f t="shared" si="35"/>
        <v>0</v>
      </c>
      <c r="D177" s="2144">
        <f t="shared" si="44"/>
        <v>0</v>
      </c>
      <c r="E177" s="2145">
        <f t="shared" si="26"/>
        <v>0</v>
      </c>
      <c r="F177" s="2145">
        <f t="shared" si="27"/>
        <v>0</v>
      </c>
      <c r="G177" s="2145">
        <f t="shared" si="36"/>
        <v>0</v>
      </c>
      <c r="H177" s="2145">
        <f>IF(M176&lt;0.01,0,M176*Adm!$GV$4)</f>
        <v>0</v>
      </c>
      <c r="I177" s="2145">
        <f>IF(M176&lt;0.01,0,Cal!$BO$108*Adm!$GW$4)</f>
        <v>0</v>
      </c>
      <c r="J177" s="2145">
        <f>IF(M176&lt;0.01,0,IF(Adm!$GO$4&gt;0,E177*Adm!$GO$4,0))</f>
        <v>0</v>
      </c>
      <c r="K177" s="2145">
        <f t="shared" si="28"/>
        <v>0</v>
      </c>
      <c r="L177" s="2145">
        <f>IF(Adm!$GJ$4="si",MIN(M176+E177+H177+I177-K177,AB177),0)</f>
        <v>0</v>
      </c>
      <c r="M177" s="2145">
        <f t="shared" si="29"/>
        <v>0</v>
      </c>
      <c r="N177" s="2153"/>
      <c r="U177" s="1352">
        <f t="shared" si="30"/>
        <v>11</v>
      </c>
      <c r="V177" s="1514">
        <f>IF(U177=1,Cal!$BO$127,0)</f>
        <v>0</v>
      </c>
      <c r="W177" s="1517">
        <f>IF(U177=1,Adm!$HI$4,0)</f>
        <v>0</v>
      </c>
      <c r="X177" s="1518"/>
      <c r="Y177" s="1518"/>
      <c r="Z177" s="1518"/>
      <c r="AA177" s="1368">
        <f t="shared" si="37"/>
        <v>0</v>
      </c>
      <c r="AB177" s="1369">
        <f t="shared" ca="1" si="31"/>
        <v>0</v>
      </c>
      <c r="AF177" s="1370">
        <f t="shared" si="38"/>
        <v>0</v>
      </c>
      <c r="AG177" s="1373">
        <f t="shared" si="39"/>
        <v>0</v>
      </c>
      <c r="AH177" s="1371">
        <f t="shared" si="40"/>
        <v>0</v>
      </c>
      <c r="AI177" s="1359">
        <f>HLOOKUP($AI$66,anticipadofree,108,0)</f>
        <v>-8.4490555555555562E-4</v>
      </c>
      <c r="AK177" s="1360">
        <f t="shared" si="32"/>
        <v>-8.4490555555555562E-4</v>
      </c>
      <c r="AL177" s="1361">
        <f t="shared" si="43"/>
        <v>107</v>
      </c>
      <c r="AM177" s="1191">
        <f t="shared" si="41"/>
        <v>0.01</v>
      </c>
      <c r="AN177" s="1362">
        <f t="shared" si="33"/>
        <v>882.84007272550764</v>
      </c>
      <c r="AO177" s="1362">
        <f t="shared" si="25"/>
        <v>-882.84007272550764</v>
      </c>
      <c r="AP177" s="1362">
        <f t="shared" si="42"/>
        <v>0</v>
      </c>
      <c r="AQ177" s="1363">
        <f t="shared" si="34"/>
        <v>1045780.7779789437</v>
      </c>
    </row>
    <row r="178" spans="1:43">
      <c r="A178" s="1118">
        <f t="shared" ca="1" si="23"/>
        <v>3</v>
      </c>
      <c r="B178" s="1351">
        <f t="shared" si="24"/>
        <v>0</v>
      </c>
      <c r="C178" s="2143">
        <f t="shared" si="35"/>
        <v>0</v>
      </c>
      <c r="D178" s="2144">
        <f t="shared" si="44"/>
        <v>0</v>
      </c>
      <c r="E178" s="2145">
        <f t="shared" si="26"/>
        <v>0</v>
      </c>
      <c r="F178" s="2145">
        <f t="shared" si="27"/>
        <v>0</v>
      </c>
      <c r="G178" s="2145">
        <f t="shared" si="36"/>
        <v>0</v>
      </c>
      <c r="H178" s="2145">
        <f>IF(M177&lt;0.01,0,M177*Adm!$GV$4)</f>
        <v>0</v>
      </c>
      <c r="I178" s="2145">
        <f>IF(M177&lt;0.01,0,Cal!$BO$108*Adm!$GW$4)</f>
        <v>0</v>
      </c>
      <c r="J178" s="2145">
        <f>IF(M177&lt;0.01,0,IF(Adm!$GO$4&gt;0,E178*Adm!$GO$4,0))</f>
        <v>0</v>
      </c>
      <c r="K178" s="2145">
        <f t="shared" si="28"/>
        <v>0</v>
      </c>
      <c r="L178" s="2145">
        <f>IF(Adm!$GJ$4="si",MIN(M177+E178+H178+I178-K178,AB178),0)</f>
        <v>0</v>
      </c>
      <c r="M178" s="2145">
        <f t="shared" si="29"/>
        <v>0</v>
      </c>
      <c r="N178" s="2153"/>
      <c r="U178" s="1352">
        <f t="shared" si="30"/>
        <v>12</v>
      </c>
      <c r="V178" s="1514">
        <f>IF(U178=1,Cal!$BO$127,0)</f>
        <v>0</v>
      </c>
      <c r="W178" s="1517">
        <f>IF(U178=1,Adm!$HI$4,0)</f>
        <v>0</v>
      </c>
      <c r="X178" s="1518"/>
      <c r="Y178" s="1518"/>
      <c r="Z178" s="1518"/>
      <c r="AA178" s="1368">
        <f t="shared" si="37"/>
        <v>0</v>
      </c>
      <c r="AB178" s="1369">
        <f t="shared" ca="1" si="31"/>
        <v>0</v>
      </c>
      <c r="AF178" s="1370">
        <f t="shared" si="38"/>
        <v>0</v>
      </c>
      <c r="AG178" s="1373">
        <f t="shared" si="39"/>
        <v>0</v>
      </c>
      <c r="AH178" s="1371">
        <f t="shared" si="40"/>
        <v>0</v>
      </c>
      <c r="AI178" s="1359">
        <f>HLOOKUP($AI$66,anticipadofree,109,0)</f>
        <v>-8.4490555555555562E-4</v>
      </c>
      <c r="AK178" s="1360">
        <f t="shared" si="32"/>
        <v>-8.4490555555555562E-4</v>
      </c>
      <c r="AL178" s="1361">
        <f t="shared" si="43"/>
        <v>108</v>
      </c>
      <c r="AM178" s="1191">
        <f t="shared" si="41"/>
        <v>0.01</v>
      </c>
      <c r="AN178" s="1362">
        <f t="shared" si="33"/>
        <v>883.58598920762051</v>
      </c>
      <c r="AO178" s="1362">
        <f t="shared" si="25"/>
        <v>-883.58598920762051</v>
      </c>
      <c r="AP178" s="1362">
        <f t="shared" si="42"/>
        <v>0</v>
      </c>
      <c r="AQ178" s="1363">
        <f t="shared" si="34"/>
        <v>1046664.3639681513</v>
      </c>
    </row>
    <row r="179" spans="1:43">
      <c r="A179" s="1118">
        <f t="shared" ca="1" si="23"/>
        <v>4</v>
      </c>
      <c r="B179" s="1351">
        <f t="shared" si="24"/>
        <v>0</v>
      </c>
      <c r="C179" s="2143">
        <f t="shared" si="35"/>
        <v>0</v>
      </c>
      <c r="D179" s="2144">
        <f t="shared" si="44"/>
        <v>0</v>
      </c>
      <c r="E179" s="2145">
        <f t="shared" si="26"/>
        <v>0</v>
      </c>
      <c r="F179" s="2145">
        <f t="shared" si="27"/>
        <v>0</v>
      </c>
      <c r="G179" s="2145">
        <f t="shared" si="36"/>
        <v>0</v>
      </c>
      <c r="H179" s="2145">
        <f>IF(M178&lt;0.01,0,M178*Adm!$GV$4)</f>
        <v>0</v>
      </c>
      <c r="I179" s="2145">
        <f>IF(M178&lt;0.01,0,Cal!$BO$108*Adm!$GW$4)</f>
        <v>0</v>
      </c>
      <c r="J179" s="2145">
        <f>IF(M178&lt;0.01,0,IF(Adm!$GO$4&gt;0,E179*Adm!$GO$4,0))</f>
        <v>0</v>
      </c>
      <c r="K179" s="2145">
        <f t="shared" si="28"/>
        <v>0</v>
      </c>
      <c r="L179" s="2145">
        <f>IF(Adm!$GJ$4="si",MIN(M178+E179+H179+I179-K179,AB179),0)</f>
        <v>0</v>
      </c>
      <c r="M179" s="2145">
        <f t="shared" si="29"/>
        <v>0</v>
      </c>
      <c r="N179" s="2153"/>
      <c r="U179" s="1352">
        <f t="shared" si="30"/>
        <v>1</v>
      </c>
      <c r="V179" s="1514">
        <f>IF(U179=1,Cal!$BO$127,0)</f>
        <v>0</v>
      </c>
      <c r="W179" s="1517">
        <f>IF(U179=1,Adm!$HI$4,0)</f>
        <v>2.5000000000000001E-3</v>
      </c>
      <c r="X179" s="1518"/>
      <c r="Y179" s="1518"/>
      <c r="Z179" s="1518"/>
      <c r="AA179" s="1368">
        <f t="shared" si="37"/>
        <v>0</v>
      </c>
      <c r="AB179" s="1369">
        <f t="shared" ca="1" si="31"/>
        <v>0</v>
      </c>
      <c r="AF179" s="1370">
        <f t="shared" si="38"/>
        <v>0</v>
      </c>
      <c r="AG179" s="1373">
        <f t="shared" si="39"/>
        <v>0</v>
      </c>
      <c r="AH179" s="1371">
        <f t="shared" si="40"/>
        <v>0</v>
      </c>
      <c r="AI179" s="1359">
        <f>HLOOKUP($AI$66,anticipadofree,110,0)</f>
        <v>-8.4490555555555562E-4</v>
      </c>
      <c r="AK179" s="1360">
        <f t="shared" si="32"/>
        <v>-8.4490555555555562E-4</v>
      </c>
      <c r="AL179" s="1377">
        <f t="shared" si="43"/>
        <v>109</v>
      </c>
      <c r="AM179" s="1516">
        <f t="shared" si="41"/>
        <v>0.01</v>
      </c>
      <c r="AN179" s="1378">
        <f t="shared" si="33"/>
        <v>884.33253591871312</v>
      </c>
      <c r="AO179" s="1378">
        <f t="shared" si="25"/>
        <v>-884.33253591871312</v>
      </c>
      <c r="AP179" s="1378">
        <f>MIN(AQ178+AN179,AP178*(1+$AN$66))</f>
        <v>0</v>
      </c>
      <c r="AQ179" s="1363">
        <f t="shared" si="34"/>
        <v>1047548.69650407</v>
      </c>
    </row>
    <row r="180" spans="1:43">
      <c r="A180" s="1118">
        <f t="shared" ca="1" si="23"/>
        <v>5</v>
      </c>
      <c r="B180" s="1351">
        <f t="shared" si="24"/>
        <v>0</v>
      </c>
      <c r="C180" s="2143">
        <f t="shared" si="35"/>
        <v>0</v>
      </c>
      <c r="D180" s="2144">
        <f t="shared" si="44"/>
        <v>0</v>
      </c>
      <c r="E180" s="2145">
        <f t="shared" si="26"/>
        <v>0</v>
      </c>
      <c r="F180" s="2145">
        <f t="shared" si="27"/>
        <v>0</v>
      </c>
      <c r="G180" s="2145">
        <f t="shared" si="36"/>
        <v>0</v>
      </c>
      <c r="H180" s="2145">
        <f>IF(M179&lt;0.01,0,M179*Adm!$GV$4)</f>
        <v>0</v>
      </c>
      <c r="I180" s="2145">
        <f>IF(M179&lt;0.01,0,Cal!$BO$108*Adm!$GW$4)</f>
        <v>0</v>
      </c>
      <c r="J180" s="2145">
        <f>IF(M179&lt;0.01,0,IF(Adm!$GO$4&gt;0,E180*Adm!$GO$4,0))</f>
        <v>0</v>
      </c>
      <c r="K180" s="2145">
        <f t="shared" si="28"/>
        <v>0</v>
      </c>
      <c r="L180" s="2145">
        <f>IF(Adm!$GJ$4="si",MIN(M179+E180+H180+I180-K180,AB180),0)</f>
        <v>0</v>
      </c>
      <c r="M180" s="2145">
        <f t="shared" si="29"/>
        <v>0</v>
      </c>
      <c r="N180" s="2153"/>
      <c r="U180" s="1352">
        <f t="shared" si="30"/>
        <v>2</v>
      </c>
      <c r="V180" s="1514">
        <f>IF(U180=1,Cal!$BO$127,0)</f>
        <v>0</v>
      </c>
      <c r="W180" s="1517">
        <f>IF(U180=1,Adm!$HI$4,0)</f>
        <v>0</v>
      </c>
      <c r="X180" s="1518"/>
      <c r="Y180" s="1518"/>
      <c r="Z180" s="1518"/>
      <c r="AA180" s="1368">
        <f t="shared" si="37"/>
        <v>0</v>
      </c>
      <c r="AB180" s="1369">
        <f t="shared" ca="1" si="31"/>
        <v>0</v>
      </c>
      <c r="AF180" s="1370">
        <f t="shared" si="38"/>
        <v>0</v>
      </c>
      <c r="AG180" s="1373">
        <f t="shared" si="39"/>
        <v>0</v>
      </c>
      <c r="AH180" s="1371">
        <f t="shared" si="40"/>
        <v>0</v>
      </c>
      <c r="AI180" s="1359">
        <f>HLOOKUP($AI$66,anticipadofree,111,0)</f>
        <v>-8.4490555555555551E-4</v>
      </c>
      <c r="AK180" s="1360">
        <f t="shared" si="32"/>
        <v>-8.4490555555555551E-4</v>
      </c>
      <c r="AL180" s="1361">
        <f t="shared" si="43"/>
        <v>110</v>
      </c>
      <c r="AM180" s="1191">
        <f t="shared" si="41"/>
        <v>0.01</v>
      </c>
      <c r="AN180" s="1362">
        <f t="shared" si="33"/>
        <v>885.07971339126925</v>
      </c>
      <c r="AO180" s="1362">
        <f t="shared" si="25"/>
        <v>-885.07971339126925</v>
      </c>
      <c r="AP180" s="1362">
        <f t="shared" si="42"/>
        <v>0</v>
      </c>
      <c r="AQ180" s="1363">
        <f t="shared" si="34"/>
        <v>1048433.7762174612</v>
      </c>
    </row>
    <row r="181" spans="1:43">
      <c r="A181" s="1118">
        <f t="shared" ca="1" si="23"/>
        <v>6</v>
      </c>
      <c r="B181" s="1351">
        <f t="shared" si="24"/>
        <v>0</v>
      </c>
      <c r="C181" s="2143">
        <f t="shared" si="35"/>
        <v>0</v>
      </c>
      <c r="D181" s="2144">
        <f t="shared" si="44"/>
        <v>0</v>
      </c>
      <c r="E181" s="2145">
        <f t="shared" si="26"/>
        <v>0</v>
      </c>
      <c r="F181" s="2145">
        <f t="shared" si="27"/>
        <v>0</v>
      </c>
      <c r="G181" s="2145">
        <f t="shared" si="36"/>
        <v>0</v>
      </c>
      <c r="H181" s="2145">
        <f>IF(M180&lt;0.01,0,M180*Adm!$GV$4)</f>
        <v>0</v>
      </c>
      <c r="I181" s="2145">
        <f>IF(M180&lt;0.01,0,Cal!$BO$108*Adm!$GW$4)</f>
        <v>0</v>
      </c>
      <c r="J181" s="2145">
        <f>IF(M180&lt;0.01,0,IF(Adm!$GO$4&gt;0,E181*Adm!$GO$4,0))</f>
        <v>0</v>
      </c>
      <c r="K181" s="2145">
        <f t="shared" si="28"/>
        <v>0</v>
      </c>
      <c r="L181" s="2145">
        <f>IF(Adm!$GJ$4="si",MIN(M180+E181+H181+I181-K181,AB181),0)</f>
        <v>0</v>
      </c>
      <c r="M181" s="2145">
        <f t="shared" si="29"/>
        <v>0</v>
      </c>
      <c r="N181" s="2153"/>
      <c r="U181" s="1352">
        <f t="shared" si="30"/>
        <v>3</v>
      </c>
      <c r="V181" s="1514">
        <f>IF(U181=1,Cal!$BO$127,0)</f>
        <v>0</v>
      </c>
      <c r="W181" s="1517">
        <f>IF(U181=1,Adm!$HI$4,0)</f>
        <v>0</v>
      </c>
      <c r="X181" s="1518"/>
      <c r="Y181" s="1518"/>
      <c r="Z181" s="1518"/>
      <c r="AA181" s="1368">
        <f t="shared" si="37"/>
        <v>0</v>
      </c>
      <c r="AB181" s="1369">
        <f t="shared" ca="1" si="31"/>
        <v>0</v>
      </c>
      <c r="AF181" s="1370">
        <f t="shared" si="38"/>
        <v>0</v>
      </c>
      <c r="AG181" s="1373">
        <f t="shared" si="39"/>
        <v>0</v>
      </c>
      <c r="AH181" s="1371">
        <f t="shared" si="40"/>
        <v>0</v>
      </c>
      <c r="AI181" s="1359">
        <f>HLOOKUP($AI$66,anticipadofree,112,0)</f>
        <v>-8.4490555555555551E-4</v>
      </c>
      <c r="AK181" s="1360">
        <f t="shared" si="32"/>
        <v>-8.4490555555555551E-4</v>
      </c>
      <c r="AL181" s="1361">
        <f t="shared" si="43"/>
        <v>111</v>
      </c>
      <c r="AM181" s="1191">
        <f t="shared" si="41"/>
        <v>0.01</v>
      </c>
      <c r="AN181" s="1362">
        <f t="shared" si="33"/>
        <v>885.82752215822302</v>
      </c>
      <c r="AO181" s="1362">
        <f t="shared" si="25"/>
        <v>-885.82752215822302</v>
      </c>
      <c r="AP181" s="1362">
        <f t="shared" si="42"/>
        <v>0</v>
      </c>
      <c r="AQ181" s="1363">
        <f t="shared" si="34"/>
        <v>1049319.6037396195</v>
      </c>
    </row>
    <row r="182" spans="1:43">
      <c r="A182" s="1118">
        <f t="shared" ca="1" si="23"/>
        <v>7</v>
      </c>
      <c r="B182" s="1351">
        <f t="shared" si="24"/>
        <v>0</v>
      </c>
      <c r="C182" s="2143">
        <f t="shared" si="35"/>
        <v>0</v>
      </c>
      <c r="D182" s="2144">
        <f t="shared" si="44"/>
        <v>0</v>
      </c>
      <c r="E182" s="2145">
        <f t="shared" si="26"/>
        <v>0</v>
      </c>
      <c r="F182" s="2145">
        <f t="shared" si="27"/>
        <v>0</v>
      </c>
      <c r="G182" s="2145">
        <f t="shared" si="36"/>
        <v>0</v>
      </c>
      <c r="H182" s="2145">
        <f>IF(M181&lt;0.01,0,M181*Adm!$GV$4)</f>
        <v>0</v>
      </c>
      <c r="I182" s="2145">
        <f>IF(M181&lt;0.01,0,Cal!$BO$108*Adm!$GW$4)</f>
        <v>0</v>
      </c>
      <c r="J182" s="2145">
        <f>IF(M181&lt;0.01,0,IF(Adm!$GO$4&gt;0,E182*Adm!$GO$4,0))</f>
        <v>0</v>
      </c>
      <c r="K182" s="2145">
        <f t="shared" si="28"/>
        <v>0</v>
      </c>
      <c r="L182" s="2145">
        <f>IF(Adm!$GJ$4="si",MIN(M181+E182+H182+I182-K182,AB182),0)</f>
        <v>0</v>
      </c>
      <c r="M182" s="2145">
        <f t="shared" si="29"/>
        <v>0</v>
      </c>
      <c r="N182" s="2153"/>
      <c r="U182" s="1352">
        <f t="shared" si="30"/>
        <v>4</v>
      </c>
      <c r="V182" s="1514">
        <f>IF(U182=1,Cal!$BO$127,0)</f>
        <v>0</v>
      </c>
      <c r="W182" s="1517">
        <f>IF(U182=1,Adm!$HI$4,0)</f>
        <v>0</v>
      </c>
      <c r="X182" s="1518"/>
      <c r="Y182" s="1518"/>
      <c r="Z182" s="1518"/>
      <c r="AA182" s="1368">
        <f t="shared" si="37"/>
        <v>0</v>
      </c>
      <c r="AB182" s="1369">
        <f t="shared" ca="1" si="31"/>
        <v>0</v>
      </c>
      <c r="AF182" s="1370">
        <f t="shared" si="38"/>
        <v>0</v>
      </c>
      <c r="AG182" s="1373">
        <f t="shared" si="39"/>
        <v>0</v>
      </c>
      <c r="AH182" s="1371">
        <f t="shared" si="40"/>
        <v>0</v>
      </c>
      <c r="AI182" s="1359">
        <f>HLOOKUP($AI$66,anticipadofree,113,0)</f>
        <v>-8.4490555555555551E-4</v>
      </c>
      <c r="AK182" s="1360">
        <f t="shared" si="32"/>
        <v>-8.4490555555555551E-4</v>
      </c>
      <c r="AL182" s="1361">
        <f t="shared" si="43"/>
        <v>112</v>
      </c>
      <c r="AM182" s="1191">
        <f t="shared" si="41"/>
        <v>0.01</v>
      </c>
      <c r="AN182" s="1362">
        <f t="shared" si="33"/>
        <v>886.57596275295862</v>
      </c>
      <c r="AO182" s="1362">
        <f t="shared" si="25"/>
        <v>-886.57596275295862</v>
      </c>
      <c r="AP182" s="1362">
        <f t="shared" si="42"/>
        <v>0</v>
      </c>
      <c r="AQ182" s="1363">
        <f t="shared" si="34"/>
        <v>1050206.1797023725</v>
      </c>
    </row>
    <row r="183" spans="1:43">
      <c r="A183" s="1118">
        <f t="shared" ca="1" si="23"/>
        <v>8</v>
      </c>
      <c r="B183" s="1351">
        <f t="shared" si="24"/>
        <v>0</v>
      </c>
      <c r="C183" s="2143">
        <f t="shared" si="35"/>
        <v>0</v>
      </c>
      <c r="D183" s="2144">
        <f t="shared" si="44"/>
        <v>0</v>
      </c>
      <c r="E183" s="2145">
        <f t="shared" si="26"/>
        <v>0</v>
      </c>
      <c r="F183" s="2145">
        <f t="shared" si="27"/>
        <v>0</v>
      </c>
      <c r="G183" s="2145">
        <f t="shared" si="36"/>
        <v>0</v>
      </c>
      <c r="H183" s="2145">
        <f>IF(M182&lt;0.01,0,M182*Adm!$GV$4)</f>
        <v>0</v>
      </c>
      <c r="I183" s="2145">
        <f>IF(M182&lt;0.01,0,Cal!$BO$108*Adm!$GW$4)</f>
        <v>0</v>
      </c>
      <c r="J183" s="2145">
        <f>IF(M182&lt;0.01,0,IF(Adm!$GO$4&gt;0,E183*Adm!$GO$4,0))</f>
        <v>0</v>
      </c>
      <c r="K183" s="2145">
        <f t="shared" si="28"/>
        <v>0</v>
      </c>
      <c r="L183" s="2145">
        <f>IF(Adm!$GJ$4="si",MIN(M182+E183+H183+I183-K183,AB183),0)</f>
        <v>0</v>
      </c>
      <c r="M183" s="2145">
        <f t="shared" si="29"/>
        <v>0</v>
      </c>
      <c r="N183" s="2153"/>
      <c r="U183" s="1352">
        <f t="shared" si="30"/>
        <v>5</v>
      </c>
      <c r="V183" s="1514">
        <f>IF(U183=1,Cal!$BO$127,0)</f>
        <v>0</v>
      </c>
      <c r="W183" s="1517">
        <f>IF(U183=1,Adm!$HI$4,0)</f>
        <v>0</v>
      </c>
      <c r="X183" s="1518"/>
      <c r="Y183" s="1518"/>
      <c r="Z183" s="1518"/>
      <c r="AA183" s="1368">
        <f t="shared" si="37"/>
        <v>0</v>
      </c>
      <c r="AB183" s="1369">
        <f t="shared" ca="1" si="31"/>
        <v>0</v>
      </c>
      <c r="AF183" s="1370">
        <f t="shared" si="38"/>
        <v>0</v>
      </c>
      <c r="AG183" s="1373">
        <f t="shared" si="39"/>
        <v>0</v>
      </c>
      <c r="AH183" s="1371">
        <f t="shared" si="40"/>
        <v>0</v>
      </c>
      <c r="AI183" s="1359">
        <f>HLOOKUP($AI$66,anticipadofree,114,0)</f>
        <v>-8.4490555555555551E-4</v>
      </c>
      <c r="AK183" s="1360">
        <f t="shared" si="32"/>
        <v>-8.4490555555555551E-4</v>
      </c>
      <c r="AL183" s="1361">
        <f t="shared" si="43"/>
        <v>113</v>
      </c>
      <c r="AM183" s="1191">
        <f t="shared" si="41"/>
        <v>0.01</v>
      </c>
      <c r="AN183" s="1362">
        <f t="shared" si="33"/>
        <v>887.32503570931067</v>
      </c>
      <c r="AO183" s="1362">
        <f t="shared" si="25"/>
        <v>-887.32503570931067</v>
      </c>
      <c r="AP183" s="1362">
        <f t="shared" si="42"/>
        <v>0</v>
      </c>
      <c r="AQ183" s="1363">
        <f t="shared" si="34"/>
        <v>1051093.5047380819</v>
      </c>
    </row>
    <row r="184" spans="1:43">
      <c r="A184" s="1118">
        <f t="shared" ca="1" si="23"/>
        <v>9</v>
      </c>
      <c r="B184" s="1351">
        <f t="shared" si="24"/>
        <v>0</v>
      </c>
      <c r="C184" s="2143">
        <f t="shared" si="35"/>
        <v>0</v>
      </c>
      <c r="D184" s="2144">
        <f t="shared" si="44"/>
        <v>0</v>
      </c>
      <c r="E184" s="2145">
        <f t="shared" si="26"/>
        <v>0</v>
      </c>
      <c r="F184" s="2145">
        <f t="shared" si="27"/>
        <v>0</v>
      </c>
      <c r="G184" s="2145">
        <f t="shared" si="36"/>
        <v>0</v>
      </c>
      <c r="H184" s="2145">
        <f>IF(M183&lt;0.01,0,M183*Adm!$GV$4)</f>
        <v>0</v>
      </c>
      <c r="I184" s="2145">
        <f>IF(M183&lt;0.01,0,Cal!$BO$108*Adm!$GW$4)</f>
        <v>0</v>
      </c>
      <c r="J184" s="2145">
        <f>IF(M183&lt;0.01,0,IF(Adm!$GO$4&gt;0,E184*Adm!$GO$4,0))</f>
        <v>0</v>
      </c>
      <c r="K184" s="2145">
        <f t="shared" si="28"/>
        <v>0</v>
      </c>
      <c r="L184" s="2145">
        <f>IF(Adm!$GJ$4="si",MIN(M183+E184+H184+I184-K184,AB184),0)</f>
        <v>0</v>
      </c>
      <c r="M184" s="2145">
        <f t="shared" si="29"/>
        <v>0</v>
      </c>
      <c r="N184" s="2153"/>
      <c r="U184" s="1352">
        <f t="shared" si="30"/>
        <v>6</v>
      </c>
      <c r="V184" s="1514">
        <f>IF(U184=1,Cal!$BO$127,0)</f>
        <v>0</v>
      </c>
      <c r="W184" s="1517">
        <f>IF(U184=1,Adm!$HI$4,0)</f>
        <v>0</v>
      </c>
      <c r="X184" s="1518"/>
      <c r="Y184" s="1518"/>
      <c r="Z184" s="1518"/>
      <c r="AA184" s="1368">
        <f t="shared" si="37"/>
        <v>0</v>
      </c>
      <c r="AB184" s="1369">
        <f t="shared" ca="1" si="31"/>
        <v>0</v>
      </c>
      <c r="AF184" s="1370">
        <f t="shared" si="38"/>
        <v>0</v>
      </c>
      <c r="AG184" s="1373">
        <f t="shared" si="39"/>
        <v>0</v>
      </c>
      <c r="AH184" s="1371">
        <f t="shared" si="40"/>
        <v>0</v>
      </c>
      <c r="AI184" s="1359">
        <f>HLOOKUP($AI$66,anticipadofree,115,0)</f>
        <v>-8.4490555555555551E-4</v>
      </c>
      <c r="AK184" s="1360">
        <f t="shared" si="32"/>
        <v>-8.4490555555555551E-4</v>
      </c>
      <c r="AL184" s="1361">
        <f t="shared" si="43"/>
        <v>114</v>
      </c>
      <c r="AM184" s="1191">
        <f t="shared" si="41"/>
        <v>0.01</v>
      </c>
      <c r="AN184" s="1362">
        <f t="shared" si="33"/>
        <v>888.07474156156502</v>
      </c>
      <c r="AO184" s="1362">
        <f t="shared" si="25"/>
        <v>-888.07474156156502</v>
      </c>
      <c r="AP184" s="1362">
        <f t="shared" si="42"/>
        <v>0</v>
      </c>
      <c r="AQ184" s="1363">
        <f t="shared" si="34"/>
        <v>1051981.5794796436</v>
      </c>
    </row>
    <row r="185" spans="1:43">
      <c r="A185" s="1118">
        <f t="shared" ca="1" si="23"/>
        <v>10</v>
      </c>
      <c r="B185" s="1351">
        <f t="shared" si="24"/>
        <v>0</v>
      </c>
      <c r="C185" s="2143">
        <f t="shared" si="35"/>
        <v>0</v>
      </c>
      <c r="D185" s="2144">
        <f t="shared" si="44"/>
        <v>0</v>
      </c>
      <c r="E185" s="2145">
        <f t="shared" si="26"/>
        <v>0</v>
      </c>
      <c r="F185" s="2145">
        <f t="shared" si="27"/>
        <v>0</v>
      </c>
      <c r="G185" s="2145">
        <f t="shared" si="36"/>
        <v>0</v>
      </c>
      <c r="H185" s="2145">
        <f>IF(M184&lt;0.01,0,M184*Adm!$GV$4)</f>
        <v>0</v>
      </c>
      <c r="I185" s="2145">
        <f>IF(M184&lt;0.01,0,Cal!$BO$108*Adm!$GW$4)</f>
        <v>0</v>
      </c>
      <c r="J185" s="2145">
        <f>IF(M184&lt;0.01,0,IF(Adm!$GO$4&gt;0,E185*Adm!$GO$4,0))</f>
        <v>0</v>
      </c>
      <c r="K185" s="2145">
        <f t="shared" si="28"/>
        <v>0</v>
      </c>
      <c r="L185" s="2145">
        <f>IF(Adm!$GJ$4="si",MIN(M184+E185+H185+I185-K185,AB185),0)</f>
        <v>0</v>
      </c>
      <c r="M185" s="2145">
        <f t="shared" si="29"/>
        <v>0</v>
      </c>
      <c r="N185" s="2153"/>
      <c r="U185" s="1352">
        <f t="shared" si="30"/>
        <v>7</v>
      </c>
      <c r="V185" s="1514">
        <f>IF(U185=1,Cal!$BO$127,0)</f>
        <v>0</v>
      </c>
      <c r="W185" s="1517">
        <f>IF(U185=1,Adm!$HI$4,0)</f>
        <v>0</v>
      </c>
      <c r="X185" s="1518"/>
      <c r="Y185" s="1518"/>
      <c r="Z185" s="1518"/>
      <c r="AA185" s="1368">
        <f t="shared" si="37"/>
        <v>0</v>
      </c>
      <c r="AB185" s="1369">
        <f t="shared" ca="1" si="31"/>
        <v>0</v>
      </c>
      <c r="AF185" s="1370">
        <f t="shared" si="38"/>
        <v>0</v>
      </c>
      <c r="AG185" s="1373">
        <f t="shared" si="39"/>
        <v>0</v>
      </c>
      <c r="AH185" s="1371">
        <f t="shared" si="40"/>
        <v>0</v>
      </c>
      <c r="AI185" s="1359">
        <f>HLOOKUP($AI$66,anticipadofree,116,0)</f>
        <v>-8.4490555555555551E-4</v>
      </c>
      <c r="AK185" s="1360">
        <f t="shared" si="32"/>
        <v>-8.4490555555555551E-4</v>
      </c>
      <c r="AL185" s="1361">
        <f t="shared" si="43"/>
        <v>115</v>
      </c>
      <c r="AM185" s="1191">
        <f t="shared" si="41"/>
        <v>0.01</v>
      </c>
      <c r="AN185" s="1362">
        <f t="shared" si="33"/>
        <v>888.82508084445908</v>
      </c>
      <c r="AO185" s="1362">
        <f t="shared" si="25"/>
        <v>-888.82508084445908</v>
      </c>
      <c r="AP185" s="1362">
        <f t="shared" si="42"/>
        <v>0</v>
      </c>
      <c r="AQ185" s="1363">
        <f t="shared" si="34"/>
        <v>1052870.4045604882</v>
      </c>
    </row>
    <row r="186" spans="1:43">
      <c r="A186" s="1118">
        <f t="shared" ca="1" si="23"/>
        <v>11</v>
      </c>
      <c r="B186" s="1351">
        <f t="shared" si="24"/>
        <v>0</v>
      </c>
      <c r="C186" s="2143">
        <f t="shared" si="35"/>
        <v>0</v>
      </c>
      <c r="D186" s="2144">
        <f t="shared" si="44"/>
        <v>0</v>
      </c>
      <c r="E186" s="2145">
        <f t="shared" si="26"/>
        <v>0</v>
      </c>
      <c r="F186" s="2145">
        <f t="shared" si="27"/>
        <v>0</v>
      </c>
      <c r="G186" s="2145">
        <f t="shared" si="36"/>
        <v>0</v>
      </c>
      <c r="H186" s="2145">
        <f>IF(M185&lt;0.01,0,M185*Adm!$GV$4)</f>
        <v>0</v>
      </c>
      <c r="I186" s="2145">
        <f>IF(M185&lt;0.01,0,Cal!$BO$108*Adm!$GW$4)</f>
        <v>0</v>
      </c>
      <c r="J186" s="2145">
        <f>IF(M185&lt;0.01,0,IF(Adm!$GO$4&gt;0,E186*Adm!$GO$4,0))</f>
        <v>0</v>
      </c>
      <c r="K186" s="2145">
        <f t="shared" si="28"/>
        <v>0</v>
      </c>
      <c r="L186" s="2145">
        <f>IF(Adm!$GJ$4="si",MIN(M185+E186+H186+I186-K186,AB186),0)</f>
        <v>0</v>
      </c>
      <c r="M186" s="2145">
        <f t="shared" si="29"/>
        <v>0</v>
      </c>
      <c r="N186" s="2153"/>
      <c r="U186" s="1352">
        <f t="shared" si="30"/>
        <v>8</v>
      </c>
      <c r="V186" s="1514">
        <f>IF(U186=1,Cal!$BO$127,0)</f>
        <v>0</v>
      </c>
      <c r="W186" s="1517">
        <f>IF(U186=1,Adm!$HI$4,0)</f>
        <v>0</v>
      </c>
      <c r="X186" s="1518"/>
      <c r="Y186" s="1518"/>
      <c r="Z186" s="1518"/>
      <c r="AA186" s="1368">
        <f t="shared" si="37"/>
        <v>0</v>
      </c>
      <c r="AB186" s="1369">
        <f t="shared" ca="1" si="31"/>
        <v>0</v>
      </c>
      <c r="AF186" s="1370">
        <f t="shared" si="38"/>
        <v>0</v>
      </c>
      <c r="AG186" s="1373">
        <f t="shared" si="39"/>
        <v>0</v>
      </c>
      <c r="AH186" s="1371">
        <f t="shared" si="40"/>
        <v>0</v>
      </c>
      <c r="AI186" s="1359">
        <f>HLOOKUP($AI$66,anticipadofree,117,0)</f>
        <v>-8.4490555555555551E-4</v>
      </c>
      <c r="AK186" s="1360">
        <f t="shared" si="32"/>
        <v>-8.4490555555555551E-4</v>
      </c>
      <c r="AL186" s="1361">
        <f t="shared" si="43"/>
        <v>116</v>
      </c>
      <c r="AM186" s="1191">
        <f t="shared" si="41"/>
        <v>0.01</v>
      </c>
      <c r="AN186" s="1362">
        <f t="shared" si="33"/>
        <v>889.57605409318171</v>
      </c>
      <c r="AO186" s="1362">
        <f t="shared" si="25"/>
        <v>-889.57605409318171</v>
      </c>
      <c r="AP186" s="1362">
        <f t="shared" si="42"/>
        <v>0</v>
      </c>
      <c r="AQ186" s="1363">
        <f t="shared" si="34"/>
        <v>1053759.9806145814</v>
      </c>
    </row>
    <row r="187" spans="1:43">
      <c r="A187" s="1118">
        <f t="shared" ca="1" si="23"/>
        <v>12</v>
      </c>
      <c r="B187" s="1351">
        <f t="shared" si="24"/>
        <v>0</v>
      </c>
      <c r="C187" s="2143">
        <f t="shared" si="35"/>
        <v>0</v>
      </c>
      <c r="D187" s="2144">
        <f t="shared" si="44"/>
        <v>0</v>
      </c>
      <c r="E187" s="2145">
        <f t="shared" si="26"/>
        <v>0</v>
      </c>
      <c r="F187" s="2145">
        <f t="shared" si="27"/>
        <v>0</v>
      </c>
      <c r="G187" s="2145">
        <f t="shared" si="36"/>
        <v>0</v>
      </c>
      <c r="H187" s="2145">
        <f>IF(M186&lt;0.01,0,M186*Adm!$GV$4)</f>
        <v>0</v>
      </c>
      <c r="I187" s="2145">
        <f>IF(M186&lt;0.01,0,Cal!$BO$108*Adm!$GW$4)</f>
        <v>0</v>
      </c>
      <c r="J187" s="2145">
        <f>IF(M186&lt;0.01,0,IF(Adm!$GO$4&gt;0,E187*Adm!$GO$4,0))</f>
        <v>0</v>
      </c>
      <c r="K187" s="2145">
        <f t="shared" si="28"/>
        <v>0</v>
      </c>
      <c r="L187" s="2145">
        <f>IF(Adm!$GJ$4="si",MIN(M186+E187+H187+I187-K187,AB187),0)</f>
        <v>0</v>
      </c>
      <c r="M187" s="2145">
        <f t="shared" si="29"/>
        <v>0</v>
      </c>
      <c r="N187" s="2153"/>
      <c r="U187" s="1352">
        <f t="shared" si="30"/>
        <v>9</v>
      </c>
      <c r="V187" s="1514">
        <f>IF(U187=1,Cal!$BO$127,0)</f>
        <v>0</v>
      </c>
      <c r="W187" s="1517">
        <f>IF(U187=1,Adm!$HI$4,0)</f>
        <v>0</v>
      </c>
      <c r="X187" s="1518"/>
      <c r="Y187" s="1518"/>
      <c r="Z187" s="1518"/>
      <c r="AA187" s="1368">
        <f t="shared" si="37"/>
        <v>0</v>
      </c>
      <c r="AB187" s="1369">
        <f t="shared" ca="1" si="31"/>
        <v>0</v>
      </c>
      <c r="AF187" s="1370">
        <f t="shared" si="38"/>
        <v>0</v>
      </c>
      <c r="AG187" s="1373">
        <f t="shared" si="39"/>
        <v>0</v>
      </c>
      <c r="AH187" s="1371">
        <f t="shared" si="40"/>
        <v>0</v>
      </c>
      <c r="AI187" s="1359">
        <f>HLOOKUP($AI$66,anticipadofree,118,0)</f>
        <v>-8.4490555555555551E-4</v>
      </c>
      <c r="AK187" s="1360">
        <f t="shared" si="32"/>
        <v>-8.4490555555555551E-4</v>
      </c>
      <c r="AL187" s="1361">
        <f t="shared" si="43"/>
        <v>117</v>
      </c>
      <c r="AM187" s="1191">
        <f t="shared" si="41"/>
        <v>0.01</v>
      </c>
      <c r="AN187" s="1362">
        <f t="shared" si="33"/>
        <v>890.32766184337424</v>
      </c>
      <c r="AO187" s="1362">
        <f t="shared" si="25"/>
        <v>-890.32766184337424</v>
      </c>
      <c r="AP187" s="1362">
        <f t="shared" si="42"/>
        <v>0</v>
      </c>
      <c r="AQ187" s="1363">
        <f t="shared" si="34"/>
        <v>1054650.3082764247</v>
      </c>
    </row>
    <row r="188" spans="1:43">
      <c r="A188" s="1118">
        <f t="shared" ca="1" si="23"/>
        <v>1</v>
      </c>
      <c r="B188" s="1351">
        <f t="shared" si="24"/>
        <v>0</v>
      </c>
      <c r="C188" s="2143">
        <f t="shared" si="35"/>
        <v>0</v>
      </c>
      <c r="D188" s="2144">
        <f t="shared" si="44"/>
        <v>0</v>
      </c>
      <c r="E188" s="2145">
        <f t="shared" si="26"/>
        <v>0</v>
      </c>
      <c r="F188" s="2145">
        <f t="shared" si="27"/>
        <v>0</v>
      </c>
      <c r="G188" s="2145">
        <f t="shared" si="36"/>
        <v>0</v>
      </c>
      <c r="H188" s="2145">
        <f>IF(M187&lt;0.01,0,M187*Adm!$GV$4)</f>
        <v>0</v>
      </c>
      <c r="I188" s="2145">
        <f>IF(M187&lt;0.01,0,Cal!$BO$108*Adm!$GW$4)</f>
        <v>0</v>
      </c>
      <c r="J188" s="2145">
        <f>IF(M187&lt;0.01,0,IF(Adm!$GO$4&gt;0,E188*Adm!$GO$4,0))</f>
        <v>0</v>
      </c>
      <c r="K188" s="2145">
        <f t="shared" si="28"/>
        <v>0</v>
      </c>
      <c r="L188" s="2145">
        <f>IF(Adm!$GJ$4="si",MIN(M187+E188+H188+I188-K188,AB188),0)</f>
        <v>0</v>
      </c>
      <c r="M188" s="2145">
        <f t="shared" si="29"/>
        <v>0</v>
      </c>
      <c r="N188" s="2153"/>
      <c r="U188" s="1352">
        <f t="shared" si="30"/>
        <v>10</v>
      </c>
      <c r="V188" s="1514">
        <f>IF(U188=1,Cal!$BO$127,0)</f>
        <v>0</v>
      </c>
      <c r="W188" s="1517">
        <f>IF(U188=1,Adm!$HI$4,0)</f>
        <v>0</v>
      </c>
      <c r="X188" s="1518"/>
      <c r="Y188" s="1518"/>
      <c r="Z188" s="1518"/>
      <c r="AA188" s="1368">
        <f t="shared" si="37"/>
        <v>0</v>
      </c>
      <c r="AB188" s="1369">
        <f t="shared" ca="1" si="31"/>
        <v>0</v>
      </c>
      <c r="AF188" s="1370">
        <f t="shared" si="38"/>
        <v>0</v>
      </c>
      <c r="AG188" s="1373">
        <f t="shared" si="39"/>
        <v>0</v>
      </c>
      <c r="AH188" s="1371">
        <f t="shared" si="40"/>
        <v>0</v>
      </c>
      <c r="AI188" s="1359">
        <f>HLOOKUP($AI$66,anticipadofree,119,0)</f>
        <v>-8.4490555555555551E-4</v>
      </c>
      <c r="AK188" s="1360">
        <f t="shared" si="32"/>
        <v>-8.4490555555555551E-4</v>
      </c>
      <c r="AL188" s="1361">
        <f t="shared" si="43"/>
        <v>118</v>
      </c>
      <c r="AM188" s="1191">
        <f t="shared" si="41"/>
        <v>0.01</v>
      </c>
      <c r="AN188" s="1362">
        <f t="shared" si="33"/>
        <v>891.07990463113049</v>
      </c>
      <c r="AO188" s="1362">
        <f t="shared" si="25"/>
        <v>-891.07990463113049</v>
      </c>
      <c r="AP188" s="1362">
        <f t="shared" si="42"/>
        <v>0</v>
      </c>
      <c r="AQ188" s="1363">
        <f t="shared" si="34"/>
        <v>1055541.3881810559</v>
      </c>
    </row>
    <row r="189" spans="1:43">
      <c r="A189" s="1118">
        <f t="shared" ca="1" si="23"/>
        <v>2</v>
      </c>
      <c r="B189" s="1351">
        <f t="shared" si="24"/>
        <v>0</v>
      </c>
      <c r="C189" s="2143">
        <f t="shared" si="35"/>
        <v>0</v>
      </c>
      <c r="D189" s="2144">
        <f t="shared" si="44"/>
        <v>0</v>
      </c>
      <c r="E189" s="2145">
        <f t="shared" si="26"/>
        <v>0</v>
      </c>
      <c r="F189" s="2145">
        <f t="shared" si="27"/>
        <v>0</v>
      </c>
      <c r="G189" s="2145">
        <f t="shared" si="36"/>
        <v>0</v>
      </c>
      <c r="H189" s="2145">
        <f>IF(M188&lt;0.01,0,M188*Adm!$GV$4)</f>
        <v>0</v>
      </c>
      <c r="I189" s="2145">
        <f>IF(M188&lt;0.01,0,Cal!$BO$108*Adm!$GW$4)</f>
        <v>0</v>
      </c>
      <c r="J189" s="2145">
        <f>IF(M188&lt;0.01,0,IF(Adm!$GO$4&gt;0,E189*Adm!$GO$4,0))</f>
        <v>0</v>
      </c>
      <c r="K189" s="2145">
        <f t="shared" si="28"/>
        <v>0</v>
      </c>
      <c r="L189" s="2145">
        <f>IF(Adm!$GJ$4="si",MIN(M188+E189+H189+I189-K189,AB189),0)</f>
        <v>0</v>
      </c>
      <c r="M189" s="2145">
        <f t="shared" si="29"/>
        <v>0</v>
      </c>
      <c r="N189" s="2153"/>
      <c r="U189" s="1352">
        <f t="shared" si="30"/>
        <v>11</v>
      </c>
      <c r="V189" s="1514">
        <f>IF(U189=1,Cal!$BO$127,0)</f>
        <v>0</v>
      </c>
      <c r="W189" s="1517">
        <f>IF(U189=1,Adm!$HI$4,0)</f>
        <v>0</v>
      </c>
      <c r="X189" s="1518"/>
      <c r="Y189" s="1518"/>
      <c r="Z189" s="1518"/>
      <c r="AA189" s="1368">
        <f t="shared" si="37"/>
        <v>0</v>
      </c>
      <c r="AB189" s="1369">
        <f t="shared" ca="1" si="31"/>
        <v>0</v>
      </c>
      <c r="AF189" s="1370">
        <f t="shared" si="38"/>
        <v>0</v>
      </c>
      <c r="AG189" s="1373">
        <f t="shared" si="39"/>
        <v>0</v>
      </c>
      <c r="AH189" s="1371">
        <f t="shared" si="40"/>
        <v>0</v>
      </c>
      <c r="AI189" s="1359">
        <f>HLOOKUP($AI$66,anticipadofree,120,0)</f>
        <v>-8.4490555555555551E-4</v>
      </c>
      <c r="AK189" s="1360">
        <f t="shared" si="32"/>
        <v>-8.4490555555555551E-4</v>
      </c>
      <c r="AL189" s="1361">
        <f t="shared" si="43"/>
        <v>119</v>
      </c>
      <c r="AM189" s="1191">
        <f t="shared" si="41"/>
        <v>0.01</v>
      </c>
      <c r="AN189" s="1362">
        <f t="shared" si="33"/>
        <v>891.83278299299729</v>
      </c>
      <c r="AO189" s="1362">
        <f t="shared" si="25"/>
        <v>-891.83278299299729</v>
      </c>
      <c r="AP189" s="1362">
        <f t="shared" si="42"/>
        <v>0</v>
      </c>
      <c r="AQ189" s="1363">
        <f t="shared" si="34"/>
        <v>1056433.220964049</v>
      </c>
    </row>
    <row r="190" spans="1:43">
      <c r="A190" s="1118">
        <f t="shared" ca="1" si="23"/>
        <v>3</v>
      </c>
      <c r="B190" s="1351">
        <f t="shared" si="24"/>
        <v>0</v>
      </c>
      <c r="C190" s="2143">
        <f t="shared" si="35"/>
        <v>0</v>
      </c>
      <c r="D190" s="2144">
        <f t="shared" si="44"/>
        <v>0</v>
      </c>
      <c r="E190" s="2145">
        <f t="shared" si="26"/>
        <v>0</v>
      </c>
      <c r="F190" s="2145">
        <f t="shared" si="27"/>
        <v>0</v>
      </c>
      <c r="G190" s="2145">
        <f t="shared" si="36"/>
        <v>0</v>
      </c>
      <c r="H190" s="2145">
        <f>IF(M189&lt;0.01,0,M189*Adm!$GV$4)</f>
        <v>0</v>
      </c>
      <c r="I190" s="2145">
        <f>IF(M189&lt;0.01,0,Cal!$BO$108*Adm!$GW$4)</f>
        <v>0</v>
      </c>
      <c r="J190" s="2145">
        <f>IF(M189&lt;0.01,0,IF(Adm!$GO$4&gt;0,E190*Adm!$GO$4,0))</f>
        <v>0</v>
      </c>
      <c r="K190" s="2145">
        <f t="shared" si="28"/>
        <v>0</v>
      </c>
      <c r="L190" s="2145">
        <f>IF(Adm!$GJ$4="si",MIN(M189+E190+H190+I190-K190,AB190),0)</f>
        <v>0</v>
      </c>
      <c r="M190" s="2145">
        <f t="shared" si="29"/>
        <v>0</v>
      </c>
      <c r="N190" s="2153"/>
      <c r="U190" s="1352">
        <f t="shared" si="30"/>
        <v>12</v>
      </c>
      <c r="V190" s="1514">
        <f>IF(U190=1,Cal!$BO$127,0)</f>
        <v>0</v>
      </c>
      <c r="W190" s="1517">
        <f>IF(U190=1,Adm!$HI$4,0)</f>
        <v>0</v>
      </c>
      <c r="X190" s="1518"/>
      <c r="Y190" s="1518"/>
      <c r="Z190" s="1518"/>
      <c r="AA190" s="1368">
        <f t="shared" si="37"/>
        <v>0</v>
      </c>
      <c r="AB190" s="1369">
        <f t="shared" ca="1" si="31"/>
        <v>0</v>
      </c>
      <c r="AF190" s="1370">
        <f t="shared" si="38"/>
        <v>0</v>
      </c>
      <c r="AG190" s="1373">
        <f t="shared" si="39"/>
        <v>0</v>
      </c>
      <c r="AH190" s="1371">
        <f t="shared" si="40"/>
        <v>0</v>
      </c>
      <c r="AI190" s="1359">
        <f>HLOOKUP($AI$66,anticipadofree,121,0)</f>
        <v>-8.4490555555555551E-4</v>
      </c>
      <c r="AK190" s="1360">
        <f t="shared" si="32"/>
        <v>-8.4490555555555551E-4</v>
      </c>
      <c r="AL190" s="1361">
        <f t="shared" si="43"/>
        <v>120</v>
      </c>
      <c r="AM190" s="1191">
        <f t="shared" si="41"/>
        <v>0.01</v>
      </c>
      <c r="AN190" s="1362">
        <f t="shared" si="33"/>
        <v>892.58629746597478</v>
      </c>
      <c r="AO190" s="1362">
        <f t="shared" si="25"/>
        <v>-892.58629746597478</v>
      </c>
      <c r="AP190" s="1362">
        <f t="shared" si="42"/>
        <v>0</v>
      </c>
      <c r="AQ190" s="1363">
        <f t="shared" si="34"/>
        <v>1057325.8072615149</v>
      </c>
    </row>
    <row r="191" spans="1:43">
      <c r="A191" s="1118">
        <f t="shared" ca="1" si="23"/>
        <v>4</v>
      </c>
      <c r="B191" s="1351">
        <f t="shared" si="24"/>
        <v>0</v>
      </c>
      <c r="C191" s="2143">
        <f t="shared" si="35"/>
        <v>0</v>
      </c>
      <c r="D191" s="2144">
        <f t="shared" si="44"/>
        <v>0</v>
      </c>
      <c r="E191" s="2145">
        <f t="shared" si="26"/>
        <v>0</v>
      </c>
      <c r="F191" s="2145">
        <f t="shared" si="27"/>
        <v>0</v>
      </c>
      <c r="G191" s="2145">
        <f t="shared" si="36"/>
        <v>0</v>
      </c>
      <c r="H191" s="2145">
        <f>IF(M190&lt;0.01,0,M190*Adm!$GV$4)</f>
        <v>0</v>
      </c>
      <c r="I191" s="2145">
        <f>IF(M190&lt;0.01,0,Cal!$BO$108*Adm!$GW$4)</f>
        <v>0</v>
      </c>
      <c r="J191" s="2145">
        <f>IF(M190&lt;0.01,0,IF(Adm!$GO$4&gt;0,E191*Adm!$GO$4,0))</f>
        <v>0</v>
      </c>
      <c r="K191" s="2145">
        <f t="shared" si="28"/>
        <v>0</v>
      </c>
      <c r="L191" s="2145">
        <f>IF(Adm!$GJ$4="si",MIN(M190+E191+H191+I191-K191,AB191),0)</f>
        <v>0</v>
      </c>
      <c r="M191" s="2145">
        <f t="shared" si="29"/>
        <v>0</v>
      </c>
      <c r="N191" s="2153"/>
      <c r="U191" s="1352">
        <f t="shared" si="30"/>
        <v>1</v>
      </c>
      <c r="V191" s="1514">
        <f>IF(U191=1,Cal!$BO$127,0)</f>
        <v>0</v>
      </c>
      <c r="W191" s="1517">
        <f>IF(U191=1,Adm!$HI$4,0)</f>
        <v>2.5000000000000001E-3</v>
      </c>
      <c r="X191" s="1518"/>
      <c r="Y191" s="1518"/>
      <c r="Z191" s="1518"/>
      <c r="AA191" s="1368">
        <f t="shared" si="37"/>
        <v>0</v>
      </c>
      <c r="AB191" s="1369">
        <f t="shared" ca="1" si="31"/>
        <v>0</v>
      </c>
      <c r="AF191" s="1370">
        <f t="shared" si="38"/>
        <v>0</v>
      </c>
      <c r="AG191" s="1373">
        <f t="shared" si="39"/>
        <v>0</v>
      </c>
      <c r="AH191" s="1371">
        <f t="shared" si="40"/>
        <v>0</v>
      </c>
      <c r="AI191" s="1359">
        <f>HLOOKUP($AI$66,anticipadofree,122,0)</f>
        <v>-8.4490555555555551E-4</v>
      </c>
      <c r="AK191" s="1360">
        <f t="shared" si="32"/>
        <v>-8.4490555555555551E-4</v>
      </c>
      <c r="AL191" s="1377">
        <f t="shared" si="43"/>
        <v>121</v>
      </c>
      <c r="AM191" s="1516">
        <f t="shared" si="41"/>
        <v>0.01</v>
      </c>
      <c r="AN191" s="1378">
        <f t="shared" si="33"/>
        <v>893.34044858751645</v>
      </c>
      <c r="AO191" s="1378">
        <f t="shared" si="25"/>
        <v>-893.34044858751645</v>
      </c>
      <c r="AP191" s="1378">
        <f>MIN(AQ190+AN191,AP190*(1+$AN$66))</f>
        <v>0</v>
      </c>
      <c r="AQ191" s="1363">
        <f t="shared" si="34"/>
        <v>1058219.1477101024</v>
      </c>
    </row>
    <row r="192" spans="1:43">
      <c r="A192" s="1118">
        <f t="shared" ca="1" si="23"/>
        <v>5</v>
      </c>
      <c r="B192" s="1351">
        <f t="shared" si="24"/>
        <v>0</v>
      </c>
      <c r="C192" s="2143">
        <f t="shared" si="35"/>
        <v>0</v>
      </c>
      <c r="D192" s="2144">
        <f t="shared" si="44"/>
        <v>0</v>
      </c>
      <c r="E192" s="2145">
        <f t="shared" si="26"/>
        <v>0</v>
      </c>
      <c r="F192" s="2145">
        <f t="shared" si="27"/>
        <v>0</v>
      </c>
      <c r="G192" s="2145">
        <f t="shared" si="36"/>
        <v>0</v>
      </c>
      <c r="H192" s="2145">
        <f>IF(M191&lt;0.01,0,M191*Adm!$GV$4)</f>
        <v>0</v>
      </c>
      <c r="I192" s="2145">
        <f>IF(M191&lt;0.01,0,Cal!$BO$108*Adm!$GW$4)</f>
        <v>0</v>
      </c>
      <c r="J192" s="2145">
        <f>IF(M191&lt;0.01,0,IF(Adm!$GO$4&gt;0,E192*Adm!$GO$4,0))</f>
        <v>0</v>
      </c>
      <c r="K192" s="2145">
        <f t="shared" si="28"/>
        <v>0</v>
      </c>
      <c r="L192" s="2145">
        <f>IF(Adm!$GJ$4="si",MIN(M191+E192+H192+I192-K192,AB192),0)</f>
        <v>0</v>
      </c>
      <c r="M192" s="2145">
        <f t="shared" si="29"/>
        <v>0</v>
      </c>
      <c r="N192" s="2153"/>
      <c r="U192" s="1352">
        <f t="shared" si="30"/>
        <v>2</v>
      </c>
      <c r="V192" s="1514">
        <f>IF(U192=1,Cal!$BO$127,0)</f>
        <v>0</v>
      </c>
      <c r="W192" s="1517">
        <f>IF(U192=1,Adm!$HI$4,0)</f>
        <v>0</v>
      </c>
      <c r="X192" s="1518"/>
      <c r="Y192" s="1518"/>
      <c r="Z192" s="1518"/>
      <c r="AA192" s="1368">
        <f t="shared" si="37"/>
        <v>0</v>
      </c>
      <c r="AB192" s="1369">
        <f t="shared" ca="1" si="31"/>
        <v>0</v>
      </c>
      <c r="AF192" s="1370">
        <f t="shared" si="38"/>
        <v>0</v>
      </c>
      <c r="AG192" s="1373">
        <f t="shared" si="39"/>
        <v>0</v>
      </c>
      <c r="AH192" s="1371">
        <f t="shared" si="40"/>
        <v>0</v>
      </c>
      <c r="AI192" s="1359">
        <f>HLOOKUP($AI$66,anticipadofree,123,0)</f>
        <v>-8.4490555555555541E-4</v>
      </c>
      <c r="AK192" s="1360">
        <f t="shared" si="32"/>
        <v>-8.4490555555555541E-4</v>
      </c>
      <c r="AL192" s="1361">
        <f t="shared" si="43"/>
        <v>122</v>
      </c>
      <c r="AM192" s="1191">
        <f t="shared" si="41"/>
        <v>0.01</v>
      </c>
      <c r="AN192" s="1362">
        <f t="shared" si="33"/>
        <v>894.09523689553043</v>
      </c>
      <c r="AO192" s="1362">
        <f t="shared" si="25"/>
        <v>-894.09523689553043</v>
      </c>
      <c r="AP192" s="1362">
        <f t="shared" si="42"/>
        <v>0</v>
      </c>
      <c r="AQ192" s="1363">
        <f t="shared" si="34"/>
        <v>1059113.242946998</v>
      </c>
    </row>
    <row r="193" spans="1:43">
      <c r="A193" s="1118">
        <f t="shared" ca="1" si="23"/>
        <v>6</v>
      </c>
      <c r="B193" s="1351">
        <f t="shared" si="24"/>
        <v>0</v>
      </c>
      <c r="C193" s="2143">
        <f t="shared" si="35"/>
        <v>0</v>
      </c>
      <c r="D193" s="2144">
        <f t="shared" si="44"/>
        <v>0</v>
      </c>
      <c r="E193" s="2145">
        <f t="shared" si="26"/>
        <v>0</v>
      </c>
      <c r="F193" s="2145">
        <f t="shared" si="27"/>
        <v>0</v>
      </c>
      <c r="G193" s="2145">
        <f t="shared" si="36"/>
        <v>0</v>
      </c>
      <c r="H193" s="2145">
        <f>IF(M192&lt;0.01,0,M192*Adm!$GV$4)</f>
        <v>0</v>
      </c>
      <c r="I193" s="2145">
        <f>IF(M192&lt;0.01,0,Cal!$BO$108*Adm!$GW$4)</f>
        <v>0</v>
      </c>
      <c r="J193" s="2145">
        <f>IF(M192&lt;0.01,0,IF(Adm!$GO$4&gt;0,E193*Adm!$GO$4,0))</f>
        <v>0</v>
      </c>
      <c r="K193" s="2145">
        <f t="shared" si="28"/>
        <v>0</v>
      </c>
      <c r="L193" s="2145">
        <f>IF(Adm!$GJ$4="si",MIN(M192+E193+H193+I193-K193,AB193),0)</f>
        <v>0</v>
      </c>
      <c r="M193" s="2145">
        <f t="shared" si="29"/>
        <v>0</v>
      </c>
      <c r="N193" s="2153"/>
      <c r="U193" s="1352">
        <f t="shared" si="30"/>
        <v>3</v>
      </c>
      <c r="V193" s="1514">
        <f>IF(U193=1,Cal!$BO$127,0)</f>
        <v>0</v>
      </c>
      <c r="W193" s="1517">
        <f>IF(U193=1,Adm!$HI$4,0)</f>
        <v>0</v>
      </c>
      <c r="X193" s="1518"/>
      <c r="Y193" s="1518"/>
      <c r="Z193" s="1518"/>
      <c r="AA193" s="1368">
        <f t="shared" si="37"/>
        <v>0</v>
      </c>
      <c r="AB193" s="1369">
        <f t="shared" ca="1" si="31"/>
        <v>0</v>
      </c>
      <c r="AF193" s="1370">
        <f t="shared" si="38"/>
        <v>0</v>
      </c>
      <c r="AG193" s="1373">
        <f t="shared" si="39"/>
        <v>0</v>
      </c>
      <c r="AH193" s="1371">
        <f t="shared" si="40"/>
        <v>0</v>
      </c>
      <c r="AI193" s="1359">
        <f>HLOOKUP($AI$66,anticipadofree,124,0)</f>
        <v>-8.4490555555555551E-4</v>
      </c>
      <c r="AK193" s="1360">
        <f t="shared" si="32"/>
        <v>-8.4490555555555551E-4</v>
      </c>
      <c r="AL193" s="1361">
        <f t="shared" si="43"/>
        <v>123</v>
      </c>
      <c r="AM193" s="1191">
        <f t="shared" si="41"/>
        <v>0.01</v>
      </c>
      <c r="AN193" s="1362">
        <f t="shared" si="33"/>
        <v>894.85066292837939</v>
      </c>
      <c r="AO193" s="1362">
        <f t="shared" si="25"/>
        <v>-894.85066292837939</v>
      </c>
      <c r="AP193" s="1362">
        <f t="shared" si="42"/>
        <v>0</v>
      </c>
      <c r="AQ193" s="1363">
        <f t="shared" si="34"/>
        <v>1060008.0936099263</v>
      </c>
    </row>
    <row r="194" spans="1:43">
      <c r="A194" s="1118">
        <f t="shared" ca="1" si="23"/>
        <v>7</v>
      </c>
      <c r="B194" s="1351">
        <f t="shared" si="24"/>
        <v>0</v>
      </c>
      <c r="C194" s="2143">
        <f t="shared" si="35"/>
        <v>0</v>
      </c>
      <c r="D194" s="2144">
        <f t="shared" si="44"/>
        <v>0</v>
      </c>
      <c r="E194" s="2145">
        <f t="shared" si="26"/>
        <v>0</v>
      </c>
      <c r="F194" s="2145">
        <f t="shared" si="27"/>
        <v>0</v>
      </c>
      <c r="G194" s="2145">
        <f t="shared" si="36"/>
        <v>0</v>
      </c>
      <c r="H194" s="2145">
        <f>IF(M193&lt;0.01,0,M193*Adm!$GV$4)</f>
        <v>0</v>
      </c>
      <c r="I194" s="2145">
        <f>IF(M193&lt;0.01,0,Cal!$BO$108*Adm!$GW$4)</f>
        <v>0</v>
      </c>
      <c r="J194" s="2145">
        <f>IF(M193&lt;0.01,0,IF(Adm!$GO$4&gt;0,E194*Adm!$GO$4,0))</f>
        <v>0</v>
      </c>
      <c r="K194" s="2145">
        <f t="shared" si="28"/>
        <v>0</v>
      </c>
      <c r="L194" s="2145">
        <f>IF(Adm!$GJ$4="si",MIN(M193+E194+H194+I194-K194,AB194),0)</f>
        <v>0</v>
      </c>
      <c r="M194" s="2145">
        <f t="shared" si="29"/>
        <v>0</v>
      </c>
      <c r="N194" s="2153"/>
      <c r="U194" s="1352">
        <f t="shared" si="30"/>
        <v>4</v>
      </c>
      <c r="V194" s="1514">
        <f>IF(U194=1,Cal!$BO$127,0)</f>
        <v>0</v>
      </c>
      <c r="W194" s="1517">
        <f>IF(U194=1,Adm!$HI$4,0)</f>
        <v>0</v>
      </c>
      <c r="X194" s="1518"/>
      <c r="Y194" s="1518"/>
      <c r="Z194" s="1518"/>
      <c r="AA194" s="1368">
        <f t="shared" si="37"/>
        <v>0</v>
      </c>
      <c r="AB194" s="1369">
        <f t="shared" ca="1" si="31"/>
        <v>0</v>
      </c>
      <c r="AF194" s="1370">
        <f t="shared" si="38"/>
        <v>0</v>
      </c>
      <c r="AG194" s="1373">
        <f t="shared" si="39"/>
        <v>0</v>
      </c>
      <c r="AH194" s="1371">
        <f t="shared" si="40"/>
        <v>0</v>
      </c>
      <c r="AI194" s="1359">
        <f>HLOOKUP($AI$66,anticipadofree,125,0)</f>
        <v>-8.4490555555555551E-4</v>
      </c>
      <c r="AK194" s="1360">
        <f t="shared" si="32"/>
        <v>-8.4490555555555551E-4</v>
      </c>
      <c r="AL194" s="1361">
        <f t="shared" si="43"/>
        <v>124</v>
      </c>
      <c r="AM194" s="1191">
        <f t="shared" si="41"/>
        <v>0.01</v>
      </c>
      <c r="AN194" s="1362">
        <f t="shared" si="33"/>
        <v>895.60672722488005</v>
      </c>
      <c r="AO194" s="1362">
        <f t="shared" si="25"/>
        <v>-895.60672722488005</v>
      </c>
      <c r="AP194" s="1362">
        <f t="shared" si="42"/>
        <v>0</v>
      </c>
      <c r="AQ194" s="1363">
        <f t="shared" si="34"/>
        <v>1060903.7003371511</v>
      </c>
    </row>
    <row r="195" spans="1:43">
      <c r="A195" s="1118">
        <f t="shared" ca="1" si="23"/>
        <v>8</v>
      </c>
      <c r="B195" s="1351">
        <f t="shared" si="24"/>
        <v>0</v>
      </c>
      <c r="C195" s="2143">
        <f t="shared" si="35"/>
        <v>0</v>
      </c>
      <c r="D195" s="2144">
        <f t="shared" si="44"/>
        <v>0</v>
      </c>
      <c r="E195" s="2145">
        <f t="shared" si="26"/>
        <v>0</v>
      </c>
      <c r="F195" s="2145">
        <f t="shared" si="27"/>
        <v>0</v>
      </c>
      <c r="G195" s="2145">
        <f t="shared" si="36"/>
        <v>0</v>
      </c>
      <c r="H195" s="2145">
        <f>IF(M194&lt;0.01,0,M194*Adm!$GV$4)</f>
        <v>0</v>
      </c>
      <c r="I195" s="2145">
        <f>IF(M194&lt;0.01,0,Cal!$BO$108*Adm!$GW$4)</f>
        <v>0</v>
      </c>
      <c r="J195" s="2145">
        <f>IF(M194&lt;0.01,0,IF(Adm!$GO$4&gt;0,E195*Adm!$GO$4,0))</f>
        <v>0</v>
      </c>
      <c r="K195" s="2145">
        <f t="shared" si="28"/>
        <v>0</v>
      </c>
      <c r="L195" s="2145">
        <f>IF(Adm!$GJ$4="si",MIN(M194+E195+H195+I195-K195,AB195),0)</f>
        <v>0</v>
      </c>
      <c r="M195" s="2145">
        <f t="shared" si="29"/>
        <v>0</v>
      </c>
      <c r="N195" s="2153"/>
      <c r="U195" s="1352">
        <f t="shared" si="30"/>
        <v>5</v>
      </c>
      <c r="V195" s="1514">
        <f>IF(U195=1,Cal!$BO$127,0)</f>
        <v>0</v>
      </c>
      <c r="W195" s="1517">
        <f>IF(U195=1,Adm!$HI$4,0)</f>
        <v>0</v>
      </c>
      <c r="X195" s="1518"/>
      <c r="Y195" s="1518"/>
      <c r="Z195" s="1518"/>
      <c r="AA195" s="1368">
        <f t="shared" si="37"/>
        <v>0</v>
      </c>
      <c r="AB195" s="1369">
        <f t="shared" ca="1" si="31"/>
        <v>0</v>
      </c>
      <c r="AF195" s="1370">
        <f t="shared" si="38"/>
        <v>0</v>
      </c>
      <c r="AG195" s="1373">
        <f t="shared" si="39"/>
        <v>0</v>
      </c>
      <c r="AH195" s="1371">
        <f t="shared" si="40"/>
        <v>0</v>
      </c>
      <c r="AI195" s="1359">
        <f>HLOOKUP($AI$66,anticipadofree,125,0)</f>
        <v>-8.4490555555555551E-4</v>
      </c>
      <c r="AK195" s="1360">
        <f t="shared" si="32"/>
        <v>-8.4490555555555562E-4</v>
      </c>
      <c r="AL195" s="1361">
        <f t="shared" si="43"/>
        <v>125</v>
      </c>
      <c r="AM195" s="1191">
        <f t="shared" si="41"/>
        <v>0.01</v>
      </c>
      <c r="AN195" s="1362">
        <f t="shared" si="33"/>
        <v>896.36343032430534</v>
      </c>
      <c r="AO195" s="1362">
        <f t="shared" si="25"/>
        <v>-896.36343032430534</v>
      </c>
      <c r="AP195" s="1362">
        <f t="shared" si="42"/>
        <v>0</v>
      </c>
      <c r="AQ195" s="1363">
        <f t="shared" si="34"/>
        <v>1061800.0637674753</v>
      </c>
    </row>
    <row r="196" spans="1:43">
      <c r="A196" s="1118">
        <f t="shared" ca="1" si="23"/>
        <v>9</v>
      </c>
      <c r="B196" s="1351">
        <f t="shared" si="24"/>
        <v>0</v>
      </c>
      <c r="C196" s="2143">
        <f t="shared" si="35"/>
        <v>0</v>
      </c>
      <c r="D196" s="2144">
        <f t="shared" si="44"/>
        <v>0</v>
      </c>
      <c r="E196" s="2145">
        <f t="shared" si="26"/>
        <v>0</v>
      </c>
      <c r="F196" s="2145">
        <f t="shared" si="27"/>
        <v>0</v>
      </c>
      <c r="G196" s="2145">
        <f t="shared" si="36"/>
        <v>0</v>
      </c>
      <c r="H196" s="2145">
        <f>IF(M195&lt;0.01,0,M195*Adm!$GV$4)</f>
        <v>0</v>
      </c>
      <c r="I196" s="2145">
        <f>IF(M195&lt;0.01,0,Cal!$BO$108*Adm!$GW$4)</f>
        <v>0</v>
      </c>
      <c r="J196" s="2145">
        <f>IF(M195&lt;0.01,0,IF(Adm!$GO$4&gt;0,E196*Adm!$GO$4,0))</f>
        <v>0</v>
      </c>
      <c r="K196" s="2145">
        <f t="shared" si="28"/>
        <v>0</v>
      </c>
      <c r="L196" s="2145">
        <f>IF(Adm!$GJ$4="si",MIN(M195+E196+H196+I196-K196,AB196),0)</f>
        <v>0</v>
      </c>
      <c r="M196" s="2145">
        <f t="shared" si="29"/>
        <v>0</v>
      </c>
      <c r="N196" s="2153"/>
      <c r="U196" s="1352">
        <f t="shared" si="30"/>
        <v>6</v>
      </c>
      <c r="V196" s="1514">
        <f>IF(U196=1,Cal!$BO$127,0)</f>
        <v>0</v>
      </c>
      <c r="W196" s="1517">
        <f>IF(U196=1,Adm!$HI$4,0)</f>
        <v>0</v>
      </c>
      <c r="X196" s="1518"/>
      <c r="Y196" s="1518"/>
      <c r="Z196" s="1518"/>
      <c r="AA196" s="1368">
        <f t="shared" si="37"/>
        <v>0</v>
      </c>
      <c r="AB196" s="1369">
        <f t="shared" ca="1" si="31"/>
        <v>0</v>
      </c>
      <c r="AF196" s="1370">
        <f t="shared" si="38"/>
        <v>0</v>
      </c>
      <c r="AG196" s="1373">
        <f t="shared" si="39"/>
        <v>0</v>
      </c>
      <c r="AH196" s="1371">
        <f t="shared" si="40"/>
        <v>0</v>
      </c>
      <c r="AI196" s="1359">
        <f>HLOOKUP($AI$66,anticipadofree,127,0)</f>
        <v>-8.4490555555555551E-4</v>
      </c>
      <c r="AK196" s="1360">
        <f t="shared" si="32"/>
        <v>-8.4490555555555551E-4</v>
      </c>
      <c r="AL196" s="1361">
        <f t="shared" si="43"/>
        <v>126</v>
      </c>
      <c r="AM196" s="1191">
        <f t="shared" si="41"/>
        <v>0.01</v>
      </c>
      <c r="AN196" s="1362">
        <f t="shared" si="33"/>
        <v>897.12077276638297</v>
      </c>
      <c r="AO196" s="1362">
        <f t="shared" si="25"/>
        <v>-897.12077276638297</v>
      </c>
      <c r="AP196" s="1362">
        <f t="shared" si="42"/>
        <v>0</v>
      </c>
      <c r="AQ196" s="1363">
        <f t="shared" si="34"/>
        <v>1062697.1845402417</v>
      </c>
    </row>
    <row r="197" spans="1:43">
      <c r="A197" s="1118">
        <f t="shared" ca="1" si="23"/>
        <v>10</v>
      </c>
      <c r="B197" s="1351">
        <f t="shared" si="24"/>
        <v>0</v>
      </c>
      <c r="C197" s="2143">
        <f t="shared" si="35"/>
        <v>0</v>
      </c>
      <c r="D197" s="2144">
        <f t="shared" si="44"/>
        <v>0</v>
      </c>
      <c r="E197" s="2145">
        <f t="shared" si="26"/>
        <v>0</v>
      </c>
      <c r="F197" s="2145">
        <f t="shared" si="27"/>
        <v>0</v>
      </c>
      <c r="G197" s="2145">
        <f t="shared" si="36"/>
        <v>0</v>
      </c>
      <c r="H197" s="2145">
        <f>IF(M196&lt;0.01,0,M196*Adm!$GV$4)</f>
        <v>0</v>
      </c>
      <c r="I197" s="2145">
        <f>IF(M196&lt;0.01,0,Cal!$BO$108*Adm!$GW$4)</f>
        <v>0</v>
      </c>
      <c r="J197" s="2145">
        <f>IF(M196&lt;0.01,0,IF(Adm!$GO$4&gt;0,E197*Adm!$GO$4,0))</f>
        <v>0</v>
      </c>
      <c r="K197" s="2145">
        <f t="shared" si="28"/>
        <v>0</v>
      </c>
      <c r="L197" s="2145">
        <f>IF(Adm!$GJ$4="si",MIN(M196+E197+H197+I197-K197,AB197),0)</f>
        <v>0</v>
      </c>
      <c r="M197" s="2145">
        <f t="shared" si="29"/>
        <v>0</v>
      </c>
      <c r="N197" s="2153"/>
      <c r="U197" s="1352">
        <f t="shared" si="30"/>
        <v>7</v>
      </c>
      <c r="V197" s="1514">
        <f>IF(U197=1,Cal!$BO$127,0)</f>
        <v>0</v>
      </c>
      <c r="W197" s="1517">
        <f>IF(U197=1,Adm!$HI$4,0)</f>
        <v>0</v>
      </c>
      <c r="X197" s="1518"/>
      <c r="Y197" s="1518"/>
      <c r="Z197" s="1518"/>
      <c r="AA197" s="1368">
        <f t="shared" si="37"/>
        <v>0</v>
      </c>
      <c r="AB197" s="1369">
        <f t="shared" ca="1" si="31"/>
        <v>0</v>
      </c>
      <c r="AF197" s="1370">
        <f t="shared" si="38"/>
        <v>0</v>
      </c>
      <c r="AG197" s="1373">
        <f t="shared" si="39"/>
        <v>0</v>
      </c>
      <c r="AH197" s="1371">
        <f t="shared" si="40"/>
        <v>0</v>
      </c>
      <c r="AI197" s="1359">
        <f>HLOOKUP($AI$66,anticipadofree,128,0)</f>
        <v>-8.4490555555555551E-4</v>
      </c>
      <c r="AK197" s="1360">
        <f t="shared" si="32"/>
        <v>-8.4490555555555551E-4</v>
      </c>
      <c r="AL197" s="1361">
        <f t="shared" si="43"/>
        <v>127</v>
      </c>
      <c r="AM197" s="1191">
        <f t="shared" si="41"/>
        <v>0.01</v>
      </c>
      <c r="AN197" s="1362">
        <f t="shared" si="33"/>
        <v>897.87875509129765</v>
      </c>
      <c r="AO197" s="1362">
        <f t="shared" si="25"/>
        <v>-897.87875509129765</v>
      </c>
      <c r="AP197" s="1362">
        <f t="shared" si="42"/>
        <v>0</v>
      </c>
      <c r="AQ197" s="1363">
        <f t="shared" si="34"/>
        <v>1063595.0632953329</v>
      </c>
    </row>
    <row r="198" spans="1:43">
      <c r="A198" s="1118">
        <f t="shared" ca="1" si="23"/>
        <v>11</v>
      </c>
      <c r="B198" s="1351">
        <f t="shared" si="24"/>
        <v>0</v>
      </c>
      <c r="C198" s="2143">
        <f t="shared" si="35"/>
        <v>0</v>
      </c>
      <c r="D198" s="2144">
        <f t="shared" si="44"/>
        <v>0</v>
      </c>
      <c r="E198" s="2145">
        <f t="shared" si="26"/>
        <v>0</v>
      </c>
      <c r="F198" s="2145">
        <f t="shared" si="27"/>
        <v>0</v>
      </c>
      <c r="G198" s="2145">
        <f t="shared" si="36"/>
        <v>0</v>
      </c>
      <c r="H198" s="2145">
        <f>IF(M197&lt;0.01,0,M197*Adm!$GV$4)</f>
        <v>0</v>
      </c>
      <c r="I198" s="2145">
        <f>IF(M197&lt;0.01,0,Cal!$BO$108*Adm!$GW$4)</f>
        <v>0</v>
      </c>
      <c r="J198" s="2145">
        <f>IF(M197&lt;0.01,0,IF(Adm!$GO$4&gt;0,E198*Adm!$GO$4,0))</f>
        <v>0</v>
      </c>
      <c r="K198" s="2145">
        <f t="shared" si="28"/>
        <v>0</v>
      </c>
      <c r="L198" s="2145">
        <f>IF(Adm!$GJ$4="si",MIN(M197+E198+H198+I198-K198,AB198),0)</f>
        <v>0</v>
      </c>
      <c r="M198" s="2145">
        <f t="shared" si="29"/>
        <v>0</v>
      </c>
      <c r="N198" s="2153"/>
      <c r="U198" s="1352">
        <f t="shared" si="30"/>
        <v>8</v>
      </c>
      <c r="V198" s="1514">
        <f>IF(U198=1,Cal!$BO$127,0)</f>
        <v>0</v>
      </c>
      <c r="W198" s="1517">
        <f>IF(U198=1,Adm!$HI$4,0)</f>
        <v>0</v>
      </c>
      <c r="X198" s="1518"/>
      <c r="Y198" s="1518"/>
      <c r="Z198" s="1518"/>
      <c r="AA198" s="1368">
        <f t="shared" si="37"/>
        <v>0</v>
      </c>
      <c r="AB198" s="1369">
        <f t="shared" ca="1" si="31"/>
        <v>0</v>
      </c>
      <c r="AF198" s="1370">
        <f t="shared" si="38"/>
        <v>0</v>
      </c>
      <c r="AG198" s="1373">
        <f t="shared" si="39"/>
        <v>0</v>
      </c>
      <c r="AH198" s="1371">
        <f t="shared" si="40"/>
        <v>0</v>
      </c>
      <c r="AI198" s="1359">
        <f>HLOOKUP($AI$66,anticipadofree,129,0)</f>
        <v>-8.4490555555555551E-4</v>
      </c>
      <c r="AK198" s="1360">
        <f t="shared" si="32"/>
        <v>-8.4490555555555551E-4</v>
      </c>
      <c r="AL198" s="1361">
        <f t="shared" si="43"/>
        <v>128</v>
      </c>
      <c r="AM198" s="1191">
        <f t="shared" si="41"/>
        <v>0.01</v>
      </c>
      <c r="AN198" s="1362">
        <f t="shared" si="33"/>
        <v>898.63737783968952</v>
      </c>
      <c r="AO198" s="1362">
        <f t="shared" si="25"/>
        <v>-898.63737783968952</v>
      </c>
      <c r="AP198" s="1362">
        <f t="shared" si="42"/>
        <v>0</v>
      </c>
      <c r="AQ198" s="1363">
        <f t="shared" si="34"/>
        <v>1064493.7006731727</v>
      </c>
    </row>
    <row r="199" spans="1:43">
      <c r="A199" s="1118">
        <f t="shared" ref="A199:A262" ca="1" si="45">IF(A198=12,1,A198+1)</f>
        <v>12</v>
      </c>
      <c r="B199" s="1351">
        <f t="shared" ref="B199:B262" si="46">IF(M198&gt;0,B198-1,0)</f>
        <v>0</v>
      </c>
      <c r="C199" s="2143">
        <f t="shared" si="35"/>
        <v>0</v>
      </c>
      <c r="D199" s="2144">
        <f t="shared" si="44"/>
        <v>0</v>
      </c>
      <c r="E199" s="2145">
        <f t="shared" si="26"/>
        <v>0</v>
      </c>
      <c r="F199" s="2145">
        <f t="shared" si="27"/>
        <v>0</v>
      </c>
      <c r="G199" s="2145">
        <f t="shared" si="36"/>
        <v>0</v>
      </c>
      <c r="H199" s="2145">
        <f>IF(M198&lt;0.01,0,M198*Adm!$GV$4)</f>
        <v>0</v>
      </c>
      <c r="I199" s="2145">
        <f>IF(M198&lt;0.01,0,Cal!$BO$108*Adm!$GW$4)</f>
        <v>0</v>
      </c>
      <c r="J199" s="2145">
        <f>IF(M198&lt;0.01,0,IF(Adm!$GO$4&gt;0,E199*Adm!$GO$4,0))</f>
        <v>0</v>
      </c>
      <c r="K199" s="2145">
        <f t="shared" si="28"/>
        <v>0</v>
      </c>
      <c r="L199" s="2145">
        <f>IF(Adm!$GJ$4="si",MIN(M198+E199+H199+I199-K199,AB199),0)</f>
        <v>0</v>
      </c>
      <c r="M199" s="2145">
        <f t="shared" si="29"/>
        <v>0</v>
      </c>
      <c r="N199" s="2153"/>
      <c r="U199" s="1352">
        <f t="shared" si="30"/>
        <v>9</v>
      </c>
      <c r="V199" s="1514">
        <f>IF(U199=1,Cal!$BO$127,0)</f>
        <v>0</v>
      </c>
      <c r="W199" s="1517">
        <f>IF(U199=1,Adm!$HI$4,0)</f>
        <v>0</v>
      </c>
      <c r="X199" s="1518"/>
      <c r="Y199" s="1518"/>
      <c r="Z199" s="1518"/>
      <c r="AA199" s="1368">
        <f t="shared" si="37"/>
        <v>0</v>
      </c>
      <c r="AB199" s="1369">
        <f t="shared" ca="1" si="31"/>
        <v>0</v>
      </c>
      <c r="AF199" s="1370">
        <f t="shared" si="38"/>
        <v>0</v>
      </c>
      <c r="AG199" s="1373">
        <f t="shared" si="39"/>
        <v>0</v>
      </c>
      <c r="AH199" s="1371">
        <f t="shared" si="40"/>
        <v>0</v>
      </c>
      <c r="AI199" s="1359">
        <f>HLOOKUP($AI$66,anticipadofree,130,0)</f>
        <v>-8.4490555555555551E-4</v>
      </c>
      <c r="AK199" s="1360">
        <f t="shared" si="32"/>
        <v>-8.4490555555555551E-4</v>
      </c>
      <c r="AL199" s="1361">
        <f t="shared" si="43"/>
        <v>129</v>
      </c>
      <c r="AM199" s="1191">
        <f t="shared" si="41"/>
        <v>0.01</v>
      </c>
      <c r="AN199" s="1362">
        <f t="shared" si="33"/>
        <v>899.39664155265621</v>
      </c>
      <c r="AO199" s="1362">
        <f t="shared" ref="AO199:AO262" si="47">AP199-AN199</f>
        <v>-899.39664155265621</v>
      </c>
      <c r="AP199" s="1362">
        <f t="shared" si="42"/>
        <v>0</v>
      </c>
      <c r="AQ199" s="1363">
        <f t="shared" si="34"/>
        <v>1065393.0973147254</v>
      </c>
    </row>
    <row r="200" spans="1:43">
      <c r="A200" s="1118">
        <f t="shared" ca="1" si="45"/>
        <v>1</v>
      </c>
      <c r="B200" s="1351">
        <f t="shared" si="46"/>
        <v>0</v>
      </c>
      <c r="C200" s="2143">
        <f t="shared" si="35"/>
        <v>0</v>
      </c>
      <c r="D200" s="2144">
        <f t="shared" si="44"/>
        <v>0</v>
      </c>
      <c r="E200" s="2145">
        <f t="shared" ref="E200:E263" si="48">IF(M199&lt;0.01,0,M199*D200*30.4166/360)</f>
        <v>0</v>
      </c>
      <c r="F200" s="2145">
        <f t="shared" ref="F200:F263" si="49">IF(M199&lt;0.01,0,G200-E200)</f>
        <v>0</v>
      </c>
      <c r="G200" s="2145">
        <f t="shared" si="36"/>
        <v>0</v>
      </c>
      <c r="H200" s="2145">
        <f>IF(M199&lt;0.01,0,M199*Adm!$GV$4)</f>
        <v>0</v>
      </c>
      <c r="I200" s="2145">
        <f>IF(M199&lt;0.01,0,Cal!$BO$108*Adm!$GW$4)</f>
        <v>0</v>
      </c>
      <c r="J200" s="2145">
        <f>IF(M199&lt;0.01,0,IF(Adm!$GO$4&gt;0,E200*Adm!$GO$4,0))</f>
        <v>0</v>
      </c>
      <c r="K200" s="2145">
        <f t="shared" ref="K200:K263" si="50">G200+H200+I200+J200</f>
        <v>0</v>
      </c>
      <c r="L200" s="2145">
        <f>IF(Adm!$GJ$4="si",MIN(M199+E200+H200+I200-K200,AB200),0)</f>
        <v>0</v>
      </c>
      <c r="M200" s="2145">
        <f t="shared" ref="M200:M263" si="51">IF(M199&lt;0.001,0,+M199-F200-L200-N200)</f>
        <v>0</v>
      </c>
      <c r="N200" s="2153"/>
      <c r="U200" s="1352">
        <f t="shared" ref="U200:U263" si="52">IF(U199=12,1,U199+1)</f>
        <v>10</v>
      </c>
      <c r="V200" s="1514">
        <f>IF(U200=1,Cal!$BO$127,0)</f>
        <v>0</v>
      </c>
      <c r="W200" s="1517">
        <f>IF(U200=1,Adm!$HI$4,0)</f>
        <v>0</v>
      </c>
      <c r="X200" s="1518"/>
      <c r="Y200" s="1518"/>
      <c r="Z200" s="1518"/>
      <c r="AA200" s="1368">
        <f t="shared" si="37"/>
        <v>0</v>
      </c>
      <c r="AB200" s="1369">
        <f t="shared" ref="AB200:AB263" ca="1" si="53">IF(MOD(A200,2)=0,AA200*0.05*2,0)</f>
        <v>0</v>
      </c>
      <c r="AF200" s="1370">
        <f t="shared" si="38"/>
        <v>0</v>
      </c>
      <c r="AG200" s="1373">
        <f t="shared" si="39"/>
        <v>0</v>
      </c>
      <c r="AH200" s="1371">
        <f t="shared" si="40"/>
        <v>0</v>
      </c>
      <c r="AI200" s="1359">
        <f>HLOOKUP($AI$66,anticipadofree,131,0)</f>
        <v>-8.4490555555555562E-4</v>
      </c>
      <c r="AK200" s="1360">
        <f t="shared" ref="AK200:AK263" si="54">AO200/AQ199</f>
        <v>-8.4490555555555562E-4</v>
      </c>
      <c r="AL200" s="1361">
        <f t="shared" si="43"/>
        <v>130</v>
      </c>
      <c r="AM200" s="1191">
        <f t="shared" si="41"/>
        <v>0.01</v>
      </c>
      <c r="AN200" s="1362">
        <f t="shared" ref="AN200:AN263" si="55">AQ199*AM200*30.4166/360</f>
        <v>900.15654677175223</v>
      </c>
      <c r="AO200" s="1362">
        <f t="shared" si="47"/>
        <v>-900.15654677175223</v>
      </c>
      <c r="AP200" s="1362">
        <f t="shared" si="42"/>
        <v>0</v>
      </c>
      <c r="AQ200" s="1363">
        <f t="shared" ref="AQ200:AQ263" si="56">IF(AQ199&lt;0.001,0,AQ199-AO200-AR200)</f>
        <v>1066293.2538614972</v>
      </c>
    </row>
    <row r="201" spans="1:43">
      <c r="A201" s="1118">
        <f t="shared" ca="1" si="45"/>
        <v>2</v>
      </c>
      <c r="B201" s="1351">
        <f t="shared" si="46"/>
        <v>0</v>
      </c>
      <c r="C201" s="2143">
        <f t="shared" ref="C201:C264" si="57">IF(M200&lt;0.01,0,C200+1)</f>
        <v>0</v>
      </c>
      <c r="D201" s="2144">
        <f t="shared" si="44"/>
        <v>0</v>
      </c>
      <c r="E201" s="2145">
        <f t="shared" si="48"/>
        <v>0</v>
      </c>
      <c r="F201" s="2145">
        <f t="shared" si="49"/>
        <v>0</v>
      </c>
      <c r="G201" s="2145">
        <f t="shared" ref="G201:G264" si="58">IF(M200&lt;0.01,0,MIN(M200+E201,IF(AF201&gt;0,AF201,G200*(1+V201))))</f>
        <v>0</v>
      </c>
      <c r="H201" s="2145">
        <f>IF(M200&lt;0.01,0,M200*Adm!$GV$4)</f>
        <v>0</v>
      </c>
      <c r="I201" s="2145">
        <f>IF(M200&lt;0.01,0,Cal!$BO$108*Adm!$GW$4)</f>
        <v>0</v>
      </c>
      <c r="J201" s="2145">
        <f>IF(M200&lt;0.01,0,IF(Adm!$GO$4&gt;0,E201*Adm!$GO$4,0))</f>
        <v>0</v>
      </c>
      <c r="K201" s="2145">
        <f t="shared" si="50"/>
        <v>0</v>
      </c>
      <c r="L201" s="2145">
        <f>IF(Adm!$GJ$4="si",MIN(M200+E201+H201+I201-K201,AB201),0)</f>
        <v>0</v>
      </c>
      <c r="M201" s="2145">
        <f t="shared" si="51"/>
        <v>0</v>
      </c>
      <c r="N201" s="2153"/>
      <c r="U201" s="1352">
        <f t="shared" si="52"/>
        <v>11</v>
      </c>
      <c r="V201" s="1514">
        <f>IF(U201=1,Cal!$BO$127,0)</f>
        <v>0</v>
      </c>
      <c r="W201" s="1517">
        <f>IF(U201=1,Adm!$HI$4,0)</f>
        <v>0</v>
      </c>
      <c r="X201" s="1518"/>
      <c r="Y201" s="1518"/>
      <c r="Z201" s="1518"/>
      <c r="AA201" s="1368">
        <f t="shared" ref="AA201:AA264" si="59">AA200</f>
        <v>0</v>
      </c>
      <c r="AB201" s="1369">
        <f t="shared" ca="1" si="53"/>
        <v>0</v>
      </c>
      <c r="AF201" s="1370">
        <f t="shared" ref="AF201:AF264" si="60">IF(AG201&gt;1,AG201,0)</f>
        <v>0</v>
      </c>
      <c r="AG201" s="1373">
        <f t="shared" ref="AG201:AG264" si="61">IF(AND(AH201&gt;0.01,$AF$65=2),AH201,0)</f>
        <v>0</v>
      </c>
      <c r="AH201" s="1371">
        <f t="shared" ref="AH201:AH264" si="62">IF(N200&lt;0.01,0,IF($AF$65=2,M200*AI201)+E201)</f>
        <v>0</v>
      </c>
      <c r="AI201" s="1359">
        <f>HLOOKUP($AI$66,anticipadofree,132,0)</f>
        <v>-8.4490555555555562E-4</v>
      </c>
      <c r="AK201" s="1360">
        <f t="shared" si="54"/>
        <v>-8.4490555555555562E-4</v>
      </c>
      <c r="AL201" s="1361">
        <f t="shared" si="43"/>
        <v>131</v>
      </c>
      <c r="AM201" s="1191">
        <f t="shared" ref="AM201:AM264" si="63">AM200</f>
        <v>0.01</v>
      </c>
      <c r="AN201" s="1362">
        <f t="shared" si="55"/>
        <v>900.91709403898938</v>
      </c>
      <c r="AO201" s="1362">
        <f t="shared" si="47"/>
        <v>-900.91709403898938</v>
      </c>
      <c r="AP201" s="1362">
        <f t="shared" ref="AP201:AP264" si="64">MIN(AQ200+AN201,AP200)</f>
        <v>0</v>
      </c>
      <c r="AQ201" s="1363">
        <f t="shared" si="56"/>
        <v>1067194.1709555362</v>
      </c>
    </row>
    <row r="202" spans="1:43">
      <c r="A202" s="1118">
        <f t="shared" ca="1" si="45"/>
        <v>3</v>
      </c>
      <c r="B202" s="1351">
        <f t="shared" si="46"/>
        <v>0</v>
      </c>
      <c r="C202" s="2143">
        <f t="shared" si="57"/>
        <v>0</v>
      </c>
      <c r="D202" s="2144">
        <f t="shared" si="44"/>
        <v>0</v>
      </c>
      <c r="E202" s="2145">
        <f t="shared" si="48"/>
        <v>0</v>
      </c>
      <c r="F202" s="2145">
        <f t="shared" si="49"/>
        <v>0</v>
      </c>
      <c r="G202" s="2145">
        <f t="shared" si="58"/>
        <v>0</v>
      </c>
      <c r="H202" s="2145">
        <f>IF(M201&lt;0.01,0,M201*Adm!$GV$4)</f>
        <v>0</v>
      </c>
      <c r="I202" s="2145">
        <f>IF(M201&lt;0.01,0,Cal!$BO$108*Adm!$GW$4)</f>
        <v>0</v>
      </c>
      <c r="J202" s="2145">
        <f>IF(M201&lt;0.01,0,IF(Adm!$GO$4&gt;0,E202*Adm!$GO$4,0))</f>
        <v>0</v>
      </c>
      <c r="K202" s="2145">
        <f t="shared" si="50"/>
        <v>0</v>
      </c>
      <c r="L202" s="2145">
        <f>IF(Adm!$GJ$4="si",MIN(M201+E202+H202+I202-K202,AB202),0)</f>
        <v>0</v>
      </c>
      <c r="M202" s="2145">
        <f t="shared" si="51"/>
        <v>0</v>
      </c>
      <c r="N202" s="2153"/>
      <c r="U202" s="1352">
        <f t="shared" si="52"/>
        <v>12</v>
      </c>
      <c r="V202" s="1514">
        <f>IF(U202=1,Cal!$BO$127,0)</f>
        <v>0</v>
      </c>
      <c r="W202" s="1517">
        <f>IF(U202=1,Adm!$HI$4,0)</f>
        <v>0</v>
      </c>
      <c r="X202" s="1518"/>
      <c r="Y202" s="1518"/>
      <c r="Z202" s="1518"/>
      <c r="AA202" s="1368">
        <f t="shared" si="59"/>
        <v>0</v>
      </c>
      <c r="AB202" s="1369">
        <f t="shared" ca="1" si="53"/>
        <v>0</v>
      </c>
      <c r="AF202" s="1370">
        <f t="shared" si="60"/>
        <v>0</v>
      </c>
      <c r="AG202" s="1373">
        <f t="shared" si="61"/>
        <v>0</v>
      </c>
      <c r="AH202" s="1371">
        <f t="shared" si="62"/>
        <v>0</v>
      </c>
      <c r="AI202" s="1359">
        <f>HLOOKUP($AI$66,anticipadofree,133,0)</f>
        <v>-8.4490555555555541E-4</v>
      </c>
      <c r="AK202" s="1360">
        <f t="shared" si="54"/>
        <v>-8.4490555555555541E-4</v>
      </c>
      <c r="AL202" s="1361">
        <f t="shared" ref="AL202:AL265" si="65">IF(AQ201&lt;=0,"",AL201+1)</f>
        <v>132</v>
      </c>
      <c r="AM202" s="1191">
        <f t="shared" si="63"/>
        <v>0.01</v>
      </c>
      <c r="AN202" s="1362">
        <f t="shared" si="55"/>
        <v>901.67828389683768</v>
      </c>
      <c r="AO202" s="1362">
        <f t="shared" si="47"/>
        <v>-901.67828389683768</v>
      </c>
      <c r="AP202" s="1362">
        <f t="shared" si="64"/>
        <v>0</v>
      </c>
      <c r="AQ202" s="1363">
        <f t="shared" si="56"/>
        <v>1068095.849239433</v>
      </c>
    </row>
    <row r="203" spans="1:43">
      <c r="A203" s="1118">
        <f t="shared" ca="1" si="45"/>
        <v>4</v>
      </c>
      <c r="B203" s="1351">
        <f t="shared" si="46"/>
        <v>0</v>
      </c>
      <c r="C203" s="2143">
        <f t="shared" si="57"/>
        <v>0</v>
      </c>
      <c r="D203" s="2144">
        <f t="shared" si="44"/>
        <v>0</v>
      </c>
      <c r="E203" s="2145">
        <f t="shared" si="48"/>
        <v>0</v>
      </c>
      <c r="F203" s="2145">
        <f t="shared" si="49"/>
        <v>0</v>
      </c>
      <c r="G203" s="2145">
        <f t="shared" si="58"/>
        <v>0</v>
      </c>
      <c r="H203" s="2145">
        <f>IF(M202&lt;0.01,0,M202*Adm!$GV$4)</f>
        <v>0</v>
      </c>
      <c r="I203" s="2145">
        <f>IF(M202&lt;0.01,0,Cal!$BO$108*Adm!$GW$4)</f>
        <v>0</v>
      </c>
      <c r="J203" s="2145">
        <f>IF(M202&lt;0.01,0,IF(Adm!$GO$4&gt;0,E203*Adm!$GO$4,0))</f>
        <v>0</v>
      </c>
      <c r="K203" s="2145">
        <f t="shared" si="50"/>
        <v>0</v>
      </c>
      <c r="L203" s="2145">
        <f>IF(Adm!$GJ$4="si",MIN(M202+E203+H203+I203-K203,AB203),0)</f>
        <v>0</v>
      </c>
      <c r="M203" s="2145">
        <f t="shared" si="51"/>
        <v>0</v>
      </c>
      <c r="N203" s="2153"/>
      <c r="U203" s="1352">
        <f t="shared" si="52"/>
        <v>1</v>
      </c>
      <c r="V203" s="1514">
        <f>IF(U203=1,Cal!$BO$127,0)</f>
        <v>0</v>
      </c>
      <c r="W203" s="1517">
        <f>IF(U203=1,Adm!$HI$4,0)</f>
        <v>2.5000000000000001E-3</v>
      </c>
      <c r="X203" s="1518"/>
      <c r="Y203" s="1518"/>
      <c r="Z203" s="1518"/>
      <c r="AA203" s="1368">
        <f t="shared" si="59"/>
        <v>0</v>
      </c>
      <c r="AB203" s="1369">
        <f t="shared" ca="1" si="53"/>
        <v>0</v>
      </c>
      <c r="AF203" s="1370">
        <f t="shared" si="60"/>
        <v>0</v>
      </c>
      <c r="AG203" s="1373">
        <f t="shared" si="61"/>
        <v>0</v>
      </c>
      <c r="AH203" s="1371">
        <f t="shared" si="62"/>
        <v>0</v>
      </c>
      <c r="AI203" s="1359">
        <f>HLOOKUP($AI$66,anticipadofree,134,0)</f>
        <v>-8.4490555555555562E-4</v>
      </c>
      <c r="AK203" s="1360">
        <f t="shared" si="54"/>
        <v>-8.4490555555555562E-4</v>
      </c>
      <c r="AL203" s="1377">
        <f t="shared" si="65"/>
        <v>133</v>
      </c>
      <c r="AM203" s="1516">
        <f t="shared" si="63"/>
        <v>0.01</v>
      </c>
      <c r="AN203" s="1378">
        <f t="shared" si="55"/>
        <v>902.44011688822604</v>
      </c>
      <c r="AO203" s="1378">
        <f t="shared" si="47"/>
        <v>-902.44011688822604</v>
      </c>
      <c r="AP203" s="1378">
        <f>MIN(AQ202+AN203,AP202*(1+$AN$66))</f>
        <v>0</v>
      </c>
      <c r="AQ203" s="1363">
        <f t="shared" si="56"/>
        <v>1068998.2893563211</v>
      </c>
    </row>
    <row r="204" spans="1:43">
      <c r="A204" s="1118">
        <f t="shared" ca="1" si="45"/>
        <v>5</v>
      </c>
      <c r="B204" s="1351">
        <f t="shared" si="46"/>
        <v>0</v>
      </c>
      <c r="C204" s="2143">
        <f t="shared" si="57"/>
        <v>0</v>
      </c>
      <c r="D204" s="2144">
        <f t="shared" si="44"/>
        <v>0</v>
      </c>
      <c r="E204" s="2145">
        <f t="shared" si="48"/>
        <v>0</v>
      </c>
      <c r="F204" s="2145">
        <f t="shared" si="49"/>
        <v>0</v>
      </c>
      <c r="G204" s="2145">
        <f t="shared" si="58"/>
        <v>0</v>
      </c>
      <c r="H204" s="2145">
        <f>IF(M203&lt;0.01,0,M203*Adm!$GV$4)</f>
        <v>0</v>
      </c>
      <c r="I204" s="2145">
        <f>IF(M203&lt;0.01,0,Cal!$BO$108*Adm!$GW$4)</f>
        <v>0</v>
      </c>
      <c r="J204" s="2145">
        <f>IF(M203&lt;0.01,0,IF(Adm!$GO$4&gt;0,E204*Adm!$GO$4,0))</f>
        <v>0</v>
      </c>
      <c r="K204" s="2145">
        <f t="shared" si="50"/>
        <v>0</v>
      </c>
      <c r="L204" s="2145">
        <f>IF(Adm!$GJ$4="si",MIN(M203+E204+H204+I204-K204,AB204),0)</f>
        <v>0</v>
      </c>
      <c r="M204" s="2145">
        <f t="shared" si="51"/>
        <v>0</v>
      </c>
      <c r="N204" s="2153"/>
      <c r="U204" s="1352">
        <f t="shared" si="52"/>
        <v>2</v>
      </c>
      <c r="V204" s="1514">
        <f>IF(U204=1,Cal!$BO$127,0)</f>
        <v>0</v>
      </c>
      <c r="W204" s="1517">
        <f>IF(U204=1,Adm!$HI$4,0)</f>
        <v>0</v>
      </c>
      <c r="X204" s="1518"/>
      <c r="Y204" s="1518"/>
      <c r="Z204" s="1518"/>
      <c r="AA204" s="1368">
        <f t="shared" si="59"/>
        <v>0</v>
      </c>
      <c r="AB204" s="1369">
        <f t="shared" ca="1" si="53"/>
        <v>0</v>
      </c>
      <c r="AF204" s="1370">
        <f t="shared" si="60"/>
        <v>0</v>
      </c>
      <c r="AG204" s="1373">
        <f t="shared" si="61"/>
        <v>0</v>
      </c>
      <c r="AH204" s="1371">
        <f t="shared" si="62"/>
        <v>0</v>
      </c>
      <c r="AI204" s="1359">
        <f>HLOOKUP($AI$66,anticipadofree,135,0)</f>
        <v>-8.4490555555555551E-4</v>
      </c>
      <c r="AK204" s="1360">
        <f t="shared" si="54"/>
        <v>-8.4490555555555551E-4</v>
      </c>
      <c r="AL204" s="1361">
        <f t="shared" si="65"/>
        <v>134</v>
      </c>
      <c r="AM204" s="1191">
        <f t="shared" si="63"/>
        <v>0.01</v>
      </c>
      <c r="AN204" s="1362">
        <f t="shared" si="55"/>
        <v>903.20259355654093</v>
      </c>
      <c r="AO204" s="1362">
        <f t="shared" si="47"/>
        <v>-903.20259355654093</v>
      </c>
      <c r="AP204" s="1362">
        <f t="shared" si="64"/>
        <v>0</v>
      </c>
      <c r="AQ204" s="1363">
        <f t="shared" si="56"/>
        <v>1069901.4919498777</v>
      </c>
    </row>
    <row r="205" spans="1:43">
      <c r="A205" s="1118">
        <f t="shared" ca="1" si="45"/>
        <v>6</v>
      </c>
      <c r="B205" s="1351">
        <f t="shared" si="46"/>
        <v>0</v>
      </c>
      <c r="C205" s="2143">
        <f t="shared" si="57"/>
        <v>0</v>
      </c>
      <c r="D205" s="2144">
        <f t="shared" si="44"/>
        <v>0</v>
      </c>
      <c r="E205" s="2145">
        <f t="shared" si="48"/>
        <v>0</v>
      </c>
      <c r="F205" s="2145">
        <f t="shared" si="49"/>
        <v>0</v>
      </c>
      <c r="G205" s="2145">
        <f t="shared" si="58"/>
        <v>0</v>
      </c>
      <c r="H205" s="2145">
        <f>IF(M204&lt;0.01,0,M204*Adm!$GV$4)</f>
        <v>0</v>
      </c>
      <c r="I205" s="2145">
        <f>IF(M204&lt;0.01,0,Cal!$BO$108*Adm!$GW$4)</f>
        <v>0</v>
      </c>
      <c r="J205" s="2145">
        <f>IF(M204&lt;0.01,0,IF(Adm!$GO$4&gt;0,E205*Adm!$GO$4,0))</f>
        <v>0</v>
      </c>
      <c r="K205" s="2145">
        <f t="shared" si="50"/>
        <v>0</v>
      </c>
      <c r="L205" s="2145">
        <f>IF(Adm!$GJ$4="si",MIN(M204+E205+H205+I205-K205,AB205),0)</f>
        <v>0</v>
      </c>
      <c r="M205" s="2145">
        <f t="shared" si="51"/>
        <v>0</v>
      </c>
      <c r="N205" s="2153"/>
      <c r="U205" s="1352">
        <f t="shared" si="52"/>
        <v>3</v>
      </c>
      <c r="V205" s="1514">
        <f>IF(U205=1,Cal!$BO$127,0)</f>
        <v>0</v>
      </c>
      <c r="W205" s="1517">
        <f>IF(U205=1,Adm!$HI$4,0)</f>
        <v>0</v>
      </c>
      <c r="X205" s="1518"/>
      <c r="Y205" s="1518"/>
      <c r="Z205" s="1518"/>
      <c r="AA205" s="1368">
        <f t="shared" si="59"/>
        <v>0</v>
      </c>
      <c r="AB205" s="1369">
        <f t="shared" ca="1" si="53"/>
        <v>0</v>
      </c>
      <c r="AF205" s="1370">
        <f t="shared" si="60"/>
        <v>0</v>
      </c>
      <c r="AG205" s="1373">
        <f t="shared" si="61"/>
        <v>0</v>
      </c>
      <c r="AH205" s="1371">
        <f t="shared" si="62"/>
        <v>0</v>
      </c>
      <c r="AI205" s="1359">
        <f>HLOOKUP($AI$66,anticipadofree,136,0)</f>
        <v>-8.4490555555555551E-4</v>
      </c>
      <c r="AK205" s="1360">
        <f t="shared" si="54"/>
        <v>-8.4490555555555551E-4</v>
      </c>
      <c r="AL205" s="1361">
        <f t="shared" si="65"/>
        <v>135</v>
      </c>
      <c r="AM205" s="1191">
        <f t="shared" si="63"/>
        <v>0.01</v>
      </c>
      <c r="AN205" s="1362">
        <f t="shared" si="55"/>
        <v>903.96571444562915</v>
      </c>
      <c r="AO205" s="1362">
        <f t="shared" si="47"/>
        <v>-903.96571444562915</v>
      </c>
      <c r="AP205" s="1362">
        <f t="shared" si="64"/>
        <v>0</v>
      </c>
      <c r="AQ205" s="1363">
        <f t="shared" si="56"/>
        <v>1070805.4576643233</v>
      </c>
    </row>
    <row r="206" spans="1:43">
      <c r="A206" s="1118">
        <f t="shared" ca="1" si="45"/>
        <v>7</v>
      </c>
      <c r="B206" s="1351">
        <f t="shared" si="46"/>
        <v>0</v>
      </c>
      <c r="C206" s="2143">
        <f t="shared" si="57"/>
        <v>0</v>
      </c>
      <c r="D206" s="2144">
        <f t="shared" si="44"/>
        <v>0</v>
      </c>
      <c r="E206" s="2145">
        <f t="shared" si="48"/>
        <v>0</v>
      </c>
      <c r="F206" s="2145">
        <f t="shared" si="49"/>
        <v>0</v>
      </c>
      <c r="G206" s="2145">
        <f t="shared" si="58"/>
        <v>0</v>
      </c>
      <c r="H206" s="2145">
        <f>IF(M205&lt;0.01,0,M205*Adm!$GV$4)</f>
        <v>0</v>
      </c>
      <c r="I206" s="2145">
        <f>IF(M205&lt;0.01,0,Cal!$BO$108*Adm!$GW$4)</f>
        <v>0</v>
      </c>
      <c r="J206" s="2145">
        <f>IF(M205&lt;0.01,0,IF(Adm!$GO$4&gt;0,E206*Adm!$GO$4,0))</f>
        <v>0</v>
      </c>
      <c r="K206" s="2145">
        <f t="shared" si="50"/>
        <v>0</v>
      </c>
      <c r="L206" s="2145">
        <f>IF(Adm!$GJ$4="si",MIN(M205+E206+H206+I206-K206,AB206),0)</f>
        <v>0</v>
      </c>
      <c r="M206" s="2145">
        <f t="shared" si="51"/>
        <v>0</v>
      </c>
      <c r="N206" s="2153"/>
      <c r="U206" s="1352">
        <f t="shared" si="52"/>
        <v>4</v>
      </c>
      <c r="V206" s="1514">
        <f>IF(U206=1,Cal!$BO$127,0)</f>
        <v>0</v>
      </c>
      <c r="W206" s="1517">
        <f>IF(U206=1,Adm!$HI$4,0)</f>
        <v>0</v>
      </c>
      <c r="X206" s="1518"/>
      <c r="Y206" s="1518"/>
      <c r="Z206" s="1518"/>
      <c r="AA206" s="1368">
        <f t="shared" si="59"/>
        <v>0</v>
      </c>
      <c r="AB206" s="1369">
        <f t="shared" ca="1" si="53"/>
        <v>0</v>
      </c>
      <c r="AF206" s="1370">
        <f t="shared" si="60"/>
        <v>0</v>
      </c>
      <c r="AG206" s="1373">
        <f t="shared" si="61"/>
        <v>0</v>
      </c>
      <c r="AH206" s="1371">
        <f t="shared" si="62"/>
        <v>0</v>
      </c>
      <c r="AI206" s="1359">
        <f>HLOOKUP($AI$66,anticipadofree,137,0)</f>
        <v>-8.4490555555555562E-4</v>
      </c>
      <c r="AK206" s="1360">
        <f t="shared" si="54"/>
        <v>-8.4490555555555562E-4</v>
      </c>
      <c r="AL206" s="1361">
        <f t="shared" si="65"/>
        <v>136</v>
      </c>
      <c r="AM206" s="1191">
        <f t="shared" si="63"/>
        <v>0.01</v>
      </c>
      <c r="AN206" s="1362">
        <f t="shared" si="55"/>
        <v>904.72948009979609</v>
      </c>
      <c r="AO206" s="1362">
        <f t="shared" si="47"/>
        <v>-904.72948009979609</v>
      </c>
      <c r="AP206" s="1362">
        <f t="shared" si="64"/>
        <v>0</v>
      </c>
      <c r="AQ206" s="1363">
        <f t="shared" si="56"/>
        <v>1071710.1871444231</v>
      </c>
    </row>
    <row r="207" spans="1:43">
      <c r="A207" s="1118">
        <f t="shared" ca="1" si="45"/>
        <v>8</v>
      </c>
      <c r="B207" s="1351">
        <f t="shared" si="46"/>
        <v>0</v>
      </c>
      <c r="C207" s="2143">
        <f t="shared" si="57"/>
        <v>0</v>
      </c>
      <c r="D207" s="2144">
        <f t="shared" si="44"/>
        <v>0</v>
      </c>
      <c r="E207" s="2145">
        <f t="shared" si="48"/>
        <v>0</v>
      </c>
      <c r="F207" s="2145">
        <f t="shared" si="49"/>
        <v>0</v>
      </c>
      <c r="G207" s="2145">
        <f t="shared" si="58"/>
        <v>0</v>
      </c>
      <c r="H207" s="2145">
        <f>IF(M206&lt;0.01,0,M206*Adm!$GV$4)</f>
        <v>0</v>
      </c>
      <c r="I207" s="2145">
        <f>IF(M206&lt;0.01,0,Cal!$BO$108*Adm!$GW$4)</f>
        <v>0</v>
      </c>
      <c r="J207" s="2145">
        <f>IF(M206&lt;0.01,0,IF(Adm!$GO$4&gt;0,E207*Adm!$GO$4,0))</f>
        <v>0</v>
      </c>
      <c r="K207" s="2145">
        <f t="shared" si="50"/>
        <v>0</v>
      </c>
      <c r="L207" s="2145">
        <f>IF(Adm!$GJ$4="si",MIN(M206+E207+H207+I207-K207,AB207),0)</f>
        <v>0</v>
      </c>
      <c r="M207" s="2145">
        <f t="shared" si="51"/>
        <v>0</v>
      </c>
      <c r="N207" s="2153"/>
      <c r="U207" s="1352">
        <f t="shared" si="52"/>
        <v>5</v>
      </c>
      <c r="V207" s="1514">
        <f>IF(U207=1,Cal!$BO$127,0)</f>
        <v>0</v>
      </c>
      <c r="W207" s="1517">
        <f>IF(U207=1,Adm!$HI$4,0)</f>
        <v>0</v>
      </c>
      <c r="X207" s="1518"/>
      <c r="Y207" s="1518"/>
      <c r="Z207" s="1518"/>
      <c r="AA207" s="1368">
        <f t="shared" si="59"/>
        <v>0</v>
      </c>
      <c r="AB207" s="1369">
        <f t="shared" ca="1" si="53"/>
        <v>0</v>
      </c>
      <c r="AF207" s="1370">
        <f t="shared" si="60"/>
        <v>0</v>
      </c>
      <c r="AG207" s="1373">
        <f t="shared" si="61"/>
        <v>0</v>
      </c>
      <c r="AH207" s="1371">
        <f t="shared" si="62"/>
        <v>0</v>
      </c>
      <c r="AI207" s="1359">
        <f>HLOOKUP($AI$66,anticipadofree,138,0)</f>
        <v>-8.4490555555555551E-4</v>
      </c>
      <c r="AK207" s="1360">
        <f t="shared" si="54"/>
        <v>-8.4490555555555551E-4</v>
      </c>
      <c r="AL207" s="1361">
        <f t="shared" si="65"/>
        <v>137</v>
      </c>
      <c r="AM207" s="1191">
        <f t="shared" si="63"/>
        <v>0.01</v>
      </c>
      <c r="AN207" s="1362">
        <f t="shared" si="55"/>
        <v>905.49389106380715</v>
      </c>
      <c r="AO207" s="1362">
        <f t="shared" si="47"/>
        <v>-905.49389106380715</v>
      </c>
      <c r="AP207" s="1362">
        <f t="shared" si="64"/>
        <v>0</v>
      </c>
      <c r="AQ207" s="1363">
        <f t="shared" si="56"/>
        <v>1072615.681035487</v>
      </c>
    </row>
    <row r="208" spans="1:43">
      <c r="A208" s="1118">
        <f t="shared" ca="1" si="45"/>
        <v>9</v>
      </c>
      <c r="B208" s="1351">
        <f t="shared" si="46"/>
        <v>0</v>
      </c>
      <c r="C208" s="2143">
        <f t="shared" si="57"/>
        <v>0</v>
      </c>
      <c r="D208" s="2144">
        <f t="shared" si="44"/>
        <v>0</v>
      </c>
      <c r="E208" s="2145">
        <f t="shared" si="48"/>
        <v>0</v>
      </c>
      <c r="F208" s="2145">
        <f t="shared" si="49"/>
        <v>0</v>
      </c>
      <c r="G208" s="2145">
        <f t="shared" si="58"/>
        <v>0</v>
      </c>
      <c r="H208" s="2145">
        <f>IF(M207&lt;0.01,0,M207*Adm!$GV$4)</f>
        <v>0</v>
      </c>
      <c r="I208" s="2145">
        <f>IF(M207&lt;0.01,0,Cal!$BO$108*Adm!$GW$4)</f>
        <v>0</v>
      </c>
      <c r="J208" s="2145">
        <f>IF(M207&lt;0.01,0,IF(Adm!$GO$4&gt;0,E208*Adm!$GO$4,0))</f>
        <v>0</v>
      </c>
      <c r="K208" s="2145">
        <f t="shared" si="50"/>
        <v>0</v>
      </c>
      <c r="L208" s="2145">
        <f>IF(Adm!$GJ$4="si",MIN(M207+E208+H208+I208-K208,AB208),0)</f>
        <v>0</v>
      </c>
      <c r="M208" s="2145">
        <f t="shared" si="51"/>
        <v>0</v>
      </c>
      <c r="N208" s="2153"/>
      <c r="U208" s="1352">
        <f t="shared" si="52"/>
        <v>6</v>
      </c>
      <c r="V208" s="1514">
        <f>IF(U208=1,Cal!$BO$127,0)</f>
        <v>0</v>
      </c>
      <c r="W208" s="1517">
        <f>IF(U208=1,Adm!$HI$4,0)</f>
        <v>0</v>
      </c>
      <c r="X208" s="1518"/>
      <c r="Y208" s="1518"/>
      <c r="Z208" s="1518"/>
      <c r="AA208" s="1368">
        <f t="shared" si="59"/>
        <v>0</v>
      </c>
      <c r="AB208" s="1369">
        <f t="shared" ca="1" si="53"/>
        <v>0</v>
      </c>
      <c r="AF208" s="1370">
        <f t="shared" si="60"/>
        <v>0</v>
      </c>
      <c r="AG208" s="1373">
        <f t="shared" si="61"/>
        <v>0</v>
      </c>
      <c r="AH208" s="1371">
        <f t="shared" si="62"/>
        <v>0</v>
      </c>
      <c r="AI208" s="1359">
        <f>HLOOKUP($AI$66,anticipadofree,139,0)</f>
        <v>-8.4490555555555562E-4</v>
      </c>
      <c r="AK208" s="1360">
        <f t="shared" si="54"/>
        <v>-8.4490555555555562E-4</v>
      </c>
      <c r="AL208" s="1361">
        <f t="shared" si="65"/>
        <v>138</v>
      </c>
      <c r="AM208" s="1191">
        <f t="shared" si="63"/>
        <v>0.01</v>
      </c>
      <c r="AN208" s="1362">
        <f t="shared" si="55"/>
        <v>906.25894788288872</v>
      </c>
      <c r="AO208" s="1362">
        <f t="shared" si="47"/>
        <v>-906.25894788288872</v>
      </c>
      <c r="AP208" s="1362">
        <f t="shared" si="64"/>
        <v>0</v>
      </c>
      <c r="AQ208" s="1363">
        <f t="shared" si="56"/>
        <v>1073521.9399833698</v>
      </c>
    </row>
    <row r="209" spans="1:43">
      <c r="A209" s="1118">
        <f t="shared" ca="1" si="45"/>
        <v>10</v>
      </c>
      <c r="B209" s="1351">
        <f t="shared" si="46"/>
        <v>0</v>
      </c>
      <c r="C209" s="2143">
        <f t="shared" si="57"/>
        <v>0</v>
      </c>
      <c r="D209" s="2144">
        <f t="shared" si="44"/>
        <v>0</v>
      </c>
      <c r="E209" s="2145">
        <f t="shared" si="48"/>
        <v>0</v>
      </c>
      <c r="F209" s="2145">
        <f t="shared" si="49"/>
        <v>0</v>
      </c>
      <c r="G209" s="2145">
        <f t="shared" si="58"/>
        <v>0</v>
      </c>
      <c r="H209" s="2145">
        <f>IF(M208&lt;0.01,0,M208*Adm!$GV$4)</f>
        <v>0</v>
      </c>
      <c r="I209" s="2145">
        <f>IF(M208&lt;0.01,0,Cal!$BO$108*Adm!$GW$4)</f>
        <v>0</v>
      </c>
      <c r="J209" s="2145">
        <f>IF(M208&lt;0.01,0,IF(Adm!$GO$4&gt;0,E209*Adm!$GO$4,0))</f>
        <v>0</v>
      </c>
      <c r="K209" s="2145">
        <f t="shared" si="50"/>
        <v>0</v>
      </c>
      <c r="L209" s="2145">
        <f>IF(Adm!$GJ$4="si",MIN(M208+E209+H209+I209-K209,AB209),0)</f>
        <v>0</v>
      </c>
      <c r="M209" s="2145">
        <f t="shared" si="51"/>
        <v>0</v>
      </c>
      <c r="N209" s="2153"/>
      <c r="U209" s="1352">
        <f t="shared" si="52"/>
        <v>7</v>
      </c>
      <c r="V209" s="1514">
        <f>IF(U209=1,Cal!$BO$127,0)</f>
        <v>0</v>
      </c>
      <c r="W209" s="1517">
        <f>IF(U209=1,Adm!$HI$4,0)</f>
        <v>0</v>
      </c>
      <c r="X209" s="1518"/>
      <c r="Y209" s="1518"/>
      <c r="Z209" s="1518"/>
      <c r="AA209" s="1368">
        <f t="shared" si="59"/>
        <v>0</v>
      </c>
      <c r="AB209" s="1369">
        <f t="shared" ca="1" si="53"/>
        <v>0</v>
      </c>
      <c r="AF209" s="1370">
        <f t="shared" si="60"/>
        <v>0</v>
      </c>
      <c r="AG209" s="1373">
        <f t="shared" si="61"/>
        <v>0</v>
      </c>
      <c r="AH209" s="1371">
        <f t="shared" si="62"/>
        <v>0</v>
      </c>
      <c r="AI209" s="1359">
        <f>HLOOKUP($AI$66,anticipadofree,140,0)</f>
        <v>-8.4490555555555562E-4</v>
      </c>
      <c r="AK209" s="1360">
        <f t="shared" si="54"/>
        <v>-8.4490555555555562E-4</v>
      </c>
      <c r="AL209" s="1361">
        <f t="shared" si="65"/>
        <v>139</v>
      </c>
      <c r="AM209" s="1191">
        <f t="shared" si="63"/>
        <v>0.01</v>
      </c>
      <c r="AN209" s="1362">
        <f t="shared" si="55"/>
        <v>907.02465110272692</v>
      </c>
      <c r="AO209" s="1362">
        <f t="shared" si="47"/>
        <v>-907.02465110272692</v>
      </c>
      <c r="AP209" s="1362">
        <f t="shared" si="64"/>
        <v>0</v>
      </c>
      <c r="AQ209" s="1363">
        <f t="shared" si="56"/>
        <v>1074428.9646344725</v>
      </c>
    </row>
    <row r="210" spans="1:43">
      <c r="A210" s="1118">
        <f t="shared" ca="1" si="45"/>
        <v>11</v>
      </c>
      <c r="B210" s="1351">
        <f t="shared" si="46"/>
        <v>0</v>
      </c>
      <c r="C210" s="2143">
        <f t="shared" si="57"/>
        <v>0</v>
      </c>
      <c r="D210" s="2144">
        <f t="shared" si="44"/>
        <v>0</v>
      </c>
      <c r="E210" s="2145">
        <f t="shared" si="48"/>
        <v>0</v>
      </c>
      <c r="F210" s="2145">
        <f t="shared" si="49"/>
        <v>0</v>
      </c>
      <c r="G210" s="2145">
        <f t="shared" si="58"/>
        <v>0</v>
      </c>
      <c r="H210" s="2145">
        <f>IF(M209&lt;0.01,0,M209*Adm!$GV$4)</f>
        <v>0</v>
      </c>
      <c r="I210" s="2145">
        <f>IF(M209&lt;0.01,0,Cal!$BO$108*Adm!$GW$4)</f>
        <v>0</v>
      </c>
      <c r="J210" s="2145">
        <f>IF(M209&lt;0.01,0,IF(Adm!$GO$4&gt;0,E210*Adm!$GO$4,0))</f>
        <v>0</v>
      </c>
      <c r="K210" s="2145">
        <f t="shared" si="50"/>
        <v>0</v>
      </c>
      <c r="L210" s="2145">
        <f>IF(Adm!$GJ$4="si",MIN(M209+E210+H210+I210-K210,AB210),0)</f>
        <v>0</v>
      </c>
      <c r="M210" s="2145">
        <f t="shared" si="51"/>
        <v>0</v>
      </c>
      <c r="N210" s="2153"/>
      <c r="U210" s="1352">
        <f t="shared" si="52"/>
        <v>8</v>
      </c>
      <c r="V210" s="1514">
        <f>IF(U210=1,Cal!$BO$127,0)</f>
        <v>0</v>
      </c>
      <c r="W210" s="1517">
        <f>IF(U210=1,Adm!$HI$4,0)</f>
        <v>0</v>
      </c>
      <c r="X210" s="1518"/>
      <c r="Y210" s="1518"/>
      <c r="Z210" s="1518"/>
      <c r="AA210" s="1368">
        <f t="shared" si="59"/>
        <v>0</v>
      </c>
      <c r="AB210" s="1369">
        <f t="shared" ca="1" si="53"/>
        <v>0</v>
      </c>
      <c r="AF210" s="1370">
        <f t="shared" si="60"/>
        <v>0</v>
      </c>
      <c r="AG210" s="1373">
        <f t="shared" si="61"/>
        <v>0</v>
      </c>
      <c r="AH210" s="1371">
        <f t="shared" si="62"/>
        <v>0</v>
      </c>
      <c r="AI210" s="1359">
        <f>HLOOKUP($AI$66,anticipadofree,141,0)</f>
        <v>-8.4490555555555551E-4</v>
      </c>
      <c r="AK210" s="1360">
        <f t="shared" si="54"/>
        <v>-8.4490555555555551E-4</v>
      </c>
      <c r="AL210" s="1361">
        <f t="shared" si="65"/>
        <v>140</v>
      </c>
      <c r="AM210" s="1191">
        <f t="shared" si="63"/>
        <v>0.01</v>
      </c>
      <c r="AN210" s="1362">
        <f t="shared" si="55"/>
        <v>907.79100126946935</v>
      </c>
      <c r="AO210" s="1362">
        <f t="shared" si="47"/>
        <v>-907.79100126946935</v>
      </c>
      <c r="AP210" s="1362">
        <f t="shared" si="64"/>
        <v>0</v>
      </c>
      <c r="AQ210" s="1363">
        <f t="shared" si="56"/>
        <v>1075336.7556357419</v>
      </c>
    </row>
    <row r="211" spans="1:43">
      <c r="A211" s="1118">
        <f t="shared" ca="1" si="45"/>
        <v>12</v>
      </c>
      <c r="B211" s="1351">
        <f t="shared" si="46"/>
        <v>0</v>
      </c>
      <c r="C211" s="2143">
        <f t="shared" si="57"/>
        <v>0</v>
      </c>
      <c r="D211" s="2144">
        <f t="shared" si="44"/>
        <v>0</v>
      </c>
      <c r="E211" s="2145">
        <f t="shared" si="48"/>
        <v>0</v>
      </c>
      <c r="F211" s="2145">
        <f t="shared" si="49"/>
        <v>0</v>
      </c>
      <c r="G211" s="2145">
        <f t="shared" si="58"/>
        <v>0</v>
      </c>
      <c r="H211" s="2145">
        <f>IF(M210&lt;0.01,0,M210*Adm!$GV$4)</f>
        <v>0</v>
      </c>
      <c r="I211" s="2145">
        <f>IF(M210&lt;0.01,0,Cal!$BO$108*Adm!$GW$4)</f>
        <v>0</v>
      </c>
      <c r="J211" s="2145">
        <f>IF(M210&lt;0.01,0,IF(Adm!$GO$4&gt;0,E211*Adm!$GO$4,0))</f>
        <v>0</v>
      </c>
      <c r="K211" s="2145">
        <f t="shared" si="50"/>
        <v>0</v>
      </c>
      <c r="L211" s="2145">
        <f>IF(Adm!$GJ$4="si",MIN(M210+E211+H211+I211-K211,AB211),0)</f>
        <v>0</v>
      </c>
      <c r="M211" s="2145">
        <f t="shared" si="51"/>
        <v>0</v>
      </c>
      <c r="N211" s="2153"/>
      <c r="U211" s="1352">
        <f t="shared" si="52"/>
        <v>9</v>
      </c>
      <c r="V211" s="1514">
        <f>IF(U211=1,Cal!$BO$127,0)</f>
        <v>0</v>
      </c>
      <c r="W211" s="1517">
        <f>IF(U211=1,Adm!$HI$4,0)</f>
        <v>0</v>
      </c>
      <c r="X211" s="1518"/>
      <c r="Y211" s="1518"/>
      <c r="Z211" s="1518"/>
      <c r="AA211" s="1368">
        <f t="shared" si="59"/>
        <v>0</v>
      </c>
      <c r="AB211" s="1369">
        <f t="shared" ca="1" si="53"/>
        <v>0</v>
      </c>
      <c r="AF211" s="1370">
        <f t="shared" si="60"/>
        <v>0</v>
      </c>
      <c r="AG211" s="1373">
        <f t="shared" si="61"/>
        <v>0</v>
      </c>
      <c r="AH211" s="1371">
        <f t="shared" si="62"/>
        <v>0</v>
      </c>
      <c r="AI211" s="1359">
        <f>HLOOKUP($AI$66,anticipadofree,142,0)</f>
        <v>-8.4490555555555562E-4</v>
      </c>
      <c r="AK211" s="1360">
        <f t="shared" si="54"/>
        <v>-8.4490555555555562E-4</v>
      </c>
      <c r="AL211" s="1361">
        <f t="shared" si="65"/>
        <v>141</v>
      </c>
      <c r="AM211" s="1191">
        <f t="shared" si="63"/>
        <v>0.01</v>
      </c>
      <c r="AN211" s="1362">
        <f t="shared" si="55"/>
        <v>908.55799892972527</v>
      </c>
      <c r="AO211" s="1362">
        <f t="shared" si="47"/>
        <v>-908.55799892972527</v>
      </c>
      <c r="AP211" s="1362">
        <f t="shared" si="64"/>
        <v>0</v>
      </c>
      <c r="AQ211" s="1363">
        <f t="shared" si="56"/>
        <v>1076245.3136346715</v>
      </c>
    </row>
    <row r="212" spans="1:43">
      <c r="A212" s="1118">
        <f t="shared" ca="1" si="45"/>
        <v>1</v>
      </c>
      <c r="B212" s="1351">
        <f t="shared" si="46"/>
        <v>0</v>
      </c>
      <c r="C212" s="2143">
        <f t="shared" si="57"/>
        <v>0</v>
      </c>
      <c r="D212" s="2144">
        <f t="shared" si="44"/>
        <v>0</v>
      </c>
      <c r="E212" s="2145">
        <f t="shared" si="48"/>
        <v>0</v>
      </c>
      <c r="F212" s="2145">
        <f t="shared" si="49"/>
        <v>0</v>
      </c>
      <c r="G212" s="2145">
        <f t="shared" si="58"/>
        <v>0</v>
      </c>
      <c r="H212" s="2145">
        <f>IF(M211&lt;0.01,0,M211*Adm!$GV$4)</f>
        <v>0</v>
      </c>
      <c r="I212" s="2145">
        <f>IF(M211&lt;0.01,0,Cal!$BO$108*Adm!$GW$4)</f>
        <v>0</v>
      </c>
      <c r="J212" s="2145">
        <f>IF(M211&lt;0.01,0,IF(Adm!$GO$4&gt;0,E212*Adm!$GO$4,0))</f>
        <v>0</v>
      </c>
      <c r="K212" s="2145">
        <f t="shared" si="50"/>
        <v>0</v>
      </c>
      <c r="L212" s="2145">
        <f>IF(Adm!$GJ$4="si",MIN(M211+E212+H212+I212-K212,AB212),0)</f>
        <v>0</v>
      </c>
      <c r="M212" s="2145">
        <f t="shared" si="51"/>
        <v>0</v>
      </c>
      <c r="N212" s="2153"/>
      <c r="U212" s="1352">
        <f t="shared" si="52"/>
        <v>10</v>
      </c>
      <c r="V212" s="1514">
        <f>IF(U212=1,Cal!$BO$127,0)</f>
        <v>0</v>
      </c>
      <c r="W212" s="1517">
        <f>IF(U212=1,Adm!$HI$4,0)</f>
        <v>0</v>
      </c>
      <c r="X212" s="1518"/>
      <c r="Y212" s="1518"/>
      <c r="Z212" s="1518"/>
      <c r="AA212" s="1368">
        <f t="shared" si="59"/>
        <v>0</v>
      </c>
      <c r="AB212" s="1369">
        <f t="shared" ca="1" si="53"/>
        <v>0</v>
      </c>
      <c r="AF212" s="1370">
        <f t="shared" si="60"/>
        <v>0</v>
      </c>
      <c r="AG212" s="1373">
        <f t="shared" si="61"/>
        <v>0</v>
      </c>
      <c r="AH212" s="1371">
        <f t="shared" si="62"/>
        <v>0</v>
      </c>
      <c r="AI212" s="1359">
        <f>HLOOKUP($AI$66,anticipadofree,143,0)</f>
        <v>-8.4490555555555562E-4</v>
      </c>
      <c r="AK212" s="1360">
        <f t="shared" si="54"/>
        <v>-8.4490555555555562E-4</v>
      </c>
      <c r="AL212" s="1361">
        <f t="shared" si="65"/>
        <v>142</v>
      </c>
      <c r="AM212" s="1191">
        <f t="shared" si="63"/>
        <v>0.01</v>
      </c>
      <c r="AN212" s="1362">
        <f t="shared" si="55"/>
        <v>909.32564463056531</v>
      </c>
      <c r="AO212" s="1362">
        <f t="shared" si="47"/>
        <v>-909.32564463056531</v>
      </c>
      <c r="AP212" s="1362">
        <f t="shared" si="64"/>
        <v>0</v>
      </c>
      <c r="AQ212" s="1363">
        <f t="shared" si="56"/>
        <v>1077154.639279302</v>
      </c>
    </row>
    <row r="213" spans="1:43">
      <c r="A213" s="1118">
        <f t="shared" ca="1" si="45"/>
        <v>2</v>
      </c>
      <c r="B213" s="1351">
        <f t="shared" si="46"/>
        <v>0</v>
      </c>
      <c r="C213" s="2143">
        <f t="shared" si="57"/>
        <v>0</v>
      </c>
      <c r="D213" s="2144">
        <f t="shared" si="44"/>
        <v>0</v>
      </c>
      <c r="E213" s="2145">
        <f t="shared" si="48"/>
        <v>0</v>
      </c>
      <c r="F213" s="2145">
        <f t="shared" si="49"/>
        <v>0</v>
      </c>
      <c r="G213" s="2145">
        <f t="shared" si="58"/>
        <v>0</v>
      </c>
      <c r="H213" s="2145">
        <f>IF(M212&lt;0.01,0,M212*Adm!$GV$4)</f>
        <v>0</v>
      </c>
      <c r="I213" s="2145">
        <f>IF(M212&lt;0.01,0,Cal!$BO$108*Adm!$GW$4)</f>
        <v>0</v>
      </c>
      <c r="J213" s="2145">
        <f>IF(M212&lt;0.01,0,IF(Adm!$GO$4&gt;0,E213*Adm!$GO$4,0))</f>
        <v>0</v>
      </c>
      <c r="K213" s="2145">
        <f t="shared" si="50"/>
        <v>0</v>
      </c>
      <c r="L213" s="2145">
        <f>IF(Adm!$GJ$4="si",MIN(M212+E213+H213+I213-K213,AB213),0)</f>
        <v>0</v>
      </c>
      <c r="M213" s="2145">
        <f t="shared" si="51"/>
        <v>0</v>
      </c>
      <c r="N213" s="2153"/>
      <c r="U213" s="1352">
        <f t="shared" si="52"/>
        <v>11</v>
      </c>
      <c r="V213" s="1514">
        <f>IF(U213=1,Cal!$BO$127,0)</f>
        <v>0</v>
      </c>
      <c r="W213" s="1517">
        <f>IF(U213=1,Adm!$HI$4,0)</f>
        <v>0</v>
      </c>
      <c r="X213" s="1518"/>
      <c r="Y213" s="1518"/>
      <c r="Z213" s="1518"/>
      <c r="AA213" s="1368">
        <f t="shared" si="59"/>
        <v>0</v>
      </c>
      <c r="AB213" s="1369">
        <f t="shared" ca="1" si="53"/>
        <v>0</v>
      </c>
      <c r="AF213" s="1370">
        <f t="shared" si="60"/>
        <v>0</v>
      </c>
      <c r="AG213" s="1373">
        <f t="shared" si="61"/>
        <v>0</v>
      </c>
      <c r="AH213" s="1371">
        <f t="shared" si="62"/>
        <v>0</v>
      </c>
      <c r="AI213" s="1359">
        <f>HLOOKUP($AI$66,anticipadofree,144,0)</f>
        <v>-8.4490555555555551E-4</v>
      </c>
      <c r="AK213" s="1360">
        <f t="shared" si="54"/>
        <v>-8.4490555555555551E-4</v>
      </c>
      <c r="AL213" s="1361">
        <f t="shared" si="65"/>
        <v>143</v>
      </c>
      <c r="AM213" s="1191">
        <f t="shared" si="63"/>
        <v>0.01</v>
      </c>
      <c r="AN213" s="1362">
        <f t="shared" si="55"/>
        <v>910.09393891952266</v>
      </c>
      <c r="AO213" s="1362">
        <f t="shared" si="47"/>
        <v>-910.09393891952266</v>
      </c>
      <c r="AP213" s="1362">
        <f t="shared" si="64"/>
        <v>0</v>
      </c>
      <c r="AQ213" s="1363">
        <f t="shared" si="56"/>
        <v>1078064.7332182215</v>
      </c>
    </row>
    <row r="214" spans="1:43">
      <c r="A214" s="1118">
        <f t="shared" ca="1" si="45"/>
        <v>3</v>
      </c>
      <c r="B214" s="1351">
        <f t="shared" si="46"/>
        <v>0</v>
      </c>
      <c r="C214" s="2143">
        <f t="shared" si="57"/>
        <v>0</v>
      </c>
      <c r="D214" s="2144">
        <f t="shared" si="44"/>
        <v>0</v>
      </c>
      <c r="E214" s="2145">
        <f t="shared" si="48"/>
        <v>0</v>
      </c>
      <c r="F214" s="2145">
        <f t="shared" si="49"/>
        <v>0</v>
      </c>
      <c r="G214" s="2145">
        <f t="shared" si="58"/>
        <v>0</v>
      </c>
      <c r="H214" s="2145">
        <f>IF(M213&lt;0.01,0,M213*Adm!$GV$4)</f>
        <v>0</v>
      </c>
      <c r="I214" s="2145">
        <f>IF(M213&lt;0.01,0,Cal!$BO$108*Adm!$GW$4)</f>
        <v>0</v>
      </c>
      <c r="J214" s="2145">
        <f>IF(M213&lt;0.01,0,IF(Adm!$GO$4&gt;0,E214*Adm!$GO$4,0))</f>
        <v>0</v>
      </c>
      <c r="K214" s="2145">
        <f t="shared" si="50"/>
        <v>0</v>
      </c>
      <c r="L214" s="2145">
        <f>IF(Adm!$GJ$4="si",MIN(M213+E214+H214+I214-K214,AB214),0)</f>
        <v>0</v>
      </c>
      <c r="M214" s="2145">
        <f t="shared" si="51"/>
        <v>0</v>
      </c>
      <c r="N214" s="2153"/>
      <c r="U214" s="1352">
        <f t="shared" si="52"/>
        <v>12</v>
      </c>
      <c r="V214" s="1514">
        <f>IF(U214=1,Cal!$BO$127,0)</f>
        <v>0</v>
      </c>
      <c r="W214" s="1517">
        <f>IF(U214=1,Adm!$HI$4,0)</f>
        <v>0</v>
      </c>
      <c r="X214" s="1518"/>
      <c r="Y214" s="1518"/>
      <c r="Z214" s="1518"/>
      <c r="AA214" s="1368">
        <f t="shared" si="59"/>
        <v>0</v>
      </c>
      <c r="AB214" s="1369">
        <f t="shared" ca="1" si="53"/>
        <v>0</v>
      </c>
      <c r="AF214" s="1370">
        <f t="shared" si="60"/>
        <v>0</v>
      </c>
      <c r="AG214" s="1373">
        <f t="shared" si="61"/>
        <v>0</v>
      </c>
      <c r="AH214" s="1371">
        <f t="shared" si="62"/>
        <v>0</v>
      </c>
      <c r="AI214" s="1359">
        <f>HLOOKUP($AI$66,anticipadofree,145,0)</f>
        <v>-8.4490555555555541E-4</v>
      </c>
      <c r="AK214" s="1360">
        <f t="shared" si="54"/>
        <v>-8.4490555555555541E-4</v>
      </c>
      <c r="AL214" s="1361">
        <f t="shared" si="65"/>
        <v>144</v>
      </c>
      <c r="AM214" s="1191">
        <f t="shared" si="63"/>
        <v>0.01</v>
      </c>
      <c r="AN214" s="1362">
        <f t="shared" si="55"/>
        <v>910.862882344593</v>
      </c>
      <c r="AO214" s="1362">
        <f t="shared" si="47"/>
        <v>-910.862882344593</v>
      </c>
      <c r="AP214" s="1362">
        <f t="shared" si="64"/>
        <v>0</v>
      </c>
      <c r="AQ214" s="1363">
        <f t="shared" si="56"/>
        <v>1078975.596100566</v>
      </c>
    </row>
    <row r="215" spans="1:43">
      <c r="A215" s="1118">
        <f t="shared" ca="1" si="45"/>
        <v>4</v>
      </c>
      <c r="B215" s="1351">
        <f t="shared" si="46"/>
        <v>0</v>
      </c>
      <c r="C215" s="2143">
        <f t="shared" si="57"/>
        <v>0</v>
      </c>
      <c r="D215" s="2144">
        <f t="shared" si="44"/>
        <v>0</v>
      </c>
      <c r="E215" s="2145">
        <f t="shared" si="48"/>
        <v>0</v>
      </c>
      <c r="F215" s="2145">
        <f t="shared" si="49"/>
        <v>0</v>
      </c>
      <c r="G215" s="2145">
        <f t="shared" si="58"/>
        <v>0</v>
      </c>
      <c r="H215" s="2145">
        <f>IF(M214&lt;0.01,0,M214*Adm!$GV$4)</f>
        <v>0</v>
      </c>
      <c r="I215" s="2145">
        <f>IF(M214&lt;0.01,0,Cal!$BO$108*Adm!$GW$4)</f>
        <v>0</v>
      </c>
      <c r="J215" s="2145">
        <f>IF(M214&lt;0.01,0,IF(Adm!$GO$4&gt;0,E215*Adm!$GO$4,0))</f>
        <v>0</v>
      </c>
      <c r="K215" s="2145">
        <f t="shared" si="50"/>
        <v>0</v>
      </c>
      <c r="L215" s="2145">
        <f>IF(Adm!$GJ$4="si",MIN(M214+E215+H215+I215-K215,AB215),0)</f>
        <v>0</v>
      </c>
      <c r="M215" s="2145">
        <f t="shared" si="51"/>
        <v>0</v>
      </c>
      <c r="N215" s="2153"/>
      <c r="U215" s="1352">
        <f t="shared" si="52"/>
        <v>1</v>
      </c>
      <c r="V215" s="1514">
        <f>IF(U215=1,Cal!$BO$127,0)</f>
        <v>0</v>
      </c>
      <c r="W215" s="1517">
        <f>IF(U215=1,Adm!$HI$4,0)</f>
        <v>2.5000000000000001E-3</v>
      </c>
      <c r="X215" s="1518"/>
      <c r="Y215" s="1518"/>
      <c r="Z215" s="1518"/>
      <c r="AA215" s="1368">
        <f t="shared" si="59"/>
        <v>0</v>
      </c>
      <c r="AB215" s="1369">
        <f t="shared" ca="1" si="53"/>
        <v>0</v>
      </c>
      <c r="AF215" s="1370">
        <f t="shared" si="60"/>
        <v>0</v>
      </c>
      <c r="AG215" s="1373">
        <f t="shared" si="61"/>
        <v>0</v>
      </c>
      <c r="AH215" s="1371">
        <f t="shared" si="62"/>
        <v>0</v>
      </c>
      <c r="AI215" s="1359">
        <f>HLOOKUP($AI$66,anticipadofree,146,0)</f>
        <v>-8.4490555555555551E-4</v>
      </c>
      <c r="AK215" s="1360">
        <f t="shared" si="54"/>
        <v>-8.4490555555555551E-4</v>
      </c>
      <c r="AL215" s="1377">
        <f t="shared" si="65"/>
        <v>145</v>
      </c>
      <c r="AM215" s="1516">
        <f t="shared" si="63"/>
        <v>0.01</v>
      </c>
      <c r="AN215" s="1378">
        <f t="shared" si="55"/>
        <v>911.63247545423542</v>
      </c>
      <c r="AO215" s="1378">
        <f t="shared" si="47"/>
        <v>-911.63247545423542</v>
      </c>
      <c r="AP215" s="1378">
        <f>MIN(AQ214+AN215,AP214*(1+$AN$66))</f>
        <v>0</v>
      </c>
      <c r="AQ215" s="1363">
        <f t="shared" si="56"/>
        <v>1079887.2285760201</v>
      </c>
    </row>
    <row r="216" spans="1:43">
      <c r="A216" s="1118">
        <f t="shared" ca="1" si="45"/>
        <v>5</v>
      </c>
      <c r="B216" s="1351">
        <f t="shared" si="46"/>
        <v>0</v>
      </c>
      <c r="C216" s="2143">
        <f t="shared" si="57"/>
        <v>0</v>
      </c>
      <c r="D216" s="2144">
        <f t="shared" si="44"/>
        <v>0</v>
      </c>
      <c r="E216" s="2145">
        <f t="shared" si="48"/>
        <v>0</v>
      </c>
      <c r="F216" s="2145">
        <f t="shared" si="49"/>
        <v>0</v>
      </c>
      <c r="G216" s="2145">
        <f t="shared" si="58"/>
        <v>0</v>
      </c>
      <c r="H216" s="2145">
        <f>IF(M215&lt;0.01,0,M215*Adm!$GV$4)</f>
        <v>0</v>
      </c>
      <c r="I216" s="2145">
        <f>IF(M215&lt;0.01,0,Cal!$BO$108*Adm!$GW$4)</f>
        <v>0</v>
      </c>
      <c r="J216" s="2145">
        <f>IF(M215&lt;0.01,0,IF(Adm!$GO$4&gt;0,E216*Adm!$GO$4,0))</f>
        <v>0</v>
      </c>
      <c r="K216" s="2145">
        <f t="shared" si="50"/>
        <v>0</v>
      </c>
      <c r="L216" s="2145">
        <f>IF(Adm!$GJ$4="si",MIN(M215+E216+H216+I216-K216,AB216),0)</f>
        <v>0</v>
      </c>
      <c r="M216" s="2145">
        <f t="shared" si="51"/>
        <v>0</v>
      </c>
      <c r="N216" s="2153"/>
      <c r="U216" s="1352">
        <f t="shared" si="52"/>
        <v>2</v>
      </c>
      <c r="V216" s="1514">
        <f>IF(U216=1,Cal!$BO$127,0)</f>
        <v>0</v>
      </c>
      <c r="W216" s="1517">
        <f>IF(U216=1,Adm!$HI$4,0)</f>
        <v>0</v>
      </c>
      <c r="X216" s="1518"/>
      <c r="Y216" s="1518"/>
      <c r="Z216" s="1518"/>
      <c r="AA216" s="1368">
        <f t="shared" si="59"/>
        <v>0</v>
      </c>
      <c r="AB216" s="1369">
        <f t="shared" ca="1" si="53"/>
        <v>0</v>
      </c>
      <c r="AF216" s="1370">
        <f t="shared" si="60"/>
        <v>0</v>
      </c>
      <c r="AG216" s="1373">
        <f t="shared" si="61"/>
        <v>0</v>
      </c>
      <c r="AH216" s="1371">
        <f t="shared" si="62"/>
        <v>0</v>
      </c>
      <c r="AI216" s="1359">
        <f>HLOOKUP($AI$66,anticipadofree,147,0)</f>
        <v>-8.4490555555555541E-4</v>
      </c>
      <c r="AK216" s="1360">
        <f t="shared" si="54"/>
        <v>-8.4490555555555541E-4</v>
      </c>
      <c r="AL216" s="1361">
        <f t="shared" si="65"/>
        <v>146</v>
      </c>
      <c r="AM216" s="1191">
        <f t="shared" si="63"/>
        <v>0.01</v>
      </c>
      <c r="AN216" s="1362">
        <f t="shared" si="55"/>
        <v>912.40271879737134</v>
      </c>
      <c r="AO216" s="1362">
        <f t="shared" si="47"/>
        <v>-912.40271879737134</v>
      </c>
      <c r="AP216" s="1362">
        <f t="shared" si="64"/>
        <v>0</v>
      </c>
      <c r="AQ216" s="1363">
        <f t="shared" si="56"/>
        <v>1080799.6312948174</v>
      </c>
    </row>
    <row r="217" spans="1:43">
      <c r="A217" s="1118">
        <f t="shared" ca="1" si="45"/>
        <v>6</v>
      </c>
      <c r="B217" s="1351">
        <f t="shared" si="46"/>
        <v>0</v>
      </c>
      <c r="C217" s="2143">
        <f t="shared" si="57"/>
        <v>0</v>
      </c>
      <c r="D217" s="2144">
        <f t="shared" si="44"/>
        <v>0</v>
      </c>
      <c r="E217" s="2145">
        <f t="shared" si="48"/>
        <v>0</v>
      </c>
      <c r="F217" s="2145">
        <f t="shared" si="49"/>
        <v>0</v>
      </c>
      <c r="G217" s="2145">
        <f t="shared" si="58"/>
        <v>0</v>
      </c>
      <c r="H217" s="2145">
        <f>IF(M216&lt;0.01,0,M216*Adm!$GV$4)</f>
        <v>0</v>
      </c>
      <c r="I217" s="2145">
        <f>IF(M216&lt;0.01,0,Cal!$BO$108*Adm!$GW$4)</f>
        <v>0</v>
      </c>
      <c r="J217" s="2145">
        <f>IF(M216&lt;0.01,0,IF(Adm!$GO$4&gt;0,E217*Adm!$GO$4,0))</f>
        <v>0</v>
      </c>
      <c r="K217" s="2145">
        <f t="shared" si="50"/>
        <v>0</v>
      </c>
      <c r="L217" s="2145">
        <f>IF(Adm!$GJ$4="si",MIN(M216+E217+H217+I217-K217,AB217),0)</f>
        <v>0</v>
      </c>
      <c r="M217" s="2145">
        <f t="shared" si="51"/>
        <v>0</v>
      </c>
      <c r="N217" s="2153"/>
      <c r="U217" s="1352">
        <f t="shared" si="52"/>
        <v>3</v>
      </c>
      <c r="V217" s="1514">
        <f>IF(U217=1,Cal!$BO$127,0)</f>
        <v>0</v>
      </c>
      <c r="W217" s="1517">
        <f>IF(U217=1,Adm!$HI$4,0)</f>
        <v>0</v>
      </c>
      <c r="X217" s="1518"/>
      <c r="Y217" s="1518"/>
      <c r="Z217" s="1518"/>
      <c r="AA217" s="1368">
        <f t="shared" si="59"/>
        <v>0</v>
      </c>
      <c r="AB217" s="1369">
        <f t="shared" ca="1" si="53"/>
        <v>0</v>
      </c>
      <c r="AF217" s="1370">
        <f t="shared" si="60"/>
        <v>0</v>
      </c>
      <c r="AG217" s="1373">
        <f t="shared" si="61"/>
        <v>0</v>
      </c>
      <c r="AH217" s="1371">
        <f t="shared" si="62"/>
        <v>0</v>
      </c>
      <c r="AI217" s="1359">
        <f>HLOOKUP($AI$66,anticipadofree,148,0)</f>
        <v>-8.4490555555555562E-4</v>
      </c>
      <c r="AK217" s="1360">
        <f t="shared" si="54"/>
        <v>-8.4490555555555562E-4</v>
      </c>
      <c r="AL217" s="1361">
        <f t="shared" si="65"/>
        <v>147</v>
      </c>
      <c r="AM217" s="1191">
        <f t="shared" si="63"/>
        <v>0.01</v>
      </c>
      <c r="AN217" s="1362">
        <f t="shared" si="55"/>
        <v>913.1736129233874</v>
      </c>
      <c r="AO217" s="1362">
        <f t="shared" si="47"/>
        <v>-913.1736129233874</v>
      </c>
      <c r="AP217" s="1362">
        <f t="shared" si="64"/>
        <v>0</v>
      </c>
      <c r="AQ217" s="1363">
        <f t="shared" si="56"/>
        <v>1081712.8049077408</v>
      </c>
    </row>
    <row r="218" spans="1:43">
      <c r="A218" s="1118">
        <f t="shared" ca="1" si="45"/>
        <v>7</v>
      </c>
      <c r="B218" s="1351">
        <f t="shared" si="46"/>
        <v>0</v>
      </c>
      <c r="C218" s="2143">
        <f t="shared" si="57"/>
        <v>0</v>
      </c>
      <c r="D218" s="2144">
        <f t="shared" si="44"/>
        <v>0</v>
      </c>
      <c r="E218" s="2145">
        <f t="shared" si="48"/>
        <v>0</v>
      </c>
      <c r="F218" s="2145">
        <f t="shared" si="49"/>
        <v>0</v>
      </c>
      <c r="G218" s="2145">
        <f t="shared" si="58"/>
        <v>0</v>
      </c>
      <c r="H218" s="2145">
        <f>IF(M217&lt;0.01,0,M217*Adm!$GV$4)</f>
        <v>0</v>
      </c>
      <c r="I218" s="2145">
        <f>IF(M217&lt;0.01,0,Cal!$BO$108*Adm!$GW$4)</f>
        <v>0</v>
      </c>
      <c r="J218" s="2145">
        <f>IF(M217&lt;0.01,0,IF(Adm!$GO$4&gt;0,E218*Adm!$GO$4,0))</f>
        <v>0</v>
      </c>
      <c r="K218" s="2145">
        <f t="shared" si="50"/>
        <v>0</v>
      </c>
      <c r="L218" s="2145">
        <f>IF(Adm!$GJ$4="si",MIN(M217+E218+H218+I218-K218,AB218),0)</f>
        <v>0</v>
      </c>
      <c r="M218" s="2145">
        <f t="shared" si="51"/>
        <v>0</v>
      </c>
      <c r="N218" s="2153"/>
      <c r="U218" s="1352">
        <f t="shared" si="52"/>
        <v>4</v>
      </c>
      <c r="V218" s="1514">
        <f>IF(U218=1,Cal!$BO$127,0)</f>
        <v>0</v>
      </c>
      <c r="W218" s="1517">
        <f>IF(U218=1,Adm!$HI$4,0)</f>
        <v>0</v>
      </c>
      <c r="X218" s="1518"/>
      <c r="Y218" s="1518"/>
      <c r="Z218" s="1518"/>
      <c r="AA218" s="1368">
        <f t="shared" si="59"/>
        <v>0</v>
      </c>
      <c r="AB218" s="1369">
        <f t="shared" ca="1" si="53"/>
        <v>0</v>
      </c>
      <c r="AF218" s="1370">
        <f t="shared" si="60"/>
        <v>0</v>
      </c>
      <c r="AG218" s="1373">
        <f t="shared" si="61"/>
        <v>0</v>
      </c>
      <c r="AH218" s="1371">
        <f t="shared" si="62"/>
        <v>0</v>
      </c>
      <c r="AI218" s="1359">
        <f>HLOOKUP($AI$66,anticipadofree,149,0)</f>
        <v>-8.4490555555555551E-4</v>
      </c>
      <c r="AK218" s="1360">
        <f t="shared" si="54"/>
        <v>-8.4490555555555551E-4</v>
      </c>
      <c r="AL218" s="1361">
        <f t="shared" si="65"/>
        <v>148</v>
      </c>
      <c r="AM218" s="1191">
        <f t="shared" si="63"/>
        <v>0.01</v>
      </c>
      <c r="AN218" s="1362">
        <f t="shared" si="55"/>
        <v>913.94515838213295</v>
      </c>
      <c r="AO218" s="1362">
        <f t="shared" si="47"/>
        <v>-913.94515838213295</v>
      </c>
      <c r="AP218" s="1362">
        <f t="shared" si="64"/>
        <v>0</v>
      </c>
      <c r="AQ218" s="1363">
        <f t="shared" si="56"/>
        <v>1082626.750066123</v>
      </c>
    </row>
    <row r="219" spans="1:43">
      <c r="A219" s="1118">
        <f t="shared" ca="1" si="45"/>
        <v>8</v>
      </c>
      <c r="B219" s="1351">
        <f t="shared" si="46"/>
        <v>0</v>
      </c>
      <c r="C219" s="2143">
        <f t="shared" si="57"/>
        <v>0</v>
      </c>
      <c r="D219" s="2144">
        <f t="shared" si="44"/>
        <v>0</v>
      </c>
      <c r="E219" s="2145">
        <f t="shared" si="48"/>
        <v>0</v>
      </c>
      <c r="F219" s="2145">
        <f t="shared" si="49"/>
        <v>0</v>
      </c>
      <c r="G219" s="2145">
        <f t="shared" si="58"/>
        <v>0</v>
      </c>
      <c r="H219" s="2145">
        <f>IF(M218&lt;0.01,0,M218*Adm!$GV$4)</f>
        <v>0</v>
      </c>
      <c r="I219" s="2145">
        <f>IF(M218&lt;0.01,0,Cal!$BO$108*Adm!$GW$4)</f>
        <v>0</v>
      </c>
      <c r="J219" s="2145">
        <f>IF(M218&lt;0.01,0,IF(Adm!$GO$4&gt;0,E219*Adm!$GO$4,0))</f>
        <v>0</v>
      </c>
      <c r="K219" s="2145">
        <f t="shared" si="50"/>
        <v>0</v>
      </c>
      <c r="L219" s="2145">
        <f>IF(Adm!$GJ$4="si",MIN(M218+E219+H219+I219-K219,AB219),0)</f>
        <v>0</v>
      </c>
      <c r="M219" s="2145">
        <f t="shared" si="51"/>
        <v>0</v>
      </c>
      <c r="N219" s="2153"/>
      <c r="U219" s="1352">
        <f t="shared" si="52"/>
        <v>5</v>
      </c>
      <c r="V219" s="1514">
        <f>IF(U219=1,Cal!$BO$127,0)</f>
        <v>0</v>
      </c>
      <c r="W219" s="1517">
        <f>IF(U219=1,Adm!$HI$4,0)</f>
        <v>0</v>
      </c>
      <c r="X219" s="1518"/>
      <c r="Y219" s="1518"/>
      <c r="Z219" s="1518"/>
      <c r="AA219" s="1368">
        <f t="shared" si="59"/>
        <v>0</v>
      </c>
      <c r="AB219" s="1369">
        <f t="shared" ca="1" si="53"/>
        <v>0</v>
      </c>
      <c r="AF219" s="1370">
        <f t="shared" si="60"/>
        <v>0</v>
      </c>
      <c r="AG219" s="1373">
        <f t="shared" si="61"/>
        <v>0</v>
      </c>
      <c r="AH219" s="1371">
        <f t="shared" si="62"/>
        <v>0</v>
      </c>
      <c r="AI219" s="1359">
        <f>HLOOKUP($AI$66,anticipadofree,150,0)</f>
        <v>-8.4490555555555551E-4</v>
      </c>
      <c r="AK219" s="1360">
        <f t="shared" si="54"/>
        <v>-8.4490555555555551E-4</v>
      </c>
      <c r="AL219" s="1361">
        <f t="shared" si="65"/>
        <v>149</v>
      </c>
      <c r="AM219" s="1191">
        <f t="shared" si="63"/>
        <v>0.01</v>
      </c>
      <c r="AN219" s="1362">
        <f t="shared" si="55"/>
        <v>914.71735572392322</v>
      </c>
      <c r="AO219" s="1362">
        <f t="shared" si="47"/>
        <v>-914.71735572392322</v>
      </c>
      <c r="AP219" s="1362">
        <f t="shared" si="64"/>
        <v>0</v>
      </c>
      <c r="AQ219" s="1363">
        <f t="shared" si="56"/>
        <v>1083541.4674218469</v>
      </c>
    </row>
    <row r="220" spans="1:43">
      <c r="A220" s="1118">
        <f t="shared" ca="1" si="45"/>
        <v>9</v>
      </c>
      <c r="B220" s="1351">
        <f t="shared" si="46"/>
        <v>0</v>
      </c>
      <c r="C220" s="2143">
        <f t="shared" si="57"/>
        <v>0</v>
      </c>
      <c r="D220" s="2144">
        <f t="shared" si="44"/>
        <v>0</v>
      </c>
      <c r="E220" s="2145">
        <f t="shared" si="48"/>
        <v>0</v>
      </c>
      <c r="F220" s="2145">
        <f t="shared" si="49"/>
        <v>0</v>
      </c>
      <c r="G220" s="2145">
        <f t="shared" si="58"/>
        <v>0</v>
      </c>
      <c r="H220" s="2145">
        <f>IF(M219&lt;0.01,0,M219*Adm!$GV$4)</f>
        <v>0</v>
      </c>
      <c r="I220" s="2145">
        <f>IF(M219&lt;0.01,0,Cal!$BO$108*Adm!$GW$4)</f>
        <v>0</v>
      </c>
      <c r="J220" s="2145">
        <f>IF(M219&lt;0.01,0,IF(Adm!$GO$4&gt;0,E220*Adm!$GO$4,0))</f>
        <v>0</v>
      </c>
      <c r="K220" s="2145">
        <f t="shared" si="50"/>
        <v>0</v>
      </c>
      <c r="L220" s="2145">
        <f>IF(Adm!$GJ$4="si",MIN(M219+E220+H220+I220-K220,AB220),0)</f>
        <v>0</v>
      </c>
      <c r="M220" s="2145">
        <f t="shared" si="51"/>
        <v>0</v>
      </c>
      <c r="N220" s="2153"/>
      <c r="U220" s="1352">
        <f t="shared" si="52"/>
        <v>6</v>
      </c>
      <c r="V220" s="1514">
        <f>IF(U220=1,Cal!$BO$127,0)</f>
        <v>0</v>
      </c>
      <c r="W220" s="1517">
        <f>IF(U220=1,Adm!$HI$4,0)</f>
        <v>0</v>
      </c>
      <c r="X220" s="1518"/>
      <c r="Y220" s="1518"/>
      <c r="Z220" s="1518"/>
      <c r="AA220" s="1368">
        <f t="shared" si="59"/>
        <v>0</v>
      </c>
      <c r="AB220" s="1369">
        <f t="shared" ca="1" si="53"/>
        <v>0</v>
      </c>
      <c r="AF220" s="1370">
        <f t="shared" si="60"/>
        <v>0</v>
      </c>
      <c r="AG220" s="1373">
        <f t="shared" si="61"/>
        <v>0</v>
      </c>
      <c r="AH220" s="1371">
        <f t="shared" si="62"/>
        <v>0</v>
      </c>
      <c r="AI220" s="1359">
        <f>HLOOKUP($AI$66,anticipadofree,151,0)</f>
        <v>-8.4490555555555551E-4</v>
      </c>
      <c r="AK220" s="1360">
        <f t="shared" si="54"/>
        <v>-8.4490555555555551E-4</v>
      </c>
      <c r="AL220" s="1361">
        <f t="shared" si="65"/>
        <v>150</v>
      </c>
      <c r="AM220" s="1191">
        <f t="shared" si="63"/>
        <v>0.01</v>
      </c>
      <c r="AN220" s="1362">
        <f t="shared" si="55"/>
        <v>915.49020549953741</v>
      </c>
      <c r="AO220" s="1362">
        <f t="shared" si="47"/>
        <v>-915.49020549953741</v>
      </c>
      <c r="AP220" s="1362">
        <f t="shared" si="64"/>
        <v>0</v>
      </c>
      <c r="AQ220" s="1363">
        <f t="shared" si="56"/>
        <v>1084456.9576273465</v>
      </c>
    </row>
    <row r="221" spans="1:43">
      <c r="A221" s="1118">
        <f t="shared" ca="1" si="45"/>
        <v>10</v>
      </c>
      <c r="B221" s="1351">
        <f t="shared" si="46"/>
        <v>0</v>
      </c>
      <c r="C221" s="2143">
        <f t="shared" si="57"/>
        <v>0</v>
      </c>
      <c r="D221" s="2144">
        <f t="shared" si="44"/>
        <v>0</v>
      </c>
      <c r="E221" s="2145">
        <f t="shared" si="48"/>
        <v>0</v>
      </c>
      <c r="F221" s="2145">
        <f t="shared" si="49"/>
        <v>0</v>
      </c>
      <c r="G221" s="2145">
        <f t="shared" si="58"/>
        <v>0</v>
      </c>
      <c r="H221" s="2145">
        <f>IF(M220&lt;0.01,0,M220*Adm!$GV$4)</f>
        <v>0</v>
      </c>
      <c r="I221" s="2145">
        <f>IF(M220&lt;0.01,0,Cal!$BO$108*Adm!$GW$4)</f>
        <v>0</v>
      </c>
      <c r="J221" s="2145">
        <f>IF(M220&lt;0.01,0,IF(Adm!$GO$4&gt;0,E221*Adm!$GO$4,0))</f>
        <v>0</v>
      </c>
      <c r="K221" s="2145">
        <f t="shared" si="50"/>
        <v>0</v>
      </c>
      <c r="L221" s="2145">
        <f>IF(Adm!$GJ$4="si",MIN(M220+E221+H221+I221-K221,AB221),0)</f>
        <v>0</v>
      </c>
      <c r="M221" s="2145">
        <f t="shared" si="51"/>
        <v>0</v>
      </c>
      <c r="N221" s="2153"/>
      <c r="U221" s="1352">
        <f t="shared" si="52"/>
        <v>7</v>
      </c>
      <c r="V221" s="1514">
        <f>IF(U221=1,Cal!$BO$127,0)</f>
        <v>0</v>
      </c>
      <c r="W221" s="1517">
        <f>IF(U221=1,Adm!$HI$4,0)</f>
        <v>0</v>
      </c>
      <c r="X221" s="1518"/>
      <c r="Y221" s="1518"/>
      <c r="Z221" s="1518"/>
      <c r="AA221" s="1368">
        <f t="shared" si="59"/>
        <v>0</v>
      </c>
      <c r="AB221" s="1369">
        <f t="shared" ca="1" si="53"/>
        <v>0</v>
      </c>
      <c r="AF221" s="1370">
        <f t="shared" si="60"/>
        <v>0</v>
      </c>
      <c r="AG221" s="1373">
        <f t="shared" si="61"/>
        <v>0</v>
      </c>
      <c r="AH221" s="1371">
        <f t="shared" si="62"/>
        <v>0</v>
      </c>
      <c r="AI221" s="1359">
        <f>HLOOKUP($AI$66,anticipadofree,152,0)</f>
        <v>-8.4490555555555562E-4</v>
      </c>
      <c r="AK221" s="1360">
        <f t="shared" si="54"/>
        <v>-8.4490555555555562E-4</v>
      </c>
      <c r="AL221" s="1361">
        <f t="shared" si="65"/>
        <v>151</v>
      </c>
      <c r="AM221" s="1191">
        <f t="shared" si="63"/>
        <v>0.01</v>
      </c>
      <c r="AN221" s="1362">
        <f t="shared" si="55"/>
        <v>916.26370826022082</v>
      </c>
      <c r="AO221" s="1362">
        <f t="shared" si="47"/>
        <v>-916.26370826022082</v>
      </c>
      <c r="AP221" s="1362">
        <f t="shared" si="64"/>
        <v>0</v>
      </c>
      <c r="AQ221" s="1363">
        <f t="shared" si="56"/>
        <v>1085373.2213356066</v>
      </c>
    </row>
    <row r="222" spans="1:43">
      <c r="A222" s="1118">
        <f t="shared" ca="1" si="45"/>
        <v>11</v>
      </c>
      <c r="B222" s="1351">
        <f t="shared" si="46"/>
        <v>0</v>
      </c>
      <c r="C222" s="2143">
        <f t="shared" si="57"/>
        <v>0</v>
      </c>
      <c r="D222" s="2144">
        <f t="shared" si="44"/>
        <v>0</v>
      </c>
      <c r="E222" s="2145">
        <f t="shared" si="48"/>
        <v>0</v>
      </c>
      <c r="F222" s="2145">
        <f t="shared" si="49"/>
        <v>0</v>
      </c>
      <c r="G222" s="2145">
        <f t="shared" si="58"/>
        <v>0</v>
      </c>
      <c r="H222" s="2145">
        <f>IF(M221&lt;0.01,0,M221*Adm!$GV$4)</f>
        <v>0</v>
      </c>
      <c r="I222" s="2145">
        <f>IF(M221&lt;0.01,0,Cal!$BO$108*Adm!$GW$4)</f>
        <v>0</v>
      </c>
      <c r="J222" s="2145">
        <f>IF(M221&lt;0.01,0,IF(Adm!$GO$4&gt;0,E222*Adm!$GO$4,0))</f>
        <v>0</v>
      </c>
      <c r="K222" s="2145">
        <f t="shared" si="50"/>
        <v>0</v>
      </c>
      <c r="L222" s="2145">
        <f>IF(Adm!$GJ$4="si",MIN(M221+E222+H222+I222-K222,AB222),0)</f>
        <v>0</v>
      </c>
      <c r="M222" s="2145">
        <f t="shared" si="51"/>
        <v>0</v>
      </c>
      <c r="N222" s="2153"/>
      <c r="U222" s="1352">
        <f t="shared" si="52"/>
        <v>8</v>
      </c>
      <c r="V222" s="1514">
        <f>IF(U222=1,Cal!$BO$127,0)</f>
        <v>0</v>
      </c>
      <c r="W222" s="1517">
        <f>IF(U222=1,Adm!$HI$4,0)</f>
        <v>0</v>
      </c>
      <c r="X222" s="1518"/>
      <c r="Y222" s="1518"/>
      <c r="Z222" s="1518"/>
      <c r="AA222" s="1368">
        <f t="shared" si="59"/>
        <v>0</v>
      </c>
      <c r="AB222" s="1369">
        <f t="shared" ca="1" si="53"/>
        <v>0</v>
      </c>
      <c r="AF222" s="1370">
        <f t="shared" si="60"/>
        <v>0</v>
      </c>
      <c r="AG222" s="1373">
        <f t="shared" si="61"/>
        <v>0</v>
      </c>
      <c r="AH222" s="1371">
        <f t="shared" si="62"/>
        <v>0</v>
      </c>
      <c r="AI222" s="1359">
        <f>HLOOKUP($AI$66,anticipadofree,153,0)</f>
        <v>-8.4490555555555562E-4</v>
      </c>
      <c r="AK222" s="1360">
        <f t="shared" si="54"/>
        <v>-8.4490555555555562E-4</v>
      </c>
      <c r="AL222" s="1361">
        <f t="shared" si="65"/>
        <v>152</v>
      </c>
      <c r="AM222" s="1191">
        <f t="shared" si="63"/>
        <v>0.01</v>
      </c>
      <c r="AN222" s="1362">
        <f t="shared" si="55"/>
        <v>917.03786455768375</v>
      </c>
      <c r="AO222" s="1362">
        <f t="shared" si="47"/>
        <v>-917.03786455768375</v>
      </c>
      <c r="AP222" s="1362">
        <f t="shared" si="64"/>
        <v>0</v>
      </c>
      <c r="AQ222" s="1363">
        <f t="shared" si="56"/>
        <v>1086290.2592001643</v>
      </c>
    </row>
    <row r="223" spans="1:43">
      <c r="A223" s="1118">
        <f t="shared" ca="1" si="45"/>
        <v>12</v>
      </c>
      <c r="B223" s="1351">
        <f t="shared" si="46"/>
        <v>0</v>
      </c>
      <c r="C223" s="2143">
        <f t="shared" si="57"/>
        <v>0</v>
      </c>
      <c r="D223" s="2144">
        <f t="shared" si="44"/>
        <v>0</v>
      </c>
      <c r="E223" s="2145">
        <f t="shared" si="48"/>
        <v>0</v>
      </c>
      <c r="F223" s="2145">
        <f t="shared" si="49"/>
        <v>0</v>
      </c>
      <c r="G223" s="2145">
        <f t="shared" si="58"/>
        <v>0</v>
      </c>
      <c r="H223" s="2145">
        <f>IF(M222&lt;0.01,0,M222*Adm!$GV$4)</f>
        <v>0</v>
      </c>
      <c r="I223" s="2145">
        <f>IF(M222&lt;0.01,0,Cal!$BO$108*Adm!$GW$4)</f>
        <v>0</v>
      </c>
      <c r="J223" s="2145">
        <f>IF(M222&lt;0.01,0,IF(Adm!$GO$4&gt;0,E223*Adm!$GO$4,0))</f>
        <v>0</v>
      </c>
      <c r="K223" s="2145">
        <f t="shared" si="50"/>
        <v>0</v>
      </c>
      <c r="L223" s="2145">
        <f>IF(Adm!$GJ$4="si",MIN(M222+E223+H223+I223-K223,AB223),0)</f>
        <v>0</v>
      </c>
      <c r="M223" s="2145">
        <f t="shared" si="51"/>
        <v>0</v>
      </c>
      <c r="N223" s="2153"/>
      <c r="U223" s="1352">
        <f t="shared" si="52"/>
        <v>9</v>
      </c>
      <c r="V223" s="1514">
        <f>IF(U223=1,Cal!$BO$127,0)</f>
        <v>0</v>
      </c>
      <c r="W223" s="1517">
        <f>IF(U223=1,Adm!$HI$4,0)</f>
        <v>0</v>
      </c>
      <c r="X223" s="1518"/>
      <c r="Y223" s="1518"/>
      <c r="Z223" s="1518"/>
      <c r="AA223" s="1368">
        <f t="shared" si="59"/>
        <v>0</v>
      </c>
      <c r="AB223" s="1369">
        <f t="shared" ca="1" si="53"/>
        <v>0</v>
      </c>
      <c r="AF223" s="1370">
        <f t="shared" si="60"/>
        <v>0</v>
      </c>
      <c r="AG223" s="1373">
        <f t="shared" si="61"/>
        <v>0</v>
      </c>
      <c r="AH223" s="1371">
        <f t="shared" si="62"/>
        <v>0</v>
      </c>
      <c r="AI223" s="1359">
        <f>HLOOKUP($AI$66,anticipadofree,154,0)</f>
        <v>-8.4490555555555551E-4</v>
      </c>
      <c r="AK223" s="1360">
        <f t="shared" si="54"/>
        <v>-8.4490555555555551E-4</v>
      </c>
      <c r="AL223" s="1361">
        <f t="shared" si="65"/>
        <v>153</v>
      </c>
      <c r="AM223" s="1191">
        <f t="shared" si="63"/>
        <v>0.01</v>
      </c>
      <c r="AN223" s="1362">
        <f t="shared" si="55"/>
        <v>917.81267494410326</v>
      </c>
      <c r="AO223" s="1362">
        <f t="shared" si="47"/>
        <v>-917.81267494410326</v>
      </c>
      <c r="AP223" s="1362">
        <f t="shared" si="64"/>
        <v>0</v>
      </c>
      <c r="AQ223" s="1363">
        <f t="shared" si="56"/>
        <v>1087208.0718751084</v>
      </c>
    </row>
    <row r="224" spans="1:43">
      <c r="A224" s="1118">
        <f t="shared" ca="1" si="45"/>
        <v>1</v>
      </c>
      <c r="B224" s="1351">
        <f t="shared" si="46"/>
        <v>0</v>
      </c>
      <c r="C224" s="2143">
        <f t="shared" si="57"/>
        <v>0</v>
      </c>
      <c r="D224" s="2144">
        <f t="shared" si="44"/>
        <v>0</v>
      </c>
      <c r="E224" s="2145">
        <f t="shared" si="48"/>
        <v>0</v>
      </c>
      <c r="F224" s="2145">
        <f t="shared" si="49"/>
        <v>0</v>
      </c>
      <c r="G224" s="2145">
        <f t="shared" si="58"/>
        <v>0</v>
      </c>
      <c r="H224" s="2145">
        <f>IF(M223&lt;0.01,0,M223*Adm!$GV$4)</f>
        <v>0</v>
      </c>
      <c r="I224" s="2145">
        <f>IF(M223&lt;0.01,0,Cal!$BO$108*Adm!$GW$4)</f>
        <v>0</v>
      </c>
      <c r="J224" s="2145">
        <f>IF(M223&lt;0.01,0,IF(Adm!$GO$4&gt;0,E224*Adm!$GO$4,0))</f>
        <v>0</v>
      </c>
      <c r="K224" s="2145">
        <f t="shared" si="50"/>
        <v>0</v>
      </c>
      <c r="L224" s="2145">
        <f>IF(Adm!$GJ$4="si",MIN(M223+E224+H224+I224-K224,AB224),0)</f>
        <v>0</v>
      </c>
      <c r="M224" s="2145">
        <f t="shared" si="51"/>
        <v>0</v>
      </c>
      <c r="N224" s="2153"/>
      <c r="U224" s="1352">
        <f t="shared" si="52"/>
        <v>10</v>
      </c>
      <c r="V224" s="1514">
        <f>IF(U224=1,Cal!$BO$127,0)</f>
        <v>0</v>
      </c>
      <c r="W224" s="1517">
        <f>IF(U224=1,Adm!$HI$4,0)</f>
        <v>0</v>
      </c>
      <c r="X224" s="1518"/>
      <c r="Y224" s="1518"/>
      <c r="Z224" s="1518"/>
      <c r="AA224" s="1368">
        <f t="shared" si="59"/>
        <v>0</v>
      </c>
      <c r="AB224" s="1369">
        <f t="shared" ca="1" si="53"/>
        <v>0</v>
      </c>
      <c r="AF224" s="1370">
        <f t="shared" si="60"/>
        <v>0</v>
      </c>
      <c r="AG224" s="1373">
        <f t="shared" si="61"/>
        <v>0</v>
      </c>
      <c r="AH224" s="1371">
        <f t="shared" si="62"/>
        <v>0</v>
      </c>
      <c r="AI224" s="1359">
        <f>HLOOKUP($AI$66,anticipadofree,155,0)</f>
        <v>-8.4490555555555541E-4</v>
      </c>
      <c r="AK224" s="1360">
        <f t="shared" si="54"/>
        <v>-8.4490555555555541E-4</v>
      </c>
      <c r="AL224" s="1361">
        <f t="shared" si="65"/>
        <v>154</v>
      </c>
      <c r="AM224" s="1191">
        <f t="shared" si="63"/>
        <v>0.01</v>
      </c>
      <c r="AN224" s="1362">
        <f t="shared" si="55"/>
        <v>918.58813997212269</v>
      </c>
      <c r="AO224" s="1362">
        <f t="shared" si="47"/>
        <v>-918.58813997212269</v>
      </c>
      <c r="AP224" s="1362">
        <f t="shared" si="64"/>
        <v>0</v>
      </c>
      <c r="AQ224" s="1363">
        <f t="shared" si="56"/>
        <v>1088126.6600150806</v>
      </c>
    </row>
    <row r="225" spans="1:43">
      <c r="A225" s="1118">
        <f t="shared" ca="1" si="45"/>
        <v>2</v>
      </c>
      <c r="B225" s="1351">
        <f t="shared" si="46"/>
        <v>0</v>
      </c>
      <c r="C225" s="2143">
        <f t="shared" si="57"/>
        <v>0</v>
      </c>
      <c r="D225" s="2144">
        <f t="shared" si="44"/>
        <v>0</v>
      </c>
      <c r="E225" s="2145">
        <f t="shared" si="48"/>
        <v>0</v>
      </c>
      <c r="F225" s="2145">
        <f t="shared" si="49"/>
        <v>0</v>
      </c>
      <c r="G225" s="2145">
        <f t="shared" si="58"/>
        <v>0</v>
      </c>
      <c r="H225" s="2145">
        <f>IF(M224&lt;0.01,0,M224*Adm!$GV$4)</f>
        <v>0</v>
      </c>
      <c r="I225" s="2145">
        <f>IF(M224&lt;0.01,0,Cal!$BO$108*Adm!$GW$4)</f>
        <v>0</v>
      </c>
      <c r="J225" s="2145">
        <f>IF(M224&lt;0.01,0,IF(Adm!$GO$4&gt;0,E225*Adm!$GO$4,0))</f>
        <v>0</v>
      </c>
      <c r="K225" s="2145">
        <f t="shared" si="50"/>
        <v>0</v>
      </c>
      <c r="L225" s="2145">
        <f>IF(Adm!$GJ$4="si",MIN(M224+E225+H225+I225-K225,AB225),0)</f>
        <v>0</v>
      </c>
      <c r="M225" s="2145">
        <f t="shared" si="51"/>
        <v>0</v>
      </c>
      <c r="N225" s="2153"/>
      <c r="U225" s="1352">
        <f t="shared" si="52"/>
        <v>11</v>
      </c>
      <c r="V225" s="1514">
        <f>IF(U225=1,Cal!$BO$127,0)</f>
        <v>0</v>
      </c>
      <c r="W225" s="1517">
        <f>IF(U225=1,Adm!$HI$4,0)</f>
        <v>0</v>
      </c>
      <c r="X225" s="1518"/>
      <c r="Y225" s="1518"/>
      <c r="Z225" s="1518"/>
      <c r="AA225" s="1368">
        <f t="shared" si="59"/>
        <v>0</v>
      </c>
      <c r="AB225" s="1369">
        <f t="shared" ca="1" si="53"/>
        <v>0</v>
      </c>
      <c r="AF225" s="1370">
        <f t="shared" si="60"/>
        <v>0</v>
      </c>
      <c r="AG225" s="1373">
        <f t="shared" si="61"/>
        <v>0</v>
      </c>
      <c r="AH225" s="1371">
        <f t="shared" si="62"/>
        <v>0</v>
      </c>
      <c r="AI225" s="1359">
        <f>HLOOKUP($AI$66,anticipadofree,156,0)</f>
        <v>-8.4490555555555551E-4</v>
      </c>
      <c r="AK225" s="1360">
        <f t="shared" si="54"/>
        <v>-8.4490555555555551E-4</v>
      </c>
      <c r="AL225" s="1361">
        <f t="shared" si="65"/>
        <v>155</v>
      </c>
      <c r="AM225" s="1191">
        <f t="shared" si="63"/>
        <v>0.01</v>
      </c>
      <c r="AN225" s="1362">
        <f t="shared" si="55"/>
        <v>919.3642601948527</v>
      </c>
      <c r="AO225" s="1362">
        <f t="shared" si="47"/>
        <v>-919.3642601948527</v>
      </c>
      <c r="AP225" s="1362">
        <f t="shared" si="64"/>
        <v>0</v>
      </c>
      <c r="AQ225" s="1363">
        <f t="shared" si="56"/>
        <v>1089046.0242752754</v>
      </c>
    </row>
    <row r="226" spans="1:43">
      <c r="A226" s="1118">
        <f t="shared" ca="1" si="45"/>
        <v>3</v>
      </c>
      <c r="B226" s="1351">
        <f t="shared" si="46"/>
        <v>0</v>
      </c>
      <c r="C226" s="2143">
        <f t="shared" si="57"/>
        <v>0</v>
      </c>
      <c r="D226" s="2144">
        <f t="shared" si="44"/>
        <v>0</v>
      </c>
      <c r="E226" s="2145">
        <f t="shared" si="48"/>
        <v>0</v>
      </c>
      <c r="F226" s="2145">
        <f t="shared" si="49"/>
        <v>0</v>
      </c>
      <c r="G226" s="2145">
        <f t="shared" si="58"/>
        <v>0</v>
      </c>
      <c r="H226" s="2145">
        <f>IF(M225&lt;0.01,0,M225*Adm!$GV$4)</f>
        <v>0</v>
      </c>
      <c r="I226" s="2145">
        <f>IF(M225&lt;0.01,0,Cal!$BO$108*Adm!$GW$4)</f>
        <v>0</v>
      </c>
      <c r="J226" s="2145">
        <f>IF(M225&lt;0.01,0,IF(Adm!$GO$4&gt;0,E226*Adm!$GO$4,0))</f>
        <v>0</v>
      </c>
      <c r="K226" s="2145">
        <f t="shared" si="50"/>
        <v>0</v>
      </c>
      <c r="L226" s="2145">
        <f>IF(Adm!$GJ$4="si",MIN(M225+E226+H226+I226-K226,AB226),0)</f>
        <v>0</v>
      </c>
      <c r="M226" s="2145">
        <f t="shared" si="51"/>
        <v>0</v>
      </c>
      <c r="N226" s="2153"/>
      <c r="U226" s="1352">
        <f t="shared" si="52"/>
        <v>12</v>
      </c>
      <c r="V226" s="1514">
        <f>IF(U226=1,Cal!$BO$127,0)</f>
        <v>0</v>
      </c>
      <c r="W226" s="1517">
        <f>IF(U226=1,Adm!$HI$4,0)</f>
        <v>0</v>
      </c>
      <c r="X226" s="1518"/>
      <c r="Y226" s="1518"/>
      <c r="Z226" s="1518"/>
      <c r="AA226" s="1368">
        <f t="shared" si="59"/>
        <v>0</v>
      </c>
      <c r="AB226" s="1369">
        <f t="shared" ca="1" si="53"/>
        <v>0</v>
      </c>
      <c r="AF226" s="1370">
        <f t="shared" si="60"/>
        <v>0</v>
      </c>
      <c r="AG226" s="1373">
        <f t="shared" si="61"/>
        <v>0</v>
      </c>
      <c r="AH226" s="1371">
        <f t="shared" si="62"/>
        <v>0</v>
      </c>
      <c r="AI226" s="1359">
        <f>HLOOKUP($AI$66,anticipadofree,157,0)</f>
        <v>-8.4490555555555573E-4</v>
      </c>
      <c r="AK226" s="1360">
        <f t="shared" si="54"/>
        <v>-8.4490555555555573E-4</v>
      </c>
      <c r="AL226" s="1361">
        <f t="shared" si="65"/>
        <v>156</v>
      </c>
      <c r="AM226" s="1191">
        <f t="shared" si="63"/>
        <v>0.01</v>
      </c>
      <c r="AN226" s="1362">
        <f t="shared" si="55"/>
        <v>920.14103616587079</v>
      </c>
      <c r="AO226" s="1362">
        <f t="shared" si="47"/>
        <v>-920.14103616587079</v>
      </c>
      <c r="AP226" s="1362">
        <f t="shared" si="64"/>
        <v>0</v>
      </c>
      <c r="AQ226" s="1363">
        <f t="shared" si="56"/>
        <v>1089966.1653114413</v>
      </c>
    </row>
    <row r="227" spans="1:43">
      <c r="A227" s="1118">
        <f t="shared" ca="1" si="45"/>
        <v>4</v>
      </c>
      <c r="B227" s="1351">
        <f t="shared" si="46"/>
        <v>0</v>
      </c>
      <c r="C227" s="2143">
        <f t="shared" si="57"/>
        <v>0</v>
      </c>
      <c r="D227" s="2144">
        <f t="shared" si="44"/>
        <v>0</v>
      </c>
      <c r="E227" s="2145">
        <f t="shared" si="48"/>
        <v>0</v>
      </c>
      <c r="F227" s="2145">
        <f t="shared" si="49"/>
        <v>0</v>
      </c>
      <c r="G227" s="2145">
        <f t="shared" si="58"/>
        <v>0</v>
      </c>
      <c r="H227" s="2145">
        <f>IF(M226&lt;0.01,0,M226*Adm!$GV$4)</f>
        <v>0</v>
      </c>
      <c r="I227" s="2145">
        <f>IF(M226&lt;0.01,0,Cal!$BO$108*Adm!$GW$4)</f>
        <v>0</v>
      </c>
      <c r="J227" s="2145">
        <f>IF(M226&lt;0.01,0,IF(Adm!$GO$4&gt;0,E227*Adm!$GO$4,0))</f>
        <v>0</v>
      </c>
      <c r="K227" s="2145">
        <f t="shared" si="50"/>
        <v>0</v>
      </c>
      <c r="L227" s="2145">
        <f>IF(Adm!$GJ$4="si",MIN(M226+E227+H227+I227-K227,AB227),0)</f>
        <v>0</v>
      </c>
      <c r="M227" s="2145">
        <f t="shared" si="51"/>
        <v>0</v>
      </c>
      <c r="N227" s="2153"/>
      <c r="U227" s="1352">
        <f t="shared" si="52"/>
        <v>1</v>
      </c>
      <c r="V227" s="1514">
        <f>IF(U227=1,Cal!$BO$127,0)</f>
        <v>0</v>
      </c>
      <c r="W227" s="1517">
        <f>IF(U227=1,Adm!$HI$4,0)</f>
        <v>2.5000000000000001E-3</v>
      </c>
      <c r="X227" s="1518"/>
      <c r="Y227" s="1518"/>
      <c r="Z227" s="1518"/>
      <c r="AA227" s="1368">
        <f t="shared" si="59"/>
        <v>0</v>
      </c>
      <c r="AB227" s="1369">
        <f t="shared" ca="1" si="53"/>
        <v>0</v>
      </c>
      <c r="AF227" s="1370">
        <f t="shared" si="60"/>
        <v>0</v>
      </c>
      <c r="AG227" s="1373">
        <f t="shared" si="61"/>
        <v>0</v>
      </c>
      <c r="AH227" s="1371">
        <f t="shared" si="62"/>
        <v>0</v>
      </c>
      <c r="AI227" s="1359">
        <f>HLOOKUP($AI$66,anticipadofree,158,0)</f>
        <v>-8.4490555555555562E-4</v>
      </c>
      <c r="AK227" s="1360">
        <f t="shared" si="54"/>
        <v>-8.4490555555555562E-4</v>
      </c>
      <c r="AL227" s="1377">
        <f t="shared" si="65"/>
        <v>157</v>
      </c>
      <c r="AM227" s="1516">
        <f t="shared" si="63"/>
        <v>0.01</v>
      </c>
      <c r="AN227" s="1378">
        <f t="shared" si="55"/>
        <v>920.9184684392219</v>
      </c>
      <c r="AO227" s="1378">
        <f t="shared" si="47"/>
        <v>-920.9184684392219</v>
      </c>
      <c r="AP227" s="1378">
        <f>MIN(AQ226+AN227,AP226*(1+$AN$66))</f>
        <v>0</v>
      </c>
      <c r="AQ227" s="1363">
        <f t="shared" si="56"/>
        <v>1090887.0837798805</v>
      </c>
    </row>
    <row r="228" spans="1:43">
      <c r="A228" s="1118">
        <f t="shared" ca="1" si="45"/>
        <v>5</v>
      </c>
      <c r="B228" s="1351">
        <f t="shared" si="46"/>
        <v>0</v>
      </c>
      <c r="C228" s="2143">
        <f t="shared" si="57"/>
        <v>0</v>
      </c>
      <c r="D228" s="2144">
        <f t="shared" si="44"/>
        <v>0</v>
      </c>
      <c r="E228" s="2145">
        <f t="shared" si="48"/>
        <v>0</v>
      </c>
      <c r="F228" s="2145">
        <f t="shared" si="49"/>
        <v>0</v>
      </c>
      <c r="G228" s="2145">
        <f t="shared" si="58"/>
        <v>0</v>
      </c>
      <c r="H228" s="2145">
        <f>IF(M227&lt;0.01,0,M227*Adm!$GV$4)</f>
        <v>0</v>
      </c>
      <c r="I228" s="2145">
        <f>IF(M227&lt;0.01,0,Cal!$BO$108*Adm!$GW$4)</f>
        <v>0</v>
      </c>
      <c r="J228" s="2145">
        <f>IF(M227&lt;0.01,0,IF(Adm!$GO$4&gt;0,E228*Adm!$GO$4,0))</f>
        <v>0</v>
      </c>
      <c r="K228" s="2145">
        <f t="shared" si="50"/>
        <v>0</v>
      </c>
      <c r="L228" s="2145">
        <f>IF(Adm!$GJ$4="si",MIN(M227+E228+H228+I228-K228,AB228),0)</f>
        <v>0</v>
      </c>
      <c r="M228" s="2145">
        <f t="shared" si="51"/>
        <v>0</v>
      </c>
      <c r="N228" s="2153"/>
      <c r="U228" s="1352">
        <f t="shared" si="52"/>
        <v>2</v>
      </c>
      <c r="V228" s="1514">
        <f>IF(U228=1,Cal!$BO$127,0)</f>
        <v>0</v>
      </c>
      <c r="W228" s="1517">
        <f>IF(U228=1,Adm!$HI$4,0)</f>
        <v>0</v>
      </c>
      <c r="X228" s="1518"/>
      <c r="Y228" s="1518"/>
      <c r="Z228" s="1518"/>
      <c r="AA228" s="1368">
        <f t="shared" si="59"/>
        <v>0</v>
      </c>
      <c r="AB228" s="1369">
        <f t="shared" ca="1" si="53"/>
        <v>0</v>
      </c>
      <c r="AF228" s="1370">
        <f t="shared" si="60"/>
        <v>0</v>
      </c>
      <c r="AG228" s="1373">
        <f t="shared" si="61"/>
        <v>0</v>
      </c>
      <c r="AH228" s="1371">
        <f t="shared" si="62"/>
        <v>0</v>
      </c>
      <c r="AI228" s="1359">
        <f>HLOOKUP($AI$66,anticipadofree,159,0)</f>
        <v>-8.4490555555555551E-4</v>
      </c>
      <c r="AK228" s="1360">
        <f t="shared" si="54"/>
        <v>-8.4490555555555551E-4</v>
      </c>
      <c r="AL228" s="1361">
        <f t="shared" si="65"/>
        <v>158</v>
      </c>
      <c r="AM228" s="1191">
        <f t="shared" si="63"/>
        <v>0.01</v>
      </c>
      <c r="AN228" s="1362">
        <f t="shared" si="55"/>
        <v>921.69655756941984</v>
      </c>
      <c r="AO228" s="1362">
        <f t="shared" si="47"/>
        <v>-921.69655756941984</v>
      </c>
      <c r="AP228" s="1362">
        <f t="shared" si="64"/>
        <v>0</v>
      </c>
      <c r="AQ228" s="1363">
        <f t="shared" si="56"/>
        <v>1091808.7803374499</v>
      </c>
    </row>
    <row r="229" spans="1:43">
      <c r="A229" s="1118">
        <f t="shared" ca="1" si="45"/>
        <v>6</v>
      </c>
      <c r="B229" s="1351">
        <f t="shared" si="46"/>
        <v>0</v>
      </c>
      <c r="C229" s="2143">
        <f t="shared" si="57"/>
        <v>0</v>
      </c>
      <c r="D229" s="2144">
        <f t="shared" si="44"/>
        <v>0</v>
      </c>
      <c r="E229" s="2145">
        <f t="shared" si="48"/>
        <v>0</v>
      </c>
      <c r="F229" s="2145">
        <f t="shared" si="49"/>
        <v>0</v>
      </c>
      <c r="G229" s="2145">
        <f t="shared" si="58"/>
        <v>0</v>
      </c>
      <c r="H229" s="2145">
        <f>IF(M228&lt;0.01,0,M228*Adm!$GV$4)</f>
        <v>0</v>
      </c>
      <c r="I229" s="2145">
        <f>IF(M228&lt;0.01,0,Cal!$BO$108*Adm!$GW$4)</f>
        <v>0</v>
      </c>
      <c r="J229" s="2145">
        <f>IF(M228&lt;0.01,0,IF(Adm!$GO$4&gt;0,E229*Adm!$GO$4,0))</f>
        <v>0</v>
      </c>
      <c r="K229" s="2145">
        <f t="shared" si="50"/>
        <v>0</v>
      </c>
      <c r="L229" s="2145">
        <f>IF(Adm!$GJ$4="si",MIN(M228+E229+H229+I229-K229,AB229),0)</f>
        <v>0</v>
      </c>
      <c r="M229" s="2145">
        <f t="shared" si="51"/>
        <v>0</v>
      </c>
      <c r="N229" s="2153"/>
      <c r="U229" s="1352">
        <f t="shared" si="52"/>
        <v>3</v>
      </c>
      <c r="V229" s="1514">
        <f>IF(U229=1,Cal!$BO$127,0)</f>
        <v>0</v>
      </c>
      <c r="W229" s="1517">
        <f>IF(U229=1,Adm!$HI$4,0)</f>
        <v>0</v>
      </c>
      <c r="X229" s="1518"/>
      <c r="Y229" s="1518"/>
      <c r="Z229" s="1518"/>
      <c r="AA229" s="1368">
        <f t="shared" si="59"/>
        <v>0</v>
      </c>
      <c r="AB229" s="1369">
        <f t="shared" ca="1" si="53"/>
        <v>0</v>
      </c>
      <c r="AF229" s="1370">
        <f t="shared" si="60"/>
        <v>0</v>
      </c>
      <c r="AG229" s="1373">
        <f t="shared" si="61"/>
        <v>0</v>
      </c>
      <c r="AH229" s="1371">
        <f t="shared" si="62"/>
        <v>0</v>
      </c>
      <c r="AI229" s="1359">
        <f>HLOOKUP($AI$66,anticipadofree,160,0)</f>
        <v>-8.4490555555555551E-4</v>
      </c>
      <c r="AK229" s="1360">
        <f t="shared" si="54"/>
        <v>-8.4490555555555551E-4</v>
      </c>
      <c r="AL229" s="1361">
        <f t="shared" si="65"/>
        <v>159</v>
      </c>
      <c r="AM229" s="1191">
        <f t="shared" si="63"/>
        <v>0.01</v>
      </c>
      <c r="AN229" s="1362">
        <f t="shared" si="55"/>
        <v>922.47530411144658</v>
      </c>
      <c r="AO229" s="1362">
        <f t="shared" si="47"/>
        <v>-922.47530411144658</v>
      </c>
      <c r="AP229" s="1362">
        <f t="shared" si="64"/>
        <v>0</v>
      </c>
      <c r="AQ229" s="1363">
        <f t="shared" si="56"/>
        <v>1092731.2556415612</v>
      </c>
    </row>
    <row r="230" spans="1:43">
      <c r="A230" s="1118">
        <f t="shared" ca="1" si="45"/>
        <v>7</v>
      </c>
      <c r="B230" s="1351">
        <f t="shared" si="46"/>
        <v>0</v>
      </c>
      <c r="C230" s="2143">
        <f t="shared" si="57"/>
        <v>0</v>
      </c>
      <c r="D230" s="2144">
        <f t="shared" si="44"/>
        <v>0</v>
      </c>
      <c r="E230" s="2145">
        <f t="shared" si="48"/>
        <v>0</v>
      </c>
      <c r="F230" s="2145">
        <f t="shared" si="49"/>
        <v>0</v>
      </c>
      <c r="G230" s="2145">
        <f t="shared" si="58"/>
        <v>0</v>
      </c>
      <c r="H230" s="2145">
        <f>IF(M229&lt;0.01,0,M229*Adm!$GV$4)</f>
        <v>0</v>
      </c>
      <c r="I230" s="2145">
        <f>IF(M229&lt;0.01,0,Cal!$BO$108*Adm!$GW$4)</f>
        <v>0</v>
      </c>
      <c r="J230" s="2145">
        <f>IF(M229&lt;0.01,0,IF(Adm!$GO$4&gt;0,E230*Adm!$GO$4,0))</f>
        <v>0</v>
      </c>
      <c r="K230" s="2145">
        <f t="shared" si="50"/>
        <v>0</v>
      </c>
      <c r="L230" s="2145">
        <f>IF(Adm!$GJ$4="si",MIN(M229+E230+H230+I230-K230,AB230),0)</f>
        <v>0</v>
      </c>
      <c r="M230" s="2145">
        <f t="shared" si="51"/>
        <v>0</v>
      </c>
      <c r="N230" s="2153"/>
      <c r="U230" s="1352">
        <f t="shared" si="52"/>
        <v>4</v>
      </c>
      <c r="V230" s="1514">
        <f>IF(U230=1,Cal!$BO$127,0)</f>
        <v>0</v>
      </c>
      <c r="W230" s="1517">
        <f>IF(U230=1,Adm!$HI$4,0)</f>
        <v>0</v>
      </c>
      <c r="X230" s="1518"/>
      <c r="Y230" s="1518"/>
      <c r="Z230" s="1518"/>
      <c r="AA230" s="1368">
        <f t="shared" si="59"/>
        <v>0</v>
      </c>
      <c r="AB230" s="1369">
        <f t="shared" ca="1" si="53"/>
        <v>0</v>
      </c>
      <c r="AF230" s="1370">
        <f t="shared" si="60"/>
        <v>0</v>
      </c>
      <c r="AG230" s="1373">
        <f t="shared" si="61"/>
        <v>0</v>
      </c>
      <c r="AH230" s="1371">
        <f t="shared" si="62"/>
        <v>0</v>
      </c>
      <c r="AI230" s="1359">
        <f>HLOOKUP($AI$66,anticipadofree,161,0)</f>
        <v>-8.4490555555555551E-4</v>
      </c>
      <c r="AK230" s="1360">
        <f t="shared" si="54"/>
        <v>-8.4490555555555551E-4</v>
      </c>
      <c r="AL230" s="1361">
        <f t="shared" si="65"/>
        <v>160</v>
      </c>
      <c r="AM230" s="1191">
        <f t="shared" si="63"/>
        <v>0.01</v>
      </c>
      <c r="AN230" s="1362">
        <f t="shared" si="55"/>
        <v>923.25470862075304</v>
      </c>
      <c r="AO230" s="1362">
        <f t="shared" si="47"/>
        <v>-923.25470862075304</v>
      </c>
      <c r="AP230" s="1362">
        <f t="shared" si="64"/>
        <v>0</v>
      </c>
      <c r="AQ230" s="1363">
        <f t="shared" si="56"/>
        <v>1093654.510350182</v>
      </c>
    </row>
    <row r="231" spans="1:43">
      <c r="A231" s="1118">
        <f t="shared" ca="1" si="45"/>
        <v>8</v>
      </c>
      <c r="B231" s="1351">
        <f t="shared" si="46"/>
        <v>0</v>
      </c>
      <c r="C231" s="2143">
        <f t="shared" si="57"/>
        <v>0</v>
      </c>
      <c r="D231" s="2144">
        <f t="shared" si="44"/>
        <v>0</v>
      </c>
      <c r="E231" s="2145">
        <f t="shared" si="48"/>
        <v>0</v>
      </c>
      <c r="F231" s="2145">
        <f t="shared" si="49"/>
        <v>0</v>
      </c>
      <c r="G231" s="2145">
        <f t="shared" si="58"/>
        <v>0</v>
      </c>
      <c r="H231" s="2145">
        <f>IF(M230&lt;0.01,0,M230*Adm!$GV$4)</f>
        <v>0</v>
      </c>
      <c r="I231" s="2145">
        <f>IF(M230&lt;0.01,0,Cal!$BO$108*Adm!$GW$4)</f>
        <v>0</v>
      </c>
      <c r="J231" s="2145">
        <f>IF(M230&lt;0.01,0,IF(Adm!$GO$4&gt;0,E231*Adm!$GO$4,0))</f>
        <v>0</v>
      </c>
      <c r="K231" s="2145">
        <f t="shared" si="50"/>
        <v>0</v>
      </c>
      <c r="L231" s="2145">
        <f>IF(Adm!$GJ$4="si",MIN(M230+E231+H231+I231-K231,AB231),0)</f>
        <v>0</v>
      </c>
      <c r="M231" s="2145">
        <f t="shared" si="51"/>
        <v>0</v>
      </c>
      <c r="N231" s="2153"/>
      <c r="U231" s="1352">
        <f t="shared" si="52"/>
        <v>5</v>
      </c>
      <c r="V231" s="1514">
        <f>IF(U231=1,Cal!$BO$127,0)</f>
        <v>0</v>
      </c>
      <c r="W231" s="1517">
        <f>IF(U231=1,Adm!$HI$4,0)</f>
        <v>0</v>
      </c>
      <c r="X231" s="1518"/>
      <c r="Y231" s="1518"/>
      <c r="Z231" s="1518"/>
      <c r="AA231" s="1368">
        <f t="shared" si="59"/>
        <v>0</v>
      </c>
      <c r="AB231" s="1369">
        <f t="shared" ca="1" si="53"/>
        <v>0</v>
      </c>
      <c r="AF231" s="1370">
        <f t="shared" si="60"/>
        <v>0</v>
      </c>
      <c r="AG231" s="1373">
        <f t="shared" si="61"/>
        <v>0</v>
      </c>
      <c r="AH231" s="1371">
        <f t="shared" si="62"/>
        <v>0</v>
      </c>
      <c r="AI231" s="1359">
        <f>HLOOKUP($AI$66,anticipadofree,162,0)</f>
        <v>-8.4490555555555551E-4</v>
      </c>
      <c r="AK231" s="1360">
        <f t="shared" si="54"/>
        <v>-8.4490555555555551E-4</v>
      </c>
      <c r="AL231" s="1361">
        <f t="shared" si="65"/>
        <v>161</v>
      </c>
      <c r="AM231" s="1191">
        <f t="shared" si="63"/>
        <v>0.01</v>
      </c>
      <c r="AN231" s="1362">
        <f t="shared" si="55"/>
        <v>924.03477165325955</v>
      </c>
      <c r="AO231" s="1362">
        <f t="shared" si="47"/>
        <v>-924.03477165325955</v>
      </c>
      <c r="AP231" s="1362">
        <f t="shared" si="64"/>
        <v>0</v>
      </c>
      <c r="AQ231" s="1363">
        <f t="shared" si="56"/>
        <v>1094578.5451218353</v>
      </c>
    </row>
    <row r="232" spans="1:43">
      <c r="A232" s="1118">
        <f t="shared" ca="1" si="45"/>
        <v>9</v>
      </c>
      <c r="B232" s="1351">
        <f t="shared" si="46"/>
        <v>0</v>
      </c>
      <c r="C232" s="2143">
        <f t="shared" si="57"/>
        <v>0</v>
      </c>
      <c r="D232" s="2144">
        <f t="shared" si="44"/>
        <v>0</v>
      </c>
      <c r="E232" s="2145">
        <f t="shared" si="48"/>
        <v>0</v>
      </c>
      <c r="F232" s="2145">
        <f t="shared" si="49"/>
        <v>0</v>
      </c>
      <c r="G232" s="2145">
        <f t="shared" si="58"/>
        <v>0</v>
      </c>
      <c r="H232" s="2145">
        <f>IF(M231&lt;0.01,0,M231*Adm!$GV$4)</f>
        <v>0</v>
      </c>
      <c r="I232" s="2145">
        <f>IF(M231&lt;0.01,0,Cal!$BO$108*Adm!$GW$4)</f>
        <v>0</v>
      </c>
      <c r="J232" s="2145">
        <f>IF(M231&lt;0.01,0,IF(Adm!$GO$4&gt;0,E232*Adm!$GO$4,0))</f>
        <v>0</v>
      </c>
      <c r="K232" s="2145">
        <f t="shared" si="50"/>
        <v>0</v>
      </c>
      <c r="L232" s="2145">
        <f>IF(Adm!$GJ$4="si",MIN(M231+E232+H232+I232-K232,AB232),0)</f>
        <v>0</v>
      </c>
      <c r="M232" s="2145">
        <f t="shared" si="51"/>
        <v>0</v>
      </c>
      <c r="N232" s="2153"/>
      <c r="U232" s="1352">
        <f t="shared" si="52"/>
        <v>6</v>
      </c>
      <c r="V232" s="1514">
        <f>IF(U232=1,Cal!$BO$127,0)</f>
        <v>0</v>
      </c>
      <c r="W232" s="1517">
        <f>IF(U232=1,Adm!$HI$4,0)</f>
        <v>0</v>
      </c>
      <c r="X232" s="1518"/>
      <c r="Y232" s="1518"/>
      <c r="Z232" s="1518"/>
      <c r="AA232" s="1368">
        <f t="shared" si="59"/>
        <v>0</v>
      </c>
      <c r="AB232" s="1369">
        <f t="shared" ca="1" si="53"/>
        <v>0</v>
      </c>
      <c r="AF232" s="1370">
        <f t="shared" si="60"/>
        <v>0</v>
      </c>
      <c r="AG232" s="1373">
        <f t="shared" si="61"/>
        <v>0</v>
      </c>
      <c r="AH232" s="1371">
        <f t="shared" si="62"/>
        <v>0</v>
      </c>
      <c r="AI232" s="1359">
        <f>HLOOKUP($AI$66,anticipadofree,163,0)</f>
        <v>-8.4490555555555551E-4</v>
      </c>
      <c r="AK232" s="1360">
        <f t="shared" si="54"/>
        <v>-8.4490555555555551E-4</v>
      </c>
      <c r="AL232" s="1361">
        <f t="shared" si="65"/>
        <v>162</v>
      </c>
      <c r="AM232" s="1191">
        <f t="shared" si="63"/>
        <v>0.01</v>
      </c>
      <c r="AN232" s="1362">
        <f t="shared" si="55"/>
        <v>924.815493765356</v>
      </c>
      <c r="AO232" s="1362">
        <f t="shared" si="47"/>
        <v>-924.815493765356</v>
      </c>
      <c r="AP232" s="1362">
        <f t="shared" si="64"/>
        <v>0</v>
      </c>
      <c r="AQ232" s="1363">
        <f t="shared" si="56"/>
        <v>1095503.3606156006</v>
      </c>
    </row>
    <row r="233" spans="1:43">
      <c r="A233" s="1118">
        <f t="shared" ca="1" si="45"/>
        <v>10</v>
      </c>
      <c r="B233" s="1351">
        <f t="shared" si="46"/>
        <v>0</v>
      </c>
      <c r="C233" s="2143">
        <f t="shared" si="57"/>
        <v>0</v>
      </c>
      <c r="D233" s="2144">
        <f t="shared" si="44"/>
        <v>0</v>
      </c>
      <c r="E233" s="2145">
        <f t="shared" si="48"/>
        <v>0</v>
      </c>
      <c r="F233" s="2145">
        <f t="shared" si="49"/>
        <v>0</v>
      </c>
      <c r="G233" s="2145">
        <f t="shared" si="58"/>
        <v>0</v>
      </c>
      <c r="H233" s="2145">
        <f>IF(M232&lt;0.01,0,M232*Adm!$GV$4)</f>
        <v>0</v>
      </c>
      <c r="I233" s="2145">
        <f>IF(M232&lt;0.01,0,Cal!$BO$108*Adm!$GW$4)</f>
        <v>0</v>
      </c>
      <c r="J233" s="2145">
        <f>IF(M232&lt;0.01,0,IF(Adm!$GO$4&gt;0,E233*Adm!$GO$4,0))</f>
        <v>0</v>
      </c>
      <c r="K233" s="2145">
        <f t="shared" si="50"/>
        <v>0</v>
      </c>
      <c r="L233" s="2145">
        <f>IF(Adm!$GJ$4="si",MIN(M232+E233+H233+I233-K233,AB233),0)</f>
        <v>0</v>
      </c>
      <c r="M233" s="2145">
        <f t="shared" si="51"/>
        <v>0</v>
      </c>
      <c r="N233" s="2153"/>
      <c r="U233" s="1352">
        <f t="shared" si="52"/>
        <v>7</v>
      </c>
      <c r="V233" s="1514">
        <f>IF(U233=1,Cal!$BO$127,0)</f>
        <v>0</v>
      </c>
      <c r="W233" s="1517">
        <f>IF(U233=1,Adm!$HI$4,0)</f>
        <v>0</v>
      </c>
      <c r="X233" s="1518"/>
      <c r="Y233" s="1518"/>
      <c r="Z233" s="1518"/>
      <c r="AA233" s="1368">
        <f t="shared" si="59"/>
        <v>0</v>
      </c>
      <c r="AB233" s="1369">
        <f t="shared" ca="1" si="53"/>
        <v>0</v>
      </c>
      <c r="AF233" s="1370">
        <f t="shared" si="60"/>
        <v>0</v>
      </c>
      <c r="AG233" s="1373">
        <f t="shared" si="61"/>
        <v>0</v>
      </c>
      <c r="AH233" s="1371">
        <f t="shared" si="62"/>
        <v>0</v>
      </c>
      <c r="AI233" s="1359">
        <f>HLOOKUP($AI$66,anticipadofree,164,0)</f>
        <v>-8.4490555555555562E-4</v>
      </c>
      <c r="AK233" s="1360">
        <f t="shared" si="54"/>
        <v>-8.4490555555555562E-4</v>
      </c>
      <c r="AL233" s="1361">
        <f t="shared" si="65"/>
        <v>163</v>
      </c>
      <c r="AM233" s="1191">
        <f t="shared" si="63"/>
        <v>0.01</v>
      </c>
      <c r="AN233" s="1362">
        <f t="shared" si="55"/>
        <v>925.59687551390221</v>
      </c>
      <c r="AO233" s="1362">
        <f t="shared" si="47"/>
        <v>-925.59687551390221</v>
      </c>
      <c r="AP233" s="1362">
        <f t="shared" si="64"/>
        <v>0</v>
      </c>
      <c r="AQ233" s="1363">
        <f t="shared" si="56"/>
        <v>1096428.9574911145</v>
      </c>
    </row>
    <row r="234" spans="1:43">
      <c r="A234" s="1118">
        <f t="shared" ca="1" si="45"/>
        <v>11</v>
      </c>
      <c r="B234" s="1351">
        <f t="shared" si="46"/>
        <v>0</v>
      </c>
      <c r="C234" s="2143">
        <f t="shared" si="57"/>
        <v>0</v>
      </c>
      <c r="D234" s="2144">
        <f t="shared" si="44"/>
        <v>0</v>
      </c>
      <c r="E234" s="2145">
        <f t="shared" si="48"/>
        <v>0</v>
      </c>
      <c r="F234" s="2145">
        <f t="shared" si="49"/>
        <v>0</v>
      </c>
      <c r="G234" s="2145">
        <f t="shared" si="58"/>
        <v>0</v>
      </c>
      <c r="H234" s="2145">
        <f>IF(M233&lt;0.01,0,M233*Adm!$GV$4)</f>
        <v>0</v>
      </c>
      <c r="I234" s="2145">
        <f>IF(M233&lt;0.01,0,Cal!$BO$108*Adm!$GW$4)</f>
        <v>0</v>
      </c>
      <c r="J234" s="2145">
        <f>IF(M233&lt;0.01,0,IF(Adm!$GO$4&gt;0,E234*Adm!$GO$4,0))</f>
        <v>0</v>
      </c>
      <c r="K234" s="2145">
        <f t="shared" si="50"/>
        <v>0</v>
      </c>
      <c r="L234" s="2145">
        <f>IF(Adm!$GJ$4="si",MIN(M233+E234+H234+I234-K234,AB234),0)</f>
        <v>0</v>
      </c>
      <c r="M234" s="2145">
        <f t="shared" si="51"/>
        <v>0</v>
      </c>
      <c r="N234" s="2153"/>
      <c r="U234" s="1352">
        <f t="shared" si="52"/>
        <v>8</v>
      </c>
      <c r="V234" s="1514">
        <f>IF(U234=1,Cal!$BO$127,0)</f>
        <v>0</v>
      </c>
      <c r="W234" s="1517">
        <f>IF(U234=1,Adm!$HI$4,0)</f>
        <v>0</v>
      </c>
      <c r="X234" s="1518"/>
      <c r="Y234" s="1518"/>
      <c r="Z234" s="1518"/>
      <c r="AA234" s="1368">
        <f t="shared" si="59"/>
        <v>0</v>
      </c>
      <c r="AB234" s="1369">
        <f t="shared" ca="1" si="53"/>
        <v>0</v>
      </c>
      <c r="AF234" s="1370">
        <f t="shared" si="60"/>
        <v>0</v>
      </c>
      <c r="AG234" s="1373">
        <f t="shared" si="61"/>
        <v>0</v>
      </c>
      <c r="AH234" s="1371">
        <f t="shared" si="62"/>
        <v>0</v>
      </c>
      <c r="AI234" s="1359">
        <f>HLOOKUP($AI$66,anticipadofree,165,0)</f>
        <v>-8.4490555555555541E-4</v>
      </c>
      <c r="AK234" s="1360">
        <f t="shared" si="54"/>
        <v>-8.4490555555555541E-4</v>
      </c>
      <c r="AL234" s="1361">
        <f t="shared" si="65"/>
        <v>164</v>
      </c>
      <c r="AM234" s="1191">
        <f t="shared" si="63"/>
        <v>0.01</v>
      </c>
      <c r="AN234" s="1362">
        <f t="shared" si="55"/>
        <v>926.37891745622858</v>
      </c>
      <c r="AO234" s="1362">
        <f t="shared" si="47"/>
        <v>-926.37891745622858</v>
      </c>
      <c r="AP234" s="1362">
        <f t="shared" si="64"/>
        <v>0</v>
      </c>
      <c r="AQ234" s="1363">
        <f t="shared" si="56"/>
        <v>1097355.3364085706</v>
      </c>
    </row>
    <row r="235" spans="1:43">
      <c r="A235" s="1118">
        <f t="shared" ca="1" si="45"/>
        <v>12</v>
      </c>
      <c r="B235" s="1351">
        <f t="shared" si="46"/>
        <v>0</v>
      </c>
      <c r="C235" s="2143">
        <f t="shared" si="57"/>
        <v>0</v>
      </c>
      <c r="D235" s="2144">
        <f t="shared" ref="D235:D298" si="66">IF(M234&lt;0.01,0,IF(D234=$Y$72,D234,IF(D234-W235&lt;=$Y$72,D234-W235,D234-W235)))</f>
        <v>0</v>
      </c>
      <c r="E235" s="2145">
        <f t="shared" si="48"/>
        <v>0</v>
      </c>
      <c r="F235" s="2145">
        <f t="shared" si="49"/>
        <v>0</v>
      </c>
      <c r="G235" s="2145">
        <f t="shared" si="58"/>
        <v>0</v>
      </c>
      <c r="H235" s="2145">
        <f>IF(M234&lt;0.01,0,M234*Adm!$GV$4)</f>
        <v>0</v>
      </c>
      <c r="I235" s="2145">
        <f>IF(M234&lt;0.01,0,Cal!$BO$108*Adm!$GW$4)</f>
        <v>0</v>
      </c>
      <c r="J235" s="2145">
        <f>IF(M234&lt;0.01,0,IF(Adm!$GO$4&gt;0,E235*Adm!$GO$4,0))</f>
        <v>0</v>
      </c>
      <c r="K235" s="2145">
        <f t="shared" si="50"/>
        <v>0</v>
      </c>
      <c r="L235" s="2145">
        <f>IF(Adm!$GJ$4="si",MIN(M234+E235+H235+I235-K235,AB235),0)</f>
        <v>0</v>
      </c>
      <c r="M235" s="2145">
        <f t="shared" si="51"/>
        <v>0</v>
      </c>
      <c r="N235" s="2153"/>
      <c r="U235" s="1352">
        <f t="shared" si="52"/>
        <v>9</v>
      </c>
      <c r="V235" s="1514">
        <f>IF(U235=1,Cal!$BO$127,0)</f>
        <v>0</v>
      </c>
      <c r="W235" s="1517">
        <f>IF(U235=1,Adm!$HI$4,0)</f>
        <v>0</v>
      </c>
      <c r="X235" s="1518"/>
      <c r="Y235" s="1518"/>
      <c r="Z235" s="1518"/>
      <c r="AA235" s="1368">
        <f t="shared" si="59"/>
        <v>0</v>
      </c>
      <c r="AB235" s="1369">
        <f t="shared" ca="1" si="53"/>
        <v>0</v>
      </c>
      <c r="AF235" s="1370">
        <f t="shared" si="60"/>
        <v>0</v>
      </c>
      <c r="AG235" s="1373">
        <f t="shared" si="61"/>
        <v>0</v>
      </c>
      <c r="AH235" s="1371">
        <f t="shared" si="62"/>
        <v>0</v>
      </c>
      <c r="AI235" s="1359">
        <f>HLOOKUP($AI$66,anticipadofree,166,0)</f>
        <v>-8.4490555555555551E-4</v>
      </c>
      <c r="AK235" s="1360">
        <f t="shared" si="54"/>
        <v>-8.4490555555555551E-4</v>
      </c>
      <c r="AL235" s="1361">
        <f t="shared" si="65"/>
        <v>165</v>
      </c>
      <c r="AM235" s="1191">
        <f t="shared" si="63"/>
        <v>0.01</v>
      </c>
      <c r="AN235" s="1362">
        <f t="shared" si="55"/>
        <v>927.16162015013686</v>
      </c>
      <c r="AO235" s="1362">
        <f t="shared" si="47"/>
        <v>-927.16162015013686</v>
      </c>
      <c r="AP235" s="1362">
        <f t="shared" si="64"/>
        <v>0</v>
      </c>
      <c r="AQ235" s="1363">
        <f t="shared" si="56"/>
        <v>1098282.4980287207</v>
      </c>
    </row>
    <row r="236" spans="1:43">
      <c r="A236" s="1118">
        <f t="shared" ca="1" si="45"/>
        <v>1</v>
      </c>
      <c r="B236" s="1351">
        <f t="shared" si="46"/>
        <v>0</v>
      </c>
      <c r="C236" s="2143">
        <f t="shared" si="57"/>
        <v>0</v>
      </c>
      <c r="D236" s="2144">
        <f t="shared" si="66"/>
        <v>0</v>
      </c>
      <c r="E236" s="2145">
        <f t="shared" si="48"/>
        <v>0</v>
      </c>
      <c r="F236" s="2145">
        <f t="shared" si="49"/>
        <v>0</v>
      </c>
      <c r="G236" s="2145">
        <f t="shared" si="58"/>
        <v>0</v>
      </c>
      <c r="H236" s="2145">
        <f>IF(M235&lt;0.01,0,M235*Adm!$GV$4)</f>
        <v>0</v>
      </c>
      <c r="I236" s="2145">
        <f>IF(M235&lt;0.01,0,Cal!$BO$108*Adm!$GW$4)</f>
        <v>0</v>
      </c>
      <c r="J236" s="2145">
        <f>IF(M235&lt;0.01,0,IF(Adm!$GO$4&gt;0,E236*Adm!$GO$4,0))</f>
        <v>0</v>
      </c>
      <c r="K236" s="2145">
        <f t="shared" si="50"/>
        <v>0</v>
      </c>
      <c r="L236" s="2145">
        <f>IF(Adm!$GJ$4="si",MIN(M235+E236+H236+I236-K236,AB236),0)</f>
        <v>0</v>
      </c>
      <c r="M236" s="2145">
        <f t="shared" si="51"/>
        <v>0</v>
      </c>
      <c r="N236" s="2153"/>
      <c r="U236" s="1352">
        <f t="shared" si="52"/>
        <v>10</v>
      </c>
      <c r="V236" s="1514">
        <f>IF(U236=1,Cal!$BO$127,0)</f>
        <v>0</v>
      </c>
      <c r="W236" s="1517">
        <f>IF(U236=1,Adm!$HI$4,0)</f>
        <v>0</v>
      </c>
      <c r="X236" s="1518"/>
      <c r="Y236" s="1518"/>
      <c r="Z236" s="1518"/>
      <c r="AA236" s="1368">
        <f t="shared" si="59"/>
        <v>0</v>
      </c>
      <c r="AB236" s="1369">
        <f t="shared" ca="1" si="53"/>
        <v>0</v>
      </c>
      <c r="AF236" s="1370">
        <f t="shared" si="60"/>
        <v>0</v>
      </c>
      <c r="AG236" s="1373">
        <f t="shared" si="61"/>
        <v>0</v>
      </c>
      <c r="AH236" s="1371">
        <f t="shared" si="62"/>
        <v>0</v>
      </c>
      <c r="AI236" s="1359">
        <f>HLOOKUP($AI$66,anticipadofree,167,0)</f>
        <v>-8.4490555555555551E-4</v>
      </c>
      <c r="AK236" s="1360">
        <f t="shared" si="54"/>
        <v>-8.4490555555555551E-4</v>
      </c>
      <c r="AL236" s="1361">
        <f t="shared" si="65"/>
        <v>166</v>
      </c>
      <c r="AM236" s="1191">
        <f t="shared" si="63"/>
        <v>0.01</v>
      </c>
      <c r="AN236" s="1362">
        <f t="shared" si="55"/>
        <v>927.94498415389955</v>
      </c>
      <c r="AO236" s="1362">
        <f t="shared" si="47"/>
        <v>-927.94498415389955</v>
      </c>
      <c r="AP236" s="1362">
        <f t="shared" si="64"/>
        <v>0</v>
      </c>
      <c r="AQ236" s="1363">
        <f t="shared" si="56"/>
        <v>1099210.4430128746</v>
      </c>
    </row>
    <row r="237" spans="1:43">
      <c r="A237" s="1118">
        <f t="shared" ca="1" si="45"/>
        <v>2</v>
      </c>
      <c r="B237" s="1351">
        <f t="shared" si="46"/>
        <v>0</v>
      </c>
      <c r="C237" s="2143">
        <f t="shared" si="57"/>
        <v>0</v>
      </c>
      <c r="D237" s="2144">
        <f t="shared" si="66"/>
        <v>0</v>
      </c>
      <c r="E237" s="2145">
        <f t="shared" si="48"/>
        <v>0</v>
      </c>
      <c r="F237" s="2145">
        <f t="shared" si="49"/>
        <v>0</v>
      </c>
      <c r="G237" s="2145">
        <f t="shared" si="58"/>
        <v>0</v>
      </c>
      <c r="H237" s="2145">
        <f>IF(M236&lt;0.01,0,M236*Adm!$GV$4)</f>
        <v>0</v>
      </c>
      <c r="I237" s="2145">
        <f>IF(M236&lt;0.01,0,Cal!$BO$108*Adm!$GW$4)</f>
        <v>0</v>
      </c>
      <c r="J237" s="2145">
        <f>IF(M236&lt;0.01,0,IF(Adm!$GO$4&gt;0,E237*Adm!$GO$4,0))</f>
        <v>0</v>
      </c>
      <c r="K237" s="2145">
        <f t="shared" si="50"/>
        <v>0</v>
      </c>
      <c r="L237" s="2145">
        <f>IF(Adm!$GJ$4="si",MIN(M236+E237+H237+I237-K237,AB237),0)</f>
        <v>0</v>
      </c>
      <c r="M237" s="2145">
        <f t="shared" si="51"/>
        <v>0</v>
      </c>
      <c r="N237" s="2153"/>
      <c r="U237" s="1352">
        <f t="shared" si="52"/>
        <v>11</v>
      </c>
      <c r="V237" s="1514">
        <f>IF(U237=1,Cal!$BO$127,0)</f>
        <v>0</v>
      </c>
      <c r="W237" s="1517">
        <f>IF(U237=1,Adm!$HI$4,0)</f>
        <v>0</v>
      </c>
      <c r="X237" s="1518"/>
      <c r="Y237" s="1518"/>
      <c r="Z237" s="1518"/>
      <c r="AA237" s="1368">
        <f t="shared" si="59"/>
        <v>0</v>
      </c>
      <c r="AB237" s="1369">
        <f t="shared" ca="1" si="53"/>
        <v>0</v>
      </c>
      <c r="AF237" s="1370">
        <f t="shared" si="60"/>
        <v>0</v>
      </c>
      <c r="AG237" s="1373">
        <f t="shared" si="61"/>
        <v>0</v>
      </c>
      <c r="AH237" s="1371">
        <f t="shared" si="62"/>
        <v>0</v>
      </c>
      <c r="AI237" s="1359">
        <f>HLOOKUP($AI$66,anticipadofree,168,0)</f>
        <v>-8.4490555555555541E-4</v>
      </c>
      <c r="AK237" s="1360">
        <f t="shared" si="54"/>
        <v>-8.4490555555555541E-4</v>
      </c>
      <c r="AL237" s="1361">
        <f t="shared" si="65"/>
        <v>167</v>
      </c>
      <c r="AM237" s="1191">
        <f t="shared" si="63"/>
        <v>0.01</v>
      </c>
      <c r="AN237" s="1362">
        <f t="shared" si="55"/>
        <v>928.72901002626099</v>
      </c>
      <c r="AO237" s="1362">
        <f t="shared" si="47"/>
        <v>-928.72901002626099</v>
      </c>
      <c r="AP237" s="1362">
        <f t="shared" si="64"/>
        <v>0</v>
      </c>
      <c r="AQ237" s="1363">
        <f t="shared" si="56"/>
        <v>1100139.1720229008</v>
      </c>
    </row>
    <row r="238" spans="1:43">
      <c r="A238" s="1118">
        <f t="shared" ca="1" si="45"/>
        <v>3</v>
      </c>
      <c r="B238" s="1351">
        <f t="shared" si="46"/>
        <v>0</v>
      </c>
      <c r="C238" s="2143">
        <f t="shared" si="57"/>
        <v>0</v>
      </c>
      <c r="D238" s="2144">
        <f t="shared" si="66"/>
        <v>0</v>
      </c>
      <c r="E238" s="2145">
        <f t="shared" si="48"/>
        <v>0</v>
      </c>
      <c r="F238" s="2145">
        <f t="shared" si="49"/>
        <v>0</v>
      </c>
      <c r="G238" s="2145">
        <f t="shared" si="58"/>
        <v>0</v>
      </c>
      <c r="H238" s="2145">
        <f>IF(M237&lt;0.01,0,M237*Adm!$GV$4)</f>
        <v>0</v>
      </c>
      <c r="I238" s="2145">
        <f>IF(M237&lt;0.01,0,Cal!$BO$108*Adm!$GW$4)</f>
        <v>0</v>
      </c>
      <c r="J238" s="2145">
        <f>IF(M237&lt;0.01,0,IF(Adm!$GO$4&gt;0,E238*Adm!$GO$4,0))</f>
        <v>0</v>
      </c>
      <c r="K238" s="2145">
        <f t="shared" si="50"/>
        <v>0</v>
      </c>
      <c r="L238" s="2145">
        <f>IF(Adm!$GJ$4="si",MIN(M237+E238+H238+I238-K238,AB238),0)</f>
        <v>0</v>
      </c>
      <c r="M238" s="2145">
        <f t="shared" si="51"/>
        <v>0</v>
      </c>
      <c r="N238" s="2153"/>
      <c r="U238" s="1352">
        <f t="shared" si="52"/>
        <v>12</v>
      </c>
      <c r="V238" s="1514">
        <f>IF(U238=1,Cal!$BO$127,0)</f>
        <v>0</v>
      </c>
      <c r="W238" s="1517">
        <f>IF(U238=1,Adm!$HI$4,0)</f>
        <v>0</v>
      </c>
      <c r="X238" s="1518"/>
      <c r="Y238" s="1518"/>
      <c r="Z238" s="1518"/>
      <c r="AA238" s="1368">
        <f t="shared" si="59"/>
        <v>0</v>
      </c>
      <c r="AB238" s="1369">
        <f t="shared" ca="1" si="53"/>
        <v>0</v>
      </c>
      <c r="AF238" s="1370">
        <f t="shared" si="60"/>
        <v>0</v>
      </c>
      <c r="AG238" s="1373">
        <f t="shared" si="61"/>
        <v>0</v>
      </c>
      <c r="AH238" s="1371">
        <f t="shared" si="62"/>
        <v>0</v>
      </c>
      <c r="AI238" s="1359">
        <f>HLOOKUP($AI$66,anticipadofree,169,0)</f>
        <v>-8.4490555555555562E-4</v>
      </c>
      <c r="AK238" s="1360">
        <f t="shared" si="54"/>
        <v>-8.4490555555555562E-4</v>
      </c>
      <c r="AL238" s="1361">
        <f t="shared" si="65"/>
        <v>168</v>
      </c>
      <c r="AM238" s="1191">
        <f t="shared" si="63"/>
        <v>0.01</v>
      </c>
      <c r="AN238" s="1362">
        <f t="shared" si="55"/>
        <v>929.51369832643798</v>
      </c>
      <c r="AO238" s="1362">
        <f t="shared" si="47"/>
        <v>-929.51369832643798</v>
      </c>
      <c r="AP238" s="1362">
        <f t="shared" si="64"/>
        <v>0</v>
      </c>
      <c r="AQ238" s="1363">
        <f t="shared" si="56"/>
        <v>1101068.6857212272</v>
      </c>
    </row>
    <row r="239" spans="1:43">
      <c r="A239" s="1118">
        <f t="shared" ca="1" si="45"/>
        <v>4</v>
      </c>
      <c r="B239" s="1351">
        <f t="shared" si="46"/>
        <v>0</v>
      </c>
      <c r="C239" s="2143">
        <f t="shared" si="57"/>
        <v>0</v>
      </c>
      <c r="D239" s="2144">
        <f t="shared" si="66"/>
        <v>0</v>
      </c>
      <c r="E239" s="2145">
        <f t="shared" si="48"/>
        <v>0</v>
      </c>
      <c r="F239" s="2145">
        <f t="shared" si="49"/>
        <v>0</v>
      </c>
      <c r="G239" s="2145">
        <f t="shared" si="58"/>
        <v>0</v>
      </c>
      <c r="H239" s="2145">
        <f>IF(M238&lt;0.01,0,M238*Adm!$GV$4)</f>
        <v>0</v>
      </c>
      <c r="I239" s="2145">
        <f>IF(M238&lt;0.01,0,Cal!$BO$108*Adm!$GW$4)</f>
        <v>0</v>
      </c>
      <c r="J239" s="2145">
        <f>IF(M238&lt;0.01,0,IF(Adm!$GO$4&gt;0,E239*Adm!$GO$4,0))</f>
        <v>0</v>
      </c>
      <c r="K239" s="2145">
        <f t="shared" si="50"/>
        <v>0</v>
      </c>
      <c r="L239" s="2145">
        <f>IF(Adm!$GJ$4="si",MIN(M238+E239+H239+I239-K239,AB239),0)</f>
        <v>0</v>
      </c>
      <c r="M239" s="2145">
        <f t="shared" si="51"/>
        <v>0</v>
      </c>
      <c r="N239" s="2153"/>
      <c r="U239" s="1352">
        <f t="shared" si="52"/>
        <v>1</v>
      </c>
      <c r="V239" s="1514">
        <f>IF(U239=1,Cal!$BO$127,0)</f>
        <v>0</v>
      </c>
      <c r="W239" s="1517">
        <f>IF(U239=1,Adm!$HI$4,0)</f>
        <v>2.5000000000000001E-3</v>
      </c>
      <c r="X239" s="1518"/>
      <c r="Y239" s="1518"/>
      <c r="Z239" s="1518"/>
      <c r="AA239" s="1368">
        <f t="shared" si="59"/>
        <v>0</v>
      </c>
      <c r="AB239" s="1369">
        <f t="shared" ca="1" si="53"/>
        <v>0</v>
      </c>
      <c r="AF239" s="1370">
        <f t="shared" si="60"/>
        <v>0</v>
      </c>
      <c r="AG239" s="1373">
        <f t="shared" si="61"/>
        <v>0</v>
      </c>
      <c r="AH239" s="1371">
        <f t="shared" si="62"/>
        <v>0</v>
      </c>
      <c r="AI239" s="1359">
        <f>HLOOKUP($AI$66,anticipadofree,170,0)</f>
        <v>-8.4490555555555562E-4</v>
      </c>
      <c r="AK239" s="1360">
        <f t="shared" si="54"/>
        <v>-8.4490555555555562E-4</v>
      </c>
      <c r="AL239" s="1377">
        <f t="shared" si="65"/>
        <v>169</v>
      </c>
      <c r="AM239" s="1516">
        <f t="shared" si="63"/>
        <v>0.01</v>
      </c>
      <c r="AN239" s="1378">
        <f t="shared" si="55"/>
        <v>930.29904961411899</v>
      </c>
      <c r="AO239" s="1378">
        <f t="shared" si="47"/>
        <v>-930.29904961411899</v>
      </c>
      <c r="AP239" s="1378">
        <f>MIN(AQ238+AN239,AP238*(1+$AN$66))</f>
        <v>0</v>
      </c>
      <c r="AQ239" s="1363">
        <f t="shared" si="56"/>
        <v>1101998.9847708414</v>
      </c>
    </row>
    <row r="240" spans="1:43">
      <c r="A240" s="1118">
        <f t="shared" ca="1" si="45"/>
        <v>5</v>
      </c>
      <c r="B240" s="1351">
        <f t="shared" si="46"/>
        <v>0</v>
      </c>
      <c r="C240" s="2143">
        <f t="shared" si="57"/>
        <v>0</v>
      </c>
      <c r="D240" s="2144">
        <f t="shared" si="66"/>
        <v>0</v>
      </c>
      <c r="E240" s="2145">
        <f t="shared" si="48"/>
        <v>0</v>
      </c>
      <c r="F240" s="2145">
        <f t="shared" si="49"/>
        <v>0</v>
      </c>
      <c r="G240" s="2145">
        <f t="shared" si="58"/>
        <v>0</v>
      </c>
      <c r="H240" s="2145">
        <f>IF(M239&lt;0.01,0,M239*Adm!$GV$4)</f>
        <v>0</v>
      </c>
      <c r="I240" s="2145">
        <f>IF(M239&lt;0.01,0,Cal!$BO$108*Adm!$GW$4)</f>
        <v>0</v>
      </c>
      <c r="J240" s="2145">
        <f>IF(M239&lt;0.01,0,IF(Adm!$GO$4&gt;0,E240*Adm!$GO$4,0))</f>
        <v>0</v>
      </c>
      <c r="K240" s="2145">
        <f t="shared" si="50"/>
        <v>0</v>
      </c>
      <c r="L240" s="2145">
        <f>IF(Adm!$GJ$4="si",MIN(M239+E240+H240+I240-K240,AB240),0)</f>
        <v>0</v>
      </c>
      <c r="M240" s="2145">
        <f t="shared" si="51"/>
        <v>0</v>
      </c>
      <c r="N240" s="2153"/>
      <c r="U240" s="1352">
        <f t="shared" si="52"/>
        <v>2</v>
      </c>
      <c r="V240" s="1514">
        <f>IF(U240=1,Cal!$BO$127,0)</f>
        <v>0</v>
      </c>
      <c r="W240" s="1517">
        <f>IF(U240=1,Adm!$HI$4,0)</f>
        <v>0</v>
      </c>
      <c r="X240" s="1518"/>
      <c r="Y240" s="1518"/>
      <c r="Z240" s="1518"/>
      <c r="AA240" s="1368">
        <f t="shared" si="59"/>
        <v>0</v>
      </c>
      <c r="AB240" s="1369">
        <f t="shared" ca="1" si="53"/>
        <v>0</v>
      </c>
      <c r="AF240" s="1370">
        <f t="shared" si="60"/>
        <v>0</v>
      </c>
      <c r="AG240" s="1373">
        <f t="shared" si="61"/>
        <v>0</v>
      </c>
      <c r="AH240" s="1371">
        <f t="shared" si="62"/>
        <v>0</v>
      </c>
      <c r="AI240" s="1359">
        <f>HLOOKUP($AI$66,anticipadofree,171,0)</f>
        <v>-8.4490555555555562E-4</v>
      </c>
      <c r="AK240" s="1360">
        <f t="shared" si="54"/>
        <v>-8.4490555555555562E-4</v>
      </c>
      <c r="AL240" s="1361">
        <f t="shared" si="65"/>
        <v>170</v>
      </c>
      <c r="AM240" s="1191">
        <f t="shared" si="63"/>
        <v>0.01</v>
      </c>
      <c r="AN240" s="1362">
        <f t="shared" si="55"/>
        <v>931.08506444946602</v>
      </c>
      <c r="AO240" s="1362">
        <f t="shared" si="47"/>
        <v>-931.08506444946602</v>
      </c>
      <c r="AP240" s="1362">
        <f t="shared" si="64"/>
        <v>0</v>
      </c>
      <c r="AQ240" s="1363">
        <f t="shared" si="56"/>
        <v>1102930.069835291</v>
      </c>
    </row>
    <row r="241" spans="1:43">
      <c r="A241" s="1118">
        <f t="shared" ca="1" si="45"/>
        <v>6</v>
      </c>
      <c r="B241" s="1351">
        <f t="shared" si="46"/>
        <v>0</v>
      </c>
      <c r="C241" s="2143">
        <f t="shared" si="57"/>
        <v>0</v>
      </c>
      <c r="D241" s="2144">
        <f t="shared" si="66"/>
        <v>0</v>
      </c>
      <c r="E241" s="2145">
        <f t="shared" si="48"/>
        <v>0</v>
      </c>
      <c r="F241" s="2145">
        <f t="shared" si="49"/>
        <v>0</v>
      </c>
      <c r="G241" s="2145">
        <f t="shared" si="58"/>
        <v>0</v>
      </c>
      <c r="H241" s="2145">
        <f>IF(M240&lt;0.01,0,M240*Adm!$GV$4)</f>
        <v>0</v>
      </c>
      <c r="I241" s="2145">
        <f>IF(M240&lt;0.01,0,Cal!$BO$108*Adm!$GW$4)</f>
        <v>0</v>
      </c>
      <c r="J241" s="2145">
        <f>IF(M240&lt;0.01,0,IF(Adm!$GO$4&gt;0,E241*Adm!$GO$4,0))</f>
        <v>0</v>
      </c>
      <c r="K241" s="2145">
        <f t="shared" si="50"/>
        <v>0</v>
      </c>
      <c r="L241" s="2145">
        <f>IF(Adm!$GJ$4="si",MIN(M240+E241+H241+I241-K241,AB241),0)</f>
        <v>0</v>
      </c>
      <c r="M241" s="2145">
        <f t="shared" si="51"/>
        <v>0</v>
      </c>
      <c r="N241" s="2153"/>
      <c r="U241" s="1352">
        <f t="shared" si="52"/>
        <v>3</v>
      </c>
      <c r="V241" s="1514">
        <f>IF(U241=1,Cal!$BO$127,0)</f>
        <v>0</v>
      </c>
      <c r="W241" s="1517">
        <f>IF(U241=1,Adm!$HI$4,0)</f>
        <v>0</v>
      </c>
      <c r="X241" s="1518"/>
      <c r="Y241" s="1518"/>
      <c r="Z241" s="1518"/>
      <c r="AA241" s="1368">
        <f t="shared" si="59"/>
        <v>0</v>
      </c>
      <c r="AB241" s="1369">
        <f t="shared" ca="1" si="53"/>
        <v>0</v>
      </c>
      <c r="AF241" s="1370">
        <f t="shared" si="60"/>
        <v>0</v>
      </c>
      <c r="AG241" s="1373">
        <f t="shared" si="61"/>
        <v>0</v>
      </c>
      <c r="AH241" s="1371">
        <f t="shared" si="62"/>
        <v>0</v>
      </c>
      <c r="AI241" s="1359">
        <f>HLOOKUP($AI$66,anticipadofree,172,0)</f>
        <v>-8.4490555555555551E-4</v>
      </c>
      <c r="AK241" s="1360">
        <f t="shared" si="54"/>
        <v>-8.4490555555555551E-4</v>
      </c>
      <c r="AL241" s="1361">
        <f t="shared" si="65"/>
        <v>171</v>
      </c>
      <c r="AM241" s="1191">
        <f t="shared" si="63"/>
        <v>0.01</v>
      </c>
      <c r="AN241" s="1362">
        <f t="shared" si="55"/>
        <v>931.87174339311423</v>
      </c>
      <c r="AO241" s="1362">
        <f t="shared" si="47"/>
        <v>-931.87174339311423</v>
      </c>
      <c r="AP241" s="1362">
        <f t="shared" si="64"/>
        <v>0</v>
      </c>
      <c r="AQ241" s="1363">
        <f t="shared" si="56"/>
        <v>1103861.9415786841</v>
      </c>
    </row>
    <row r="242" spans="1:43">
      <c r="A242" s="1118">
        <f t="shared" ca="1" si="45"/>
        <v>7</v>
      </c>
      <c r="B242" s="1351">
        <f t="shared" si="46"/>
        <v>0</v>
      </c>
      <c r="C242" s="2143">
        <f t="shared" si="57"/>
        <v>0</v>
      </c>
      <c r="D242" s="2144">
        <f t="shared" si="66"/>
        <v>0</v>
      </c>
      <c r="E242" s="2145">
        <f t="shared" si="48"/>
        <v>0</v>
      </c>
      <c r="F242" s="2145">
        <f t="shared" si="49"/>
        <v>0</v>
      </c>
      <c r="G242" s="2145">
        <f t="shared" si="58"/>
        <v>0</v>
      </c>
      <c r="H242" s="2145">
        <f>IF(M241&lt;0.01,0,M241*Adm!$GV$4)</f>
        <v>0</v>
      </c>
      <c r="I242" s="2145">
        <f>IF(M241&lt;0.01,0,Cal!$BO$108*Adm!$GW$4)</f>
        <v>0</v>
      </c>
      <c r="J242" s="2145">
        <f>IF(M241&lt;0.01,0,IF(Adm!$GO$4&gt;0,E242*Adm!$GO$4,0))</f>
        <v>0</v>
      </c>
      <c r="K242" s="2145">
        <f t="shared" si="50"/>
        <v>0</v>
      </c>
      <c r="L242" s="2145">
        <f>IF(Adm!$GJ$4="si",MIN(M241+E242+H242+I242-K242,AB242),0)</f>
        <v>0</v>
      </c>
      <c r="M242" s="2145">
        <f t="shared" si="51"/>
        <v>0</v>
      </c>
      <c r="N242" s="2153"/>
      <c r="U242" s="1352">
        <f t="shared" si="52"/>
        <v>4</v>
      </c>
      <c r="V242" s="1514">
        <f>IF(U242=1,Cal!$BO$127,0)</f>
        <v>0</v>
      </c>
      <c r="W242" s="1517">
        <f>IF(U242=1,Adm!$HI$4,0)</f>
        <v>0</v>
      </c>
      <c r="X242" s="1518"/>
      <c r="Y242" s="1518"/>
      <c r="Z242" s="1518"/>
      <c r="AA242" s="1368">
        <f t="shared" si="59"/>
        <v>0</v>
      </c>
      <c r="AB242" s="1369">
        <f t="shared" ca="1" si="53"/>
        <v>0</v>
      </c>
      <c r="AF242" s="1370">
        <f t="shared" si="60"/>
        <v>0</v>
      </c>
      <c r="AG242" s="1373">
        <f t="shared" si="61"/>
        <v>0</v>
      </c>
      <c r="AH242" s="1371">
        <f t="shared" si="62"/>
        <v>0</v>
      </c>
      <c r="AI242" s="1359">
        <f>HLOOKUP($AI$66,anticipadofree,173,0)</f>
        <v>-8.4490555555555551E-4</v>
      </c>
      <c r="AK242" s="1360">
        <f t="shared" si="54"/>
        <v>-8.4490555555555551E-4</v>
      </c>
      <c r="AL242" s="1361">
        <f t="shared" si="65"/>
        <v>172</v>
      </c>
      <c r="AM242" s="1191">
        <f t="shared" si="63"/>
        <v>0.01</v>
      </c>
      <c r="AN242" s="1362">
        <f t="shared" si="55"/>
        <v>932.65908700617229</v>
      </c>
      <c r="AO242" s="1362">
        <f t="shared" si="47"/>
        <v>-932.65908700617229</v>
      </c>
      <c r="AP242" s="1362">
        <f t="shared" si="64"/>
        <v>0</v>
      </c>
      <c r="AQ242" s="1363">
        <f t="shared" si="56"/>
        <v>1104794.6006656904</v>
      </c>
    </row>
    <row r="243" spans="1:43">
      <c r="A243" s="1118">
        <f t="shared" ca="1" si="45"/>
        <v>8</v>
      </c>
      <c r="B243" s="1351">
        <f t="shared" si="46"/>
        <v>0</v>
      </c>
      <c r="C243" s="2143">
        <f t="shared" si="57"/>
        <v>0</v>
      </c>
      <c r="D243" s="2144">
        <f t="shared" si="66"/>
        <v>0</v>
      </c>
      <c r="E243" s="2145">
        <f t="shared" si="48"/>
        <v>0</v>
      </c>
      <c r="F243" s="2145">
        <f t="shared" si="49"/>
        <v>0</v>
      </c>
      <c r="G243" s="2145">
        <f t="shared" si="58"/>
        <v>0</v>
      </c>
      <c r="H243" s="2145">
        <f>IF(M242&lt;0.01,0,M242*Adm!$GV$4)</f>
        <v>0</v>
      </c>
      <c r="I243" s="2145">
        <f>IF(M242&lt;0.01,0,Cal!$BO$108*Adm!$GW$4)</f>
        <v>0</v>
      </c>
      <c r="J243" s="2145">
        <f>IF(M242&lt;0.01,0,IF(Adm!$GO$4&gt;0,E243*Adm!$GO$4,0))</f>
        <v>0</v>
      </c>
      <c r="K243" s="2145">
        <f t="shared" si="50"/>
        <v>0</v>
      </c>
      <c r="L243" s="2145">
        <f>IF(Adm!$GJ$4="si",MIN(M242+E243+H243+I243-K243,AB243),0)</f>
        <v>0</v>
      </c>
      <c r="M243" s="2145">
        <f t="shared" si="51"/>
        <v>0</v>
      </c>
      <c r="N243" s="2153"/>
      <c r="U243" s="1352">
        <f t="shared" si="52"/>
        <v>5</v>
      </c>
      <c r="V243" s="1514">
        <f>IF(U243=1,Cal!$BO$127,0)</f>
        <v>0</v>
      </c>
      <c r="W243" s="1517">
        <f>IF(U243=1,Adm!$HI$4,0)</f>
        <v>0</v>
      </c>
      <c r="X243" s="1518"/>
      <c r="Y243" s="1518"/>
      <c r="Z243" s="1518"/>
      <c r="AA243" s="1368">
        <f t="shared" si="59"/>
        <v>0</v>
      </c>
      <c r="AB243" s="1369">
        <f t="shared" ca="1" si="53"/>
        <v>0</v>
      </c>
      <c r="AF243" s="1370">
        <f t="shared" si="60"/>
        <v>0</v>
      </c>
      <c r="AG243" s="1373">
        <f t="shared" si="61"/>
        <v>0</v>
      </c>
      <c r="AH243" s="1371">
        <f t="shared" si="62"/>
        <v>0</v>
      </c>
      <c r="AI243" s="1359">
        <f>HLOOKUP($AI$66,anticipadofree,174,0)</f>
        <v>-8.4490555555555551E-4</v>
      </c>
      <c r="AK243" s="1360">
        <f t="shared" si="54"/>
        <v>-8.4490555555555551E-4</v>
      </c>
      <c r="AL243" s="1361">
        <f t="shared" si="65"/>
        <v>173</v>
      </c>
      <c r="AM243" s="1191">
        <f t="shared" si="63"/>
        <v>0.01</v>
      </c>
      <c r="AN243" s="1362">
        <f t="shared" si="55"/>
        <v>933.44709585022326</v>
      </c>
      <c r="AO243" s="1362">
        <f t="shared" si="47"/>
        <v>-933.44709585022326</v>
      </c>
      <c r="AP243" s="1362">
        <f t="shared" si="64"/>
        <v>0</v>
      </c>
      <c r="AQ243" s="1363">
        <f t="shared" si="56"/>
        <v>1105728.0477615406</v>
      </c>
    </row>
    <row r="244" spans="1:43">
      <c r="A244" s="1118">
        <f t="shared" ca="1" si="45"/>
        <v>9</v>
      </c>
      <c r="B244" s="1351">
        <f t="shared" si="46"/>
        <v>0</v>
      </c>
      <c r="C244" s="2143">
        <f t="shared" si="57"/>
        <v>0</v>
      </c>
      <c r="D244" s="2144">
        <f t="shared" si="66"/>
        <v>0</v>
      </c>
      <c r="E244" s="2145">
        <f t="shared" si="48"/>
        <v>0</v>
      </c>
      <c r="F244" s="2145">
        <f t="shared" si="49"/>
        <v>0</v>
      </c>
      <c r="G244" s="2145">
        <f t="shared" si="58"/>
        <v>0</v>
      </c>
      <c r="H244" s="2145">
        <f>IF(M243&lt;0.01,0,M243*Adm!$GV$4)</f>
        <v>0</v>
      </c>
      <c r="I244" s="2145">
        <f>IF(M243&lt;0.01,0,Cal!$BO$108*Adm!$GW$4)</f>
        <v>0</v>
      </c>
      <c r="J244" s="2145">
        <f>IF(M243&lt;0.01,0,IF(Adm!$GO$4&gt;0,E244*Adm!$GO$4,0))</f>
        <v>0</v>
      </c>
      <c r="K244" s="2145">
        <f t="shared" si="50"/>
        <v>0</v>
      </c>
      <c r="L244" s="2145">
        <f>IF(Adm!$GJ$4="si",MIN(M243+E244+H244+I244-K244,AB244),0)</f>
        <v>0</v>
      </c>
      <c r="M244" s="2145">
        <f t="shared" si="51"/>
        <v>0</v>
      </c>
      <c r="N244" s="2153"/>
      <c r="U244" s="1352">
        <f t="shared" si="52"/>
        <v>6</v>
      </c>
      <c r="V244" s="1514">
        <f>IF(U244=1,Cal!$BO$127,0)</f>
        <v>0</v>
      </c>
      <c r="W244" s="1517">
        <f>IF(U244=1,Adm!$HI$4,0)</f>
        <v>0</v>
      </c>
      <c r="X244" s="1518"/>
      <c r="Y244" s="1518"/>
      <c r="Z244" s="1518"/>
      <c r="AA244" s="1368">
        <f t="shared" si="59"/>
        <v>0</v>
      </c>
      <c r="AB244" s="1369">
        <f t="shared" ca="1" si="53"/>
        <v>0</v>
      </c>
      <c r="AF244" s="1370">
        <f t="shared" si="60"/>
        <v>0</v>
      </c>
      <c r="AG244" s="1373">
        <f t="shared" si="61"/>
        <v>0</v>
      </c>
      <c r="AH244" s="1371">
        <f t="shared" si="62"/>
        <v>0</v>
      </c>
      <c r="AI244" s="1359">
        <f>HLOOKUP($AI$66,anticipadofree,175,0)</f>
        <v>-8.4490555555555551E-4</v>
      </c>
      <c r="AK244" s="1360">
        <f t="shared" si="54"/>
        <v>-8.4490555555555551E-4</v>
      </c>
      <c r="AL244" s="1361">
        <f t="shared" si="65"/>
        <v>174</v>
      </c>
      <c r="AM244" s="1191">
        <f t="shared" si="63"/>
        <v>0.01</v>
      </c>
      <c r="AN244" s="1362">
        <f t="shared" si="55"/>
        <v>934.23577048732432</v>
      </c>
      <c r="AO244" s="1362">
        <f t="shared" si="47"/>
        <v>-934.23577048732432</v>
      </c>
      <c r="AP244" s="1362">
        <f t="shared" si="64"/>
        <v>0</v>
      </c>
      <c r="AQ244" s="1363">
        <f t="shared" si="56"/>
        <v>1106662.2835320279</v>
      </c>
    </row>
    <row r="245" spans="1:43">
      <c r="A245" s="1118">
        <f t="shared" ca="1" si="45"/>
        <v>10</v>
      </c>
      <c r="B245" s="1351">
        <f t="shared" si="46"/>
        <v>0</v>
      </c>
      <c r="C245" s="2143">
        <f t="shared" si="57"/>
        <v>0</v>
      </c>
      <c r="D245" s="2144">
        <f t="shared" si="66"/>
        <v>0</v>
      </c>
      <c r="E245" s="2145">
        <f t="shared" si="48"/>
        <v>0</v>
      </c>
      <c r="F245" s="2145">
        <f t="shared" si="49"/>
        <v>0</v>
      </c>
      <c r="G245" s="2145">
        <f t="shared" si="58"/>
        <v>0</v>
      </c>
      <c r="H245" s="2145">
        <f>IF(M244&lt;0.01,0,M244*Adm!$GV$4)</f>
        <v>0</v>
      </c>
      <c r="I245" s="2145">
        <f>IF(M244&lt;0.01,0,Cal!$BO$108*Adm!$GW$4)</f>
        <v>0</v>
      </c>
      <c r="J245" s="2145">
        <f>IF(M244&lt;0.01,0,IF(Adm!$GO$4&gt;0,E245*Adm!$GO$4,0))</f>
        <v>0</v>
      </c>
      <c r="K245" s="2145">
        <f t="shared" si="50"/>
        <v>0</v>
      </c>
      <c r="L245" s="2145">
        <f>IF(Adm!$GJ$4="si",MIN(M244+E245+H245+I245-K245,AB245),0)</f>
        <v>0</v>
      </c>
      <c r="M245" s="2145">
        <f t="shared" si="51"/>
        <v>0</v>
      </c>
      <c r="N245" s="2153"/>
      <c r="U245" s="1352">
        <f t="shared" si="52"/>
        <v>7</v>
      </c>
      <c r="V245" s="1514">
        <f>IF(U245=1,Cal!$BO$127,0)</f>
        <v>0</v>
      </c>
      <c r="W245" s="1517">
        <f>IF(U245=1,Adm!$HI$4,0)</f>
        <v>0</v>
      </c>
      <c r="X245" s="1518"/>
      <c r="Y245" s="1518"/>
      <c r="Z245" s="1518"/>
      <c r="AA245" s="1368">
        <f t="shared" si="59"/>
        <v>0</v>
      </c>
      <c r="AB245" s="1369">
        <f t="shared" ca="1" si="53"/>
        <v>0</v>
      </c>
      <c r="AF245" s="1370">
        <f t="shared" si="60"/>
        <v>0</v>
      </c>
      <c r="AG245" s="1373">
        <f t="shared" si="61"/>
        <v>0</v>
      </c>
      <c r="AH245" s="1371">
        <f t="shared" si="62"/>
        <v>0</v>
      </c>
      <c r="AI245" s="1359">
        <f>HLOOKUP($AI$66,anticipadofree,176,0)</f>
        <v>-8.4490555555555562E-4</v>
      </c>
      <c r="AK245" s="1360">
        <f t="shared" si="54"/>
        <v>-8.4490555555555562E-4</v>
      </c>
      <c r="AL245" s="1361">
        <f t="shared" si="65"/>
        <v>175</v>
      </c>
      <c r="AM245" s="1191">
        <f t="shared" si="63"/>
        <v>0.01</v>
      </c>
      <c r="AN245" s="1362">
        <f t="shared" si="55"/>
        <v>935.02511148000781</v>
      </c>
      <c r="AO245" s="1362">
        <f t="shared" si="47"/>
        <v>-935.02511148000781</v>
      </c>
      <c r="AP245" s="1362">
        <f t="shared" si="64"/>
        <v>0</v>
      </c>
      <c r="AQ245" s="1363">
        <f t="shared" si="56"/>
        <v>1107597.3086435078</v>
      </c>
    </row>
    <row r="246" spans="1:43">
      <c r="A246" s="1118">
        <f t="shared" ca="1" si="45"/>
        <v>11</v>
      </c>
      <c r="B246" s="1351">
        <f t="shared" si="46"/>
        <v>0</v>
      </c>
      <c r="C246" s="2143">
        <f t="shared" si="57"/>
        <v>0</v>
      </c>
      <c r="D246" s="2144">
        <f t="shared" si="66"/>
        <v>0</v>
      </c>
      <c r="E246" s="2145">
        <f t="shared" si="48"/>
        <v>0</v>
      </c>
      <c r="F246" s="2145">
        <f t="shared" si="49"/>
        <v>0</v>
      </c>
      <c r="G246" s="2145">
        <f t="shared" si="58"/>
        <v>0</v>
      </c>
      <c r="H246" s="2145">
        <f>IF(M245&lt;0.01,0,M245*Adm!$GV$4)</f>
        <v>0</v>
      </c>
      <c r="I246" s="2145">
        <f>IF(M245&lt;0.01,0,Cal!$BO$108*Adm!$GW$4)</f>
        <v>0</v>
      </c>
      <c r="J246" s="2145">
        <f>IF(M245&lt;0.01,0,IF(Adm!$GO$4&gt;0,E246*Adm!$GO$4,0))</f>
        <v>0</v>
      </c>
      <c r="K246" s="2145">
        <f t="shared" si="50"/>
        <v>0</v>
      </c>
      <c r="L246" s="2145">
        <f>IF(Adm!$GJ$4="si",MIN(M245+E246+H246+I246-K246,AB246),0)</f>
        <v>0</v>
      </c>
      <c r="M246" s="2145">
        <f t="shared" si="51"/>
        <v>0</v>
      </c>
      <c r="N246" s="2153"/>
      <c r="U246" s="1352">
        <f t="shared" si="52"/>
        <v>8</v>
      </c>
      <c r="V246" s="1514">
        <f>IF(U246=1,Cal!$BO$127,0)</f>
        <v>0</v>
      </c>
      <c r="W246" s="1517">
        <f>IF(U246=1,Adm!$HI$4,0)</f>
        <v>0</v>
      </c>
      <c r="X246" s="1518"/>
      <c r="Y246" s="1518"/>
      <c r="Z246" s="1518"/>
      <c r="AA246" s="1368">
        <f t="shared" si="59"/>
        <v>0</v>
      </c>
      <c r="AB246" s="1369">
        <f t="shared" ca="1" si="53"/>
        <v>0</v>
      </c>
      <c r="AF246" s="1370">
        <f t="shared" si="60"/>
        <v>0</v>
      </c>
      <c r="AG246" s="1373">
        <f t="shared" si="61"/>
        <v>0</v>
      </c>
      <c r="AH246" s="1371">
        <f t="shared" si="62"/>
        <v>0</v>
      </c>
      <c r="AI246" s="1359">
        <f>HLOOKUP($AI$66,anticipadofree,177,0)</f>
        <v>-8.4490555555555562E-4</v>
      </c>
      <c r="AK246" s="1360">
        <f t="shared" si="54"/>
        <v>-8.4490555555555562E-4</v>
      </c>
      <c r="AL246" s="1361">
        <f t="shared" si="65"/>
        <v>176</v>
      </c>
      <c r="AM246" s="1191">
        <f t="shared" si="63"/>
        <v>0.01</v>
      </c>
      <c r="AN246" s="1362">
        <f t="shared" si="55"/>
        <v>935.81511939128109</v>
      </c>
      <c r="AO246" s="1362">
        <f t="shared" si="47"/>
        <v>-935.81511939128109</v>
      </c>
      <c r="AP246" s="1362">
        <f t="shared" si="64"/>
        <v>0</v>
      </c>
      <c r="AQ246" s="1363">
        <f t="shared" si="56"/>
        <v>1108533.1237628991</v>
      </c>
    </row>
    <row r="247" spans="1:43">
      <c r="A247" s="1118">
        <f t="shared" ca="1" si="45"/>
        <v>12</v>
      </c>
      <c r="B247" s="1351">
        <f t="shared" si="46"/>
        <v>0</v>
      </c>
      <c r="C247" s="2143">
        <f t="shared" si="57"/>
        <v>0</v>
      </c>
      <c r="D247" s="2144">
        <f t="shared" si="66"/>
        <v>0</v>
      </c>
      <c r="E247" s="2145">
        <f t="shared" si="48"/>
        <v>0</v>
      </c>
      <c r="F247" s="2145">
        <f t="shared" si="49"/>
        <v>0</v>
      </c>
      <c r="G247" s="2145">
        <f t="shared" si="58"/>
        <v>0</v>
      </c>
      <c r="H247" s="2145">
        <f>IF(M246&lt;0.01,0,M246*Adm!$GV$4)</f>
        <v>0</v>
      </c>
      <c r="I247" s="2145">
        <f>IF(M246&lt;0.01,0,Cal!$BO$108*Adm!$GW$4)</f>
        <v>0</v>
      </c>
      <c r="J247" s="2145">
        <f>IF(M246&lt;0.01,0,IF(Adm!$GO$4&gt;0,E247*Adm!$GO$4,0))</f>
        <v>0</v>
      </c>
      <c r="K247" s="2145">
        <f t="shared" si="50"/>
        <v>0</v>
      </c>
      <c r="L247" s="2145">
        <f>IF(Adm!$GJ$4="si",MIN(M246+E247+H247+I247-K247,AB247),0)</f>
        <v>0</v>
      </c>
      <c r="M247" s="2145">
        <f t="shared" si="51"/>
        <v>0</v>
      </c>
      <c r="N247" s="2153"/>
      <c r="U247" s="1352">
        <f t="shared" si="52"/>
        <v>9</v>
      </c>
      <c r="V247" s="1514">
        <f>IF(U247=1,Cal!$BO$127,0)</f>
        <v>0</v>
      </c>
      <c r="W247" s="1517">
        <f>IF(U247=1,Adm!$HI$4,0)</f>
        <v>0</v>
      </c>
      <c r="X247" s="1518"/>
      <c r="Y247" s="1518"/>
      <c r="Z247" s="1518"/>
      <c r="AA247" s="1368">
        <f t="shared" si="59"/>
        <v>0</v>
      </c>
      <c r="AB247" s="1369">
        <f t="shared" ca="1" si="53"/>
        <v>0</v>
      </c>
      <c r="AF247" s="1370">
        <f t="shared" si="60"/>
        <v>0</v>
      </c>
      <c r="AG247" s="1373">
        <f t="shared" si="61"/>
        <v>0</v>
      </c>
      <c r="AH247" s="1371">
        <f t="shared" si="62"/>
        <v>0</v>
      </c>
      <c r="AI247" s="1359">
        <f>HLOOKUP($AI$66,anticipadofree,178,0)</f>
        <v>-8.4490555555555551E-4</v>
      </c>
      <c r="AK247" s="1360">
        <f t="shared" si="54"/>
        <v>-8.4490555555555551E-4</v>
      </c>
      <c r="AL247" s="1361">
        <f t="shared" si="65"/>
        <v>177</v>
      </c>
      <c r="AM247" s="1191">
        <f t="shared" si="63"/>
        <v>0.01</v>
      </c>
      <c r="AN247" s="1362">
        <f t="shared" si="55"/>
        <v>936.60579478462762</v>
      </c>
      <c r="AO247" s="1362">
        <f t="shared" si="47"/>
        <v>-936.60579478462762</v>
      </c>
      <c r="AP247" s="1362">
        <f t="shared" si="64"/>
        <v>0</v>
      </c>
      <c r="AQ247" s="1363">
        <f t="shared" si="56"/>
        <v>1109469.7295576837</v>
      </c>
    </row>
    <row r="248" spans="1:43">
      <c r="A248" s="1118">
        <f t="shared" ca="1" si="45"/>
        <v>1</v>
      </c>
      <c r="B248" s="1351">
        <f t="shared" si="46"/>
        <v>0</v>
      </c>
      <c r="C248" s="2143">
        <f t="shared" si="57"/>
        <v>0</v>
      </c>
      <c r="D248" s="2144">
        <f t="shared" si="66"/>
        <v>0</v>
      </c>
      <c r="E248" s="2145">
        <f t="shared" si="48"/>
        <v>0</v>
      </c>
      <c r="F248" s="2145">
        <f t="shared" si="49"/>
        <v>0</v>
      </c>
      <c r="G248" s="2145">
        <f t="shared" si="58"/>
        <v>0</v>
      </c>
      <c r="H248" s="2145">
        <f>IF(M247&lt;0.01,0,M247*Adm!$GV$4)</f>
        <v>0</v>
      </c>
      <c r="I248" s="2145">
        <f>IF(M247&lt;0.01,0,Cal!$BO$108*Adm!$GW$4)</f>
        <v>0</v>
      </c>
      <c r="J248" s="2145">
        <f>IF(M247&lt;0.01,0,IF(Adm!$GO$4&gt;0,E248*Adm!$GO$4,0))</f>
        <v>0</v>
      </c>
      <c r="K248" s="2145">
        <f t="shared" si="50"/>
        <v>0</v>
      </c>
      <c r="L248" s="2145">
        <f>IF(Adm!$GJ$4="si",MIN(M247+E248+H248+I248-K248,AB248),0)</f>
        <v>0</v>
      </c>
      <c r="M248" s="2145">
        <f t="shared" si="51"/>
        <v>0</v>
      </c>
      <c r="N248" s="2153"/>
      <c r="U248" s="1352">
        <f t="shared" si="52"/>
        <v>10</v>
      </c>
      <c r="V248" s="1514">
        <f>IF(U248=1,Cal!$BO$127,0)</f>
        <v>0</v>
      </c>
      <c r="W248" s="1517">
        <f>IF(U248=1,Adm!$HI$4,0)</f>
        <v>0</v>
      </c>
      <c r="X248" s="1518"/>
      <c r="Y248" s="1518"/>
      <c r="Z248" s="1518"/>
      <c r="AA248" s="1368">
        <f t="shared" si="59"/>
        <v>0</v>
      </c>
      <c r="AB248" s="1369">
        <f t="shared" ca="1" si="53"/>
        <v>0</v>
      </c>
      <c r="AF248" s="1370">
        <f t="shared" si="60"/>
        <v>0</v>
      </c>
      <c r="AG248" s="1373">
        <f t="shared" si="61"/>
        <v>0</v>
      </c>
      <c r="AH248" s="1371">
        <f t="shared" si="62"/>
        <v>0</v>
      </c>
      <c r="AI248" s="1359">
        <f>HLOOKUP($AI$66,anticipadofree,179,0)</f>
        <v>-8.4490555555555562E-4</v>
      </c>
      <c r="AK248" s="1360">
        <f t="shared" si="54"/>
        <v>-8.4490555555555562E-4</v>
      </c>
      <c r="AL248" s="1361">
        <f t="shared" si="65"/>
        <v>178</v>
      </c>
      <c r="AM248" s="1191">
        <f t="shared" si="63"/>
        <v>0.01</v>
      </c>
      <c r="AN248" s="1362">
        <f t="shared" si="55"/>
        <v>937.39713822400677</v>
      </c>
      <c r="AO248" s="1362">
        <f t="shared" si="47"/>
        <v>-937.39713822400677</v>
      </c>
      <c r="AP248" s="1362">
        <f t="shared" si="64"/>
        <v>0</v>
      </c>
      <c r="AQ248" s="1363">
        <f t="shared" si="56"/>
        <v>1110407.1266959077</v>
      </c>
    </row>
    <row r="249" spans="1:43">
      <c r="A249" s="1118">
        <f t="shared" ca="1" si="45"/>
        <v>2</v>
      </c>
      <c r="B249" s="1351">
        <f t="shared" si="46"/>
        <v>0</v>
      </c>
      <c r="C249" s="2143">
        <f t="shared" si="57"/>
        <v>0</v>
      </c>
      <c r="D249" s="2144">
        <f t="shared" si="66"/>
        <v>0</v>
      </c>
      <c r="E249" s="2145">
        <f t="shared" si="48"/>
        <v>0</v>
      </c>
      <c r="F249" s="2145">
        <f t="shared" si="49"/>
        <v>0</v>
      </c>
      <c r="G249" s="2145">
        <f t="shared" si="58"/>
        <v>0</v>
      </c>
      <c r="H249" s="2145">
        <f>IF(M248&lt;0.01,0,M248*Adm!$GV$4)</f>
        <v>0</v>
      </c>
      <c r="I249" s="2145">
        <f>IF(M248&lt;0.01,0,Cal!$BO$108*Adm!$GW$4)</f>
        <v>0</v>
      </c>
      <c r="J249" s="2145">
        <f>IF(M248&lt;0.01,0,IF(Adm!$GO$4&gt;0,E249*Adm!$GO$4,0))</f>
        <v>0</v>
      </c>
      <c r="K249" s="2145">
        <f t="shared" si="50"/>
        <v>0</v>
      </c>
      <c r="L249" s="2145">
        <f>IF(Adm!$GJ$4="si",MIN(M248+E249+H249+I249-K249,AB249),0)</f>
        <v>0</v>
      </c>
      <c r="M249" s="2145">
        <f t="shared" si="51"/>
        <v>0</v>
      </c>
      <c r="N249" s="2153"/>
      <c r="U249" s="1352">
        <f t="shared" si="52"/>
        <v>11</v>
      </c>
      <c r="V249" s="1514">
        <f>IF(U249=1,Cal!$BO$127,0)</f>
        <v>0</v>
      </c>
      <c r="W249" s="1517">
        <f>IF(U249=1,Adm!$HI$4,0)</f>
        <v>0</v>
      </c>
      <c r="X249" s="1518"/>
      <c r="Y249" s="1518"/>
      <c r="Z249" s="1518"/>
      <c r="AA249" s="1368">
        <f t="shared" si="59"/>
        <v>0</v>
      </c>
      <c r="AB249" s="1369">
        <f t="shared" ca="1" si="53"/>
        <v>0</v>
      </c>
      <c r="AF249" s="1370">
        <f t="shared" si="60"/>
        <v>0</v>
      </c>
      <c r="AG249" s="1373">
        <f t="shared" si="61"/>
        <v>0</v>
      </c>
      <c r="AH249" s="1371">
        <f t="shared" si="62"/>
        <v>0</v>
      </c>
      <c r="AI249" s="1359">
        <f>HLOOKUP($AI$66,anticipadofree,180,0)</f>
        <v>-8.4490555555555551E-4</v>
      </c>
      <c r="AK249" s="1360">
        <f t="shared" si="54"/>
        <v>-8.4490555555555551E-4</v>
      </c>
      <c r="AL249" s="1361">
        <f t="shared" si="65"/>
        <v>179</v>
      </c>
      <c r="AM249" s="1191">
        <f t="shared" si="63"/>
        <v>0.01</v>
      </c>
      <c r="AN249" s="1362">
        <f t="shared" si="55"/>
        <v>938.18915027385401</v>
      </c>
      <c r="AO249" s="1362">
        <f t="shared" si="47"/>
        <v>-938.18915027385401</v>
      </c>
      <c r="AP249" s="1362">
        <f t="shared" si="64"/>
        <v>0</v>
      </c>
      <c r="AQ249" s="1363">
        <f t="shared" si="56"/>
        <v>1111345.3158461815</v>
      </c>
    </row>
    <row r="250" spans="1:43">
      <c r="A250" s="1118">
        <f t="shared" ca="1" si="45"/>
        <v>3</v>
      </c>
      <c r="B250" s="1351">
        <f t="shared" si="46"/>
        <v>0</v>
      </c>
      <c r="C250" s="2143">
        <f t="shared" si="57"/>
        <v>0</v>
      </c>
      <c r="D250" s="2144">
        <f t="shared" si="66"/>
        <v>0</v>
      </c>
      <c r="E250" s="2145">
        <f t="shared" si="48"/>
        <v>0</v>
      </c>
      <c r="F250" s="2145">
        <f t="shared" si="49"/>
        <v>0</v>
      </c>
      <c r="G250" s="2145">
        <f t="shared" si="58"/>
        <v>0</v>
      </c>
      <c r="H250" s="2145">
        <f>IF(M249&lt;0.01,0,M249*Adm!$GV$4)</f>
        <v>0</v>
      </c>
      <c r="I250" s="2145">
        <f>IF(M249&lt;0.01,0,Cal!$BO$108*Adm!$GW$4)</f>
        <v>0</v>
      </c>
      <c r="J250" s="2145">
        <f>IF(M249&lt;0.01,0,IF(Adm!$GO$4&gt;0,E250*Adm!$GO$4,0))</f>
        <v>0</v>
      </c>
      <c r="K250" s="2145">
        <f t="shared" si="50"/>
        <v>0</v>
      </c>
      <c r="L250" s="2145">
        <f>IF(Adm!$GJ$4="si",MIN(M249+E250+H250+I250-K250,AB250),0)</f>
        <v>0</v>
      </c>
      <c r="M250" s="2145">
        <f t="shared" si="51"/>
        <v>0</v>
      </c>
      <c r="N250" s="2153"/>
      <c r="U250" s="1352">
        <f t="shared" si="52"/>
        <v>12</v>
      </c>
      <c r="V250" s="1514">
        <f>IF(U250=1,Cal!$BO$127,0)</f>
        <v>0</v>
      </c>
      <c r="W250" s="1517">
        <f>IF(U250=1,Adm!$HI$4,0)</f>
        <v>0</v>
      </c>
      <c r="X250" s="1518"/>
      <c r="Y250" s="1518"/>
      <c r="Z250" s="1518"/>
      <c r="AA250" s="1368">
        <f t="shared" si="59"/>
        <v>0</v>
      </c>
      <c r="AB250" s="1369">
        <f t="shared" ca="1" si="53"/>
        <v>0</v>
      </c>
      <c r="AF250" s="1370">
        <f t="shared" si="60"/>
        <v>0</v>
      </c>
      <c r="AG250" s="1373">
        <f t="shared" si="61"/>
        <v>0</v>
      </c>
      <c r="AH250" s="1371">
        <f t="shared" si="62"/>
        <v>0</v>
      </c>
      <c r="AI250" s="1359">
        <f>HLOOKUP($AI$66,anticipadofree,181,0)</f>
        <v>-8.4490555555555551E-4</v>
      </c>
      <c r="AK250" s="1360">
        <f t="shared" si="54"/>
        <v>-8.4490555555555551E-4</v>
      </c>
      <c r="AL250" s="1361">
        <f t="shared" si="65"/>
        <v>180</v>
      </c>
      <c r="AM250" s="1191">
        <f t="shared" si="63"/>
        <v>0.01</v>
      </c>
      <c r="AN250" s="1362">
        <f t="shared" si="55"/>
        <v>938.98183149908232</v>
      </c>
      <c r="AO250" s="1362">
        <f t="shared" si="47"/>
        <v>-938.98183149908232</v>
      </c>
      <c r="AP250" s="1362">
        <f t="shared" si="64"/>
        <v>0</v>
      </c>
      <c r="AQ250" s="1363">
        <f t="shared" si="56"/>
        <v>1112284.2976776806</v>
      </c>
    </row>
    <row r="251" spans="1:43">
      <c r="A251" s="1118">
        <f t="shared" ca="1" si="45"/>
        <v>4</v>
      </c>
      <c r="B251" s="1351">
        <f t="shared" si="46"/>
        <v>0</v>
      </c>
      <c r="C251" s="2143">
        <f t="shared" si="57"/>
        <v>0</v>
      </c>
      <c r="D251" s="2144">
        <f t="shared" si="66"/>
        <v>0</v>
      </c>
      <c r="E251" s="2145">
        <f t="shared" si="48"/>
        <v>0</v>
      </c>
      <c r="F251" s="2145">
        <f t="shared" si="49"/>
        <v>0</v>
      </c>
      <c r="G251" s="2145">
        <f t="shared" si="58"/>
        <v>0</v>
      </c>
      <c r="H251" s="2145">
        <f>IF(M250&lt;0.01,0,M250*Adm!$GV$4)</f>
        <v>0</v>
      </c>
      <c r="I251" s="2145">
        <f>IF(M250&lt;0.01,0,Cal!$BO$108*Adm!$GW$4)</f>
        <v>0</v>
      </c>
      <c r="J251" s="2145">
        <f>IF(M250&lt;0.01,0,IF(Adm!$GO$4&gt;0,E251*Adm!$GO$4,0))</f>
        <v>0</v>
      </c>
      <c r="K251" s="2145">
        <f t="shared" si="50"/>
        <v>0</v>
      </c>
      <c r="L251" s="2145">
        <f>IF(Adm!$GJ$4="si",MIN(M250+E251+H251+I251-K251,AB251),0)</f>
        <v>0</v>
      </c>
      <c r="M251" s="2145">
        <f t="shared" si="51"/>
        <v>0</v>
      </c>
      <c r="N251" s="2153"/>
      <c r="U251" s="1352">
        <f t="shared" si="52"/>
        <v>1</v>
      </c>
      <c r="V251" s="1514">
        <f>IF(U251=1,Cal!$BO$127,0)</f>
        <v>0</v>
      </c>
      <c r="W251" s="1517">
        <f>IF(U251=1,Adm!$HI$4,0)</f>
        <v>2.5000000000000001E-3</v>
      </c>
      <c r="X251" s="1518"/>
      <c r="Y251" s="1518"/>
      <c r="Z251" s="1518"/>
      <c r="AA251" s="1368">
        <f t="shared" si="59"/>
        <v>0</v>
      </c>
      <c r="AB251" s="1369">
        <f t="shared" ca="1" si="53"/>
        <v>0</v>
      </c>
      <c r="AF251" s="1370">
        <f t="shared" si="60"/>
        <v>0</v>
      </c>
      <c r="AG251" s="1373">
        <f t="shared" si="61"/>
        <v>0</v>
      </c>
      <c r="AH251" s="1371">
        <f t="shared" si="62"/>
        <v>0</v>
      </c>
      <c r="AI251" s="1359">
        <f>HLOOKUP($AI$66,anticipadofree,182,0)</f>
        <v>-8.4490555555555551E-4</v>
      </c>
      <c r="AK251" s="1360">
        <f t="shared" si="54"/>
        <v>-8.4490555555555551E-4</v>
      </c>
      <c r="AL251" s="1377">
        <f t="shared" si="65"/>
        <v>181</v>
      </c>
      <c r="AM251" s="1516">
        <f t="shared" si="63"/>
        <v>0.01</v>
      </c>
      <c r="AN251" s="1378">
        <f t="shared" si="55"/>
        <v>939.77518246508168</v>
      </c>
      <c r="AO251" s="1378">
        <f t="shared" si="47"/>
        <v>-939.77518246508168</v>
      </c>
      <c r="AP251" s="1378">
        <f>MIN(AQ250+AN251,AP250*(1+$AN$66))</f>
        <v>0</v>
      </c>
      <c r="AQ251" s="1363">
        <f t="shared" si="56"/>
        <v>1113224.0728601457</v>
      </c>
    </row>
    <row r="252" spans="1:43">
      <c r="A252" s="1118">
        <f t="shared" ca="1" si="45"/>
        <v>5</v>
      </c>
      <c r="B252" s="1351">
        <f t="shared" si="46"/>
        <v>0</v>
      </c>
      <c r="C252" s="2143">
        <f t="shared" si="57"/>
        <v>0</v>
      </c>
      <c r="D252" s="2144">
        <f t="shared" si="66"/>
        <v>0</v>
      </c>
      <c r="E252" s="2145">
        <f t="shared" si="48"/>
        <v>0</v>
      </c>
      <c r="F252" s="2145">
        <f t="shared" si="49"/>
        <v>0</v>
      </c>
      <c r="G252" s="2145">
        <f t="shared" si="58"/>
        <v>0</v>
      </c>
      <c r="H252" s="2145">
        <f>IF(M251&lt;0.01,0,M251*Adm!$GV$4)</f>
        <v>0</v>
      </c>
      <c r="I252" s="2145">
        <f>IF(M251&lt;0.01,0,Cal!$BO$108*Adm!$GW$4)</f>
        <v>0</v>
      </c>
      <c r="J252" s="2145">
        <f>IF(M251&lt;0.01,0,IF(Adm!$GO$4&gt;0,E252*Adm!$GO$4,0))</f>
        <v>0</v>
      </c>
      <c r="K252" s="2145">
        <f t="shared" si="50"/>
        <v>0</v>
      </c>
      <c r="L252" s="2145">
        <f>IF(Adm!$GJ$4="si",MIN(M251+E252+H252+I252-K252,AB252),0)</f>
        <v>0</v>
      </c>
      <c r="M252" s="2145">
        <f t="shared" si="51"/>
        <v>0</v>
      </c>
      <c r="N252" s="2153"/>
      <c r="U252" s="1352">
        <f t="shared" si="52"/>
        <v>2</v>
      </c>
      <c r="V252" s="1514">
        <f>IF(U252=1,Cal!$BO$127,0)</f>
        <v>0</v>
      </c>
      <c r="W252" s="1517">
        <f>IF(U252=1,Adm!$HI$4,0)</f>
        <v>0</v>
      </c>
      <c r="X252" s="1518"/>
      <c r="Y252" s="1518"/>
      <c r="Z252" s="1518"/>
      <c r="AA252" s="1368">
        <f t="shared" si="59"/>
        <v>0</v>
      </c>
      <c r="AB252" s="1369">
        <f t="shared" ca="1" si="53"/>
        <v>0</v>
      </c>
      <c r="AF252" s="1370">
        <f t="shared" si="60"/>
        <v>0</v>
      </c>
      <c r="AG252" s="1373">
        <f t="shared" si="61"/>
        <v>0</v>
      </c>
      <c r="AH252" s="1371">
        <f t="shared" si="62"/>
        <v>0</v>
      </c>
      <c r="AI252" s="1359">
        <f>HLOOKUP($AI$66,anticipadofree,183,0)</f>
        <v>-8.4490555555555551E-4</v>
      </c>
      <c r="AK252" s="1360">
        <f t="shared" si="54"/>
        <v>-8.4490555555555551E-4</v>
      </c>
      <c r="AL252" s="1361">
        <f>IF(AQ251&lt;=0,"",AL251+1)</f>
        <v>182</v>
      </c>
      <c r="AM252" s="1191">
        <f t="shared" si="63"/>
        <v>0.01</v>
      </c>
      <c r="AN252" s="1362">
        <f t="shared" si="55"/>
        <v>940.56920373771959</v>
      </c>
      <c r="AO252" s="1362">
        <f t="shared" si="47"/>
        <v>-940.56920373771959</v>
      </c>
      <c r="AP252" s="1362">
        <f t="shared" si="64"/>
        <v>0</v>
      </c>
      <c r="AQ252" s="1363">
        <f t="shared" si="56"/>
        <v>1114164.6420638834</v>
      </c>
    </row>
    <row r="253" spans="1:43">
      <c r="A253" s="1118">
        <f t="shared" ca="1" si="45"/>
        <v>6</v>
      </c>
      <c r="B253" s="1351">
        <f t="shared" si="46"/>
        <v>0</v>
      </c>
      <c r="C253" s="2143">
        <f t="shared" si="57"/>
        <v>0</v>
      </c>
      <c r="D253" s="2144">
        <f t="shared" si="66"/>
        <v>0</v>
      </c>
      <c r="E253" s="2145">
        <f t="shared" si="48"/>
        <v>0</v>
      </c>
      <c r="F253" s="2145">
        <f t="shared" si="49"/>
        <v>0</v>
      </c>
      <c r="G253" s="2145">
        <f t="shared" si="58"/>
        <v>0</v>
      </c>
      <c r="H253" s="2145">
        <f>IF(M252&lt;0.01,0,M252*Adm!$GV$4)</f>
        <v>0</v>
      </c>
      <c r="I253" s="2145">
        <f>IF(M252&lt;0.01,0,Cal!$BO$108*Adm!$GW$4)</f>
        <v>0</v>
      </c>
      <c r="J253" s="2145">
        <f>IF(M252&lt;0.01,0,IF(Adm!$GO$4&gt;0,E253*Adm!$GO$4,0))</f>
        <v>0</v>
      </c>
      <c r="K253" s="2145">
        <f t="shared" si="50"/>
        <v>0</v>
      </c>
      <c r="L253" s="2145">
        <f>IF(Adm!$GJ$4="si",MIN(M252+E253+H253+I253-K253,AB253),0)</f>
        <v>0</v>
      </c>
      <c r="M253" s="2145">
        <f t="shared" si="51"/>
        <v>0</v>
      </c>
      <c r="N253" s="2153"/>
      <c r="U253" s="1352">
        <f t="shared" si="52"/>
        <v>3</v>
      </c>
      <c r="V253" s="1514">
        <f>IF(U253=1,Cal!$BO$127,0)</f>
        <v>0</v>
      </c>
      <c r="W253" s="1517">
        <f>IF(U253=1,Adm!$HI$4,0)</f>
        <v>0</v>
      </c>
      <c r="X253" s="1518"/>
      <c r="Y253" s="1518"/>
      <c r="Z253" s="1518"/>
      <c r="AA253" s="1368">
        <f t="shared" si="59"/>
        <v>0</v>
      </c>
      <c r="AB253" s="1369">
        <f t="shared" ca="1" si="53"/>
        <v>0</v>
      </c>
      <c r="AF253" s="1370">
        <f t="shared" si="60"/>
        <v>0</v>
      </c>
      <c r="AG253" s="1373">
        <f t="shared" si="61"/>
        <v>0</v>
      </c>
      <c r="AH253" s="1371">
        <f t="shared" si="62"/>
        <v>0</v>
      </c>
      <c r="AI253" s="1359">
        <f>HLOOKUP($AI$66,anticipadofree,184,0)</f>
        <v>-8.4490555555555541E-4</v>
      </c>
      <c r="AK253" s="1360">
        <f t="shared" si="54"/>
        <v>-8.4490555555555541E-4</v>
      </c>
      <c r="AL253" s="1361">
        <f>IF(AQ252&lt;=0,"",AL252+1)</f>
        <v>183</v>
      </c>
      <c r="AM253" s="1191">
        <f t="shared" si="63"/>
        <v>0.01</v>
      </c>
      <c r="AN253" s="1362">
        <f t="shared" si="55"/>
        <v>941.36389588334191</v>
      </c>
      <c r="AO253" s="1362">
        <f t="shared" si="47"/>
        <v>-941.36389588334191</v>
      </c>
      <c r="AP253" s="1362">
        <f t="shared" si="64"/>
        <v>0</v>
      </c>
      <c r="AQ253" s="1363">
        <f t="shared" si="56"/>
        <v>1115106.0059597667</v>
      </c>
    </row>
    <row r="254" spans="1:43">
      <c r="A254" s="1118">
        <f t="shared" ca="1" si="45"/>
        <v>7</v>
      </c>
      <c r="B254" s="1351">
        <f t="shared" si="46"/>
        <v>0</v>
      </c>
      <c r="C254" s="2143">
        <f t="shared" si="57"/>
        <v>0</v>
      </c>
      <c r="D254" s="2144">
        <f t="shared" si="66"/>
        <v>0</v>
      </c>
      <c r="E254" s="2145">
        <f t="shared" si="48"/>
        <v>0</v>
      </c>
      <c r="F254" s="2145">
        <f t="shared" si="49"/>
        <v>0</v>
      </c>
      <c r="G254" s="2145">
        <f t="shared" si="58"/>
        <v>0</v>
      </c>
      <c r="H254" s="2145">
        <f>IF(M253&lt;0.01,0,M253*Adm!$GV$4)</f>
        <v>0</v>
      </c>
      <c r="I254" s="2145">
        <f>IF(M253&lt;0.01,0,Cal!$BO$108*Adm!$GW$4)</f>
        <v>0</v>
      </c>
      <c r="J254" s="2145">
        <f>IF(M253&lt;0.01,0,IF(Adm!$GO$4&gt;0,E254*Adm!$GO$4,0))</f>
        <v>0</v>
      </c>
      <c r="K254" s="2145">
        <f t="shared" si="50"/>
        <v>0</v>
      </c>
      <c r="L254" s="2145">
        <f>IF(Adm!$GJ$4="si",MIN(M253+E254+H254+I254-K254,AB254),0)</f>
        <v>0</v>
      </c>
      <c r="M254" s="2145">
        <f t="shared" si="51"/>
        <v>0</v>
      </c>
      <c r="N254" s="2153"/>
      <c r="U254" s="1352">
        <f t="shared" si="52"/>
        <v>4</v>
      </c>
      <c r="V254" s="1514">
        <f>IF(U254=1,Cal!$BO$127,0)</f>
        <v>0</v>
      </c>
      <c r="W254" s="1517">
        <f>IF(U254=1,Adm!$HI$4,0)</f>
        <v>0</v>
      </c>
      <c r="X254" s="1518"/>
      <c r="Y254" s="1518"/>
      <c r="Z254" s="1518"/>
      <c r="AA254" s="1368">
        <f t="shared" si="59"/>
        <v>0</v>
      </c>
      <c r="AB254" s="1369">
        <f t="shared" ca="1" si="53"/>
        <v>0</v>
      </c>
      <c r="AF254" s="1370">
        <f t="shared" si="60"/>
        <v>0</v>
      </c>
      <c r="AG254" s="1373">
        <f t="shared" si="61"/>
        <v>0</v>
      </c>
      <c r="AH254" s="1371">
        <f t="shared" si="62"/>
        <v>0</v>
      </c>
      <c r="AI254" s="1359">
        <f>HLOOKUP($AI$66,anticipadofree,185,0)</f>
        <v>-8.4490555555555562E-4</v>
      </c>
      <c r="AK254" s="1360">
        <f t="shared" si="54"/>
        <v>-8.4490555555555562E-4</v>
      </c>
      <c r="AL254" s="1361">
        <f t="shared" si="65"/>
        <v>184</v>
      </c>
      <c r="AM254" s="1191">
        <f t="shared" si="63"/>
        <v>0.01</v>
      </c>
      <c r="AN254" s="1362">
        <f t="shared" si="55"/>
        <v>942.15925946877337</v>
      </c>
      <c r="AO254" s="1362">
        <f t="shared" si="47"/>
        <v>-942.15925946877337</v>
      </c>
      <c r="AP254" s="1362">
        <f t="shared" si="64"/>
        <v>0</v>
      </c>
      <c r="AQ254" s="1363">
        <f t="shared" si="56"/>
        <v>1116048.1652192355</v>
      </c>
    </row>
    <row r="255" spans="1:43">
      <c r="A255" s="1118">
        <f t="shared" ca="1" si="45"/>
        <v>8</v>
      </c>
      <c r="B255" s="1351">
        <f t="shared" si="46"/>
        <v>0</v>
      </c>
      <c r="C255" s="2143">
        <f t="shared" si="57"/>
        <v>0</v>
      </c>
      <c r="D255" s="2144">
        <f t="shared" si="66"/>
        <v>0</v>
      </c>
      <c r="E255" s="2145">
        <f t="shared" si="48"/>
        <v>0</v>
      </c>
      <c r="F255" s="2145">
        <f t="shared" si="49"/>
        <v>0</v>
      </c>
      <c r="G255" s="2145">
        <f t="shared" si="58"/>
        <v>0</v>
      </c>
      <c r="H255" s="2145">
        <f>IF(M254&lt;0.01,0,M254*Adm!$GV$4)</f>
        <v>0</v>
      </c>
      <c r="I255" s="2145">
        <f>IF(M254&lt;0.01,0,Cal!$BO$108*Adm!$GW$4)</f>
        <v>0</v>
      </c>
      <c r="J255" s="2145">
        <f>IF(M254&lt;0.01,0,IF(Adm!$GO$4&gt;0,E255*Adm!$GO$4,0))</f>
        <v>0</v>
      </c>
      <c r="K255" s="2145">
        <f t="shared" si="50"/>
        <v>0</v>
      </c>
      <c r="L255" s="2145">
        <f>IF(Adm!$GJ$4="si",MIN(M254+E255+H255+I255-K255,AB255),0)</f>
        <v>0</v>
      </c>
      <c r="M255" s="2145">
        <f t="shared" si="51"/>
        <v>0</v>
      </c>
      <c r="N255" s="2153"/>
      <c r="U255" s="1352">
        <f t="shared" si="52"/>
        <v>5</v>
      </c>
      <c r="V255" s="1514">
        <f>IF(U255=1,Cal!$BO$127,0)</f>
        <v>0</v>
      </c>
      <c r="W255" s="1517">
        <f>IF(U255=1,Adm!$HI$4,0)</f>
        <v>0</v>
      </c>
      <c r="X255" s="1518"/>
      <c r="Y255" s="1518"/>
      <c r="Z255" s="1518"/>
      <c r="AA255" s="1368">
        <f t="shared" si="59"/>
        <v>0</v>
      </c>
      <c r="AB255" s="1369">
        <f t="shared" ca="1" si="53"/>
        <v>0</v>
      </c>
      <c r="AF255" s="1370">
        <f t="shared" si="60"/>
        <v>0</v>
      </c>
      <c r="AG255" s="1373">
        <f t="shared" si="61"/>
        <v>0</v>
      </c>
      <c r="AH255" s="1371">
        <f t="shared" si="62"/>
        <v>0</v>
      </c>
      <c r="AI255" s="1359">
        <f>HLOOKUP($AI$66,anticipadofree,186,0)</f>
        <v>-8.4490555555555551E-4</v>
      </c>
      <c r="AK255" s="1360">
        <f t="shared" si="54"/>
        <v>-8.4490555555555551E-4</v>
      </c>
      <c r="AL255" s="1361">
        <f t="shared" si="65"/>
        <v>185</v>
      </c>
      <c r="AM255" s="1191">
        <f t="shared" si="63"/>
        <v>0.01</v>
      </c>
      <c r="AN255" s="1362">
        <f t="shared" si="55"/>
        <v>942.95529506131652</v>
      </c>
      <c r="AO255" s="1362">
        <f t="shared" si="47"/>
        <v>-942.95529506131652</v>
      </c>
      <c r="AP255" s="1362">
        <f t="shared" si="64"/>
        <v>0</v>
      </c>
      <c r="AQ255" s="1363">
        <f t="shared" si="56"/>
        <v>1116991.1205142967</v>
      </c>
    </row>
    <row r="256" spans="1:43">
      <c r="A256" s="1118">
        <f t="shared" ca="1" si="45"/>
        <v>9</v>
      </c>
      <c r="B256" s="1351">
        <f t="shared" si="46"/>
        <v>0</v>
      </c>
      <c r="C256" s="2143">
        <f t="shared" si="57"/>
        <v>0</v>
      </c>
      <c r="D256" s="2144">
        <f t="shared" si="66"/>
        <v>0</v>
      </c>
      <c r="E256" s="2145">
        <f t="shared" si="48"/>
        <v>0</v>
      </c>
      <c r="F256" s="2145">
        <f t="shared" si="49"/>
        <v>0</v>
      </c>
      <c r="G256" s="2145">
        <f t="shared" si="58"/>
        <v>0</v>
      </c>
      <c r="H256" s="2145">
        <f>IF(M255&lt;0.01,0,M255*Adm!$GV$4)</f>
        <v>0</v>
      </c>
      <c r="I256" s="2145">
        <f>IF(M255&lt;0.01,0,Cal!$BO$108*Adm!$GW$4)</f>
        <v>0</v>
      </c>
      <c r="J256" s="2145">
        <f>IF(M255&lt;0.01,0,IF(Adm!$GO$4&gt;0,E256*Adm!$GO$4,0))</f>
        <v>0</v>
      </c>
      <c r="K256" s="2145">
        <f t="shared" si="50"/>
        <v>0</v>
      </c>
      <c r="L256" s="2145">
        <f>IF(Adm!$GJ$4="si",MIN(M255+E256+H256+I256-K256,AB256),0)</f>
        <v>0</v>
      </c>
      <c r="M256" s="2145">
        <f t="shared" si="51"/>
        <v>0</v>
      </c>
      <c r="N256" s="2153"/>
      <c r="U256" s="1352">
        <f t="shared" si="52"/>
        <v>6</v>
      </c>
      <c r="V256" s="1514">
        <f>IF(U256=1,Cal!$BO$127,0)</f>
        <v>0</v>
      </c>
      <c r="W256" s="1517">
        <f>IF(U256=1,Adm!$HI$4,0)</f>
        <v>0</v>
      </c>
      <c r="X256" s="1518"/>
      <c r="Y256" s="1518"/>
      <c r="Z256" s="1518"/>
      <c r="AA256" s="1368">
        <f t="shared" si="59"/>
        <v>0</v>
      </c>
      <c r="AB256" s="1369">
        <f t="shared" ca="1" si="53"/>
        <v>0</v>
      </c>
      <c r="AF256" s="1370">
        <f t="shared" si="60"/>
        <v>0</v>
      </c>
      <c r="AG256" s="1373">
        <f t="shared" si="61"/>
        <v>0</v>
      </c>
      <c r="AH256" s="1371">
        <f t="shared" si="62"/>
        <v>0</v>
      </c>
      <c r="AI256" s="1359">
        <f>HLOOKUP($AI$66,anticipadofree,187,0)</f>
        <v>-8.4490555555555551E-4</v>
      </c>
      <c r="AK256" s="1360">
        <f t="shared" si="54"/>
        <v>-8.4490555555555551E-4</v>
      </c>
      <c r="AL256" s="1361">
        <f t="shared" si="65"/>
        <v>186</v>
      </c>
      <c r="AM256" s="1191">
        <f t="shared" si="63"/>
        <v>0.01</v>
      </c>
      <c r="AN256" s="1362">
        <f t="shared" si="55"/>
        <v>943.75200322875435</v>
      </c>
      <c r="AO256" s="1362">
        <f t="shared" si="47"/>
        <v>-943.75200322875435</v>
      </c>
      <c r="AP256" s="1362">
        <f t="shared" si="64"/>
        <v>0</v>
      </c>
      <c r="AQ256" s="1363">
        <f t="shared" si="56"/>
        <v>1117934.8725175255</v>
      </c>
    </row>
    <row r="257" spans="1:43">
      <c r="A257" s="1118">
        <f t="shared" ca="1" si="45"/>
        <v>10</v>
      </c>
      <c r="B257" s="1351">
        <f t="shared" si="46"/>
        <v>0</v>
      </c>
      <c r="C257" s="2143">
        <f t="shared" si="57"/>
        <v>0</v>
      </c>
      <c r="D257" s="2144">
        <f t="shared" si="66"/>
        <v>0</v>
      </c>
      <c r="E257" s="2145">
        <f t="shared" si="48"/>
        <v>0</v>
      </c>
      <c r="F257" s="2145">
        <f t="shared" si="49"/>
        <v>0</v>
      </c>
      <c r="G257" s="2145">
        <f t="shared" si="58"/>
        <v>0</v>
      </c>
      <c r="H257" s="2145">
        <f>IF(M256&lt;0.01,0,M256*Adm!$GV$4)</f>
        <v>0</v>
      </c>
      <c r="I257" s="2145">
        <f>IF(M256&lt;0.01,0,Cal!$BO$108*Adm!$GW$4)</f>
        <v>0</v>
      </c>
      <c r="J257" s="2145">
        <f>IF(M256&lt;0.01,0,IF(Adm!$GO$4&gt;0,E257*Adm!$GO$4,0))</f>
        <v>0</v>
      </c>
      <c r="K257" s="2145">
        <f t="shared" si="50"/>
        <v>0</v>
      </c>
      <c r="L257" s="2145">
        <f>IF(Adm!$GJ$4="si",MIN(M256+E257+H257+I257-K257,AB257),0)</f>
        <v>0</v>
      </c>
      <c r="M257" s="2145">
        <f t="shared" si="51"/>
        <v>0</v>
      </c>
      <c r="N257" s="2153"/>
      <c r="U257" s="1352">
        <f t="shared" si="52"/>
        <v>7</v>
      </c>
      <c r="V257" s="1514">
        <f>IF(U257=1,Cal!$BO$127,0)</f>
        <v>0</v>
      </c>
      <c r="W257" s="1517">
        <f>IF(U257=1,Adm!$HI$4,0)</f>
        <v>0</v>
      </c>
      <c r="X257" s="1518"/>
      <c r="Y257" s="1518"/>
      <c r="Z257" s="1518"/>
      <c r="AA257" s="1368">
        <f t="shared" si="59"/>
        <v>0</v>
      </c>
      <c r="AB257" s="1369">
        <f t="shared" ca="1" si="53"/>
        <v>0</v>
      </c>
      <c r="AF257" s="1370">
        <f t="shared" si="60"/>
        <v>0</v>
      </c>
      <c r="AG257" s="1373">
        <f t="shared" si="61"/>
        <v>0</v>
      </c>
      <c r="AH257" s="1371">
        <f t="shared" si="62"/>
        <v>0</v>
      </c>
      <c r="AI257" s="1359">
        <f>HLOOKUP($AI$66,anticipadofree,188,0)</f>
        <v>-8.4490555555555562E-4</v>
      </c>
      <c r="AK257" s="1360">
        <f t="shared" si="54"/>
        <v>-8.4490555555555562E-4</v>
      </c>
      <c r="AL257" s="1361">
        <f t="shared" si="65"/>
        <v>187</v>
      </c>
      <c r="AM257" s="1191">
        <f t="shared" si="63"/>
        <v>0.01</v>
      </c>
      <c r="AN257" s="1362">
        <f t="shared" si="55"/>
        <v>944.54938453934903</v>
      </c>
      <c r="AO257" s="1362">
        <f t="shared" si="47"/>
        <v>-944.54938453934903</v>
      </c>
      <c r="AP257" s="1362">
        <f t="shared" si="64"/>
        <v>0</v>
      </c>
      <c r="AQ257" s="1363">
        <f t="shared" si="56"/>
        <v>1118879.4219020647</v>
      </c>
    </row>
    <row r="258" spans="1:43">
      <c r="A258" s="1118">
        <f t="shared" ca="1" si="45"/>
        <v>11</v>
      </c>
      <c r="B258" s="1351">
        <f t="shared" si="46"/>
        <v>0</v>
      </c>
      <c r="C258" s="2143">
        <f t="shared" si="57"/>
        <v>0</v>
      </c>
      <c r="D258" s="2144">
        <f t="shared" si="66"/>
        <v>0</v>
      </c>
      <c r="E258" s="2145">
        <f t="shared" si="48"/>
        <v>0</v>
      </c>
      <c r="F258" s="2145">
        <f t="shared" si="49"/>
        <v>0</v>
      </c>
      <c r="G258" s="2145">
        <f t="shared" si="58"/>
        <v>0</v>
      </c>
      <c r="H258" s="2145">
        <f>IF(M257&lt;0.01,0,M257*Adm!$GV$4)</f>
        <v>0</v>
      </c>
      <c r="I258" s="2145">
        <f>IF(M257&lt;0.01,0,Cal!$BO$108*Adm!$GW$4)</f>
        <v>0</v>
      </c>
      <c r="J258" s="2145">
        <f>IF(M257&lt;0.01,0,IF(Adm!$GO$4&gt;0,E258*Adm!$GO$4,0))</f>
        <v>0</v>
      </c>
      <c r="K258" s="2145">
        <f t="shared" si="50"/>
        <v>0</v>
      </c>
      <c r="L258" s="2145">
        <f>IF(Adm!$GJ$4="si",MIN(M257+E258+H258+I258-K258,AB258),0)</f>
        <v>0</v>
      </c>
      <c r="M258" s="2145">
        <f t="shared" si="51"/>
        <v>0</v>
      </c>
      <c r="N258" s="2153"/>
      <c r="U258" s="1352">
        <f t="shared" si="52"/>
        <v>8</v>
      </c>
      <c r="V258" s="1514">
        <f>IF(U258=1,Cal!$BO$127,0)</f>
        <v>0</v>
      </c>
      <c r="W258" s="1517">
        <f>IF(U258=1,Adm!$HI$4,0)</f>
        <v>0</v>
      </c>
      <c r="X258" s="1518"/>
      <c r="Y258" s="1518"/>
      <c r="Z258" s="1518"/>
      <c r="AA258" s="1368">
        <f t="shared" si="59"/>
        <v>0</v>
      </c>
      <c r="AB258" s="1369">
        <f t="shared" ca="1" si="53"/>
        <v>0</v>
      </c>
      <c r="AF258" s="1370">
        <f t="shared" si="60"/>
        <v>0</v>
      </c>
      <c r="AG258" s="1373">
        <f t="shared" si="61"/>
        <v>0</v>
      </c>
      <c r="AH258" s="1371">
        <f t="shared" si="62"/>
        <v>0</v>
      </c>
      <c r="AI258" s="1359">
        <f>HLOOKUP($AI$66,anticipadofree,189,0)</f>
        <v>-8.4490555555555551E-4</v>
      </c>
      <c r="AK258" s="1360">
        <f t="shared" si="54"/>
        <v>-8.4490555555555551E-4</v>
      </c>
      <c r="AL258" s="1361">
        <f t="shared" si="65"/>
        <v>188</v>
      </c>
      <c r="AM258" s="1191">
        <f t="shared" si="63"/>
        <v>0.01</v>
      </c>
      <c r="AN258" s="1362">
        <f t="shared" si="55"/>
        <v>945.34743956184275</v>
      </c>
      <c r="AO258" s="1362">
        <f t="shared" si="47"/>
        <v>-945.34743956184275</v>
      </c>
      <c r="AP258" s="1362">
        <f t="shared" si="64"/>
        <v>0</v>
      </c>
      <c r="AQ258" s="1363">
        <f t="shared" si="56"/>
        <v>1119824.7693416264</v>
      </c>
    </row>
    <row r="259" spans="1:43">
      <c r="A259" s="1118">
        <f t="shared" ca="1" si="45"/>
        <v>12</v>
      </c>
      <c r="B259" s="1351">
        <f t="shared" si="46"/>
        <v>0</v>
      </c>
      <c r="C259" s="2143">
        <f t="shared" si="57"/>
        <v>0</v>
      </c>
      <c r="D259" s="2144">
        <f t="shared" si="66"/>
        <v>0</v>
      </c>
      <c r="E259" s="2145">
        <f t="shared" si="48"/>
        <v>0</v>
      </c>
      <c r="F259" s="2145">
        <f t="shared" si="49"/>
        <v>0</v>
      </c>
      <c r="G259" s="2145">
        <f t="shared" si="58"/>
        <v>0</v>
      </c>
      <c r="H259" s="2145">
        <f>IF(M258&lt;0.01,0,M258*Adm!$GV$4)</f>
        <v>0</v>
      </c>
      <c r="I259" s="2145">
        <f>IF(M258&lt;0.01,0,Cal!$BO$108*Adm!$GW$4)</f>
        <v>0</v>
      </c>
      <c r="J259" s="2145">
        <f>IF(M258&lt;0.01,0,IF(Adm!$GO$4&gt;0,E259*Adm!$GO$4,0))</f>
        <v>0</v>
      </c>
      <c r="K259" s="2145">
        <f t="shared" si="50"/>
        <v>0</v>
      </c>
      <c r="L259" s="2145">
        <f>IF(Adm!$GJ$4="si",MIN(M258+E259+H259+I259-K259,AB259),0)</f>
        <v>0</v>
      </c>
      <c r="M259" s="2145">
        <f t="shared" si="51"/>
        <v>0</v>
      </c>
      <c r="N259" s="2153"/>
      <c r="U259" s="1352">
        <f t="shared" si="52"/>
        <v>9</v>
      </c>
      <c r="V259" s="1514">
        <f>IF(U259=1,Cal!$BO$127,0)</f>
        <v>0</v>
      </c>
      <c r="W259" s="1517">
        <f>IF(U259=1,Adm!$HI$4,0)</f>
        <v>0</v>
      </c>
      <c r="X259" s="1518"/>
      <c r="Y259" s="1518"/>
      <c r="Z259" s="1518"/>
      <c r="AA259" s="1368">
        <f t="shared" si="59"/>
        <v>0</v>
      </c>
      <c r="AB259" s="1369">
        <f t="shared" ca="1" si="53"/>
        <v>0</v>
      </c>
      <c r="AF259" s="1370">
        <f t="shared" si="60"/>
        <v>0</v>
      </c>
      <c r="AG259" s="1373">
        <f t="shared" si="61"/>
        <v>0</v>
      </c>
      <c r="AH259" s="1371">
        <f t="shared" si="62"/>
        <v>0</v>
      </c>
      <c r="AI259" s="1359">
        <f>HLOOKUP($AI$66,anticipadofree,190,0)</f>
        <v>-8.4490555555555551E-4</v>
      </c>
      <c r="AK259" s="1360">
        <f t="shared" si="54"/>
        <v>-8.4490555555555551E-4</v>
      </c>
      <c r="AL259" s="1361">
        <f t="shared" si="65"/>
        <v>189</v>
      </c>
      <c r="AM259" s="1191">
        <f t="shared" si="63"/>
        <v>0.01</v>
      </c>
      <c r="AN259" s="1362">
        <f t="shared" si="55"/>
        <v>946.14616886545866</v>
      </c>
      <c r="AO259" s="1362">
        <f t="shared" si="47"/>
        <v>-946.14616886545866</v>
      </c>
      <c r="AP259" s="1362">
        <f t="shared" si="64"/>
        <v>0</v>
      </c>
      <c r="AQ259" s="1363">
        <f t="shared" si="56"/>
        <v>1120770.9155104919</v>
      </c>
    </row>
    <row r="260" spans="1:43">
      <c r="A260" s="1118">
        <f t="shared" ca="1" si="45"/>
        <v>1</v>
      </c>
      <c r="B260" s="1351">
        <f t="shared" si="46"/>
        <v>0</v>
      </c>
      <c r="C260" s="2143">
        <f t="shared" si="57"/>
        <v>0</v>
      </c>
      <c r="D260" s="2144">
        <f t="shared" si="66"/>
        <v>0</v>
      </c>
      <c r="E260" s="2145">
        <f t="shared" si="48"/>
        <v>0</v>
      </c>
      <c r="F260" s="2145">
        <f t="shared" si="49"/>
        <v>0</v>
      </c>
      <c r="G260" s="2145">
        <f t="shared" si="58"/>
        <v>0</v>
      </c>
      <c r="H260" s="2145">
        <f>IF(M259&lt;0.01,0,M259*Adm!$GV$4)</f>
        <v>0</v>
      </c>
      <c r="I260" s="2145">
        <f>IF(M259&lt;0.01,0,Cal!$BO$108*Adm!$GW$4)</f>
        <v>0</v>
      </c>
      <c r="J260" s="2145">
        <f>IF(M259&lt;0.01,0,IF(Adm!$GO$4&gt;0,E260*Adm!$GO$4,0))</f>
        <v>0</v>
      </c>
      <c r="K260" s="2145">
        <f t="shared" si="50"/>
        <v>0</v>
      </c>
      <c r="L260" s="2145">
        <f>IF(Adm!$GJ$4="si",MIN(M259+E260+H260+I260-K260,AB260),0)</f>
        <v>0</v>
      </c>
      <c r="M260" s="2145">
        <f t="shared" si="51"/>
        <v>0</v>
      </c>
      <c r="N260" s="2153"/>
      <c r="U260" s="1352">
        <f t="shared" si="52"/>
        <v>10</v>
      </c>
      <c r="V260" s="1514">
        <f>IF(U260=1,Cal!$BO$127,0)</f>
        <v>0</v>
      </c>
      <c r="W260" s="1517">
        <f>IF(U260=1,Adm!$HI$4,0)</f>
        <v>0</v>
      </c>
      <c r="X260" s="1518"/>
      <c r="Y260" s="1518"/>
      <c r="Z260" s="1518"/>
      <c r="AA260" s="1368">
        <f t="shared" si="59"/>
        <v>0</v>
      </c>
      <c r="AB260" s="1369">
        <f t="shared" ca="1" si="53"/>
        <v>0</v>
      </c>
      <c r="AF260" s="1370">
        <f t="shared" si="60"/>
        <v>0</v>
      </c>
      <c r="AG260" s="1373">
        <f t="shared" si="61"/>
        <v>0</v>
      </c>
      <c r="AH260" s="1371">
        <f t="shared" si="62"/>
        <v>0</v>
      </c>
      <c r="AI260" s="1359">
        <f>HLOOKUP($AI$66,anticipadofree,191,0)</f>
        <v>-8.4490555555555562E-4</v>
      </c>
      <c r="AK260" s="1360">
        <f t="shared" si="54"/>
        <v>-8.4490555555555562E-4</v>
      </c>
      <c r="AL260" s="1361">
        <f t="shared" si="65"/>
        <v>190</v>
      </c>
      <c r="AM260" s="1191">
        <f t="shared" si="63"/>
        <v>0.01</v>
      </c>
      <c r="AN260" s="1362">
        <f t="shared" si="55"/>
        <v>946.94557301990085</v>
      </c>
      <c r="AO260" s="1362">
        <f t="shared" si="47"/>
        <v>-946.94557301990085</v>
      </c>
      <c r="AP260" s="1362">
        <f t="shared" si="64"/>
        <v>0</v>
      </c>
      <c r="AQ260" s="1363">
        <f t="shared" si="56"/>
        <v>1121717.8610835117</v>
      </c>
    </row>
    <row r="261" spans="1:43">
      <c r="A261" s="1118">
        <f t="shared" ca="1" si="45"/>
        <v>2</v>
      </c>
      <c r="B261" s="1351">
        <f t="shared" si="46"/>
        <v>0</v>
      </c>
      <c r="C261" s="2143">
        <f t="shared" si="57"/>
        <v>0</v>
      </c>
      <c r="D261" s="2144">
        <f t="shared" si="66"/>
        <v>0</v>
      </c>
      <c r="E261" s="2145">
        <f t="shared" si="48"/>
        <v>0</v>
      </c>
      <c r="F261" s="2145">
        <f t="shared" si="49"/>
        <v>0</v>
      </c>
      <c r="G261" s="2145">
        <f t="shared" si="58"/>
        <v>0</v>
      </c>
      <c r="H261" s="2145">
        <f>IF(M260&lt;0.01,0,M260*Adm!$GV$4)</f>
        <v>0</v>
      </c>
      <c r="I261" s="2145">
        <f>IF(M260&lt;0.01,0,Cal!$BO$108*Adm!$GW$4)</f>
        <v>0</v>
      </c>
      <c r="J261" s="2145">
        <f>IF(M260&lt;0.01,0,IF(Adm!$GO$4&gt;0,E261*Adm!$GO$4,0))</f>
        <v>0</v>
      </c>
      <c r="K261" s="2145">
        <f t="shared" si="50"/>
        <v>0</v>
      </c>
      <c r="L261" s="2145">
        <f>IF(Adm!$GJ$4="si",MIN(M260+E261+H261+I261-K261,AB261),0)</f>
        <v>0</v>
      </c>
      <c r="M261" s="2145">
        <f t="shared" si="51"/>
        <v>0</v>
      </c>
      <c r="N261" s="2153"/>
      <c r="U261" s="1352">
        <f t="shared" si="52"/>
        <v>11</v>
      </c>
      <c r="V261" s="1514">
        <f>IF(U261=1,Cal!$BO$127,0)</f>
        <v>0</v>
      </c>
      <c r="W261" s="1517">
        <f>IF(U261=1,Adm!$HI$4,0)</f>
        <v>0</v>
      </c>
      <c r="X261" s="1518"/>
      <c r="Y261" s="1518"/>
      <c r="Z261" s="1518"/>
      <c r="AA261" s="1368">
        <f t="shared" si="59"/>
        <v>0</v>
      </c>
      <c r="AB261" s="1369">
        <f t="shared" ca="1" si="53"/>
        <v>0</v>
      </c>
      <c r="AF261" s="1370">
        <f t="shared" si="60"/>
        <v>0</v>
      </c>
      <c r="AG261" s="1373">
        <f t="shared" si="61"/>
        <v>0</v>
      </c>
      <c r="AH261" s="1371">
        <f t="shared" si="62"/>
        <v>0</v>
      </c>
      <c r="AI261" s="1359">
        <f>HLOOKUP($AI$66,anticipadofree,192,0)</f>
        <v>-8.4490555555555562E-4</v>
      </c>
      <c r="AK261" s="1360">
        <f t="shared" si="54"/>
        <v>-8.4490555555555562E-4</v>
      </c>
      <c r="AL261" s="1361">
        <f t="shared" si="65"/>
        <v>191</v>
      </c>
      <c r="AM261" s="1191">
        <f t="shared" si="63"/>
        <v>0.01</v>
      </c>
      <c r="AN261" s="1362">
        <f t="shared" si="55"/>
        <v>947.74565259535404</v>
      </c>
      <c r="AO261" s="1362">
        <f t="shared" si="47"/>
        <v>-947.74565259535404</v>
      </c>
      <c r="AP261" s="1362">
        <f t="shared" si="64"/>
        <v>0</v>
      </c>
      <c r="AQ261" s="1363">
        <f t="shared" si="56"/>
        <v>1122665.606736107</v>
      </c>
    </row>
    <row r="262" spans="1:43">
      <c r="A262" s="1118">
        <f t="shared" ca="1" si="45"/>
        <v>3</v>
      </c>
      <c r="B262" s="1351">
        <f t="shared" si="46"/>
        <v>0</v>
      </c>
      <c r="C262" s="2143">
        <f t="shared" si="57"/>
        <v>0</v>
      </c>
      <c r="D262" s="2144">
        <f t="shared" si="66"/>
        <v>0</v>
      </c>
      <c r="E262" s="2145">
        <f t="shared" si="48"/>
        <v>0</v>
      </c>
      <c r="F262" s="2145">
        <f t="shared" si="49"/>
        <v>0</v>
      </c>
      <c r="G262" s="2145">
        <f t="shared" si="58"/>
        <v>0</v>
      </c>
      <c r="H262" s="2145">
        <f>IF(M261&lt;0.01,0,M261*Adm!$GV$4)</f>
        <v>0</v>
      </c>
      <c r="I262" s="2145">
        <f>IF(M261&lt;0.01,0,Cal!$BO$108*Adm!$GW$4)</f>
        <v>0</v>
      </c>
      <c r="J262" s="2145">
        <f>IF(M261&lt;0.01,0,IF(Adm!$GO$4&gt;0,E262*Adm!$GO$4,0))</f>
        <v>0</v>
      </c>
      <c r="K262" s="2145">
        <f t="shared" si="50"/>
        <v>0</v>
      </c>
      <c r="L262" s="2145">
        <f>IF(Adm!$GJ$4="si",MIN(M261+E262+H262+I262-K262,AB262),0)</f>
        <v>0</v>
      </c>
      <c r="M262" s="2145">
        <f t="shared" si="51"/>
        <v>0</v>
      </c>
      <c r="N262" s="2153"/>
      <c r="U262" s="1352">
        <f t="shared" si="52"/>
        <v>12</v>
      </c>
      <c r="V262" s="1514">
        <f>IF(U262=1,Cal!$BO$127,0)</f>
        <v>0</v>
      </c>
      <c r="W262" s="1517">
        <f>IF(U262=1,Adm!$HI$4,0)</f>
        <v>0</v>
      </c>
      <c r="X262" s="1518"/>
      <c r="Y262" s="1518"/>
      <c r="Z262" s="1518"/>
      <c r="AA262" s="1368">
        <f t="shared" si="59"/>
        <v>0</v>
      </c>
      <c r="AB262" s="1369">
        <f t="shared" ca="1" si="53"/>
        <v>0</v>
      </c>
      <c r="AF262" s="1370">
        <f t="shared" si="60"/>
        <v>0</v>
      </c>
      <c r="AG262" s="1373">
        <f t="shared" si="61"/>
        <v>0</v>
      </c>
      <c r="AH262" s="1371">
        <f t="shared" si="62"/>
        <v>0</v>
      </c>
      <c r="AI262" s="1359">
        <f>HLOOKUP($AI$66,anticipadofree,193,0)</f>
        <v>-8.4490555555555562E-4</v>
      </c>
      <c r="AK262" s="1360">
        <f t="shared" si="54"/>
        <v>-8.4490555555555562E-4</v>
      </c>
      <c r="AL262" s="1361">
        <f t="shared" si="65"/>
        <v>192</v>
      </c>
      <c r="AM262" s="1191">
        <f t="shared" si="63"/>
        <v>0.01</v>
      </c>
      <c r="AN262" s="1362">
        <f t="shared" si="55"/>
        <v>948.54640816248548</v>
      </c>
      <c r="AO262" s="1362">
        <f t="shared" si="47"/>
        <v>-948.54640816248548</v>
      </c>
      <c r="AP262" s="1362">
        <f t="shared" si="64"/>
        <v>0</v>
      </c>
      <c r="AQ262" s="1363">
        <f t="shared" si="56"/>
        <v>1123614.1531442695</v>
      </c>
    </row>
    <row r="263" spans="1:43">
      <c r="A263" s="1118">
        <f t="shared" ref="A263:A310" ca="1" si="67">IF(A262=12,1,A262+1)</f>
        <v>4</v>
      </c>
      <c r="B263" s="1351">
        <f t="shared" ref="B263:B310" si="68">IF(M262&gt;0,B262-1,0)</f>
        <v>0</v>
      </c>
      <c r="C263" s="2143">
        <f t="shared" si="57"/>
        <v>0</v>
      </c>
      <c r="D263" s="2144">
        <f t="shared" si="66"/>
        <v>0</v>
      </c>
      <c r="E263" s="2145">
        <f t="shared" si="48"/>
        <v>0</v>
      </c>
      <c r="F263" s="2145">
        <f t="shared" si="49"/>
        <v>0</v>
      </c>
      <c r="G263" s="2145">
        <f t="shared" si="58"/>
        <v>0</v>
      </c>
      <c r="H263" s="2145">
        <f>IF(M262&lt;0.01,0,M262*Adm!$GV$4)</f>
        <v>0</v>
      </c>
      <c r="I263" s="2145">
        <f>IF(M262&lt;0.01,0,Cal!$BO$108*Adm!$GW$4)</f>
        <v>0</v>
      </c>
      <c r="J263" s="2145">
        <f>IF(M262&lt;0.01,0,IF(Adm!$GO$4&gt;0,E263*Adm!$GO$4,0))</f>
        <v>0</v>
      </c>
      <c r="K263" s="2145">
        <f t="shared" si="50"/>
        <v>0</v>
      </c>
      <c r="L263" s="2145">
        <f>IF(Adm!$GJ$4="si",MIN(M262+E263+H263+I263-K263,AB263),0)</f>
        <v>0</v>
      </c>
      <c r="M263" s="2145">
        <f t="shared" si="51"/>
        <v>0</v>
      </c>
      <c r="N263" s="2153"/>
      <c r="U263" s="1352">
        <f t="shared" si="52"/>
        <v>1</v>
      </c>
      <c r="V263" s="1514">
        <f>IF(U263=1,Cal!$BO$127,0)</f>
        <v>0</v>
      </c>
      <c r="W263" s="1517">
        <f>IF(U263=1,Adm!$HI$4,0)</f>
        <v>2.5000000000000001E-3</v>
      </c>
      <c r="X263" s="1518"/>
      <c r="Y263" s="1518"/>
      <c r="Z263" s="1518"/>
      <c r="AA263" s="1368">
        <f t="shared" si="59"/>
        <v>0</v>
      </c>
      <c r="AB263" s="1369">
        <f t="shared" ca="1" si="53"/>
        <v>0</v>
      </c>
      <c r="AF263" s="1370">
        <f t="shared" si="60"/>
        <v>0</v>
      </c>
      <c r="AG263" s="1373">
        <f t="shared" si="61"/>
        <v>0</v>
      </c>
      <c r="AH263" s="1371">
        <f t="shared" si="62"/>
        <v>0</v>
      </c>
      <c r="AI263" s="1359">
        <f>HLOOKUP($AI$66,anticipadofree,194,0)</f>
        <v>-8.4490555555555551E-4</v>
      </c>
      <c r="AK263" s="1360">
        <f t="shared" si="54"/>
        <v>-8.4490555555555551E-4</v>
      </c>
      <c r="AL263" s="1377">
        <f t="shared" si="65"/>
        <v>193</v>
      </c>
      <c r="AM263" s="1516">
        <f t="shared" si="63"/>
        <v>0.01</v>
      </c>
      <c r="AN263" s="1378">
        <f t="shared" si="55"/>
        <v>949.34784029244406</v>
      </c>
      <c r="AO263" s="1378">
        <f t="shared" ref="AO263:AO310" si="69">AP263-AN263</f>
        <v>-949.34784029244406</v>
      </c>
      <c r="AP263" s="1378">
        <f>MIN(AQ262+AN263,AP262*(1+$AN$66))</f>
        <v>0</v>
      </c>
      <c r="AQ263" s="1363">
        <f t="shared" si="56"/>
        <v>1124563.5009845619</v>
      </c>
    </row>
    <row r="264" spans="1:43">
      <c r="A264" s="1118">
        <f t="shared" ca="1" si="67"/>
        <v>5</v>
      </c>
      <c r="B264" s="1351">
        <f t="shared" si="68"/>
        <v>0</v>
      </c>
      <c r="C264" s="2143">
        <f t="shared" si="57"/>
        <v>0</v>
      </c>
      <c r="D264" s="2144">
        <f t="shared" si="66"/>
        <v>0</v>
      </c>
      <c r="E264" s="2145">
        <f t="shared" ref="E264:E310" si="70">IF(M263&lt;0.01,0,M263*D264*30.4166/360)</f>
        <v>0</v>
      </c>
      <c r="F264" s="2145">
        <f t="shared" ref="F264:F310" si="71">IF(M263&lt;0.01,0,G264-E264)</f>
        <v>0</v>
      </c>
      <c r="G264" s="2145">
        <f t="shared" si="58"/>
        <v>0</v>
      </c>
      <c r="H264" s="2145">
        <f>IF(M263&lt;0.01,0,M263*Adm!$GV$4)</f>
        <v>0</v>
      </c>
      <c r="I264" s="2145">
        <f>IF(M263&lt;0.01,0,Cal!$BO$108*Adm!$GW$4)</f>
        <v>0</v>
      </c>
      <c r="J264" s="2145">
        <f>IF(M263&lt;0.01,0,IF(Adm!$GO$4&gt;0,E264*Adm!$GO$4,0))</f>
        <v>0</v>
      </c>
      <c r="K264" s="2145">
        <f t="shared" ref="K264:K310" si="72">G264+H264+I264+J264</f>
        <v>0</v>
      </c>
      <c r="L264" s="2145">
        <f>IF(Adm!$GJ$4="si",MIN(M263+E264+H264+I264-K264,AB264),0)</f>
        <v>0</v>
      </c>
      <c r="M264" s="2145">
        <f t="shared" ref="M264:M310" si="73">IF(M263&lt;0.001,0,+M263-F264-L264-N264)</f>
        <v>0</v>
      </c>
      <c r="N264" s="2153"/>
      <c r="U264" s="1352">
        <f t="shared" ref="U264:U310" si="74">IF(U263=12,1,U263+1)</f>
        <v>2</v>
      </c>
      <c r="V264" s="1514">
        <f>IF(U264=1,Cal!$BO$127,0)</f>
        <v>0</v>
      </c>
      <c r="W264" s="1517">
        <f>IF(U264=1,Adm!$HI$4,0)</f>
        <v>0</v>
      </c>
      <c r="X264" s="1518"/>
      <c r="Y264" s="1518"/>
      <c r="Z264" s="1518"/>
      <c r="AA264" s="1368">
        <f t="shared" si="59"/>
        <v>0</v>
      </c>
      <c r="AB264" s="1369">
        <f t="shared" ref="AB264:AB310" ca="1" si="75">IF(MOD(A264,2)=0,AA264*0.05*2,0)</f>
        <v>0</v>
      </c>
      <c r="AF264" s="1370">
        <f t="shared" si="60"/>
        <v>0</v>
      </c>
      <c r="AG264" s="1373">
        <f t="shared" si="61"/>
        <v>0</v>
      </c>
      <c r="AH264" s="1371">
        <f t="shared" si="62"/>
        <v>0</v>
      </c>
      <c r="AI264" s="1359">
        <f>HLOOKUP($AI$66,anticipadofree,195,0)</f>
        <v>-8.4490555555555551E-4</v>
      </c>
      <c r="AK264" s="1360">
        <f t="shared" ref="AK264:AK310" si="76">AO264/AQ263</f>
        <v>-8.4490555555555551E-4</v>
      </c>
      <c r="AL264" s="1361">
        <f t="shared" si="65"/>
        <v>194</v>
      </c>
      <c r="AM264" s="1191">
        <f t="shared" si="63"/>
        <v>0.01</v>
      </c>
      <c r="AN264" s="1362">
        <f t="shared" ref="AN264:AN310" si="77">AQ263*AM264*30.4166/360</f>
        <v>950.14994955686177</v>
      </c>
      <c r="AO264" s="1362">
        <f t="shared" si="69"/>
        <v>-950.14994955686177</v>
      </c>
      <c r="AP264" s="1362">
        <f t="shared" si="64"/>
        <v>0</v>
      </c>
      <c r="AQ264" s="1363">
        <f t="shared" ref="AQ264:AQ310" si="78">IF(AQ263&lt;0.001,0,AQ263-AO264-AR264)</f>
        <v>1125513.6509341188</v>
      </c>
    </row>
    <row r="265" spans="1:43">
      <c r="A265" s="1118">
        <f t="shared" ca="1" si="67"/>
        <v>6</v>
      </c>
      <c r="B265" s="1351">
        <f t="shared" si="68"/>
        <v>0</v>
      </c>
      <c r="C265" s="2143">
        <f t="shared" ref="C265:C310" si="79">IF(M264&lt;0.01,0,C264+1)</f>
        <v>0</v>
      </c>
      <c r="D265" s="2144">
        <f t="shared" si="66"/>
        <v>0</v>
      </c>
      <c r="E265" s="2145">
        <f t="shared" si="70"/>
        <v>0</v>
      </c>
      <c r="F265" s="2145">
        <f t="shared" si="71"/>
        <v>0</v>
      </c>
      <c r="G265" s="2145">
        <f t="shared" ref="G265:G310" si="80">IF(M264&lt;0.01,0,MIN(M264+E265,IF(AF265&gt;0,AF265,G264*(1+V265))))</f>
        <v>0</v>
      </c>
      <c r="H265" s="2145">
        <f>IF(M264&lt;0.01,0,M264*Adm!$GV$4)</f>
        <v>0</v>
      </c>
      <c r="I265" s="2145">
        <f>IF(M264&lt;0.01,0,Cal!$BO$108*Adm!$GW$4)</f>
        <v>0</v>
      </c>
      <c r="J265" s="2145">
        <f>IF(M264&lt;0.01,0,IF(Adm!$GO$4&gt;0,E265*Adm!$GO$4,0))</f>
        <v>0</v>
      </c>
      <c r="K265" s="2145">
        <f t="shared" si="72"/>
        <v>0</v>
      </c>
      <c r="L265" s="2145">
        <f>IF(Adm!$GJ$4="si",MIN(M264+E265+H265+I265-K265,AB265),0)</f>
        <v>0</v>
      </c>
      <c r="M265" s="2145">
        <f t="shared" si="73"/>
        <v>0</v>
      </c>
      <c r="N265" s="2153"/>
      <c r="U265" s="1352">
        <f t="shared" si="74"/>
        <v>3</v>
      </c>
      <c r="V265" s="1514">
        <f>IF(U265=1,Cal!$BO$127,0)</f>
        <v>0</v>
      </c>
      <c r="W265" s="1517">
        <f>IF(U265=1,Adm!$HI$4,0)</f>
        <v>0</v>
      </c>
      <c r="X265" s="1518"/>
      <c r="Y265" s="1518"/>
      <c r="Z265" s="1518"/>
      <c r="AA265" s="1368">
        <f t="shared" ref="AA265:AA310" si="81">AA264</f>
        <v>0</v>
      </c>
      <c r="AB265" s="1369">
        <f t="shared" ca="1" si="75"/>
        <v>0</v>
      </c>
      <c r="AF265" s="1370">
        <f t="shared" ref="AF265:AF310" si="82">IF(AG265&gt;1,AG265,0)</f>
        <v>0</v>
      </c>
      <c r="AG265" s="1373">
        <f t="shared" ref="AG265:AG310" si="83">IF(AND(AH265&gt;0.01,$AF$65=2),AH265,0)</f>
        <v>0</v>
      </c>
      <c r="AH265" s="1371">
        <f t="shared" ref="AH265:AH310" si="84">IF(N264&lt;0.01,0,IF($AF$65=2,M264*AI265)+E265)</f>
        <v>0</v>
      </c>
      <c r="AI265" s="1359">
        <f>HLOOKUP($AI$66,anticipadofree,196,0)</f>
        <v>-8.4490555555555551E-4</v>
      </c>
      <c r="AK265" s="1360">
        <f t="shared" si="76"/>
        <v>-8.4490555555555551E-4</v>
      </c>
      <c r="AL265" s="1361">
        <f t="shared" si="65"/>
        <v>195</v>
      </c>
      <c r="AM265" s="1191">
        <f t="shared" ref="AM265:AM310" si="85">AM264</f>
        <v>0.01</v>
      </c>
      <c r="AN265" s="1362">
        <f t="shared" si="77"/>
        <v>950.95273652785318</v>
      </c>
      <c r="AO265" s="1362">
        <f t="shared" si="69"/>
        <v>-950.95273652785318</v>
      </c>
      <c r="AP265" s="1362">
        <f t="shared" ref="AP265:AP310" si="86">MIN(AQ264+AN265,AP264)</f>
        <v>0</v>
      </c>
      <c r="AQ265" s="1363">
        <f t="shared" si="78"/>
        <v>1126464.6036706467</v>
      </c>
    </row>
    <row r="266" spans="1:43">
      <c r="A266" s="1118">
        <f t="shared" ca="1" si="67"/>
        <v>7</v>
      </c>
      <c r="B266" s="1351">
        <f t="shared" si="68"/>
        <v>0</v>
      </c>
      <c r="C266" s="2143">
        <f t="shared" si="79"/>
        <v>0</v>
      </c>
      <c r="D266" s="2144">
        <f t="shared" si="66"/>
        <v>0</v>
      </c>
      <c r="E266" s="2145">
        <f t="shared" si="70"/>
        <v>0</v>
      </c>
      <c r="F266" s="2145">
        <f t="shared" si="71"/>
        <v>0</v>
      </c>
      <c r="G266" s="2145">
        <f t="shared" si="80"/>
        <v>0</v>
      </c>
      <c r="H266" s="2145">
        <f>IF(M265&lt;0.01,0,M265*Adm!$GV$4)</f>
        <v>0</v>
      </c>
      <c r="I266" s="2145">
        <f>IF(M265&lt;0.01,0,Cal!$BO$108*Adm!$GW$4)</f>
        <v>0</v>
      </c>
      <c r="J266" s="2145">
        <f>IF(M265&lt;0.01,0,IF(Adm!$GO$4&gt;0,E266*Adm!$GO$4,0))</f>
        <v>0</v>
      </c>
      <c r="K266" s="2145">
        <f t="shared" si="72"/>
        <v>0</v>
      </c>
      <c r="L266" s="2145">
        <f>IF(Adm!$GJ$4="si",MIN(M265+E266+H266+I266-K266,AB266),0)</f>
        <v>0</v>
      </c>
      <c r="M266" s="2145">
        <f t="shared" si="73"/>
        <v>0</v>
      </c>
      <c r="N266" s="2153"/>
      <c r="U266" s="1352">
        <f t="shared" si="74"/>
        <v>4</v>
      </c>
      <c r="V266" s="1514">
        <f>IF(U266=1,Cal!$BO$127,0)</f>
        <v>0</v>
      </c>
      <c r="W266" s="1517">
        <f>IF(U266=1,Adm!$HI$4,0)</f>
        <v>0</v>
      </c>
      <c r="X266" s="1518"/>
      <c r="Y266" s="1518"/>
      <c r="Z266" s="1518"/>
      <c r="AA266" s="1368">
        <f t="shared" si="81"/>
        <v>0</v>
      </c>
      <c r="AB266" s="1369">
        <f t="shared" ca="1" si="75"/>
        <v>0</v>
      </c>
      <c r="AF266" s="1370">
        <f t="shared" si="82"/>
        <v>0</v>
      </c>
      <c r="AG266" s="1373">
        <f t="shared" si="83"/>
        <v>0</v>
      </c>
      <c r="AH266" s="1371">
        <f t="shared" si="84"/>
        <v>0</v>
      </c>
      <c r="AI266" s="1359">
        <f>HLOOKUP($AI$66,anticipadofree,197,0)</f>
        <v>-8.4490555555555562E-4</v>
      </c>
      <c r="AK266" s="1360">
        <f t="shared" si="76"/>
        <v>-8.4490555555555562E-4</v>
      </c>
      <c r="AL266" s="1361">
        <f t="shared" ref="AL266:AL310" si="87">IF(AQ265&lt;=0,"",AL265+1)</f>
        <v>196</v>
      </c>
      <c r="AM266" s="1191">
        <f t="shared" si="85"/>
        <v>0.01</v>
      </c>
      <c r="AN266" s="1362">
        <f t="shared" si="77"/>
        <v>951.75620177801648</v>
      </c>
      <c r="AO266" s="1362">
        <f t="shared" si="69"/>
        <v>-951.75620177801648</v>
      </c>
      <c r="AP266" s="1362">
        <f t="shared" si="86"/>
        <v>0</v>
      </c>
      <c r="AQ266" s="1363">
        <f t="shared" si="78"/>
        <v>1127416.3598724247</v>
      </c>
    </row>
    <row r="267" spans="1:43">
      <c r="A267" s="1118">
        <f t="shared" ca="1" si="67"/>
        <v>8</v>
      </c>
      <c r="B267" s="1351">
        <f t="shared" si="68"/>
        <v>0</v>
      </c>
      <c r="C267" s="2143">
        <f t="shared" si="79"/>
        <v>0</v>
      </c>
      <c r="D267" s="2144">
        <f t="shared" si="66"/>
        <v>0</v>
      </c>
      <c r="E267" s="2145">
        <f t="shared" si="70"/>
        <v>0</v>
      </c>
      <c r="F267" s="2145">
        <f t="shared" si="71"/>
        <v>0</v>
      </c>
      <c r="G267" s="2145">
        <f t="shared" si="80"/>
        <v>0</v>
      </c>
      <c r="H267" s="2145">
        <f>IF(M266&lt;0.01,0,M266*Adm!$GV$4)</f>
        <v>0</v>
      </c>
      <c r="I267" s="2145">
        <f>IF(M266&lt;0.01,0,Cal!$BO$108*Adm!$GW$4)</f>
        <v>0</v>
      </c>
      <c r="J267" s="2145">
        <f>IF(M266&lt;0.01,0,IF(Adm!$GO$4&gt;0,E267*Adm!$GO$4,0))</f>
        <v>0</v>
      </c>
      <c r="K267" s="2145">
        <f t="shared" si="72"/>
        <v>0</v>
      </c>
      <c r="L267" s="2145">
        <f>IF(Adm!$GJ$4="si",MIN(M266+E267+H267+I267-K267,AB267),0)</f>
        <v>0</v>
      </c>
      <c r="M267" s="2145">
        <f t="shared" si="73"/>
        <v>0</v>
      </c>
      <c r="N267" s="2153"/>
      <c r="U267" s="1352">
        <f t="shared" si="74"/>
        <v>5</v>
      </c>
      <c r="V267" s="1514">
        <f>IF(U267=1,Cal!$BO$127,0)</f>
        <v>0</v>
      </c>
      <c r="W267" s="1517">
        <f>IF(U267=1,Adm!$HI$4,0)</f>
        <v>0</v>
      </c>
      <c r="X267" s="1518"/>
      <c r="Y267" s="1518"/>
      <c r="Z267" s="1518"/>
      <c r="AA267" s="1368">
        <f t="shared" si="81"/>
        <v>0</v>
      </c>
      <c r="AB267" s="1369">
        <f t="shared" ca="1" si="75"/>
        <v>0</v>
      </c>
      <c r="AF267" s="1370">
        <f t="shared" si="82"/>
        <v>0</v>
      </c>
      <c r="AG267" s="1373">
        <f t="shared" si="83"/>
        <v>0</v>
      </c>
      <c r="AH267" s="1371">
        <f t="shared" si="84"/>
        <v>0</v>
      </c>
      <c r="AI267" s="1359">
        <f>HLOOKUP($AI$66,anticipadofree,198,0)</f>
        <v>-8.4490555555555562E-4</v>
      </c>
      <c r="AK267" s="1360">
        <f t="shared" si="76"/>
        <v>-8.4490555555555562E-4</v>
      </c>
      <c r="AL267" s="1361">
        <f t="shared" si="87"/>
        <v>197</v>
      </c>
      <c r="AM267" s="1191">
        <f t="shared" si="85"/>
        <v>0.01</v>
      </c>
      <c r="AN267" s="1362">
        <f t="shared" si="77"/>
        <v>952.56034588043326</v>
      </c>
      <c r="AO267" s="1362">
        <f t="shared" si="69"/>
        <v>-952.56034588043326</v>
      </c>
      <c r="AP267" s="1362">
        <f t="shared" si="86"/>
        <v>0</v>
      </c>
      <c r="AQ267" s="1363">
        <f t="shared" si="78"/>
        <v>1128368.9202183052</v>
      </c>
    </row>
    <row r="268" spans="1:43">
      <c r="A268" s="1118">
        <f t="shared" ca="1" si="67"/>
        <v>9</v>
      </c>
      <c r="B268" s="1351">
        <f t="shared" si="68"/>
        <v>0</v>
      </c>
      <c r="C268" s="2143">
        <f t="shared" si="79"/>
        <v>0</v>
      </c>
      <c r="D268" s="2144">
        <f t="shared" si="66"/>
        <v>0</v>
      </c>
      <c r="E268" s="2145">
        <f t="shared" si="70"/>
        <v>0</v>
      </c>
      <c r="F268" s="2145">
        <f t="shared" si="71"/>
        <v>0</v>
      </c>
      <c r="G268" s="2145">
        <f t="shared" si="80"/>
        <v>0</v>
      </c>
      <c r="H268" s="2145">
        <f>IF(M267&lt;0.01,0,M267*Adm!$GV$4)</f>
        <v>0</v>
      </c>
      <c r="I268" s="2145">
        <f>IF(M267&lt;0.01,0,Cal!$BO$108*Adm!$GW$4)</f>
        <v>0</v>
      </c>
      <c r="J268" s="2145">
        <f>IF(M267&lt;0.01,0,IF(Adm!$GO$4&gt;0,E268*Adm!$GO$4,0))</f>
        <v>0</v>
      </c>
      <c r="K268" s="2145">
        <f t="shared" si="72"/>
        <v>0</v>
      </c>
      <c r="L268" s="2145">
        <f>IF(Adm!$GJ$4="si",MIN(M267+E268+H268+I268-K268,AB268),0)</f>
        <v>0</v>
      </c>
      <c r="M268" s="2145">
        <f t="shared" si="73"/>
        <v>0</v>
      </c>
      <c r="N268" s="2153"/>
      <c r="U268" s="1352">
        <f t="shared" si="74"/>
        <v>6</v>
      </c>
      <c r="V268" s="1514">
        <f>IF(U268=1,Cal!$BO$127,0)</f>
        <v>0</v>
      </c>
      <c r="W268" s="1517">
        <f>IF(U268=1,Adm!$HI$4,0)</f>
        <v>0</v>
      </c>
      <c r="X268" s="1518"/>
      <c r="Y268" s="1518"/>
      <c r="Z268" s="1518"/>
      <c r="AA268" s="1368">
        <f t="shared" si="81"/>
        <v>0</v>
      </c>
      <c r="AB268" s="1369">
        <f t="shared" ca="1" si="75"/>
        <v>0</v>
      </c>
      <c r="AF268" s="1370">
        <f t="shared" si="82"/>
        <v>0</v>
      </c>
      <c r="AG268" s="1373">
        <f t="shared" si="83"/>
        <v>0</v>
      </c>
      <c r="AH268" s="1371">
        <f t="shared" si="84"/>
        <v>0</v>
      </c>
      <c r="AI268" s="1359">
        <f>HLOOKUP($AI$66,anticipadofree,199,0)</f>
        <v>-8.4490555555555551E-4</v>
      </c>
      <c r="AK268" s="1360">
        <f t="shared" si="76"/>
        <v>-8.4490555555555551E-4</v>
      </c>
      <c r="AL268" s="1361">
        <f t="shared" si="87"/>
        <v>198</v>
      </c>
      <c r="AM268" s="1191">
        <f t="shared" si="85"/>
        <v>0.01</v>
      </c>
      <c r="AN268" s="1362">
        <f t="shared" si="77"/>
        <v>953.36516940866943</v>
      </c>
      <c r="AO268" s="1362">
        <f t="shared" si="69"/>
        <v>-953.36516940866943</v>
      </c>
      <c r="AP268" s="1362">
        <f t="shared" si="86"/>
        <v>0</v>
      </c>
      <c r="AQ268" s="1363">
        <f t="shared" si="78"/>
        <v>1129322.2853877139</v>
      </c>
    </row>
    <row r="269" spans="1:43">
      <c r="A269" s="1118">
        <f t="shared" ca="1" si="67"/>
        <v>10</v>
      </c>
      <c r="B269" s="1351">
        <f t="shared" si="68"/>
        <v>0</v>
      </c>
      <c r="C269" s="2143">
        <f t="shared" si="79"/>
        <v>0</v>
      </c>
      <c r="D269" s="2144">
        <f t="shared" si="66"/>
        <v>0</v>
      </c>
      <c r="E269" s="2145">
        <f t="shared" si="70"/>
        <v>0</v>
      </c>
      <c r="F269" s="2145">
        <f t="shared" si="71"/>
        <v>0</v>
      </c>
      <c r="G269" s="2145">
        <f t="shared" si="80"/>
        <v>0</v>
      </c>
      <c r="H269" s="2145">
        <f>IF(M268&lt;0.01,0,M268*Adm!$GV$4)</f>
        <v>0</v>
      </c>
      <c r="I269" s="2145">
        <f>IF(M268&lt;0.01,0,Cal!$BO$108*Adm!$GW$4)</f>
        <v>0</v>
      </c>
      <c r="J269" s="2145">
        <f>IF(M268&lt;0.01,0,IF(Adm!$GO$4&gt;0,E269*Adm!$GO$4,0))</f>
        <v>0</v>
      </c>
      <c r="K269" s="2145">
        <f t="shared" si="72"/>
        <v>0</v>
      </c>
      <c r="L269" s="2145">
        <f>IF(Adm!$GJ$4="si",MIN(M268+E269+H269+I269-K269,AB269),0)</f>
        <v>0</v>
      </c>
      <c r="M269" s="2145">
        <f t="shared" si="73"/>
        <v>0</v>
      </c>
      <c r="N269" s="2153"/>
      <c r="U269" s="1352">
        <f t="shared" si="74"/>
        <v>7</v>
      </c>
      <c r="V269" s="1514">
        <f>IF(U269=1,Cal!$BO$127,0)</f>
        <v>0</v>
      </c>
      <c r="W269" s="1517">
        <f>IF(U269=1,Adm!$HI$4,0)</f>
        <v>0</v>
      </c>
      <c r="X269" s="1518"/>
      <c r="Y269" s="1518"/>
      <c r="Z269" s="1518"/>
      <c r="AA269" s="1368">
        <f t="shared" si="81"/>
        <v>0</v>
      </c>
      <c r="AB269" s="1369">
        <f t="shared" ca="1" si="75"/>
        <v>0</v>
      </c>
      <c r="AF269" s="1370">
        <f t="shared" si="82"/>
        <v>0</v>
      </c>
      <c r="AG269" s="1373">
        <f t="shared" si="83"/>
        <v>0</v>
      </c>
      <c r="AH269" s="1371">
        <f t="shared" si="84"/>
        <v>0</v>
      </c>
      <c r="AI269" s="1359">
        <f>HLOOKUP($AI$66,anticipadofree,200,0)</f>
        <v>-8.4490555555555541E-4</v>
      </c>
      <c r="AK269" s="1360">
        <f t="shared" si="76"/>
        <v>-8.4490555555555541E-4</v>
      </c>
      <c r="AL269" s="1361">
        <f t="shared" si="87"/>
        <v>199</v>
      </c>
      <c r="AM269" s="1191">
        <f t="shared" si="85"/>
        <v>0.01</v>
      </c>
      <c r="AN269" s="1362">
        <f t="shared" si="77"/>
        <v>954.17067293677599</v>
      </c>
      <c r="AO269" s="1362">
        <f t="shared" si="69"/>
        <v>-954.17067293677599</v>
      </c>
      <c r="AP269" s="1362">
        <f t="shared" si="86"/>
        <v>0</v>
      </c>
      <c r="AQ269" s="1363">
        <f t="shared" si="78"/>
        <v>1130276.4560606508</v>
      </c>
    </row>
    <row r="270" spans="1:43">
      <c r="A270" s="1118">
        <f t="shared" ca="1" si="67"/>
        <v>11</v>
      </c>
      <c r="B270" s="1351">
        <f t="shared" si="68"/>
        <v>0</v>
      </c>
      <c r="C270" s="2143">
        <f t="shared" si="79"/>
        <v>0</v>
      </c>
      <c r="D270" s="2144">
        <f t="shared" si="66"/>
        <v>0</v>
      </c>
      <c r="E270" s="2145">
        <f t="shared" si="70"/>
        <v>0</v>
      </c>
      <c r="F270" s="2145">
        <f t="shared" si="71"/>
        <v>0</v>
      </c>
      <c r="G270" s="2145">
        <f t="shared" si="80"/>
        <v>0</v>
      </c>
      <c r="H270" s="2145">
        <f>IF(M269&lt;0.01,0,M269*Adm!$GV$4)</f>
        <v>0</v>
      </c>
      <c r="I270" s="2145">
        <f>IF(M269&lt;0.01,0,Cal!$BO$108*Adm!$GW$4)</f>
        <v>0</v>
      </c>
      <c r="J270" s="2145">
        <f>IF(M269&lt;0.01,0,IF(Adm!$GO$4&gt;0,E270*Adm!$GO$4,0))</f>
        <v>0</v>
      </c>
      <c r="K270" s="2145">
        <f t="shared" si="72"/>
        <v>0</v>
      </c>
      <c r="L270" s="2145">
        <f>IF(Adm!$GJ$4="si",MIN(M269+E270+H270+I270-K270,AB270),0)</f>
        <v>0</v>
      </c>
      <c r="M270" s="2145">
        <f t="shared" si="73"/>
        <v>0</v>
      </c>
      <c r="N270" s="2153"/>
      <c r="U270" s="1352">
        <f t="shared" si="74"/>
        <v>8</v>
      </c>
      <c r="V270" s="1514">
        <f>IF(U270=1,Cal!$BO$127,0)</f>
        <v>0</v>
      </c>
      <c r="W270" s="1517">
        <f>IF(U270=1,Adm!$HI$4,0)</f>
        <v>0</v>
      </c>
      <c r="X270" s="1518"/>
      <c r="Y270" s="1518"/>
      <c r="Z270" s="1518"/>
      <c r="AA270" s="1368">
        <f t="shared" si="81"/>
        <v>0</v>
      </c>
      <c r="AB270" s="1369">
        <f t="shared" ca="1" si="75"/>
        <v>0</v>
      </c>
      <c r="AF270" s="1370">
        <f t="shared" si="82"/>
        <v>0</v>
      </c>
      <c r="AG270" s="1373">
        <f t="shared" si="83"/>
        <v>0</v>
      </c>
      <c r="AH270" s="1371">
        <f t="shared" si="84"/>
        <v>0</v>
      </c>
      <c r="AI270" s="1359">
        <f>HLOOKUP($AI$66,anticipadofree,201,0)</f>
        <v>-8.4490555555555551E-4</v>
      </c>
      <c r="AK270" s="1360">
        <f t="shared" si="76"/>
        <v>-8.4490555555555551E-4</v>
      </c>
      <c r="AL270" s="1361">
        <f t="shared" si="87"/>
        <v>200</v>
      </c>
      <c r="AM270" s="1191">
        <f t="shared" si="85"/>
        <v>0.01</v>
      </c>
      <c r="AN270" s="1362">
        <f t="shared" si="77"/>
        <v>954.97685703928857</v>
      </c>
      <c r="AO270" s="1362">
        <f t="shared" si="69"/>
        <v>-954.97685703928857</v>
      </c>
      <c r="AP270" s="1362">
        <f t="shared" si="86"/>
        <v>0</v>
      </c>
      <c r="AQ270" s="1363">
        <f t="shared" si="78"/>
        <v>1131231.4329176901</v>
      </c>
    </row>
    <row r="271" spans="1:43">
      <c r="A271" s="1118">
        <f t="shared" ca="1" si="67"/>
        <v>12</v>
      </c>
      <c r="B271" s="1351">
        <f t="shared" si="68"/>
        <v>0</v>
      </c>
      <c r="C271" s="2143">
        <f t="shared" si="79"/>
        <v>0</v>
      </c>
      <c r="D271" s="2144">
        <f t="shared" si="66"/>
        <v>0</v>
      </c>
      <c r="E271" s="2145">
        <f t="shared" si="70"/>
        <v>0</v>
      </c>
      <c r="F271" s="2145">
        <f t="shared" si="71"/>
        <v>0</v>
      </c>
      <c r="G271" s="2145">
        <f t="shared" si="80"/>
        <v>0</v>
      </c>
      <c r="H271" s="2145">
        <f>IF(M270&lt;0.01,0,M270*Adm!$GV$4)</f>
        <v>0</v>
      </c>
      <c r="I271" s="2145">
        <f>IF(M270&lt;0.01,0,Cal!$BO$108*Adm!$GW$4)</f>
        <v>0</v>
      </c>
      <c r="J271" s="2145">
        <f>IF(M270&lt;0.01,0,IF(Adm!$GO$4&gt;0,E271*Adm!$GO$4,0))</f>
        <v>0</v>
      </c>
      <c r="K271" s="2145">
        <f t="shared" si="72"/>
        <v>0</v>
      </c>
      <c r="L271" s="2145">
        <f>IF(Adm!$GJ$4="si",MIN(M270+E271+H271+I271-K271,AB271),0)</f>
        <v>0</v>
      </c>
      <c r="M271" s="2145">
        <f t="shared" si="73"/>
        <v>0</v>
      </c>
      <c r="N271" s="2153"/>
      <c r="U271" s="1352">
        <f t="shared" si="74"/>
        <v>9</v>
      </c>
      <c r="V271" s="1514">
        <f>IF(U271=1,Cal!$BO$127,0)</f>
        <v>0</v>
      </c>
      <c r="W271" s="1517">
        <f>IF(U271=1,Adm!$HI$4,0)</f>
        <v>0</v>
      </c>
      <c r="X271" s="1518"/>
      <c r="Y271" s="1518"/>
      <c r="Z271" s="1518"/>
      <c r="AA271" s="1368">
        <f t="shared" si="81"/>
        <v>0</v>
      </c>
      <c r="AB271" s="1369">
        <f t="shared" ca="1" si="75"/>
        <v>0</v>
      </c>
      <c r="AF271" s="1370">
        <f t="shared" si="82"/>
        <v>0</v>
      </c>
      <c r="AG271" s="1373">
        <f t="shared" si="83"/>
        <v>0</v>
      </c>
      <c r="AH271" s="1371">
        <f t="shared" si="84"/>
        <v>0</v>
      </c>
      <c r="AI271" s="1359">
        <f>HLOOKUP($AI$66,anticipadofree,202,0)</f>
        <v>-8.4490555555555551E-4</v>
      </c>
      <c r="AK271" s="1360">
        <f t="shared" si="76"/>
        <v>-8.4490555555555551E-4</v>
      </c>
      <c r="AL271" s="1361">
        <f t="shared" si="87"/>
        <v>201</v>
      </c>
      <c r="AM271" s="1191">
        <f t="shared" si="85"/>
        <v>0.01</v>
      </c>
      <c r="AN271" s="1362">
        <f t="shared" si="77"/>
        <v>955.78372229122806</v>
      </c>
      <c r="AO271" s="1362">
        <f t="shared" si="69"/>
        <v>-955.78372229122806</v>
      </c>
      <c r="AP271" s="1362">
        <f t="shared" si="86"/>
        <v>0</v>
      </c>
      <c r="AQ271" s="1363">
        <f t="shared" si="78"/>
        <v>1132187.2166399814</v>
      </c>
    </row>
    <row r="272" spans="1:43">
      <c r="A272" s="1118">
        <f t="shared" ca="1" si="67"/>
        <v>1</v>
      </c>
      <c r="B272" s="1351">
        <f t="shared" si="68"/>
        <v>0</v>
      </c>
      <c r="C272" s="2143">
        <f t="shared" si="79"/>
        <v>0</v>
      </c>
      <c r="D272" s="2144">
        <f t="shared" si="66"/>
        <v>0</v>
      </c>
      <c r="E272" s="2145">
        <f t="shared" si="70"/>
        <v>0</v>
      </c>
      <c r="F272" s="2145">
        <f t="shared" si="71"/>
        <v>0</v>
      </c>
      <c r="G272" s="2145">
        <f t="shared" si="80"/>
        <v>0</v>
      </c>
      <c r="H272" s="2145">
        <f>IF(M271&lt;0.01,0,M271*Adm!$GV$4)</f>
        <v>0</v>
      </c>
      <c r="I272" s="2145">
        <f>IF(M271&lt;0.01,0,Cal!$BO$108*Adm!$GW$4)</f>
        <v>0</v>
      </c>
      <c r="J272" s="2145">
        <f>IF(M271&lt;0.01,0,IF(Adm!$GO$4&gt;0,E272*Adm!$GO$4,0))</f>
        <v>0</v>
      </c>
      <c r="K272" s="2145">
        <f t="shared" si="72"/>
        <v>0</v>
      </c>
      <c r="L272" s="2145">
        <f>IF(Adm!$GJ$4="si",MIN(M271+E272+H272+I272-K272,AB272),0)</f>
        <v>0</v>
      </c>
      <c r="M272" s="2145">
        <f t="shared" si="73"/>
        <v>0</v>
      </c>
      <c r="N272" s="2153"/>
      <c r="U272" s="1352">
        <f t="shared" si="74"/>
        <v>10</v>
      </c>
      <c r="V272" s="1514">
        <f>IF(U272=1,Cal!$BO$127,0)</f>
        <v>0</v>
      </c>
      <c r="W272" s="1517">
        <f>IF(U272=1,Adm!$HI$4,0)</f>
        <v>0</v>
      </c>
      <c r="X272" s="1518"/>
      <c r="Y272" s="1518"/>
      <c r="Z272" s="1518"/>
      <c r="AA272" s="1368">
        <f t="shared" si="81"/>
        <v>0</v>
      </c>
      <c r="AB272" s="1369">
        <f t="shared" ca="1" si="75"/>
        <v>0</v>
      </c>
      <c r="AF272" s="1370">
        <f t="shared" si="82"/>
        <v>0</v>
      </c>
      <c r="AG272" s="1373">
        <f t="shared" si="83"/>
        <v>0</v>
      </c>
      <c r="AH272" s="1371">
        <f t="shared" si="84"/>
        <v>0</v>
      </c>
      <c r="AI272" s="1359">
        <f>HLOOKUP($AI$66,anticipadofree,203,0)</f>
        <v>-8.4490555555555541E-4</v>
      </c>
      <c r="AK272" s="1360">
        <f t="shared" si="76"/>
        <v>-8.4490555555555541E-4</v>
      </c>
      <c r="AL272" s="1361">
        <f t="shared" si="87"/>
        <v>202</v>
      </c>
      <c r="AM272" s="1191">
        <f t="shared" si="85"/>
        <v>0.01</v>
      </c>
      <c r="AN272" s="1362">
        <f t="shared" si="77"/>
        <v>956.59126926810143</v>
      </c>
      <c r="AO272" s="1362">
        <f t="shared" si="69"/>
        <v>-956.59126926810143</v>
      </c>
      <c r="AP272" s="1362">
        <f t="shared" si="86"/>
        <v>0</v>
      </c>
      <c r="AQ272" s="1363">
        <f t="shared" si="78"/>
        <v>1133143.8079092496</v>
      </c>
    </row>
    <row r="273" spans="1:43">
      <c r="A273" s="1118">
        <f t="shared" ca="1" si="67"/>
        <v>2</v>
      </c>
      <c r="B273" s="1351">
        <f t="shared" si="68"/>
        <v>0</v>
      </c>
      <c r="C273" s="2143">
        <f t="shared" si="79"/>
        <v>0</v>
      </c>
      <c r="D273" s="2144">
        <f t="shared" si="66"/>
        <v>0</v>
      </c>
      <c r="E273" s="2145">
        <f t="shared" si="70"/>
        <v>0</v>
      </c>
      <c r="F273" s="2145">
        <f t="shared" si="71"/>
        <v>0</v>
      </c>
      <c r="G273" s="2145">
        <f t="shared" si="80"/>
        <v>0</v>
      </c>
      <c r="H273" s="2145">
        <f>IF(M272&lt;0.01,0,M272*Adm!$GV$4)</f>
        <v>0</v>
      </c>
      <c r="I273" s="2145">
        <f>IF(M272&lt;0.01,0,Cal!$BO$108*Adm!$GW$4)</f>
        <v>0</v>
      </c>
      <c r="J273" s="2145">
        <f>IF(M272&lt;0.01,0,IF(Adm!$GO$4&gt;0,E273*Adm!$GO$4,0))</f>
        <v>0</v>
      </c>
      <c r="K273" s="2145">
        <f t="shared" si="72"/>
        <v>0</v>
      </c>
      <c r="L273" s="2145">
        <f>IF(Adm!$GJ$4="si",MIN(M272+E273+H273+I273-K273,AB273),0)</f>
        <v>0</v>
      </c>
      <c r="M273" s="2145">
        <f t="shared" si="73"/>
        <v>0</v>
      </c>
      <c r="N273" s="2153"/>
      <c r="U273" s="1352">
        <f t="shared" si="74"/>
        <v>11</v>
      </c>
      <c r="V273" s="1514">
        <f>IF(U273=1,Cal!$BO$127,0)</f>
        <v>0</v>
      </c>
      <c r="W273" s="1517">
        <f>IF(U273=1,Adm!$HI$4,0)</f>
        <v>0</v>
      </c>
      <c r="X273" s="1518"/>
      <c r="Y273" s="1518"/>
      <c r="Z273" s="1518"/>
      <c r="AA273" s="1368">
        <f t="shared" si="81"/>
        <v>0</v>
      </c>
      <c r="AB273" s="1369">
        <f t="shared" ca="1" si="75"/>
        <v>0</v>
      </c>
      <c r="AF273" s="1370">
        <f t="shared" si="82"/>
        <v>0</v>
      </c>
      <c r="AG273" s="1373">
        <f t="shared" si="83"/>
        <v>0</v>
      </c>
      <c r="AH273" s="1371">
        <f t="shared" si="84"/>
        <v>0</v>
      </c>
      <c r="AI273" s="1359">
        <f>HLOOKUP($AI$66,anticipadofree,204,0)</f>
        <v>-8.4490555555555551E-4</v>
      </c>
      <c r="AK273" s="1360">
        <f t="shared" si="76"/>
        <v>-8.4490555555555551E-4</v>
      </c>
      <c r="AL273" s="1361">
        <f t="shared" si="87"/>
        <v>203</v>
      </c>
      <c r="AM273" s="1191">
        <f t="shared" si="85"/>
        <v>0.01</v>
      </c>
      <c r="AN273" s="1362">
        <f t="shared" si="77"/>
        <v>957.39949854590213</v>
      </c>
      <c r="AO273" s="1362">
        <f t="shared" si="69"/>
        <v>-957.39949854590213</v>
      </c>
      <c r="AP273" s="1362">
        <f t="shared" si="86"/>
        <v>0</v>
      </c>
      <c r="AQ273" s="1363">
        <f t="shared" si="78"/>
        <v>1134101.2074077954</v>
      </c>
    </row>
    <row r="274" spans="1:43">
      <c r="A274" s="1118">
        <f t="shared" ca="1" si="67"/>
        <v>3</v>
      </c>
      <c r="B274" s="1351">
        <f t="shared" si="68"/>
        <v>0</v>
      </c>
      <c r="C274" s="2143">
        <f t="shared" si="79"/>
        <v>0</v>
      </c>
      <c r="D274" s="2144">
        <f t="shared" si="66"/>
        <v>0</v>
      </c>
      <c r="E274" s="2145">
        <f t="shared" si="70"/>
        <v>0</v>
      </c>
      <c r="F274" s="2145">
        <f t="shared" si="71"/>
        <v>0</v>
      </c>
      <c r="G274" s="2145">
        <f t="shared" si="80"/>
        <v>0</v>
      </c>
      <c r="H274" s="2145">
        <f>IF(M273&lt;0.01,0,M273*Adm!$GV$4)</f>
        <v>0</v>
      </c>
      <c r="I274" s="2145">
        <f>IF(M273&lt;0.01,0,Cal!$BO$108*Adm!$GW$4)</f>
        <v>0</v>
      </c>
      <c r="J274" s="2145">
        <f>IF(M273&lt;0.01,0,IF(Adm!$GO$4&gt;0,E274*Adm!$GO$4,0))</f>
        <v>0</v>
      </c>
      <c r="K274" s="2145">
        <f t="shared" si="72"/>
        <v>0</v>
      </c>
      <c r="L274" s="2145">
        <f>IF(Adm!$GJ$4="si",MIN(M273+E274+H274+I274-K274,AB274),0)</f>
        <v>0</v>
      </c>
      <c r="M274" s="2145">
        <f t="shared" si="73"/>
        <v>0</v>
      </c>
      <c r="N274" s="2153"/>
      <c r="U274" s="1352">
        <f t="shared" si="74"/>
        <v>12</v>
      </c>
      <c r="V274" s="1514">
        <f>IF(U274=1,Cal!$BO$127,0)</f>
        <v>0</v>
      </c>
      <c r="W274" s="1517">
        <f>IF(U274=1,Adm!$HI$4,0)</f>
        <v>0</v>
      </c>
      <c r="X274" s="1518"/>
      <c r="Y274" s="1518"/>
      <c r="Z274" s="1518"/>
      <c r="AA274" s="1368">
        <f t="shared" si="81"/>
        <v>0</v>
      </c>
      <c r="AB274" s="1369">
        <f t="shared" ca="1" si="75"/>
        <v>0</v>
      </c>
      <c r="AF274" s="1370">
        <f t="shared" si="82"/>
        <v>0</v>
      </c>
      <c r="AG274" s="1373">
        <f t="shared" si="83"/>
        <v>0</v>
      </c>
      <c r="AH274" s="1371">
        <f t="shared" si="84"/>
        <v>0</v>
      </c>
      <c r="AI274" s="1359">
        <f>HLOOKUP($AI$66,anticipadofree,205,0)</f>
        <v>-8.4490555555555541E-4</v>
      </c>
      <c r="AK274" s="1360">
        <f t="shared" si="76"/>
        <v>-8.4490555555555541E-4</v>
      </c>
      <c r="AL274" s="1361">
        <f t="shared" si="87"/>
        <v>204</v>
      </c>
      <c r="AM274" s="1191">
        <f t="shared" si="85"/>
        <v>0.01</v>
      </c>
      <c r="AN274" s="1362">
        <f t="shared" si="77"/>
        <v>958.20841070110953</v>
      </c>
      <c r="AO274" s="1362">
        <f t="shared" si="69"/>
        <v>-958.20841070110953</v>
      </c>
      <c r="AP274" s="1362">
        <f t="shared" si="86"/>
        <v>0</v>
      </c>
      <c r="AQ274" s="1363">
        <f t="shared" si="78"/>
        <v>1135059.4158184964</v>
      </c>
    </row>
    <row r="275" spans="1:43">
      <c r="A275" s="1118">
        <f t="shared" ca="1" si="67"/>
        <v>4</v>
      </c>
      <c r="B275" s="1351">
        <f t="shared" si="68"/>
        <v>0</v>
      </c>
      <c r="C275" s="2143">
        <f t="shared" si="79"/>
        <v>0</v>
      </c>
      <c r="D275" s="2144">
        <f t="shared" si="66"/>
        <v>0</v>
      </c>
      <c r="E275" s="2145">
        <f t="shared" si="70"/>
        <v>0</v>
      </c>
      <c r="F275" s="2145">
        <f t="shared" si="71"/>
        <v>0</v>
      </c>
      <c r="G275" s="2145">
        <f t="shared" si="80"/>
        <v>0</v>
      </c>
      <c r="H275" s="2145">
        <f>IF(M274&lt;0.01,0,M274*Adm!$GV$4)</f>
        <v>0</v>
      </c>
      <c r="I275" s="2145">
        <f>IF(M274&lt;0.01,0,Cal!$BO$108*Adm!$GW$4)</f>
        <v>0</v>
      </c>
      <c r="J275" s="2145">
        <f>IF(M274&lt;0.01,0,IF(Adm!$GO$4&gt;0,E275*Adm!$GO$4,0))</f>
        <v>0</v>
      </c>
      <c r="K275" s="2145">
        <f t="shared" si="72"/>
        <v>0</v>
      </c>
      <c r="L275" s="2145">
        <f>IF(Adm!$GJ$4="si",MIN(M274+E275+H275+I275-K275,AB275),0)</f>
        <v>0</v>
      </c>
      <c r="M275" s="2145">
        <f t="shared" si="73"/>
        <v>0</v>
      </c>
      <c r="N275" s="2153"/>
      <c r="U275" s="1352">
        <f t="shared" si="74"/>
        <v>1</v>
      </c>
      <c r="V275" s="1514">
        <f>IF(U275=1,Cal!$BO$127,0)</f>
        <v>0</v>
      </c>
      <c r="W275" s="1517">
        <f>IF(U275=1,Adm!$HI$4,0)</f>
        <v>2.5000000000000001E-3</v>
      </c>
      <c r="X275" s="1518"/>
      <c r="Y275" s="1518"/>
      <c r="Z275" s="1518"/>
      <c r="AA275" s="1368">
        <f t="shared" si="81"/>
        <v>0</v>
      </c>
      <c r="AB275" s="1369">
        <f t="shared" ca="1" si="75"/>
        <v>0</v>
      </c>
      <c r="AF275" s="1370">
        <f t="shared" si="82"/>
        <v>0</v>
      </c>
      <c r="AG275" s="1373">
        <f t="shared" si="83"/>
        <v>0</v>
      </c>
      <c r="AH275" s="1371">
        <f t="shared" si="84"/>
        <v>0</v>
      </c>
      <c r="AI275" s="1359">
        <f>HLOOKUP($AI$66,anticipadofree,206,0)</f>
        <v>-8.4490555555555551E-4</v>
      </c>
      <c r="AK275" s="1360">
        <f t="shared" si="76"/>
        <v>-8.4490555555555551E-4</v>
      </c>
      <c r="AL275" s="1377">
        <f t="shared" si="87"/>
        <v>205</v>
      </c>
      <c r="AM275" s="1516">
        <f t="shared" si="85"/>
        <v>0.01</v>
      </c>
      <c r="AN275" s="1378">
        <f t="shared" si="77"/>
        <v>959.01800631069102</v>
      </c>
      <c r="AO275" s="1378">
        <f t="shared" si="69"/>
        <v>-959.01800631069102</v>
      </c>
      <c r="AP275" s="1378">
        <f>MIN(AQ274+AN275,AP274*(1+$AN$66))</f>
        <v>0</v>
      </c>
      <c r="AQ275" s="1363">
        <f t="shared" si="78"/>
        <v>1136018.4338248072</v>
      </c>
    </row>
    <row r="276" spans="1:43">
      <c r="A276" s="1118">
        <f t="shared" ca="1" si="67"/>
        <v>5</v>
      </c>
      <c r="B276" s="1351">
        <f t="shared" si="68"/>
        <v>0</v>
      </c>
      <c r="C276" s="2143">
        <f t="shared" si="79"/>
        <v>0</v>
      </c>
      <c r="D276" s="2144">
        <f t="shared" si="66"/>
        <v>0</v>
      </c>
      <c r="E276" s="2145">
        <f t="shared" si="70"/>
        <v>0</v>
      </c>
      <c r="F276" s="2145">
        <f t="shared" si="71"/>
        <v>0</v>
      </c>
      <c r="G276" s="2145">
        <f t="shared" si="80"/>
        <v>0</v>
      </c>
      <c r="H276" s="2145">
        <f>IF(M275&lt;0.01,0,M275*Adm!$GV$4)</f>
        <v>0</v>
      </c>
      <c r="I276" s="2145">
        <f>IF(M275&lt;0.01,0,Cal!$BO$108*Adm!$GW$4)</f>
        <v>0</v>
      </c>
      <c r="J276" s="2145">
        <f>IF(M275&lt;0.01,0,IF(Adm!$GO$4&gt;0,E276*Adm!$GO$4,0))</f>
        <v>0</v>
      </c>
      <c r="K276" s="2145">
        <f t="shared" si="72"/>
        <v>0</v>
      </c>
      <c r="L276" s="2145">
        <f>IF(Adm!$GJ$4="si",MIN(M275+E276+H276+I276-K276,AB276),0)</f>
        <v>0</v>
      </c>
      <c r="M276" s="2145">
        <f t="shared" si="73"/>
        <v>0</v>
      </c>
      <c r="N276" s="2153"/>
      <c r="U276" s="1352">
        <f t="shared" si="74"/>
        <v>2</v>
      </c>
      <c r="V276" s="1514">
        <f>IF(U276=1,Cal!$BO$127,0)</f>
        <v>0</v>
      </c>
      <c r="W276" s="1517">
        <f>IF(U276=1,Adm!$HI$4,0)</f>
        <v>0</v>
      </c>
      <c r="X276" s="1518"/>
      <c r="Y276" s="1518"/>
      <c r="Z276" s="1518"/>
      <c r="AA276" s="1368">
        <f t="shared" si="81"/>
        <v>0</v>
      </c>
      <c r="AB276" s="1369">
        <f t="shared" ca="1" si="75"/>
        <v>0</v>
      </c>
      <c r="AF276" s="1370">
        <f t="shared" si="82"/>
        <v>0</v>
      </c>
      <c r="AG276" s="1373">
        <f t="shared" si="83"/>
        <v>0</v>
      </c>
      <c r="AH276" s="1371">
        <f t="shared" si="84"/>
        <v>0</v>
      </c>
      <c r="AI276" s="1359">
        <f>HLOOKUP($AI$66,anticipadofree,207,0)</f>
        <v>-8.4490555555555541E-4</v>
      </c>
      <c r="AK276" s="1360">
        <f t="shared" si="76"/>
        <v>-8.4490555555555541E-4</v>
      </c>
      <c r="AL276" s="1361">
        <f t="shared" si="87"/>
        <v>206</v>
      </c>
      <c r="AM276" s="1191">
        <f t="shared" si="85"/>
        <v>0.01</v>
      </c>
      <c r="AN276" s="1362">
        <f t="shared" si="77"/>
        <v>959.82828595210071</v>
      </c>
      <c r="AO276" s="1362">
        <f t="shared" si="69"/>
        <v>-959.82828595210071</v>
      </c>
      <c r="AP276" s="1362">
        <f t="shared" si="86"/>
        <v>0</v>
      </c>
      <c r="AQ276" s="1363">
        <f t="shared" si="78"/>
        <v>1136978.2621107593</v>
      </c>
    </row>
    <row r="277" spans="1:43">
      <c r="A277" s="1118">
        <f t="shared" ca="1" si="67"/>
        <v>6</v>
      </c>
      <c r="B277" s="1351">
        <f t="shared" si="68"/>
        <v>0</v>
      </c>
      <c r="C277" s="2143">
        <f t="shared" si="79"/>
        <v>0</v>
      </c>
      <c r="D277" s="2144">
        <f t="shared" si="66"/>
        <v>0</v>
      </c>
      <c r="E277" s="2145">
        <f t="shared" si="70"/>
        <v>0</v>
      </c>
      <c r="F277" s="2145">
        <f t="shared" si="71"/>
        <v>0</v>
      </c>
      <c r="G277" s="2145">
        <f t="shared" si="80"/>
        <v>0</v>
      </c>
      <c r="H277" s="2145">
        <f>IF(M276&lt;0.01,0,M276*Adm!$GV$4)</f>
        <v>0</v>
      </c>
      <c r="I277" s="2145">
        <f>IF(M276&lt;0.01,0,Cal!$BO$108*Adm!$GW$4)</f>
        <v>0</v>
      </c>
      <c r="J277" s="2145">
        <f>IF(M276&lt;0.01,0,IF(Adm!$GO$4&gt;0,E277*Adm!$GO$4,0))</f>
        <v>0</v>
      </c>
      <c r="K277" s="2145">
        <f t="shared" si="72"/>
        <v>0</v>
      </c>
      <c r="L277" s="2145">
        <f>IF(Adm!$GJ$4="si",MIN(M276+E277+H277+I277-K277,AB277),0)</f>
        <v>0</v>
      </c>
      <c r="M277" s="2145">
        <f t="shared" si="73"/>
        <v>0</v>
      </c>
      <c r="N277" s="2153"/>
      <c r="U277" s="1352">
        <f t="shared" si="74"/>
        <v>3</v>
      </c>
      <c r="V277" s="1514">
        <f>IF(U277=1,Cal!$BO$127,0)</f>
        <v>0</v>
      </c>
      <c r="W277" s="1517">
        <f>IF(U277=1,Adm!$HI$4,0)</f>
        <v>0</v>
      </c>
      <c r="X277" s="1518"/>
      <c r="Y277" s="1518"/>
      <c r="Z277" s="1518"/>
      <c r="AA277" s="1368">
        <f t="shared" si="81"/>
        <v>0</v>
      </c>
      <c r="AB277" s="1369">
        <f t="shared" ca="1" si="75"/>
        <v>0</v>
      </c>
      <c r="AF277" s="1370">
        <f t="shared" si="82"/>
        <v>0</v>
      </c>
      <c r="AG277" s="1373">
        <f t="shared" si="83"/>
        <v>0</v>
      </c>
      <c r="AH277" s="1371">
        <f t="shared" si="84"/>
        <v>0</v>
      </c>
      <c r="AI277" s="1359">
        <f>HLOOKUP($AI$66,anticipadofree,208,0)</f>
        <v>-8.4490555555555562E-4</v>
      </c>
      <c r="AK277" s="1360">
        <f t="shared" si="76"/>
        <v>-8.4490555555555562E-4</v>
      </c>
      <c r="AL277" s="1361">
        <f t="shared" si="87"/>
        <v>207</v>
      </c>
      <c r="AM277" s="1191">
        <f t="shared" si="85"/>
        <v>0.01</v>
      </c>
      <c r="AN277" s="1362">
        <f t="shared" si="77"/>
        <v>960.63925020328122</v>
      </c>
      <c r="AO277" s="1362">
        <f t="shared" si="69"/>
        <v>-960.63925020328122</v>
      </c>
      <c r="AP277" s="1362">
        <f t="shared" si="86"/>
        <v>0</v>
      </c>
      <c r="AQ277" s="1363">
        <f t="shared" si="78"/>
        <v>1137938.9013609625</v>
      </c>
    </row>
    <row r="278" spans="1:43">
      <c r="A278" s="1118">
        <f t="shared" ca="1" si="67"/>
        <v>7</v>
      </c>
      <c r="B278" s="1351">
        <f t="shared" si="68"/>
        <v>0</v>
      </c>
      <c r="C278" s="2143">
        <f t="shared" si="79"/>
        <v>0</v>
      </c>
      <c r="D278" s="2144">
        <f t="shared" si="66"/>
        <v>0</v>
      </c>
      <c r="E278" s="2145">
        <f t="shared" si="70"/>
        <v>0</v>
      </c>
      <c r="F278" s="2145">
        <f t="shared" si="71"/>
        <v>0</v>
      </c>
      <c r="G278" s="2145">
        <f t="shared" si="80"/>
        <v>0</v>
      </c>
      <c r="H278" s="2145">
        <f>IF(M277&lt;0.01,0,M277*Adm!$GV$4)</f>
        <v>0</v>
      </c>
      <c r="I278" s="2145">
        <f>IF(M277&lt;0.01,0,Cal!$BO$108*Adm!$GW$4)</f>
        <v>0</v>
      </c>
      <c r="J278" s="2145">
        <f>IF(M277&lt;0.01,0,IF(Adm!$GO$4&gt;0,E278*Adm!$GO$4,0))</f>
        <v>0</v>
      </c>
      <c r="K278" s="2145">
        <f t="shared" si="72"/>
        <v>0</v>
      </c>
      <c r="L278" s="2145">
        <f>IF(Adm!$GJ$4="si",MIN(M277+E278+H278+I278-K278,AB278),0)</f>
        <v>0</v>
      </c>
      <c r="M278" s="2145">
        <f t="shared" si="73"/>
        <v>0</v>
      </c>
      <c r="N278" s="2153"/>
      <c r="U278" s="1352">
        <f t="shared" si="74"/>
        <v>4</v>
      </c>
      <c r="V278" s="1514">
        <f>IF(U278=1,Cal!$BO$127,0)</f>
        <v>0</v>
      </c>
      <c r="W278" s="1517">
        <f>IF(U278=1,Adm!$HI$4,0)</f>
        <v>0</v>
      </c>
      <c r="X278" s="1518"/>
      <c r="Y278" s="1518"/>
      <c r="Z278" s="1518"/>
      <c r="AA278" s="1368">
        <f t="shared" si="81"/>
        <v>0</v>
      </c>
      <c r="AB278" s="1369">
        <f t="shared" ca="1" si="75"/>
        <v>0</v>
      </c>
      <c r="AF278" s="1370">
        <f t="shared" si="82"/>
        <v>0</v>
      </c>
      <c r="AG278" s="1373">
        <f t="shared" si="83"/>
        <v>0</v>
      </c>
      <c r="AH278" s="1371">
        <f t="shared" si="84"/>
        <v>0</v>
      </c>
      <c r="AI278" s="1359">
        <f>HLOOKUP($AI$66,anticipadofree,209,0)</f>
        <v>-8.4490555555555551E-4</v>
      </c>
      <c r="AK278" s="1360">
        <f t="shared" si="76"/>
        <v>-8.4490555555555551E-4</v>
      </c>
      <c r="AL278" s="1361">
        <f t="shared" si="87"/>
        <v>208</v>
      </c>
      <c r="AM278" s="1191">
        <f t="shared" si="85"/>
        <v>0.01</v>
      </c>
      <c r="AN278" s="1362">
        <f t="shared" si="77"/>
        <v>961.45089964266253</v>
      </c>
      <c r="AO278" s="1362">
        <f t="shared" si="69"/>
        <v>-961.45089964266253</v>
      </c>
      <c r="AP278" s="1362">
        <f t="shared" si="86"/>
        <v>0</v>
      </c>
      <c r="AQ278" s="1363">
        <f t="shared" si="78"/>
        <v>1138900.3522606052</v>
      </c>
    </row>
    <row r="279" spans="1:43">
      <c r="A279" s="1118">
        <f t="shared" ca="1" si="67"/>
        <v>8</v>
      </c>
      <c r="B279" s="1351">
        <f t="shared" si="68"/>
        <v>0</v>
      </c>
      <c r="C279" s="2143">
        <f t="shared" si="79"/>
        <v>0</v>
      </c>
      <c r="D279" s="2144">
        <f t="shared" si="66"/>
        <v>0</v>
      </c>
      <c r="E279" s="2145">
        <f t="shared" si="70"/>
        <v>0</v>
      </c>
      <c r="F279" s="2145">
        <f t="shared" si="71"/>
        <v>0</v>
      </c>
      <c r="G279" s="2145">
        <f t="shared" si="80"/>
        <v>0</v>
      </c>
      <c r="H279" s="2145">
        <f>IF(M278&lt;0.01,0,M278*Adm!$GV$4)</f>
        <v>0</v>
      </c>
      <c r="I279" s="2145">
        <f>IF(M278&lt;0.01,0,Cal!$BO$108*Adm!$GW$4)</f>
        <v>0</v>
      </c>
      <c r="J279" s="2145">
        <f>IF(M278&lt;0.01,0,IF(Adm!$GO$4&gt;0,E279*Adm!$GO$4,0))</f>
        <v>0</v>
      </c>
      <c r="K279" s="2145">
        <f t="shared" si="72"/>
        <v>0</v>
      </c>
      <c r="L279" s="2145">
        <f>IF(Adm!$GJ$4="si",MIN(M278+E279+H279+I279-K279,AB279),0)</f>
        <v>0</v>
      </c>
      <c r="M279" s="2145">
        <f t="shared" si="73"/>
        <v>0</v>
      </c>
      <c r="N279" s="2153"/>
      <c r="U279" s="1352">
        <f t="shared" si="74"/>
        <v>5</v>
      </c>
      <c r="V279" s="1514">
        <f>IF(U279=1,Cal!$BO$127,0)</f>
        <v>0</v>
      </c>
      <c r="W279" s="1517">
        <f>IF(U279=1,Adm!$HI$4,0)</f>
        <v>0</v>
      </c>
      <c r="X279" s="1518"/>
      <c r="Y279" s="1518"/>
      <c r="Z279" s="1518"/>
      <c r="AA279" s="1368">
        <f t="shared" si="81"/>
        <v>0</v>
      </c>
      <c r="AB279" s="1369">
        <f t="shared" ca="1" si="75"/>
        <v>0</v>
      </c>
      <c r="AF279" s="1370">
        <f t="shared" si="82"/>
        <v>0</v>
      </c>
      <c r="AG279" s="1373">
        <f t="shared" si="83"/>
        <v>0</v>
      </c>
      <c r="AH279" s="1371">
        <f t="shared" si="84"/>
        <v>0</v>
      </c>
      <c r="AI279" s="1359">
        <f>HLOOKUP($AI$66,anticipadofree,210,0)</f>
        <v>-8.4490555555555551E-4</v>
      </c>
      <c r="AK279" s="1360">
        <f t="shared" si="76"/>
        <v>-8.4490555555555551E-4</v>
      </c>
      <c r="AL279" s="1361">
        <f t="shared" si="87"/>
        <v>209</v>
      </c>
      <c r="AM279" s="1191">
        <f t="shared" si="85"/>
        <v>0.01</v>
      </c>
      <c r="AN279" s="1362">
        <f t="shared" si="77"/>
        <v>962.26323484916452</v>
      </c>
      <c r="AO279" s="1362">
        <f t="shared" si="69"/>
        <v>-962.26323484916452</v>
      </c>
      <c r="AP279" s="1362">
        <f t="shared" si="86"/>
        <v>0</v>
      </c>
      <c r="AQ279" s="1363">
        <f t="shared" si="78"/>
        <v>1139862.6154954543</v>
      </c>
    </row>
    <row r="280" spans="1:43">
      <c r="A280" s="1118">
        <f t="shared" ca="1" si="67"/>
        <v>9</v>
      </c>
      <c r="B280" s="1351">
        <f t="shared" si="68"/>
        <v>0</v>
      </c>
      <c r="C280" s="2143">
        <f t="shared" si="79"/>
        <v>0</v>
      </c>
      <c r="D280" s="2144">
        <f t="shared" si="66"/>
        <v>0</v>
      </c>
      <c r="E280" s="2145">
        <f t="shared" si="70"/>
        <v>0</v>
      </c>
      <c r="F280" s="2145">
        <f t="shared" si="71"/>
        <v>0</v>
      </c>
      <c r="G280" s="2145">
        <f t="shared" si="80"/>
        <v>0</v>
      </c>
      <c r="H280" s="2145">
        <f>IF(M279&lt;0.01,0,M279*Adm!$GV$4)</f>
        <v>0</v>
      </c>
      <c r="I280" s="2145">
        <f>IF(M279&lt;0.01,0,Cal!$BO$108*Adm!$GW$4)</f>
        <v>0</v>
      </c>
      <c r="J280" s="2145">
        <f>IF(M279&lt;0.01,0,IF(Adm!$GO$4&gt;0,E280*Adm!$GO$4,0))</f>
        <v>0</v>
      </c>
      <c r="K280" s="2145">
        <f t="shared" si="72"/>
        <v>0</v>
      </c>
      <c r="L280" s="2145">
        <f>IF(Adm!$GJ$4="si",MIN(M279+E280+H280+I280-K280,AB280),0)</f>
        <v>0</v>
      </c>
      <c r="M280" s="2145">
        <f t="shared" si="73"/>
        <v>0</v>
      </c>
      <c r="N280" s="2153"/>
      <c r="U280" s="1352">
        <f t="shared" si="74"/>
        <v>6</v>
      </c>
      <c r="V280" s="1514">
        <f>IF(U280=1,Cal!$BO$127,0)</f>
        <v>0</v>
      </c>
      <c r="W280" s="1517">
        <f>IF(U280=1,Adm!$HI$4,0)</f>
        <v>0</v>
      </c>
      <c r="X280" s="1518"/>
      <c r="Y280" s="1518"/>
      <c r="Z280" s="1518"/>
      <c r="AA280" s="1368">
        <f t="shared" si="81"/>
        <v>0</v>
      </c>
      <c r="AB280" s="1369">
        <f t="shared" ca="1" si="75"/>
        <v>0</v>
      </c>
      <c r="AF280" s="1370">
        <f t="shared" si="82"/>
        <v>0</v>
      </c>
      <c r="AG280" s="1373">
        <f t="shared" si="83"/>
        <v>0</v>
      </c>
      <c r="AH280" s="1371">
        <f t="shared" si="84"/>
        <v>0</v>
      </c>
      <c r="AI280" s="1359">
        <f>HLOOKUP($AI$66,anticipadofree,211,0)</f>
        <v>-8.4490555555555562E-4</v>
      </c>
      <c r="AK280" s="1360">
        <f t="shared" si="76"/>
        <v>-8.4490555555555562E-4</v>
      </c>
      <c r="AL280" s="1361">
        <f t="shared" si="87"/>
        <v>210</v>
      </c>
      <c r="AM280" s="1191">
        <f t="shared" si="85"/>
        <v>0.01</v>
      </c>
      <c r="AN280" s="1362">
        <f t="shared" si="77"/>
        <v>963.07625640219544</v>
      </c>
      <c r="AO280" s="1362">
        <f t="shared" si="69"/>
        <v>-963.07625640219544</v>
      </c>
      <c r="AP280" s="1362">
        <f t="shared" si="86"/>
        <v>0</v>
      </c>
      <c r="AQ280" s="1363">
        <f t="shared" si="78"/>
        <v>1140825.6917518566</v>
      </c>
    </row>
    <row r="281" spans="1:43">
      <c r="A281" s="1118">
        <f t="shared" ca="1" si="67"/>
        <v>10</v>
      </c>
      <c r="B281" s="1351">
        <f t="shared" si="68"/>
        <v>0</v>
      </c>
      <c r="C281" s="2143">
        <f t="shared" si="79"/>
        <v>0</v>
      </c>
      <c r="D281" s="2144">
        <f t="shared" si="66"/>
        <v>0</v>
      </c>
      <c r="E281" s="2145">
        <f t="shared" si="70"/>
        <v>0</v>
      </c>
      <c r="F281" s="2145">
        <f t="shared" si="71"/>
        <v>0</v>
      </c>
      <c r="G281" s="2145">
        <f t="shared" si="80"/>
        <v>0</v>
      </c>
      <c r="H281" s="2145">
        <f>IF(M280&lt;0.01,0,M280*Adm!$GV$4)</f>
        <v>0</v>
      </c>
      <c r="I281" s="2145">
        <f>IF(M280&lt;0.01,0,Cal!$BO$108*Adm!$GW$4)</f>
        <v>0</v>
      </c>
      <c r="J281" s="2145">
        <f>IF(M280&lt;0.01,0,IF(Adm!$GO$4&gt;0,E281*Adm!$GO$4,0))</f>
        <v>0</v>
      </c>
      <c r="K281" s="2145">
        <f t="shared" si="72"/>
        <v>0</v>
      </c>
      <c r="L281" s="2145">
        <f>IF(Adm!$GJ$4="si",MIN(M280+E281+H281+I281-K281,AB281),0)</f>
        <v>0</v>
      </c>
      <c r="M281" s="2145">
        <f t="shared" si="73"/>
        <v>0</v>
      </c>
      <c r="N281" s="2153"/>
      <c r="U281" s="1352">
        <f t="shared" si="74"/>
        <v>7</v>
      </c>
      <c r="V281" s="1514">
        <f>IF(U281=1,Cal!$BO$127,0)</f>
        <v>0</v>
      </c>
      <c r="W281" s="1517">
        <f>IF(U281=1,Adm!$HI$4,0)</f>
        <v>0</v>
      </c>
      <c r="X281" s="1518"/>
      <c r="Y281" s="1518"/>
      <c r="Z281" s="1518"/>
      <c r="AA281" s="1368">
        <f t="shared" si="81"/>
        <v>0</v>
      </c>
      <c r="AB281" s="1369">
        <f t="shared" ca="1" si="75"/>
        <v>0</v>
      </c>
      <c r="AF281" s="1370">
        <f t="shared" si="82"/>
        <v>0</v>
      </c>
      <c r="AG281" s="1373">
        <f t="shared" si="83"/>
        <v>0</v>
      </c>
      <c r="AH281" s="1371">
        <f t="shared" si="84"/>
        <v>0</v>
      </c>
      <c r="AI281" s="1359">
        <f>HLOOKUP($AI$66,anticipadofree,212,0)</f>
        <v>-8.4490555555555551E-4</v>
      </c>
      <c r="AK281" s="1360">
        <f t="shared" si="76"/>
        <v>-8.4490555555555551E-4</v>
      </c>
      <c r="AL281" s="1361">
        <f t="shared" si="87"/>
        <v>211</v>
      </c>
      <c r="AM281" s="1191">
        <f t="shared" si="85"/>
        <v>0.01</v>
      </c>
      <c r="AN281" s="1362">
        <f t="shared" si="77"/>
        <v>963.88996488165333</v>
      </c>
      <c r="AO281" s="1362">
        <f t="shared" si="69"/>
        <v>-963.88996488165333</v>
      </c>
      <c r="AP281" s="1362">
        <f t="shared" si="86"/>
        <v>0</v>
      </c>
      <c r="AQ281" s="1363">
        <f t="shared" si="78"/>
        <v>1141789.5817167382</v>
      </c>
    </row>
    <row r="282" spans="1:43">
      <c r="A282" s="1118">
        <f t="shared" ca="1" si="67"/>
        <v>11</v>
      </c>
      <c r="B282" s="1351">
        <f t="shared" si="68"/>
        <v>0</v>
      </c>
      <c r="C282" s="2143">
        <f t="shared" si="79"/>
        <v>0</v>
      </c>
      <c r="D282" s="2144">
        <f t="shared" si="66"/>
        <v>0</v>
      </c>
      <c r="E282" s="2145">
        <f t="shared" si="70"/>
        <v>0</v>
      </c>
      <c r="F282" s="2145">
        <f t="shared" si="71"/>
        <v>0</v>
      </c>
      <c r="G282" s="2145">
        <f t="shared" si="80"/>
        <v>0</v>
      </c>
      <c r="H282" s="2145">
        <f>IF(M281&lt;0.01,0,M281*Adm!$GV$4)</f>
        <v>0</v>
      </c>
      <c r="I282" s="2145">
        <f>IF(M281&lt;0.01,0,Cal!$BO$108*Adm!$GW$4)</f>
        <v>0</v>
      </c>
      <c r="J282" s="2145">
        <f>IF(M281&lt;0.01,0,IF(Adm!$GO$4&gt;0,E282*Adm!$GO$4,0))</f>
        <v>0</v>
      </c>
      <c r="K282" s="2145">
        <f t="shared" si="72"/>
        <v>0</v>
      </c>
      <c r="L282" s="2145">
        <f>IF(Adm!$GJ$4="si",MIN(M281+E282+H282+I282-K282,AB282),0)</f>
        <v>0</v>
      </c>
      <c r="M282" s="2145">
        <f t="shared" si="73"/>
        <v>0</v>
      </c>
      <c r="N282" s="2153"/>
      <c r="U282" s="1352">
        <f t="shared" si="74"/>
        <v>8</v>
      </c>
      <c r="V282" s="1514">
        <f>IF(U282=1,Cal!$BO$127,0)</f>
        <v>0</v>
      </c>
      <c r="W282" s="1517">
        <f>IF(U282=1,Adm!$HI$4,0)</f>
        <v>0</v>
      </c>
      <c r="X282" s="1518"/>
      <c r="Y282" s="1518"/>
      <c r="Z282" s="1518"/>
      <c r="AA282" s="1368">
        <f t="shared" si="81"/>
        <v>0</v>
      </c>
      <c r="AB282" s="1369">
        <f t="shared" ca="1" si="75"/>
        <v>0</v>
      </c>
      <c r="AF282" s="1370">
        <f t="shared" si="82"/>
        <v>0</v>
      </c>
      <c r="AG282" s="1373">
        <f t="shared" si="83"/>
        <v>0</v>
      </c>
      <c r="AH282" s="1371">
        <f t="shared" si="84"/>
        <v>0</v>
      </c>
      <c r="AI282" s="1359">
        <f>HLOOKUP($AI$66,anticipadofree,213,0)</f>
        <v>-8.4490555555555551E-4</v>
      </c>
      <c r="AK282" s="1360">
        <f t="shared" si="76"/>
        <v>-8.4490555555555551E-4</v>
      </c>
      <c r="AL282" s="1361">
        <f t="shared" si="87"/>
        <v>212</v>
      </c>
      <c r="AM282" s="1191">
        <f t="shared" si="85"/>
        <v>0.01</v>
      </c>
      <c r="AN282" s="1362">
        <f t="shared" si="77"/>
        <v>964.70436086792597</v>
      </c>
      <c r="AO282" s="1362">
        <f t="shared" si="69"/>
        <v>-964.70436086792597</v>
      </c>
      <c r="AP282" s="1362">
        <f t="shared" si="86"/>
        <v>0</v>
      </c>
      <c r="AQ282" s="1363">
        <f t="shared" si="78"/>
        <v>1142754.286077606</v>
      </c>
    </row>
    <row r="283" spans="1:43">
      <c r="A283" s="1118">
        <f t="shared" ca="1" si="67"/>
        <v>12</v>
      </c>
      <c r="B283" s="1351">
        <f t="shared" si="68"/>
        <v>0</v>
      </c>
      <c r="C283" s="2143">
        <f t="shared" si="79"/>
        <v>0</v>
      </c>
      <c r="D283" s="2144">
        <f t="shared" si="66"/>
        <v>0</v>
      </c>
      <c r="E283" s="2145">
        <f t="shared" si="70"/>
        <v>0</v>
      </c>
      <c r="F283" s="2145">
        <f t="shared" si="71"/>
        <v>0</v>
      </c>
      <c r="G283" s="2145">
        <f t="shared" si="80"/>
        <v>0</v>
      </c>
      <c r="H283" s="2145">
        <f>IF(M282&lt;0.01,0,M282*Adm!$GV$4)</f>
        <v>0</v>
      </c>
      <c r="I283" s="2145">
        <f>IF(M282&lt;0.01,0,Cal!$BO$108*Adm!$GW$4)</f>
        <v>0</v>
      </c>
      <c r="J283" s="2145">
        <f>IF(M282&lt;0.01,0,IF(Adm!$GO$4&gt;0,E283*Adm!$GO$4,0))</f>
        <v>0</v>
      </c>
      <c r="K283" s="2145">
        <f t="shared" si="72"/>
        <v>0</v>
      </c>
      <c r="L283" s="2145">
        <f>IF(Adm!$GJ$4="si",MIN(M282+E283+H283+I283-K283,AB283),0)</f>
        <v>0</v>
      </c>
      <c r="M283" s="2145">
        <f t="shared" si="73"/>
        <v>0</v>
      </c>
      <c r="N283" s="2153"/>
      <c r="U283" s="1352">
        <f t="shared" si="74"/>
        <v>9</v>
      </c>
      <c r="V283" s="1514">
        <f>IF(U283=1,Cal!$BO$127,0)</f>
        <v>0</v>
      </c>
      <c r="W283" s="1517">
        <f>IF(U283=1,Adm!$HI$4,0)</f>
        <v>0</v>
      </c>
      <c r="X283" s="1518"/>
      <c r="Y283" s="1518"/>
      <c r="Z283" s="1518"/>
      <c r="AA283" s="1368">
        <f t="shared" si="81"/>
        <v>0</v>
      </c>
      <c r="AB283" s="1369">
        <f t="shared" ca="1" si="75"/>
        <v>0</v>
      </c>
      <c r="AF283" s="1370">
        <f t="shared" si="82"/>
        <v>0</v>
      </c>
      <c r="AG283" s="1373">
        <f t="shared" si="83"/>
        <v>0</v>
      </c>
      <c r="AH283" s="1371">
        <f t="shared" si="84"/>
        <v>0</v>
      </c>
      <c r="AI283" s="1359">
        <f>HLOOKUP($AI$66,anticipadofree,214,0)</f>
        <v>-8.4490555555555551E-4</v>
      </c>
      <c r="AK283" s="1360">
        <f t="shared" si="76"/>
        <v>-8.4490555555555551E-4</v>
      </c>
      <c r="AL283" s="1361">
        <f t="shared" si="87"/>
        <v>213</v>
      </c>
      <c r="AM283" s="1191">
        <f t="shared" si="85"/>
        <v>0.01</v>
      </c>
      <c r="AN283" s="1362">
        <f t="shared" si="77"/>
        <v>965.51944494189195</v>
      </c>
      <c r="AO283" s="1362">
        <f t="shared" si="69"/>
        <v>-965.51944494189195</v>
      </c>
      <c r="AP283" s="1362">
        <f t="shared" si="86"/>
        <v>0</v>
      </c>
      <c r="AQ283" s="1363">
        <f t="shared" si="78"/>
        <v>1143719.8055225478</v>
      </c>
    </row>
    <row r="284" spans="1:43">
      <c r="A284" s="1118">
        <f t="shared" ca="1" si="67"/>
        <v>1</v>
      </c>
      <c r="B284" s="1351">
        <f t="shared" si="68"/>
        <v>0</v>
      </c>
      <c r="C284" s="2143">
        <f t="shared" si="79"/>
        <v>0</v>
      </c>
      <c r="D284" s="2144">
        <f t="shared" si="66"/>
        <v>0</v>
      </c>
      <c r="E284" s="2145">
        <f t="shared" si="70"/>
        <v>0</v>
      </c>
      <c r="F284" s="2145">
        <f t="shared" si="71"/>
        <v>0</v>
      </c>
      <c r="G284" s="2145">
        <f t="shared" si="80"/>
        <v>0</v>
      </c>
      <c r="H284" s="2145">
        <f>IF(M283&lt;0.01,0,M283*Adm!$GV$4)</f>
        <v>0</v>
      </c>
      <c r="I284" s="2145">
        <f>IF(M283&lt;0.01,0,Cal!$BO$108*Adm!$GW$4)</f>
        <v>0</v>
      </c>
      <c r="J284" s="2145">
        <f>IF(M283&lt;0.01,0,IF(Adm!$GO$4&gt;0,E284*Adm!$GO$4,0))</f>
        <v>0</v>
      </c>
      <c r="K284" s="2145">
        <f t="shared" si="72"/>
        <v>0</v>
      </c>
      <c r="L284" s="2145">
        <f>IF(Adm!$GJ$4="si",MIN(M283+E284+H284+I284-K284,AB284),0)</f>
        <v>0</v>
      </c>
      <c r="M284" s="2145">
        <f t="shared" si="73"/>
        <v>0</v>
      </c>
      <c r="N284" s="2153"/>
      <c r="U284" s="1352">
        <f t="shared" si="74"/>
        <v>10</v>
      </c>
      <c r="V284" s="1514">
        <f>IF(U284=1,Cal!$BO$127,0)</f>
        <v>0</v>
      </c>
      <c r="W284" s="1517">
        <f>IF(U284=1,Adm!$HI$4,0)</f>
        <v>0</v>
      </c>
      <c r="X284" s="1518"/>
      <c r="Y284" s="1518"/>
      <c r="Z284" s="1518"/>
      <c r="AA284" s="1368">
        <f t="shared" si="81"/>
        <v>0</v>
      </c>
      <c r="AB284" s="1369">
        <f t="shared" ca="1" si="75"/>
        <v>0</v>
      </c>
      <c r="AF284" s="1370">
        <f t="shared" si="82"/>
        <v>0</v>
      </c>
      <c r="AG284" s="1373">
        <f t="shared" si="83"/>
        <v>0</v>
      </c>
      <c r="AH284" s="1371">
        <f t="shared" si="84"/>
        <v>0</v>
      </c>
      <c r="AI284" s="1359">
        <f>HLOOKUP($AI$66,anticipadofree,215,0)</f>
        <v>-8.4490555555555562E-4</v>
      </c>
      <c r="AK284" s="1360">
        <f t="shared" si="76"/>
        <v>-8.4490555555555562E-4</v>
      </c>
      <c r="AL284" s="1361">
        <f t="shared" si="87"/>
        <v>214</v>
      </c>
      <c r="AM284" s="1191">
        <f t="shared" si="85"/>
        <v>0.01</v>
      </c>
      <c r="AN284" s="1362">
        <f t="shared" si="77"/>
        <v>966.33521768492028</v>
      </c>
      <c r="AO284" s="1362">
        <f t="shared" si="69"/>
        <v>-966.33521768492028</v>
      </c>
      <c r="AP284" s="1362">
        <f t="shared" si="86"/>
        <v>0</v>
      </c>
      <c r="AQ284" s="1363">
        <f t="shared" si="78"/>
        <v>1144686.1407402328</v>
      </c>
    </row>
    <row r="285" spans="1:43">
      <c r="A285" s="1118">
        <f t="shared" ca="1" si="67"/>
        <v>2</v>
      </c>
      <c r="B285" s="1351">
        <f t="shared" si="68"/>
        <v>0</v>
      </c>
      <c r="C285" s="2143">
        <f t="shared" si="79"/>
        <v>0</v>
      </c>
      <c r="D285" s="2144">
        <f t="shared" si="66"/>
        <v>0</v>
      </c>
      <c r="E285" s="2145">
        <f t="shared" si="70"/>
        <v>0</v>
      </c>
      <c r="F285" s="2145">
        <f t="shared" si="71"/>
        <v>0</v>
      </c>
      <c r="G285" s="2145">
        <f t="shared" si="80"/>
        <v>0</v>
      </c>
      <c r="H285" s="2145">
        <f>IF(M284&lt;0.01,0,M284*Adm!$GV$4)</f>
        <v>0</v>
      </c>
      <c r="I285" s="2145">
        <f>IF(M284&lt;0.01,0,Cal!$BO$108*Adm!$GW$4)</f>
        <v>0</v>
      </c>
      <c r="J285" s="2145">
        <f>IF(M284&lt;0.01,0,IF(Adm!$GO$4&gt;0,E285*Adm!$GO$4,0))</f>
        <v>0</v>
      </c>
      <c r="K285" s="2145">
        <f t="shared" si="72"/>
        <v>0</v>
      </c>
      <c r="L285" s="2145">
        <f>IF(Adm!$GJ$4="si",MIN(M284+E285+H285+I285-K285,AB285),0)</f>
        <v>0</v>
      </c>
      <c r="M285" s="2145">
        <f t="shared" si="73"/>
        <v>0</v>
      </c>
      <c r="N285" s="2153"/>
      <c r="U285" s="1352">
        <f t="shared" si="74"/>
        <v>11</v>
      </c>
      <c r="V285" s="1514">
        <f>IF(U285=1,Cal!$BO$127,0)</f>
        <v>0</v>
      </c>
      <c r="W285" s="1517">
        <f>IF(U285=1,Adm!$HI$4,0)</f>
        <v>0</v>
      </c>
      <c r="X285" s="1518"/>
      <c r="Y285" s="1518"/>
      <c r="Z285" s="1518"/>
      <c r="AA285" s="1368">
        <f t="shared" si="81"/>
        <v>0</v>
      </c>
      <c r="AB285" s="1369">
        <f t="shared" ca="1" si="75"/>
        <v>0</v>
      </c>
      <c r="AF285" s="1370">
        <f t="shared" si="82"/>
        <v>0</v>
      </c>
      <c r="AG285" s="1373">
        <f t="shared" si="83"/>
        <v>0</v>
      </c>
      <c r="AH285" s="1371">
        <f t="shared" si="84"/>
        <v>0</v>
      </c>
      <c r="AI285" s="1359">
        <f>HLOOKUP($AI$66,anticipadofree,216,0)</f>
        <v>-8.4490555555555551E-4</v>
      </c>
      <c r="AK285" s="1360">
        <f t="shared" si="76"/>
        <v>-8.4490555555555551E-4</v>
      </c>
      <c r="AL285" s="1361">
        <f t="shared" si="87"/>
        <v>215</v>
      </c>
      <c r="AM285" s="1191">
        <f t="shared" si="85"/>
        <v>0.01</v>
      </c>
      <c r="AN285" s="1362">
        <f t="shared" si="77"/>
        <v>967.15167967887112</v>
      </c>
      <c r="AO285" s="1362">
        <f t="shared" si="69"/>
        <v>-967.15167967887112</v>
      </c>
      <c r="AP285" s="1362">
        <f t="shared" si="86"/>
        <v>0</v>
      </c>
      <c r="AQ285" s="1363">
        <f t="shared" si="78"/>
        <v>1145653.2924199116</v>
      </c>
    </row>
    <row r="286" spans="1:43">
      <c r="A286" s="1118">
        <f t="shared" ca="1" si="67"/>
        <v>3</v>
      </c>
      <c r="B286" s="1351">
        <f t="shared" si="68"/>
        <v>0</v>
      </c>
      <c r="C286" s="2143">
        <f t="shared" si="79"/>
        <v>0</v>
      </c>
      <c r="D286" s="2144">
        <f t="shared" si="66"/>
        <v>0</v>
      </c>
      <c r="E286" s="2145">
        <f t="shared" si="70"/>
        <v>0</v>
      </c>
      <c r="F286" s="2145">
        <f t="shared" si="71"/>
        <v>0</v>
      </c>
      <c r="G286" s="2145">
        <f t="shared" si="80"/>
        <v>0</v>
      </c>
      <c r="H286" s="2145">
        <f>IF(M285&lt;0.01,0,M285*Adm!$GV$4)</f>
        <v>0</v>
      </c>
      <c r="I286" s="2145">
        <f>IF(M285&lt;0.01,0,Cal!$BO$108*Adm!$GW$4)</f>
        <v>0</v>
      </c>
      <c r="J286" s="2145">
        <f>IF(M285&lt;0.01,0,IF(Adm!$GO$4&gt;0,E286*Adm!$GO$4,0))</f>
        <v>0</v>
      </c>
      <c r="K286" s="2145">
        <f t="shared" si="72"/>
        <v>0</v>
      </c>
      <c r="L286" s="2145">
        <f>IF(Adm!$GJ$4="si",MIN(M285+E286+H286+I286-K286,AB286),0)</f>
        <v>0</v>
      </c>
      <c r="M286" s="2145">
        <f t="shared" si="73"/>
        <v>0</v>
      </c>
      <c r="N286" s="2153"/>
      <c r="U286" s="1352">
        <f t="shared" si="74"/>
        <v>12</v>
      </c>
      <c r="V286" s="1514">
        <f>IF(U286=1,Cal!$BO$127,0)</f>
        <v>0</v>
      </c>
      <c r="W286" s="1517">
        <f>IF(U286=1,Adm!$HI$4,0)</f>
        <v>0</v>
      </c>
      <c r="X286" s="1518"/>
      <c r="Y286" s="1518"/>
      <c r="Z286" s="1518"/>
      <c r="AA286" s="1368">
        <f t="shared" si="81"/>
        <v>0</v>
      </c>
      <c r="AB286" s="1369">
        <f t="shared" ca="1" si="75"/>
        <v>0</v>
      </c>
      <c r="AF286" s="1370">
        <f t="shared" si="82"/>
        <v>0</v>
      </c>
      <c r="AG286" s="1373">
        <f t="shared" si="83"/>
        <v>0</v>
      </c>
      <c r="AH286" s="1371">
        <f t="shared" si="84"/>
        <v>0</v>
      </c>
      <c r="AI286" s="1359">
        <f>HLOOKUP($AI$66,anticipadofree,217,0)</f>
        <v>-8.4490555555555551E-4</v>
      </c>
      <c r="AK286" s="1360">
        <f t="shared" si="76"/>
        <v>-8.4490555555555551E-4</v>
      </c>
      <c r="AL286" s="1361">
        <f t="shared" si="87"/>
        <v>216</v>
      </c>
      <c r="AM286" s="1191">
        <f t="shared" si="85"/>
        <v>0.01</v>
      </c>
      <c r="AN286" s="1362">
        <f t="shared" si="77"/>
        <v>967.96883150609676</v>
      </c>
      <c r="AO286" s="1362">
        <f t="shared" si="69"/>
        <v>-967.96883150609676</v>
      </c>
      <c r="AP286" s="1362">
        <f t="shared" si="86"/>
        <v>0</v>
      </c>
      <c r="AQ286" s="1363">
        <f t="shared" si="78"/>
        <v>1146621.2612514177</v>
      </c>
    </row>
    <row r="287" spans="1:43">
      <c r="A287" s="1118">
        <f t="shared" ca="1" si="67"/>
        <v>4</v>
      </c>
      <c r="B287" s="1351">
        <f t="shared" si="68"/>
        <v>0</v>
      </c>
      <c r="C287" s="2143">
        <f t="shared" si="79"/>
        <v>0</v>
      </c>
      <c r="D287" s="2144">
        <f t="shared" si="66"/>
        <v>0</v>
      </c>
      <c r="E287" s="2145">
        <f t="shared" si="70"/>
        <v>0</v>
      </c>
      <c r="F287" s="2145">
        <f t="shared" si="71"/>
        <v>0</v>
      </c>
      <c r="G287" s="2145">
        <f t="shared" si="80"/>
        <v>0</v>
      </c>
      <c r="H287" s="2145">
        <f>IF(M286&lt;0.01,0,M286*Adm!$GV$4)</f>
        <v>0</v>
      </c>
      <c r="I287" s="2145">
        <f>IF(M286&lt;0.01,0,Cal!$BO$108*Adm!$GW$4)</f>
        <v>0</v>
      </c>
      <c r="J287" s="2145">
        <f>IF(M286&lt;0.01,0,IF(Adm!$GO$4&gt;0,E287*Adm!$GO$4,0))</f>
        <v>0</v>
      </c>
      <c r="K287" s="2145">
        <f t="shared" si="72"/>
        <v>0</v>
      </c>
      <c r="L287" s="2145">
        <f>IF(Adm!$GJ$4="si",MIN(M286+E287+H287+I287-K287,AB287),0)</f>
        <v>0</v>
      </c>
      <c r="M287" s="2145">
        <f t="shared" si="73"/>
        <v>0</v>
      </c>
      <c r="N287" s="2153"/>
      <c r="U287" s="1352">
        <f t="shared" si="74"/>
        <v>1</v>
      </c>
      <c r="V287" s="1514">
        <f>IF(U287=1,Cal!$BO$127,0)</f>
        <v>0</v>
      </c>
      <c r="W287" s="1517">
        <f>IF(U287=1,Adm!$HI$4,0)</f>
        <v>2.5000000000000001E-3</v>
      </c>
      <c r="X287" s="1518"/>
      <c r="Y287" s="1518"/>
      <c r="Z287" s="1518"/>
      <c r="AA287" s="1368">
        <f t="shared" si="81"/>
        <v>0</v>
      </c>
      <c r="AB287" s="1369">
        <f t="shared" ca="1" si="75"/>
        <v>0</v>
      </c>
      <c r="AF287" s="1370">
        <f t="shared" si="82"/>
        <v>0</v>
      </c>
      <c r="AG287" s="1373">
        <f t="shared" si="83"/>
        <v>0</v>
      </c>
      <c r="AH287" s="1371">
        <f t="shared" si="84"/>
        <v>0</v>
      </c>
      <c r="AI287" s="1359">
        <f>HLOOKUP($AI$66,anticipadofree,218,0)</f>
        <v>-8.4490555555555551E-4</v>
      </c>
      <c r="AK287" s="1360">
        <f t="shared" si="76"/>
        <v>-8.4490555555555551E-4</v>
      </c>
      <c r="AL287" s="1377">
        <f t="shared" si="87"/>
        <v>217</v>
      </c>
      <c r="AM287" s="1516">
        <f t="shared" si="85"/>
        <v>0.01</v>
      </c>
      <c r="AN287" s="1378">
        <f t="shared" si="77"/>
        <v>968.78667374944087</v>
      </c>
      <c r="AO287" s="1378">
        <f t="shared" si="69"/>
        <v>-968.78667374944087</v>
      </c>
      <c r="AP287" s="1378">
        <f>MIN(AQ286+AN287,AP286*(1+$AN$66))</f>
        <v>0</v>
      </c>
      <c r="AQ287" s="1363">
        <f t="shared" si="78"/>
        <v>1147590.047925167</v>
      </c>
    </row>
    <row r="288" spans="1:43">
      <c r="A288" s="1118">
        <f t="shared" ca="1" si="67"/>
        <v>5</v>
      </c>
      <c r="B288" s="1351">
        <f t="shared" si="68"/>
        <v>0</v>
      </c>
      <c r="C288" s="2143">
        <f t="shared" si="79"/>
        <v>0</v>
      </c>
      <c r="D288" s="2144">
        <f t="shared" si="66"/>
        <v>0</v>
      </c>
      <c r="E288" s="2145">
        <f t="shared" si="70"/>
        <v>0</v>
      </c>
      <c r="F288" s="2145">
        <f t="shared" si="71"/>
        <v>0</v>
      </c>
      <c r="G288" s="2145">
        <f t="shared" si="80"/>
        <v>0</v>
      </c>
      <c r="H288" s="2145">
        <f>IF(M287&lt;0.01,0,M287*Adm!$GV$4)</f>
        <v>0</v>
      </c>
      <c r="I288" s="2145">
        <f>IF(M287&lt;0.01,0,Cal!$BO$108*Adm!$GW$4)</f>
        <v>0</v>
      </c>
      <c r="J288" s="2145">
        <f>IF(M287&lt;0.01,0,IF(Adm!$GO$4&gt;0,E288*Adm!$GO$4,0))</f>
        <v>0</v>
      </c>
      <c r="K288" s="2145">
        <f t="shared" si="72"/>
        <v>0</v>
      </c>
      <c r="L288" s="2145">
        <f>IF(Adm!$GJ$4="si",MIN(M287+E288+H288+I288-K288,AB288),0)</f>
        <v>0</v>
      </c>
      <c r="M288" s="2145">
        <f t="shared" si="73"/>
        <v>0</v>
      </c>
      <c r="N288" s="2153"/>
      <c r="U288" s="1352">
        <f t="shared" si="74"/>
        <v>2</v>
      </c>
      <c r="V288" s="1514">
        <f>IF(U288=1,Cal!$BO$127,0)</f>
        <v>0</v>
      </c>
      <c r="W288" s="1517">
        <f>IF(U288=1,Adm!$HI$4,0)</f>
        <v>0</v>
      </c>
      <c r="X288" s="1518"/>
      <c r="Y288" s="1518"/>
      <c r="Z288" s="1518"/>
      <c r="AA288" s="1368">
        <f t="shared" si="81"/>
        <v>0</v>
      </c>
      <c r="AB288" s="1369">
        <f t="shared" ca="1" si="75"/>
        <v>0</v>
      </c>
      <c r="AF288" s="1370">
        <f t="shared" si="82"/>
        <v>0</v>
      </c>
      <c r="AG288" s="1373">
        <f t="shared" si="83"/>
        <v>0</v>
      </c>
      <c r="AH288" s="1371">
        <f t="shared" si="84"/>
        <v>0</v>
      </c>
      <c r="AI288" s="1359">
        <f>HLOOKUP($AI$66,anticipadofree,219,0)</f>
        <v>-8.4490555555555551E-4</v>
      </c>
      <c r="AK288" s="1360">
        <f t="shared" si="76"/>
        <v>-8.4490555555555551E-4</v>
      </c>
      <c r="AL288" s="1361">
        <f t="shared" si="87"/>
        <v>218</v>
      </c>
      <c r="AM288" s="1191">
        <f t="shared" si="85"/>
        <v>0.01</v>
      </c>
      <c r="AN288" s="1362">
        <f t="shared" si="77"/>
        <v>969.6052069922398</v>
      </c>
      <c r="AO288" s="1362">
        <f t="shared" si="69"/>
        <v>-969.6052069922398</v>
      </c>
      <c r="AP288" s="1362">
        <f t="shared" si="86"/>
        <v>0</v>
      </c>
      <c r="AQ288" s="1363">
        <f t="shared" si="78"/>
        <v>1148559.6531321593</v>
      </c>
    </row>
    <row r="289" spans="1:43">
      <c r="A289" s="1118">
        <f t="shared" ca="1" si="67"/>
        <v>6</v>
      </c>
      <c r="B289" s="1351">
        <f t="shared" si="68"/>
        <v>0</v>
      </c>
      <c r="C289" s="2143">
        <f t="shared" si="79"/>
        <v>0</v>
      </c>
      <c r="D289" s="2144">
        <f t="shared" si="66"/>
        <v>0</v>
      </c>
      <c r="E289" s="2145">
        <f t="shared" si="70"/>
        <v>0</v>
      </c>
      <c r="F289" s="2145">
        <f t="shared" si="71"/>
        <v>0</v>
      </c>
      <c r="G289" s="2145">
        <f t="shared" si="80"/>
        <v>0</v>
      </c>
      <c r="H289" s="2145">
        <f>IF(M288&lt;0.01,0,M288*Adm!$GV$4)</f>
        <v>0</v>
      </c>
      <c r="I289" s="2145">
        <f>IF(M288&lt;0.01,0,Cal!$BO$108*Adm!$GW$4)</f>
        <v>0</v>
      </c>
      <c r="J289" s="2145">
        <f>IF(M288&lt;0.01,0,IF(Adm!$GO$4&gt;0,E289*Adm!$GO$4,0))</f>
        <v>0</v>
      </c>
      <c r="K289" s="2145">
        <f t="shared" si="72"/>
        <v>0</v>
      </c>
      <c r="L289" s="2145">
        <f>IF(Adm!$GJ$4="si",MIN(M288+E289+H289+I289-K289,AB289),0)</f>
        <v>0</v>
      </c>
      <c r="M289" s="2145">
        <f t="shared" si="73"/>
        <v>0</v>
      </c>
      <c r="N289" s="2153"/>
      <c r="U289" s="1352">
        <f t="shared" si="74"/>
        <v>3</v>
      </c>
      <c r="V289" s="1514">
        <f>IF(U289=1,Cal!$BO$127,0)</f>
        <v>0</v>
      </c>
      <c r="W289" s="1517">
        <f>IF(U289=1,Adm!$HI$4,0)</f>
        <v>0</v>
      </c>
      <c r="X289" s="1518"/>
      <c r="Y289" s="1518"/>
      <c r="Z289" s="1518"/>
      <c r="AA289" s="1368">
        <f t="shared" si="81"/>
        <v>0</v>
      </c>
      <c r="AB289" s="1369">
        <f t="shared" ca="1" si="75"/>
        <v>0</v>
      </c>
      <c r="AF289" s="1370">
        <f t="shared" si="82"/>
        <v>0</v>
      </c>
      <c r="AG289" s="1373">
        <f t="shared" si="83"/>
        <v>0</v>
      </c>
      <c r="AH289" s="1371">
        <f t="shared" si="84"/>
        <v>0</v>
      </c>
      <c r="AI289" s="1359">
        <f>HLOOKUP($AI$66,anticipadofree,220,0)</f>
        <v>-8.4490555555555562E-4</v>
      </c>
      <c r="AK289" s="1360">
        <f t="shared" si="76"/>
        <v>-8.4490555555555562E-4</v>
      </c>
      <c r="AL289" s="1361">
        <f t="shared" si="87"/>
        <v>219</v>
      </c>
      <c r="AM289" s="1191">
        <f t="shared" si="85"/>
        <v>0.01</v>
      </c>
      <c r="AN289" s="1362">
        <f t="shared" si="77"/>
        <v>970.42443181832323</v>
      </c>
      <c r="AO289" s="1362">
        <f t="shared" si="69"/>
        <v>-970.42443181832323</v>
      </c>
      <c r="AP289" s="1362">
        <f t="shared" si="86"/>
        <v>0</v>
      </c>
      <c r="AQ289" s="1363">
        <f t="shared" si="78"/>
        <v>1149530.0775639776</v>
      </c>
    </row>
    <row r="290" spans="1:43">
      <c r="A290" s="1118">
        <f t="shared" ca="1" si="67"/>
        <v>7</v>
      </c>
      <c r="B290" s="1351">
        <f t="shared" si="68"/>
        <v>0</v>
      </c>
      <c r="C290" s="2143">
        <f t="shared" si="79"/>
        <v>0</v>
      </c>
      <c r="D290" s="2144">
        <f t="shared" si="66"/>
        <v>0</v>
      </c>
      <c r="E290" s="2145">
        <f t="shared" si="70"/>
        <v>0</v>
      </c>
      <c r="F290" s="2145">
        <f t="shared" si="71"/>
        <v>0</v>
      </c>
      <c r="G290" s="2145">
        <f t="shared" si="80"/>
        <v>0</v>
      </c>
      <c r="H290" s="2145">
        <f>IF(M289&lt;0.01,0,M289*Adm!$GV$4)</f>
        <v>0</v>
      </c>
      <c r="I290" s="2145">
        <f>IF(M289&lt;0.01,0,Cal!$BO$108*Adm!$GW$4)</f>
        <v>0</v>
      </c>
      <c r="J290" s="2145">
        <f>IF(M289&lt;0.01,0,IF(Adm!$GO$4&gt;0,E290*Adm!$GO$4,0))</f>
        <v>0</v>
      </c>
      <c r="K290" s="2145">
        <f t="shared" si="72"/>
        <v>0</v>
      </c>
      <c r="L290" s="2145">
        <f>IF(Adm!$GJ$4="si",MIN(M289+E290+H290+I290-K290,AB290),0)</f>
        <v>0</v>
      </c>
      <c r="M290" s="2145">
        <f t="shared" si="73"/>
        <v>0</v>
      </c>
      <c r="N290" s="2153"/>
      <c r="U290" s="1352">
        <f t="shared" si="74"/>
        <v>4</v>
      </c>
      <c r="V290" s="1514">
        <f>IF(U290=1,Cal!$BO$127,0)</f>
        <v>0</v>
      </c>
      <c r="W290" s="1517">
        <f>IF(U290=1,Adm!$HI$4,0)</f>
        <v>0</v>
      </c>
      <c r="X290" s="1518"/>
      <c r="Y290" s="1518"/>
      <c r="Z290" s="1518"/>
      <c r="AA290" s="1368">
        <f t="shared" si="81"/>
        <v>0</v>
      </c>
      <c r="AB290" s="1369">
        <f t="shared" ca="1" si="75"/>
        <v>0</v>
      </c>
      <c r="AF290" s="1370">
        <f t="shared" si="82"/>
        <v>0</v>
      </c>
      <c r="AG290" s="1373">
        <f t="shared" si="83"/>
        <v>0</v>
      </c>
      <c r="AH290" s="1371">
        <f t="shared" si="84"/>
        <v>0</v>
      </c>
      <c r="AI290" s="1359">
        <f>HLOOKUP($AI$66,anticipadofree,221,0)</f>
        <v>-8.4490555555555562E-4</v>
      </c>
      <c r="AK290" s="1360">
        <f t="shared" si="76"/>
        <v>-8.4490555555555562E-4</v>
      </c>
      <c r="AL290" s="1361">
        <f t="shared" si="87"/>
        <v>220</v>
      </c>
      <c r="AM290" s="1191">
        <f t="shared" si="85"/>
        <v>0.01</v>
      </c>
      <c r="AN290" s="1362">
        <f t="shared" si="77"/>
        <v>971.24434881201341</v>
      </c>
      <c r="AO290" s="1362">
        <f t="shared" si="69"/>
        <v>-971.24434881201341</v>
      </c>
      <c r="AP290" s="1362">
        <f t="shared" si="86"/>
        <v>0</v>
      </c>
      <c r="AQ290" s="1363">
        <f t="shared" si="78"/>
        <v>1150501.3219127895</v>
      </c>
    </row>
    <row r="291" spans="1:43">
      <c r="A291" s="1118">
        <f t="shared" ca="1" si="67"/>
        <v>8</v>
      </c>
      <c r="B291" s="1351">
        <f t="shared" si="68"/>
        <v>0</v>
      </c>
      <c r="C291" s="2143">
        <f t="shared" si="79"/>
        <v>0</v>
      </c>
      <c r="D291" s="2144">
        <f t="shared" si="66"/>
        <v>0</v>
      </c>
      <c r="E291" s="2145">
        <f t="shared" si="70"/>
        <v>0</v>
      </c>
      <c r="F291" s="2145">
        <f t="shared" si="71"/>
        <v>0</v>
      </c>
      <c r="G291" s="2145">
        <f t="shared" si="80"/>
        <v>0</v>
      </c>
      <c r="H291" s="2145">
        <f>IF(M290&lt;0.01,0,M290*Adm!$GV$4)</f>
        <v>0</v>
      </c>
      <c r="I291" s="2145">
        <f>IF(M290&lt;0.01,0,Cal!$BO$108*Adm!$GW$4)</f>
        <v>0</v>
      </c>
      <c r="J291" s="2145">
        <f>IF(M290&lt;0.01,0,IF(Adm!$GO$4&gt;0,E291*Adm!$GO$4,0))</f>
        <v>0</v>
      </c>
      <c r="K291" s="2145">
        <f t="shared" si="72"/>
        <v>0</v>
      </c>
      <c r="L291" s="2145">
        <f>IF(Adm!$GJ$4="si",MIN(M290+E291+H291+I291-K291,AB291),0)</f>
        <v>0</v>
      </c>
      <c r="M291" s="2145">
        <f t="shared" si="73"/>
        <v>0</v>
      </c>
      <c r="N291" s="2153"/>
      <c r="U291" s="1352">
        <f t="shared" si="74"/>
        <v>5</v>
      </c>
      <c r="V291" s="1514">
        <f>IF(U291=1,Cal!$BO$127,0)</f>
        <v>0</v>
      </c>
      <c r="W291" s="1517">
        <f>IF(U291=1,Adm!$HI$4,0)</f>
        <v>0</v>
      </c>
      <c r="X291" s="1518"/>
      <c r="Y291" s="1518"/>
      <c r="Z291" s="1518"/>
      <c r="AA291" s="1368">
        <f t="shared" si="81"/>
        <v>0</v>
      </c>
      <c r="AB291" s="1369">
        <f t="shared" ca="1" si="75"/>
        <v>0</v>
      </c>
      <c r="AF291" s="1370">
        <f t="shared" si="82"/>
        <v>0</v>
      </c>
      <c r="AG291" s="1373">
        <f t="shared" si="83"/>
        <v>0</v>
      </c>
      <c r="AH291" s="1371">
        <f t="shared" si="84"/>
        <v>0</v>
      </c>
      <c r="AI291" s="1359">
        <f>HLOOKUP($AI$66,anticipadofree,222,0)</f>
        <v>-8.4490555555555562E-4</v>
      </c>
      <c r="AK291" s="1360">
        <f t="shared" si="76"/>
        <v>-8.4490555555555562E-4</v>
      </c>
      <c r="AL291" s="1361">
        <f t="shared" si="87"/>
        <v>221</v>
      </c>
      <c r="AM291" s="1191">
        <f t="shared" si="85"/>
        <v>0.01</v>
      </c>
      <c r="AN291" s="1362">
        <f t="shared" si="77"/>
        <v>972.06495855812648</v>
      </c>
      <c r="AO291" s="1362">
        <f t="shared" si="69"/>
        <v>-972.06495855812648</v>
      </c>
      <c r="AP291" s="1362">
        <f t="shared" si="86"/>
        <v>0</v>
      </c>
      <c r="AQ291" s="1363">
        <f t="shared" si="78"/>
        <v>1151473.3868713477</v>
      </c>
    </row>
    <row r="292" spans="1:43">
      <c r="A292" s="1118">
        <f t="shared" ca="1" si="67"/>
        <v>9</v>
      </c>
      <c r="B292" s="1351">
        <f t="shared" si="68"/>
        <v>0</v>
      </c>
      <c r="C292" s="2143">
        <f t="shared" si="79"/>
        <v>0</v>
      </c>
      <c r="D292" s="2144">
        <f t="shared" si="66"/>
        <v>0</v>
      </c>
      <c r="E292" s="2145">
        <f t="shared" si="70"/>
        <v>0</v>
      </c>
      <c r="F292" s="2145">
        <f t="shared" si="71"/>
        <v>0</v>
      </c>
      <c r="G292" s="2145">
        <f t="shared" si="80"/>
        <v>0</v>
      </c>
      <c r="H292" s="2145">
        <f>IF(M291&lt;0.01,0,M291*Adm!$GV$4)</f>
        <v>0</v>
      </c>
      <c r="I292" s="2145">
        <f>IF(M291&lt;0.01,0,Cal!$BO$108*Adm!$GW$4)</f>
        <v>0</v>
      </c>
      <c r="J292" s="2145">
        <f>IF(M291&lt;0.01,0,IF(Adm!$GO$4&gt;0,E292*Adm!$GO$4,0))</f>
        <v>0</v>
      </c>
      <c r="K292" s="2145">
        <f t="shared" si="72"/>
        <v>0</v>
      </c>
      <c r="L292" s="2145">
        <f>IF(Adm!$GJ$4="si",MIN(M291+E292+H292+I292-K292,AB292),0)</f>
        <v>0</v>
      </c>
      <c r="M292" s="2145">
        <f t="shared" si="73"/>
        <v>0</v>
      </c>
      <c r="N292" s="2153"/>
      <c r="U292" s="1352">
        <f t="shared" si="74"/>
        <v>6</v>
      </c>
      <c r="V292" s="1514">
        <f>IF(U292=1,Cal!$BO$127,0)</f>
        <v>0</v>
      </c>
      <c r="W292" s="1517">
        <f>IF(U292=1,Adm!$HI$4,0)</f>
        <v>0</v>
      </c>
      <c r="X292" s="1518"/>
      <c r="Y292" s="1518"/>
      <c r="Z292" s="1518"/>
      <c r="AA292" s="1368">
        <f t="shared" si="81"/>
        <v>0</v>
      </c>
      <c r="AB292" s="1369">
        <f t="shared" ca="1" si="75"/>
        <v>0</v>
      </c>
      <c r="AF292" s="1370">
        <f t="shared" si="82"/>
        <v>0</v>
      </c>
      <c r="AG292" s="1373">
        <f t="shared" si="83"/>
        <v>0</v>
      </c>
      <c r="AH292" s="1371">
        <f t="shared" si="84"/>
        <v>0</v>
      </c>
      <c r="AI292" s="1359">
        <f>HLOOKUP($AI$66,anticipadofree,223,0)</f>
        <v>-8.4490555555555551E-4</v>
      </c>
      <c r="AK292" s="1360">
        <f t="shared" si="76"/>
        <v>-8.4490555555555551E-4</v>
      </c>
      <c r="AL292" s="1361">
        <f t="shared" si="87"/>
        <v>222</v>
      </c>
      <c r="AM292" s="1191">
        <f t="shared" si="85"/>
        <v>0.01</v>
      </c>
      <c r="AN292" s="1362">
        <f t="shared" si="77"/>
        <v>972.88626164197308</v>
      </c>
      <c r="AO292" s="1362">
        <f t="shared" si="69"/>
        <v>-972.88626164197308</v>
      </c>
      <c r="AP292" s="1362">
        <f t="shared" si="86"/>
        <v>0</v>
      </c>
      <c r="AQ292" s="1363">
        <f t="shared" si="78"/>
        <v>1152446.2731329896</v>
      </c>
    </row>
    <row r="293" spans="1:43">
      <c r="A293" s="1118">
        <f t="shared" ca="1" si="67"/>
        <v>10</v>
      </c>
      <c r="B293" s="1351">
        <f t="shared" si="68"/>
        <v>0</v>
      </c>
      <c r="C293" s="2143">
        <f t="shared" si="79"/>
        <v>0</v>
      </c>
      <c r="D293" s="2144">
        <f t="shared" si="66"/>
        <v>0</v>
      </c>
      <c r="E293" s="2145">
        <f t="shared" si="70"/>
        <v>0</v>
      </c>
      <c r="F293" s="2145">
        <f t="shared" si="71"/>
        <v>0</v>
      </c>
      <c r="G293" s="2145">
        <f t="shared" si="80"/>
        <v>0</v>
      </c>
      <c r="H293" s="2145">
        <f>IF(M292&lt;0.01,0,M292*Adm!$GV$4)</f>
        <v>0</v>
      </c>
      <c r="I293" s="2145">
        <f>IF(M292&lt;0.01,0,Cal!$BO$108*Adm!$GW$4)</f>
        <v>0</v>
      </c>
      <c r="J293" s="2145">
        <f>IF(M292&lt;0.01,0,IF(Adm!$GO$4&gt;0,E293*Adm!$GO$4,0))</f>
        <v>0</v>
      </c>
      <c r="K293" s="2145">
        <f t="shared" si="72"/>
        <v>0</v>
      </c>
      <c r="L293" s="2145">
        <f>IF(Adm!$GJ$4="si",MIN(M292+E293+H293+I293-K293,AB293),0)</f>
        <v>0</v>
      </c>
      <c r="M293" s="2145">
        <f t="shared" si="73"/>
        <v>0</v>
      </c>
      <c r="N293" s="2153"/>
      <c r="U293" s="1352">
        <f t="shared" si="74"/>
        <v>7</v>
      </c>
      <c r="V293" s="1514">
        <f>IF(U293=1,Cal!$BO$127,0)</f>
        <v>0</v>
      </c>
      <c r="W293" s="1517">
        <f>IF(U293=1,Adm!$HI$4,0)</f>
        <v>0</v>
      </c>
      <c r="X293" s="1518"/>
      <c r="Y293" s="1518"/>
      <c r="Z293" s="1518"/>
      <c r="AA293" s="1368">
        <f t="shared" si="81"/>
        <v>0</v>
      </c>
      <c r="AB293" s="1369">
        <f t="shared" ca="1" si="75"/>
        <v>0</v>
      </c>
      <c r="AF293" s="1370">
        <f t="shared" si="82"/>
        <v>0</v>
      </c>
      <c r="AG293" s="1373">
        <f t="shared" si="83"/>
        <v>0</v>
      </c>
      <c r="AH293" s="1371">
        <f t="shared" si="84"/>
        <v>0</v>
      </c>
      <c r="AI293" s="1359">
        <f>HLOOKUP($AI$66,anticipadofree,224,0)</f>
        <v>-8.4490555555555551E-4</v>
      </c>
      <c r="AK293" s="1360">
        <f t="shared" si="76"/>
        <v>-8.4490555555555551E-4</v>
      </c>
      <c r="AL293" s="1361">
        <f t="shared" si="87"/>
        <v>223</v>
      </c>
      <c r="AM293" s="1191">
        <f t="shared" si="85"/>
        <v>0.01</v>
      </c>
      <c r="AN293" s="1362">
        <f t="shared" si="77"/>
        <v>973.70825864935807</v>
      </c>
      <c r="AO293" s="1362">
        <f t="shared" si="69"/>
        <v>-973.70825864935807</v>
      </c>
      <c r="AP293" s="1362">
        <f t="shared" si="86"/>
        <v>0</v>
      </c>
      <c r="AQ293" s="1363">
        <f t="shared" si="78"/>
        <v>1153419.981391639</v>
      </c>
    </row>
    <row r="294" spans="1:43">
      <c r="A294" s="1118">
        <f t="shared" ca="1" si="67"/>
        <v>11</v>
      </c>
      <c r="B294" s="1351">
        <f t="shared" si="68"/>
        <v>0</v>
      </c>
      <c r="C294" s="2143">
        <f t="shared" si="79"/>
        <v>0</v>
      </c>
      <c r="D294" s="2144">
        <f t="shared" si="66"/>
        <v>0</v>
      </c>
      <c r="E294" s="2145">
        <f t="shared" si="70"/>
        <v>0</v>
      </c>
      <c r="F294" s="2145">
        <f t="shared" si="71"/>
        <v>0</v>
      </c>
      <c r="G294" s="2145">
        <f t="shared" si="80"/>
        <v>0</v>
      </c>
      <c r="H294" s="2145">
        <f>IF(M293&lt;0.01,0,M293*Adm!$GV$4)</f>
        <v>0</v>
      </c>
      <c r="I294" s="2145">
        <f>IF(M293&lt;0.01,0,Cal!$BO$108*Adm!$GW$4)</f>
        <v>0</v>
      </c>
      <c r="J294" s="2145">
        <f>IF(M293&lt;0.01,0,IF(Adm!$GO$4&gt;0,E294*Adm!$GO$4,0))</f>
        <v>0</v>
      </c>
      <c r="K294" s="2145">
        <f t="shared" si="72"/>
        <v>0</v>
      </c>
      <c r="L294" s="2145">
        <f>IF(Adm!$GJ$4="si",MIN(M293+E294+H294+I294-K294,AB294),0)</f>
        <v>0</v>
      </c>
      <c r="M294" s="2145">
        <f t="shared" si="73"/>
        <v>0</v>
      </c>
      <c r="N294" s="2153"/>
      <c r="U294" s="1352">
        <f t="shared" si="74"/>
        <v>8</v>
      </c>
      <c r="V294" s="1514">
        <f>IF(U294=1,Cal!$BO$127,0)</f>
        <v>0</v>
      </c>
      <c r="W294" s="1517">
        <f>IF(U294=1,Adm!$HI$4,0)</f>
        <v>0</v>
      </c>
      <c r="X294" s="1518"/>
      <c r="Y294" s="1518"/>
      <c r="Z294" s="1518"/>
      <c r="AA294" s="1368">
        <f t="shared" si="81"/>
        <v>0</v>
      </c>
      <c r="AB294" s="1369">
        <f t="shared" ca="1" si="75"/>
        <v>0</v>
      </c>
      <c r="AF294" s="1370">
        <f t="shared" si="82"/>
        <v>0</v>
      </c>
      <c r="AG294" s="1373">
        <f t="shared" si="83"/>
        <v>0</v>
      </c>
      <c r="AH294" s="1371">
        <f t="shared" si="84"/>
        <v>0</v>
      </c>
      <c r="AI294" s="1359">
        <f>HLOOKUP($AI$66,anticipadofree,225,0)</f>
        <v>-8.4490555555555562E-4</v>
      </c>
      <c r="AK294" s="1360">
        <f t="shared" si="76"/>
        <v>-8.4490555555555562E-4</v>
      </c>
      <c r="AL294" s="1361">
        <f t="shared" si="87"/>
        <v>224</v>
      </c>
      <c r="AM294" s="1191">
        <f t="shared" si="85"/>
        <v>0.01</v>
      </c>
      <c r="AN294" s="1362">
        <f t="shared" si="77"/>
        <v>974.53095016658131</v>
      </c>
      <c r="AO294" s="1362">
        <f t="shared" si="69"/>
        <v>-974.53095016658131</v>
      </c>
      <c r="AP294" s="1362">
        <f t="shared" si="86"/>
        <v>0</v>
      </c>
      <c r="AQ294" s="1363">
        <f t="shared" si="78"/>
        <v>1154394.5123418055</v>
      </c>
    </row>
    <row r="295" spans="1:43">
      <c r="A295" s="1118">
        <f t="shared" ca="1" si="67"/>
        <v>12</v>
      </c>
      <c r="B295" s="1351">
        <f t="shared" si="68"/>
        <v>0</v>
      </c>
      <c r="C295" s="2143">
        <f t="shared" si="79"/>
        <v>0</v>
      </c>
      <c r="D295" s="2144">
        <f t="shared" si="66"/>
        <v>0</v>
      </c>
      <c r="E295" s="2145">
        <f t="shared" si="70"/>
        <v>0</v>
      </c>
      <c r="F295" s="2145">
        <f t="shared" si="71"/>
        <v>0</v>
      </c>
      <c r="G295" s="2145">
        <f t="shared" si="80"/>
        <v>0</v>
      </c>
      <c r="H295" s="2145">
        <f>IF(M294&lt;0.01,0,M294*Adm!$GV$4)</f>
        <v>0</v>
      </c>
      <c r="I295" s="2145">
        <f>IF(M294&lt;0.01,0,Cal!$BO$108*Adm!$GW$4)</f>
        <v>0</v>
      </c>
      <c r="J295" s="2145">
        <f>IF(M294&lt;0.01,0,IF(Adm!$GO$4&gt;0,E295*Adm!$GO$4,0))</f>
        <v>0</v>
      </c>
      <c r="K295" s="2145">
        <f t="shared" si="72"/>
        <v>0</v>
      </c>
      <c r="L295" s="2145">
        <f>IF(Adm!$GJ$4="si",MIN(M294+E295+H295+I295-K295,AB295),0)</f>
        <v>0</v>
      </c>
      <c r="M295" s="2145">
        <f t="shared" si="73"/>
        <v>0</v>
      </c>
      <c r="N295" s="2153"/>
      <c r="U295" s="1352">
        <f t="shared" si="74"/>
        <v>9</v>
      </c>
      <c r="V295" s="1514">
        <f>IF(U295=1,Cal!$BO$127,0)</f>
        <v>0</v>
      </c>
      <c r="W295" s="1517">
        <f>IF(U295=1,Adm!$HI$4,0)</f>
        <v>0</v>
      </c>
      <c r="X295" s="1518"/>
      <c r="Y295" s="1518"/>
      <c r="Z295" s="1518"/>
      <c r="AA295" s="1368">
        <f t="shared" si="81"/>
        <v>0</v>
      </c>
      <c r="AB295" s="1369">
        <f t="shared" ca="1" si="75"/>
        <v>0</v>
      </c>
      <c r="AF295" s="1370">
        <f t="shared" si="82"/>
        <v>0</v>
      </c>
      <c r="AG295" s="1373">
        <f t="shared" si="83"/>
        <v>0</v>
      </c>
      <c r="AH295" s="1371">
        <f t="shared" si="84"/>
        <v>0</v>
      </c>
      <c r="AI295" s="1359">
        <f>HLOOKUP($AI$66,anticipadofree,226,0)</f>
        <v>-8.4490555555555562E-4</v>
      </c>
      <c r="AK295" s="1360">
        <f t="shared" si="76"/>
        <v>-8.4490555555555562E-4</v>
      </c>
      <c r="AL295" s="1361">
        <f t="shared" si="87"/>
        <v>225</v>
      </c>
      <c r="AM295" s="1191">
        <f t="shared" si="85"/>
        <v>0.01</v>
      </c>
      <c r="AN295" s="1362">
        <f t="shared" si="77"/>
        <v>975.35433678043785</v>
      </c>
      <c r="AO295" s="1362">
        <f t="shared" si="69"/>
        <v>-975.35433678043785</v>
      </c>
      <c r="AP295" s="1362">
        <f t="shared" si="86"/>
        <v>0</v>
      </c>
      <c r="AQ295" s="1363">
        <f t="shared" si="78"/>
        <v>1155369.866678586</v>
      </c>
    </row>
    <row r="296" spans="1:43">
      <c r="A296" s="1118">
        <f t="shared" ca="1" si="67"/>
        <v>1</v>
      </c>
      <c r="B296" s="1351">
        <f t="shared" si="68"/>
        <v>0</v>
      </c>
      <c r="C296" s="2143">
        <f t="shared" si="79"/>
        <v>0</v>
      </c>
      <c r="D296" s="2144">
        <f t="shared" si="66"/>
        <v>0</v>
      </c>
      <c r="E296" s="2145">
        <f t="shared" si="70"/>
        <v>0</v>
      </c>
      <c r="F296" s="2145">
        <f t="shared" si="71"/>
        <v>0</v>
      </c>
      <c r="G296" s="2145">
        <f t="shared" si="80"/>
        <v>0</v>
      </c>
      <c r="H296" s="2145">
        <f>IF(M295&lt;0.01,0,M295*Adm!$GV$4)</f>
        <v>0</v>
      </c>
      <c r="I296" s="2145">
        <f>IF(M295&lt;0.01,0,Cal!$BO$108*Adm!$GW$4)</f>
        <v>0</v>
      </c>
      <c r="J296" s="2145">
        <f>IF(M295&lt;0.01,0,IF(Adm!$GO$4&gt;0,E296*Adm!$GO$4,0))</f>
        <v>0</v>
      </c>
      <c r="K296" s="2145">
        <f t="shared" si="72"/>
        <v>0</v>
      </c>
      <c r="L296" s="2145">
        <f>IF(Adm!$GJ$4="si",MIN(M295+E296+H296+I296-K296,AB296),0)</f>
        <v>0</v>
      </c>
      <c r="M296" s="2145">
        <f t="shared" si="73"/>
        <v>0</v>
      </c>
      <c r="N296" s="2153"/>
      <c r="U296" s="1352">
        <f t="shared" si="74"/>
        <v>10</v>
      </c>
      <c r="V296" s="1514">
        <f>IF(U296=1,Cal!$BO$127,0)</f>
        <v>0</v>
      </c>
      <c r="W296" s="1517">
        <f>IF(U296=1,Adm!$HI$4,0)</f>
        <v>0</v>
      </c>
      <c r="X296" s="1518"/>
      <c r="Y296" s="1518"/>
      <c r="Z296" s="1518"/>
      <c r="AA296" s="1368">
        <f t="shared" si="81"/>
        <v>0</v>
      </c>
      <c r="AB296" s="1369">
        <f t="shared" ca="1" si="75"/>
        <v>0</v>
      </c>
      <c r="AF296" s="1370">
        <f t="shared" si="82"/>
        <v>0</v>
      </c>
      <c r="AG296" s="1373">
        <f t="shared" si="83"/>
        <v>0</v>
      </c>
      <c r="AH296" s="1371">
        <f t="shared" si="84"/>
        <v>0</v>
      </c>
      <c r="AI296" s="1359">
        <f>HLOOKUP($AI$66,anticipadofree,227,0)</f>
        <v>-8.4490555555555562E-4</v>
      </c>
      <c r="AK296" s="1360">
        <f t="shared" si="76"/>
        <v>-8.4490555555555562E-4</v>
      </c>
      <c r="AL296" s="1361">
        <f t="shared" si="87"/>
        <v>226</v>
      </c>
      <c r="AM296" s="1191">
        <f t="shared" si="85"/>
        <v>0.01</v>
      </c>
      <c r="AN296" s="1362">
        <f t="shared" si="77"/>
        <v>976.17841907821889</v>
      </c>
      <c r="AO296" s="1362">
        <f t="shared" si="69"/>
        <v>-976.17841907821889</v>
      </c>
      <c r="AP296" s="1362">
        <f t="shared" si="86"/>
        <v>0</v>
      </c>
      <c r="AQ296" s="1363">
        <f t="shared" si="78"/>
        <v>1156346.0450976642</v>
      </c>
    </row>
    <row r="297" spans="1:43">
      <c r="A297" s="1118">
        <f t="shared" ca="1" si="67"/>
        <v>2</v>
      </c>
      <c r="B297" s="1351">
        <f t="shared" si="68"/>
        <v>0</v>
      </c>
      <c r="C297" s="2143">
        <f t="shared" si="79"/>
        <v>0</v>
      </c>
      <c r="D297" s="2144">
        <f t="shared" si="66"/>
        <v>0</v>
      </c>
      <c r="E297" s="2145">
        <f t="shared" si="70"/>
        <v>0</v>
      </c>
      <c r="F297" s="2145">
        <f t="shared" si="71"/>
        <v>0</v>
      </c>
      <c r="G297" s="2145">
        <f t="shared" si="80"/>
        <v>0</v>
      </c>
      <c r="H297" s="2145">
        <f>IF(M296&lt;0.01,0,M296*Adm!$GV$4)</f>
        <v>0</v>
      </c>
      <c r="I297" s="2145">
        <f>IF(M296&lt;0.01,0,Cal!$BO$108*Adm!$GW$4)</f>
        <v>0</v>
      </c>
      <c r="J297" s="2145">
        <f>IF(M296&lt;0.01,0,IF(Adm!$GO$4&gt;0,E297*Adm!$GO$4,0))</f>
        <v>0</v>
      </c>
      <c r="K297" s="2145">
        <f t="shared" si="72"/>
        <v>0</v>
      </c>
      <c r="L297" s="2145">
        <f>IF(Adm!$GJ$4="si",MIN(M296+E297+H297+I297-K297,AB297),0)</f>
        <v>0</v>
      </c>
      <c r="M297" s="2145">
        <f t="shared" si="73"/>
        <v>0</v>
      </c>
      <c r="N297" s="2153"/>
      <c r="U297" s="1352">
        <f t="shared" si="74"/>
        <v>11</v>
      </c>
      <c r="V297" s="1514">
        <f>IF(U297=1,Cal!$BO$127,0)</f>
        <v>0</v>
      </c>
      <c r="W297" s="1517">
        <f>IF(U297=1,Adm!$HI$4,0)</f>
        <v>0</v>
      </c>
      <c r="X297" s="1518"/>
      <c r="Y297" s="1518"/>
      <c r="Z297" s="1518"/>
      <c r="AA297" s="1368">
        <f t="shared" si="81"/>
        <v>0</v>
      </c>
      <c r="AB297" s="1369">
        <f t="shared" ca="1" si="75"/>
        <v>0</v>
      </c>
      <c r="AF297" s="1370">
        <f t="shared" si="82"/>
        <v>0</v>
      </c>
      <c r="AG297" s="1373">
        <f t="shared" si="83"/>
        <v>0</v>
      </c>
      <c r="AH297" s="1371">
        <f t="shared" si="84"/>
        <v>0</v>
      </c>
      <c r="AI297" s="1359">
        <f>HLOOKUP($AI$66,anticipadofree,228,0)</f>
        <v>-8.4490555555555562E-4</v>
      </c>
      <c r="AK297" s="1360">
        <f t="shared" si="76"/>
        <v>-8.4490555555555562E-4</v>
      </c>
      <c r="AL297" s="1361">
        <f t="shared" si="87"/>
        <v>227</v>
      </c>
      <c r="AM297" s="1191">
        <f t="shared" si="85"/>
        <v>0.01</v>
      </c>
      <c r="AN297" s="1362">
        <f t="shared" si="77"/>
        <v>977.00319764771154</v>
      </c>
      <c r="AO297" s="1362">
        <f t="shared" si="69"/>
        <v>-977.00319764771154</v>
      </c>
      <c r="AP297" s="1362">
        <f t="shared" si="86"/>
        <v>0</v>
      </c>
      <c r="AQ297" s="1363">
        <f t="shared" si="78"/>
        <v>1157323.0482953119</v>
      </c>
    </row>
    <row r="298" spans="1:43">
      <c r="A298" s="1118">
        <f t="shared" ca="1" si="67"/>
        <v>3</v>
      </c>
      <c r="B298" s="1351">
        <f t="shared" si="68"/>
        <v>0</v>
      </c>
      <c r="C298" s="2143">
        <f t="shared" si="79"/>
        <v>0</v>
      </c>
      <c r="D298" s="2144">
        <f t="shared" si="66"/>
        <v>0</v>
      </c>
      <c r="E298" s="2145">
        <f t="shared" si="70"/>
        <v>0</v>
      </c>
      <c r="F298" s="2145">
        <f t="shared" si="71"/>
        <v>0</v>
      </c>
      <c r="G298" s="2145">
        <f t="shared" si="80"/>
        <v>0</v>
      </c>
      <c r="H298" s="2145">
        <f>IF(M297&lt;0.01,0,M297*Adm!$GV$4)</f>
        <v>0</v>
      </c>
      <c r="I298" s="2145">
        <f>IF(M297&lt;0.01,0,Cal!$BO$108*Adm!$GW$4)</f>
        <v>0</v>
      </c>
      <c r="J298" s="2145">
        <f>IF(M297&lt;0.01,0,IF(Adm!$GO$4&gt;0,E298*Adm!$GO$4,0))</f>
        <v>0</v>
      </c>
      <c r="K298" s="2145">
        <f t="shared" si="72"/>
        <v>0</v>
      </c>
      <c r="L298" s="2145">
        <f>IF(Adm!$GJ$4="si",MIN(M297+E298+H298+I298-K298,AB298),0)</f>
        <v>0</v>
      </c>
      <c r="M298" s="2145">
        <f t="shared" si="73"/>
        <v>0</v>
      </c>
      <c r="N298" s="2153"/>
      <c r="U298" s="1352">
        <f t="shared" si="74"/>
        <v>12</v>
      </c>
      <c r="V298" s="1514">
        <f>IF(U298=1,Cal!$BO$127,0)</f>
        <v>0</v>
      </c>
      <c r="W298" s="1517">
        <f>IF(U298=1,Adm!$HI$4,0)</f>
        <v>0</v>
      </c>
      <c r="X298" s="1518"/>
      <c r="Y298" s="1518"/>
      <c r="Z298" s="1518"/>
      <c r="AA298" s="1368">
        <f t="shared" si="81"/>
        <v>0</v>
      </c>
      <c r="AB298" s="1369">
        <f t="shared" ca="1" si="75"/>
        <v>0</v>
      </c>
      <c r="AF298" s="1370">
        <f t="shared" si="82"/>
        <v>0</v>
      </c>
      <c r="AG298" s="1373">
        <f t="shared" si="83"/>
        <v>0</v>
      </c>
      <c r="AH298" s="1371">
        <f t="shared" si="84"/>
        <v>0</v>
      </c>
      <c r="AI298" s="1359">
        <f>HLOOKUP($AI$66,anticipadofree,229,0)</f>
        <v>-8.4490555555555551E-4</v>
      </c>
      <c r="AK298" s="1360">
        <f t="shared" si="76"/>
        <v>-8.4490555555555551E-4</v>
      </c>
      <c r="AL298" s="1361">
        <f t="shared" si="87"/>
        <v>228</v>
      </c>
      <c r="AM298" s="1191">
        <f t="shared" si="85"/>
        <v>0.01</v>
      </c>
      <c r="AN298" s="1362">
        <f t="shared" si="77"/>
        <v>977.82867307719948</v>
      </c>
      <c r="AO298" s="1362">
        <f t="shared" si="69"/>
        <v>-977.82867307719948</v>
      </c>
      <c r="AP298" s="1362">
        <f t="shared" si="86"/>
        <v>0</v>
      </c>
      <c r="AQ298" s="1363">
        <f t="shared" si="78"/>
        <v>1158300.8769683891</v>
      </c>
    </row>
    <row r="299" spans="1:43">
      <c r="A299" s="1118">
        <f t="shared" ca="1" si="67"/>
        <v>4</v>
      </c>
      <c r="B299" s="1351">
        <f t="shared" si="68"/>
        <v>0</v>
      </c>
      <c r="C299" s="2143">
        <f t="shared" si="79"/>
        <v>0</v>
      </c>
      <c r="D299" s="2144">
        <f t="shared" ref="D299:D310" si="88">IF(M298&lt;0.01,0,IF(D298=$Y$72,D298,IF(D298-W299&lt;=$Y$72,D298-W299,D298-W299)))</f>
        <v>0</v>
      </c>
      <c r="E299" s="2145">
        <f t="shared" si="70"/>
        <v>0</v>
      </c>
      <c r="F299" s="2145">
        <f t="shared" si="71"/>
        <v>0</v>
      </c>
      <c r="G299" s="2145">
        <f t="shared" si="80"/>
        <v>0</v>
      </c>
      <c r="H299" s="2145">
        <f>IF(M298&lt;0.01,0,M298*Adm!$GV$4)</f>
        <v>0</v>
      </c>
      <c r="I299" s="2145">
        <f>IF(M298&lt;0.01,0,Cal!$BO$108*Adm!$GW$4)</f>
        <v>0</v>
      </c>
      <c r="J299" s="2145">
        <f>IF(M298&lt;0.01,0,IF(Adm!$GO$4&gt;0,E299*Adm!$GO$4,0))</f>
        <v>0</v>
      </c>
      <c r="K299" s="2145">
        <f t="shared" si="72"/>
        <v>0</v>
      </c>
      <c r="L299" s="2145">
        <f>IF(Adm!$GJ$4="si",MIN(M298+E299+H299+I299-K299,AB299),0)</f>
        <v>0</v>
      </c>
      <c r="M299" s="2145">
        <f t="shared" si="73"/>
        <v>0</v>
      </c>
      <c r="N299" s="2153"/>
      <c r="U299" s="1352">
        <f t="shared" si="74"/>
        <v>1</v>
      </c>
      <c r="V299" s="1514">
        <f>IF(U299=1,Cal!$BO$127,0)</f>
        <v>0</v>
      </c>
      <c r="W299" s="1517">
        <f>IF(U299=1,Adm!$HI$4,0)</f>
        <v>2.5000000000000001E-3</v>
      </c>
      <c r="X299" s="1518"/>
      <c r="Y299" s="1518"/>
      <c r="Z299" s="1518"/>
      <c r="AA299" s="1368">
        <f t="shared" si="81"/>
        <v>0</v>
      </c>
      <c r="AB299" s="1369">
        <f t="shared" ca="1" si="75"/>
        <v>0</v>
      </c>
      <c r="AF299" s="1370">
        <f t="shared" si="82"/>
        <v>0</v>
      </c>
      <c r="AG299" s="1373">
        <f t="shared" si="83"/>
        <v>0</v>
      </c>
      <c r="AH299" s="1371">
        <f t="shared" si="84"/>
        <v>0</v>
      </c>
      <c r="AI299" s="1359">
        <f>HLOOKUP($AI$66,anticipadofree,230,0)</f>
        <v>-8.4490555555555541E-4</v>
      </c>
      <c r="AK299" s="1360">
        <f t="shared" si="76"/>
        <v>-8.4490555555555541E-4</v>
      </c>
      <c r="AL299" s="1377">
        <f t="shared" si="87"/>
        <v>229</v>
      </c>
      <c r="AM299" s="1516">
        <f t="shared" si="85"/>
        <v>0.01</v>
      </c>
      <c r="AN299" s="1378">
        <f t="shared" si="77"/>
        <v>978.65484595546388</v>
      </c>
      <c r="AO299" s="1378">
        <f t="shared" si="69"/>
        <v>-978.65484595546388</v>
      </c>
      <c r="AP299" s="1378">
        <f>MIN(AQ298+AN299,AP298*(1+$AN$66))</f>
        <v>0</v>
      </c>
      <c r="AQ299" s="1363">
        <f t="shared" si="78"/>
        <v>1159279.5318143447</v>
      </c>
    </row>
    <row r="300" spans="1:43">
      <c r="A300" s="1118">
        <f t="shared" ca="1" si="67"/>
        <v>5</v>
      </c>
      <c r="B300" s="1351">
        <f t="shared" si="68"/>
        <v>0</v>
      </c>
      <c r="C300" s="2143">
        <f t="shared" si="79"/>
        <v>0</v>
      </c>
      <c r="D300" s="2144">
        <f t="shared" si="88"/>
        <v>0</v>
      </c>
      <c r="E300" s="2145">
        <f t="shared" si="70"/>
        <v>0</v>
      </c>
      <c r="F300" s="2145">
        <f t="shared" si="71"/>
        <v>0</v>
      </c>
      <c r="G300" s="2145">
        <f t="shared" si="80"/>
        <v>0</v>
      </c>
      <c r="H300" s="2145">
        <f>IF(M299&lt;0.01,0,M299*Adm!$GV$4)</f>
        <v>0</v>
      </c>
      <c r="I300" s="2145">
        <f>IF(M299&lt;0.01,0,Cal!$BO$108*Adm!$GW$4)</f>
        <v>0</v>
      </c>
      <c r="J300" s="2145">
        <f>IF(M299&lt;0.01,0,IF(Adm!$GO$4&gt;0,E300*Adm!$GO$4,0))</f>
        <v>0</v>
      </c>
      <c r="K300" s="2145">
        <f t="shared" si="72"/>
        <v>0</v>
      </c>
      <c r="L300" s="2145">
        <f>IF(Adm!$GJ$4="si",MIN(M299+E300+H300+I300-K300,AB300),0)</f>
        <v>0</v>
      </c>
      <c r="M300" s="2145">
        <f t="shared" si="73"/>
        <v>0</v>
      </c>
      <c r="N300" s="2153"/>
      <c r="U300" s="1352">
        <f t="shared" si="74"/>
        <v>2</v>
      </c>
      <c r="V300" s="1514">
        <f>IF(U300=1,Cal!$BO$127,0)</f>
        <v>0</v>
      </c>
      <c r="W300" s="1517">
        <f>IF(U300=1,Adm!$HI$4,0)</f>
        <v>0</v>
      </c>
      <c r="X300" s="1518"/>
      <c r="Y300" s="1518"/>
      <c r="Z300" s="1518"/>
      <c r="AA300" s="1368">
        <f t="shared" si="81"/>
        <v>0</v>
      </c>
      <c r="AB300" s="1369">
        <f t="shared" ca="1" si="75"/>
        <v>0</v>
      </c>
      <c r="AF300" s="1370">
        <f t="shared" si="82"/>
        <v>0</v>
      </c>
      <c r="AG300" s="1373">
        <f t="shared" si="83"/>
        <v>0</v>
      </c>
      <c r="AH300" s="1371">
        <f t="shared" si="84"/>
        <v>0</v>
      </c>
      <c r="AI300" s="1359">
        <f>HLOOKUP($AI$66,anticipadofree,231,0)</f>
        <v>-8.4490555555555551E-4</v>
      </c>
      <c r="AK300" s="1360">
        <f t="shared" si="76"/>
        <v>-8.4490555555555551E-4</v>
      </c>
      <c r="AL300" s="1361">
        <f t="shared" si="87"/>
        <v>230</v>
      </c>
      <c r="AM300" s="1191">
        <f t="shared" si="85"/>
        <v>0.01</v>
      </c>
      <c r="AN300" s="1362">
        <f t="shared" si="77"/>
        <v>979.48171687178319</v>
      </c>
      <c r="AO300" s="1362">
        <f t="shared" si="69"/>
        <v>-979.48171687178319</v>
      </c>
      <c r="AP300" s="1362">
        <f t="shared" si="86"/>
        <v>0</v>
      </c>
      <c r="AQ300" s="1363">
        <f t="shared" si="78"/>
        <v>1160259.0135312164</v>
      </c>
    </row>
    <row r="301" spans="1:43">
      <c r="A301" s="1118">
        <f t="shared" ca="1" si="67"/>
        <v>6</v>
      </c>
      <c r="B301" s="1351">
        <f t="shared" si="68"/>
        <v>0</v>
      </c>
      <c r="C301" s="2143">
        <f t="shared" si="79"/>
        <v>0</v>
      </c>
      <c r="D301" s="2144">
        <f t="shared" si="88"/>
        <v>0</v>
      </c>
      <c r="E301" s="2145">
        <f t="shared" si="70"/>
        <v>0</v>
      </c>
      <c r="F301" s="2145">
        <f t="shared" si="71"/>
        <v>0</v>
      </c>
      <c r="G301" s="2145">
        <f t="shared" si="80"/>
        <v>0</v>
      </c>
      <c r="H301" s="2145">
        <f>IF(M300&lt;0.01,0,M300*Adm!$GV$4)</f>
        <v>0</v>
      </c>
      <c r="I301" s="2145">
        <f>IF(M300&lt;0.01,0,Cal!$BO$108*Adm!$GW$4)</f>
        <v>0</v>
      </c>
      <c r="J301" s="2145">
        <f>IF(M300&lt;0.01,0,IF(Adm!$GO$4&gt;0,E301*Adm!$GO$4,0))</f>
        <v>0</v>
      </c>
      <c r="K301" s="2145">
        <f t="shared" si="72"/>
        <v>0</v>
      </c>
      <c r="L301" s="2145">
        <f>IF(Adm!$GJ$4="si",MIN(M300+E301+H301+I301-K301,AB301),0)</f>
        <v>0</v>
      </c>
      <c r="M301" s="2145">
        <f t="shared" si="73"/>
        <v>0</v>
      </c>
      <c r="N301" s="2153"/>
      <c r="U301" s="1352">
        <f t="shared" si="74"/>
        <v>3</v>
      </c>
      <c r="V301" s="1514">
        <f>IF(U301=1,Cal!$BO$127,0)</f>
        <v>0</v>
      </c>
      <c r="W301" s="1517">
        <f>IF(U301=1,Adm!$HI$4,0)</f>
        <v>0</v>
      </c>
      <c r="X301" s="1518"/>
      <c r="Y301" s="1518"/>
      <c r="Z301" s="1518"/>
      <c r="AA301" s="1368">
        <f t="shared" si="81"/>
        <v>0</v>
      </c>
      <c r="AB301" s="1369">
        <f t="shared" ca="1" si="75"/>
        <v>0</v>
      </c>
      <c r="AF301" s="1370">
        <f t="shared" si="82"/>
        <v>0</v>
      </c>
      <c r="AG301" s="1373">
        <f t="shared" si="83"/>
        <v>0</v>
      </c>
      <c r="AH301" s="1371">
        <f t="shared" si="84"/>
        <v>0</v>
      </c>
      <c r="AI301" s="1359">
        <f>HLOOKUP($AI$66,anticipadofree,232,0)</f>
        <v>-8.4490555555555562E-4</v>
      </c>
      <c r="AK301" s="1360">
        <f t="shared" si="76"/>
        <v>-8.4490555555555562E-4</v>
      </c>
      <c r="AL301" s="1361">
        <f t="shared" si="87"/>
        <v>231</v>
      </c>
      <c r="AM301" s="1191">
        <f t="shared" si="85"/>
        <v>0.01</v>
      </c>
      <c r="AN301" s="1362">
        <f t="shared" si="77"/>
        <v>980.30928641593334</v>
      </c>
      <c r="AO301" s="1362">
        <f t="shared" si="69"/>
        <v>-980.30928641593334</v>
      </c>
      <c r="AP301" s="1362">
        <f t="shared" si="86"/>
        <v>0</v>
      </c>
      <c r="AQ301" s="1363">
        <f t="shared" si="78"/>
        <v>1161239.3228176325</v>
      </c>
    </row>
    <row r="302" spans="1:43">
      <c r="A302" s="1118">
        <f t="shared" ca="1" si="67"/>
        <v>7</v>
      </c>
      <c r="B302" s="1351">
        <f t="shared" si="68"/>
        <v>0</v>
      </c>
      <c r="C302" s="2143">
        <f t="shared" si="79"/>
        <v>0</v>
      </c>
      <c r="D302" s="2144">
        <f t="shared" si="88"/>
        <v>0</v>
      </c>
      <c r="E302" s="2145">
        <f t="shared" si="70"/>
        <v>0</v>
      </c>
      <c r="F302" s="2145">
        <f t="shared" si="71"/>
        <v>0</v>
      </c>
      <c r="G302" s="2145">
        <f t="shared" si="80"/>
        <v>0</v>
      </c>
      <c r="H302" s="2145">
        <f>IF(M301&lt;0.01,0,M301*Adm!$GV$4)</f>
        <v>0</v>
      </c>
      <c r="I302" s="2145">
        <f>IF(M301&lt;0.01,0,Cal!$BO$108*Adm!$GW$4)</f>
        <v>0</v>
      </c>
      <c r="J302" s="2145">
        <f>IF(M301&lt;0.01,0,IF(Adm!$GO$4&gt;0,E302*Adm!$GO$4,0))</f>
        <v>0</v>
      </c>
      <c r="K302" s="2145">
        <f t="shared" si="72"/>
        <v>0</v>
      </c>
      <c r="L302" s="2145">
        <f>IF(Adm!$GJ$4="si",MIN(M301+E302+H302+I302-K302,AB302),0)</f>
        <v>0</v>
      </c>
      <c r="M302" s="2145">
        <f t="shared" si="73"/>
        <v>0</v>
      </c>
      <c r="N302" s="2153"/>
      <c r="U302" s="1352">
        <f t="shared" si="74"/>
        <v>4</v>
      </c>
      <c r="V302" s="1514">
        <f>IF(U302=1,Cal!$BO$127,0)</f>
        <v>0</v>
      </c>
      <c r="W302" s="1517">
        <f>IF(U302=1,Adm!$HI$4,0)</f>
        <v>0</v>
      </c>
      <c r="X302" s="1518"/>
      <c r="Y302" s="1518"/>
      <c r="Z302" s="1518"/>
      <c r="AA302" s="1368">
        <f t="shared" si="81"/>
        <v>0</v>
      </c>
      <c r="AB302" s="1369">
        <f t="shared" ca="1" si="75"/>
        <v>0</v>
      </c>
      <c r="AF302" s="1370">
        <f t="shared" si="82"/>
        <v>0</v>
      </c>
      <c r="AG302" s="1373">
        <f t="shared" si="83"/>
        <v>0</v>
      </c>
      <c r="AH302" s="1371">
        <f t="shared" si="84"/>
        <v>0</v>
      </c>
      <c r="AI302" s="1359">
        <f>HLOOKUP($AI$66,anticipadofree,233,0)</f>
        <v>-8.4490555555555562E-4</v>
      </c>
      <c r="AK302" s="1360">
        <f t="shared" si="76"/>
        <v>-8.4490555555555562E-4</v>
      </c>
      <c r="AL302" s="1361">
        <f t="shared" si="87"/>
        <v>232</v>
      </c>
      <c r="AM302" s="1191">
        <f t="shared" si="85"/>
        <v>0.01</v>
      </c>
      <c r="AN302" s="1362">
        <f t="shared" si="77"/>
        <v>981.1375551781889</v>
      </c>
      <c r="AO302" s="1362">
        <f t="shared" si="69"/>
        <v>-981.1375551781889</v>
      </c>
      <c r="AP302" s="1362">
        <f t="shared" si="86"/>
        <v>0</v>
      </c>
      <c r="AQ302" s="1363">
        <f t="shared" si="78"/>
        <v>1162220.4603728107</v>
      </c>
    </row>
    <row r="303" spans="1:43">
      <c r="A303" s="1118">
        <f t="shared" ca="1" si="67"/>
        <v>8</v>
      </c>
      <c r="B303" s="1351">
        <f t="shared" si="68"/>
        <v>0</v>
      </c>
      <c r="C303" s="2143">
        <f t="shared" si="79"/>
        <v>0</v>
      </c>
      <c r="D303" s="2144">
        <f t="shared" si="88"/>
        <v>0</v>
      </c>
      <c r="E303" s="2145">
        <f t="shared" si="70"/>
        <v>0</v>
      </c>
      <c r="F303" s="2145">
        <f t="shared" si="71"/>
        <v>0</v>
      </c>
      <c r="G303" s="2145">
        <f t="shared" si="80"/>
        <v>0</v>
      </c>
      <c r="H303" s="2145">
        <f>IF(M302&lt;0.01,0,M302*Adm!$GV$4)</f>
        <v>0</v>
      </c>
      <c r="I303" s="2145">
        <f>IF(M302&lt;0.01,0,Cal!$BO$108*Adm!$GW$4)</f>
        <v>0</v>
      </c>
      <c r="J303" s="2145">
        <f>IF(M302&lt;0.01,0,IF(Adm!$GO$4&gt;0,E303*Adm!$GO$4,0))</f>
        <v>0</v>
      </c>
      <c r="K303" s="2145">
        <f t="shared" si="72"/>
        <v>0</v>
      </c>
      <c r="L303" s="2145">
        <f>IF(Adm!$GJ$4="si",MIN(M302+E303+H303+I303-K303,AB303),0)</f>
        <v>0</v>
      </c>
      <c r="M303" s="2145">
        <f t="shared" si="73"/>
        <v>0</v>
      </c>
      <c r="N303" s="2153"/>
      <c r="U303" s="1352">
        <f t="shared" si="74"/>
        <v>5</v>
      </c>
      <c r="V303" s="1514">
        <f>IF(U303=1,Cal!$BO$127,0)</f>
        <v>0</v>
      </c>
      <c r="W303" s="1517">
        <f>IF(U303=1,Adm!$HI$4,0)</f>
        <v>0</v>
      </c>
      <c r="X303" s="1518"/>
      <c r="Y303" s="1518"/>
      <c r="Z303" s="1518"/>
      <c r="AA303" s="1368">
        <f t="shared" si="81"/>
        <v>0</v>
      </c>
      <c r="AB303" s="1369">
        <f t="shared" ca="1" si="75"/>
        <v>0</v>
      </c>
      <c r="AF303" s="1370">
        <f t="shared" si="82"/>
        <v>0</v>
      </c>
      <c r="AG303" s="1373">
        <f t="shared" si="83"/>
        <v>0</v>
      </c>
      <c r="AH303" s="1371">
        <f t="shared" si="84"/>
        <v>0</v>
      </c>
      <c r="AI303" s="1359">
        <f>HLOOKUP($AI$66,anticipadofree,234,0)</f>
        <v>-8.4490555555555551E-4</v>
      </c>
      <c r="AK303" s="1360">
        <f t="shared" si="76"/>
        <v>-8.4490555555555551E-4</v>
      </c>
      <c r="AL303" s="1361">
        <f t="shared" si="87"/>
        <v>233</v>
      </c>
      <c r="AM303" s="1191">
        <f t="shared" si="85"/>
        <v>0.01</v>
      </c>
      <c r="AN303" s="1362">
        <f t="shared" si="77"/>
        <v>981.96652374932307</v>
      </c>
      <c r="AO303" s="1362">
        <f t="shared" si="69"/>
        <v>-981.96652374932307</v>
      </c>
      <c r="AP303" s="1362">
        <f t="shared" si="86"/>
        <v>0</v>
      </c>
      <c r="AQ303" s="1363">
        <f t="shared" si="78"/>
        <v>1163202.42689656</v>
      </c>
    </row>
    <row r="304" spans="1:43">
      <c r="A304" s="1118">
        <f t="shared" ca="1" si="67"/>
        <v>9</v>
      </c>
      <c r="B304" s="1351">
        <f t="shared" si="68"/>
        <v>0</v>
      </c>
      <c r="C304" s="2143">
        <f t="shared" si="79"/>
        <v>0</v>
      </c>
      <c r="D304" s="2144">
        <f t="shared" si="88"/>
        <v>0</v>
      </c>
      <c r="E304" s="2145">
        <f t="shared" si="70"/>
        <v>0</v>
      </c>
      <c r="F304" s="2145">
        <f t="shared" si="71"/>
        <v>0</v>
      </c>
      <c r="G304" s="2145">
        <f t="shared" si="80"/>
        <v>0</v>
      </c>
      <c r="H304" s="2145">
        <f>IF(M303&lt;0.01,0,M303*Adm!$GV$4)</f>
        <v>0</v>
      </c>
      <c r="I304" s="2145">
        <f>IF(M303&lt;0.01,0,Cal!$BO$108*Adm!$GW$4)</f>
        <v>0</v>
      </c>
      <c r="J304" s="2145">
        <f>IF(M303&lt;0.01,0,IF(Adm!$GO$4&gt;0,E304*Adm!$GO$4,0))</f>
        <v>0</v>
      </c>
      <c r="K304" s="2145">
        <f t="shared" si="72"/>
        <v>0</v>
      </c>
      <c r="L304" s="2145">
        <f>IF(Adm!$GJ$4="si",MIN(M303+E304+H304+I304-K304,AB304),0)</f>
        <v>0</v>
      </c>
      <c r="M304" s="2145">
        <f t="shared" si="73"/>
        <v>0</v>
      </c>
      <c r="N304" s="2153"/>
      <c r="U304" s="1352">
        <f t="shared" si="74"/>
        <v>6</v>
      </c>
      <c r="V304" s="1514">
        <f>IF(U304=1,Cal!$BO$127,0)</f>
        <v>0</v>
      </c>
      <c r="W304" s="1517">
        <f>IF(U304=1,Adm!$HI$4,0)</f>
        <v>0</v>
      </c>
      <c r="X304" s="1518"/>
      <c r="Y304" s="1518"/>
      <c r="Z304" s="1518"/>
      <c r="AA304" s="1368">
        <f t="shared" si="81"/>
        <v>0</v>
      </c>
      <c r="AB304" s="1369">
        <f t="shared" ca="1" si="75"/>
        <v>0</v>
      </c>
      <c r="AF304" s="1370">
        <f t="shared" si="82"/>
        <v>0</v>
      </c>
      <c r="AG304" s="1373">
        <f t="shared" si="83"/>
        <v>0</v>
      </c>
      <c r="AH304" s="1371">
        <f t="shared" si="84"/>
        <v>0</v>
      </c>
      <c r="AI304" s="1359">
        <f>HLOOKUP($AI$66,anticipadofree,235,0)</f>
        <v>-8.4490555555555562E-4</v>
      </c>
      <c r="AK304" s="1360">
        <f t="shared" si="76"/>
        <v>-8.4490555555555562E-4</v>
      </c>
      <c r="AL304" s="1361">
        <f t="shared" si="87"/>
        <v>234</v>
      </c>
      <c r="AM304" s="1191">
        <f t="shared" si="85"/>
        <v>0.01</v>
      </c>
      <c r="AN304" s="1362">
        <f t="shared" si="77"/>
        <v>982.79619272060859</v>
      </c>
      <c r="AO304" s="1362">
        <f t="shared" si="69"/>
        <v>-982.79619272060859</v>
      </c>
      <c r="AP304" s="1362">
        <f t="shared" si="86"/>
        <v>0</v>
      </c>
      <c r="AQ304" s="1363">
        <f t="shared" si="78"/>
        <v>1164185.2230892805</v>
      </c>
    </row>
    <row r="305" spans="1:43">
      <c r="A305" s="1118">
        <f t="shared" ca="1" si="67"/>
        <v>10</v>
      </c>
      <c r="B305" s="1351">
        <f t="shared" si="68"/>
        <v>0</v>
      </c>
      <c r="C305" s="2143">
        <f t="shared" si="79"/>
        <v>0</v>
      </c>
      <c r="D305" s="2144">
        <f t="shared" si="88"/>
        <v>0</v>
      </c>
      <c r="E305" s="2145">
        <f t="shared" si="70"/>
        <v>0</v>
      </c>
      <c r="F305" s="2145">
        <f t="shared" si="71"/>
        <v>0</v>
      </c>
      <c r="G305" s="2145">
        <f t="shared" si="80"/>
        <v>0</v>
      </c>
      <c r="H305" s="2145">
        <f>IF(M304&lt;0.01,0,M304*Adm!$GV$4)</f>
        <v>0</v>
      </c>
      <c r="I305" s="2145">
        <f>IF(M304&lt;0.01,0,Cal!$BO$108*Adm!$GW$4)</f>
        <v>0</v>
      </c>
      <c r="J305" s="2145">
        <f>IF(M304&lt;0.01,0,IF(Adm!$GO$4&gt;0,E305*Adm!$GO$4,0))</f>
        <v>0</v>
      </c>
      <c r="K305" s="2145">
        <f t="shared" si="72"/>
        <v>0</v>
      </c>
      <c r="L305" s="2145">
        <f>IF(Adm!$GJ$4="si",MIN(M304+E305+H305+I305-K305,AB305),0)</f>
        <v>0</v>
      </c>
      <c r="M305" s="2145">
        <f t="shared" si="73"/>
        <v>0</v>
      </c>
      <c r="N305" s="2153"/>
      <c r="U305" s="1352">
        <f t="shared" si="74"/>
        <v>7</v>
      </c>
      <c r="V305" s="1514">
        <f>IF(U305=1,Cal!$BO$127,0)</f>
        <v>0</v>
      </c>
      <c r="W305" s="1517">
        <f>IF(U305=1,Adm!$HI$4,0)</f>
        <v>0</v>
      </c>
      <c r="X305" s="1518"/>
      <c r="Y305" s="1518"/>
      <c r="Z305" s="1518"/>
      <c r="AA305" s="1368">
        <f t="shared" si="81"/>
        <v>0</v>
      </c>
      <c r="AB305" s="1369">
        <f t="shared" ca="1" si="75"/>
        <v>0</v>
      </c>
      <c r="AF305" s="1370">
        <f t="shared" si="82"/>
        <v>0</v>
      </c>
      <c r="AG305" s="1373">
        <f t="shared" si="83"/>
        <v>0</v>
      </c>
      <c r="AH305" s="1371">
        <f t="shared" si="84"/>
        <v>0</v>
      </c>
      <c r="AI305" s="1359">
        <f>HLOOKUP($AI$66,anticipadofree,236,0)</f>
        <v>-8.4490555555555562E-4</v>
      </c>
      <c r="AK305" s="1360">
        <f t="shared" si="76"/>
        <v>-8.4490555555555562E-4</v>
      </c>
      <c r="AL305" s="1361">
        <f t="shared" si="87"/>
        <v>235</v>
      </c>
      <c r="AM305" s="1191">
        <f t="shared" si="85"/>
        <v>0.01</v>
      </c>
      <c r="AN305" s="1362">
        <f t="shared" si="77"/>
        <v>983.62656268381704</v>
      </c>
      <c r="AO305" s="1362">
        <f t="shared" si="69"/>
        <v>-983.62656268381704</v>
      </c>
      <c r="AP305" s="1362">
        <f t="shared" si="86"/>
        <v>0</v>
      </c>
      <c r="AQ305" s="1363">
        <f t="shared" si="78"/>
        <v>1165168.8496519644</v>
      </c>
    </row>
    <row r="306" spans="1:43">
      <c r="A306" s="1118">
        <f t="shared" ca="1" si="67"/>
        <v>11</v>
      </c>
      <c r="B306" s="1351">
        <f t="shared" si="68"/>
        <v>0</v>
      </c>
      <c r="C306" s="2143">
        <f t="shared" si="79"/>
        <v>0</v>
      </c>
      <c r="D306" s="2144">
        <f t="shared" si="88"/>
        <v>0</v>
      </c>
      <c r="E306" s="2145">
        <f t="shared" si="70"/>
        <v>0</v>
      </c>
      <c r="F306" s="2145">
        <f t="shared" si="71"/>
        <v>0</v>
      </c>
      <c r="G306" s="2145">
        <f t="shared" si="80"/>
        <v>0</v>
      </c>
      <c r="H306" s="2145">
        <f>IF(M305&lt;0.01,0,M305*Adm!$GV$4)</f>
        <v>0</v>
      </c>
      <c r="I306" s="2145">
        <f>IF(M305&lt;0.01,0,Cal!$BO$108*Adm!$GW$4)</f>
        <v>0</v>
      </c>
      <c r="J306" s="2145">
        <f>IF(M305&lt;0.01,0,IF(Adm!$GO$4&gt;0,E306*Adm!$GO$4,0))</f>
        <v>0</v>
      </c>
      <c r="K306" s="2145">
        <f t="shared" si="72"/>
        <v>0</v>
      </c>
      <c r="L306" s="2145">
        <f>IF(Adm!$GJ$4="si",MIN(M305+E306+H306+I306-K306,AB306),0)</f>
        <v>0</v>
      </c>
      <c r="M306" s="2145">
        <f t="shared" si="73"/>
        <v>0</v>
      </c>
      <c r="N306" s="2153"/>
      <c r="U306" s="1352">
        <f t="shared" si="74"/>
        <v>8</v>
      </c>
      <c r="V306" s="1514">
        <f>IF(U306=1,Cal!$BO$127,0)</f>
        <v>0</v>
      </c>
      <c r="W306" s="1517">
        <f>IF(U306=1,Adm!$HI$4,0)</f>
        <v>0</v>
      </c>
      <c r="X306" s="1518"/>
      <c r="Y306" s="1518"/>
      <c r="Z306" s="1518"/>
      <c r="AA306" s="1368">
        <f t="shared" si="81"/>
        <v>0</v>
      </c>
      <c r="AB306" s="1369">
        <f t="shared" ca="1" si="75"/>
        <v>0</v>
      </c>
      <c r="AF306" s="1370">
        <f t="shared" si="82"/>
        <v>0</v>
      </c>
      <c r="AG306" s="1373">
        <f t="shared" si="83"/>
        <v>0</v>
      </c>
      <c r="AH306" s="1371">
        <f t="shared" si="84"/>
        <v>0</v>
      </c>
      <c r="AI306" s="1359">
        <f>HLOOKUP($AI$66,anticipadofree,237,0)</f>
        <v>-8.4490555555555551E-4</v>
      </c>
      <c r="AK306" s="1360">
        <f t="shared" si="76"/>
        <v>-8.4490555555555551E-4</v>
      </c>
      <c r="AL306" s="1361">
        <f t="shared" si="87"/>
        <v>236</v>
      </c>
      <c r="AM306" s="1191">
        <f t="shared" si="85"/>
        <v>0.01</v>
      </c>
      <c r="AN306" s="1362">
        <f t="shared" si="77"/>
        <v>984.45763423122048</v>
      </c>
      <c r="AO306" s="1362">
        <f t="shared" si="69"/>
        <v>-984.45763423122048</v>
      </c>
      <c r="AP306" s="1362">
        <f t="shared" si="86"/>
        <v>0</v>
      </c>
      <c r="AQ306" s="1363">
        <f t="shared" si="78"/>
        <v>1166153.3072861957</v>
      </c>
    </row>
    <row r="307" spans="1:43">
      <c r="A307" s="1118">
        <f t="shared" ca="1" si="67"/>
        <v>12</v>
      </c>
      <c r="B307" s="1351">
        <f t="shared" si="68"/>
        <v>0</v>
      </c>
      <c r="C307" s="2143">
        <f t="shared" si="79"/>
        <v>0</v>
      </c>
      <c r="D307" s="2144">
        <f t="shared" si="88"/>
        <v>0</v>
      </c>
      <c r="E307" s="2145">
        <f t="shared" si="70"/>
        <v>0</v>
      </c>
      <c r="F307" s="2145">
        <f t="shared" si="71"/>
        <v>0</v>
      </c>
      <c r="G307" s="2145">
        <f t="shared" si="80"/>
        <v>0</v>
      </c>
      <c r="H307" s="2145">
        <f>IF(M306&lt;0.01,0,M306*Adm!$GV$4)</f>
        <v>0</v>
      </c>
      <c r="I307" s="2145">
        <f>IF(M306&lt;0.01,0,Cal!$BO$108*Adm!$GW$4)</f>
        <v>0</v>
      </c>
      <c r="J307" s="2145">
        <f>IF(M306&lt;0.01,0,IF(Adm!$GO$4&gt;0,E307*Adm!$GO$4,0))</f>
        <v>0</v>
      </c>
      <c r="K307" s="2145">
        <f t="shared" si="72"/>
        <v>0</v>
      </c>
      <c r="L307" s="2145">
        <f>IF(Adm!$GJ$4="si",MIN(M306+E307+H307+I307-K307,AB307),0)</f>
        <v>0</v>
      </c>
      <c r="M307" s="2145">
        <f t="shared" si="73"/>
        <v>0</v>
      </c>
      <c r="N307" s="2153"/>
      <c r="U307" s="1352">
        <f t="shared" si="74"/>
        <v>9</v>
      </c>
      <c r="V307" s="1514">
        <f>IF(U307=1,Cal!$BO$127,0)</f>
        <v>0</v>
      </c>
      <c r="W307" s="1517">
        <f>IF(U307=1,Adm!$HI$4,0)</f>
        <v>0</v>
      </c>
      <c r="X307" s="1518"/>
      <c r="Y307" s="1518"/>
      <c r="Z307" s="1518"/>
      <c r="AA307" s="1368">
        <f t="shared" si="81"/>
        <v>0</v>
      </c>
      <c r="AB307" s="1369">
        <f t="shared" ca="1" si="75"/>
        <v>0</v>
      </c>
      <c r="AF307" s="1370">
        <f t="shared" si="82"/>
        <v>0</v>
      </c>
      <c r="AG307" s="1373">
        <f t="shared" si="83"/>
        <v>0</v>
      </c>
      <c r="AH307" s="1371">
        <f t="shared" si="84"/>
        <v>0</v>
      </c>
      <c r="AI307" s="1359">
        <f>HLOOKUP($AI$66,anticipadofree,238,0)</f>
        <v>-8.4490555555555562E-4</v>
      </c>
      <c r="AK307" s="1360">
        <f t="shared" si="76"/>
        <v>-8.4490555555555562E-4</v>
      </c>
      <c r="AL307" s="1361">
        <f t="shared" si="87"/>
        <v>237</v>
      </c>
      <c r="AM307" s="1191">
        <f t="shared" si="85"/>
        <v>0.01</v>
      </c>
      <c r="AN307" s="1362">
        <f t="shared" si="77"/>
        <v>985.28940795559174</v>
      </c>
      <c r="AO307" s="1362">
        <f t="shared" si="69"/>
        <v>-985.28940795559174</v>
      </c>
      <c r="AP307" s="1362">
        <f t="shared" si="86"/>
        <v>0</v>
      </c>
      <c r="AQ307" s="1363">
        <f t="shared" si="78"/>
        <v>1167138.5966941512</v>
      </c>
    </row>
    <row r="308" spans="1:43">
      <c r="A308" s="1118">
        <f t="shared" ca="1" si="67"/>
        <v>1</v>
      </c>
      <c r="B308" s="1351">
        <f t="shared" si="68"/>
        <v>0</v>
      </c>
      <c r="C308" s="2143">
        <f t="shared" si="79"/>
        <v>0</v>
      </c>
      <c r="D308" s="2144">
        <f t="shared" si="88"/>
        <v>0</v>
      </c>
      <c r="E308" s="2145">
        <f t="shared" si="70"/>
        <v>0</v>
      </c>
      <c r="F308" s="2145">
        <f t="shared" si="71"/>
        <v>0</v>
      </c>
      <c r="G308" s="2145">
        <f t="shared" si="80"/>
        <v>0</v>
      </c>
      <c r="H308" s="2145">
        <f>IF(M307&lt;0.01,0,M307*Adm!$GV$4)</f>
        <v>0</v>
      </c>
      <c r="I308" s="2145">
        <f>IF(M307&lt;0.01,0,Cal!$BO$108*Adm!$GW$4)</f>
        <v>0</v>
      </c>
      <c r="J308" s="2145">
        <f>IF(M307&lt;0.01,0,IF(Adm!$GO$4&gt;0,E308*Adm!$GO$4,0))</f>
        <v>0</v>
      </c>
      <c r="K308" s="2145">
        <f t="shared" si="72"/>
        <v>0</v>
      </c>
      <c r="L308" s="2145">
        <f>IF(Adm!$GJ$4="si",MIN(M307+E308+H308+I308-K308,AB308),0)</f>
        <v>0</v>
      </c>
      <c r="M308" s="2145">
        <f t="shared" si="73"/>
        <v>0</v>
      </c>
      <c r="N308" s="2153"/>
      <c r="U308" s="1352">
        <f t="shared" si="74"/>
        <v>10</v>
      </c>
      <c r="V308" s="1514">
        <f>IF(U308=1,Cal!$BO$127,0)</f>
        <v>0</v>
      </c>
      <c r="W308" s="1517">
        <f>IF(U308=1,Adm!$HI$4,0)</f>
        <v>0</v>
      </c>
      <c r="X308" s="1518"/>
      <c r="Y308" s="1518"/>
      <c r="Z308" s="1518"/>
      <c r="AA308" s="1368">
        <f t="shared" si="81"/>
        <v>0</v>
      </c>
      <c r="AB308" s="1369">
        <f t="shared" ca="1" si="75"/>
        <v>0</v>
      </c>
      <c r="AF308" s="1370">
        <f t="shared" si="82"/>
        <v>0</v>
      </c>
      <c r="AG308" s="1373">
        <f t="shared" si="83"/>
        <v>0</v>
      </c>
      <c r="AH308" s="1371">
        <f t="shared" si="84"/>
        <v>0</v>
      </c>
      <c r="AI308" s="1359">
        <f>HLOOKUP($AI$66,anticipadofree,239,0)</f>
        <v>-8.4490555555555551E-4</v>
      </c>
      <c r="AK308" s="1360">
        <f t="shared" si="76"/>
        <v>-8.4490555555555551E-4</v>
      </c>
      <c r="AL308" s="1361">
        <f t="shared" si="87"/>
        <v>238</v>
      </c>
      <c r="AM308" s="1191">
        <f t="shared" si="85"/>
        <v>0.01</v>
      </c>
      <c r="AN308" s="1362">
        <f t="shared" si="77"/>
        <v>986.1218844502032</v>
      </c>
      <c r="AO308" s="1362">
        <f t="shared" si="69"/>
        <v>-986.1218844502032</v>
      </c>
      <c r="AP308" s="1362">
        <f t="shared" si="86"/>
        <v>0</v>
      </c>
      <c r="AQ308" s="1363">
        <f t="shared" si="78"/>
        <v>1168124.7185786015</v>
      </c>
    </row>
    <row r="309" spans="1:43">
      <c r="A309" s="1118">
        <f t="shared" ca="1" si="67"/>
        <v>2</v>
      </c>
      <c r="B309" s="1351">
        <f t="shared" si="68"/>
        <v>0</v>
      </c>
      <c r="C309" s="2143">
        <f t="shared" si="79"/>
        <v>0</v>
      </c>
      <c r="D309" s="2144">
        <f t="shared" si="88"/>
        <v>0</v>
      </c>
      <c r="E309" s="2145">
        <f t="shared" si="70"/>
        <v>0</v>
      </c>
      <c r="F309" s="2145">
        <f t="shared" si="71"/>
        <v>0</v>
      </c>
      <c r="G309" s="2145">
        <f t="shared" si="80"/>
        <v>0</v>
      </c>
      <c r="H309" s="2145">
        <f>IF(M308&lt;0.01,0,M308*Adm!$GV$4)</f>
        <v>0</v>
      </c>
      <c r="I309" s="2145">
        <f>IF(M308&lt;0.01,0,Cal!$BO$108*Adm!$GW$4)</f>
        <v>0</v>
      </c>
      <c r="J309" s="2145">
        <f>IF(M308&lt;0.01,0,IF(Adm!$GO$4&gt;0,E309*Adm!$GO$4,0))</f>
        <v>0</v>
      </c>
      <c r="K309" s="2145">
        <f t="shared" si="72"/>
        <v>0</v>
      </c>
      <c r="L309" s="2145">
        <f>IF(Adm!$GJ$4="si",MIN(M308+E309+H309+I309-K309,AB309),0)</f>
        <v>0</v>
      </c>
      <c r="M309" s="2145">
        <f t="shared" si="73"/>
        <v>0</v>
      </c>
      <c r="N309" s="2153"/>
      <c r="U309" s="1352">
        <f t="shared" si="74"/>
        <v>11</v>
      </c>
      <c r="V309" s="1514">
        <f>IF(U309=1,Cal!$BO$127,0)</f>
        <v>0</v>
      </c>
      <c r="W309" s="1517">
        <f>IF(U309=1,Adm!$HI$4,0)</f>
        <v>0</v>
      </c>
      <c r="X309" s="1518"/>
      <c r="Y309" s="1518"/>
      <c r="Z309" s="1518"/>
      <c r="AA309" s="1368">
        <f t="shared" si="81"/>
        <v>0</v>
      </c>
      <c r="AB309" s="1369">
        <f t="shared" ca="1" si="75"/>
        <v>0</v>
      </c>
      <c r="AF309" s="1370">
        <f t="shared" si="82"/>
        <v>0</v>
      </c>
      <c r="AG309" s="1373">
        <f t="shared" si="83"/>
        <v>0</v>
      </c>
      <c r="AH309" s="1371">
        <f t="shared" si="84"/>
        <v>0</v>
      </c>
      <c r="AI309" s="1359">
        <f>HLOOKUP($AI$66,anticipadofree,240,0)</f>
        <v>-8.4490555555555551E-4</v>
      </c>
      <c r="AK309" s="1360">
        <f t="shared" si="76"/>
        <v>-8.4490555555555551E-4</v>
      </c>
      <c r="AL309" s="1361">
        <f t="shared" si="87"/>
        <v>239</v>
      </c>
      <c r="AM309" s="1191">
        <f t="shared" si="85"/>
        <v>0.01</v>
      </c>
      <c r="AN309" s="1362">
        <f t="shared" si="77"/>
        <v>986.95506430883029</v>
      </c>
      <c r="AO309" s="1362">
        <f t="shared" si="69"/>
        <v>-986.95506430883029</v>
      </c>
      <c r="AP309" s="1362">
        <f t="shared" si="86"/>
        <v>0</v>
      </c>
      <c r="AQ309" s="1363">
        <f t="shared" si="78"/>
        <v>1169111.6736429103</v>
      </c>
    </row>
    <row r="310" spans="1:43">
      <c r="A310" s="1118">
        <f t="shared" ca="1" si="67"/>
        <v>3</v>
      </c>
      <c r="B310" s="1351">
        <f t="shared" si="68"/>
        <v>0</v>
      </c>
      <c r="C310" s="2143">
        <f t="shared" si="79"/>
        <v>0</v>
      </c>
      <c r="D310" s="2144">
        <f t="shared" si="88"/>
        <v>0</v>
      </c>
      <c r="E310" s="2145">
        <f t="shared" si="70"/>
        <v>0</v>
      </c>
      <c r="F310" s="2145">
        <f t="shared" si="71"/>
        <v>0</v>
      </c>
      <c r="G310" s="2145">
        <f t="shared" si="80"/>
        <v>0</v>
      </c>
      <c r="H310" s="2145">
        <f>IF(M309&lt;0.01,0,M309*Adm!$GV$4)</f>
        <v>0</v>
      </c>
      <c r="I310" s="2145">
        <f>IF(M309&lt;0.01,0,Cal!$BO$108*Adm!$GW$4)</f>
        <v>0</v>
      </c>
      <c r="J310" s="2145">
        <f>IF(M309&lt;0.01,0,IF(Adm!$GO$4&gt;0,E310*Adm!$GO$4,0))</f>
        <v>0</v>
      </c>
      <c r="K310" s="2145">
        <f t="shared" si="72"/>
        <v>0</v>
      </c>
      <c r="L310" s="2145">
        <f>IF(Adm!$GJ$4="si",MIN(M309+E310+H310+I310-K310,AB310),0)</f>
        <v>0</v>
      </c>
      <c r="M310" s="2145">
        <f t="shared" si="73"/>
        <v>0</v>
      </c>
      <c r="N310" s="2153"/>
      <c r="U310" s="1386">
        <f t="shared" si="74"/>
        <v>12</v>
      </c>
      <c r="V310" s="1514">
        <f>IF(U310=1,Cal!$BO$127,0)</f>
        <v>0</v>
      </c>
      <c r="W310" s="1520">
        <f>IF(U310=1,Adm!$HI$4,0)</f>
        <v>0</v>
      </c>
      <c r="X310" s="1518"/>
      <c r="Y310" s="1518"/>
      <c r="Z310" s="1518"/>
      <c r="AA310" s="1368">
        <f t="shared" si="81"/>
        <v>0</v>
      </c>
      <c r="AB310" s="1369">
        <f t="shared" ca="1" si="75"/>
        <v>0</v>
      </c>
      <c r="AF310" s="1370">
        <f t="shared" si="82"/>
        <v>0</v>
      </c>
      <c r="AG310" s="1373">
        <f t="shared" si="83"/>
        <v>0</v>
      </c>
      <c r="AH310" s="1371">
        <f t="shared" si="84"/>
        <v>0</v>
      </c>
      <c r="AI310" s="1389">
        <f>HLOOKUP($AI$66,anticipadofree,241,0)</f>
        <v>-8.4490555555555551E-4</v>
      </c>
      <c r="AK310" s="1360">
        <f t="shared" si="76"/>
        <v>-8.4490555555555551E-4</v>
      </c>
      <c r="AL310" s="1390">
        <f t="shared" si="87"/>
        <v>240</v>
      </c>
      <c r="AM310" s="1521">
        <f t="shared" si="85"/>
        <v>0.01</v>
      </c>
      <c r="AN310" s="1391">
        <f t="shared" si="77"/>
        <v>987.78894812574845</v>
      </c>
      <c r="AO310" s="1391">
        <f t="shared" si="69"/>
        <v>-987.78894812574845</v>
      </c>
      <c r="AP310" s="1391">
        <f t="shared" si="86"/>
        <v>0</v>
      </c>
      <c r="AQ310" s="1392">
        <f t="shared" si="78"/>
        <v>1170099.462591036</v>
      </c>
    </row>
    <row r="312" spans="1:43">
      <c r="C312" s="1396" t="s">
        <v>466</v>
      </c>
      <c r="D312" s="1435"/>
      <c r="E312" s="1522">
        <f>SUM(Free!E71:E310)</f>
        <v>0</v>
      </c>
      <c r="F312" s="1522">
        <f>SUM(Free!F71:F310)</f>
        <v>0</v>
      </c>
      <c r="G312" s="1522">
        <f>SUM(Free!G71:G310)</f>
        <v>0</v>
      </c>
      <c r="H312" s="1522">
        <f>SUM(Free!H71:H310)</f>
        <v>0</v>
      </c>
      <c r="I312" s="1522">
        <f>SUM(Free!I71:I310)</f>
        <v>0</v>
      </c>
      <c r="J312" s="1522"/>
      <c r="K312" s="1522">
        <f>SUM(Free!K71:K310)</f>
        <v>0</v>
      </c>
      <c r="L312" s="1522">
        <f>SUM(Free!L71:L310)</f>
        <v>0</v>
      </c>
      <c r="M312" s="1522"/>
      <c r="N312" s="1523">
        <f>SUM(Free!N71:N310)</f>
        <v>0</v>
      </c>
    </row>
    <row r="314" spans="1:43">
      <c r="C314" s="1135" t="s">
        <v>467</v>
      </c>
      <c r="D314" s="1119"/>
      <c r="E314" s="1374"/>
      <c r="F314" s="1374"/>
      <c r="G314" s="1374"/>
      <c r="H314" s="1374"/>
      <c r="I314" s="1374"/>
      <c r="J314" s="1374"/>
      <c r="K314" s="1374"/>
      <c r="L314" s="1374"/>
      <c r="M314" s="1374"/>
      <c r="N314" s="1401"/>
      <c r="O314" s="1119"/>
    </row>
    <row r="315" spans="1:43" ht="33" customHeight="1">
      <c r="C315" s="2255" t="s">
        <v>499</v>
      </c>
      <c r="D315" s="2255"/>
      <c r="E315" s="2255"/>
      <c r="F315" s="2255"/>
      <c r="G315" s="2255"/>
      <c r="H315" s="2255"/>
      <c r="I315" s="2255"/>
      <c r="J315" s="2255"/>
      <c r="K315" s="2255"/>
      <c r="L315" s="2255"/>
      <c r="M315" s="2255"/>
      <c r="N315" s="2255"/>
      <c r="O315" s="1524"/>
    </row>
    <row r="316" spans="1:43" ht="15" customHeight="1">
      <c r="C316" s="2255" t="s">
        <v>469</v>
      </c>
      <c r="D316" s="2255"/>
      <c r="E316" s="2255"/>
      <c r="F316" s="2255"/>
      <c r="G316" s="2255"/>
      <c r="H316" s="2255"/>
      <c r="I316" s="2255"/>
      <c r="J316" s="2255"/>
      <c r="K316" s="2255"/>
      <c r="L316" s="2255"/>
      <c r="M316" s="2255"/>
      <c r="N316" s="2255"/>
      <c r="O316" s="1525"/>
    </row>
    <row r="317" spans="1:43" ht="15" customHeight="1">
      <c r="C317" s="2255" t="s">
        <v>470</v>
      </c>
      <c r="D317" s="2255"/>
      <c r="E317" s="2255"/>
      <c r="F317" s="2255"/>
      <c r="G317" s="2255"/>
      <c r="H317" s="2255"/>
      <c r="I317" s="2255"/>
      <c r="J317" s="2255"/>
      <c r="K317" s="2255"/>
      <c r="L317" s="2255"/>
      <c r="M317" s="2255"/>
      <c r="N317" s="2255"/>
      <c r="O317" s="1525"/>
    </row>
    <row r="318" spans="1:43" ht="15" customHeight="1">
      <c r="C318" s="2255" t="s">
        <v>471</v>
      </c>
      <c r="D318" s="2255"/>
      <c r="E318" s="2255"/>
      <c r="F318" s="2255"/>
      <c r="G318" s="2255"/>
      <c r="H318" s="2255"/>
      <c r="I318" s="2255"/>
      <c r="J318" s="2255"/>
      <c r="K318" s="2255"/>
      <c r="L318" s="2255"/>
      <c r="M318" s="2255"/>
      <c r="N318" s="2255"/>
      <c r="O318" s="1525"/>
    </row>
    <row r="319" spans="1:43">
      <c r="C319" s="2255" t="s">
        <v>500</v>
      </c>
      <c r="D319" s="2255"/>
      <c r="E319" s="2255"/>
      <c r="F319" s="2255"/>
      <c r="G319" s="2255"/>
      <c r="H319" s="2255"/>
      <c r="I319" s="2255"/>
      <c r="J319" s="2255"/>
      <c r="K319" s="2255"/>
      <c r="L319" s="2255"/>
      <c r="M319" s="2255"/>
      <c r="N319" s="2255"/>
      <c r="O319" s="1525"/>
    </row>
    <row r="320" spans="1:43" ht="15" customHeight="1">
      <c r="C320" s="2255" t="s">
        <v>473</v>
      </c>
      <c r="D320" s="2255"/>
      <c r="E320" s="2255"/>
      <c r="F320" s="2255"/>
      <c r="G320" s="2255"/>
      <c r="H320" s="2255"/>
      <c r="I320" s="2255"/>
      <c r="J320" s="2255"/>
      <c r="K320" s="2255"/>
      <c r="L320" s="2255"/>
      <c r="M320" s="2255"/>
      <c r="N320" s="2255"/>
      <c r="O320" s="1525"/>
    </row>
    <row r="321" spans="3:14" ht="30" customHeight="1">
      <c r="C321" s="2255" t="s">
        <v>474</v>
      </c>
      <c r="D321" s="2255"/>
      <c r="E321" s="2255"/>
      <c r="F321" s="2255"/>
      <c r="G321" s="2255"/>
      <c r="H321" s="2255"/>
      <c r="I321" s="2255"/>
      <c r="J321" s="2255"/>
      <c r="K321" s="2255"/>
      <c r="L321" s="2255"/>
      <c r="M321" s="2255"/>
      <c r="N321" s="2255"/>
    </row>
    <row r="322" spans="3:14" ht="9.75" customHeight="1">
      <c r="C322" s="1525"/>
      <c r="D322" s="1525"/>
      <c r="E322" s="1525"/>
      <c r="F322" s="1525"/>
      <c r="G322" s="1525"/>
      <c r="H322" s="1525"/>
      <c r="I322" s="1525"/>
      <c r="J322" s="1525"/>
      <c r="K322" s="1525"/>
      <c r="L322" s="1525"/>
      <c r="M322" s="1525"/>
      <c r="N322" s="1525"/>
    </row>
    <row r="323" spans="3:14">
      <c r="C323" s="2287" t="s">
        <v>475</v>
      </c>
      <c r="D323" s="2287"/>
      <c r="E323" s="2287"/>
      <c r="F323" s="2287"/>
      <c r="G323" s="2287"/>
      <c r="H323" s="2287"/>
      <c r="I323" s="2287"/>
      <c r="J323" s="2287"/>
      <c r="K323" s="2287"/>
      <c r="L323" s="2287"/>
      <c r="M323" s="2287"/>
      <c r="N323" s="2287"/>
    </row>
    <row r="324" spans="3:14" ht="28.5" customHeight="1">
      <c r="C324" s="2255" t="s">
        <v>501</v>
      </c>
      <c r="D324" s="2255"/>
      <c r="E324" s="2255"/>
      <c r="F324" s="2255"/>
      <c r="G324" s="2255"/>
      <c r="H324" s="2255"/>
      <c r="I324" s="2255"/>
      <c r="J324" s="2255"/>
      <c r="K324" s="2255"/>
      <c r="L324" s="2255"/>
      <c r="M324" s="2255"/>
      <c r="N324" s="2255"/>
    </row>
    <row r="325" spans="3:14">
      <c r="C325" s="1102" t="str">
        <f>IF(Adm!AR3="SI","La oferta de embajadores Santander es únicamente aplicable para empleados y familiares de trabajadores de Banco Santander México S.A.","")</f>
        <v/>
      </c>
    </row>
    <row r="326" spans="3:14">
      <c r="C326" s="1150" t="str">
        <f>IF(I9="Nninguno","","Las ofertas especiales para los Colectivos, están condicionadas al cumplimiento del perfil y requisitos específicos para esa oferta. Para más información, consulta con tu ejecutivo hipotecario.")</f>
        <v>Las ofertas especiales para los Colectivos, están condicionadas al cumplimiento del perfil y requisitos específicos para esa oferta. Para más información, consulta con tu ejecutivo hipotecario.</v>
      </c>
    </row>
    <row r="327" spans="3:14">
      <c r="C327" s="2248" t="str">
        <f>IF(AND(Adm!B4=Adm!A118,Adm!G4=Adm!G15),"* Las aportaciones patronales que deba entregar el INFONAVIT al Banco no son responsabilidad de Banco Santander México, S.A. y su aplicación al crédito dependerá de la entrega de recursos que realice el INFONAVIT.",IF(Adm!B4=Adm!A113,"* Las aportaciones patronales que deba entregar el INFONAVIT al Banco no son responsabilidad de Banco Santander México, S.A. y su aplicación al crédito dependerá de la entrega de recursos que realice el INFONAVIT.",""))</f>
        <v/>
      </c>
      <c r="D327" s="2248"/>
      <c r="E327" s="2248"/>
      <c r="F327" s="2248"/>
      <c r="G327" s="2248"/>
      <c r="H327" s="2248"/>
      <c r="I327" s="2248"/>
      <c r="J327" s="2248"/>
      <c r="K327" s="2248"/>
      <c r="L327" s="2248"/>
      <c r="M327" s="2248"/>
      <c r="N327" s="2248"/>
    </row>
    <row r="328" spans="3:14">
      <c r="C328" s="2248" t="str">
        <f>IF(N312&gt;0,"Este documento simula pagos anticipados supuestos, con efecto en la reducción del plazo unicamente a modo de ejemplo. La tabla real de amortización se le entregará por los medios establecidos en su contrato de Crédito Hipotecario.","")</f>
        <v/>
      </c>
      <c r="D328" s="2248"/>
      <c r="E328" s="2248"/>
      <c r="F328" s="2248"/>
      <c r="G328" s="2248"/>
      <c r="H328" s="2248"/>
      <c r="I328" s="2248"/>
      <c r="J328" s="2248"/>
      <c r="K328" s="2248"/>
      <c r="L328" s="2248"/>
      <c r="M328" s="2248"/>
      <c r="N328" s="2248"/>
    </row>
    <row r="330" spans="3:14">
      <c r="C330" s="1102" t="str">
        <f>inicio!C22</f>
        <v>Versión. 2026-1 Ro (09 marzo 2026)</v>
      </c>
      <c r="N330" s="1102" t="str">
        <f>inicio!L22</f>
        <v>BHF-034 (032026)</v>
      </c>
    </row>
  </sheetData>
  <sheetProtection algorithmName="SHA-512" hashValue="r3ZD8hhpq10T272xZg/2RUwIzUwtyK6QOkNSyLzat12g7qa1f9haTahzLNj7/8EHN6Lc0oz74mGSRCENBquV2A==" saltValue="zJKWbNBMz3CmiROtaj5dRQ==" spinCount="100000" sheet="1" objects="1" scenarios="1"/>
  <mergeCells count="39">
    <mergeCell ref="M1:N1"/>
    <mergeCell ref="F17:G17"/>
    <mergeCell ref="F23:G23"/>
    <mergeCell ref="F19:G19"/>
    <mergeCell ref="F21:G21"/>
    <mergeCell ref="D3:H3"/>
    <mergeCell ref="F7:G7"/>
    <mergeCell ref="C327:N327"/>
    <mergeCell ref="C328:N328"/>
    <mergeCell ref="K21:L21"/>
    <mergeCell ref="K11:L11"/>
    <mergeCell ref="K13:L13"/>
    <mergeCell ref="K19:L19"/>
    <mergeCell ref="C29:N29"/>
    <mergeCell ref="F28:G28"/>
    <mergeCell ref="F25:G25"/>
    <mergeCell ref="F27:G27"/>
    <mergeCell ref="C323:N323"/>
    <mergeCell ref="C324:N324"/>
    <mergeCell ref="C316:N316"/>
    <mergeCell ref="C317:N317"/>
    <mergeCell ref="C318:N318"/>
    <mergeCell ref="C319:N319"/>
    <mergeCell ref="V69:W69"/>
    <mergeCell ref="C320:N320"/>
    <mergeCell ref="C321:N321"/>
    <mergeCell ref="F9:G9"/>
    <mergeCell ref="F11:G11"/>
    <mergeCell ref="F15:G15"/>
    <mergeCell ref="K23:L23"/>
    <mergeCell ref="K25:L25"/>
    <mergeCell ref="F13:G13"/>
    <mergeCell ref="K27:L27"/>
    <mergeCell ref="C41:D42"/>
    <mergeCell ref="I58:J58"/>
    <mergeCell ref="C33:E33"/>
    <mergeCell ref="C39:D40"/>
    <mergeCell ref="L58:M58"/>
    <mergeCell ref="C315:N315"/>
  </mergeCells>
  <conditionalFormatting sqref="L69">
    <cfRule type="containsBlanks" dxfId="175" priority="121">
      <formula>LEN(TRIM(L69))=0</formula>
    </cfRule>
  </conditionalFormatting>
  <conditionalFormatting sqref="H69">
    <cfRule type="containsBlanks" dxfId="174" priority="120">
      <formula>LEN(TRIM(H69))=0</formula>
    </cfRule>
  </conditionalFormatting>
  <conditionalFormatting sqref="I69:J69">
    <cfRule type="containsBlanks" dxfId="173" priority="119">
      <formula>LEN(TRIM(I69))=0</formula>
    </cfRule>
  </conditionalFormatting>
  <conditionalFormatting sqref="W107:Z310">
    <cfRule type="cellIs" dxfId="172" priority="105" operator="greaterThan">
      <formula>0</formula>
    </cfRule>
  </conditionalFormatting>
  <conditionalFormatting sqref="F9:G9">
    <cfRule type="containsBlanks" dxfId="171" priority="122">
      <formula>LEN(TRIM(F9))=0</formula>
    </cfRule>
  </conditionalFormatting>
  <conditionalFormatting sqref="F11:G11">
    <cfRule type="containsBlanks" dxfId="170" priority="94">
      <formula>LEN(TRIM(F11))=0</formula>
    </cfRule>
  </conditionalFormatting>
  <conditionalFormatting sqref="F13:G13">
    <cfRule type="containsBlanks" dxfId="169" priority="93">
      <formula>LEN(TRIM(F13))=0</formula>
    </cfRule>
  </conditionalFormatting>
  <conditionalFormatting sqref="F15:G15">
    <cfRule type="containsBlanks" dxfId="168" priority="92">
      <formula>LEN(TRIM(F15))=0</formula>
    </cfRule>
  </conditionalFormatting>
  <conditionalFormatting sqref="F17:G17 F19:G19 F21:G21 F23:G23 F25:G25 F27:G27">
    <cfRule type="containsBlanks" dxfId="167" priority="91">
      <formula>LEN(TRIM(F17))=0</formula>
    </cfRule>
  </conditionalFormatting>
  <conditionalFormatting sqref="C29:N29">
    <cfRule type="cellIs" dxfId="166" priority="90" operator="greaterThan">
      <formula>""""""</formula>
    </cfRule>
  </conditionalFormatting>
  <conditionalFormatting sqref="F17:G17">
    <cfRule type="expression" dxfId="165" priority="89">
      <formula>$E$17=""</formula>
    </cfRule>
  </conditionalFormatting>
  <conditionalFormatting sqref="D107">
    <cfRule type="cellIs" dxfId="164" priority="88" operator="greaterThan">
      <formula>0</formula>
    </cfRule>
  </conditionalFormatting>
  <conditionalFormatting sqref="D119">
    <cfRule type="cellIs" dxfId="163" priority="87" operator="greaterThan">
      <formula>0</formula>
    </cfRule>
  </conditionalFormatting>
  <conditionalFormatting sqref="D131">
    <cfRule type="cellIs" dxfId="162" priority="86" operator="greaterThan">
      <formula>0</formula>
    </cfRule>
  </conditionalFormatting>
  <conditionalFormatting sqref="D143">
    <cfRule type="cellIs" dxfId="161" priority="85" operator="greaterThan">
      <formula>0</formula>
    </cfRule>
  </conditionalFormatting>
  <conditionalFormatting sqref="K19:L19">
    <cfRule type="expression" dxfId="160" priority="63">
      <formula>$I$19=""</formula>
    </cfRule>
    <cfRule type="cellIs" dxfId="159" priority="64" operator="greaterThan">
      <formula>0</formula>
    </cfRule>
    <cfRule type="expression" dxfId="158" priority="65">
      <formula>$I$19&gt;""</formula>
    </cfRule>
  </conditionalFormatting>
  <conditionalFormatting sqref="K21:L21">
    <cfRule type="expression" dxfId="157" priority="60">
      <formula>$I$21=""</formula>
    </cfRule>
    <cfRule type="cellIs" dxfId="156" priority="61" operator="greaterThan">
      <formula>0</formula>
    </cfRule>
    <cfRule type="expression" dxfId="155" priority="62">
      <formula>$I$21&gt;""</formula>
    </cfRule>
  </conditionalFormatting>
  <conditionalFormatting sqref="K23:L23">
    <cfRule type="expression" dxfId="154" priority="56">
      <formula>$I$23=""</formula>
    </cfRule>
    <cfRule type="cellIs" dxfId="153" priority="57" operator="greaterThan">
      <formula>0</formula>
    </cfRule>
    <cfRule type="expression" dxfId="152" priority="58">
      <formula>$I$23&gt;""</formula>
    </cfRule>
  </conditionalFormatting>
  <conditionalFormatting sqref="K25:L25">
    <cfRule type="expression" dxfId="151" priority="53">
      <formula>$I$25=""</formula>
    </cfRule>
    <cfRule type="cellIs" dxfId="150" priority="54" operator="greaterThan">
      <formula>0</formula>
    </cfRule>
    <cfRule type="expression" dxfId="149" priority="55">
      <formula>$I$25&gt;""</formula>
    </cfRule>
  </conditionalFormatting>
  <conditionalFormatting sqref="F7:G7">
    <cfRule type="containsBlanks" dxfId="148" priority="41">
      <formula>LEN(TRIM(F7))=0</formula>
    </cfRule>
  </conditionalFormatting>
  <conditionalFormatting sqref="K27">
    <cfRule type="expression" dxfId="147" priority="542">
      <formula>$J$27&gt;""</formula>
    </cfRule>
  </conditionalFormatting>
  <conditionalFormatting sqref="K11:L11">
    <cfRule type="expression" dxfId="146" priority="35">
      <formula>$I$11=""</formula>
    </cfRule>
    <cfRule type="cellIs" dxfId="145" priority="36" operator="greaterThan">
      <formula>0</formula>
    </cfRule>
    <cfRule type="expression" dxfId="144" priority="37">
      <formula>$I$11&gt;""</formula>
    </cfRule>
  </conditionalFormatting>
  <conditionalFormatting sqref="K13:L13">
    <cfRule type="expression" dxfId="143" priority="32">
      <formula>$I$13=""</formula>
    </cfRule>
    <cfRule type="cellIs" dxfId="142" priority="33" operator="greaterThan">
      <formula>0</formula>
    </cfRule>
    <cfRule type="expression" dxfId="141" priority="34">
      <formula>$I$13&gt;""</formula>
    </cfRule>
  </conditionalFormatting>
  <conditionalFormatting sqref="H36">
    <cfRule type="cellIs" dxfId="140" priority="31" operator="greaterThan">
      <formula>0</formula>
    </cfRule>
  </conditionalFormatting>
  <conditionalFormatting sqref="K36">
    <cfRule type="cellIs" dxfId="139" priority="30" operator="greaterThan">
      <formula>0</formula>
    </cfRule>
  </conditionalFormatting>
  <conditionalFormatting sqref="I36">
    <cfRule type="cellIs" dxfId="138" priority="29" operator="greaterThan">
      <formula>0</formula>
    </cfRule>
  </conditionalFormatting>
  <conditionalFormatting sqref="L36">
    <cfRule type="cellIs" dxfId="137" priority="28" operator="greaterThan">
      <formula>0</formula>
    </cfRule>
  </conditionalFormatting>
  <conditionalFormatting sqref="H34:H55">
    <cfRule type="expression" dxfId="136" priority="24">
      <formula>AND($I$33="",$H$33&gt;"")</formula>
    </cfRule>
    <cfRule type="expression" dxfId="135" priority="27">
      <formula>$H$33&gt;""</formula>
    </cfRule>
  </conditionalFormatting>
  <conditionalFormatting sqref="I34:I55">
    <cfRule type="expression" dxfId="134" priority="23">
      <formula>$I$33&gt;""</formula>
    </cfRule>
  </conditionalFormatting>
  <conditionalFormatting sqref="H55">
    <cfRule type="expression" dxfId="133" priority="22">
      <formula>$H$33&gt;""</formula>
    </cfRule>
  </conditionalFormatting>
  <conditionalFormatting sqref="I55">
    <cfRule type="expression" dxfId="132" priority="21">
      <formula>$I$33&gt;""</formula>
    </cfRule>
  </conditionalFormatting>
  <conditionalFormatting sqref="K34:K55">
    <cfRule type="expression" dxfId="131" priority="19">
      <formula>AND($L$33="",$K$33&gt;"")</formula>
    </cfRule>
    <cfRule type="expression" dxfId="130" priority="20">
      <formula>$K$33&gt;""</formula>
    </cfRule>
  </conditionalFormatting>
  <conditionalFormatting sqref="L34:L55">
    <cfRule type="expression" dxfId="129" priority="18">
      <formula>$L$33&gt;""</formula>
    </cfRule>
  </conditionalFormatting>
  <conditionalFormatting sqref="K55">
    <cfRule type="expression" dxfId="128" priority="17">
      <formula>$K$33&gt;""</formula>
    </cfRule>
  </conditionalFormatting>
  <conditionalFormatting sqref="L55">
    <cfRule type="expression" dxfId="127" priority="16">
      <formula>$L$33&gt;""</formula>
    </cfRule>
  </conditionalFormatting>
  <conditionalFormatting sqref="G34:G55">
    <cfRule type="expression" dxfId="126" priority="15">
      <formula>$H$33&gt;""</formula>
    </cfRule>
  </conditionalFormatting>
  <conditionalFormatting sqref="AM63:AM64">
    <cfRule type="cellIs" dxfId="125" priority="14" stopIfTrue="1" operator="greaterThan">
      <formula>0</formula>
    </cfRule>
  </conditionalFormatting>
  <conditionalFormatting sqref="AO72:AP72 AP73:AP310">
    <cfRule type="cellIs" dxfId="124" priority="12" stopIfTrue="1" operator="lessThanOrEqual">
      <formula>0</formula>
    </cfRule>
  </conditionalFormatting>
  <conditionalFormatting sqref="AO73:AO310">
    <cfRule type="cellIs" dxfId="123" priority="11" stopIfTrue="1" operator="lessThanOrEqual">
      <formula>0</formula>
    </cfRule>
  </conditionalFormatting>
  <conditionalFormatting sqref="AN71:AQ71 AQ72:AQ310 AN72:AN310">
    <cfRule type="cellIs" dxfId="122" priority="13" stopIfTrue="1" operator="lessThanOrEqual">
      <formula>0</formula>
    </cfRule>
  </conditionalFormatting>
  <conditionalFormatting sqref="I33">
    <cfRule type="cellIs" dxfId="121" priority="10" operator="greaterThan">
      <formula>""""""</formula>
    </cfRule>
  </conditionalFormatting>
  <conditionalFormatting sqref="L33">
    <cfRule type="cellIs" dxfId="120" priority="9" operator="greaterThan">
      <formula>""""""</formula>
    </cfRule>
  </conditionalFormatting>
  <conditionalFormatting sqref="K67">
    <cfRule type="expression" dxfId="119" priority="582">
      <formula>$J$67=""</formula>
    </cfRule>
    <cfRule type="expression" dxfId="118" priority="583">
      <formula>$J$67&gt;""</formula>
    </cfRule>
  </conditionalFormatting>
  <conditionalFormatting sqref="K27:L27">
    <cfRule type="expression" dxfId="117" priority="8">
      <formula>$J$27=""</formula>
    </cfRule>
  </conditionalFormatting>
  <conditionalFormatting sqref="K33">
    <cfRule type="cellIs" dxfId="116" priority="7" operator="greaterThan">
      <formula>""""""</formula>
    </cfRule>
  </conditionalFormatting>
  <conditionalFormatting sqref="J64">
    <cfRule type="cellIs" dxfId="115" priority="3" operator="greaterThan">
      <formula>0</formula>
    </cfRule>
  </conditionalFormatting>
  <conditionalFormatting sqref="M64">
    <cfRule type="cellIs" dxfId="114" priority="2" operator="greaterThan">
      <formula>0</formula>
    </cfRule>
  </conditionalFormatting>
  <conditionalFormatting sqref="H33">
    <cfRule type="cellIs" dxfId="113" priority="1" operator="greaterThan">
      <formula>""""""</formula>
    </cfRule>
  </conditionalFormatting>
  <conditionalFormatting sqref="N9">
    <cfRule type="expression" dxfId="112" priority="600">
      <formula>#REF!=""</formula>
    </cfRule>
    <cfRule type="cellIs" dxfId="111" priority="601" operator="greaterThanOrEqual">
      <formula>""""""</formula>
    </cfRule>
  </conditionalFormatting>
  <conditionalFormatting sqref="N9">
    <cfRule type="expression" dxfId="110" priority="602">
      <formula>AND(#REF!&gt;"",$N$9="")</formula>
    </cfRule>
  </conditionalFormatting>
  <conditionalFormatting sqref="M9">
    <cfRule type="expression" dxfId="109" priority="603">
      <formula>$L$9=""</formula>
    </cfRule>
    <cfRule type="cellIs" dxfId="108" priority="604" operator="greaterThanOrEqual">
      <formula>""""""</formula>
    </cfRule>
  </conditionalFormatting>
  <conditionalFormatting sqref="M9">
    <cfRule type="expression" dxfId="107" priority="605">
      <formula>AND($L$9&gt;"",$M$9="")</formula>
    </cfRule>
  </conditionalFormatting>
  <dataValidations count="3">
    <dataValidation type="list" allowBlank="1" showInputMessage="1" showErrorMessage="1" sqref="F9:G9" xr:uid="{00000000-0002-0000-0400-000000000000}">
      <formula1>DestinosFree</formula1>
    </dataValidation>
    <dataValidation type="list" allowBlank="1" showInputMessage="1" showErrorMessage="1" sqref="F21:G21" xr:uid="{00000000-0002-0000-0400-000001000000}">
      <formula1>Intervinientes</formula1>
    </dataValidation>
    <dataValidation type="list" allowBlank="1" showInputMessage="1" showErrorMessage="1" sqref="N67" xr:uid="{68EAD64A-0E7F-450A-B8B1-9B8B4D5C1E28}">
      <formula1>$AF$63:$AF$64</formula1>
    </dataValidation>
  </dataValidations>
  <hyperlinks>
    <hyperlink ref="F62" location="Liquidezfree!A1" display="Liquidezfree!A1" xr:uid="{00000000-0004-0000-0400-000000000000}"/>
  </hyperlinks>
  <pageMargins left="0.23622047244094491" right="0.23622047244094491" top="0.15748031496062992" bottom="0.15748031496062992" header="0" footer="0"/>
  <pageSetup scale="60" orientation="landscape" r:id="rId1"/>
  <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1C92647A-D950-4B17-946C-CFEBD38FFEB3}">
          <x14:formula1>
            <xm:f>Adm!$IK$7:$IK$8</xm:f>
          </x14:formula1>
          <xm:sqref>M9</xm:sqref>
        </x14:dataValidation>
        <x14:dataValidation type="list" allowBlank="1" showInputMessage="1" showErrorMessage="1" xr:uid="{00000000-0002-0000-0400-000003000000}">
          <x14:formula1>
            <xm:f>OFFSET(Adm!$IV$18,0,,COUNTIF(Ofertasfree,"&lt;&gt;X"))</xm:f>
          </x14:formula1>
          <xm:sqref>I9</xm:sqref>
        </x14:dataValidation>
        <x14:dataValidation type="list" allowBlank="1" showInputMessage="1" showErrorMessage="1" xr:uid="{00000000-0002-0000-0400-000009000000}">
          <x14:formula1>
            <xm:f>OFFSET(Adm!$HA$5,1,,COUNTA(gastosfree))</xm:f>
          </x14:formula1>
          <xm:sqref>K23:L23</xm:sqref>
        </x14:dataValidation>
        <x14:dataValidation type="list" allowBlank="1" showInputMessage="1" showErrorMessage="1" xr:uid="{AE907A29-CA0A-4625-8CF3-444138E42F94}">
          <x14:formula1>
            <xm:f>Adm!$GL$7:$GL$8</xm:f>
          </x14:formula1>
          <xm:sqref>F7:G7</xm:sqref>
        </x14:dataValidation>
        <x14:dataValidation type="list" allowBlank="1" showInputMessage="1" showErrorMessage="1" xr:uid="{00000000-0002-0000-0400-000005000000}">
          <x14:formula1>
            <xm:f>Adm!$S$7:$S$8</xm:f>
          </x14:formula1>
          <xm:sqref>F13:G13 F15:G15</xm:sqref>
        </x14:dataValidation>
        <x14:dataValidation type="list" allowBlank="1" showInputMessage="1" showErrorMessage="1" xr:uid="{20D8864B-5CA2-42ED-A36F-8F6A23BDBD06}">
          <x14:formula1>
            <xm:f>Adm!$HC$4:$HC$5</xm:f>
          </x14:formula1>
          <xm:sqref>K19:L19</xm:sqref>
        </x14:dataValidation>
        <x14:dataValidation type="list" allowBlank="1" showInputMessage="1" showErrorMessage="1" xr:uid="{83773B97-167B-4D50-B613-D6FC4B947662}">
          <x14:formula1>
            <xm:f>OFFSET(Adm!$HB$5,1,,COUNTA(origenfree))</xm:f>
          </x14:formula1>
          <xm:sqref>K21:L21</xm:sqref>
        </x14:dataValidation>
        <x14:dataValidation type="list" allowBlank="1" showInputMessage="1" showErrorMessage="1" xr:uid="{F2256689-61AB-4F8A-B469-8A5EC951514C}">
          <x14:formula1>
            <xm:f>Adm!$JE$12:$JE$16</xm:f>
          </x14:formula1>
          <xm:sqref>E40</xm:sqref>
        </x14:dataValidation>
        <x14:dataValidation type="list" allowBlank="1" showInputMessage="1" showErrorMessage="1" xr:uid="{84B7B9CB-4D6F-447D-96EE-84C5B99137B6}">
          <x14:formula1>
            <xm:f>Cal!$BN$104:$BN$108</xm:f>
          </x14:formula1>
          <xm:sqref>F59</xm:sqref>
        </x14:dataValidation>
        <x14:dataValidation type="list" allowBlank="1" showInputMessage="1" showErrorMessage="1" xr:uid="{00000000-0002-0000-0400-000004000000}">
          <x14:formula1>
            <xm:f>Adm!$GI$5:$GI$6</xm:f>
          </x14:formula1>
          <xm:sqref>F23:G23</xm:sqref>
        </x14:dataValidation>
        <x14:dataValidation type="list" allowBlank="1" showInputMessage="1" showErrorMessage="1" xr:uid="{00000000-0002-0000-0400-000002000000}">
          <x14:formula1>
            <xm:f>OFFSET(Adm!$GK$9,1,,COUNTIF(plafree,"&gt;0"))</xm:f>
          </x14:formula1>
          <xm:sqref>F11:G11</xm:sqref>
        </x14:dataValidation>
        <x14:dataValidation type="list" allowBlank="1" showInputMessage="1" showErrorMessage="1" xr:uid="{00000000-0002-0000-0400-000006000000}">
          <x14:formula1>
            <xm:f>Adm!$GS$13:$GS$14</xm:f>
          </x14:formula1>
          <xm:sqref>F17:G17</xm:sqref>
        </x14:dataValidation>
        <x14:dataValidation type="list" allowBlank="1" showInputMessage="1" showErrorMessage="1" xr:uid="{7873386B-0D97-4DE7-AAD6-C5D5A4A1DF57}">
          <x14:formula1>
            <xm:f>Adm!$GJ$15:$GJ$16</xm:f>
          </x14:formula1>
          <xm:sqref>K25:L25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5">
    <tabColor rgb="FFFF0000"/>
  </sheetPr>
  <dimension ref="A1:DK274"/>
  <sheetViews>
    <sheetView showGridLines="0" showRowColHeaders="0" showZeros="0" topLeftCell="C1" zoomScale="80" zoomScaleNormal="80" workbookViewId="0">
      <selection activeCell="C1" sqref="C1"/>
    </sheetView>
  </sheetViews>
  <sheetFormatPr baseColWidth="10" defaultColWidth="11.44140625" defaultRowHeight="13.2"/>
  <cols>
    <col min="1" max="1" width="5.21875" style="1102" hidden="1" customWidth="1"/>
    <col min="2" max="2" width="7" style="1101" hidden="1" customWidth="1"/>
    <col min="3" max="3" width="16.5546875" style="1102" customWidth="1"/>
    <col min="4" max="4" width="16.77734375" style="1102" customWidth="1"/>
    <col min="5" max="7" width="19.77734375" style="1102" customWidth="1"/>
    <col min="8" max="8" width="16.77734375" style="1102" customWidth="1"/>
    <col min="9" max="9" width="15.21875" style="1102" customWidth="1"/>
    <col min="10" max="10" width="16.77734375" style="1102" customWidth="1"/>
    <col min="11" max="11" width="21.44140625" style="1102" customWidth="1"/>
    <col min="12" max="12" width="22.21875" style="1102" customWidth="1"/>
    <col min="13" max="13" width="11.44140625" style="1102"/>
    <col min="14" max="22" width="11.44140625" style="1102" hidden="1" customWidth="1"/>
    <col min="23" max="23" width="14.77734375" style="1102" hidden="1" customWidth="1"/>
    <col min="24" max="25" width="11.44140625" style="1102" hidden="1" customWidth="1"/>
    <col min="26" max="26" width="17.77734375" style="1102" hidden="1" customWidth="1"/>
    <col min="27" max="28" width="11.44140625" style="1102" hidden="1" customWidth="1"/>
    <col min="29" max="31" width="14.44140625" style="1102" hidden="1" customWidth="1"/>
    <col min="32" max="32" width="16.77734375" style="1102" hidden="1" customWidth="1"/>
    <col min="33" max="115" width="11.44140625" style="1102" hidden="1" customWidth="1"/>
    <col min="116" max="121" width="0" style="1102" hidden="1" customWidth="1"/>
    <col min="122" max="16384" width="11.44140625" style="1102"/>
  </cols>
  <sheetData>
    <row r="1" spans="1:34" ht="21">
      <c r="F1" s="1407" t="s">
        <v>502</v>
      </c>
      <c r="G1" s="1104"/>
      <c r="H1" s="1104"/>
      <c r="I1" s="1104"/>
      <c r="J1" s="1316"/>
      <c r="K1" s="2241">
        <f ca="1">TODAY()</f>
        <v>46098</v>
      </c>
      <c r="L1" s="2241"/>
    </row>
    <row r="2" spans="1:34" ht="28.5" customHeight="1">
      <c r="L2" s="1101" t="s">
        <v>477</v>
      </c>
    </row>
    <row r="3" spans="1:34">
      <c r="C3" s="1112" t="s">
        <v>389</v>
      </c>
      <c r="D3" s="1112"/>
      <c r="E3" s="1113"/>
      <c r="F3" s="1114"/>
      <c r="G3" s="1114"/>
      <c r="H3" s="1114"/>
      <c r="I3" s="1114"/>
      <c r="J3" s="1115"/>
      <c r="K3" s="1115"/>
      <c r="L3" s="1115"/>
    </row>
    <row r="4" spans="1:34">
      <c r="C4" s="1117"/>
      <c r="D4" s="1117"/>
      <c r="E4" s="1107"/>
      <c r="F4" s="1107"/>
      <c r="G4" s="1107"/>
      <c r="H4" s="1107"/>
      <c r="I4" s="1107"/>
      <c r="J4" s="1118"/>
      <c r="K4" s="1118"/>
    </row>
    <row r="5" spans="1:34">
      <c r="C5" s="1119" t="s">
        <v>390</v>
      </c>
      <c r="D5" s="1119"/>
      <c r="E5" s="2268">
        <f>Free!D3</f>
        <v>0</v>
      </c>
      <c r="F5" s="2268"/>
      <c r="G5" s="2268"/>
      <c r="H5" s="2268"/>
      <c r="I5" s="1101"/>
      <c r="K5" s="1120"/>
    </row>
    <row r="6" spans="1:34">
      <c r="C6" s="1119"/>
      <c r="D6" s="1119"/>
      <c r="F6" s="1120"/>
      <c r="G6" s="1120"/>
      <c r="H6" s="1120"/>
      <c r="I6" s="1120"/>
      <c r="J6" s="1121"/>
      <c r="K6" s="1118"/>
      <c r="L6" s="1118"/>
    </row>
    <row r="7" spans="1:34" ht="6" customHeight="1">
      <c r="C7" s="1410"/>
      <c r="D7" s="1410"/>
      <c r="E7" s="1411"/>
      <c r="F7" s="1412"/>
      <c r="G7" s="1412"/>
      <c r="H7" s="1412"/>
      <c r="I7" s="1412"/>
      <c r="J7" s="1413"/>
      <c r="K7" s="1414"/>
      <c r="L7" s="1414"/>
    </row>
    <row r="8" spans="1:34">
      <c r="C8" s="1119"/>
      <c r="D8" s="1119"/>
      <c r="F8" s="1120"/>
      <c r="G8" s="1120"/>
      <c r="H8" s="1120"/>
      <c r="I8" s="1120"/>
      <c r="J8" s="1121"/>
      <c r="K8" s="1118"/>
      <c r="L8" s="1118"/>
      <c r="V8" s="1266" t="s">
        <v>424</v>
      </c>
      <c r="AC8" s="1267" t="s">
        <v>425</v>
      </c>
      <c r="AD8" s="1268"/>
      <c r="AE8" s="1268"/>
      <c r="AF8" s="1270"/>
      <c r="AG8" s="1126"/>
      <c r="AH8" s="1126"/>
    </row>
    <row r="9" spans="1:34">
      <c r="C9" s="1415"/>
      <c r="D9" s="1415"/>
      <c r="F9" s="1416"/>
      <c r="G9" s="1120"/>
      <c r="H9" s="1417"/>
      <c r="I9" s="1120"/>
      <c r="V9" s="1282">
        <f>MAXA(C16:C255)</f>
        <v>0</v>
      </c>
      <c r="X9" s="1506" t="s">
        <v>496</v>
      </c>
      <c r="AC9" s="1122" t="s">
        <v>430</v>
      </c>
      <c r="AF9" s="1283"/>
      <c r="AH9" s="1107"/>
    </row>
    <row r="10" spans="1:34">
      <c r="C10" s="1119"/>
      <c r="D10" s="1119"/>
      <c r="F10" s="1120"/>
      <c r="G10" s="1120"/>
      <c r="H10" s="1120"/>
      <c r="I10" s="1120"/>
      <c r="J10" s="1121"/>
      <c r="K10" s="1302" t="s">
        <v>437</v>
      </c>
      <c r="L10" s="1303"/>
      <c r="V10" s="1409">
        <f>V9/12</f>
        <v>0</v>
      </c>
      <c r="X10" s="1513" t="e">
        <f>VLOOKUP(Adm!HD4,Adm!HF4:HH5,2,0)</f>
        <v>#N/A</v>
      </c>
      <c r="AC10" s="1499">
        <f>IF(L10=AC8,1,IF(L10=AC9,2,1))</f>
        <v>1</v>
      </c>
      <c r="AF10" s="1292" t="s">
        <v>433</v>
      </c>
      <c r="AH10" s="1107"/>
    </row>
    <row r="11" spans="1:34" ht="15.6">
      <c r="C11" s="1152" t="s">
        <v>435</v>
      </c>
      <c r="D11" s="1421" t="e">
        <f>CAT!IQ20</f>
        <v>#NUM!</v>
      </c>
      <c r="E11" s="1135" t="s">
        <v>436</v>
      </c>
      <c r="G11" s="1422"/>
      <c r="X11" s="1510" t="s">
        <v>498</v>
      </c>
      <c r="AC11" s="1122"/>
      <c r="AD11" s="1316" t="s">
        <v>443</v>
      </c>
      <c r="AF11" s="1500">
        <v>1</v>
      </c>
      <c r="AH11" s="1107"/>
    </row>
    <row r="12" spans="1:34">
      <c r="C12" s="1120" t="str">
        <f ca="1">CONCATENATE("Calculado al"," ",Captura!O2," ",".Para fines informativos y de comparación.")</f>
        <v>Calculado al 17 mar 2026 .Para fines informativos y de comparación.</v>
      </c>
      <c r="D12" s="1120"/>
      <c r="K12" s="1121" t="s">
        <v>439</v>
      </c>
      <c r="L12" s="1504" t="str">
        <f>CONCATENATE(V9," ","meses","")</f>
        <v>0 meses</v>
      </c>
      <c r="X12" s="1515" t="e">
        <f>VLOOKUP(Adm!HD4,Adm!HF4:HH5,3,0)</f>
        <v>#N/A</v>
      </c>
      <c r="AC12" s="1315" t="s">
        <v>442</v>
      </c>
      <c r="AD12" s="1317">
        <f>D16</f>
        <v>0</v>
      </c>
      <c r="AF12" s="1283"/>
      <c r="AH12" s="1107"/>
    </row>
    <row r="13" spans="1:34" ht="22.5" customHeight="1">
      <c r="C13" s="2267" t="s">
        <v>503</v>
      </c>
      <c r="D13" s="2267"/>
      <c r="E13" s="2267"/>
      <c r="F13" s="2267"/>
      <c r="G13" s="2267"/>
      <c r="H13" s="2267"/>
      <c r="I13" s="2267"/>
      <c r="J13" s="2267"/>
      <c r="K13" s="2267"/>
      <c r="L13" s="2267"/>
      <c r="AC13" s="1122"/>
      <c r="AF13" s="1283"/>
      <c r="AH13" s="1107"/>
    </row>
    <row r="14" spans="1:34" ht="38.25" customHeight="1">
      <c r="A14" s="1321" t="s">
        <v>444</v>
      </c>
      <c r="B14" s="1322" t="s">
        <v>445</v>
      </c>
      <c r="C14" s="1323" t="s">
        <v>446</v>
      </c>
      <c r="D14" s="1323" t="s">
        <v>447</v>
      </c>
      <c r="E14" s="1323" t="s">
        <v>448</v>
      </c>
      <c r="F14" s="1323" t="s">
        <v>449</v>
      </c>
      <c r="G14" s="1323" t="s">
        <v>450</v>
      </c>
      <c r="H14" s="1425" t="str">
        <f>IF(Adm!$S$4=Adm!$S$8,"",IF(Adm!$S$16=1,"","Seguro Vida"))</f>
        <v>Seguro Vida</v>
      </c>
      <c r="I14" s="1323" t="s">
        <v>504</v>
      </c>
      <c r="J14" s="1323" t="s">
        <v>452</v>
      </c>
      <c r="K14" s="1323" t="s">
        <v>453</v>
      </c>
      <c r="L14" s="1324" t="s">
        <v>495</v>
      </c>
      <c r="V14" s="1326" t="s">
        <v>444</v>
      </c>
      <c r="W14" s="1269" t="s">
        <v>454</v>
      </c>
      <c r="X14" s="1327"/>
      <c r="Z14" s="1332"/>
      <c r="AC14" s="1330" t="s">
        <v>455</v>
      </c>
      <c r="AD14" s="1333" t="s">
        <v>458</v>
      </c>
      <c r="AE14" s="1334" t="s">
        <v>459</v>
      </c>
      <c r="AF14" s="1335" t="s">
        <v>460</v>
      </c>
      <c r="AH14" s="1293"/>
    </row>
    <row r="15" spans="1:34">
      <c r="A15" s="1101">
        <f ca="1">MONTH(K1)</f>
        <v>3</v>
      </c>
      <c r="B15" s="1101">
        <f>Adm!H4</f>
        <v>0</v>
      </c>
      <c r="C15" s="1101">
        <v>0</v>
      </c>
      <c r="D15" s="1101"/>
      <c r="E15" s="1394"/>
      <c r="F15" s="1394"/>
      <c r="G15" s="1394"/>
      <c r="H15" s="1394"/>
      <c r="I15" s="1394"/>
      <c r="J15" s="1394"/>
      <c r="K15" s="1428">
        <f>IF(OR(Adm!HC3="SI",Adm!HC3=0),0,IF(Adm!GG4=0,0,IF(Free!C29&lt;&gt;"",0,IF(Adm!GG4=Adm!GF116,Cal!BP119,0))))</f>
        <v>0</v>
      </c>
      <c r="L15" s="1444"/>
      <c r="V15" s="1340">
        <v>12</v>
      </c>
      <c r="W15" s="1107" t="s">
        <v>463</v>
      </c>
      <c r="X15" s="1508" t="s">
        <v>497</v>
      </c>
      <c r="AC15" s="1122"/>
      <c r="AF15" s="1344" t="s">
        <v>464</v>
      </c>
      <c r="AH15" s="1345">
        <v>1</v>
      </c>
    </row>
    <row r="16" spans="1:34">
      <c r="A16" s="1118">
        <f t="shared" ref="A16:A79" ca="1" si="0">IF(A15=12,1,A15+1)</f>
        <v>4</v>
      </c>
      <c r="B16" s="1101">
        <f t="shared" ref="B16:B79" si="1">IF(K15&lt;0.01,0,B15-1)</f>
        <v>0</v>
      </c>
      <c r="C16" s="2149">
        <f t="shared" ref="C16:C79" si="2">IF(K15&lt;0.01,0,C15+1)</f>
        <v>0</v>
      </c>
      <c r="D16" s="2144">
        <f>IF(K15&lt;0.01,0,Adm!HD4)</f>
        <v>0</v>
      </c>
      <c r="E16" s="2145">
        <f>IF(K15&lt;0.01,0,K15*D16*30.4166/360)</f>
        <v>0</v>
      </c>
      <c r="F16" s="2145">
        <f t="shared" ref="F16:F79" si="3">IF(K15&lt;0.01,0,G16-E16)</f>
        <v>0</v>
      </c>
      <c r="G16" s="2145">
        <f>IF(K15&lt;0.01,0,K15*Cal!BO117/1000)</f>
        <v>0</v>
      </c>
      <c r="H16" s="2145">
        <f>IF(K15&lt;0.01,0,IF(Adm!$GS$4=Adm!$GS$8,0,IF(Adm!$GS$12="Pagados por el Banco",0,K15*Adm!$GV$4)))</f>
        <v>0</v>
      </c>
      <c r="I16" s="2145">
        <f>IF(K15&lt;0.01,0,E16*Adm!$O$8)</f>
        <v>0</v>
      </c>
      <c r="J16" s="2145">
        <f t="shared" ref="J16:J79" si="4">G16+H16+I16</f>
        <v>0</v>
      </c>
      <c r="K16" s="2145">
        <f t="shared" ref="K16:K79" si="5">IF(K15&lt;0.01,0,K15-F16-L16)</f>
        <v>0</v>
      </c>
      <c r="L16" s="2146"/>
      <c r="V16" s="1352">
        <f>IF(V15=12,1,V15+1)</f>
        <v>1</v>
      </c>
      <c r="W16" s="1527"/>
      <c r="X16" s="1353"/>
      <c r="AC16" s="1357"/>
      <c r="AD16" s="1358"/>
      <c r="AE16" s="1358"/>
      <c r="AF16" s="1359">
        <f>HLOOKUP($AF$11,anticipafreeliq,2,0)</f>
        <v>0</v>
      </c>
      <c r="AH16" s="1360">
        <f>Free!AK71</f>
        <v>0</v>
      </c>
    </row>
    <row r="17" spans="1:34">
      <c r="A17" s="1118">
        <f t="shared" ca="1" si="0"/>
        <v>5</v>
      </c>
      <c r="B17" s="1101">
        <f t="shared" si="1"/>
        <v>0</v>
      </c>
      <c r="C17" s="2149">
        <f t="shared" si="2"/>
        <v>0</v>
      </c>
      <c r="D17" s="2150">
        <f t="shared" ref="D17:D51" si="6">IF(K16&lt;0.01,0,D16)</f>
        <v>0</v>
      </c>
      <c r="E17" s="2145">
        <f>IF(K16&lt;0.01,0,K16*D17*30.4166/360)</f>
        <v>0</v>
      </c>
      <c r="F17" s="2145">
        <f t="shared" si="3"/>
        <v>0</v>
      </c>
      <c r="G17" s="2145">
        <f>IF(K16&lt;0.1,0,MIN(K16+E17,IF(AC17&gt;0,AC17,G16*(1+W17))))</f>
        <v>0</v>
      </c>
      <c r="H17" s="2145">
        <f>IF(K16&lt;0.01,0,IF(Adm!$GS$4=Adm!$GS$8,0,IF(Adm!$GS$12="Pagados por el Banco",0,K16*Adm!$GV$4)))</f>
        <v>0</v>
      </c>
      <c r="I17" s="2145">
        <f>IF(K16&lt;0.01,0,E17*Adm!$O$8)</f>
        <v>0</v>
      </c>
      <c r="J17" s="2145">
        <f t="shared" si="4"/>
        <v>0</v>
      </c>
      <c r="K17" s="2145">
        <f t="shared" si="5"/>
        <v>0</v>
      </c>
      <c r="L17" s="2146"/>
      <c r="V17" s="1352">
        <f t="shared" ref="V17:V80" si="7">IF(V16=12,1,V16+1)</f>
        <v>2</v>
      </c>
      <c r="W17" s="1433">
        <f>IF(V17=1,Cal!$BP$127,0)</f>
        <v>0</v>
      </c>
      <c r="X17" s="1528"/>
      <c r="Z17" s="1153"/>
      <c r="AC17" s="1370">
        <f>IF(AD17&gt;1,AD17,0)</f>
        <v>0</v>
      </c>
      <c r="AD17" s="1373">
        <f>IF(AND(AE17&gt;0.01,$AC$10=2),AE17,0)</f>
        <v>0</v>
      </c>
      <c r="AE17" s="1371">
        <f>IF(L16&lt;0.01,0,IF($AC$10=2,K16*AF17)+E17)</f>
        <v>0</v>
      </c>
      <c r="AF17" s="1359">
        <f>HLOOKUP($AF$11,anticipafreeliq,3,0)</f>
        <v>0</v>
      </c>
      <c r="AH17" s="1360">
        <f>Free!AK72</f>
        <v>0</v>
      </c>
    </row>
    <row r="18" spans="1:34">
      <c r="A18" s="1118">
        <f t="shared" ca="1" si="0"/>
        <v>6</v>
      </c>
      <c r="B18" s="1101">
        <f t="shared" si="1"/>
        <v>0</v>
      </c>
      <c r="C18" s="2149">
        <f t="shared" si="2"/>
        <v>0</v>
      </c>
      <c r="D18" s="2150">
        <f t="shared" si="6"/>
        <v>0</v>
      </c>
      <c r="E18" s="2145">
        <f t="shared" ref="E18:E80" si="8">IF(K17&lt;0.01,0,K17*D18*30.4166/360)</f>
        <v>0</v>
      </c>
      <c r="F18" s="2145">
        <f t="shared" si="3"/>
        <v>0</v>
      </c>
      <c r="G18" s="2145">
        <f t="shared" ref="G18:G81" si="9">IF(K17&lt;0.1,0,MIN(K17+E18,IF(AC18&gt;0,AC18,G17*(1+W18))))</f>
        <v>0</v>
      </c>
      <c r="H18" s="2145">
        <f>IF(K17&lt;0.01,0,IF(Adm!$GS$4=Adm!$GS$8,0,IF(Adm!$GS$12="Pagados por el Banco",0,K17*Adm!$GV$4)))</f>
        <v>0</v>
      </c>
      <c r="I18" s="2145">
        <f>IF(K17&lt;0.01,0,E18*Adm!$O$8)</f>
        <v>0</v>
      </c>
      <c r="J18" s="2145">
        <f t="shared" si="4"/>
        <v>0</v>
      </c>
      <c r="K18" s="2145">
        <f t="shared" si="5"/>
        <v>0</v>
      </c>
      <c r="L18" s="2146"/>
      <c r="V18" s="1352">
        <f t="shared" si="7"/>
        <v>3</v>
      </c>
      <c r="W18" s="1433">
        <f>IF(V18=1,Cal!$BP$127,0)</f>
        <v>0</v>
      </c>
      <c r="X18" s="1528"/>
      <c r="Z18" s="1153"/>
      <c r="AC18" s="1370">
        <f t="shared" ref="AC18:AC81" si="10">IF(AD18&gt;1,AD18,0)</f>
        <v>0</v>
      </c>
      <c r="AD18" s="1373">
        <f t="shared" ref="AD18:AD81" si="11">IF(AND(AE18&gt;0.01,$AC$10=2),AE18,0)</f>
        <v>0</v>
      </c>
      <c r="AE18" s="1371">
        <f t="shared" ref="AE18:AE81" si="12">IF(L17&lt;0.01,0,IF($AC$10=2,K17*AF18)+E18)</f>
        <v>0</v>
      </c>
      <c r="AF18" s="1359">
        <f>HLOOKUP($AF$11,anticipafreeliq,4,0)</f>
        <v>0</v>
      </c>
      <c r="AH18" s="1360">
        <f>Free!AK73</f>
        <v>0</v>
      </c>
    </row>
    <row r="19" spans="1:34">
      <c r="A19" s="1118">
        <f t="shared" ca="1" si="0"/>
        <v>7</v>
      </c>
      <c r="B19" s="1101">
        <f t="shared" si="1"/>
        <v>0</v>
      </c>
      <c r="C19" s="2149">
        <f t="shared" si="2"/>
        <v>0</v>
      </c>
      <c r="D19" s="2150">
        <f t="shared" si="6"/>
        <v>0</v>
      </c>
      <c r="E19" s="2145">
        <f t="shared" si="8"/>
        <v>0</v>
      </c>
      <c r="F19" s="2145">
        <f t="shared" si="3"/>
        <v>0</v>
      </c>
      <c r="G19" s="2145">
        <f t="shared" si="9"/>
        <v>0</v>
      </c>
      <c r="H19" s="2145">
        <f>IF(K18&lt;0.01,0,IF(Adm!$GS$4=Adm!$GS$8,0,IF(Adm!$GS$12="Pagados por el Banco",0,K18*Adm!$GV$4)))</f>
        <v>0</v>
      </c>
      <c r="I19" s="2145">
        <f>IF(K18&lt;0.01,0,E19*Adm!$O$8)</f>
        <v>0</v>
      </c>
      <c r="J19" s="2145">
        <f t="shared" si="4"/>
        <v>0</v>
      </c>
      <c r="K19" s="2145">
        <f t="shared" si="5"/>
        <v>0</v>
      </c>
      <c r="L19" s="2146"/>
      <c r="V19" s="1352">
        <f t="shared" si="7"/>
        <v>4</v>
      </c>
      <c r="W19" s="1433">
        <f>IF(V19=1,Cal!$BP$127,0)</f>
        <v>0</v>
      </c>
      <c r="X19" s="1528"/>
      <c r="Z19" s="1153"/>
      <c r="AC19" s="1370">
        <f t="shared" si="10"/>
        <v>0</v>
      </c>
      <c r="AD19" s="1373">
        <f t="shared" si="11"/>
        <v>0</v>
      </c>
      <c r="AE19" s="1371">
        <f t="shared" si="12"/>
        <v>0</v>
      </c>
      <c r="AF19" s="1359">
        <f>HLOOKUP($AF$11,anticipafreeliq,5,0)</f>
        <v>0</v>
      </c>
      <c r="AH19" s="1360">
        <f>Free!AK74</f>
        <v>0</v>
      </c>
    </row>
    <row r="20" spans="1:34">
      <c r="A20" s="1118">
        <f t="shared" ca="1" si="0"/>
        <v>8</v>
      </c>
      <c r="B20" s="1101">
        <f t="shared" si="1"/>
        <v>0</v>
      </c>
      <c r="C20" s="2149">
        <f t="shared" si="2"/>
        <v>0</v>
      </c>
      <c r="D20" s="2150">
        <f t="shared" si="6"/>
        <v>0</v>
      </c>
      <c r="E20" s="2145">
        <f t="shared" si="8"/>
        <v>0</v>
      </c>
      <c r="F20" s="2145">
        <f t="shared" si="3"/>
        <v>0</v>
      </c>
      <c r="G20" s="2145">
        <f t="shared" si="9"/>
        <v>0</v>
      </c>
      <c r="H20" s="2145">
        <f>IF(K19&lt;0.01,0,IF(Adm!$GS$4=Adm!$GS$8,0,IF(Adm!$GS$12="Pagados por el Banco",0,K19*Adm!$GV$4)))</f>
        <v>0</v>
      </c>
      <c r="I20" s="2145">
        <f>IF(K19&lt;0.01,0,E20*Adm!$O$8)</f>
        <v>0</v>
      </c>
      <c r="J20" s="2145">
        <f t="shared" si="4"/>
        <v>0</v>
      </c>
      <c r="K20" s="2145">
        <f t="shared" si="5"/>
        <v>0</v>
      </c>
      <c r="L20" s="2146"/>
      <c r="V20" s="1352">
        <f t="shared" si="7"/>
        <v>5</v>
      </c>
      <c r="W20" s="1433">
        <f>IF(V20=1,Cal!$BP$127,0)</f>
        <v>0</v>
      </c>
      <c r="X20" s="1528"/>
      <c r="Z20" s="1153"/>
      <c r="AC20" s="1370">
        <f t="shared" si="10"/>
        <v>0</v>
      </c>
      <c r="AD20" s="1373">
        <f t="shared" si="11"/>
        <v>0</v>
      </c>
      <c r="AE20" s="1371">
        <f t="shared" si="12"/>
        <v>0</v>
      </c>
      <c r="AF20" s="1359">
        <f>HLOOKUP($AF$11,anticipafreeliq,6,0)</f>
        <v>0</v>
      </c>
      <c r="AH20" s="1360">
        <f>Free!AK75</f>
        <v>0</v>
      </c>
    </row>
    <row r="21" spans="1:34">
      <c r="A21" s="1118">
        <f t="shared" ca="1" si="0"/>
        <v>9</v>
      </c>
      <c r="B21" s="1101">
        <f t="shared" si="1"/>
        <v>0</v>
      </c>
      <c r="C21" s="2149">
        <f t="shared" si="2"/>
        <v>0</v>
      </c>
      <c r="D21" s="2150">
        <f t="shared" si="6"/>
        <v>0</v>
      </c>
      <c r="E21" s="2145">
        <f t="shared" si="8"/>
        <v>0</v>
      </c>
      <c r="F21" s="2145">
        <f t="shared" si="3"/>
        <v>0</v>
      </c>
      <c r="G21" s="2145">
        <f t="shared" si="9"/>
        <v>0</v>
      </c>
      <c r="H21" s="2145">
        <f>IF(K20&lt;0.01,0,IF(Adm!$GS$4=Adm!$GS$8,0,IF(Adm!$GS$12="Pagados por el Banco",0,K20*Adm!$GV$4)))</f>
        <v>0</v>
      </c>
      <c r="I21" s="2145">
        <f>IF(K20&lt;0.01,0,E21*Adm!$O$8)</f>
        <v>0</v>
      </c>
      <c r="J21" s="2145">
        <f t="shared" si="4"/>
        <v>0</v>
      </c>
      <c r="K21" s="2145">
        <f t="shared" si="5"/>
        <v>0</v>
      </c>
      <c r="L21" s="2146"/>
      <c r="V21" s="1352">
        <f t="shared" si="7"/>
        <v>6</v>
      </c>
      <c r="W21" s="1433">
        <f>IF(V21=1,Cal!$BP$127,0)</f>
        <v>0</v>
      </c>
      <c r="X21" s="1528"/>
      <c r="Z21" s="1153"/>
      <c r="AC21" s="1370">
        <f t="shared" si="10"/>
        <v>0</v>
      </c>
      <c r="AD21" s="1373">
        <f t="shared" si="11"/>
        <v>0</v>
      </c>
      <c r="AE21" s="1371">
        <f t="shared" si="12"/>
        <v>0</v>
      </c>
      <c r="AF21" s="1359">
        <f>HLOOKUP($AF$11,anticipafreeliq,7,0)</f>
        <v>0</v>
      </c>
      <c r="AH21" s="1360">
        <f>Free!AK76</f>
        <v>0</v>
      </c>
    </row>
    <row r="22" spans="1:34">
      <c r="A22" s="1118">
        <f t="shared" ca="1" si="0"/>
        <v>10</v>
      </c>
      <c r="B22" s="1101">
        <f t="shared" si="1"/>
        <v>0</v>
      </c>
      <c r="C22" s="2149">
        <f t="shared" si="2"/>
        <v>0</v>
      </c>
      <c r="D22" s="2150">
        <f t="shared" si="6"/>
        <v>0</v>
      </c>
      <c r="E22" s="2145">
        <f t="shared" si="8"/>
        <v>0</v>
      </c>
      <c r="F22" s="2145">
        <f t="shared" si="3"/>
        <v>0</v>
      </c>
      <c r="G22" s="2145">
        <f t="shared" si="9"/>
        <v>0</v>
      </c>
      <c r="H22" s="2145">
        <f>IF(K21&lt;0.01,0,IF(Adm!$GS$4=Adm!$GS$8,0,IF(Adm!$GS$12="Pagados por el Banco",0,K21*Adm!$GV$4)))</f>
        <v>0</v>
      </c>
      <c r="I22" s="2145">
        <f>IF(K21&lt;0.01,0,E22*Adm!$O$8)</f>
        <v>0</v>
      </c>
      <c r="J22" s="2145">
        <f t="shared" si="4"/>
        <v>0</v>
      </c>
      <c r="K22" s="2145">
        <f t="shared" si="5"/>
        <v>0</v>
      </c>
      <c r="L22" s="2146"/>
      <c r="V22" s="1352">
        <f t="shared" si="7"/>
        <v>7</v>
      </c>
      <c r="W22" s="1433">
        <f>IF(V22=1,Cal!$BP$127,0)</f>
        <v>0</v>
      </c>
      <c r="X22" s="1528"/>
      <c r="Z22" s="1153"/>
      <c r="AC22" s="1370">
        <f t="shared" si="10"/>
        <v>0</v>
      </c>
      <c r="AD22" s="1373">
        <f t="shared" si="11"/>
        <v>0</v>
      </c>
      <c r="AE22" s="1371">
        <f t="shared" si="12"/>
        <v>0</v>
      </c>
      <c r="AF22" s="1359">
        <f>HLOOKUP($AF$11,anticipafreeliq,8,0)</f>
        <v>0</v>
      </c>
      <c r="AH22" s="1360">
        <f>Free!AK77</f>
        <v>0</v>
      </c>
    </row>
    <row r="23" spans="1:34">
      <c r="A23" s="1118">
        <f t="shared" ca="1" si="0"/>
        <v>11</v>
      </c>
      <c r="B23" s="1101">
        <f t="shared" si="1"/>
        <v>0</v>
      </c>
      <c r="C23" s="2149">
        <f t="shared" si="2"/>
        <v>0</v>
      </c>
      <c r="D23" s="2150">
        <f t="shared" si="6"/>
        <v>0</v>
      </c>
      <c r="E23" s="2145">
        <f t="shared" si="8"/>
        <v>0</v>
      </c>
      <c r="F23" s="2145">
        <f t="shared" si="3"/>
        <v>0</v>
      </c>
      <c r="G23" s="2145">
        <f t="shared" si="9"/>
        <v>0</v>
      </c>
      <c r="H23" s="2145">
        <f>IF(K22&lt;0.01,0,IF(Adm!$GS$4=Adm!$GS$8,0,IF(Adm!$GS$12="Pagados por el Banco",0,K22*Adm!$GV$4)))</f>
        <v>0</v>
      </c>
      <c r="I23" s="2145">
        <f>IF(K22&lt;0.01,0,E23*Adm!$O$8)</f>
        <v>0</v>
      </c>
      <c r="J23" s="2145">
        <f t="shared" si="4"/>
        <v>0</v>
      </c>
      <c r="K23" s="2145">
        <f t="shared" si="5"/>
        <v>0</v>
      </c>
      <c r="L23" s="2146"/>
      <c r="V23" s="1352">
        <f t="shared" si="7"/>
        <v>8</v>
      </c>
      <c r="W23" s="1433">
        <f>IF(V23=1,Cal!$BP$127,0)</f>
        <v>0</v>
      </c>
      <c r="X23" s="1528"/>
      <c r="Z23" s="1153"/>
      <c r="AC23" s="1370">
        <f t="shared" si="10"/>
        <v>0</v>
      </c>
      <c r="AD23" s="1373">
        <f t="shared" si="11"/>
        <v>0</v>
      </c>
      <c r="AE23" s="1371">
        <f t="shared" si="12"/>
        <v>0</v>
      </c>
      <c r="AF23" s="1359">
        <f>HLOOKUP($AF$11,anticipafreeliq,9,0)</f>
        <v>0</v>
      </c>
      <c r="AH23" s="1360">
        <f>Free!AK78</f>
        <v>0</v>
      </c>
    </row>
    <row r="24" spans="1:34">
      <c r="A24" s="1118">
        <f t="shared" ca="1" si="0"/>
        <v>12</v>
      </c>
      <c r="B24" s="1101">
        <f t="shared" si="1"/>
        <v>0</v>
      </c>
      <c r="C24" s="2149">
        <f t="shared" si="2"/>
        <v>0</v>
      </c>
      <c r="D24" s="2150">
        <f t="shared" si="6"/>
        <v>0</v>
      </c>
      <c r="E24" s="2145">
        <f t="shared" si="8"/>
        <v>0</v>
      </c>
      <c r="F24" s="2145">
        <f t="shared" si="3"/>
        <v>0</v>
      </c>
      <c r="G24" s="2145">
        <f t="shared" si="9"/>
        <v>0</v>
      </c>
      <c r="H24" s="2145">
        <f>IF(K23&lt;0.01,0,IF(Adm!$GS$4=Adm!$GS$8,0,IF(Adm!$GS$12="Pagados por el Banco",0,K23*Adm!$GV$4)))</f>
        <v>0</v>
      </c>
      <c r="I24" s="2145">
        <f>IF(K23&lt;0.01,0,E24*Adm!$O$8)</f>
        <v>0</v>
      </c>
      <c r="J24" s="2145">
        <f t="shared" si="4"/>
        <v>0</v>
      </c>
      <c r="K24" s="2145">
        <f t="shared" si="5"/>
        <v>0</v>
      </c>
      <c r="L24" s="2146"/>
      <c r="V24" s="1352">
        <f t="shared" si="7"/>
        <v>9</v>
      </c>
      <c r="W24" s="1433">
        <f>IF(V24=1,Cal!$BP$127,0)</f>
        <v>0</v>
      </c>
      <c r="X24" s="1528"/>
      <c r="Z24" s="1153"/>
      <c r="AC24" s="1370">
        <f t="shared" si="10"/>
        <v>0</v>
      </c>
      <c r="AD24" s="1373">
        <f t="shared" si="11"/>
        <v>0</v>
      </c>
      <c r="AE24" s="1371">
        <f t="shared" si="12"/>
        <v>0</v>
      </c>
      <c r="AF24" s="1359">
        <f>HLOOKUP($AF$11,anticipafreeliq,10,0)</f>
        <v>0</v>
      </c>
      <c r="AH24" s="1360">
        <f>Free!AK79</f>
        <v>0</v>
      </c>
    </row>
    <row r="25" spans="1:34">
      <c r="A25" s="1118">
        <f t="shared" ca="1" si="0"/>
        <v>1</v>
      </c>
      <c r="B25" s="1101">
        <f t="shared" si="1"/>
        <v>0</v>
      </c>
      <c r="C25" s="2149">
        <f t="shared" si="2"/>
        <v>0</v>
      </c>
      <c r="D25" s="2150">
        <f t="shared" si="6"/>
        <v>0</v>
      </c>
      <c r="E25" s="2145">
        <f t="shared" si="8"/>
        <v>0</v>
      </c>
      <c r="F25" s="2145">
        <f t="shared" si="3"/>
        <v>0</v>
      </c>
      <c r="G25" s="2145">
        <f t="shared" si="9"/>
        <v>0</v>
      </c>
      <c r="H25" s="2145">
        <f>IF(K24&lt;0.01,0,IF(Adm!$GS$4=Adm!$GS$8,0,IF(Adm!$GS$12="Pagados por el Banco",0,K24*Adm!$GV$4)))</f>
        <v>0</v>
      </c>
      <c r="I25" s="2145">
        <f>IF(K24&lt;0.01,0,E25*Adm!$O$8)</f>
        <v>0</v>
      </c>
      <c r="J25" s="2145">
        <f t="shared" si="4"/>
        <v>0</v>
      </c>
      <c r="K25" s="2145">
        <f t="shared" si="5"/>
        <v>0</v>
      </c>
      <c r="L25" s="2146"/>
      <c r="V25" s="1352">
        <f t="shared" si="7"/>
        <v>10</v>
      </c>
      <c r="W25" s="1433">
        <f>IF(V25=1,Cal!$BP$127,0)</f>
        <v>0</v>
      </c>
      <c r="X25" s="1528"/>
      <c r="Z25" s="1153"/>
      <c r="AC25" s="1370">
        <f t="shared" si="10"/>
        <v>0</v>
      </c>
      <c r="AD25" s="1373">
        <f t="shared" si="11"/>
        <v>0</v>
      </c>
      <c r="AE25" s="1371">
        <f t="shared" si="12"/>
        <v>0</v>
      </c>
      <c r="AF25" s="1359">
        <f>HLOOKUP($AF$11,anticipafreeliq,11,0)</f>
        <v>0</v>
      </c>
      <c r="AH25" s="1360">
        <f>Free!AK80</f>
        <v>0</v>
      </c>
    </row>
    <row r="26" spans="1:34">
      <c r="A26" s="1118">
        <f t="shared" ca="1" si="0"/>
        <v>2</v>
      </c>
      <c r="B26" s="1101">
        <f t="shared" si="1"/>
        <v>0</v>
      </c>
      <c r="C26" s="2149">
        <f t="shared" si="2"/>
        <v>0</v>
      </c>
      <c r="D26" s="2150">
        <f t="shared" si="6"/>
        <v>0</v>
      </c>
      <c r="E26" s="2145">
        <f t="shared" si="8"/>
        <v>0</v>
      </c>
      <c r="F26" s="2145">
        <f t="shared" si="3"/>
        <v>0</v>
      </c>
      <c r="G26" s="2145">
        <f t="shared" si="9"/>
        <v>0</v>
      </c>
      <c r="H26" s="2145">
        <f>IF(K25&lt;0.01,0,IF(Adm!$GS$4=Adm!$GS$8,0,IF(Adm!$GS$12="Pagados por el Banco",0,K25*Adm!$GV$4)))</f>
        <v>0</v>
      </c>
      <c r="I26" s="2145">
        <f>IF(K25&lt;0.01,0,E26*Adm!$O$8)</f>
        <v>0</v>
      </c>
      <c r="J26" s="2145">
        <f t="shared" si="4"/>
        <v>0</v>
      </c>
      <c r="K26" s="2145">
        <f t="shared" si="5"/>
        <v>0</v>
      </c>
      <c r="L26" s="2146"/>
      <c r="V26" s="1352">
        <f t="shared" si="7"/>
        <v>11</v>
      </c>
      <c r="W26" s="1433">
        <f>IF(V26=1,Cal!$BP$127,0)</f>
        <v>0</v>
      </c>
      <c r="X26" s="1528"/>
      <c r="Z26" s="1153"/>
      <c r="AC26" s="1370">
        <f t="shared" si="10"/>
        <v>0</v>
      </c>
      <c r="AD26" s="1373">
        <f t="shared" si="11"/>
        <v>0</v>
      </c>
      <c r="AE26" s="1371">
        <f t="shared" si="12"/>
        <v>0</v>
      </c>
      <c r="AF26" s="1359">
        <f>HLOOKUP($AF$11,anticipafreeliq,12,0)</f>
        <v>0</v>
      </c>
      <c r="AH26" s="1360">
        <f>Free!AK81</f>
        <v>0</v>
      </c>
    </row>
    <row r="27" spans="1:34">
      <c r="A27" s="1118">
        <f t="shared" ca="1" si="0"/>
        <v>3</v>
      </c>
      <c r="B27" s="1101">
        <f t="shared" si="1"/>
        <v>0</v>
      </c>
      <c r="C27" s="2149">
        <f t="shared" si="2"/>
        <v>0</v>
      </c>
      <c r="D27" s="2150">
        <f t="shared" si="6"/>
        <v>0</v>
      </c>
      <c r="E27" s="2145">
        <f t="shared" si="8"/>
        <v>0</v>
      </c>
      <c r="F27" s="2145">
        <f t="shared" si="3"/>
        <v>0</v>
      </c>
      <c r="G27" s="2145">
        <f t="shared" si="9"/>
        <v>0</v>
      </c>
      <c r="H27" s="2145">
        <f>IF(K26&lt;0.01,0,IF(Adm!$GS$4=Adm!$GS$8,0,IF(Adm!$GS$12="Pagados por el Banco",0,K26*Adm!$GV$4)))</f>
        <v>0</v>
      </c>
      <c r="I27" s="2145">
        <f>IF(K26&lt;0.01,0,E27*Adm!$O$8)</f>
        <v>0</v>
      </c>
      <c r="J27" s="2145">
        <f t="shared" si="4"/>
        <v>0</v>
      </c>
      <c r="K27" s="2145">
        <f t="shared" si="5"/>
        <v>0</v>
      </c>
      <c r="L27" s="2146"/>
      <c r="V27" s="1352">
        <f t="shared" si="7"/>
        <v>12</v>
      </c>
      <c r="W27" s="1433">
        <f>IF(V27=1,Cal!$BP$127,0)</f>
        <v>0</v>
      </c>
      <c r="X27" s="1528"/>
      <c r="Z27" s="1153"/>
      <c r="AC27" s="1370">
        <f t="shared" si="10"/>
        <v>0</v>
      </c>
      <c r="AD27" s="1373">
        <f t="shared" si="11"/>
        <v>0</v>
      </c>
      <c r="AE27" s="1371">
        <f t="shared" si="12"/>
        <v>0</v>
      </c>
      <c r="AF27" s="1359">
        <f>HLOOKUP($AF$11,anticipafreeliq,13,0)</f>
        <v>0</v>
      </c>
      <c r="AH27" s="1360">
        <f>Free!AK82</f>
        <v>0</v>
      </c>
    </row>
    <row r="28" spans="1:34">
      <c r="A28" s="1118">
        <f t="shared" ca="1" si="0"/>
        <v>4</v>
      </c>
      <c r="B28" s="1101">
        <f t="shared" si="1"/>
        <v>0</v>
      </c>
      <c r="C28" s="2149">
        <f t="shared" si="2"/>
        <v>0</v>
      </c>
      <c r="D28" s="2150">
        <f t="shared" si="6"/>
        <v>0</v>
      </c>
      <c r="E28" s="2145">
        <f t="shared" si="8"/>
        <v>0</v>
      </c>
      <c r="F28" s="2145">
        <f t="shared" si="3"/>
        <v>0</v>
      </c>
      <c r="G28" s="2145">
        <f t="shared" si="9"/>
        <v>0</v>
      </c>
      <c r="H28" s="2145">
        <f>IF(K27&lt;0.01,0,IF(Adm!$GS$4=Adm!$GS$8,0,IF(Adm!$GS$12="Pagados por el Banco",0,K27*Adm!$GV$4)))</f>
        <v>0</v>
      </c>
      <c r="I28" s="2145">
        <f>IF(K27&lt;0.01,0,E28*Adm!$O$8)</f>
        <v>0</v>
      </c>
      <c r="J28" s="2145">
        <f t="shared" si="4"/>
        <v>0</v>
      </c>
      <c r="K28" s="2145">
        <f t="shared" si="5"/>
        <v>0</v>
      </c>
      <c r="L28" s="2146"/>
      <c r="V28" s="1352">
        <f t="shared" si="7"/>
        <v>1</v>
      </c>
      <c r="W28" s="1433">
        <f>IF(V28=1,Cal!$BP$127,0)</f>
        <v>0</v>
      </c>
      <c r="X28" s="1528"/>
      <c r="Z28" s="1153"/>
      <c r="AC28" s="1370">
        <f t="shared" si="10"/>
        <v>0</v>
      </c>
      <c r="AD28" s="1373">
        <f t="shared" si="11"/>
        <v>0</v>
      </c>
      <c r="AE28" s="1371">
        <f t="shared" si="12"/>
        <v>0</v>
      </c>
      <c r="AF28" s="1359">
        <f>HLOOKUP($AF$11,anticipafreeliq,14,0)</f>
        <v>0</v>
      </c>
      <c r="AH28" s="1360">
        <f>Free!AK83</f>
        <v>0</v>
      </c>
    </row>
    <row r="29" spans="1:34">
      <c r="A29" s="1118">
        <f t="shared" ca="1" si="0"/>
        <v>5</v>
      </c>
      <c r="B29" s="1101">
        <f t="shared" si="1"/>
        <v>0</v>
      </c>
      <c r="C29" s="2149">
        <f t="shared" si="2"/>
        <v>0</v>
      </c>
      <c r="D29" s="2150">
        <f t="shared" si="6"/>
        <v>0</v>
      </c>
      <c r="E29" s="2145">
        <f t="shared" si="8"/>
        <v>0</v>
      </c>
      <c r="F29" s="2145">
        <f t="shared" si="3"/>
        <v>0</v>
      </c>
      <c r="G29" s="2145">
        <f t="shared" si="9"/>
        <v>0</v>
      </c>
      <c r="H29" s="2145">
        <f>IF(K28&lt;0.01,0,IF(Adm!$GS$4=Adm!$GS$8,0,IF(Adm!$GS$12="Pagados por el Banco",0,K28*Adm!$GV$4)))</f>
        <v>0</v>
      </c>
      <c r="I29" s="2145">
        <f>IF(K28&lt;0.01,0,E29*Adm!$O$8)</f>
        <v>0</v>
      </c>
      <c r="J29" s="2145">
        <f t="shared" si="4"/>
        <v>0</v>
      </c>
      <c r="K29" s="2145">
        <f t="shared" si="5"/>
        <v>0</v>
      </c>
      <c r="L29" s="2146"/>
      <c r="V29" s="1352">
        <f t="shared" si="7"/>
        <v>2</v>
      </c>
      <c r="W29" s="1433">
        <f>IF(V29=1,Cal!$BP$127,0)</f>
        <v>0</v>
      </c>
      <c r="X29" s="1528"/>
      <c r="Z29" s="1153"/>
      <c r="AC29" s="1370">
        <f t="shared" si="10"/>
        <v>0</v>
      </c>
      <c r="AD29" s="1373">
        <f t="shared" si="11"/>
        <v>0</v>
      </c>
      <c r="AE29" s="1371">
        <f t="shared" si="12"/>
        <v>0</v>
      </c>
      <c r="AF29" s="1359">
        <f>HLOOKUP($AF$11,anticipafreeliq,15,0)</f>
        <v>0</v>
      </c>
      <c r="AH29" s="1360">
        <f>Free!AK84</f>
        <v>0</v>
      </c>
    </row>
    <row r="30" spans="1:34">
      <c r="A30" s="1118">
        <f t="shared" ca="1" si="0"/>
        <v>6</v>
      </c>
      <c r="B30" s="1101">
        <f t="shared" si="1"/>
        <v>0</v>
      </c>
      <c r="C30" s="2149">
        <f t="shared" si="2"/>
        <v>0</v>
      </c>
      <c r="D30" s="2150">
        <f t="shared" si="6"/>
        <v>0</v>
      </c>
      <c r="E30" s="2145">
        <f t="shared" si="8"/>
        <v>0</v>
      </c>
      <c r="F30" s="2145">
        <f t="shared" si="3"/>
        <v>0</v>
      </c>
      <c r="G30" s="2145">
        <f t="shared" si="9"/>
        <v>0</v>
      </c>
      <c r="H30" s="2145">
        <f>IF(K29&lt;0.01,0,IF(Adm!$GS$4=Adm!$GS$8,0,IF(Adm!$GS$12="Pagados por el Banco",0,K29*Adm!$GV$4)))</f>
        <v>0</v>
      </c>
      <c r="I30" s="2145">
        <f>IF(K29&lt;0.01,0,E30*Adm!$O$8)</f>
        <v>0</v>
      </c>
      <c r="J30" s="2145">
        <f t="shared" si="4"/>
        <v>0</v>
      </c>
      <c r="K30" s="2145">
        <f t="shared" si="5"/>
        <v>0</v>
      </c>
      <c r="L30" s="2146"/>
      <c r="V30" s="1352">
        <f t="shared" si="7"/>
        <v>3</v>
      </c>
      <c r="W30" s="1433">
        <f>IF(V30=1,Cal!$BP$127,0)</f>
        <v>0</v>
      </c>
      <c r="X30" s="1528"/>
      <c r="Z30" s="1153"/>
      <c r="AC30" s="1370">
        <f t="shared" si="10"/>
        <v>0</v>
      </c>
      <c r="AD30" s="1373">
        <f t="shared" si="11"/>
        <v>0</v>
      </c>
      <c r="AE30" s="1371">
        <f t="shared" si="12"/>
        <v>0</v>
      </c>
      <c r="AF30" s="1359">
        <f>HLOOKUP($AF$11,anticipafreeliq,16,0)</f>
        <v>0</v>
      </c>
      <c r="AH30" s="1360">
        <f>Free!AK85</f>
        <v>0</v>
      </c>
    </row>
    <row r="31" spans="1:34">
      <c r="A31" s="1118">
        <f t="shared" ca="1" si="0"/>
        <v>7</v>
      </c>
      <c r="B31" s="1101">
        <f t="shared" si="1"/>
        <v>0</v>
      </c>
      <c r="C31" s="2149">
        <f t="shared" si="2"/>
        <v>0</v>
      </c>
      <c r="D31" s="2150">
        <f t="shared" si="6"/>
        <v>0</v>
      </c>
      <c r="E31" s="2145">
        <f t="shared" si="8"/>
        <v>0</v>
      </c>
      <c r="F31" s="2145">
        <f t="shared" si="3"/>
        <v>0</v>
      </c>
      <c r="G31" s="2145">
        <f t="shared" si="9"/>
        <v>0</v>
      </c>
      <c r="H31" s="2145">
        <f>IF(K30&lt;0.01,0,IF(Adm!$GS$4=Adm!$GS$8,0,IF(Adm!$GS$12="Pagados por el Banco",0,K30*Adm!$GV$4)))</f>
        <v>0</v>
      </c>
      <c r="I31" s="2145">
        <f>IF(K30&lt;0.01,0,E31*Adm!$O$8)</f>
        <v>0</v>
      </c>
      <c r="J31" s="2145">
        <f t="shared" si="4"/>
        <v>0</v>
      </c>
      <c r="K31" s="2145">
        <f t="shared" si="5"/>
        <v>0</v>
      </c>
      <c r="L31" s="2146"/>
      <c r="V31" s="1352">
        <f t="shared" si="7"/>
        <v>4</v>
      </c>
      <c r="W31" s="1433">
        <f>IF(V31=1,Cal!$BP$127,0)</f>
        <v>0</v>
      </c>
      <c r="X31" s="1528"/>
      <c r="Z31" s="1153"/>
      <c r="AC31" s="1370">
        <f t="shared" si="10"/>
        <v>0</v>
      </c>
      <c r="AD31" s="1373">
        <f t="shared" si="11"/>
        <v>0</v>
      </c>
      <c r="AE31" s="1371">
        <f t="shared" si="12"/>
        <v>0</v>
      </c>
      <c r="AF31" s="1359">
        <f>HLOOKUP($AF$11,anticipafreeliq,17,0)</f>
        <v>0</v>
      </c>
      <c r="AH31" s="1360">
        <f>Free!AK86</f>
        <v>0</v>
      </c>
    </row>
    <row r="32" spans="1:34">
      <c r="A32" s="1118">
        <f t="shared" ca="1" si="0"/>
        <v>8</v>
      </c>
      <c r="B32" s="1101">
        <f t="shared" si="1"/>
        <v>0</v>
      </c>
      <c r="C32" s="2149">
        <f t="shared" si="2"/>
        <v>0</v>
      </c>
      <c r="D32" s="2150">
        <f t="shared" si="6"/>
        <v>0</v>
      </c>
      <c r="E32" s="2145">
        <f t="shared" si="8"/>
        <v>0</v>
      </c>
      <c r="F32" s="2145">
        <f t="shared" si="3"/>
        <v>0</v>
      </c>
      <c r="G32" s="2145">
        <f t="shared" si="9"/>
        <v>0</v>
      </c>
      <c r="H32" s="2145">
        <f>IF(K31&lt;0.01,0,IF(Adm!$GS$4=Adm!$GS$8,0,IF(Adm!$GS$12="Pagados por el Banco",0,K31*Adm!$GV$4)))</f>
        <v>0</v>
      </c>
      <c r="I32" s="2145">
        <f>IF(K31&lt;0.01,0,E32*Adm!$O$8)</f>
        <v>0</v>
      </c>
      <c r="J32" s="2145">
        <f t="shared" si="4"/>
        <v>0</v>
      </c>
      <c r="K32" s="2145">
        <f t="shared" si="5"/>
        <v>0</v>
      </c>
      <c r="L32" s="2146"/>
      <c r="V32" s="1352">
        <f t="shared" si="7"/>
        <v>5</v>
      </c>
      <c r="W32" s="1433">
        <f>IF(V32=1,Cal!$BP$127,0)</f>
        <v>0</v>
      </c>
      <c r="X32" s="1528"/>
      <c r="Z32" s="1153"/>
      <c r="AC32" s="1370">
        <f t="shared" si="10"/>
        <v>0</v>
      </c>
      <c r="AD32" s="1373">
        <f t="shared" si="11"/>
        <v>0</v>
      </c>
      <c r="AE32" s="1371">
        <f t="shared" si="12"/>
        <v>0</v>
      </c>
      <c r="AF32" s="1359">
        <f>HLOOKUP($AF$11,anticipafreeliq,18,0)</f>
        <v>0</v>
      </c>
      <c r="AH32" s="1360">
        <f>Free!AK87</f>
        <v>0</v>
      </c>
    </row>
    <row r="33" spans="1:34">
      <c r="A33" s="1118">
        <f t="shared" ca="1" si="0"/>
        <v>9</v>
      </c>
      <c r="B33" s="1101">
        <f t="shared" si="1"/>
        <v>0</v>
      </c>
      <c r="C33" s="2149">
        <f t="shared" si="2"/>
        <v>0</v>
      </c>
      <c r="D33" s="2150">
        <f t="shared" si="6"/>
        <v>0</v>
      </c>
      <c r="E33" s="2145">
        <f t="shared" si="8"/>
        <v>0</v>
      </c>
      <c r="F33" s="2145">
        <f t="shared" si="3"/>
        <v>0</v>
      </c>
      <c r="G33" s="2145">
        <f t="shared" si="9"/>
        <v>0</v>
      </c>
      <c r="H33" s="2145">
        <f>IF(K32&lt;0.01,0,IF(Adm!$GS$4=Adm!$GS$8,0,IF(Adm!$GS$12="Pagados por el Banco",0,K32*Adm!$GV$4)))</f>
        <v>0</v>
      </c>
      <c r="I33" s="2145">
        <f>IF(K32&lt;0.01,0,E33*Adm!$O$8)</f>
        <v>0</v>
      </c>
      <c r="J33" s="2145">
        <f t="shared" si="4"/>
        <v>0</v>
      </c>
      <c r="K33" s="2145">
        <f t="shared" si="5"/>
        <v>0</v>
      </c>
      <c r="L33" s="2146"/>
      <c r="V33" s="1352">
        <f t="shared" si="7"/>
        <v>6</v>
      </c>
      <c r="W33" s="1433">
        <f>IF(V33=1,Cal!$BP$127,0)</f>
        <v>0</v>
      </c>
      <c r="X33" s="1528"/>
      <c r="Z33" s="1153"/>
      <c r="AC33" s="1370">
        <f t="shared" si="10"/>
        <v>0</v>
      </c>
      <c r="AD33" s="1373">
        <f t="shared" si="11"/>
        <v>0</v>
      </c>
      <c r="AE33" s="1371">
        <f t="shared" si="12"/>
        <v>0</v>
      </c>
      <c r="AF33" s="1359">
        <f>HLOOKUP($AF$11,anticipafreeliq,19,0)</f>
        <v>0</v>
      </c>
      <c r="AH33" s="1360">
        <f>Free!AK88</f>
        <v>0</v>
      </c>
    </row>
    <row r="34" spans="1:34">
      <c r="A34" s="1118">
        <f t="shared" ca="1" si="0"/>
        <v>10</v>
      </c>
      <c r="B34" s="1101">
        <f t="shared" si="1"/>
        <v>0</v>
      </c>
      <c r="C34" s="2149">
        <f t="shared" si="2"/>
        <v>0</v>
      </c>
      <c r="D34" s="2150">
        <f t="shared" si="6"/>
        <v>0</v>
      </c>
      <c r="E34" s="2145">
        <f t="shared" si="8"/>
        <v>0</v>
      </c>
      <c r="F34" s="2145">
        <f t="shared" si="3"/>
        <v>0</v>
      </c>
      <c r="G34" s="2145">
        <f t="shared" si="9"/>
        <v>0</v>
      </c>
      <c r="H34" s="2145">
        <f>IF(K33&lt;0.01,0,IF(Adm!$GS$4=Adm!$GS$8,0,IF(Adm!$GS$12="Pagados por el Banco",0,K33*Adm!$GV$4)))</f>
        <v>0</v>
      </c>
      <c r="I34" s="2145">
        <f>IF(K33&lt;0.01,0,E34*Adm!$O$8)</f>
        <v>0</v>
      </c>
      <c r="J34" s="2145">
        <f t="shared" si="4"/>
        <v>0</v>
      </c>
      <c r="K34" s="2145">
        <f t="shared" si="5"/>
        <v>0</v>
      </c>
      <c r="L34" s="2146"/>
      <c r="V34" s="1352">
        <f t="shared" si="7"/>
        <v>7</v>
      </c>
      <c r="W34" s="1433">
        <f>IF(V34=1,Cal!$BP$127,0)</f>
        <v>0</v>
      </c>
      <c r="X34" s="1528"/>
      <c r="Z34" s="1153"/>
      <c r="AC34" s="1370">
        <f t="shared" si="10"/>
        <v>0</v>
      </c>
      <c r="AD34" s="1373">
        <f t="shared" si="11"/>
        <v>0</v>
      </c>
      <c r="AE34" s="1371">
        <f t="shared" si="12"/>
        <v>0</v>
      </c>
      <c r="AF34" s="1359">
        <f>HLOOKUP($AF$11,anticipafreeliq,20,0)</f>
        <v>0</v>
      </c>
      <c r="AH34" s="1360">
        <f>Free!AK89</f>
        <v>0</v>
      </c>
    </row>
    <row r="35" spans="1:34">
      <c r="A35" s="1118">
        <f t="shared" ca="1" si="0"/>
        <v>11</v>
      </c>
      <c r="B35" s="1101">
        <f t="shared" si="1"/>
        <v>0</v>
      </c>
      <c r="C35" s="2149">
        <f t="shared" si="2"/>
        <v>0</v>
      </c>
      <c r="D35" s="2150">
        <f t="shared" si="6"/>
        <v>0</v>
      </c>
      <c r="E35" s="2145">
        <f t="shared" si="8"/>
        <v>0</v>
      </c>
      <c r="F35" s="2145">
        <f t="shared" si="3"/>
        <v>0</v>
      </c>
      <c r="G35" s="2145">
        <f t="shared" si="9"/>
        <v>0</v>
      </c>
      <c r="H35" s="2145">
        <f>IF(K34&lt;0.01,0,IF(Adm!$GS$4=Adm!$GS$8,0,IF(Adm!$GS$12="Pagados por el Banco",0,K34*Adm!$GV$4)))</f>
        <v>0</v>
      </c>
      <c r="I35" s="2145">
        <f>IF(K34&lt;0.01,0,E35*Adm!$O$8)</f>
        <v>0</v>
      </c>
      <c r="J35" s="2145">
        <f t="shared" si="4"/>
        <v>0</v>
      </c>
      <c r="K35" s="2145">
        <f t="shared" si="5"/>
        <v>0</v>
      </c>
      <c r="L35" s="2146"/>
      <c r="V35" s="1352">
        <f t="shared" si="7"/>
        <v>8</v>
      </c>
      <c r="W35" s="1433">
        <f>IF(V35=1,Cal!$BP$127,0)</f>
        <v>0</v>
      </c>
      <c r="X35" s="1528"/>
      <c r="Z35" s="1153"/>
      <c r="AC35" s="1370">
        <f t="shared" si="10"/>
        <v>0</v>
      </c>
      <c r="AD35" s="1373">
        <f t="shared" si="11"/>
        <v>0</v>
      </c>
      <c r="AE35" s="1371">
        <f t="shared" si="12"/>
        <v>0</v>
      </c>
      <c r="AF35" s="1359">
        <f>HLOOKUP($AF$11,anticipafreeliq,21,0)</f>
        <v>0</v>
      </c>
      <c r="AH35" s="1360">
        <f>Free!AK90</f>
        <v>0</v>
      </c>
    </row>
    <row r="36" spans="1:34">
      <c r="A36" s="1118">
        <f t="shared" ca="1" si="0"/>
        <v>12</v>
      </c>
      <c r="B36" s="1101">
        <f t="shared" si="1"/>
        <v>0</v>
      </c>
      <c r="C36" s="2149">
        <f t="shared" si="2"/>
        <v>0</v>
      </c>
      <c r="D36" s="2150">
        <f t="shared" si="6"/>
        <v>0</v>
      </c>
      <c r="E36" s="2145">
        <f t="shared" si="8"/>
        <v>0</v>
      </c>
      <c r="F36" s="2145">
        <f t="shared" si="3"/>
        <v>0</v>
      </c>
      <c r="G36" s="2145">
        <f t="shared" si="9"/>
        <v>0</v>
      </c>
      <c r="H36" s="2145">
        <f>IF(K35&lt;0.01,0,IF(Adm!$GS$4=Adm!$GS$8,0,IF(Adm!$GS$12="Pagados por el Banco",0,K35*Adm!$GV$4)))</f>
        <v>0</v>
      </c>
      <c r="I36" s="2145">
        <f>IF(K35&lt;0.01,0,E36*Adm!$O$8)</f>
        <v>0</v>
      </c>
      <c r="J36" s="2145">
        <f t="shared" si="4"/>
        <v>0</v>
      </c>
      <c r="K36" s="2145">
        <f t="shared" si="5"/>
        <v>0</v>
      </c>
      <c r="L36" s="2146"/>
      <c r="V36" s="1352">
        <f t="shared" si="7"/>
        <v>9</v>
      </c>
      <c r="W36" s="1433">
        <f>IF(V36=1,Cal!$BP$127,0)</f>
        <v>0</v>
      </c>
      <c r="X36" s="1528"/>
      <c r="Z36" s="1153"/>
      <c r="AC36" s="1370">
        <f t="shared" si="10"/>
        <v>0</v>
      </c>
      <c r="AD36" s="1373">
        <f t="shared" si="11"/>
        <v>0</v>
      </c>
      <c r="AE36" s="1371">
        <f t="shared" si="12"/>
        <v>0</v>
      </c>
      <c r="AF36" s="1359">
        <f>HLOOKUP($AF$11,anticipafreeliq,22,0)</f>
        <v>0</v>
      </c>
      <c r="AH36" s="1360">
        <f>Free!AK91</f>
        <v>0</v>
      </c>
    </row>
    <row r="37" spans="1:34">
      <c r="A37" s="1118">
        <f t="shared" ca="1" si="0"/>
        <v>1</v>
      </c>
      <c r="B37" s="1101">
        <f t="shared" si="1"/>
        <v>0</v>
      </c>
      <c r="C37" s="2149">
        <f t="shared" si="2"/>
        <v>0</v>
      </c>
      <c r="D37" s="2150">
        <f t="shared" si="6"/>
        <v>0</v>
      </c>
      <c r="E37" s="2145">
        <f t="shared" si="8"/>
        <v>0</v>
      </c>
      <c r="F37" s="2145">
        <f t="shared" si="3"/>
        <v>0</v>
      </c>
      <c r="G37" s="2145">
        <f t="shared" si="9"/>
        <v>0</v>
      </c>
      <c r="H37" s="2145">
        <f>IF(K36&lt;0.01,0,IF(Adm!$GS$4=Adm!$GS$8,0,IF(Adm!$GS$12="Pagados por el Banco",0,K36*Adm!$GV$4)))</f>
        <v>0</v>
      </c>
      <c r="I37" s="2145">
        <f>IF(K36&lt;0.01,0,E37*Adm!$O$8)</f>
        <v>0</v>
      </c>
      <c r="J37" s="2145">
        <f t="shared" si="4"/>
        <v>0</v>
      </c>
      <c r="K37" s="2145">
        <f t="shared" si="5"/>
        <v>0</v>
      </c>
      <c r="L37" s="2146"/>
      <c r="V37" s="1352">
        <f t="shared" si="7"/>
        <v>10</v>
      </c>
      <c r="W37" s="1433">
        <f>IF(V37=1,Cal!$BP$127,0)</f>
        <v>0</v>
      </c>
      <c r="X37" s="1528"/>
      <c r="Z37" s="1153"/>
      <c r="AC37" s="1370">
        <f t="shared" si="10"/>
        <v>0</v>
      </c>
      <c r="AD37" s="1373">
        <f t="shared" si="11"/>
        <v>0</v>
      </c>
      <c r="AE37" s="1371">
        <f t="shared" si="12"/>
        <v>0</v>
      </c>
      <c r="AF37" s="1359">
        <f>HLOOKUP($AF$11,anticipafreeliq,23,0)</f>
        <v>0</v>
      </c>
      <c r="AH37" s="1360">
        <f>Free!AK92</f>
        <v>0</v>
      </c>
    </row>
    <row r="38" spans="1:34">
      <c r="A38" s="1118">
        <f t="shared" ca="1" si="0"/>
        <v>2</v>
      </c>
      <c r="B38" s="1101">
        <f t="shared" si="1"/>
        <v>0</v>
      </c>
      <c r="C38" s="2149">
        <f t="shared" si="2"/>
        <v>0</v>
      </c>
      <c r="D38" s="2150">
        <f t="shared" si="6"/>
        <v>0</v>
      </c>
      <c r="E38" s="2145">
        <f t="shared" si="8"/>
        <v>0</v>
      </c>
      <c r="F38" s="2145">
        <f t="shared" si="3"/>
        <v>0</v>
      </c>
      <c r="G38" s="2145">
        <f t="shared" si="9"/>
        <v>0</v>
      </c>
      <c r="H38" s="2145">
        <f>IF(K37&lt;0.01,0,IF(Adm!$GS$4=Adm!$GS$8,0,IF(Adm!$GS$12="Pagados por el Banco",0,K37*Adm!$GV$4)))</f>
        <v>0</v>
      </c>
      <c r="I38" s="2145">
        <f>IF(K37&lt;0.01,0,E38*Adm!$O$8)</f>
        <v>0</v>
      </c>
      <c r="J38" s="2145">
        <f t="shared" si="4"/>
        <v>0</v>
      </c>
      <c r="K38" s="2145">
        <f t="shared" si="5"/>
        <v>0</v>
      </c>
      <c r="L38" s="2146"/>
      <c r="V38" s="1352">
        <f t="shared" si="7"/>
        <v>11</v>
      </c>
      <c r="W38" s="1433">
        <f>IF(V38=1,Cal!$BP$127,0)</f>
        <v>0</v>
      </c>
      <c r="X38" s="1528"/>
      <c r="Z38" s="1153"/>
      <c r="AC38" s="1370">
        <f t="shared" si="10"/>
        <v>0</v>
      </c>
      <c r="AD38" s="1373">
        <f t="shared" si="11"/>
        <v>0</v>
      </c>
      <c r="AE38" s="1371">
        <f t="shared" si="12"/>
        <v>0</v>
      </c>
      <c r="AF38" s="1359">
        <f>HLOOKUP($AF$11,anticipafreeliq,24,0)</f>
        <v>0</v>
      </c>
      <c r="AH38" s="1360">
        <f>Free!AK93</f>
        <v>0</v>
      </c>
    </row>
    <row r="39" spans="1:34">
      <c r="A39" s="1118">
        <f t="shared" ca="1" si="0"/>
        <v>3</v>
      </c>
      <c r="B39" s="1101">
        <f t="shared" si="1"/>
        <v>0</v>
      </c>
      <c r="C39" s="2149">
        <f t="shared" si="2"/>
        <v>0</v>
      </c>
      <c r="D39" s="2150">
        <f t="shared" si="6"/>
        <v>0</v>
      </c>
      <c r="E39" s="2145">
        <f t="shared" si="8"/>
        <v>0</v>
      </c>
      <c r="F39" s="2145">
        <f t="shared" si="3"/>
        <v>0</v>
      </c>
      <c r="G39" s="2145">
        <f t="shared" si="9"/>
        <v>0</v>
      </c>
      <c r="H39" s="2145">
        <f>IF(K38&lt;0.01,0,IF(Adm!$GS$4=Adm!$GS$8,0,IF(Adm!$GS$12="Pagados por el Banco",0,K38*Adm!$GV$4)))</f>
        <v>0</v>
      </c>
      <c r="I39" s="2145">
        <f>IF(K38&lt;0.01,0,E39*Adm!$O$8)</f>
        <v>0</v>
      </c>
      <c r="J39" s="2145">
        <f t="shared" si="4"/>
        <v>0</v>
      </c>
      <c r="K39" s="2145">
        <f t="shared" si="5"/>
        <v>0</v>
      </c>
      <c r="L39" s="2146"/>
      <c r="V39" s="1352">
        <f t="shared" si="7"/>
        <v>12</v>
      </c>
      <c r="W39" s="1433">
        <f>IF(V39=1,Cal!$BP$127,0)</f>
        <v>0</v>
      </c>
      <c r="X39" s="1528"/>
      <c r="Z39" s="1153"/>
      <c r="AC39" s="1370">
        <f t="shared" si="10"/>
        <v>0</v>
      </c>
      <c r="AD39" s="1373">
        <f t="shared" si="11"/>
        <v>0</v>
      </c>
      <c r="AE39" s="1371">
        <f t="shared" si="12"/>
        <v>0</v>
      </c>
      <c r="AF39" s="1359">
        <f>HLOOKUP($AF$11,anticipafreeliq,25,0)</f>
        <v>0</v>
      </c>
      <c r="AH39" s="1360">
        <f>Free!AK94</f>
        <v>0</v>
      </c>
    </row>
    <row r="40" spans="1:34">
      <c r="A40" s="1118">
        <f t="shared" ca="1" si="0"/>
        <v>4</v>
      </c>
      <c r="B40" s="1101">
        <f t="shared" si="1"/>
        <v>0</v>
      </c>
      <c r="C40" s="2149">
        <f t="shared" si="2"/>
        <v>0</v>
      </c>
      <c r="D40" s="2150">
        <f t="shared" si="6"/>
        <v>0</v>
      </c>
      <c r="E40" s="2145">
        <f t="shared" si="8"/>
        <v>0</v>
      </c>
      <c r="F40" s="2145">
        <f t="shared" si="3"/>
        <v>0</v>
      </c>
      <c r="G40" s="2145">
        <f t="shared" si="9"/>
        <v>0</v>
      </c>
      <c r="H40" s="2145">
        <f>IF(K39&lt;0.01,0,IF(Adm!$GS$4=Adm!$GS$8,0,IF(Adm!$GS$12="Pagados por el Banco",0,K39*Adm!$GV$4)))</f>
        <v>0</v>
      </c>
      <c r="I40" s="2145">
        <f>IF(K39&lt;0.01,0,E40*Adm!$O$8)</f>
        <v>0</v>
      </c>
      <c r="J40" s="2145">
        <f t="shared" si="4"/>
        <v>0</v>
      </c>
      <c r="K40" s="2145">
        <f t="shared" si="5"/>
        <v>0</v>
      </c>
      <c r="L40" s="2146"/>
      <c r="V40" s="1352">
        <f t="shared" si="7"/>
        <v>1</v>
      </c>
      <c r="W40" s="1433">
        <f>IF(V40=1,Cal!$BP$127,0)</f>
        <v>0</v>
      </c>
      <c r="X40" s="1528"/>
      <c r="Z40" s="1153"/>
      <c r="AC40" s="1370">
        <f t="shared" si="10"/>
        <v>0</v>
      </c>
      <c r="AD40" s="1373">
        <f t="shared" si="11"/>
        <v>0</v>
      </c>
      <c r="AE40" s="1371">
        <f t="shared" si="12"/>
        <v>0</v>
      </c>
      <c r="AF40" s="1359">
        <f>HLOOKUP($AF$11,anticipafreeliq,26,0)</f>
        <v>0</v>
      </c>
      <c r="AH40" s="1360">
        <f>Free!AK95</f>
        <v>0</v>
      </c>
    </row>
    <row r="41" spans="1:34">
      <c r="A41" s="1118">
        <f t="shared" ca="1" si="0"/>
        <v>5</v>
      </c>
      <c r="B41" s="1101">
        <f t="shared" si="1"/>
        <v>0</v>
      </c>
      <c r="C41" s="2149">
        <f t="shared" si="2"/>
        <v>0</v>
      </c>
      <c r="D41" s="2150">
        <f t="shared" si="6"/>
        <v>0</v>
      </c>
      <c r="E41" s="2145">
        <f t="shared" si="8"/>
        <v>0</v>
      </c>
      <c r="F41" s="2145">
        <f t="shared" si="3"/>
        <v>0</v>
      </c>
      <c r="G41" s="2145">
        <f t="shared" si="9"/>
        <v>0</v>
      </c>
      <c r="H41" s="2145">
        <f>IF(K40&lt;0.01,0,IF(Adm!$GS$4=Adm!$GS$8,0,IF(Adm!$GS$12="Pagados por el Banco",0,K40*Adm!$GV$4)))</f>
        <v>0</v>
      </c>
      <c r="I41" s="2145">
        <f>IF(K40&lt;0.01,0,E41*Adm!$O$8)</f>
        <v>0</v>
      </c>
      <c r="J41" s="2145">
        <f t="shared" si="4"/>
        <v>0</v>
      </c>
      <c r="K41" s="2145">
        <f t="shared" si="5"/>
        <v>0</v>
      </c>
      <c r="L41" s="2146"/>
      <c r="V41" s="1352">
        <f t="shared" si="7"/>
        <v>2</v>
      </c>
      <c r="W41" s="1433">
        <f>IF(V41=1,Cal!$BP$127,0)</f>
        <v>0</v>
      </c>
      <c r="X41" s="1528"/>
      <c r="Z41" s="1153"/>
      <c r="AC41" s="1370">
        <f t="shared" si="10"/>
        <v>0</v>
      </c>
      <c r="AD41" s="1373">
        <f t="shared" si="11"/>
        <v>0</v>
      </c>
      <c r="AE41" s="1371">
        <f t="shared" si="12"/>
        <v>0</v>
      </c>
      <c r="AF41" s="1359">
        <f>HLOOKUP($AF$11,anticipafreeliq,27,0)</f>
        <v>0</v>
      </c>
      <c r="AH41" s="1360">
        <f>Free!AK96</f>
        <v>0</v>
      </c>
    </row>
    <row r="42" spans="1:34">
      <c r="A42" s="1118">
        <f t="shared" ca="1" si="0"/>
        <v>6</v>
      </c>
      <c r="B42" s="1101">
        <f t="shared" si="1"/>
        <v>0</v>
      </c>
      <c r="C42" s="2149">
        <f t="shared" si="2"/>
        <v>0</v>
      </c>
      <c r="D42" s="2150">
        <f t="shared" si="6"/>
        <v>0</v>
      </c>
      <c r="E42" s="2145">
        <f t="shared" si="8"/>
        <v>0</v>
      </c>
      <c r="F42" s="2145">
        <f t="shared" si="3"/>
        <v>0</v>
      </c>
      <c r="G42" s="2145">
        <f t="shared" si="9"/>
        <v>0</v>
      </c>
      <c r="H42" s="2145">
        <f>IF(K41&lt;0.01,0,IF(Adm!$GS$4=Adm!$GS$8,0,IF(Adm!$GS$12="Pagados por el Banco",0,K41*Adm!$GV$4)))</f>
        <v>0</v>
      </c>
      <c r="I42" s="2145">
        <f>IF(K41&lt;0.01,0,E42*Adm!$O$8)</f>
        <v>0</v>
      </c>
      <c r="J42" s="2145">
        <f t="shared" si="4"/>
        <v>0</v>
      </c>
      <c r="K42" s="2145">
        <f t="shared" si="5"/>
        <v>0</v>
      </c>
      <c r="L42" s="2146"/>
      <c r="V42" s="1352">
        <f t="shared" si="7"/>
        <v>3</v>
      </c>
      <c r="W42" s="1433">
        <f>IF(V42=1,Cal!$BP$127,0)</f>
        <v>0</v>
      </c>
      <c r="X42" s="1528"/>
      <c r="Z42" s="1153"/>
      <c r="AC42" s="1370">
        <f t="shared" si="10"/>
        <v>0</v>
      </c>
      <c r="AD42" s="1373">
        <f t="shared" si="11"/>
        <v>0</v>
      </c>
      <c r="AE42" s="1371">
        <f t="shared" si="12"/>
        <v>0</v>
      </c>
      <c r="AF42" s="1359">
        <f>HLOOKUP($AF$11,anticipafreeliq,28,0)</f>
        <v>0</v>
      </c>
      <c r="AH42" s="1360">
        <f>Free!AK97</f>
        <v>0</v>
      </c>
    </row>
    <row r="43" spans="1:34">
      <c r="A43" s="1118">
        <f t="shared" ca="1" si="0"/>
        <v>7</v>
      </c>
      <c r="B43" s="1101">
        <f t="shared" si="1"/>
        <v>0</v>
      </c>
      <c r="C43" s="2149">
        <f t="shared" si="2"/>
        <v>0</v>
      </c>
      <c r="D43" s="2150">
        <f t="shared" si="6"/>
        <v>0</v>
      </c>
      <c r="E43" s="2145">
        <f t="shared" si="8"/>
        <v>0</v>
      </c>
      <c r="F43" s="2145">
        <f t="shared" si="3"/>
        <v>0</v>
      </c>
      <c r="G43" s="2145">
        <f t="shared" si="9"/>
        <v>0</v>
      </c>
      <c r="H43" s="2145">
        <f>IF(K42&lt;0.01,0,IF(Adm!$GS$4=Adm!$GS$8,0,IF(Adm!$GS$12="Pagados por el Banco",0,K42*Adm!$GV$4)))</f>
        <v>0</v>
      </c>
      <c r="I43" s="2145">
        <f>IF(K42&lt;0.01,0,E43*Adm!$O$8)</f>
        <v>0</v>
      </c>
      <c r="J43" s="2145">
        <f t="shared" si="4"/>
        <v>0</v>
      </c>
      <c r="K43" s="2145">
        <f t="shared" si="5"/>
        <v>0</v>
      </c>
      <c r="L43" s="2146"/>
      <c r="V43" s="1352">
        <f t="shared" si="7"/>
        <v>4</v>
      </c>
      <c r="W43" s="1433">
        <f>IF(V43=1,Cal!$BP$127,0)</f>
        <v>0</v>
      </c>
      <c r="X43" s="1528"/>
      <c r="Z43" s="1153"/>
      <c r="AC43" s="1370">
        <f t="shared" si="10"/>
        <v>0</v>
      </c>
      <c r="AD43" s="1373">
        <f t="shared" si="11"/>
        <v>0</v>
      </c>
      <c r="AE43" s="1371">
        <f t="shared" si="12"/>
        <v>0</v>
      </c>
      <c r="AF43" s="1359">
        <f>HLOOKUP($AF$11,anticipafreeliq,29,0)</f>
        <v>0</v>
      </c>
      <c r="AH43" s="1360">
        <f>Free!AK98</f>
        <v>0</v>
      </c>
    </row>
    <row r="44" spans="1:34">
      <c r="A44" s="1118">
        <f t="shared" ca="1" si="0"/>
        <v>8</v>
      </c>
      <c r="B44" s="1101">
        <f t="shared" si="1"/>
        <v>0</v>
      </c>
      <c r="C44" s="2149">
        <f t="shared" si="2"/>
        <v>0</v>
      </c>
      <c r="D44" s="2150">
        <f t="shared" si="6"/>
        <v>0</v>
      </c>
      <c r="E44" s="2145">
        <f t="shared" si="8"/>
        <v>0</v>
      </c>
      <c r="F44" s="2145">
        <f t="shared" si="3"/>
        <v>0</v>
      </c>
      <c r="G44" s="2145">
        <f t="shared" si="9"/>
        <v>0</v>
      </c>
      <c r="H44" s="2145">
        <f>IF(K43&lt;0.01,0,IF(Adm!$GS$4=Adm!$GS$8,0,IF(Adm!$GS$12="Pagados por el Banco",0,K43*Adm!$GV$4)))</f>
        <v>0</v>
      </c>
      <c r="I44" s="2145">
        <f>IF(K43&lt;0.01,0,E44*Adm!$O$8)</f>
        <v>0</v>
      </c>
      <c r="J44" s="2145">
        <f t="shared" si="4"/>
        <v>0</v>
      </c>
      <c r="K44" s="2145">
        <f t="shared" si="5"/>
        <v>0</v>
      </c>
      <c r="L44" s="2146"/>
      <c r="V44" s="1352">
        <f t="shared" si="7"/>
        <v>5</v>
      </c>
      <c r="W44" s="1433">
        <f>IF(V44=1,Cal!$BP$127,0)</f>
        <v>0</v>
      </c>
      <c r="X44" s="1528"/>
      <c r="Z44" s="1153"/>
      <c r="AC44" s="1370">
        <f t="shared" si="10"/>
        <v>0</v>
      </c>
      <c r="AD44" s="1373">
        <f t="shared" si="11"/>
        <v>0</v>
      </c>
      <c r="AE44" s="1371">
        <f t="shared" si="12"/>
        <v>0</v>
      </c>
      <c r="AF44" s="1359">
        <f>HLOOKUP($AF$11,anticipafreeliq,30,0)</f>
        <v>0</v>
      </c>
      <c r="AH44" s="1360">
        <f>Free!AK99</f>
        <v>0</v>
      </c>
    </row>
    <row r="45" spans="1:34">
      <c r="A45" s="1118">
        <f t="shared" ca="1" si="0"/>
        <v>9</v>
      </c>
      <c r="B45" s="1101">
        <f t="shared" si="1"/>
        <v>0</v>
      </c>
      <c r="C45" s="2149">
        <f t="shared" si="2"/>
        <v>0</v>
      </c>
      <c r="D45" s="2150">
        <f t="shared" si="6"/>
        <v>0</v>
      </c>
      <c r="E45" s="2145">
        <f t="shared" si="8"/>
        <v>0</v>
      </c>
      <c r="F45" s="2145">
        <f t="shared" si="3"/>
        <v>0</v>
      </c>
      <c r="G45" s="2145">
        <f t="shared" si="9"/>
        <v>0</v>
      </c>
      <c r="H45" s="2145">
        <f>IF(K44&lt;0.01,0,IF(Adm!$GS$4=Adm!$GS$8,0,IF(Adm!$GS$12="Pagados por el Banco",0,K44*Adm!$GV$4)))</f>
        <v>0</v>
      </c>
      <c r="I45" s="2145">
        <f>IF(K44&lt;0.01,0,E45*Adm!$O$8)</f>
        <v>0</v>
      </c>
      <c r="J45" s="2145">
        <f t="shared" si="4"/>
        <v>0</v>
      </c>
      <c r="K45" s="2145">
        <f t="shared" si="5"/>
        <v>0</v>
      </c>
      <c r="L45" s="2146"/>
      <c r="V45" s="1352">
        <f t="shared" si="7"/>
        <v>6</v>
      </c>
      <c r="W45" s="1433">
        <f>IF(V45=1,Cal!$BP$127,0)</f>
        <v>0</v>
      </c>
      <c r="X45" s="1528"/>
      <c r="Z45" s="1153"/>
      <c r="AC45" s="1370">
        <f t="shared" si="10"/>
        <v>0</v>
      </c>
      <c r="AD45" s="1373">
        <f t="shared" si="11"/>
        <v>0</v>
      </c>
      <c r="AE45" s="1371">
        <f t="shared" si="12"/>
        <v>0</v>
      </c>
      <c r="AF45" s="1359">
        <f>HLOOKUP($AF$11,anticipafreeliq,31,0)</f>
        <v>0</v>
      </c>
      <c r="AH45" s="1360">
        <f>Free!AK100</f>
        <v>0</v>
      </c>
    </row>
    <row r="46" spans="1:34">
      <c r="A46" s="1118">
        <f t="shared" ca="1" si="0"/>
        <v>10</v>
      </c>
      <c r="B46" s="1101">
        <f t="shared" si="1"/>
        <v>0</v>
      </c>
      <c r="C46" s="2149">
        <f t="shared" si="2"/>
        <v>0</v>
      </c>
      <c r="D46" s="2150">
        <f t="shared" si="6"/>
        <v>0</v>
      </c>
      <c r="E46" s="2145">
        <f t="shared" si="8"/>
        <v>0</v>
      </c>
      <c r="F46" s="2145">
        <f t="shared" si="3"/>
        <v>0</v>
      </c>
      <c r="G46" s="2145">
        <f t="shared" si="9"/>
        <v>0</v>
      </c>
      <c r="H46" s="2145">
        <f>IF(K45&lt;0.01,0,IF(Adm!$GS$4=Adm!$GS$8,0,IF(Adm!$GS$12="Pagados por el Banco",0,K45*Adm!$GV$4)))</f>
        <v>0</v>
      </c>
      <c r="I46" s="2145">
        <f>IF(K45&lt;0.01,0,E46*Adm!$O$8)</f>
        <v>0</v>
      </c>
      <c r="J46" s="2145">
        <f t="shared" si="4"/>
        <v>0</v>
      </c>
      <c r="K46" s="2145">
        <f t="shared" si="5"/>
        <v>0</v>
      </c>
      <c r="L46" s="2146"/>
      <c r="V46" s="1352">
        <f t="shared" si="7"/>
        <v>7</v>
      </c>
      <c r="W46" s="1433">
        <f>IF(V46=1,Cal!$BP$127,0)</f>
        <v>0</v>
      </c>
      <c r="X46" s="1528"/>
      <c r="Z46" s="1153"/>
      <c r="AC46" s="1370">
        <f t="shared" si="10"/>
        <v>0</v>
      </c>
      <c r="AD46" s="1373">
        <f t="shared" si="11"/>
        <v>0</v>
      </c>
      <c r="AE46" s="1371">
        <f t="shared" si="12"/>
        <v>0</v>
      </c>
      <c r="AF46" s="1359">
        <f>HLOOKUP($AF$11,anticipafreeliq,32,0)</f>
        <v>0</v>
      </c>
      <c r="AH46" s="1360">
        <f>Free!AK101</f>
        <v>0</v>
      </c>
    </row>
    <row r="47" spans="1:34">
      <c r="A47" s="1118">
        <f t="shared" ca="1" si="0"/>
        <v>11</v>
      </c>
      <c r="B47" s="1101">
        <f t="shared" si="1"/>
        <v>0</v>
      </c>
      <c r="C47" s="2149">
        <f t="shared" si="2"/>
        <v>0</v>
      </c>
      <c r="D47" s="2150">
        <f t="shared" si="6"/>
        <v>0</v>
      </c>
      <c r="E47" s="2145">
        <f t="shared" si="8"/>
        <v>0</v>
      </c>
      <c r="F47" s="2145">
        <f t="shared" si="3"/>
        <v>0</v>
      </c>
      <c r="G47" s="2145">
        <f t="shared" si="9"/>
        <v>0</v>
      </c>
      <c r="H47" s="2145">
        <f>IF(K46&lt;0.01,0,IF(Adm!$GS$4=Adm!$GS$8,0,IF(Adm!$GS$12="Pagados por el Banco",0,K46*Adm!$GV$4)))</f>
        <v>0</v>
      </c>
      <c r="I47" s="2145">
        <f>IF(K46&lt;0.01,0,E47*Adm!$O$8)</f>
        <v>0</v>
      </c>
      <c r="J47" s="2145">
        <f t="shared" si="4"/>
        <v>0</v>
      </c>
      <c r="K47" s="2145">
        <f t="shared" si="5"/>
        <v>0</v>
      </c>
      <c r="L47" s="2146"/>
      <c r="V47" s="1352">
        <f t="shared" si="7"/>
        <v>8</v>
      </c>
      <c r="W47" s="1433">
        <f>IF(V47=1,Cal!$BP$127,0)</f>
        <v>0</v>
      </c>
      <c r="X47" s="1528"/>
      <c r="Z47" s="1153"/>
      <c r="AC47" s="1370">
        <f t="shared" si="10"/>
        <v>0</v>
      </c>
      <c r="AD47" s="1373">
        <f t="shared" si="11"/>
        <v>0</v>
      </c>
      <c r="AE47" s="1371">
        <f t="shared" si="12"/>
        <v>0</v>
      </c>
      <c r="AF47" s="1359">
        <f>HLOOKUP($AF$11,anticipafreeliq,33,0)</f>
        <v>0</v>
      </c>
      <c r="AH47" s="1360">
        <f>Free!AK102</f>
        <v>0</v>
      </c>
    </row>
    <row r="48" spans="1:34">
      <c r="A48" s="1118">
        <f t="shared" ca="1" si="0"/>
        <v>12</v>
      </c>
      <c r="B48" s="1101">
        <f t="shared" si="1"/>
        <v>0</v>
      </c>
      <c r="C48" s="2149">
        <f t="shared" si="2"/>
        <v>0</v>
      </c>
      <c r="D48" s="2150">
        <f t="shared" si="6"/>
        <v>0</v>
      </c>
      <c r="E48" s="2145">
        <f t="shared" si="8"/>
        <v>0</v>
      </c>
      <c r="F48" s="2145">
        <f t="shared" si="3"/>
        <v>0</v>
      </c>
      <c r="G48" s="2145">
        <f t="shared" si="9"/>
        <v>0</v>
      </c>
      <c r="H48" s="2145">
        <f>IF(K47&lt;0.01,0,IF(Adm!$GS$4=Adm!$GS$8,0,IF(Adm!$GS$12="Pagados por el Banco",0,K47*Adm!$GV$4)))</f>
        <v>0</v>
      </c>
      <c r="I48" s="2145">
        <f>IF(K47&lt;0.01,0,E48*Adm!$O$8)</f>
        <v>0</v>
      </c>
      <c r="J48" s="2145">
        <f t="shared" si="4"/>
        <v>0</v>
      </c>
      <c r="K48" s="2145">
        <f t="shared" si="5"/>
        <v>0</v>
      </c>
      <c r="L48" s="2146"/>
      <c r="V48" s="1352">
        <f t="shared" si="7"/>
        <v>9</v>
      </c>
      <c r="W48" s="1433">
        <f>IF(V48=1,Cal!$BP$127,0)</f>
        <v>0</v>
      </c>
      <c r="X48" s="1528"/>
      <c r="Z48" s="1153"/>
      <c r="AC48" s="1370">
        <f t="shared" si="10"/>
        <v>0</v>
      </c>
      <c r="AD48" s="1373">
        <f t="shared" si="11"/>
        <v>0</v>
      </c>
      <c r="AE48" s="1371">
        <f t="shared" si="12"/>
        <v>0</v>
      </c>
      <c r="AF48" s="1359">
        <f>HLOOKUP($AF$11,anticipafreeliq,34,0)</f>
        <v>0</v>
      </c>
      <c r="AH48" s="1360">
        <f>Free!AK103</f>
        <v>0</v>
      </c>
    </row>
    <row r="49" spans="1:34">
      <c r="A49" s="1118">
        <f t="shared" ca="1" si="0"/>
        <v>1</v>
      </c>
      <c r="B49" s="1101">
        <f t="shared" si="1"/>
        <v>0</v>
      </c>
      <c r="C49" s="2149">
        <f t="shared" si="2"/>
        <v>0</v>
      </c>
      <c r="D49" s="2150">
        <f t="shared" si="6"/>
        <v>0</v>
      </c>
      <c r="E49" s="2145">
        <f t="shared" si="8"/>
        <v>0</v>
      </c>
      <c r="F49" s="2145">
        <f t="shared" si="3"/>
        <v>0</v>
      </c>
      <c r="G49" s="2145">
        <f t="shared" si="9"/>
        <v>0</v>
      </c>
      <c r="H49" s="2145">
        <f>IF(K48&lt;0.01,0,IF(Adm!$GS$4=Adm!$GS$8,0,IF(Adm!$GS$12="Pagados por el Banco",0,K48*Adm!$GV$4)))</f>
        <v>0</v>
      </c>
      <c r="I49" s="2145">
        <f>IF(K48&lt;0.01,0,E49*Adm!$O$8)</f>
        <v>0</v>
      </c>
      <c r="J49" s="2145">
        <f t="shared" si="4"/>
        <v>0</v>
      </c>
      <c r="K49" s="2145">
        <f t="shared" si="5"/>
        <v>0</v>
      </c>
      <c r="L49" s="2146"/>
      <c r="V49" s="1352">
        <f t="shared" si="7"/>
        <v>10</v>
      </c>
      <c r="W49" s="1433">
        <f>IF(V49=1,Cal!$BP$127,0)</f>
        <v>0</v>
      </c>
      <c r="X49" s="1528"/>
      <c r="Z49" s="1153"/>
      <c r="AC49" s="1370">
        <f t="shared" si="10"/>
        <v>0</v>
      </c>
      <c r="AD49" s="1373">
        <f t="shared" si="11"/>
        <v>0</v>
      </c>
      <c r="AE49" s="1371">
        <f t="shared" si="12"/>
        <v>0</v>
      </c>
      <c r="AF49" s="1359">
        <f>HLOOKUP($AF$11,anticipafreeliq,35,0)</f>
        <v>0</v>
      </c>
      <c r="AH49" s="1360">
        <f>Free!AK104</f>
        <v>0</v>
      </c>
    </row>
    <row r="50" spans="1:34">
      <c r="A50" s="1118">
        <f t="shared" ca="1" si="0"/>
        <v>2</v>
      </c>
      <c r="B50" s="1101">
        <f t="shared" si="1"/>
        <v>0</v>
      </c>
      <c r="C50" s="2149">
        <f t="shared" si="2"/>
        <v>0</v>
      </c>
      <c r="D50" s="2150">
        <f t="shared" si="6"/>
        <v>0</v>
      </c>
      <c r="E50" s="2145">
        <f t="shared" si="8"/>
        <v>0</v>
      </c>
      <c r="F50" s="2145">
        <f t="shared" si="3"/>
        <v>0</v>
      </c>
      <c r="G50" s="2145">
        <f t="shared" si="9"/>
        <v>0</v>
      </c>
      <c r="H50" s="2145">
        <f>IF(K49&lt;0.01,0,IF(Adm!$GS$4=Adm!$GS$8,0,IF(Adm!$GS$12="Pagados por el Banco",0,K49*Adm!$GV$4)))</f>
        <v>0</v>
      </c>
      <c r="I50" s="2145">
        <f>IF(K49&lt;0.01,0,E50*Adm!$O$8)</f>
        <v>0</v>
      </c>
      <c r="J50" s="2145">
        <f t="shared" si="4"/>
        <v>0</v>
      </c>
      <c r="K50" s="2145">
        <f t="shared" si="5"/>
        <v>0</v>
      </c>
      <c r="L50" s="2146"/>
      <c r="V50" s="1352">
        <f t="shared" si="7"/>
        <v>11</v>
      </c>
      <c r="W50" s="1433">
        <f>IF(V50=1,Cal!$BP$127,0)</f>
        <v>0</v>
      </c>
      <c r="X50" s="1528"/>
      <c r="Z50" s="1153"/>
      <c r="AC50" s="1370">
        <f t="shared" si="10"/>
        <v>0</v>
      </c>
      <c r="AD50" s="1373">
        <f t="shared" si="11"/>
        <v>0</v>
      </c>
      <c r="AE50" s="1371">
        <f t="shared" si="12"/>
        <v>0</v>
      </c>
      <c r="AF50" s="1359">
        <f>HLOOKUP($AF$11,anticipafreeliq,36,0)</f>
        <v>0</v>
      </c>
      <c r="AH50" s="1360">
        <f>Free!AK105</f>
        <v>0</v>
      </c>
    </row>
    <row r="51" spans="1:34">
      <c r="A51" s="1118">
        <f t="shared" ca="1" si="0"/>
        <v>3</v>
      </c>
      <c r="B51" s="1101">
        <f t="shared" si="1"/>
        <v>0</v>
      </c>
      <c r="C51" s="2149">
        <f t="shared" si="2"/>
        <v>0</v>
      </c>
      <c r="D51" s="2150">
        <f t="shared" si="6"/>
        <v>0</v>
      </c>
      <c r="E51" s="2145">
        <f t="shared" si="8"/>
        <v>0</v>
      </c>
      <c r="F51" s="2145">
        <f t="shared" si="3"/>
        <v>0</v>
      </c>
      <c r="G51" s="2145">
        <f t="shared" si="9"/>
        <v>0</v>
      </c>
      <c r="H51" s="2145">
        <f>IF(K50&lt;0.01,0,IF(Adm!$GS$4=Adm!$GS$8,0,IF(Adm!$GS$12="Pagados por el Banco",0,K50*Adm!$GV$4)))</f>
        <v>0</v>
      </c>
      <c r="I51" s="2145">
        <f>IF(K50&lt;0.01,0,E51*Adm!$O$8)</f>
        <v>0</v>
      </c>
      <c r="J51" s="2145">
        <f t="shared" si="4"/>
        <v>0</v>
      </c>
      <c r="K51" s="2145">
        <f t="shared" si="5"/>
        <v>0</v>
      </c>
      <c r="L51" s="2146"/>
      <c r="V51" s="1352">
        <f t="shared" si="7"/>
        <v>12</v>
      </c>
      <c r="W51" s="1433">
        <f>IF(V51=1,Cal!$BP$127,0)</f>
        <v>0</v>
      </c>
      <c r="X51" s="1528"/>
      <c r="Z51" s="1153"/>
      <c r="AC51" s="1370">
        <f t="shared" si="10"/>
        <v>0</v>
      </c>
      <c r="AD51" s="1373">
        <f t="shared" si="11"/>
        <v>0</v>
      </c>
      <c r="AE51" s="1371">
        <f t="shared" si="12"/>
        <v>0</v>
      </c>
      <c r="AF51" s="1359">
        <f>HLOOKUP($AF$11,anticipafreeliq,37,0)</f>
        <v>0</v>
      </c>
      <c r="AH51" s="1360">
        <f>Free!AK106</f>
        <v>0</v>
      </c>
    </row>
    <row r="52" spans="1:34">
      <c r="A52" s="1118">
        <f t="shared" ca="1" si="0"/>
        <v>4</v>
      </c>
      <c r="B52" s="1101">
        <f t="shared" si="1"/>
        <v>0</v>
      </c>
      <c r="C52" s="2149">
        <f t="shared" si="2"/>
        <v>0</v>
      </c>
      <c r="D52" s="2154">
        <f t="shared" ref="D52:D115" si="13">IF(K51&lt;0.01,0,IF(D51=$X$10,D51,IF(D51-X52&lt;=$X$10,D51-X52,D51-X52)))</f>
        <v>0</v>
      </c>
      <c r="E52" s="2145">
        <f t="shared" si="8"/>
        <v>0</v>
      </c>
      <c r="F52" s="2145">
        <f t="shared" si="3"/>
        <v>0</v>
      </c>
      <c r="G52" s="2145">
        <f t="shared" si="9"/>
        <v>0</v>
      </c>
      <c r="H52" s="2145">
        <f>IF(K51&lt;0.01,0,IF(Adm!$GS$4=Adm!$GS$8,0,IF(Adm!$GS$12="Pagados por el Banco",0,K51*Adm!$GV$4)))</f>
        <v>0</v>
      </c>
      <c r="I52" s="2145">
        <f>IF(K51&lt;0.01,0,E52*Adm!$O$8)</f>
        <v>0</v>
      </c>
      <c r="J52" s="2145">
        <f t="shared" si="4"/>
        <v>0</v>
      </c>
      <c r="K52" s="2145">
        <f t="shared" si="5"/>
        <v>0</v>
      </c>
      <c r="L52" s="2146"/>
      <c r="V52" s="1352">
        <f t="shared" si="7"/>
        <v>1</v>
      </c>
      <c r="W52" s="1433">
        <f>IF(V52=1,Cal!$BP$127,0)</f>
        <v>0</v>
      </c>
      <c r="X52" s="1367">
        <f>IF(V52=1,Adm!$HI$4,0)</f>
        <v>2.5000000000000001E-3</v>
      </c>
      <c r="Z52" s="1153"/>
      <c r="AC52" s="1370">
        <f t="shared" si="10"/>
        <v>0</v>
      </c>
      <c r="AD52" s="1373">
        <f t="shared" si="11"/>
        <v>0</v>
      </c>
      <c r="AE52" s="1371">
        <f t="shared" si="12"/>
        <v>0</v>
      </c>
      <c r="AF52" s="1359">
        <f>HLOOKUP($AF$11,anticipafreeliq,38,0)</f>
        <v>-2.1122638888888888E-4</v>
      </c>
      <c r="AH52" s="1360">
        <f>Free!AK107</f>
        <v>-2.1122638888888888E-4</v>
      </c>
    </row>
    <row r="53" spans="1:34">
      <c r="A53" s="1118">
        <f t="shared" ca="1" si="0"/>
        <v>5</v>
      </c>
      <c r="B53" s="1101">
        <f t="shared" si="1"/>
        <v>0</v>
      </c>
      <c r="C53" s="2149">
        <f t="shared" si="2"/>
        <v>0</v>
      </c>
      <c r="D53" s="2150">
        <f t="shared" si="13"/>
        <v>0</v>
      </c>
      <c r="E53" s="2145">
        <f t="shared" si="8"/>
        <v>0</v>
      </c>
      <c r="F53" s="2145">
        <f t="shared" si="3"/>
        <v>0</v>
      </c>
      <c r="G53" s="2145">
        <f t="shared" si="9"/>
        <v>0</v>
      </c>
      <c r="H53" s="2145">
        <f>IF(K52&lt;0.01,0,IF(Adm!$GS$4=Adm!$GS$8,0,IF(Adm!$GS$12="Pagados por el Banco",0,K52*Adm!$GV$4)))</f>
        <v>0</v>
      </c>
      <c r="I53" s="2145">
        <f>IF(K52&lt;0.01,0,E53*Adm!$O$8)</f>
        <v>0</v>
      </c>
      <c r="J53" s="2145">
        <f t="shared" si="4"/>
        <v>0</v>
      </c>
      <c r="K53" s="2145">
        <f t="shared" si="5"/>
        <v>0</v>
      </c>
      <c r="L53" s="2146"/>
      <c r="V53" s="1352">
        <f t="shared" si="7"/>
        <v>2</v>
      </c>
      <c r="W53" s="1433">
        <f>IF(V53=1,Cal!$BP$127,0)</f>
        <v>0</v>
      </c>
      <c r="X53" s="1367">
        <f>IF(V53=1,Adm!$HI$4,0)</f>
        <v>0</v>
      </c>
      <c r="Z53" s="1153"/>
      <c r="AC53" s="1370">
        <f t="shared" si="10"/>
        <v>0</v>
      </c>
      <c r="AD53" s="1373">
        <f t="shared" si="11"/>
        <v>0</v>
      </c>
      <c r="AE53" s="1371">
        <f t="shared" si="12"/>
        <v>0</v>
      </c>
      <c r="AF53" s="1359">
        <f>HLOOKUP($AF$11,anticipafreeliq,39,0)</f>
        <v>-2.1122638888888891E-4</v>
      </c>
      <c r="AH53" s="1360">
        <f>Free!AK108</f>
        <v>-2.1122638888888891E-4</v>
      </c>
    </row>
    <row r="54" spans="1:34">
      <c r="A54" s="1118">
        <f t="shared" ca="1" si="0"/>
        <v>6</v>
      </c>
      <c r="B54" s="1101">
        <f t="shared" si="1"/>
        <v>0</v>
      </c>
      <c r="C54" s="2149">
        <f t="shared" si="2"/>
        <v>0</v>
      </c>
      <c r="D54" s="2150">
        <f t="shared" si="13"/>
        <v>0</v>
      </c>
      <c r="E54" s="2145">
        <f t="shared" si="8"/>
        <v>0</v>
      </c>
      <c r="F54" s="2145">
        <f t="shared" si="3"/>
        <v>0</v>
      </c>
      <c r="G54" s="2145">
        <f t="shared" si="9"/>
        <v>0</v>
      </c>
      <c r="H54" s="2145">
        <f>IF(K53&lt;0.01,0,IF(Adm!$GS$4=Adm!$GS$8,0,IF(Adm!$GS$12="Pagados por el Banco",0,K53*Adm!$GV$4)))</f>
        <v>0</v>
      </c>
      <c r="I54" s="2145">
        <f>IF(K53&lt;0.01,0,E54*Adm!$O$8)</f>
        <v>0</v>
      </c>
      <c r="J54" s="2145">
        <f t="shared" si="4"/>
        <v>0</v>
      </c>
      <c r="K54" s="2145">
        <f t="shared" si="5"/>
        <v>0</v>
      </c>
      <c r="L54" s="2146"/>
      <c r="V54" s="1352">
        <f t="shared" si="7"/>
        <v>3</v>
      </c>
      <c r="W54" s="1433">
        <f>IF(V54=1,Cal!$BP$127,0)</f>
        <v>0</v>
      </c>
      <c r="X54" s="1367">
        <f>IF(V54=1,Adm!$HI$4,0)</f>
        <v>0</v>
      </c>
      <c r="Z54" s="1153"/>
      <c r="AC54" s="1370">
        <f t="shared" si="10"/>
        <v>0</v>
      </c>
      <c r="AD54" s="1373">
        <f t="shared" si="11"/>
        <v>0</v>
      </c>
      <c r="AE54" s="1371">
        <f t="shared" si="12"/>
        <v>0</v>
      </c>
      <c r="AF54" s="1359">
        <f>HLOOKUP($AF$11,anticipafreeliq,40,0)</f>
        <v>-2.1122638888888891E-4</v>
      </c>
      <c r="AH54" s="1360">
        <f>Free!AK109</f>
        <v>-2.1122638888888891E-4</v>
      </c>
    </row>
    <row r="55" spans="1:34">
      <c r="A55" s="1118">
        <f t="shared" ca="1" si="0"/>
        <v>7</v>
      </c>
      <c r="B55" s="1101">
        <f t="shared" si="1"/>
        <v>0</v>
      </c>
      <c r="C55" s="2149">
        <f t="shared" si="2"/>
        <v>0</v>
      </c>
      <c r="D55" s="2150">
        <f t="shared" si="13"/>
        <v>0</v>
      </c>
      <c r="E55" s="2145">
        <f t="shared" si="8"/>
        <v>0</v>
      </c>
      <c r="F55" s="2145">
        <f t="shared" si="3"/>
        <v>0</v>
      </c>
      <c r="G55" s="2145">
        <f t="shared" si="9"/>
        <v>0</v>
      </c>
      <c r="H55" s="2145">
        <f>IF(K54&lt;0.01,0,IF(Adm!$GS$4=Adm!$GS$8,0,IF(Adm!$GS$12="Pagados por el Banco",0,K54*Adm!$GV$4)))</f>
        <v>0</v>
      </c>
      <c r="I55" s="2145">
        <f>IF(K54&lt;0.01,0,E55*Adm!$O$8)</f>
        <v>0</v>
      </c>
      <c r="J55" s="2145">
        <f t="shared" si="4"/>
        <v>0</v>
      </c>
      <c r="K55" s="2145">
        <f t="shared" si="5"/>
        <v>0</v>
      </c>
      <c r="L55" s="2146"/>
      <c r="V55" s="1352">
        <f t="shared" si="7"/>
        <v>4</v>
      </c>
      <c r="W55" s="1433">
        <f>IF(V55=1,Cal!$BP$127,0)</f>
        <v>0</v>
      </c>
      <c r="X55" s="1367">
        <f>IF(V55=1,Adm!$HI$4,0)</f>
        <v>0</v>
      </c>
      <c r="Z55" s="1153"/>
      <c r="AC55" s="1370">
        <f t="shared" si="10"/>
        <v>0</v>
      </c>
      <c r="AD55" s="1373">
        <f t="shared" si="11"/>
        <v>0</v>
      </c>
      <c r="AE55" s="1371">
        <f t="shared" si="12"/>
        <v>0</v>
      </c>
      <c r="AF55" s="1359">
        <f>HLOOKUP($AF$11,anticipafreeliq,41,0)</f>
        <v>-2.1122638888888891E-4</v>
      </c>
      <c r="AH55" s="1360">
        <f>Free!AK110</f>
        <v>-2.1122638888888891E-4</v>
      </c>
    </row>
    <row r="56" spans="1:34">
      <c r="A56" s="1118">
        <f t="shared" ca="1" si="0"/>
        <v>8</v>
      </c>
      <c r="B56" s="1101">
        <f t="shared" si="1"/>
        <v>0</v>
      </c>
      <c r="C56" s="2149">
        <f t="shared" si="2"/>
        <v>0</v>
      </c>
      <c r="D56" s="2150">
        <f t="shared" si="13"/>
        <v>0</v>
      </c>
      <c r="E56" s="2145">
        <f t="shared" si="8"/>
        <v>0</v>
      </c>
      <c r="F56" s="2145">
        <f t="shared" si="3"/>
        <v>0</v>
      </c>
      <c r="G56" s="2145">
        <f t="shared" si="9"/>
        <v>0</v>
      </c>
      <c r="H56" s="2145">
        <f>IF(K55&lt;0.01,0,IF(Adm!$GS$4=Adm!$GS$8,0,IF(Adm!$GS$12="Pagados por el Banco",0,K55*Adm!$GV$4)))</f>
        <v>0</v>
      </c>
      <c r="I56" s="2145">
        <f>IF(K55&lt;0.01,0,E56*Adm!$O$8)</f>
        <v>0</v>
      </c>
      <c r="J56" s="2145">
        <f t="shared" si="4"/>
        <v>0</v>
      </c>
      <c r="K56" s="2145">
        <f t="shared" si="5"/>
        <v>0</v>
      </c>
      <c r="L56" s="2146"/>
      <c r="V56" s="1352">
        <f t="shared" si="7"/>
        <v>5</v>
      </c>
      <c r="W56" s="1433">
        <f>IF(V56=1,Cal!$BP$127,0)</f>
        <v>0</v>
      </c>
      <c r="X56" s="1367">
        <f>IF(V56=1,Adm!$HI$4,0)</f>
        <v>0</v>
      </c>
      <c r="Z56" s="1153"/>
      <c r="AC56" s="1370">
        <f t="shared" si="10"/>
        <v>0</v>
      </c>
      <c r="AD56" s="1373">
        <f t="shared" si="11"/>
        <v>0</v>
      </c>
      <c r="AE56" s="1371">
        <f t="shared" si="12"/>
        <v>0</v>
      </c>
      <c r="AF56" s="1359">
        <f>HLOOKUP($AF$11,anticipafreeliq,42,0)</f>
        <v>-2.1122638888888891E-4</v>
      </c>
      <c r="AH56" s="1360">
        <f>Free!AK111</f>
        <v>-2.1122638888888891E-4</v>
      </c>
    </row>
    <row r="57" spans="1:34">
      <c r="A57" s="1118">
        <f t="shared" ca="1" si="0"/>
        <v>9</v>
      </c>
      <c r="B57" s="1101">
        <f t="shared" si="1"/>
        <v>0</v>
      </c>
      <c r="C57" s="2149">
        <f t="shared" si="2"/>
        <v>0</v>
      </c>
      <c r="D57" s="2150">
        <f t="shared" si="13"/>
        <v>0</v>
      </c>
      <c r="E57" s="2145">
        <f t="shared" si="8"/>
        <v>0</v>
      </c>
      <c r="F57" s="2145">
        <f t="shared" si="3"/>
        <v>0</v>
      </c>
      <c r="G57" s="2145">
        <f t="shared" si="9"/>
        <v>0</v>
      </c>
      <c r="H57" s="2145">
        <f>IF(K56&lt;0.01,0,IF(Adm!$GS$4=Adm!$GS$8,0,IF(Adm!$GS$12="Pagados por el Banco",0,K56*Adm!$GV$4)))</f>
        <v>0</v>
      </c>
      <c r="I57" s="2145">
        <f>IF(K56&lt;0.01,0,E57*Adm!$O$8)</f>
        <v>0</v>
      </c>
      <c r="J57" s="2145">
        <f t="shared" si="4"/>
        <v>0</v>
      </c>
      <c r="K57" s="2145">
        <f t="shared" si="5"/>
        <v>0</v>
      </c>
      <c r="L57" s="2146"/>
      <c r="V57" s="1352">
        <f t="shared" si="7"/>
        <v>6</v>
      </c>
      <c r="W57" s="1433">
        <f>IF(V57=1,Cal!$BP$127,0)</f>
        <v>0</v>
      </c>
      <c r="X57" s="1367">
        <f>IF(V57=1,Adm!$HI$4,0)</f>
        <v>0</v>
      </c>
      <c r="Z57" s="1153"/>
      <c r="AC57" s="1370">
        <f t="shared" si="10"/>
        <v>0</v>
      </c>
      <c r="AD57" s="1373">
        <f t="shared" si="11"/>
        <v>0</v>
      </c>
      <c r="AE57" s="1371">
        <f t="shared" si="12"/>
        <v>0</v>
      </c>
      <c r="AF57" s="1359">
        <f>HLOOKUP($AF$11,anticipafreeliq,43,0)</f>
        <v>-2.1122638888888891E-4</v>
      </c>
      <c r="AH57" s="1360">
        <f>Free!AK112</f>
        <v>-2.1122638888888891E-4</v>
      </c>
    </row>
    <row r="58" spans="1:34">
      <c r="A58" s="1118">
        <f t="shared" ca="1" si="0"/>
        <v>10</v>
      </c>
      <c r="B58" s="1101">
        <f t="shared" si="1"/>
        <v>0</v>
      </c>
      <c r="C58" s="2149">
        <f t="shared" si="2"/>
        <v>0</v>
      </c>
      <c r="D58" s="2150">
        <f t="shared" si="13"/>
        <v>0</v>
      </c>
      <c r="E58" s="2145">
        <f t="shared" si="8"/>
        <v>0</v>
      </c>
      <c r="F58" s="2145">
        <f t="shared" si="3"/>
        <v>0</v>
      </c>
      <c r="G58" s="2145">
        <f t="shared" si="9"/>
        <v>0</v>
      </c>
      <c r="H58" s="2145">
        <f>IF(K57&lt;0.01,0,IF(Adm!$GS$4=Adm!$GS$8,0,IF(Adm!$GS$12="Pagados por el Banco",0,K57*Adm!$GV$4)))</f>
        <v>0</v>
      </c>
      <c r="I58" s="2145">
        <f>IF(K57&lt;0.01,0,E58*Adm!$O$8)</f>
        <v>0</v>
      </c>
      <c r="J58" s="2145">
        <f t="shared" si="4"/>
        <v>0</v>
      </c>
      <c r="K58" s="2145">
        <f t="shared" si="5"/>
        <v>0</v>
      </c>
      <c r="L58" s="2146"/>
      <c r="V58" s="1352">
        <f t="shared" si="7"/>
        <v>7</v>
      </c>
      <c r="W58" s="1433">
        <f>IF(V58=1,Cal!$BP$127,0)</f>
        <v>0</v>
      </c>
      <c r="X58" s="1367">
        <f>IF(V58=1,Adm!$HI$4,0)</f>
        <v>0</v>
      </c>
      <c r="Z58" s="1153"/>
      <c r="AC58" s="1370">
        <f t="shared" si="10"/>
        <v>0</v>
      </c>
      <c r="AD58" s="1373">
        <f t="shared" si="11"/>
        <v>0</v>
      </c>
      <c r="AE58" s="1371">
        <f t="shared" si="12"/>
        <v>0</v>
      </c>
      <c r="AF58" s="1359">
        <f>HLOOKUP($AF$11,anticipafreeliq,44,0)</f>
        <v>-2.1122638888888888E-4</v>
      </c>
      <c r="AH58" s="1360">
        <f>Free!AK113</f>
        <v>-2.1122638888888888E-4</v>
      </c>
    </row>
    <row r="59" spans="1:34">
      <c r="A59" s="1118">
        <f t="shared" ca="1" si="0"/>
        <v>11</v>
      </c>
      <c r="B59" s="1101">
        <f t="shared" si="1"/>
        <v>0</v>
      </c>
      <c r="C59" s="2149">
        <f t="shared" si="2"/>
        <v>0</v>
      </c>
      <c r="D59" s="2150">
        <f t="shared" si="13"/>
        <v>0</v>
      </c>
      <c r="E59" s="2145">
        <f t="shared" si="8"/>
        <v>0</v>
      </c>
      <c r="F59" s="2145">
        <f t="shared" si="3"/>
        <v>0</v>
      </c>
      <c r="G59" s="2145">
        <f t="shared" si="9"/>
        <v>0</v>
      </c>
      <c r="H59" s="2145">
        <f>IF(K58&lt;0.01,0,IF(Adm!$GS$4=Adm!$GS$8,0,IF(Adm!$GS$12="Pagados por el Banco",0,K58*Adm!$GV$4)))</f>
        <v>0</v>
      </c>
      <c r="I59" s="2145">
        <f>IF(K58&lt;0.01,0,E59*Adm!$O$8)</f>
        <v>0</v>
      </c>
      <c r="J59" s="2145">
        <f t="shared" si="4"/>
        <v>0</v>
      </c>
      <c r="K59" s="2145">
        <f t="shared" si="5"/>
        <v>0</v>
      </c>
      <c r="L59" s="2146"/>
      <c r="V59" s="1352">
        <f t="shared" si="7"/>
        <v>8</v>
      </c>
      <c r="W59" s="1433">
        <f>IF(V59=1,Cal!$BP$127,0)</f>
        <v>0</v>
      </c>
      <c r="X59" s="1367">
        <f>IF(V59=1,Adm!$HI$4,0)</f>
        <v>0</v>
      </c>
      <c r="Z59" s="1153"/>
      <c r="AC59" s="1370">
        <f t="shared" si="10"/>
        <v>0</v>
      </c>
      <c r="AD59" s="1373">
        <f t="shared" si="11"/>
        <v>0</v>
      </c>
      <c r="AE59" s="1371">
        <f t="shared" si="12"/>
        <v>0</v>
      </c>
      <c r="AF59" s="1359">
        <f>HLOOKUP($AF$11,anticipafreeliq,45,0)</f>
        <v>-2.1122638888888888E-4</v>
      </c>
      <c r="AH59" s="1360">
        <f>Free!AK114</f>
        <v>-2.1122638888888888E-4</v>
      </c>
    </row>
    <row r="60" spans="1:34">
      <c r="A60" s="1118">
        <f t="shared" ca="1" si="0"/>
        <v>12</v>
      </c>
      <c r="B60" s="1101">
        <f t="shared" si="1"/>
        <v>0</v>
      </c>
      <c r="C60" s="2149">
        <f t="shared" si="2"/>
        <v>0</v>
      </c>
      <c r="D60" s="2150">
        <f t="shared" si="13"/>
        <v>0</v>
      </c>
      <c r="E60" s="2145">
        <f t="shared" si="8"/>
        <v>0</v>
      </c>
      <c r="F60" s="2145">
        <f t="shared" si="3"/>
        <v>0</v>
      </c>
      <c r="G60" s="2145">
        <f t="shared" si="9"/>
        <v>0</v>
      </c>
      <c r="H60" s="2145">
        <f>IF(K59&lt;0.01,0,IF(Adm!$GS$4=Adm!$GS$8,0,IF(Adm!$GS$12="Pagados por el Banco",0,K59*Adm!$GV$4)))</f>
        <v>0</v>
      </c>
      <c r="I60" s="2145">
        <f>IF(K59&lt;0.01,0,E60*Adm!$O$8)</f>
        <v>0</v>
      </c>
      <c r="J60" s="2145">
        <f t="shared" si="4"/>
        <v>0</v>
      </c>
      <c r="K60" s="2145">
        <f t="shared" si="5"/>
        <v>0</v>
      </c>
      <c r="L60" s="2146"/>
      <c r="V60" s="1352">
        <f t="shared" si="7"/>
        <v>9</v>
      </c>
      <c r="W60" s="1433">
        <f>IF(V60=1,Cal!$BP$127,0)</f>
        <v>0</v>
      </c>
      <c r="X60" s="1367">
        <f>IF(V60=1,Adm!$HI$4,0)</f>
        <v>0</v>
      </c>
      <c r="Z60" s="1153"/>
      <c r="AC60" s="1370">
        <f t="shared" si="10"/>
        <v>0</v>
      </c>
      <c r="AD60" s="1373">
        <f t="shared" si="11"/>
        <v>0</v>
      </c>
      <c r="AE60" s="1371">
        <f t="shared" si="12"/>
        <v>0</v>
      </c>
      <c r="AF60" s="1359">
        <f>HLOOKUP($AF$11,anticipafreeliq,46,0)</f>
        <v>-2.1122638888888888E-4</v>
      </c>
      <c r="AH60" s="1360">
        <f>Free!AK115</f>
        <v>-2.1122638888888888E-4</v>
      </c>
    </row>
    <row r="61" spans="1:34">
      <c r="A61" s="1118">
        <f t="shared" ca="1" si="0"/>
        <v>1</v>
      </c>
      <c r="B61" s="1101">
        <f t="shared" si="1"/>
        <v>0</v>
      </c>
      <c r="C61" s="2149">
        <f t="shared" si="2"/>
        <v>0</v>
      </c>
      <c r="D61" s="2150">
        <f t="shared" si="13"/>
        <v>0</v>
      </c>
      <c r="E61" s="2145">
        <f t="shared" si="8"/>
        <v>0</v>
      </c>
      <c r="F61" s="2145">
        <f t="shared" si="3"/>
        <v>0</v>
      </c>
      <c r="G61" s="2145">
        <f t="shared" si="9"/>
        <v>0</v>
      </c>
      <c r="H61" s="2145">
        <f>IF(K60&lt;0.01,0,IF(Adm!$GS$4=Adm!$GS$8,0,IF(Adm!$GS$12="Pagados por el Banco",0,K60*Adm!$GV$4)))</f>
        <v>0</v>
      </c>
      <c r="I61" s="2145">
        <f>IF(K60&lt;0.01,0,E61*Adm!$O$8)</f>
        <v>0</v>
      </c>
      <c r="J61" s="2145">
        <f t="shared" si="4"/>
        <v>0</v>
      </c>
      <c r="K61" s="2145">
        <f t="shared" si="5"/>
        <v>0</v>
      </c>
      <c r="L61" s="2146"/>
      <c r="V61" s="1352">
        <f t="shared" si="7"/>
        <v>10</v>
      </c>
      <c r="W61" s="1433">
        <f>IF(V61=1,Cal!$BP$127,0)</f>
        <v>0</v>
      </c>
      <c r="X61" s="1367">
        <f>IF(V61=1,Adm!$HI$4,0)</f>
        <v>0</v>
      </c>
      <c r="Z61" s="1153"/>
      <c r="AC61" s="1370">
        <f t="shared" si="10"/>
        <v>0</v>
      </c>
      <c r="AD61" s="1373">
        <f t="shared" si="11"/>
        <v>0</v>
      </c>
      <c r="AE61" s="1371">
        <f t="shared" si="12"/>
        <v>0</v>
      </c>
      <c r="AF61" s="1359">
        <f>HLOOKUP($AF$11,anticipafreeliq,47,0)</f>
        <v>-2.1122638888888891E-4</v>
      </c>
      <c r="AH61" s="1360">
        <f>Free!AK116</f>
        <v>-2.1122638888888891E-4</v>
      </c>
    </row>
    <row r="62" spans="1:34">
      <c r="A62" s="1118">
        <f t="shared" ca="1" si="0"/>
        <v>2</v>
      </c>
      <c r="B62" s="1101">
        <f t="shared" si="1"/>
        <v>0</v>
      </c>
      <c r="C62" s="2149">
        <f t="shared" si="2"/>
        <v>0</v>
      </c>
      <c r="D62" s="2150">
        <f t="shared" si="13"/>
        <v>0</v>
      </c>
      <c r="E62" s="2145">
        <f t="shared" si="8"/>
        <v>0</v>
      </c>
      <c r="F62" s="2145">
        <f t="shared" si="3"/>
        <v>0</v>
      </c>
      <c r="G62" s="2145">
        <f t="shared" si="9"/>
        <v>0</v>
      </c>
      <c r="H62" s="2145">
        <f>IF(K61&lt;0.01,0,IF(Adm!$GS$4=Adm!$GS$8,0,IF(Adm!$GS$12="Pagados por el Banco",0,K61*Adm!$GV$4)))</f>
        <v>0</v>
      </c>
      <c r="I62" s="2145">
        <f>IF(K61&lt;0.01,0,E62*Adm!$O$8)</f>
        <v>0</v>
      </c>
      <c r="J62" s="2145">
        <f t="shared" si="4"/>
        <v>0</v>
      </c>
      <c r="K62" s="2145">
        <f t="shared" si="5"/>
        <v>0</v>
      </c>
      <c r="L62" s="2146"/>
      <c r="V62" s="1352">
        <f t="shared" si="7"/>
        <v>11</v>
      </c>
      <c r="W62" s="1433">
        <f>IF(V62=1,Cal!$BP$127,0)</f>
        <v>0</v>
      </c>
      <c r="X62" s="1367">
        <f>IF(V62=1,Adm!$HI$4,0)</f>
        <v>0</v>
      </c>
      <c r="Z62" s="1153"/>
      <c r="AC62" s="1370">
        <f t="shared" si="10"/>
        <v>0</v>
      </c>
      <c r="AD62" s="1373">
        <f t="shared" si="11"/>
        <v>0</v>
      </c>
      <c r="AE62" s="1371">
        <f t="shared" si="12"/>
        <v>0</v>
      </c>
      <c r="AF62" s="1359">
        <f>HLOOKUP($AF$11,anticipafreeliq,48,0)</f>
        <v>-2.1122638888888891E-4</v>
      </c>
      <c r="AH62" s="1360">
        <f>Free!AK117</f>
        <v>-2.1122638888888891E-4</v>
      </c>
    </row>
    <row r="63" spans="1:34">
      <c r="A63" s="1118">
        <f t="shared" ca="1" si="0"/>
        <v>3</v>
      </c>
      <c r="B63" s="1101">
        <f t="shared" si="1"/>
        <v>0</v>
      </c>
      <c r="C63" s="2149">
        <f t="shared" si="2"/>
        <v>0</v>
      </c>
      <c r="D63" s="2150">
        <f t="shared" si="13"/>
        <v>0</v>
      </c>
      <c r="E63" s="2145">
        <f t="shared" si="8"/>
        <v>0</v>
      </c>
      <c r="F63" s="2145">
        <f t="shared" si="3"/>
        <v>0</v>
      </c>
      <c r="G63" s="2145">
        <f t="shared" si="9"/>
        <v>0</v>
      </c>
      <c r="H63" s="2145">
        <f>IF(K62&lt;0.01,0,IF(Adm!$GS$4=Adm!$GS$8,0,IF(Adm!$GS$12="Pagados por el Banco",0,K62*Adm!$GV$4)))</f>
        <v>0</v>
      </c>
      <c r="I63" s="2145">
        <f>IF(K62&lt;0.01,0,E63*Adm!$O$8)</f>
        <v>0</v>
      </c>
      <c r="J63" s="2145">
        <f t="shared" si="4"/>
        <v>0</v>
      </c>
      <c r="K63" s="2145">
        <f t="shared" si="5"/>
        <v>0</v>
      </c>
      <c r="L63" s="2146"/>
      <c r="V63" s="1352">
        <f t="shared" si="7"/>
        <v>12</v>
      </c>
      <c r="W63" s="1433">
        <f>IF(V63=1,Cal!$BP$127,0)</f>
        <v>0</v>
      </c>
      <c r="X63" s="1367">
        <f>IF(V63=1,Adm!$HI$4,0)</f>
        <v>0</v>
      </c>
      <c r="Z63" s="1153"/>
      <c r="AC63" s="1370">
        <f t="shared" si="10"/>
        <v>0</v>
      </c>
      <c r="AD63" s="1373">
        <f t="shared" si="11"/>
        <v>0</v>
      </c>
      <c r="AE63" s="1371">
        <f t="shared" si="12"/>
        <v>0</v>
      </c>
      <c r="AF63" s="1359">
        <f>HLOOKUP($AF$11,anticipafreeliq,49,0)</f>
        <v>-2.1122638888888891E-4</v>
      </c>
      <c r="AH63" s="1360">
        <f>Free!AK118</f>
        <v>-2.1122638888888891E-4</v>
      </c>
    </row>
    <row r="64" spans="1:34">
      <c r="A64" s="1118">
        <f t="shared" ca="1" si="0"/>
        <v>4</v>
      </c>
      <c r="B64" s="1101">
        <f t="shared" si="1"/>
        <v>0</v>
      </c>
      <c r="C64" s="2149">
        <f t="shared" si="2"/>
        <v>0</v>
      </c>
      <c r="D64" s="2154">
        <f t="shared" si="13"/>
        <v>0</v>
      </c>
      <c r="E64" s="2145">
        <f t="shared" si="8"/>
        <v>0</v>
      </c>
      <c r="F64" s="2145">
        <f t="shared" si="3"/>
        <v>0</v>
      </c>
      <c r="G64" s="2145">
        <f t="shared" si="9"/>
        <v>0</v>
      </c>
      <c r="H64" s="2145">
        <f>IF(K63&lt;0.01,0,IF(Adm!$GS$4=Adm!$GS$8,0,IF(Adm!$GS$12="Pagados por el Banco",0,K63*Adm!$GV$4)))</f>
        <v>0</v>
      </c>
      <c r="I64" s="2145">
        <f>IF(K63&lt;0.01,0,E64*Adm!$O$8)</f>
        <v>0</v>
      </c>
      <c r="J64" s="2145">
        <f t="shared" si="4"/>
        <v>0</v>
      </c>
      <c r="K64" s="2145">
        <f t="shared" si="5"/>
        <v>0</v>
      </c>
      <c r="L64" s="2146"/>
      <c r="V64" s="1352">
        <f t="shared" si="7"/>
        <v>1</v>
      </c>
      <c r="W64" s="1433">
        <f>IF(V64=1,Cal!$BP$127,0)</f>
        <v>0</v>
      </c>
      <c r="X64" s="1367">
        <f>IF(V64=1,Adm!$HI$4,0)</f>
        <v>2.5000000000000001E-3</v>
      </c>
      <c r="Z64" s="1153"/>
      <c r="AC64" s="1370">
        <f t="shared" si="10"/>
        <v>0</v>
      </c>
      <c r="AD64" s="1373">
        <f t="shared" si="11"/>
        <v>0</v>
      </c>
      <c r="AE64" s="1371">
        <f t="shared" si="12"/>
        <v>0</v>
      </c>
      <c r="AF64" s="1359">
        <f>HLOOKUP($AF$11,anticipafreeliq,50,0)</f>
        <v>-4.224527777777777E-4</v>
      </c>
      <c r="AH64" s="1360">
        <f>Free!AK119</f>
        <v>-4.224527777777777E-4</v>
      </c>
    </row>
    <row r="65" spans="1:34">
      <c r="A65" s="1118">
        <f t="shared" ca="1" si="0"/>
        <v>5</v>
      </c>
      <c r="B65" s="1101">
        <f t="shared" si="1"/>
        <v>0</v>
      </c>
      <c r="C65" s="2149">
        <f t="shared" si="2"/>
        <v>0</v>
      </c>
      <c r="D65" s="2150">
        <f t="shared" si="13"/>
        <v>0</v>
      </c>
      <c r="E65" s="2145">
        <f t="shared" si="8"/>
        <v>0</v>
      </c>
      <c r="F65" s="2145">
        <f t="shared" si="3"/>
        <v>0</v>
      </c>
      <c r="G65" s="2145">
        <f t="shared" si="9"/>
        <v>0</v>
      </c>
      <c r="H65" s="2145">
        <f>IF(K64&lt;0.01,0,IF(Adm!$GS$4=Adm!$GS$8,0,IF(Adm!$GS$12="Pagados por el Banco",0,K64*Adm!$GV$4)))</f>
        <v>0</v>
      </c>
      <c r="I65" s="2145">
        <f>IF(K64&lt;0.01,0,E65*Adm!$O$8)</f>
        <v>0</v>
      </c>
      <c r="J65" s="2145">
        <f t="shared" si="4"/>
        <v>0</v>
      </c>
      <c r="K65" s="2145">
        <f t="shared" si="5"/>
        <v>0</v>
      </c>
      <c r="L65" s="2146"/>
      <c r="V65" s="1352">
        <f t="shared" si="7"/>
        <v>2</v>
      </c>
      <c r="W65" s="1433">
        <f>IF(V65=1,Cal!$BP$127,0)</f>
        <v>0</v>
      </c>
      <c r="X65" s="1367">
        <f>IF(V65=1,Adm!$HI$4,0)</f>
        <v>0</v>
      </c>
      <c r="Z65" s="1153"/>
      <c r="AC65" s="1370">
        <f t="shared" si="10"/>
        <v>0</v>
      </c>
      <c r="AD65" s="1373">
        <f t="shared" si="11"/>
        <v>0</v>
      </c>
      <c r="AE65" s="1371">
        <f t="shared" si="12"/>
        <v>0</v>
      </c>
      <c r="AF65" s="1359">
        <f>HLOOKUP($AF$11,anticipafreeliq,51,0)</f>
        <v>-4.2245277777777781E-4</v>
      </c>
      <c r="AH65" s="1360">
        <f>Free!AK120</f>
        <v>-4.2245277777777781E-4</v>
      </c>
    </row>
    <row r="66" spans="1:34">
      <c r="A66" s="1118">
        <f t="shared" ca="1" si="0"/>
        <v>6</v>
      </c>
      <c r="B66" s="1101">
        <f t="shared" si="1"/>
        <v>0</v>
      </c>
      <c r="C66" s="2149">
        <f t="shared" si="2"/>
        <v>0</v>
      </c>
      <c r="D66" s="2150">
        <f t="shared" si="13"/>
        <v>0</v>
      </c>
      <c r="E66" s="2145">
        <f t="shared" si="8"/>
        <v>0</v>
      </c>
      <c r="F66" s="2145">
        <f t="shared" si="3"/>
        <v>0</v>
      </c>
      <c r="G66" s="2145">
        <f t="shared" si="9"/>
        <v>0</v>
      </c>
      <c r="H66" s="2145">
        <f>IF(K65&lt;0.01,0,IF(Adm!$GS$4=Adm!$GS$8,0,IF(Adm!$GS$12="Pagados por el Banco",0,K65*Adm!$GV$4)))</f>
        <v>0</v>
      </c>
      <c r="I66" s="2145">
        <f>IF(K65&lt;0.01,0,E66*Adm!$O$8)</f>
        <v>0</v>
      </c>
      <c r="J66" s="2145">
        <f t="shared" si="4"/>
        <v>0</v>
      </c>
      <c r="K66" s="2145">
        <f t="shared" si="5"/>
        <v>0</v>
      </c>
      <c r="L66" s="2146"/>
      <c r="V66" s="1352">
        <f t="shared" si="7"/>
        <v>3</v>
      </c>
      <c r="W66" s="1433">
        <f>IF(V66=1,Cal!$BP$127,0)</f>
        <v>0</v>
      </c>
      <c r="X66" s="1367">
        <f>IF(V66=1,Adm!$HI$4,0)</f>
        <v>0</v>
      </c>
      <c r="Z66" s="1153"/>
      <c r="AC66" s="1370">
        <f t="shared" si="10"/>
        <v>0</v>
      </c>
      <c r="AD66" s="1373">
        <f t="shared" si="11"/>
        <v>0</v>
      </c>
      <c r="AE66" s="1371">
        <f t="shared" si="12"/>
        <v>0</v>
      </c>
      <c r="AF66" s="1359">
        <f>HLOOKUP($AF$11,anticipafreeliq,52,0)</f>
        <v>-4.224527777777777E-4</v>
      </c>
      <c r="AH66" s="1360">
        <f>Free!AK121</f>
        <v>-4.224527777777777E-4</v>
      </c>
    </row>
    <row r="67" spans="1:34">
      <c r="A67" s="1118">
        <f t="shared" ca="1" si="0"/>
        <v>7</v>
      </c>
      <c r="B67" s="1101">
        <f t="shared" si="1"/>
        <v>0</v>
      </c>
      <c r="C67" s="2149">
        <f t="shared" si="2"/>
        <v>0</v>
      </c>
      <c r="D67" s="2150">
        <f t="shared" si="13"/>
        <v>0</v>
      </c>
      <c r="E67" s="2145">
        <f t="shared" si="8"/>
        <v>0</v>
      </c>
      <c r="F67" s="2145">
        <f t="shared" si="3"/>
        <v>0</v>
      </c>
      <c r="G67" s="2145">
        <f t="shared" si="9"/>
        <v>0</v>
      </c>
      <c r="H67" s="2145">
        <f>IF(K66&lt;0.01,0,IF(Adm!$GS$4=Adm!$GS$8,0,IF(Adm!$GS$12="Pagados por el Banco",0,K66*Adm!$GV$4)))</f>
        <v>0</v>
      </c>
      <c r="I67" s="2145">
        <f>IF(K66&lt;0.01,0,E67*Adm!$O$8)</f>
        <v>0</v>
      </c>
      <c r="J67" s="2145">
        <f t="shared" si="4"/>
        <v>0</v>
      </c>
      <c r="K67" s="2145">
        <f t="shared" si="5"/>
        <v>0</v>
      </c>
      <c r="L67" s="2146"/>
      <c r="V67" s="1352">
        <f t="shared" si="7"/>
        <v>4</v>
      </c>
      <c r="W67" s="1433">
        <f>IF(V67=1,Cal!$BP$127,0)</f>
        <v>0</v>
      </c>
      <c r="X67" s="1367">
        <f>IF(V67=1,Adm!$HI$4,0)</f>
        <v>0</v>
      </c>
      <c r="Z67" s="1153"/>
      <c r="AC67" s="1370">
        <f t="shared" si="10"/>
        <v>0</v>
      </c>
      <c r="AD67" s="1373">
        <f t="shared" si="11"/>
        <v>0</v>
      </c>
      <c r="AE67" s="1371">
        <f t="shared" si="12"/>
        <v>0</v>
      </c>
      <c r="AF67" s="1359">
        <f>HLOOKUP($AF$11,anticipafreeliq,53,0)</f>
        <v>-4.2245277777777776E-4</v>
      </c>
      <c r="AH67" s="1360">
        <f>Free!AK122</f>
        <v>-4.2245277777777776E-4</v>
      </c>
    </row>
    <row r="68" spans="1:34">
      <c r="A68" s="1118">
        <f t="shared" ca="1" si="0"/>
        <v>8</v>
      </c>
      <c r="B68" s="1101">
        <f t="shared" si="1"/>
        <v>0</v>
      </c>
      <c r="C68" s="2149">
        <f t="shared" si="2"/>
        <v>0</v>
      </c>
      <c r="D68" s="2150">
        <f t="shared" si="13"/>
        <v>0</v>
      </c>
      <c r="E68" s="2145">
        <f t="shared" si="8"/>
        <v>0</v>
      </c>
      <c r="F68" s="2145">
        <f t="shared" si="3"/>
        <v>0</v>
      </c>
      <c r="G68" s="2145">
        <f t="shared" si="9"/>
        <v>0</v>
      </c>
      <c r="H68" s="2145">
        <f>IF(K67&lt;0.01,0,IF(Adm!$GS$4=Adm!$GS$8,0,IF(Adm!$GS$12="Pagados por el Banco",0,K67*Adm!$GV$4)))</f>
        <v>0</v>
      </c>
      <c r="I68" s="2145">
        <f>IF(K67&lt;0.01,0,E68*Adm!$O$8)</f>
        <v>0</v>
      </c>
      <c r="J68" s="2145">
        <f t="shared" si="4"/>
        <v>0</v>
      </c>
      <c r="K68" s="2145">
        <f t="shared" si="5"/>
        <v>0</v>
      </c>
      <c r="L68" s="2146"/>
      <c r="V68" s="1352">
        <f t="shared" si="7"/>
        <v>5</v>
      </c>
      <c r="W68" s="1433">
        <f>IF(V68=1,Cal!$BP$127,0)</f>
        <v>0</v>
      </c>
      <c r="X68" s="1367">
        <f>IF(V68=1,Adm!$HI$4,0)</f>
        <v>0</v>
      </c>
      <c r="Z68" s="1153"/>
      <c r="AC68" s="1370">
        <f t="shared" si="10"/>
        <v>0</v>
      </c>
      <c r="AD68" s="1373">
        <f t="shared" si="11"/>
        <v>0</v>
      </c>
      <c r="AE68" s="1371">
        <f t="shared" si="12"/>
        <v>0</v>
      </c>
      <c r="AF68" s="1359">
        <f>HLOOKUP($AF$11,anticipafreeliq,54,0)</f>
        <v>-4.2245277777777776E-4</v>
      </c>
      <c r="AH68" s="1360">
        <f>Free!AK123</f>
        <v>-4.2245277777777776E-4</v>
      </c>
    </row>
    <row r="69" spans="1:34">
      <c r="A69" s="1118">
        <f t="shared" ca="1" si="0"/>
        <v>9</v>
      </c>
      <c r="B69" s="1101">
        <f t="shared" si="1"/>
        <v>0</v>
      </c>
      <c r="C69" s="2149">
        <f t="shared" si="2"/>
        <v>0</v>
      </c>
      <c r="D69" s="2150">
        <f t="shared" si="13"/>
        <v>0</v>
      </c>
      <c r="E69" s="2145">
        <f t="shared" si="8"/>
        <v>0</v>
      </c>
      <c r="F69" s="2145">
        <f t="shared" si="3"/>
        <v>0</v>
      </c>
      <c r="G69" s="2145">
        <f t="shared" si="9"/>
        <v>0</v>
      </c>
      <c r="H69" s="2145">
        <f>IF(K68&lt;0.01,0,IF(Adm!$GS$4=Adm!$GS$8,0,IF(Adm!$GS$12="Pagados por el Banco",0,K68*Adm!$GV$4)))</f>
        <v>0</v>
      </c>
      <c r="I69" s="2145">
        <f>IF(K68&lt;0.01,0,E69*Adm!$O$8)</f>
        <v>0</v>
      </c>
      <c r="J69" s="2145">
        <f t="shared" si="4"/>
        <v>0</v>
      </c>
      <c r="K69" s="2145">
        <f t="shared" si="5"/>
        <v>0</v>
      </c>
      <c r="L69" s="2146"/>
      <c r="V69" s="1352">
        <f t="shared" si="7"/>
        <v>6</v>
      </c>
      <c r="W69" s="1433">
        <f>IF(V69=1,Cal!$BP$127,0)</f>
        <v>0</v>
      </c>
      <c r="X69" s="1367">
        <f>IF(V69=1,Adm!$HI$4,0)</f>
        <v>0</v>
      </c>
      <c r="Z69" s="1153"/>
      <c r="AC69" s="1370">
        <f t="shared" si="10"/>
        <v>0</v>
      </c>
      <c r="AD69" s="1373">
        <f t="shared" si="11"/>
        <v>0</v>
      </c>
      <c r="AE69" s="1371">
        <f t="shared" si="12"/>
        <v>0</v>
      </c>
      <c r="AF69" s="1359">
        <f>HLOOKUP($AF$11,anticipafreeliq,55,0)</f>
        <v>-4.2245277777777781E-4</v>
      </c>
      <c r="AH69" s="1360">
        <f>Free!AK124</f>
        <v>-4.2245277777777781E-4</v>
      </c>
    </row>
    <row r="70" spans="1:34">
      <c r="A70" s="1118">
        <f t="shared" ca="1" si="0"/>
        <v>10</v>
      </c>
      <c r="B70" s="1101">
        <f t="shared" si="1"/>
        <v>0</v>
      </c>
      <c r="C70" s="2149">
        <f t="shared" si="2"/>
        <v>0</v>
      </c>
      <c r="D70" s="2150">
        <f t="shared" si="13"/>
        <v>0</v>
      </c>
      <c r="E70" s="2145">
        <f t="shared" si="8"/>
        <v>0</v>
      </c>
      <c r="F70" s="2145">
        <f t="shared" si="3"/>
        <v>0</v>
      </c>
      <c r="G70" s="2145">
        <f t="shared" si="9"/>
        <v>0</v>
      </c>
      <c r="H70" s="2145">
        <f>IF(K69&lt;0.01,0,IF(Adm!$GS$4=Adm!$GS$8,0,IF(Adm!$GS$12="Pagados por el Banco",0,K69*Adm!$GV$4)))</f>
        <v>0</v>
      </c>
      <c r="I70" s="2145">
        <f>IF(K69&lt;0.01,0,E70*Adm!$O$8)</f>
        <v>0</v>
      </c>
      <c r="J70" s="2145">
        <f t="shared" si="4"/>
        <v>0</v>
      </c>
      <c r="K70" s="2145">
        <f t="shared" si="5"/>
        <v>0</v>
      </c>
      <c r="L70" s="2146"/>
      <c r="V70" s="1352">
        <f t="shared" si="7"/>
        <v>7</v>
      </c>
      <c r="W70" s="1433">
        <f>IF(V70=1,Cal!$BP$127,0)</f>
        <v>0</v>
      </c>
      <c r="X70" s="1367">
        <f>IF(V70=1,Adm!$HI$4,0)</f>
        <v>0</v>
      </c>
      <c r="Z70" s="1153"/>
      <c r="AC70" s="1370">
        <f t="shared" si="10"/>
        <v>0</v>
      </c>
      <c r="AD70" s="1373">
        <f t="shared" si="11"/>
        <v>0</v>
      </c>
      <c r="AE70" s="1371">
        <f t="shared" si="12"/>
        <v>0</v>
      </c>
      <c r="AF70" s="1359">
        <f>HLOOKUP($AF$11,anticipafreeliq,56,0)</f>
        <v>-4.224527777777777E-4</v>
      </c>
      <c r="AH70" s="1360">
        <f>Free!AK125</f>
        <v>-4.224527777777777E-4</v>
      </c>
    </row>
    <row r="71" spans="1:34">
      <c r="A71" s="1118">
        <f t="shared" ca="1" si="0"/>
        <v>11</v>
      </c>
      <c r="B71" s="1101">
        <f t="shared" si="1"/>
        <v>0</v>
      </c>
      <c r="C71" s="2149">
        <f t="shared" si="2"/>
        <v>0</v>
      </c>
      <c r="D71" s="2150">
        <f t="shared" si="13"/>
        <v>0</v>
      </c>
      <c r="E71" s="2145">
        <f t="shared" si="8"/>
        <v>0</v>
      </c>
      <c r="F71" s="2145">
        <f t="shared" si="3"/>
        <v>0</v>
      </c>
      <c r="G71" s="2145">
        <f t="shared" si="9"/>
        <v>0</v>
      </c>
      <c r="H71" s="2145">
        <f>IF(K70&lt;0.01,0,IF(Adm!$GS$4=Adm!$GS$8,0,IF(Adm!$GS$12="Pagados por el Banco",0,K70*Adm!$GV$4)))</f>
        <v>0</v>
      </c>
      <c r="I71" s="2145">
        <f>IF(K70&lt;0.01,0,E71*Adm!$O$8)</f>
        <v>0</v>
      </c>
      <c r="J71" s="2145">
        <f t="shared" si="4"/>
        <v>0</v>
      </c>
      <c r="K71" s="2145">
        <f t="shared" si="5"/>
        <v>0</v>
      </c>
      <c r="L71" s="2146"/>
      <c r="V71" s="1352">
        <f t="shared" si="7"/>
        <v>8</v>
      </c>
      <c r="W71" s="1433">
        <f>IF(V71=1,Cal!$BP$127,0)</f>
        <v>0</v>
      </c>
      <c r="X71" s="1367">
        <f>IF(V71=1,Adm!$HI$4,0)</f>
        <v>0</v>
      </c>
      <c r="Z71" s="1153"/>
      <c r="AC71" s="1370">
        <f t="shared" si="10"/>
        <v>0</v>
      </c>
      <c r="AD71" s="1373">
        <f t="shared" si="11"/>
        <v>0</v>
      </c>
      <c r="AE71" s="1371">
        <f t="shared" si="12"/>
        <v>0</v>
      </c>
      <c r="AF71" s="1359">
        <f>HLOOKUP($AF$11,anticipafreeliq,57,0)</f>
        <v>-4.2245277777777781E-4</v>
      </c>
      <c r="AH71" s="1360">
        <f>Free!AK126</f>
        <v>-4.2245277777777781E-4</v>
      </c>
    </row>
    <row r="72" spans="1:34">
      <c r="A72" s="1118">
        <f t="shared" ca="1" si="0"/>
        <v>12</v>
      </c>
      <c r="B72" s="1101">
        <f t="shared" si="1"/>
        <v>0</v>
      </c>
      <c r="C72" s="2149">
        <f t="shared" si="2"/>
        <v>0</v>
      </c>
      <c r="D72" s="2150">
        <f t="shared" si="13"/>
        <v>0</v>
      </c>
      <c r="E72" s="2145">
        <f t="shared" si="8"/>
        <v>0</v>
      </c>
      <c r="F72" s="2145">
        <f t="shared" si="3"/>
        <v>0</v>
      </c>
      <c r="G72" s="2145">
        <f t="shared" si="9"/>
        <v>0</v>
      </c>
      <c r="H72" s="2145">
        <f>IF(K71&lt;0.01,0,IF(Adm!$GS$4=Adm!$GS$8,0,IF(Adm!$GS$12="Pagados por el Banco",0,K71*Adm!$GV$4)))</f>
        <v>0</v>
      </c>
      <c r="I72" s="2145">
        <f>IF(K71&lt;0.01,0,E72*Adm!$O$8)</f>
        <v>0</v>
      </c>
      <c r="J72" s="2145">
        <f t="shared" si="4"/>
        <v>0</v>
      </c>
      <c r="K72" s="2145">
        <f t="shared" si="5"/>
        <v>0</v>
      </c>
      <c r="L72" s="2146"/>
      <c r="V72" s="1352">
        <f t="shared" si="7"/>
        <v>9</v>
      </c>
      <c r="W72" s="1433">
        <f>IF(V72=1,Cal!$BP$127,0)</f>
        <v>0</v>
      </c>
      <c r="X72" s="1367">
        <f>IF(V72=1,Adm!$HI$4,0)</f>
        <v>0</v>
      </c>
      <c r="Z72" s="1153"/>
      <c r="AC72" s="1370">
        <f t="shared" si="10"/>
        <v>0</v>
      </c>
      <c r="AD72" s="1373">
        <f t="shared" si="11"/>
        <v>0</v>
      </c>
      <c r="AE72" s="1371">
        <f t="shared" si="12"/>
        <v>0</v>
      </c>
      <c r="AF72" s="1359">
        <f>HLOOKUP($AF$11,anticipafreeliq,58,0)</f>
        <v>-4.2245277777777776E-4</v>
      </c>
      <c r="AH72" s="1360">
        <f>Free!AK127</f>
        <v>-4.2245277777777776E-4</v>
      </c>
    </row>
    <row r="73" spans="1:34">
      <c r="A73" s="1118">
        <f t="shared" ca="1" si="0"/>
        <v>1</v>
      </c>
      <c r="B73" s="1101">
        <f t="shared" si="1"/>
        <v>0</v>
      </c>
      <c r="C73" s="2149">
        <f t="shared" si="2"/>
        <v>0</v>
      </c>
      <c r="D73" s="2150">
        <f t="shared" si="13"/>
        <v>0</v>
      </c>
      <c r="E73" s="2145">
        <f t="shared" si="8"/>
        <v>0</v>
      </c>
      <c r="F73" s="2145">
        <f t="shared" si="3"/>
        <v>0</v>
      </c>
      <c r="G73" s="2145">
        <f t="shared" si="9"/>
        <v>0</v>
      </c>
      <c r="H73" s="2145">
        <f>IF(K72&lt;0.01,0,IF(Adm!$GS$4=Adm!$GS$8,0,IF(Adm!$GS$12="Pagados por el Banco",0,K72*Adm!$GV$4)))</f>
        <v>0</v>
      </c>
      <c r="I73" s="2145">
        <f>IF(K72&lt;0.01,0,E73*Adm!$O$8)</f>
        <v>0</v>
      </c>
      <c r="J73" s="2145">
        <f t="shared" si="4"/>
        <v>0</v>
      </c>
      <c r="K73" s="2145">
        <f t="shared" si="5"/>
        <v>0</v>
      </c>
      <c r="L73" s="2146"/>
      <c r="V73" s="1352">
        <f t="shared" si="7"/>
        <v>10</v>
      </c>
      <c r="W73" s="1433">
        <f>IF(V73=1,Cal!$BP$127,0)</f>
        <v>0</v>
      </c>
      <c r="X73" s="1367">
        <f>IF(V73=1,Adm!$HI$4,0)</f>
        <v>0</v>
      </c>
      <c r="Z73" s="1153"/>
      <c r="AC73" s="1370">
        <f t="shared" si="10"/>
        <v>0</v>
      </c>
      <c r="AD73" s="1373">
        <f t="shared" si="11"/>
        <v>0</v>
      </c>
      <c r="AE73" s="1371">
        <f t="shared" si="12"/>
        <v>0</v>
      </c>
      <c r="AF73" s="1359">
        <f>HLOOKUP($AF$11,anticipafreeliq,59,0)</f>
        <v>-4.224527777777777E-4</v>
      </c>
      <c r="AH73" s="1360">
        <f>Free!AK128</f>
        <v>-4.224527777777777E-4</v>
      </c>
    </row>
    <row r="74" spans="1:34">
      <c r="A74" s="1118">
        <f t="shared" ca="1" si="0"/>
        <v>2</v>
      </c>
      <c r="B74" s="1101">
        <f t="shared" si="1"/>
        <v>0</v>
      </c>
      <c r="C74" s="2149">
        <f t="shared" si="2"/>
        <v>0</v>
      </c>
      <c r="D74" s="2150">
        <f t="shared" si="13"/>
        <v>0</v>
      </c>
      <c r="E74" s="2145">
        <f t="shared" si="8"/>
        <v>0</v>
      </c>
      <c r="F74" s="2145">
        <f t="shared" si="3"/>
        <v>0</v>
      </c>
      <c r="G74" s="2145">
        <f t="shared" si="9"/>
        <v>0</v>
      </c>
      <c r="H74" s="2145">
        <f>IF(K73&lt;0.01,0,IF(Adm!$GS$4=Adm!$GS$8,0,IF(Adm!$GS$12="Pagados por el Banco",0,K73*Adm!$GV$4)))</f>
        <v>0</v>
      </c>
      <c r="I74" s="2145">
        <f>IF(K73&lt;0.01,0,E74*Adm!$O$8)</f>
        <v>0</v>
      </c>
      <c r="J74" s="2145">
        <f t="shared" si="4"/>
        <v>0</v>
      </c>
      <c r="K74" s="2145">
        <f t="shared" si="5"/>
        <v>0</v>
      </c>
      <c r="L74" s="2146"/>
      <c r="V74" s="1352">
        <f t="shared" si="7"/>
        <v>11</v>
      </c>
      <c r="W74" s="1433">
        <f>IF(V74=1,Cal!$BP$127,0)</f>
        <v>0</v>
      </c>
      <c r="X74" s="1367">
        <f>IF(V74=1,Adm!$HI$4,0)</f>
        <v>0</v>
      </c>
      <c r="Z74" s="1153"/>
      <c r="AC74" s="1370">
        <f t="shared" si="10"/>
        <v>0</v>
      </c>
      <c r="AD74" s="1373">
        <f t="shared" si="11"/>
        <v>0</v>
      </c>
      <c r="AE74" s="1371">
        <f t="shared" si="12"/>
        <v>0</v>
      </c>
      <c r="AF74" s="1359">
        <f>HLOOKUP($AF$11,anticipafreeliq,60,0)</f>
        <v>-4.2245277777777781E-4</v>
      </c>
      <c r="AH74" s="1360">
        <f>Free!AK129</f>
        <v>-4.2245277777777781E-4</v>
      </c>
    </row>
    <row r="75" spans="1:34">
      <c r="A75" s="1118">
        <f t="shared" ca="1" si="0"/>
        <v>3</v>
      </c>
      <c r="B75" s="1101">
        <f t="shared" si="1"/>
        <v>0</v>
      </c>
      <c r="C75" s="2149">
        <f t="shared" si="2"/>
        <v>0</v>
      </c>
      <c r="D75" s="2150">
        <f t="shared" si="13"/>
        <v>0</v>
      </c>
      <c r="E75" s="2145">
        <f t="shared" si="8"/>
        <v>0</v>
      </c>
      <c r="F75" s="2145">
        <f t="shared" si="3"/>
        <v>0</v>
      </c>
      <c r="G75" s="2145">
        <f t="shared" si="9"/>
        <v>0</v>
      </c>
      <c r="H75" s="2145">
        <f>IF(K74&lt;0.01,0,IF(Adm!$GS$4=Adm!$GS$8,0,IF(Adm!$GS$12="Pagados por el Banco",0,K74*Adm!$GV$4)))</f>
        <v>0</v>
      </c>
      <c r="I75" s="2145">
        <f>IF(K74&lt;0.01,0,E75*Adm!$O$8)</f>
        <v>0</v>
      </c>
      <c r="J75" s="2145">
        <f t="shared" si="4"/>
        <v>0</v>
      </c>
      <c r="K75" s="2145">
        <f t="shared" si="5"/>
        <v>0</v>
      </c>
      <c r="L75" s="2146"/>
      <c r="V75" s="1352">
        <f t="shared" si="7"/>
        <v>12</v>
      </c>
      <c r="W75" s="1433">
        <f>IF(V75=1,Cal!$BP$127,0)</f>
        <v>0</v>
      </c>
      <c r="X75" s="1367">
        <f>IF(V75=1,Adm!$HI$4,0)</f>
        <v>0</v>
      </c>
      <c r="Z75" s="1153"/>
      <c r="AC75" s="1370">
        <f t="shared" si="10"/>
        <v>0</v>
      </c>
      <c r="AD75" s="1373">
        <f t="shared" si="11"/>
        <v>0</v>
      </c>
      <c r="AE75" s="1371">
        <f t="shared" si="12"/>
        <v>0</v>
      </c>
      <c r="AF75" s="1359">
        <f>HLOOKUP($AF$11,anticipafreeliq,61,0)</f>
        <v>-4.2245277777777781E-4</v>
      </c>
      <c r="AH75" s="1360">
        <f>Free!AK130</f>
        <v>-4.2245277777777781E-4</v>
      </c>
    </row>
    <row r="76" spans="1:34">
      <c r="A76" s="1118">
        <f t="shared" ca="1" si="0"/>
        <v>4</v>
      </c>
      <c r="B76" s="1101">
        <f t="shared" si="1"/>
        <v>0</v>
      </c>
      <c r="C76" s="2149">
        <f t="shared" si="2"/>
        <v>0</v>
      </c>
      <c r="D76" s="2154">
        <f t="shared" si="13"/>
        <v>0</v>
      </c>
      <c r="E76" s="2145">
        <f t="shared" si="8"/>
        <v>0</v>
      </c>
      <c r="F76" s="2145">
        <f t="shared" si="3"/>
        <v>0</v>
      </c>
      <c r="G76" s="2145">
        <f t="shared" si="9"/>
        <v>0</v>
      </c>
      <c r="H76" s="2145">
        <f>IF(K75&lt;0.01,0,IF(Adm!$GS$4=Adm!$GS$8,0,IF(Adm!$GS$12="Pagados por el Banco",0,K75*Adm!$GV$4)))</f>
        <v>0</v>
      </c>
      <c r="I76" s="2145">
        <f>IF(K75&lt;0.01,0,E76*Adm!$O$8)</f>
        <v>0</v>
      </c>
      <c r="J76" s="2145">
        <f t="shared" si="4"/>
        <v>0</v>
      </c>
      <c r="K76" s="2145">
        <f t="shared" si="5"/>
        <v>0</v>
      </c>
      <c r="L76" s="2146"/>
      <c r="V76" s="1352">
        <f t="shared" si="7"/>
        <v>1</v>
      </c>
      <c r="W76" s="1433">
        <f>IF(V76=1,Cal!$BP$127,0)</f>
        <v>0</v>
      </c>
      <c r="X76" s="1367">
        <f>IF(V76=1,Adm!$HI$4,0)</f>
        <v>2.5000000000000001E-3</v>
      </c>
      <c r="Z76" s="1153"/>
      <c r="AC76" s="1370">
        <f t="shared" si="10"/>
        <v>0</v>
      </c>
      <c r="AD76" s="1373">
        <f t="shared" si="11"/>
        <v>0</v>
      </c>
      <c r="AE76" s="1371">
        <f t="shared" si="12"/>
        <v>0</v>
      </c>
      <c r="AF76" s="1359">
        <f>HLOOKUP($AF$11,anticipafreeliq,62,0)</f>
        <v>-6.3367916666666674E-4</v>
      </c>
      <c r="AH76" s="1360">
        <f>Free!AK131</f>
        <v>-6.3367916666666674E-4</v>
      </c>
    </row>
    <row r="77" spans="1:34">
      <c r="A77" s="1118">
        <f t="shared" ca="1" si="0"/>
        <v>5</v>
      </c>
      <c r="B77" s="1101">
        <f t="shared" si="1"/>
        <v>0</v>
      </c>
      <c r="C77" s="2149">
        <f t="shared" si="2"/>
        <v>0</v>
      </c>
      <c r="D77" s="2150">
        <f t="shared" si="13"/>
        <v>0</v>
      </c>
      <c r="E77" s="2145">
        <f t="shared" si="8"/>
        <v>0</v>
      </c>
      <c r="F77" s="2145">
        <f t="shared" si="3"/>
        <v>0</v>
      </c>
      <c r="G77" s="2145">
        <f t="shared" si="9"/>
        <v>0</v>
      </c>
      <c r="H77" s="2145">
        <f>IF(K76&lt;0.01,0,IF(Adm!$GS$4=Adm!$GS$8,0,IF(Adm!$GS$12="Pagados por el Banco",0,K76*Adm!$GV$4)))</f>
        <v>0</v>
      </c>
      <c r="I77" s="2145">
        <f>IF(K76&lt;0.01,0,E77*Adm!$O$8)</f>
        <v>0</v>
      </c>
      <c r="J77" s="2145">
        <f t="shared" si="4"/>
        <v>0</v>
      </c>
      <c r="K77" s="2145">
        <f t="shared" si="5"/>
        <v>0</v>
      </c>
      <c r="L77" s="2146"/>
      <c r="V77" s="1352">
        <f t="shared" si="7"/>
        <v>2</v>
      </c>
      <c r="W77" s="1433">
        <f>IF(V77=1,Cal!$BP$127,0)</f>
        <v>0</v>
      </c>
      <c r="X77" s="1367">
        <f>IF(V77=1,Adm!$HI$4,0)</f>
        <v>0</v>
      </c>
      <c r="Z77" s="1153"/>
      <c r="AC77" s="1370">
        <f t="shared" si="10"/>
        <v>0</v>
      </c>
      <c r="AD77" s="1373">
        <f t="shared" si="11"/>
        <v>0</v>
      </c>
      <c r="AE77" s="1371">
        <f t="shared" si="12"/>
        <v>0</v>
      </c>
      <c r="AF77" s="1359">
        <f>HLOOKUP($AF$11,anticipafreeliq,63,0)</f>
        <v>-6.3367916666666653E-4</v>
      </c>
      <c r="AH77" s="1360">
        <f>Free!AK132</f>
        <v>-6.3367916666666653E-4</v>
      </c>
    </row>
    <row r="78" spans="1:34">
      <c r="A78" s="1118">
        <f t="shared" ca="1" si="0"/>
        <v>6</v>
      </c>
      <c r="B78" s="1101">
        <f t="shared" si="1"/>
        <v>0</v>
      </c>
      <c r="C78" s="2149">
        <f t="shared" si="2"/>
        <v>0</v>
      </c>
      <c r="D78" s="2150">
        <f t="shared" si="13"/>
        <v>0</v>
      </c>
      <c r="E78" s="2145">
        <f t="shared" si="8"/>
        <v>0</v>
      </c>
      <c r="F78" s="2145">
        <f t="shared" si="3"/>
        <v>0</v>
      </c>
      <c r="G78" s="2145">
        <f t="shared" si="9"/>
        <v>0</v>
      </c>
      <c r="H78" s="2145">
        <f>IF(K77&lt;0.01,0,IF(Adm!$GS$4=Adm!$GS$8,0,IF(Adm!$GS$12="Pagados por el Banco",0,K77*Adm!$GV$4)))</f>
        <v>0</v>
      </c>
      <c r="I78" s="2145">
        <f>IF(K77&lt;0.01,0,E78*Adm!$O$8)</f>
        <v>0</v>
      </c>
      <c r="J78" s="2145">
        <f t="shared" si="4"/>
        <v>0</v>
      </c>
      <c r="K78" s="2145">
        <f t="shared" si="5"/>
        <v>0</v>
      </c>
      <c r="L78" s="2146"/>
      <c r="V78" s="1352">
        <f t="shared" si="7"/>
        <v>3</v>
      </c>
      <c r="W78" s="1433">
        <f>IF(V78=1,Cal!$BP$127,0)</f>
        <v>0</v>
      </c>
      <c r="X78" s="1367">
        <f>IF(V78=1,Adm!$HI$4,0)</f>
        <v>0</v>
      </c>
      <c r="Z78" s="1153"/>
      <c r="AC78" s="1370">
        <f t="shared" si="10"/>
        <v>0</v>
      </c>
      <c r="AD78" s="1373">
        <f t="shared" si="11"/>
        <v>0</v>
      </c>
      <c r="AE78" s="1371">
        <f t="shared" si="12"/>
        <v>0</v>
      </c>
      <c r="AF78" s="1359">
        <f>HLOOKUP($AF$11,anticipafreeliq,64,0)</f>
        <v>-6.3367916666666664E-4</v>
      </c>
      <c r="AH78" s="1360">
        <f>Free!AK133</f>
        <v>-6.3367916666666664E-4</v>
      </c>
    </row>
    <row r="79" spans="1:34">
      <c r="A79" s="1118">
        <f t="shared" ca="1" si="0"/>
        <v>7</v>
      </c>
      <c r="B79" s="1101">
        <f t="shared" si="1"/>
        <v>0</v>
      </c>
      <c r="C79" s="2149">
        <f t="shared" si="2"/>
        <v>0</v>
      </c>
      <c r="D79" s="2150">
        <f t="shared" si="13"/>
        <v>0</v>
      </c>
      <c r="E79" s="2145">
        <f t="shared" si="8"/>
        <v>0</v>
      </c>
      <c r="F79" s="2145">
        <f t="shared" si="3"/>
        <v>0</v>
      </c>
      <c r="G79" s="2145">
        <f t="shared" si="9"/>
        <v>0</v>
      </c>
      <c r="H79" s="2145">
        <f>IF(K78&lt;0.01,0,IF(Adm!$GS$4=Adm!$GS$8,0,IF(Adm!$GS$12="Pagados por el Banco",0,K78*Adm!$GV$4)))</f>
        <v>0</v>
      </c>
      <c r="I79" s="2145">
        <f>IF(K78&lt;0.01,0,E79*Adm!$O$8)</f>
        <v>0</v>
      </c>
      <c r="J79" s="2145">
        <f t="shared" si="4"/>
        <v>0</v>
      </c>
      <c r="K79" s="2145">
        <f t="shared" si="5"/>
        <v>0</v>
      </c>
      <c r="L79" s="2146"/>
      <c r="V79" s="1352">
        <f t="shared" si="7"/>
        <v>4</v>
      </c>
      <c r="W79" s="1433">
        <f>IF(V79=1,Cal!$BP$127,0)</f>
        <v>0</v>
      </c>
      <c r="X79" s="1367">
        <f>IF(V79=1,Adm!$HI$4,0)</f>
        <v>0</v>
      </c>
      <c r="Z79" s="1153"/>
      <c r="AC79" s="1370">
        <f t="shared" si="10"/>
        <v>0</v>
      </c>
      <c r="AD79" s="1373">
        <f t="shared" si="11"/>
        <v>0</v>
      </c>
      <c r="AE79" s="1371">
        <f t="shared" si="12"/>
        <v>0</v>
      </c>
      <c r="AF79" s="1359">
        <f>HLOOKUP($AF$11,anticipafreeliq,65,0)</f>
        <v>-6.3367916666666653E-4</v>
      </c>
      <c r="AH79" s="1360">
        <f>Free!AK134</f>
        <v>-6.3367916666666653E-4</v>
      </c>
    </row>
    <row r="80" spans="1:34">
      <c r="A80" s="1118">
        <f t="shared" ref="A80:A143" ca="1" si="14">IF(A79=12,1,A79+1)</f>
        <v>8</v>
      </c>
      <c r="B80" s="1101">
        <f t="shared" ref="B80:B143" si="15">IF(K79&lt;0.01,0,B79-1)</f>
        <v>0</v>
      </c>
      <c r="C80" s="2149">
        <f t="shared" ref="C80:C143" si="16">IF(K79&lt;0.01,0,C79+1)</f>
        <v>0</v>
      </c>
      <c r="D80" s="2150">
        <f t="shared" si="13"/>
        <v>0</v>
      </c>
      <c r="E80" s="2145">
        <f t="shared" si="8"/>
        <v>0</v>
      </c>
      <c r="F80" s="2145">
        <f t="shared" ref="F80:F143" si="17">IF(K79&lt;0.01,0,G80-E80)</f>
        <v>0</v>
      </c>
      <c r="G80" s="2145">
        <f t="shared" si="9"/>
        <v>0</v>
      </c>
      <c r="H80" s="2145">
        <f>IF(K79&lt;0.01,0,IF(Adm!$GS$4=Adm!$GS$8,0,IF(Adm!$GS$12="Pagados por el Banco",0,K79*Adm!$GV$4)))</f>
        <v>0</v>
      </c>
      <c r="I80" s="2145">
        <f>IF(K79&lt;0.01,0,E80*Adm!$O$8)</f>
        <v>0</v>
      </c>
      <c r="J80" s="2145">
        <f t="shared" ref="J80:J143" si="18">G80+H80+I80</f>
        <v>0</v>
      </c>
      <c r="K80" s="2145">
        <f t="shared" ref="K80:K143" si="19">IF(K79&lt;0.01,0,K79-F80-L80)</f>
        <v>0</v>
      </c>
      <c r="L80" s="2146"/>
      <c r="V80" s="1352">
        <f t="shared" si="7"/>
        <v>5</v>
      </c>
      <c r="W80" s="1433">
        <f>IF(V80=1,Cal!$BP$127,0)</f>
        <v>0</v>
      </c>
      <c r="X80" s="1367">
        <f>IF(V80=1,Adm!$HI$4,0)</f>
        <v>0</v>
      </c>
      <c r="Z80" s="1153"/>
      <c r="AC80" s="1370">
        <f t="shared" si="10"/>
        <v>0</v>
      </c>
      <c r="AD80" s="1373">
        <f t="shared" si="11"/>
        <v>0</v>
      </c>
      <c r="AE80" s="1371">
        <f t="shared" si="12"/>
        <v>0</v>
      </c>
      <c r="AF80" s="1359">
        <f>HLOOKUP($AF$11,anticipafreeliq,66,0)</f>
        <v>-6.3367916666666664E-4</v>
      </c>
      <c r="AH80" s="1360">
        <f>Free!AK135</f>
        <v>-6.3367916666666664E-4</v>
      </c>
    </row>
    <row r="81" spans="1:34">
      <c r="A81" s="1118">
        <f t="shared" ca="1" si="14"/>
        <v>9</v>
      </c>
      <c r="B81" s="1101">
        <f t="shared" si="15"/>
        <v>0</v>
      </c>
      <c r="C81" s="2149">
        <f t="shared" si="16"/>
        <v>0</v>
      </c>
      <c r="D81" s="2150">
        <f t="shared" si="13"/>
        <v>0</v>
      </c>
      <c r="E81" s="2145">
        <f t="shared" ref="E81:E144" si="20">IF(K80&lt;0.01,0,K80*D81*30.4166/360)</f>
        <v>0</v>
      </c>
      <c r="F81" s="2145">
        <f t="shared" si="17"/>
        <v>0</v>
      </c>
      <c r="G81" s="2145">
        <f t="shared" si="9"/>
        <v>0</v>
      </c>
      <c r="H81" s="2145">
        <f>IF(K80&lt;0.01,0,IF(Adm!$GS$4=Adm!$GS$8,0,IF(Adm!$GS$12="Pagados por el Banco",0,K80*Adm!$GV$4)))</f>
        <v>0</v>
      </c>
      <c r="I81" s="2145">
        <f>IF(K80&lt;0.01,0,E81*Adm!$O$8)</f>
        <v>0</v>
      </c>
      <c r="J81" s="2145">
        <f t="shared" si="18"/>
        <v>0</v>
      </c>
      <c r="K81" s="2145">
        <f t="shared" si="19"/>
        <v>0</v>
      </c>
      <c r="L81" s="2146"/>
      <c r="V81" s="1352">
        <f t="shared" ref="V81:V144" si="21">IF(V80=12,1,V80+1)</f>
        <v>6</v>
      </c>
      <c r="W81" s="1433">
        <f>IF(V81=1,Cal!$BP$127,0)</f>
        <v>0</v>
      </c>
      <c r="X81" s="1367">
        <f>IF(V81=1,Adm!$HI$4,0)</f>
        <v>0</v>
      </c>
      <c r="Z81" s="1153"/>
      <c r="AC81" s="1370">
        <f t="shared" si="10"/>
        <v>0</v>
      </c>
      <c r="AD81" s="1373">
        <f t="shared" si="11"/>
        <v>0</v>
      </c>
      <c r="AE81" s="1371">
        <f t="shared" si="12"/>
        <v>0</v>
      </c>
      <c r="AF81" s="1359">
        <f>HLOOKUP($AF$11,anticipafreeliq,67,0)</f>
        <v>-6.3367916666666653E-4</v>
      </c>
      <c r="AH81" s="1360">
        <f>Free!AK136</f>
        <v>-6.3367916666666653E-4</v>
      </c>
    </row>
    <row r="82" spans="1:34">
      <c r="A82" s="1118">
        <f t="shared" ca="1" si="14"/>
        <v>10</v>
      </c>
      <c r="B82" s="1101">
        <f t="shared" si="15"/>
        <v>0</v>
      </c>
      <c r="C82" s="2149">
        <f t="shared" si="16"/>
        <v>0</v>
      </c>
      <c r="D82" s="2150">
        <f t="shared" si="13"/>
        <v>0</v>
      </c>
      <c r="E82" s="2145">
        <f t="shared" si="20"/>
        <v>0</v>
      </c>
      <c r="F82" s="2145">
        <f t="shared" si="17"/>
        <v>0</v>
      </c>
      <c r="G82" s="2145">
        <f t="shared" ref="G82:G145" si="22">IF(K81&lt;0.1,0,MIN(K81+E82,IF(AC82&gt;0,AC82,G81*(1+W82))))</f>
        <v>0</v>
      </c>
      <c r="H82" s="2145">
        <f>IF(K81&lt;0.01,0,IF(Adm!$GS$4=Adm!$GS$8,0,IF(Adm!$GS$12="Pagados por el Banco",0,K81*Adm!$GV$4)))</f>
        <v>0</v>
      </c>
      <c r="I82" s="2145">
        <f>IF(K81&lt;0.01,0,E82*Adm!$O$8)</f>
        <v>0</v>
      </c>
      <c r="J82" s="2145">
        <f t="shared" si="18"/>
        <v>0</v>
      </c>
      <c r="K82" s="2145">
        <f t="shared" si="19"/>
        <v>0</v>
      </c>
      <c r="L82" s="2146"/>
      <c r="V82" s="1352">
        <f t="shared" si="21"/>
        <v>7</v>
      </c>
      <c r="W82" s="1433">
        <f>IF(V82=1,Cal!$BP$127,0)</f>
        <v>0</v>
      </c>
      <c r="X82" s="1367">
        <f>IF(V82=1,Adm!$HI$4,0)</f>
        <v>0</v>
      </c>
      <c r="Z82" s="1153"/>
      <c r="AC82" s="1370">
        <f t="shared" ref="AC82:AC145" si="23">IF(AD82&gt;1,AD82,0)</f>
        <v>0</v>
      </c>
      <c r="AD82" s="1373">
        <f t="shared" ref="AD82:AD145" si="24">IF(AND(AE82&gt;0.01,$AC$10=2),AE82,0)</f>
        <v>0</v>
      </c>
      <c r="AE82" s="1371">
        <f t="shared" ref="AE82:AE145" si="25">IF(L81&lt;0.01,0,IF($AC$10=2,K81*AF82)+E82)</f>
        <v>0</v>
      </c>
      <c r="AF82" s="1359">
        <f>HLOOKUP($AF$11,anticipafreeliq,68,0)</f>
        <v>-6.3367916666666653E-4</v>
      </c>
      <c r="AH82" s="1360">
        <f>Free!AK137</f>
        <v>-6.3367916666666653E-4</v>
      </c>
    </row>
    <row r="83" spans="1:34">
      <c r="A83" s="1118">
        <f t="shared" ca="1" si="14"/>
        <v>11</v>
      </c>
      <c r="B83" s="1101">
        <f t="shared" si="15"/>
        <v>0</v>
      </c>
      <c r="C83" s="2149">
        <f t="shared" si="16"/>
        <v>0</v>
      </c>
      <c r="D83" s="2150">
        <f t="shared" si="13"/>
        <v>0</v>
      </c>
      <c r="E83" s="2145">
        <f t="shared" si="20"/>
        <v>0</v>
      </c>
      <c r="F83" s="2145">
        <f t="shared" si="17"/>
        <v>0</v>
      </c>
      <c r="G83" s="2145">
        <f t="shared" si="22"/>
        <v>0</v>
      </c>
      <c r="H83" s="2145">
        <f>IF(K82&lt;0.01,0,IF(Adm!$GS$4=Adm!$GS$8,0,IF(Adm!$GS$12="Pagados por el Banco",0,K82*Adm!$GV$4)))</f>
        <v>0</v>
      </c>
      <c r="I83" s="2145">
        <f>IF(K82&lt;0.01,0,E83*Adm!$O$8)</f>
        <v>0</v>
      </c>
      <c r="J83" s="2145">
        <f t="shared" si="18"/>
        <v>0</v>
      </c>
      <c r="K83" s="2145">
        <f t="shared" si="19"/>
        <v>0</v>
      </c>
      <c r="L83" s="2146"/>
      <c r="V83" s="1352">
        <f t="shared" si="21"/>
        <v>8</v>
      </c>
      <c r="W83" s="1433">
        <f>IF(V83=1,Cal!$BP$127,0)</f>
        <v>0</v>
      </c>
      <c r="X83" s="1367">
        <f>IF(V83=1,Adm!$HI$4,0)</f>
        <v>0</v>
      </c>
      <c r="Z83" s="1153"/>
      <c r="AC83" s="1370">
        <f t="shared" si="23"/>
        <v>0</v>
      </c>
      <c r="AD83" s="1373">
        <f t="shared" si="24"/>
        <v>0</v>
      </c>
      <c r="AE83" s="1371">
        <f t="shared" si="25"/>
        <v>0</v>
      </c>
      <c r="AF83" s="1359">
        <f>HLOOKUP($AF$11,anticipafreeliq,69,0)</f>
        <v>-6.3367916666666653E-4</v>
      </c>
      <c r="AH83" s="1360">
        <f>Free!AK138</f>
        <v>-6.3367916666666653E-4</v>
      </c>
    </row>
    <row r="84" spans="1:34">
      <c r="A84" s="1118">
        <f t="shared" ca="1" si="14"/>
        <v>12</v>
      </c>
      <c r="B84" s="1101">
        <f t="shared" si="15"/>
        <v>0</v>
      </c>
      <c r="C84" s="2149">
        <f t="shared" si="16"/>
        <v>0</v>
      </c>
      <c r="D84" s="2150">
        <f t="shared" si="13"/>
        <v>0</v>
      </c>
      <c r="E84" s="2145">
        <f t="shared" si="20"/>
        <v>0</v>
      </c>
      <c r="F84" s="2145">
        <f t="shared" si="17"/>
        <v>0</v>
      </c>
      <c r="G84" s="2145">
        <f t="shared" si="22"/>
        <v>0</v>
      </c>
      <c r="H84" s="2145">
        <f>IF(K83&lt;0.01,0,IF(Adm!$GS$4=Adm!$GS$8,0,IF(Adm!$GS$12="Pagados por el Banco",0,K83*Adm!$GV$4)))</f>
        <v>0</v>
      </c>
      <c r="I84" s="2145">
        <f>IF(K83&lt;0.01,0,E84*Adm!$O$8)</f>
        <v>0</v>
      </c>
      <c r="J84" s="2145">
        <f t="shared" si="18"/>
        <v>0</v>
      </c>
      <c r="K84" s="2145">
        <f t="shared" si="19"/>
        <v>0</v>
      </c>
      <c r="L84" s="2146"/>
      <c r="V84" s="1352">
        <f t="shared" si="21"/>
        <v>9</v>
      </c>
      <c r="W84" s="1433">
        <f>IF(V84=1,Cal!$BP$127,0)</f>
        <v>0</v>
      </c>
      <c r="X84" s="1367">
        <f>IF(V84=1,Adm!$HI$4,0)</f>
        <v>0</v>
      </c>
      <c r="Z84" s="1153"/>
      <c r="AC84" s="1370">
        <f t="shared" si="23"/>
        <v>0</v>
      </c>
      <c r="AD84" s="1373">
        <f t="shared" si="24"/>
        <v>0</v>
      </c>
      <c r="AE84" s="1371">
        <f t="shared" si="25"/>
        <v>0</v>
      </c>
      <c r="AF84" s="1359">
        <f>HLOOKUP($AF$11,anticipafreeliq,70,0)</f>
        <v>-6.3367916666666664E-4</v>
      </c>
      <c r="AH84" s="1360">
        <f>Free!AK139</f>
        <v>-6.3367916666666664E-4</v>
      </c>
    </row>
    <row r="85" spans="1:34">
      <c r="A85" s="1118">
        <f t="shared" ca="1" si="14"/>
        <v>1</v>
      </c>
      <c r="B85" s="1101">
        <f t="shared" si="15"/>
        <v>0</v>
      </c>
      <c r="C85" s="2149">
        <f t="shared" si="16"/>
        <v>0</v>
      </c>
      <c r="D85" s="2150">
        <f t="shared" si="13"/>
        <v>0</v>
      </c>
      <c r="E85" s="2145">
        <f t="shared" si="20"/>
        <v>0</v>
      </c>
      <c r="F85" s="2145">
        <f t="shared" si="17"/>
        <v>0</v>
      </c>
      <c r="G85" s="2145">
        <f t="shared" si="22"/>
        <v>0</v>
      </c>
      <c r="H85" s="2145">
        <f>IF(K84&lt;0.01,0,IF(Adm!$GS$4=Adm!$GS$8,0,IF(Adm!$GS$12="Pagados por el Banco",0,K84*Adm!$GV$4)))</f>
        <v>0</v>
      </c>
      <c r="I85" s="2145">
        <f>IF(K84&lt;0.01,0,E85*Adm!$O$8)</f>
        <v>0</v>
      </c>
      <c r="J85" s="2145">
        <f t="shared" si="18"/>
        <v>0</v>
      </c>
      <c r="K85" s="2145">
        <f t="shared" si="19"/>
        <v>0</v>
      </c>
      <c r="L85" s="2146"/>
      <c r="V85" s="1352">
        <f t="shared" si="21"/>
        <v>10</v>
      </c>
      <c r="W85" s="1433">
        <f>IF(V85=1,Cal!$BP$127,0)</f>
        <v>0</v>
      </c>
      <c r="X85" s="1367">
        <f>IF(V85=1,Adm!$HI$4,0)</f>
        <v>0</v>
      </c>
      <c r="Z85" s="1153"/>
      <c r="AC85" s="1370">
        <f t="shared" si="23"/>
        <v>0</v>
      </c>
      <c r="AD85" s="1373">
        <f t="shared" si="24"/>
        <v>0</v>
      </c>
      <c r="AE85" s="1371">
        <f t="shared" si="25"/>
        <v>0</v>
      </c>
      <c r="AF85" s="1359">
        <f>HLOOKUP($AF$11,anticipafreeliq,71,0)</f>
        <v>-6.3367916666666664E-4</v>
      </c>
      <c r="AH85" s="1360">
        <f>Free!AK140</f>
        <v>-6.3367916666666664E-4</v>
      </c>
    </row>
    <row r="86" spans="1:34">
      <c r="A86" s="1118">
        <f t="shared" ca="1" si="14"/>
        <v>2</v>
      </c>
      <c r="B86" s="1101">
        <f t="shared" si="15"/>
        <v>0</v>
      </c>
      <c r="C86" s="2149">
        <f t="shared" si="16"/>
        <v>0</v>
      </c>
      <c r="D86" s="2150">
        <f t="shared" si="13"/>
        <v>0</v>
      </c>
      <c r="E86" s="2145">
        <f t="shared" si="20"/>
        <v>0</v>
      </c>
      <c r="F86" s="2145">
        <f t="shared" si="17"/>
        <v>0</v>
      </c>
      <c r="G86" s="2145">
        <f t="shared" si="22"/>
        <v>0</v>
      </c>
      <c r="H86" s="2145">
        <f>IF(K85&lt;0.01,0,IF(Adm!$GS$4=Adm!$GS$8,0,IF(Adm!$GS$12="Pagados por el Banco",0,K85*Adm!$GV$4)))</f>
        <v>0</v>
      </c>
      <c r="I86" s="2145">
        <f>IF(K85&lt;0.01,0,E86*Adm!$O$8)</f>
        <v>0</v>
      </c>
      <c r="J86" s="2145">
        <f t="shared" si="18"/>
        <v>0</v>
      </c>
      <c r="K86" s="2145">
        <f t="shared" si="19"/>
        <v>0</v>
      </c>
      <c r="L86" s="2146"/>
      <c r="V86" s="1352">
        <f t="shared" si="21"/>
        <v>11</v>
      </c>
      <c r="W86" s="1433">
        <f>IF(V86=1,Cal!$BP$127,0)</f>
        <v>0</v>
      </c>
      <c r="X86" s="1367">
        <f>IF(V86=1,Adm!$HI$4,0)</f>
        <v>0</v>
      </c>
      <c r="Z86" s="1153"/>
      <c r="AC86" s="1370">
        <f t="shared" si="23"/>
        <v>0</v>
      </c>
      <c r="AD86" s="1373">
        <f t="shared" si="24"/>
        <v>0</v>
      </c>
      <c r="AE86" s="1371">
        <f t="shared" si="25"/>
        <v>0</v>
      </c>
      <c r="AF86" s="1359">
        <f>HLOOKUP($AF$11,anticipafreeliq,72,0)</f>
        <v>-6.3367916666666664E-4</v>
      </c>
      <c r="AH86" s="1360">
        <f>Free!AK141</f>
        <v>-6.3367916666666664E-4</v>
      </c>
    </row>
    <row r="87" spans="1:34">
      <c r="A87" s="1118">
        <f t="shared" ca="1" si="14"/>
        <v>3</v>
      </c>
      <c r="B87" s="1101">
        <f t="shared" si="15"/>
        <v>0</v>
      </c>
      <c r="C87" s="2149">
        <f t="shared" si="16"/>
        <v>0</v>
      </c>
      <c r="D87" s="2150">
        <f t="shared" si="13"/>
        <v>0</v>
      </c>
      <c r="E87" s="2145">
        <f t="shared" si="20"/>
        <v>0</v>
      </c>
      <c r="F87" s="2145">
        <f t="shared" si="17"/>
        <v>0</v>
      </c>
      <c r="G87" s="2145">
        <f t="shared" si="22"/>
        <v>0</v>
      </c>
      <c r="H87" s="2145">
        <f>IF(K86&lt;0.01,0,IF(Adm!$GS$4=Adm!$GS$8,0,IF(Adm!$GS$12="Pagados por el Banco",0,K86*Adm!$GV$4)))</f>
        <v>0</v>
      </c>
      <c r="I87" s="2145">
        <f>IF(K86&lt;0.01,0,E87*Adm!$O$8)</f>
        <v>0</v>
      </c>
      <c r="J87" s="2145">
        <f t="shared" si="18"/>
        <v>0</v>
      </c>
      <c r="K87" s="2145">
        <f t="shared" si="19"/>
        <v>0</v>
      </c>
      <c r="L87" s="2146"/>
      <c r="V87" s="1352">
        <f t="shared" si="21"/>
        <v>12</v>
      </c>
      <c r="W87" s="1433">
        <f>IF(V87=1,Cal!$BP$127,0)</f>
        <v>0</v>
      </c>
      <c r="X87" s="1367">
        <f>IF(V87=1,Adm!$HI$4,0)</f>
        <v>0</v>
      </c>
      <c r="Z87" s="1153"/>
      <c r="AC87" s="1370">
        <f t="shared" si="23"/>
        <v>0</v>
      </c>
      <c r="AD87" s="1373">
        <f t="shared" si="24"/>
        <v>0</v>
      </c>
      <c r="AE87" s="1371">
        <f t="shared" si="25"/>
        <v>0</v>
      </c>
      <c r="AF87" s="1359">
        <f>HLOOKUP($AF$11,anticipafreeliq,73,0)</f>
        <v>-6.3367916666666664E-4</v>
      </c>
      <c r="AH87" s="1360">
        <f>Free!AK142</f>
        <v>-6.3367916666666664E-4</v>
      </c>
    </row>
    <row r="88" spans="1:34">
      <c r="A88" s="1118">
        <f t="shared" ca="1" si="14"/>
        <v>4</v>
      </c>
      <c r="B88" s="1101">
        <f t="shared" si="15"/>
        <v>0</v>
      </c>
      <c r="C88" s="2149">
        <f t="shared" si="16"/>
        <v>0</v>
      </c>
      <c r="D88" s="2154">
        <f t="shared" si="13"/>
        <v>0</v>
      </c>
      <c r="E88" s="2145">
        <f t="shared" si="20"/>
        <v>0</v>
      </c>
      <c r="F88" s="2145">
        <f t="shared" si="17"/>
        <v>0</v>
      </c>
      <c r="G88" s="2145">
        <f t="shared" si="22"/>
        <v>0</v>
      </c>
      <c r="H88" s="2145">
        <f>IF(K87&lt;0.01,0,IF(Adm!$GS$4=Adm!$GS$8,0,IF(Adm!$GS$12="Pagados por el Banco",0,K87*Adm!$GV$4)))</f>
        <v>0</v>
      </c>
      <c r="I88" s="2145">
        <f>IF(K87&lt;0.01,0,E88*Adm!$O$8)</f>
        <v>0</v>
      </c>
      <c r="J88" s="2145">
        <f t="shared" si="18"/>
        <v>0</v>
      </c>
      <c r="K88" s="2145">
        <f t="shared" si="19"/>
        <v>0</v>
      </c>
      <c r="L88" s="2146"/>
      <c r="V88" s="1352">
        <f t="shared" si="21"/>
        <v>1</v>
      </c>
      <c r="W88" s="1433">
        <f>IF(V88=1,Cal!$BP$127,0)</f>
        <v>0</v>
      </c>
      <c r="X88" s="1367">
        <f>IF(V88=1,Adm!$HI$4,0)</f>
        <v>2.5000000000000001E-3</v>
      </c>
      <c r="Z88" s="1153"/>
      <c r="AC88" s="1370">
        <f t="shared" si="23"/>
        <v>0</v>
      </c>
      <c r="AD88" s="1373">
        <f t="shared" si="24"/>
        <v>0</v>
      </c>
      <c r="AE88" s="1371">
        <f t="shared" si="25"/>
        <v>0</v>
      </c>
      <c r="AF88" s="1359">
        <f>HLOOKUP($AF$11,anticipafreeliq,74,0)</f>
        <v>-8.4490555555555562E-4</v>
      </c>
      <c r="AH88" s="1360">
        <f>Free!AK143</f>
        <v>-8.4490555555555562E-4</v>
      </c>
    </row>
    <row r="89" spans="1:34">
      <c r="A89" s="1118">
        <f t="shared" ca="1" si="14"/>
        <v>5</v>
      </c>
      <c r="B89" s="1101">
        <f t="shared" si="15"/>
        <v>0</v>
      </c>
      <c r="C89" s="2149">
        <f t="shared" si="16"/>
        <v>0</v>
      </c>
      <c r="D89" s="2150">
        <f t="shared" si="13"/>
        <v>0</v>
      </c>
      <c r="E89" s="2145">
        <f t="shared" si="20"/>
        <v>0</v>
      </c>
      <c r="F89" s="2145">
        <f t="shared" si="17"/>
        <v>0</v>
      </c>
      <c r="G89" s="2145">
        <f t="shared" si="22"/>
        <v>0</v>
      </c>
      <c r="H89" s="2145">
        <f>IF(K88&lt;0.01,0,IF(Adm!$GS$4=Adm!$GS$8,0,IF(Adm!$GS$12="Pagados por el Banco",0,K88*Adm!$GV$4)))</f>
        <v>0</v>
      </c>
      <c r="I89" s="2145">
        <f>IF(K88&lt;0.01,0,E89*Adm!$O$8)</f>
        <v>0</v>
      </c>
      <c r="J89" s="2145">
        <f t="shared" si="18"/>
        <v>0</v>
      </c>
      <c r="K89" s="2145">
        <f t="shared" si="19"/>
        <v>0</v>
      </c>
      <c r="L89" s="2146"/>
      <c r="V89" s="1352">
        <f t="shared" si="21"/>
        <v>2</v>
      </c>
      <c r="W89" s="1433">
        <f>IF(V89=1,Cal!$BP$127,0)</f>
        <v>0</v>
      </c>
      <c r="X89" s="1367">
        <f>IF(V89=1,Adm!$HI$4,0)</f>
        <v>0</v>
      </c>
      <c r="Z89" s="1153"/>
      <c r="AC89" s="1370">
        <f t="shared" si="23"/>
        <v>0</v>
      </c>
      <c r="AD89" s="1373">
        <f t="shared" si="24"/>
        <v>0</v>
      </c>
      <c r="AE89" s="1371">
        <f t="shared" si="25"/>
        <v>0</v>
      </c>
      <c r="AF89" s="1359">
        <f>HLOOKUP($AF$11,anticipafreeliq,75,0)</f>
        <v>-8.4490555555555551E-4</v>
      </c>
      <c r="AH89" s="1360">
        <f>Free!AK144</f>
        <v>-8.4490555555555551E-4</v>
      </c>
    </row>
    <row r="90" spans="1:34">
      <c r="A90" s="1118">
        <f t="shared" ca="1" si="14"/>
        <v>6</v>
      </c>
      <c r="B90" s="1101">
        <f t="shared" si="15"/>
        <v>0</v>
      </c>
      <c r="C90" s="2149">
        <f t="shared" si="16"/>
        <v>0</v>
      </c>
      <c r="D90" s="2150">
        <f t="shared" si="13"/>
        <v>0</v>
      </c>
      <c r="E90" s="2145">
        <f t="shared" si="20"/>
        <v>0</v>
      </c>
      <c r="F90" s="2145">
        <f t="shared" si="17"/>
        <v>0</v>
      </c>
      <c r="G90" s="2145">
        <f t="shared" si="22"/>
        <v>0</v>
      </c>
      <c r="H90" s="2145">
        <f>IF(K89&lt;0.01,0,IF(Adm!$GS$4=Adm!$GS$8,0,IF(Adm!$GS$12="Pagados por el Banco",0,K89*Adm!$GV$4)))</f>
        <v>0</v>
      </c>
      <c r="I90" s="2145">
        <f>IF(K89&lt;0.01,0,E90*Adm!$O$8)</f>
        <v>0</v>
      </c>
      <c r="J90" s="2145">
        <f t="shared" si="18"/>
        <v>0</v>
      </c>
      <c r="K90" s="2145">
        <f t="shared" si="19"/>
        <v>0</v>
      </c>
      <c r="L90" s="2146"/>
      <c r="V90" s="1352">
        <f t="shared" si="21"/>
        <v>3</v>
      </c>
      <c r="W90" s="1433">
        <f>IF(V90=1,Cal!$BP$127,0)</f>
        <v>0</v>
      </c>
      <c r="X90" s="1367">
        <f>IF(V90=1,Adm!$HI$4,0)</f>
        <v>0</v>
      </c>
      <c r="Z90" s="1153"/>
      <c r="AC90" s="1370">
        <f t="shared" si="23"/>
        <v>0</v>
      </c>
      <c r="AD90" s="1373">
        <f t="shared" si="24"/>
        <v>0</v>
      </c>
      <c r="AE90" s="1371">
        <f t="shared" si="25"/>
        <v>0</v>
      </c>
      <c r="AF90" s="1359">
        <f>HLOOKUP($AF$11,anticipafreeliq,76,0)</f>
        <v>-8.4490555555555551E-4</v>
      </c>
      <c r="AH90" s="1360">
        <f>Free!AK145</f>
        <v>-8.4490555555555551E-4</v>
      </c>
    </row>
    <row r="91" spans="1:34">
      <c r="A91" s="1118">
        <f t="shared" ca="1" si="14"/>
        <v>7</v>
      </c>
      <c r="B91" s="1101">
        <f t="shared" si="15"/>
        <v>0</v>
      </c>
      <c r="C91" s="2149">
        <f t="shared" si="16"/>
        <v>0</v>
      </c>
      <c r="D91" s="2150">
        <f t="shared" si="13"/>
        <v>0</v>
      </c>
      <c r="E91" s="2145">
        <f t="shared" si="20"/>
        <v>0</v>
      </c>
      <c r="F91" s="2145">
        <f t="shared" si="17"/>
        <v>0</v>
      </c>
      <c r="G91" s="2145">
        <f t="shared" si="22"/>
        <v>0</v>
      </c>
      <c r="H91" s="2145">
        <f>IF(K90&lt;0.01,0,IF(Adm!$GS$4=Adm!$GS$8,0,IF(Adm!$GS$12="Pagados por el Banco",0,K90*Adm!$GV$4)))</f>
        <v>0</v>
      </c>
      <c r="I91" s="2145">
        <f>IF(K90&lt;0.01,0,E91*Adm!$O$8)</f>
        <v>0</v>
      </c>
      <c r="J91" s="2145">
        <f t="shared" si="18"/>
        <v>0</v>
      </c>
      <c r="K91" s="2145">
        <f t="shared" si="19"/>
        <v>0</v>
      </c>
      <c r="L91" s="2146"/>
      <c r="V91" s="1352">
        <f t="shared" si="21"/>
        <v>4</v>
      </c>
      <c r="W91" s="1433">
        <f>IF(V91=1,Cal!$BP$127,0)</f>
        <v>0</v>
      </c>
      <c r="X91" s="1367">
        <f>IF(V91=1,Adm!$HI$4,0)</f>
        <v>0</v>
      </c>
      <c r="Z91" s="1153"/>
      <c r="AC91" s="1370">
        <f t="shared" si="23"/>
        <v>0</v>
      </c>
      <c r="AD91" s="1373">
        <f t="shared" si="24"/>
        <v>0</v>
      </c>
      <c r="AE91" s="1371">
        <f t="shared" si="25"/>
        <v>0</v>
      </c>
      <c r="AF91" s="1359">
        <f>HLOOKUP($AF$11,anticipafreeliq,77,0)</f>
        <v>-8.4490555555555551E-4</v>
      </c>
      <c r="AH91" s="1360">
        <f>Free!AK146</f>
        <v>-8.4490555555555551E-4</v>
      </c>
    </row>
    <row r="92" spans="1:34">
      <c r="A92" s="1118">
        <f t="shared" ca="1" si="14"/>
        <v>8</v>
      </c>
      <c r="B92" s="1101">
        <f t="shared" si="15"/>
        <v>0</v>
      </c>
      <c r="C92" s="2149">
        <f t="shared" si="16"/>
        <v>0</v>
      </c>
      <c r="D92" s="2150">
        <f t="shared" si="13"/>
        <v>0</v>
      </c>
      <c r="E92" s="2145">
        <f t="shared" si="20"/>
        <v>0</v>
      </c>
      <c r="F92" s="2145">
        <f t="shared" si="17"/>
        <v>0</v>
      </c>
      <c r="G92" s="2145">
        <f t="shared" si="22"/>
        <v>0</v>
      </c>
      <c r="H92" s="2145">
        <f>IF(K91&lt;0.01,0,IF(Adm!$GS$4=Adm!$GS$8,0,IF(Adm!$GS$12="Pagados por el Banco",0,K91*Adm!$GV$4)))</f>
        <v>0</v>
      </c>
      <c r="I92" s="2145">
        <f>IF(K91&lt;0.01,0,E92*Adm!$O$8)</f>
        <v>0</v>
      </c>
      <c r="J92" s="2145">
        <f t="shared" si="18"/>
        <v>0</v>
      </c>
      <c r="K92" s="2145">
        <f t="shared" si="19"/>
        <v>0</v>
      </c>
      <c r="L92" s="2146"/>
      <c r="V92" s="1352">
        <f t="shared" si="21"/>
        <v>5</v>
      </c>
      <c r="W92" s="1433">
        <f>IF(V92=1,Cal!$BP$127,0)</f>
        <v>0</v>
      </c>
      <c r="X92" s="1367">
        <f>IF(V92=1,Adm!$HI$4,0)</f>
        <v>0</v>
      </c>
      <c r="Z92" s="1153"/>
      <c r="AC92" s="1370">
        <f t="shared" si="23"/>
        <v>0</v>
      </c>
      <c r="AD92" s="1373">
        <f t="shared" si="24"/>
        <v>0</v>
      </c>
      <c r="AE92" s="1371">
        <f t="shared" si="25"/>
        <v>0</v>
      </c>
      <c r="AF92" s="1359">
        <f>HLOOKUP($AF$11,anticipafreeliq,78,0)</f>
        <v>-8.4490555555555551E-4</v>
      </c>
      <c r="AH92" s="1360">
        <f>Free!AK147</f>
        <v>-8.4490555555555551E-4</v>
      </c>
    </row>
    <row r="93" spans="1:34">
      <c r="A93" s="1118">
        <f t="shared" ca="1" si="14"/>
        <v>9</v>
      </c>
      <c r="B93" s="1101">
        <f t="shared" si="15"/>
        <v>0</v>
      </c>
      <c r="C93" s="2149">
        <f t="shared" si="16"/>
        <v>0</v>
      </c>
      <c r="D93" s="2150">
        <f t="shared" si="13"/>
        <v>0</v>
      </c>
      <c r="E93" s="2145">
        <f t="shared" si="20"/>
        <v>0</v>
      </c>
      <c r="F93" s="2145">
        <f t="shared" si="17"/>
        <v>0</v>
      </c>
      <c r="G93" s="2145">
        <f t="shared" si="22"/>
        <v>0</v>
      </c>
      <c r="H93" s="2145">
        <f>IF(K92&lt;0.01,0,IF(Adm!$GS$4=Adm!$GS$8,0,IF(Adm!$GS$12="Pagados por el Banco",0,K92*Adm!$GV$4)))</f>
        <v>0</v>
      </c>
      <c r="I93" s="2145">
        <f>IF(K92&lt;0.01,0,E93*Adm!$O$8)</f>
        <v>0</v>
      </c>
      <c r="J93" s="2145">
        <f t="shared" si="18"/>
        <v>0</v>
      </c>
      <c r="K93" s="2145">
        <f t="shared" si="19"/>
        <v>0</v>
      </c>
      <c r="L93" s="2146"/>
      <c r="V93" s="1352">
        <f t="shared" si="21"/>
        <v>6</v>
      </c>
      <c r="W93" s="1433">
        <f>IF(V93=1,Cal!$BP$127,0)</f>
        <v>0</v>
      </c>
      <c r="X93" s="1367">
        <f>IF(V93=1,Adm!$HI$4,0)</f>
        <v>0</v>
      </c>
      <c r="Z93" s="1153"/>
      <c r="AC93" s="1370">
        <f t="shared" si="23"/>
        <v>0</v>
      </c>
      <c r="AD93" s="1373">
        <f t="shared" si="24"/>
        <v>0</v>
      </c>
      <c r="AE93" s="1371">
        <f t="shared" si="25"/>
        <v>0</v>
      </c>
      <c r="AF93" s="1359">
        <f>HLOOKUP($AF$11,anticipafreeliq,79,0)</f>
        <v>-8.4490555555555551E-4</v>
      </c>
      <c r="AH93" s="1360">
        <f>Free!AK148</f>
        <v>-8.4490555555555551E-4</v>
      </c>
    </row>
    <row r="94" spans="1:34">
      <c r="A94" s="1118">
        <f t="shared" ca="1" si="14"/>
        <v>10</v>
      </c>
      <c r="B94" s="1101">
        <f t="shared" si="15"/>
        <v>0</v>
      </c>
      <c r="C94" s="2149">
        <f t="shared" si="16"/>
        <v>0</v>
      </c>
      <c r="D94" s="2150">
        <f t="shared" si="13"/>
        <v>0</v>
      </c>
      <c r="E94" s="2145">
        <f t="shared" si="20"/>
        <v>0</v>
      </c>
      <c r="F94" s="2145">
        <f t="shared" si="17"/>
        <v>0</v>
      </c>
      <c r="G94" s="2145">
        <f t="shared" si="22"/>
        <v>0</v>
      </c>
      <c r="H94" s="2145">
        <f>IF(K93&lt;0.01,0,IF(Adm!$GS$4=Adm!$GS$8,0,IF(Adm!$GS$12="Pagados por el Banco",0,K93*Adm!$GV$4)))</f>
        <v>0</v>
      </c>
      <c r="I94" s="2145">
        <f>IF(K93&lt;0.01,0,E94*Adm!$O$8)</f>
        <v>0</v>
      </c>
      <c r="J94" s="2145">
        <f t="shared" si="18"/>
        <v>0</v>
      </c>
      <c r="K94" s="2145">
        <f t="shared" si="19"/>
        <v>0</v>
      </c>
      <c r="L94" s="2146"/>
      <c r="V94" s="1352">
        <f t="shared" si="21"/>
        <v>7</v>
      </c>
      <c r="W94" s="1433">
        <f>IF(V94=1,Cal!$BP$127,0)</f>
        <v>0</v>
      </c>
      <c r="X94" s="1367">
        <f>IF(V94=1,Adm!$HI$4,0)</f>
        <v>0</v>
      </c>
      <c r="Z94" s="1153"/>
      <c r="AC94" s="1370">
        <f t="shared" si="23"/>
        <v>0</v>
      </c>
      <c r="AD94" s="1373">
        <f t="shared" si="24"/>
        <v>0</v>
      </c>
      <c r="AE94" s="1371">
        <f t="shared" si="25"/>
        <v>0</v>
      </c>
      <c r="AF94" s="1359">
        <f>HLOOKUP($AF$11,anticipafreeliq,80,0)</f>
        <v>-8.4490555555555551E-4</v>
      </c>
      <c r="AH94" s="1360">
        <f>Free!AK149</f>
        <v>-8.4490555555555551E-4</v>
      </c>
    </row>
    <row r="95" spans="1:34">
      <c r="A95" s="1118">
        <f t="shared" ca="1" si="14"/>
        <v>11</v>
      </c>
      <c r="B95" s="1101">
        <f t="shared" si="15"/>
        <v>0</v>
      </c>
      <c r="C95" s="2149">
        <f t="shared" si="16"/>
        <v>0</v>
      </c>
      <c r="D95" s="2150">
        <f t="shared" si="13"/>
        <v>0</v>
      </c>
      <c r="E95" s="2145">
        <f t="shared" si="20"/>
        <v>0</v>
      </c>
      <c r="F95" s="2145">
        <f t="shared" si="17"/>
        <v>0</v>
      </c>
      <c r="G95" s="2145">
        <f t="shared" si="22"/>
        <v>0</v>
      </c>
      <c r="H95" s="2145">
        <f>IF(K94&lt;0.01,0,IF(Adm!$GS$4=Adm!$GS$8,0,IF(Adm!$GS$12="Pagados por el Banco",0,K94*Adm!$GV$4)))</f>
        <v>0</v>
      </c>
      <c r="I95" s="2145">
        <f>IF(K94&lt;0.01,0,E95*Adm!$O$8)</f>
        <v>0</v>
      </c>
      <c r="J95" s="2145">
        <f t="shared" si="18"/>
        <v>0</v>
      </c>
      <c r="K95" s="2145">
        <f t="shared" si="19"/>
        <v>0</v>
      </c>
      <c r="L95" s="2146"/>
      <c r="V95" s="1352">
        <f t="shared" si="21"/>
        <v>8</v>
      </c>
      <c r="W95" s="1433">
        <f>IF(V95=1,Cal!$BP$127,0)</f>
        <v>0</v>
      </c>
      <c r="X95" s="1367">
        <f>IF(V95=1,Adm!$HI$4,0)</f>
        <v>0</v>
      </c>
      <c r="Z95" s="1153"/>
      <c r="AC95" s="1370">
        <f t="shared" si="23"/>
        <v>0</v>
      </c>
      <c r="AD95" s="1373">
        <f t="shared" si="24"/>
        <v>0</v>
      </c>
      <c r="AE95" s="1371">
        <f t="shared" si="25"/>
        <v>0</v>
      </c>
      <c r="AF95" s="1359">
        <f>HLOOKUP($AF$11,anticipafreeliq,81,0)</f>
        <v>-8.4490555555555551E-4</v>
      </c>
      <c r="AH95" s="1360">
        <f>Free!AK150</f>
        <v>-8.4490555555555551E-4</v>
      </c>
    </row>
    <row r="96" spans="1:34">
      <c r="A96" s="1118">
        <f t="shared" ca="1" si="14"/>
        <v>12</v>
      </c>
      <c r="B96" s="1101">
        <f t="shared" si="15"/>
        <v>0</v>
      </c>
      <c r="C96" s="2149">
        <f t="shared" si="16"/>
        <v>0</v>
      </c>
      <c r="D96" s="2150">
        <f t="shared" si="13"/>
        <v>0</v>
      </c>
      <c r="E96" s="2145">
        <f t="shared" si="20"/>
        <v>0</v>
      </c>
      <c r="F96" s="2145">
        <f t="shared" si="17"/>
        <v>0</v>
      </c>
      <c r="G96" s="2145">
        <f t="shared" si="22"/>
        <v>0</v>
      </c>
      <c r="H96" s="2145">
        <f>IF(K95&lt;0.01,0,IF(Adm!$GS$4=Adm!$GS$8,0,IF(Adm!$GS$12="Pagados por el Banco",0,K95*Adm!$GV$4)))</f>
        <v>0</v>
      </c>
      <c r="I96" s="2145">
        <f>IF(K95&lt;0.01,0,E96*Adm!$O$8)</f>
        <v>0</v>
      </c>
      <c r="J96" s="2145">
        <f t="shared" si="18"/>
        <v>0</v>
      </c>
      <c r="K96" s="2145">
        <f t="shared" si="19"/>
        <v>0</v>
      </c>
      <c r="L96" s="2146"/>
      <c r="V96" s="1352">
        <f t="shared" si="21"/>
        <v>9</v>
      </c>
      <c r="W96" s="1433">
        <f>IF(V96=1,Cal!$BP$127,0)</f>
        <v>0</v>
      </c>
      <c r="X96" s="1367">
        <f>IF(V96=1,Adm!$HI$4,0)</f>
        <v>0</v>
      </c>
      <c r="Z96" s="1153"/>
      <c r="AC96" s="1370">
        <f t="shared" si="23"/>
        <v>0</v>
      </c>
      <c r="AD96" s="1373">
        <f t="shared" si="24"/>
        <v>0</v>
      </c>
      <c r="AE96" s="1371">
        <f t="shared" si="25"/>
        <v>0</v>
      </c>
      <c r="AF96" s="1359">
        <f>HLOOKUP($AF$11,anticipafreeliq,82,0)</f>
        <v>-8.4490555555555541E-4</v>
      </c>
      <c r="AH96" s="1360">
        <f>Free!AK151</f>
        <v>-8.4490555555555541E-4</v>
      </c>
    </row>
    <row r="97" spans="1:34">
      <c r="A97" s="1118">
        <f t="shared" ca="1" si="14"/>
        <v>1</v>
      </c>
      <c r="B97" s="1101">
        <f t="shared" si="15"/>
        <v>0</v>
      </c>
      <c r="C97" s="2149">
        <f t="shared" si="16"/>
        <v>0</v>
      </c>
      <c r="D97" s="2150">
        <f t="shared" si="13"/>
        <v>0</v>
      </c>
      <c r="E97" s="2145">
        <f t="shared" si="20"/>
        <v>0</v>
      </c>
      <c r="F97" s="2145">
        <f t="shared" si="17"/>
        <v>0</v>
      </c>
      <c r="G97" s="2145">
        <f t="shared" si="22"/>
        <v>0</v>
      </c>
      <c r="H97" s="2145">
        <f>IF(K96&lt;0.01,0,IF(Adm!$GS$4=Adm!$GS$8,0,IF(Adm!$GS$12="Pagados por el Banco",0,K96*Adm!$GV$4)))</f>
        <v>0</v>
      </c>
      <c r="I97" s="2145">
        <f>IF(K96&lt;0.01,0,E97*Adm!$O$8)</f>
        <v>0</v>
      </c>
      <c r="J97" s="2145">
        <f t="shared" si="18"/>
        <v>0</v>
      </c>
      <c r="K97" s="2145">
        <f t="shared" si="19"/>
        <v>0</v>
      </c>
      <c r="L97" s="2146"/>
      <c r="V97" s="1352">
        <f t="shared" si="21"/>
        <v>10</v>
      </c>
      <c r="W97" s="1433">
        <f>IF(V97=1,Cal!$BP$127,0)</f>
        <v>0</v>
      </c>
      <c r="X97" s="1367">
        <f>IF(V97=1,Adm!$HI$4,0)</f>
        <v>0</v>
      </c>
      <c r="Z97" s="1153"/>
      <c r="AC97" s="1370">
        <f t="shared" si="23"/>
        <v>0</v>
      </c>
      <c r="AD97" s="1373">
        <f t="shared" si="24"/>
        <v>0</v>
      </c>
      <c r="AE97" s="1371">
        <f t="shared" si="25"/>
        <v>0</v>
      </c>
      <c r="AF97" s="1359">
        <f>HLOOKUP($AF$11,anticipafreeliq,83,0)</f>
        <v>-8.4490555555555551E-4</v>
      </c>
      <c r="AH97" s="1360">
        <f>Free!AK152</f>
        <v>-8.4490555555555551E-4</v>
      </c>
    </row>
    <row r="98" spans="1:34">
      <c r="A98" s="1118">
        <f t="shared" ca="1" si="14"/>
        <v>2</v>
      </c>
      <c r="B98" s="1101">
        <f t="shared" si="15"/>
        <v>0</v>
      </c>
      <c r="C98" s="2149">
        <f t="shared" si="16"/>
        <v>0</v>
      </c>
      <c r="D98" s="2150">
        <f t="shared" si="13"/>
        <v>0</v>
      </c>
      <c r="E98" s="2145">
        <f t="shared" si="20"/>
        <v>0</v>
      </c>
      <c r="F98" s="2145">
        <f t="shared" si="17"/>
        <v>0</v>
      </c>
      <c r="G98" s="2145">
        <f t="shared" si="22"/>
        <v>0</v>
      </c>
      <c r="H98" s="2145">
        <f>IF(K97&lt;0.01,0,IF(Adm!$GS$4=Adm!$GS$8,0,IF(Adm!$GS$12="Pagados por el Banco",0,K97*Adm!$GV$4)))</f>
        <v>0</v>
      </c>
      <c r="I98" s="2145">
        <f>IF(K97&lt;0.01,0,E98*Adm!$O$8)</f>
        <v>0</v>
      </c>
      <c r="J98" s="2145">
        <f t="shared" si="18"/>
        <v>0</v>
      </c>
      <c r="K98" s="2145">
        <f t="shared" si="19"/>
        <v>0</v>
      </c>
      <c r="L98" s="2146"/>
      <c r="V98" s="1352">
        <f t="shared" si="21"/>
        <v>11</v>
      </c>
      <c r="W98" s="1433">
        <f>IF(V98=1,Cal!$BP$127,0)</f>
        <v>0</v>
      </c>
      <c r="X98" s="1367">
        <f>IF(V98=1,Adm!$HI$4,0)</f>
        <v>0</v>
      </c>
      <c r="Z98" s="1153"/>
      <c r="AC98" s="1370">
        <f t="shared" si="23"/>
        <v>0</v>
      </c>
      <c r="AD98" s="1373">
        <f t="shared" si="24"/>
        <v>0</v>
      </c>
      <c r="AE98" s="1371">
        <f t="shared" si="25"/>
        <v>0</v>
      </c>
      <c r="AF98" s="1359">
        <f>HLOOKUP($AF$11,anticipafreeliq,84,0)</f>
        <v>-8.4490555555555562E-4</v>
      </c>
      <c r="AH98" s="1360">
        <f>Free!AK153</f>
        <v>-8.4490555555555562E-4</v>
      </c>
    </row>
    <row r="99" spans="1:34">
      <c r="A99" s="1118">
        <f t="shared" ca="1" si="14"/>
        <v>3</v>
      </c>
      <c r="B99" s="1101">
        <f t="shared" si="15"/>
        <v>0</v>
      </c>
      <c r="C99" s="2149">
        <f t="shared" si="16"/>
        <v>0</v>
      </c>
      <c r="D99" s="2150">
        <f t="shared" si="13"/>
        <v>0</v>
      </c>
      <c r="E99" s="2145">
        <f t="shared" si="20"/>
        <v>0</v>
      </c>
      <c r="F99" s="2145">
        <f t="shared" si="17"/>
        <v>0</v>
      </c>
      <c r="G99" s="2145">
        <f t="shared" si="22"/>
        <v>0</v>
      </c>
      <c r="H99" s="2145">
        <f>IF(K98&lt;0.01,0,IF(Adm!$GS$4=Adm!$GS$8,0,IF(Adm!$GS$12="Pagados por el Banco",0,K98*Adm!$GV$4)))</f>
        <v>0</v>
      </c>
      <c r="I99" s="2145">
        <f>IF(K98&lt;0.01,0,E99*Adm!$O$8)</f>
        <v>0</v>
      </c>
      <c r="J99" s="2145">
        <f t="shared" si="18"/>
        <v>0</v>
      </c>
      <c r="K99" s="2145">
        <f t="shared" si="19"/>
        <v>0</v>
      </c>
      <c r="L99" s="2146"/>
      <c r="V99" s="1352">
        <f t="shared" si="21"/>
        <v>12</v>
      </c>
      <c r="W99" s="1433">
        <f>IF(V99=1,Cal!$BP$127,0)</f>
        <v>0</v>
      </c>
      <c r="X99" s="1367">
        <f>IF(V99=1,Adm!$HI$4,0)</f>
        <v>0</v>
      </c>
      <c r="Z99" s="1153"/>
      <c r="AC99" s="1370">
        <f t="shared" si="23"/>
        <v>0</v>
      </c>
      <c r="AD99" s="1373">
        <f t="shared" si="24"/>
        <v>0</v>
      </c>
      <c r="AE99" s="1371">
        <f t="shared" si="25"/>
        <v>0</v>
      </c>
      <c r="AF99" s="1359">
        <f>HLOOKUP($AF$11,anticipafreeliq,85,0)</f>
        <v>-8.4490555555555541E-4</v>
      </c>
      <c r="AH99" s="1360">
        <f>Free!AK154</f>
        <v>-8.4490555555555541E-4</v>
      </c>
    </row>
    <row r="100" spans="1:34">
      <c r="A100" s="1118">
        <f t="shared" ca="1" si="14"/>
        <v>4</v>
      </c>
      <c r="B100" s="1101">
        <f t="shared" si="15"/>
        <v>0</v>
      </c>
      <c r="C100" s="2149">
        <f t="shared" si="16"/>
        <v>0</v>
      </c>
      <c r="D100" s="2150">
        <f t="shared" si="13"/>
        <v>0</v>
      </c>
      <c r="E100" s="2145">
        <f t="shared" si="20"/>
        <v>0</v>
      </c>
      <c r="F100" s="2145">
        <f t="shared" si="17"/>
        <v>0</v>
      </c>
      <c r="G100" s="2145">
        <f t="shared" si="22"/>
        <v>0</v>
      </c>
      <c r="H100" s="2145">
        <f>IF(K99&lt;0.01,0,IF(Adm!$GS$4=Adm!$GS$8,0,IF(Adm!$GS$12="Pagados por el Banco",0,K99*Adm!$GV$4)))</f>
        <v>0</v>
      </c>
      <c r="I100" s="2145">
        <f>IF(K99&lt;0.01,0,E100*Adm!$O$8)</f>
        <v>0</v>
      </c>
      <c r="J100" s="2145">
        <f t="shared" si="18"/>
        <v>0</v>
      </c>
      <c r="K100" s="2145">
        <f t="shared" si="19"/>
        <v>0</v>
      </c>
      <c r="L100" s="2146"/>
      <c r="V100" s="1352">
        <f t="shared" si="21"/>
        <v>1</v>
      </c>
      <c r="W100" s="1433">
        <f>IF(V100=1,Cal!$BP$127,0)</f>
        <v>0</v>
      </c>
      <c r="X100" s="1367">
        <f>IF(V100=1,Adm!$HI$4,0)</f>
        <v>2.5000000000000001E-3</v>
      </c>
      <c r="Z100" s="1153"/>
      <c r="AC100" s="1370">
        <f t="shared" si="23"/>
        <v>0</v>
      </c>
      <c r="AD100" s="1373">
        <f t="shared" si="24"/>
        <v>0</v>
      </c>
      <c r="AE100" s="1371">
        <f t="shared" si="25"/>
        <v>0</v>
      </c>
      <c r="AF100" s="1359">
        <f>HLOOKUP($AF$11,anticipafreeliq,86,0)</f>
        <v>-8.4490555555555551E-4</v>
      </c>
      <c r="AH100" s="1360">
        <f>Free!AK155</f>
        <v>-8.4490555555555551E-4</v>
      </c>
    </row>
    <row r="101" spans="1:34">
      <c r="A101" s="1118">
        <f t="shared" ca="1" si="14"/>
        <v>5</v>
      </c>
      <c r="B101" s="1101">
        <f t="shared" si="15"/>
        <v>0</v>
      </c>
      <c r="C101" s="2149">
        <f t="shared" si="16"/>
        <v>0</v>
      </c>
      <c r="D101" s="2150">
        <f t="shared" si="13"/>
        <v>0</v>
      </c>
      <c r="E101" s="2145">
        <f t="shared" si="20"/>
        <v>0</v>
      </c>
      <c r="F101" s="2145">
        <f t="shared" si="17"/>
        <v>0</v>
      </c>
      <c r="G101" s="2145">
        <f t="shared" si="22"/>
        <v>0</v>
      </c>
      <c r="H101" s="2145">
        <f>IF(K100&lt;0.01,0,IF(Adm!$GS$4=Adm!$GS$8,0,IF(Adm!$GS$12="Pagados por el Banco",0,K100*Adm!$GV$4)))</f>
        <v>0</v>
      </c>
      <c r="I101" s="2145">
        <f>IF(K100&lt;0.01,0,E101*Adm!$O$8)</f>
        <v>0</v>
      </c>
      <c r="J101" s="2145">
        <f t="shared" si="18"/>
        <v>0</v>
      </c>
      <c r="K101" s="2145">
        <f t="shared" si="19"/>
        <v>0</v>
      </c>
      <c r="L101" s="2146"/>
      <c r="V101" s="1352">
        <f t="shared" si="21"/>
        <v>2</v>
      </c>
      <c r="W101" s="1433">
        <f>IF(V101=1,Cal!$BP$127,0)</f>
        <v>0</v>
      </c>
      <c r="X101" s="1367">
        <f>IF(V101=1,Adm!$HI$4,0)</f>
        <v>0</v>
      </c>
      <c r="Z101" s="1153"/>
      <c r="AC101" s="1370">
        <f t="shared" si="23"/>
        <v>0</v>
      </c>
      <c r="AD101" s="1373">
        <f t="shared" si="24"/>
        <v>0</v>
      </c>
      <c r="AE101" s="1371">
        <f t="shared" si="25"/>
        <v>0</v>
      </c>
      <c r="AF101" s="1359">
        <f>HLOOKUP($AF$11,anticipafreeliq,87,0)</f>
        <v>-8.4490555555555551E-4</v>
      </c>
      <c r="AH101" s="1360">
        <f>Free!AK156</f>
        <v>-8.4490555555555551E-4</v>
      </c>
    </row>
    <row r="102" spans="1:34">
      <c r="A102" s="1118">
        <f t="shared" ca="1" si="14"/>
        <v>6</v>
      </c>
      <c r="B102" s="1101">
        <f t="shared" si="15"/>
        <v>0</v>
      </c>
      <c r="C102" s="2149">
        <f t="shared" si="16"/>
        <v>0</v>
      </c>
      <c r="D102" s="2150">
        <f t="shared" si="13"/>
        <v>0</v>
      </c>
      <c r="E102" s="2145">
        <f t="shared" si="20"/>
        <v>0</v>
      </c>
      <c r="F102" s="2145">
        <f t="shared" si="17"/>
        <v>0</v>
      </c>
      <c r="G102" s="2145">
        <f t="shared" si="22"/>
        <v>0</v>
      </c>
      <c r="H102" s="2145">
        <f>IF(K101&lt;0.01,0,IF(Adm!$GS$4=Adm!$GS$8,0,IF(Adm!$GS$12="Pagados por el Banco",0,K101*Adm!$GV$4)))</f>
        <v>0</v>
      </c>
      <c r="I102" s="2145">
        <f>IF(K101&lt;0.01,0,E102*Adm!$O$8)</f>
        <v>0</v>
      </c>
      <c r="J102" s="2145">
        <f t="shared" si="18"/>
        <v>0</v>
      </c>
      <c r="K102" s="2145">
        <f t="shared" si="19"/>
        <v>0</v>
      </c>
      <c r="L102" s="2146"/>
      <c r="V102" s="1352">
        <f t="shared" si="21"/>
        <v>3</v>
      </c>
      <c r="W102" s="1433">
        <f>IF(V102=1,Cal!$BP$127,0)</f>
        <v>0</v>
      </c>
      <c r="X102" s="1367">
        <f>IF(V102=1,Adm!$HI$4,0)</f>
        <v>0</v>
      </c>
      <c r="Z102" s="1153"/>
      <c r="AC102" s="1370">
        <f t="shared" si="23"/>
        <v>0</v>
      </c>
      <c r="AD102" s="1373">
        <f t="shared" si="24"/>
        <v>0</v>
      </c>
      <c r="AE102" s="1371">
        <f t="shared" si="25"/>
        <v>0</v>
      </c>
      <c r="AF102" s="1359">
        <f>HLOOKUP($AF$11,anticipafreeliq,88,0)</f>
        <v>-8.4490555555555551E-4</v>
      </c>
      <c r="AH102" s="1360">
        <f>Free!AK157</f>
        <v>-8.4490555555555551E-4</v>
      </c>
    </row>
    <row r="103" spans="1:34">
      <c r="A103" s="1118">
        <f t="shared" ca="1" si="14"/>
        <v>7</v>
      </c>
      <c r="B103" s="1101">
        <f t="shared" si="15"/>
        <v>0</v>
      </c>
      <c r="C103" s="2149">
        <f t="shared" si="16"/>
        <v>0</v>
      </c>
      <c r="D103" s="2150">
        <f t="shared" si="13"/>
        <v>0</v>
      </c>
      <c r="E103" s="2145">
        <f t="shared" si="20"/>
        <v>0</v>
      </c>
      <c r="F103" s="2145">
        <f t="shared" si="17"/>
        <v>0</v>
      </c>
      <c r="G103" s="2145">
        <f t="shared" si="22"/>
        <v>0</v>
      </c>
      <c r="H103" s="2145">
        <f>IF(K102&lt;0.01,0,IF(Adm!$GS$4=Adm!$GS$8,0,IF(Adm!$GS$12="Pagados por el Banco",0,K102*Adm!$GV$4)))</f>
        <v>0</v>
      </c>
      <c r="I103" s="2145">
        <f>IF(K102&lt;0.01,0,E103*Adm!$O$8)</f>
        <v>0</v>
      </c>
      <c r="J103" s="2145">
        <f t="shared" si="18"/>
        <v>0</v>
      </c>
      <c r="K103" s="2145">
        <f t="shared" si="19"/>
        <v>0</v>
      </c>
      <c r="L103" s="2146"/>
      <c r="V103" s="1352">
        <f t="shared" si="21"/>
        <v>4</v>
      </c>
      <c r="W103" s="1433">
        <f>IF(V103=1,Cal!$BP$127,0)</f>
        <v>0</v>
      </c>
      <c r="X103" s="1367">
        <f>IF(V103=1,Adm!$HI$4,0)</f>
        <v>0</v>
      </c>
      <c r="Z103" s="1153"/>
      <c r="AC103" s="1370">
        <f t="shared" si="23"/>
        <v>0</v>
      </c>
      <c r="AD103" s="1373">
        <f t="shared" si="24"/>
        <v>0</v>
      </c>
      <c r="AE103" s="1371">
        <f t="shared" si="25"/>
        <v>0</v>
      </c>
      <c r="AF103" s="1359">
        <f>HLOOKUP($AF$11,anticipafreeliq,89,0)</f>
        <v>-8.4490555555555573E-4</v>
      </c>
      <c r="AH103" s="1360">
        <f>Free!AK158</f>
        <v>-8.4490555555555573E-4</v>
      </c>
    </row>
    <row r="104" spans="1:34">
      <c r="A104" s="1118">
        <f t="shared" ca="1" si="14"/>
        <v>8</v>
      </c>
      <c r="B104" s="1101">
        <f t="shared" si="15"/>
        <v>0</v>
      </c>
      <c r="C104" s="2149">
        <f t="shared" si="16"/>
        <v>0</v>
      </c>
      <c r="D104" s="2150">
        <f t="shared" si="13"/>
        <v>0</v>
      </c>
      <c r="E104" s="2145">
        <f t="shared" si="20"/>
        <v>0</v>
      </c>
      <c r="F104" s="2145">
        <f t="shared" si="17"/>
        <v>0</v>
      </c>
      <c r="G104" s="2145">
        <f t="shared" si="22"/>
        <v>0</v>
      </c>
      <c r="H104" s="2145">
        <f>IF(K103&lt;0.01,0,IF(Adm!$GS$4=Adm!$GS$8,0,IF(Adm!$GS$12="Pagados por el Banco",0,K103*Adm!$GV$4)))</f>
        <v>0</v>
      </c>
      <c r="I104" s="2145">
        <f>IF(K103&lt;0.01,0,E104*Adm!$O$8)</f>
        <v>0</v>
      </c>
      <c r="J104" s="2145">
        <f t="shared" si="18"/>
        <v>0</v>
      </c>
      <c r="K104" s="2145">
        <f t="shared" si="19"/>
        <v>0</v>
      </c>
      <c r="L104" s="2146"/>
      <c r="V104" s="1352">
        <f t="shared" si="21"/>
        <v>5</v>
      </c>
      <c r="W104" s="1433">
        <f>IF(V104=1,Cal!$BP$127,0)</f>
        <v>0</v>
      </c>
      <c r="X104" s="1367">
        <f>IF(V104=1,Adm!$HI$4,0)</f>
        <v>0</v>
      </c>
      <c r="Z104" s="1153"/>
      <c r="AC104" s="1370">
        <f t="shared" si="23"/>
        <v>0</v>
      </c>
      <c r="AD104" s="1373">
        <f t="shared" si="24"/>
        <v>0</v>
      </c>
      <c r="AE104" s="1371">
        <f t="shared" si="25"/>
        <v>0</v>
      </c>
      <c r="AF104" s="1359">
        <f>HLOOKUP($AF$11,anticipafreeliq,90,0)</f>
        <v>-8.4490555555555562E-4</v>
      </c>
      <c r="AH104" s="1360">
        <f>Free!AK159</f>
        <v>-8.4490555555555562E-4</v>
      </c>
    </row>
    <row r="105" spans="1:34">
      <c r="A105" s="1118">
        <f t="shared" ca="1" si="14"/>
        <v>9</v>
      </c>
      <c r="B105" s="1101">
        <f t="shared" si="15"/>
        <v>0</v>
      </c>
      <c r="C105" s="2149">
        <f t="shared" si="16"/>
        <v>0</v>
      </c>
      <c r="D105" s="2150">
        <f t="shared" si="13"/>
        <v>0</v>
      </c>
      <c r="E105" s="2145">
        <f t="shared" si="20"/>
        <v>0</v>
      </c>
      <c r="F105" s="2145">
        <f t="shared" si="17"/>
        <v>0</v>
      </c>
      <c r="G105" s="2145">
        <f t="shared" si="22"/>
        <v>0</v>
      </c>
      <c r="H105" s="2145">
        <f>IF(K104&lt;0.01,0,IF(Adm!$GS$4=Adm!$GS$8,0,IF(Adm!$GS$12="Pagados por el Banco",0,K104*Adm!$GV$4)))</f>
        <v>0</v>
      </c>
      <c r="I105" s="2145">
        <f>IF(K104&lt;0.01,0,E105*Adm!$O$8)</f>
        <v>0</v>
      </c>
      <c r="J105" s="2145">
        <f t="shared" si="18"/>
        <v>0</v>
      </c>
      <c r="K105" s="2145">
        <f t="shared" si="19"/>
        <v>0</v>
      </c>
      <c r="L105" s="2146"/>
      <c r="V105" s="1352">
        <f t="shared" si="21"/>
        <v>6</v>
      </c>
      <c r="W105" s="1433">
        <f>IF(V105=1,Cal!$BP$127,0)</f>
        <v>0</v>
      </c>
      <c r="X105" s="1367">
        <f>IF(V105=1,Adm!$HI$4,0)</f>
        <v>0</v>
      </c>
      <c r="Z105" s="1153"/>
      <c r="AC105" s="1370">
        <f t="shared" si="23"/>
        <v>0</v>
      </c>
      <c r="AD105" s="1373">
        <f t="shared" si="24"/>
        <v>0</v>
      </c>
      <c r="AE105" s="1371">
        <f t="shared" si="25"/>
        <v>0</v>
      </c>
      <c r="AF105" s="1359">
        <f>HLOOKUP($AF$11,anticipafreeliq,91,0)</f>
        <v>-8.4490555555555551E-4</v>
      </c>
      <c r="AH105" s="1360">
        <f>Free!AK160</f>
        <v>-8.4490555555555551E-4</v>
      </c>
    </row>
    <row r="106" spans="1:34">
      <c r="A106" s="1118">
        <f t="shared" ca="1" si="14"/>
        <v>10</v>
      </c>
      <c r="B106" s="1101">
        <f t="shared" si="15"/>
        <v>0</v>
      </c>
      <c r="C106" s="2149">
        <f t="shared" si="16"/>
        <v>0</v>
      </c>
      <c r="D106" s="2150">
        <f t="shared" si="13"/>
        <v>0</v>
      </c>
      <c r="E106" s="2145">
        <f t="shared" si="20"/>
        <v>0</v>
      </c>
      <c r="F106" s="2145">
        <f t="shared" si="17"/>
        <v>0</v>
      </c>
      <c r="G106" s="2145">
        <f t="shared" si="22"/>
        <v>0</v>
      </c>
      <c r="H106" s="2145">
        <f>IF(K105&lt;0.01,0,IF(Adm!$GS$4=Adm!$GS$8,0,IF(Adm!$GS$12="Pagados por el Banco",0,K105*Adm!$GV$4)))</f>
        <v>0</v>
      </c>
      <c r="I106" s="2145">
        <f>IF(K105&lt;0.01,0,E106*Adm!$O$8)</f>
        <v>0</v>
      </c>
      <c r="J106" s="2145">
        <f t="shared" si="18"/>
        <v>0</v>
      </c>
      <c r="K106" s="2145">
        <f t="shared" si="19"/>
        <v>0</v>
      </c>
      <c r="L106" s="2146"/>
      <c r="V106" s="1352">
        <f t="shared" si="21"/>
        <v>7</v>
      </c>
      <c r="W106" s="1433">
        <f>IF(V106=1,Cal!$BP$127,0)</f>
        <v>0</v>
      </c>
      <c r="X106" s="1367">
        <f>IF(V106=1,Adm!$HI$4,0)</f>
        <v>0</v>
      </c>
      <c r="Z106" s="1153"/>
      <c r="AC106" s="1370">
        <f t="shared" si="23"/>
        <v>0</v>
      </c>
      <c r="AD106" s="1373">
        <f t="shared" si="24"/>
        <v>0</v>
      </c>
      <c r="AE106" s="1371">
        <f t="shared" si="25"/>
        <v>0</v>
      </c>
      <c r="AF106" s="1359">
        <f>HLOOKUP($AF$11,anticipafreeliq,92,0)</f>
        <v>-8.4490555555555562E-4</v>
      </c>
      <c r="AH106" s="1360">
        <f>Free!AK161</f>
        <v>-8.4490555555555562E-4</v>
      </c>
    </row>
    <row r="107" spans="1:34">
      <c r="A107" s="1118">
        <f t="shared" ca="1" si="14"/>
        <v>11</v>
      </c>
      <c r="B107" s="1101">
        <f t="shared" si="15"/>
        <v>0</v>
      </c>
      <c r="C107" s="2149">
        <f t="shared" si="16"/>
        <v>0</v>
      </c>
      <c r="D107" s="2150">
        <f t="shared" si="13"/>
        <v>0</v>
      </c>
      <c r="E107" s="2145">
        <f t="shared" si="20"/>
        <v>0</v>
      </c>
      <c r="F107" s="2145">
        <f t="shared" si="17"/>
        <v>0</v>
      </c>
      <c r="G107" s="2145">
        <f t="shared" si="22"/>
        <v>0</v>
      </c>
      <c r="H107" s="2145">
        <f>IF(K106&lt;0.01,0,IF(Adm!$GS$4=Adm!$GS$8,0,IF(Adm!$GS$12="Pagados por el Banco",0,K106*Adm!$GV$4)))</f>
        <v>0</v>
      </c>
      <c r="I107" s="2145">
        <f>IF(K106&lt;0.01,0,E107*Adm!$O$8)</f>
        <v>0</v>
      </c>
      <c r="J107" s="2145">
        <f t="shared" si="18"/>
        <v>0</v>
      </c>
      <c r="K107" s="2145">
        <f t="shared" si="19"/>
        <v>0</v>
      </c>
      <c r="L107" s="2146"/>
      <c r="V107" s="1352">
        <f t="shared" si="21"/>
        <v>8</v>
      </c>
      <c r="W107" s="1433">
        <f>IF(V107=1,Cal!$BP$127,0)</f>
        <v>0</v>
      </c>
      <c r="X107" s="1367">
        <f>IF(V107=1,Adm!$HI$4,0)</f>
        <v>0</v>
      </c>
      <c r="Z107" s="1153"/>
      <c r="AC107" s="1370">
        <f t="shared" si="23"/>
        <v>0</v>
      </c>
      <c r="AD107" s="1373">
        <f t="shared" si="24"/>
        <v>0</v>
      </c>
      <c r="AE107" s="1371">
        <f t="shared" si="25"/>
        <v>0</v>
      </c>
      <c r="AF107" s="1359">
        <f>HLOOKUP($AF$11,anticipafreeliq,93,0)</f>
        <v>-8.4490555555555551E-4</v>
      </c>
      <c r="AH107" s="1360">
        <f>Free!AK162</f>
        <v>-8.4490555555555551E-4</v>
      </c>
    </row>
    <row r="108" spans="1:34">
      <c r="A108" s="1118">
        <f t="shared" ca="1" si="14"/>
        <v>12</v>
      </c>
      <c r="B108" s="1101">
        <f t="shared" si="15"/>
        <v>0</v>
      </c>
      <c r="C108" s="2149">
        <f t="shared" si="16"/>
        <v>0</v>
      </c>
      <c r="D108" s="2150">
        <f t="shared" si="13"/>
        <v>0</v>
      </c>
      <c r="E108" s="2145">
        <f t="shared" si="20"/>
        <v>0</v>
      </c>
      <c r="F108" s="2145">
        <f t="shared" si="17"/>
        <v>0</v>
      </c>
      <c r="G108" s="2145">
        <f t="shared" si="22"/>
        <v>0</v>
      </c>
      <c r="H108" s="2145">
        <f>IF(K107&lt;0.01,0,IF(Adm!$GS$4=Adm!$GS$8,0,IF(Adm!$GS$12="Pagados por el Banco",0,K107*Adm!$GV$4)))</f>
        <v>0</v>
      </c>
      <c r="I108" s="2145">
        <f>IF(K107&lt;0.01,0,E108*Adm!$O$8)</f>
        <v>0</v>
      </c>
      <c r="J108" s="2145">
        <f t="shared" si="18"/>
        <v>0</v>
      </c>
      <c r="K108" s="2145">
        <f t="shared" si="19"/>
        <v>0</v>
      </c>
      <c r="L108" s="2146"/>
      <c r="V108" s="1352">
        <f t="shared" si="21"/>
        <v>9</v>
      </c>
      <c r="W108" s="1433">
        <f>IF(V108=1,Cal!$BP$127,0)</f>
        <v>0</v>
      </c>
      <c r="X108" s="1367">
        <f>IF(V108=1,Adm!$HI$4,0)</f>
        <v>0</v>
      </c>
      <c r="Z108" s="1153"/>
      <c r="AC108" s="1370">
        <f t="shared" si="23"/>
        <v>0</v>
      </c>
      <c r="AD108" s="1373">
        <f t="shared" si="24"/>
        <v>0</v>
      </c>
      <c r="AE108" s="1371">
        <f t="shared" si="25"/>
        <v>0</v>
      </c>
      <c r="AF108" s="1359">
        <f>HLOOKUP($AF$11,anticipafreeliq,94,0)</f>
        <v>-8.4490555555555541E-4</v>
      </c>
      <c r="AH108" s="1360">
        <f>Free!AK163</f>
        <v>-8.4490555555555541E-4</v>
      </c>
    </row>
    <row r="109" spans="1:34">
      <c r="A109" s="1118">
        <f t="shared" ca="1" si="14"/>
        <v>1</v>
      </c>
      <c r="B109" s="1101">
        <f t="shared" si="15"/>
        <v>0</v>
      </c>
      <c r="C109" s="2149">
        <f t="shared" si="16"/>
        <v>0</v>
      </c>
      <c r="D109" s="2150">
        <f t="shared" si="13"/>
        <v>0</v>
      </c>
      <c r="E109" s="2145">
        <f t="shared" si="20"/>
        <v>0</v>
      </c>
      <c r="F109" s="2145">
        <f t="shared" si="17"/>
        <v>0</v>
      </c>
      <c r="G109" s="2145">
        <f t="shared" si="22"/>
        <v>0</v>
      </c>
      <c r="H109" s="2145">
        <f>IF(K108&lt;0.01,0,IF(Adm!$GS$4=Adm!$GS$8,0,IF(Adm!$GS$12="Pagados por el Banco",0,K108*Adm!$GV$4)))</f>
        <v>0</v>
      </c>
      <c r="I109" s="2145">
        <f>IF(K108&lt;0.01,0,E109*Adm!$O$8)</f>
        <v>0</v>
      </c>
      <c r="J109" s="2145">
        <f t="shared" si="18"/>
        <v>0</v>
      </c>
      <c r="K109" s="2145">
        <f t="shared" si="19"/>
        <v>0</v>
      </c>
      <c r="L109" s="2146"/>
      <c r="V109" s="1352">
        <f t="shared" si="21"/>
        <v>10</v>
      </c>
      <c r="W109" s="1433">
        <f>IF(V109=1,Cal!$BP$127,0)</f>
        <v>0</v>
      </c>
      <c r="X109" s="1367">
        <f>IF(V109=1,Adm!$HI$4,0)</f>
        <v>0</v>
      </c>
      <c r="Z109" s="1153"/>
      <c r="AC109" s="1370">
        <f t="shared" si="23"/>
        <v>0</v>
      </c>
      <c r="AD109" s="1373">
        <f t="shared" si="24"/>
        <v>0</v>
      </c>
      <c r="AE109" s="1371">
        <f t="shared" si="25"/>
        <v>0</v>
      </c>
      <c r="AF109" s="1359">
        <f>HLOOKUP($AF$11,anticipafreeliq,95,0)</f>
        <v>-8.4490555555555551E-4</v>
      </c>
      <c r="AH109" s="1360">
        <f>Free!AK164</f>
        <v>-8.4490555555555551E-4</v>
      </c>
    </row>
    <row r="110" spans="1:34">
      <c r="A110" s="1118">
        <f t="shared" ca="1" si="14"/>
        <v>2</v>
      </c>
      <c r="B110" s="1101">
        <f t="shared" si="15"/>
        <v>0</v>
      </c>
      <c r="C110" s="2149">
        <f t="shared" si="16"/>
        <v>0</v>
      </c>
      <c r="D110" s="2150">
        <f t="shared" si="13"/>
        <v>0</v>
      </c>
      <c r="E110" s="2145">
        <f t="shared" si="20"/>
        <v>0</v>
      </c>
      <c r="F110" s="2145">
        <f t="shared" si="17"/>
        <v>0</v>
      </c>
      <c r="G110" s="2145">
        <f t="shared" si="22"/>
        <v>0</v>
      </c>
      <c r="H110" s="2145">
        <f>IF(K109&lt;0.01,0,IF(Adm!$GS$4=Adm!$GS$8,0,IF(Adm!$GS$12="Pagados por el Banco",0,K109*Adm!$GV$4)))</f>
        <v>0</v>
      </c>
      <c r="I110" s="2145">
        <f>IF(K109&lt;0.01,0,E110*Adm!$O$8)</f>
        <v>0</v>
      </c>
      <c r="J110" s="2145">
        <f t="shared" si="18"/>
        <v>0</v>
      </c>
      <c r="K110" s="2145">
        <f t="shared" si="19"/>
        <v>0</v>
      </c>
      <c r="L110" s="2146"/>
      <c r="V110" s="1352">
        <f t="shared" si="21"/>
        <v>11</v>
      </c>
      <c r="W110" s="1433">
        <f>IF(V110=1,Cal!$BP$127,0)</f>
        <v>0</v>
      </c>
      <c r="X110" s="1367">
        <f>IF(V110=1,Adm!$HI$4,0)</f>
        <v>0</v>
      </c>
      <c r="Z110" s="1153"/>
      <c r="AC110" s="1370">
        <f t="shared" si="23"/>
        <v>0</v>
      </c>
      <c r="AD110" s="1373">
        <f t="shared" si="24"/>
        <v>0</v>
      </c>
      <c r="AE110" s="1371">
        <f t="shared" si="25"/>
        <v>0</v>
      </c>
      <c r="AF110" s="1359">
        <f>HLOOKUP($AF$11,anticipafreeliq,96,0)</f>
        <v>-8.4490555555555562E-4</v>
      </c>
      <c r="AH110" s="1360">
        <f>Free!AK165</f>
        <v>-8.4490555555555562E-4</v>
      </c>
    </row>
    <row r="111" spans="1:34">
      <c r="A111" s="1118">
        <f t="shared" ca="1" si="14"/>
        <v>3</v>
      </c>
      <c r="B111" s="1101">
        <f t="shared" si="15"/>
        <v>0</v>
      </c>
      <c r="C111" s="2149">
        <f t="shared" si="16"/>
        <v>0</v>
      </c>
      <c r="D111" s="2150">
        <f t="shared" si="13"/>
        <v>0</v>
      </c>
      <c r="E111" s="2145">
        <f t="shared" si="20"/>
        <v>0</v>
      </c>
      <c r="F111" s="2145">
        <f t="shared" si="17"/>
        <v>0</v>
      </c>
      <c r="G111" s="2145">
        <f t="shared" si="22"/>
        <v>0</v>
      </c>
      <c r="H111" s="2145">
        <f>IF(K110&lt;0.01,0,IF(Adm!$GS$4=Adm!$GS$8,0,IF(Adm!$GS$12="Pagados por el Banco",0,K110*Adm!$GV$4)))</f>
        <v>0</v>
      </c>
      <c r="I111" s="2145">
        <f>IF(K110&lt;0.01,0,E111*Adm!$O$8)</f>
        <v>0</v>
      </c>
      <c r="J111" s="2145">
        <f t="shared" si="18"/>
        <v>0</v>
      </c>
      <c r="K111" s="2145">
        <f t="shared" si="19"/>
        <v>0</v>
      </c>
      <c r="L111" s="2146"/>
      <c r="V111" s="1352">
        <f t="shared" si="21"/>
        <v>12</v>
      </c>
      <c r="W111" s="1433">
        <f>IF(V111=1,Cal!$BP$127,0)</f>
        <v>0</v>
      </c>
      <c r="X111" s="1367">
        <f>IF(V111=1,Adm!$HI$4,0)</f>
        <v>0</v>
      </c>
      <c r="Z111" s="1153"/>
      <c r="AC111" s="1370">
        <f t="shared" si="23"/>
        <v>0</v>
      </c>
      <c r="AD111" s="1373">
        <f t="shared" si="24"/>
        <v>0</v>
      </c>
      <c r="AE111" s="1371">
        <f t="shared" si="25"/>
        <v>0</v>
      </c>
      <c r="AF111" s="1359">
        <f>HLOOKUP($AF$11,anticipafreeliq,97,0)</f>
        <v>-8.4490555555555551E-4</v>
      </c>
      <c r="AH111" s="1360">
        <f>Free!AK166</f>
        <v>-8.4490555555555551E-4</v>
      </c>
    </row>
    <row r="112" spans="1:34">
      <c r="A112" s="1118">
        <f t="shared" ca="1" si="14"/>
        <v>4</v>
      </c>
      <c r="B112" s="1101">
        <f t="shared" si="15"/>
        <v>0</v>
      </c>
      <c r="C112" s="2149">
        <f t="shared" si="16"/>
        <v>0</v>
      </c>
      <c r="D112" s="2150">
        <f t="shared" si="13"/>
        <v>0</v>
      </c>
      <c r="E112" s="2145">
        <f t="shared" si="20"/>
        <v>0</v>
      </c>
      <c r="F112" s="2145">
        <f t="shared" si="17"/>
        <v>0</v>
      </c>
      <c r="G112" s="2145">
        <f t="shared" si="22"/>
        <v>0</v>
      </c>
      <c r="H112" s="2145">
        <f>IF(K111&lt;0.01,0,IF(Adm!$GS$4=Adm!$GS$8,0,IF(Adm!$GS$12="Pagados por el Banco",0,K111*Adm!$GV$4)))</f>
        <v>0</v>
      </c>
      <c r="I112" s="2145">
        <f>IF(K111&lt;0.01,0,E112*Adm!$O$8)</f>
        <v>0</v>
      </c>
      <c r="J112" s="2145">
        <f t="shared" si="18"/>
        <v>0</v>
      </c>
      <c r="K112" s="2145">
        <f t="shared" si="19"/>
        <v>0</v>
      </c>
      <c r="L112" s="2146"/>
      <c r="V112" s="1352">
        <f t="shared" si="21"/>
        <v>1</v>
      </c>
      <c r="W112" s="1433">
        <f>IF(V112=1,Cal!$BP$127,0)</f>
        <v>0</v>
      </c>
      <c r="X112" s="1367">
        <f>IF(V112=1,Adm!$HI$4,0)</f>
        <v>2.5000000000000001E-3</v>
      </c>
      <c r="Z112" s="1153"/>
      <c r="AC112" s="1370">
        <f t="shared" si="23"/>
        <v>0</v>
      </c>
      <c r="AD112" s="1373">
        <f t="shared" si="24"/>
        <v>0</v>
      </c>
      <c r="AE112" s="1371">
        <f t="shared" si="25"/>
        <v>0</v>
      </c>
      <c r="AF112" s="1359">
        <f>HLOOKUP($AF$11,anticipafreeliq,98,0)</f>
        <v>-8.4490555555555551E-4</v>
      </c>
      <c r="AH112" s="1360">
        <f>Free!AK167</f>
        <v>-8.4490555555555551E-4</v>
      </c>
    </row>
    <row r="113" spans="1:34">
      <c r="A113" s="1118">
        <f t="shared" ca="1" si="14"/>
        <v>5</v>
      </c>
      <c r="B113" s="1101">
        <f t="shared" si="15"/>
        <v>0</v>
      </c>
      <c r="C113" s="2149">
        <f t="shared" si="16"/>
        <v>0</v>
      </c>
      <c r="D113" s="2150">
        <f t="shared" si="13"/>
        <v>0</v>
      </c>
      <c r="E113" s="2145">
        <f t="shared" si="20"/>
        <v>0</v>
      </c>
      <c r="F113" s="2145">
        <f t="shared" si="17"/>
        <v>0</v>
      </c>
      <c r="G113" s="2145">
        <f t="shared" si="22"/>
        <v>0</v>
      </c>
      <c r="H113" s="2145">
        <f>IF(K112&lt;0.01,0,IF(Adm!$GS$4=Adm!$GS$8,0,IF(Adm!$GS$12="Pagados por el Banco",0,K112*Adm!$GV$4)))</f>
        <v>0</v>
      </c>
      <c r="I113" s="2145">
        <f>IF(K112&lt;0.01,0,E113*Adm!$O$8)</f>
        <v>0</v>
      </c>
      <c r="J113" s="2145">
        <f t="shared" si="18"/>
        <v>0</v>
      </c>
      <c r="K113" s="2145">
        <f t="shared" si="19"/>
        <v>0</v>
      </c>
      <c r="L113" s="2146"/>
      <c r="V113" s="1352">
        <f t="shared" si="21"/>
        <v>2</v>
      </c>
      <c r="W113" s="1433">
        <f>IF(V113=1,Cal!$BP$127,0)</f>
        <v>0</v>
      </c>
      <c r="X113" s="1367">
        <f>IF(V113=1,Adm!$HI$4,0)</f>
        <v>0</v>
      </c>
      <c r="Z113" s="1153"/>
      <c r="AC113" s="1370">
        <f t="shared" si="23"/>
        <v>0</v>
      </c>
      <c r="AD113" s="1373">
        <f t="shared" si="24"/>
        <v>0</v>
      </c>
      <c r="AE113" s="1371">
        <f t="shared" si="25"/>
        <v>0</v>
      </c>
      <c r="AF113" s="1359">
        <f>HLOOKUP($AF$11,anticipafreeliq,99,0)</f>
        <v>-8.4490555555555551E-4</v>
      </c>
      <c r="AH113" s="1360">
        <f>Free!AK168</f>
        <v>-8.4490555555555551E-4</v>
      </c>
    </row>
    <row r="114" spans="1:34">
      <c r="A114" s="1118">
        <f t="shared" ca="1" si="14"/>
        <v>6</v>
      </c>
      <c r="B114" s="1101">
        <f t="shared" si="15"/>
        <v>0</v>
      </c>
      <c r="C114" s="2149">
        <f t="shared" si="16"/>
        <v>0</v>
      </c>
      <c r="D114" s="2150">
        <f t="shared" si="13"/>
        <v>0</v>
      </c>
      <c r="E114" s="2145">
        <f t="shared" si="20"/>
        <v>0</v>
      </c>
      <c r="F114" s="2145">
        <f t="shared" si="17"/>
        <v>0</v>
      </c>
      <c r="G114" s="2145">
        <f t="shared" si="22"/>
        <v>0</v>
      </c>
      <c r="H114" s="2145">
        <f>IF(K113&lt;0.01,0,IF(Adm!$GS$4=Adm!$GS$8,0,IF(Adm!$GS$12="Pagados por el Banco",0,K113*Adm!$GV$4)))</f>
        <v>0</v>
      </c>
      <c r="I114" s="2145">
        <f>IF(K113&lt;0.01,0,E114*Adm!$O$8)</f>
        <v>0</v>
      </c>
      <c r="J114" s="2145">
        <f t="shared" si="18"/>
        <v>0</v>
      </c>
      <c r="K114" s="2145">
        <f t="shared" si="19"/>
        <v>0</v>
      </c>
      <c r="L114" s="2146"/>
      <c r="V114" s="1352">
        <f t="shared" si="21"/>
        <v>3</v>
      </c>
      <c r="W114" s="1433">
        <f>IF(V114=1,Cal!$BP$127,0)</f>
        <v>0</v>
      </c>
      <c r="X114" s="1367">
        <f>IF(V114=1,Adm!$HI$4,0)</f>
        <v>0</v>
      </c>
      <c r="Z114" s="1153"/>
      <c r="AC114" s="1370">
        <f t="shared" si="23"/>
        <v>0</v>
      </c>
      <c r="AD114" s="1373">
        <f t="shared" si="24"/>
        <v>0</v>
      </c>
      <c r="AE114" s="1371">
        <f t="shared" si="25"/>
        <v>0</v>
      </c>
      <c r="AF114" s="1359">
        <f>HLOOKUP($AF$11,anticipafreeliq,100,0)</f>
        <v>-8.4490555555555562E-4</v>
      </c>
      <c r="AH114" s="1360">
        <f>Free!AK169</f>
        <v>-8.4490555555555562E-4</v>
      </c>
    </row>
    <row r="115" spans="1:34">
      <c r="A115" s="1118">
        <f t="shared" ca="1" si="14"/>
        <v>7</v>
      </c>
      <c r="B115" s="1101">
        <f t="shared" si="15"/>
        <v>0</v>
      </c>
      <c r="C115" s="2149">
        <f t="shared" si="16"/>
        <v>0</v>
      </c>
      <c r="D115" s="2150">
        <f t="shared" si="13"/>
        <v>0</v>
      </c>
      <c r="E115" s="2145">
        <f t="shared" si="20"/>
        <v>0</v>
      </c>
      <c r="F115" s="2145">
        <f t="shared" si="17"/>
        <v>0</v>
      </c>
      <c r="G115" s="2145">
        <f t="shared" si="22"/>
        <v>0</v>
      </c>
      <c r="H115" s="2145">
        <f>IF(K114&lt;0.01,0,IF(Adm!$GS$4=Adm!$GS$8,0,IF(Adm!$GS$12="Pagados por el Banco",0,K114*Adm!$GV$4)))</f>
        <v>0</v>
      </c>
      <c r="I115" s="2145">
        <f>IF(K114&lt;0.01,0,E115*Adm!$O$8)</f>
        <v>0</v>
      </c>
      <c r="J115" s="2145">
        <f t="shared" si="18"/>
        <v>0</v>
      </c>
      <c r="K115" s="2145">
        <f t="shared" si="19"/>
        <v>0</v>
      </c>
      <c r="L115" s="2146"/>
      <c r="V115" s="1352">
        <f t="shared" si="21"/>
        <v>4</v>
      </c>
      <c r="W115" s="1433">
        <f>IF(V115=1,Cal!$BP$127,0)</f>
        <v>0</v>
      </c>
      <c r="X115" s="1367">
        <f>IF(V115=1,Adm!$HI$4,0)</f>
        <v>0</v>
      </c>
      <c r="Z115" s="1153"/>
      <c r="AC115" s="1370">
        <f t="shared" si="23"/>
        <v>0</v>
      </c>
      <c r="AD115" s="1373">
        <f t="shared" si="24"/>
        <v>0</v>
      </c>
      <c r="AE115" s="1371">
        <f t="shared" si="25"/>
        <v>0</v>
      </c>
      <c r="AF115" s="1359">
        <f>HLOOKUP($AF$11,anticipafreeliq,101,0)</f>
        <v>-8.4490555555555551E-4</v>
      </c>
      <c r="AH115" s="1360">
        <f>Free!AK170</f>
        <v>-8.4490555555555551E-4</v>
      </c>
    </row>
    <row r="116" spans="1:34">
      <c r="A116" s="1118">
        <f t="shared" ca="1" si="14"/>
        <v>8</v>
      </c>
      <c r="B116" s="1101">
        <f t="shared" si="15"/>
        <v>0</v>
      </c>
      <c r="C116" s="2149">
        <f t="shared" si="16"/>
        <v>0</v>
      </c>
      <c r="D116" s="2150">
        <f t="shared" ref="D116:D179" si="26">IF(K115&lt;0.01,0,IF(D115=$X$10,D115,IF(D115-X116&lt;=$X$10,D115-X116,D115-X116)))</f>
        <v>0</v>
      </c>
      <c r="E116" s="2145">
        <f t="shared" si="20"/>
        <v>0</v>
      </c>
      <c r="F116" s="2145">
        <f t="shared" si="17"/>
        <v>0</v>
      </c>
      <c r="G116" s="2145">
        <f t="shared" si="22"/>
        <v>0</v>
      </c>
      <c r="H116" s="2145">
        <f>IF(K115&lt;0.01,0,IF(Adm!$GS$4=Adm!$GS$8,0,IF(Adm!$GS$12="Pagados por el Banco",0,K115*Adm!$GV$4)))</f>
        <v>0</v>
      </c>
      <c r="I116" s="2145">
        <f>IF(K115&lt;0.01,0,E116*Adm!$O$8)</f>
        <v>0</v>
      </c>
      <c r="J116" s="2145">
        <f t="shared" si="18"/>
        <v>0</v>
      </c>
      <c r="K116" s="2145">
        <f t="shared" si="19"/>
        <v>0</v>
      </c>
      <c r="L116" s="2146"/>
      <c r="V116" s="1352">
        <f t="shared" si="21"/>
        <v>5</v>
      </c>
      <c r="W116" s="1433">
        <f>IF(V116=1,Cal!$BP$127,0)</f>
        <v>0</v>
      </c>
      <c r="X116" s="1367">
        <f>IF(V116=1,Adm!$HI$4,0)</f>
        <v>0</v>
      </c>
      <c r="Z116" s="1153"/>
      <c r="AC116" s="1370">
        <f t="shared" si="23"/>
        <v>0</v>
      </c>
      <c r="AD116" s="1373">
        <f t="shared" si="24"/>
        <v>0</v>
      </c>
      <c r="AE116" s="1371">
        <f t="shared" si="25"/>
        <v>0</v>
      </c>
      <c r="AF116" s="1359">
        <f>HLOOKUP($AF$11,anticipafreeliq,102,0)</f>
        <v>-8.4490555555555573E-4</v>
      </c>
      <c r="AH116" s="1360">
        <f>Free!AK171</f>
        <v>-8.4490555555555573E-4</v>
      </c>
    </row>
    <row r="117" spans="1:34">
      <c r="A117" s="1118">
        <f t="shared" ca="1" si="14"/>
        <v>9</v>
      </c>
      <c r="B117" s="1101">
        <f t="shared" si="15"/>
        <v>0</v>
      </c>
      <c r="C117" s="2149">
        <f t="shared" si="16"/>
        <v>0</v>
      </c>
      <c r="D117" s="2150">
        <f t="shared" si="26"/>
        <v>0</v>
      </c>
      <c r="E117" s="2145">
        <f t="shared" si="20"/>
        <v>0</v>
      </c>
      <c r="F117" s="2145">
        <f t="shared" si="17"/>
        <v>0</v>
      </c>
      <c r="G117" s="2145">
        <f t="shared" si="22"/>
        <v>0</v>
      </c>
      <c r="H117" s="2145">
        <f>IF(K116&lt;0.01,0,IF(Adm!$GS$4=Adm!$GS$8,0,IF(Adm!$GS$12="Pagados por el Banco",0,K116*Adm!$GV$4)))</f>
        <v>0</v>
      </c>
      <c r="I117" s="2145">
        <f>IF(K116&lt;0.01,0,E117*Adm!$O$8)</f>
        <v>0</v>
      </c>
      <c r="J117" s="2145">
        <f t="shared" si="18"/>
        <v>0</v>
      </c>
      <c r="K117" s="2145">
        <f t="shared" si="19"/>
        <v>0</v>
      </c>
      <c r="L117" s="2146"/>
      <c r="V117" s="1352">
        <f t="shared" si="21"/>
        <v>6</v>
      </c>
      <c r="W117" s="1433">
        <f>IF(V117=1,Cal!$BP$127,0)</f>
        <v>0</v>
      </c>
      <c r="X117" s="1367">
        <f>IF(V117=1,Adm!$HI$4,0)</f>
        <v>0</v>
      </c>
      <c r="Z117" s="1153"/>
      <c r="AC117" s="1370">
        <f t="shared" si="23"/>
        <v>0</v>
      </c>
      <c r="AD117" s="1373">
        <f t="shared" si="24"/>
        <v>0</v>
      </c>
      <c r="AE117" s="1371">
        <f t="shared" si="25"/>
        <v>0</v>
      </c>
      <c r="AF117" s="1359">
        <f>HLOOKUP($AF$11,anticipafreeliq,103,0)</f>
        <v>-8.4490555555555562E-4</v>
      </c>
      <c r="AH117" s="1360">
        <f>Free!AK172</f>
        <v>-8.4490555555555562E-4</v>
      </c>
    </row>
    <row r="118" spans="1:34">
      <c r="A118" s="1118">
        <f t="shared" ca="1" si="14"/>
        <v>10</v>
      </c>
      <c r="B118" s="1101">
        <f t="shared" si="15"/>
        <v>0</v>
      </c>
      <c r="C118" s="2149">
        <f t="shared" si="16"/>
        <v>0</v>
      </c>
      <c r="D118" s="2150">
        <f t="shared" si="26"/>
        <v>0</v>
      </c>
      <c r="E118" s="2145">
        <f t="shared" si="20"/>
        <v>0</v>
      </c>
      <c r="F118" s="2145">
        <f t="shared" si="17"/>
        <v>0</v>
      </c>
      <c r="G118" s="2145">
        <f t="shared" si="22"/>
        <v>0</v>
      </c>
      <c r="H118" s="2145">
        <f>IF(K117&lt;0.01,0,IF(Adm!$GS$4=Adm!$GS$8,0,IF(Adm!$GS$12="Pagados por el Banco",0,K117*Adm!$GV$4)))</f>
        <v>0</v>
      </c>
      <c r="I118" s="2145">
        <f>IF(K117&lt;0.01,0,E118*Adm!$O$8)</f>
        <v>0</v>
      </c>
      <c r="J118" s="2145">
        <f t="shared" si="18"/>
        <v>0</v>
      </c>
      <c r="K118" s="2145">
        <f t="shared" si="19"/>
        <v>0</v>
      </c>
      <c r="L118" s="2146"/>
      <c r="V118" s="1352">
        <f t="shared" si="21"/>
        <v>7</v>
      </c>
      <c r="W118" s="1433">
        <f>IF(V118=1,Cal!$BP$127,0)</f>
        <v>0</v>
      </c>
      <c r="X118" s="1367">
        <f>IF(V118=1,Adm!$HI$4,0)</f>
        <v>0</v>
      </c>
      <c r="Z118" s="1153"/>
      <c r="AC118" s="1370">
        <f t="shared" si="23"/>
        <v>0</v>
      </c>
      <c r="AD118" s="1373">
        <f t="shared" si="24"/>
        <v>0</v>
      </c>
      <c r="AE118" s="1371">
        <f t="shared" si="25"/>
        <v>0</v>
      </c>
      <c r="AF118" s="1359">
        <f>HLOOKUP($AF$11,anticipafreeliq,104,0)</f>
        <v>-8.4490555555555541E-4</v>
      </c>
      <c r="AH118" s="1360">
        <f>Free!AK173</f>
        <v>-8.4490555555555541E-4</v>
      </c>
    </row>
    <row r="119" spans="1:34">
      <c r="A119" s="1118">
        <f t="shared" ca="1" si="14"/>
        <v>11</v>
      </c>
      <c r="B119" s="1101">
        <f t="shared" si="15"/>
        <v>0</v>
      </c>
      <c r="C119" s="2149">
        <f t="shared" si="16"/>
        <v>0</v>
      </c>
      <c r="D119" s="2150">
        <f t="shared" si="26"/>
        <v>0</v>
      </c>
      <c r="E119" s="2145">
        <f t="shared" si="20"/>
        <v>0</v>
      </c>
      <c r="F119" s="2145">
        <f t="shared" si="17"/>
        <v>0</v>
      </c>
      <c r="G119" s="2145">
        <f t="shared" si="22"/>
        <v>0</v>
      </c>
      <c r="H119" s="2145">
        <f>IF(K118&lt;0.01,0,IF(Adm!$GS$4=Adm!$GS$8,0,IF(Adm!$GS$12="Pagados por el Banco",0,K118*Adm!$GV$4)))</f>
        <v>0</v>
      </c>
      <c r="I119" s="2145">
        <f>IF(K118&lt;0.01,0,E119*Adm!$O$8)</f>
        <v>0</v>
      </c>
      <c r="J119" s="2145">
        <f t="shared" si="18"/>
        <v>0</v>
      </c>
      <c r="K119" s="2145">
        <f t="shared" si="19"/>
        <v>0</v>
      </c>
      <c r="L119" s="2146"/>
      <c r="V119" s="1352">
        <f t="shared" si="21"/>
        <v>8</v>
      </c>
      <c r="W119" s="1433">
        <f>IF(V119=1,Cal!$BP$127,0)</f>
        <v>0</v>
      </c>
      <c r="X119" s="1367">
        <f>IF(V119=1,Adm!$HI$4,0)</f>
        <v>0</v>
      </c>
      <c r="Z119" s="1153"/>
      <c r="AC119" s="1370">
        <f t="shared" si="23"/>
        <v>0</v>
      </c>
      <c r="AD119" s="1373">
        <f t="shared" si="24"/>
        <v>0</v>
      </c>
      <c r="AE119" s="1371">
        <f t="shared" si="25"/>
        <v>0</v>
      </c>
      <c r="AF119" s="1359">
        <f>HLOOKUP($AF$11,anticipafreeliq,105,0)</f>
        <v>-8.4490555555555551E-4</v>
      </c>
      <c r="AH119" s="1360">
        <f>Free!AK174</f>
        <v>-8.4490555555555551E-4</v>
      </c>
    </row>
    <row r="120" spans="1:34">
      <c r="A120" s="1118">
        <f t="shared" ca="1" si="14"/>
        <v>12</v>
      </c>
      <c r="B120" s="1101">
        <f t="shared" si="15"/>
        <v>0</v>
      </c>
      <c r="C120" s="2149">
        <f t="shared" si="16"/>
        <v>0</v>
      </c>
      <c r="D120" s="2150">
        <f t="shared" si="26"/>
        <v>0</v>
      </c>
      <c r="E120" s="2145">
        <f t="shared" si="20"/>
        <v>0</v>
      </c>
      <c r="F120" s="2145">
        <f t="shared" si="17"/>
        <v>0</v>
      </c>
      <c r="G120" s="2145">
        <f t="shared" si="22"/>
        <v>0</v>
      </c>
      <c r="H120" s="2145">
        <f>IF(K119&lt;0.01,0,IF(Adm!$GS$4=Adm!$GS$8,0,IF(Adm!$GS$12="Pagados por el Banco",0,K119*Adm!$GV$4)))</f>
        <v>0</v>
      </c>
      <c r="I120" s="2145">
        <f>IF(K119&lt;0.01,0,E120*Adm!$O$8)</f>
        <v>0</v>
      </c>
      <c r="J120" s="2145">
        <f t="shared" si="18"/>
        <v>0</v>
      </c>
      <c r="K120" s="2145">
        <f t="shared" si="19"/>
        <v>0</v>
      </c>
      <c r="L120" s="2146"/>
      <c r="V120" s="1352">
        <f t="shared" si="21"/>
        <v>9</v>
      </c>
      <c r="W120" s="1433">
        <f>IF(V120=1,Cal!$BP$127,0)</f>
        <v>0</v>
      </c>
      <c r="X120" s="1367">
        <f>IF(V120=1,Adm!$HI$4,0)</f>
        <v>0</v>
      </c>
      <c r="Z120" s="1153"/>
      <c r="AC120" s="1370">
        <f t="shared" si="23"/>
        <v>0</v>
      </c>
      <c r="AD120" s="1373">
        <f t="shared" si="24"/>
        <v>0</v>
      </c>
      <c r="AE120" s="1371">
        <f t="shared" si="25"/>
        <v>0</v>
      </c>
      <c r="AF120" s="1359">
        <f>HLOOKUP($AF$11,anticipafreeliq,106,0)</f>
        <v>-8.4490555555555562E-4</v>
      </c>
      <c r="AH120" s="1360">
        <f>Free!AK175</f>
        <v>-8.4490555555555562E-4</v>
      </c>
    </row>
    <row r="121" spans="1:34">
      <c r="A121" s="1118">
        <f t="shared" ca="1" si="14"/>
        <v>1</v>
      </c>
      <c r="B121" s="1101">
        <f t="shared" si="15"/>
        <v>0</v>
      </c>
      <c r="C121" s="2149">
        <f t="shared" si="16"/>
        <v>0</v>
      </c>
      <c r="D121" s="2150">
        <f t="shared" si="26"/>
        <v>0</v>
      </c>
      <c r="E121" s="2145">
        <f t="shared" si="20"/>
        <v>0</v>
      </c>
      <c r="F121" s="2145">
        <f t="shared" si="17"/>
        <v>0</v>
      </c>
      <c r="G121" s="2145">
        <f t="shared" si="22"/>
        <v>0</v>
      </c>
      <c r="H121" s="2145">
        <f>IF(K120&lt;0.01,0,IF(Adm!$GS$4=Adm!$GS$8,0,IF(Adm!$GS$12="Pagados por el Banco",0,K120*Adm!$GV$4)))</f>
        <v>0</v>
      </c>
      <c r="I121" s="2145">
        <f>IF(K120&lt;0.01,0,E121*Adm!$O$8)</f>
        <v>0</v>
      </c>
      <c r="J121" s="2145">
        <f t="shared" si="18"/>
        <v>0</v>
      </c>
      <c r="K121" s="2145">
        <f t="shared" si="19"/>
        <v>0</v>
      </c>
      <c r="L121" s="2146"/>
      <c r="V121" s="1352">
        <f t="shared" si="21"/>
        <v>10</v>
      </c>
      <c r="W121" s="1433">
        <f>IF(V121=1,Cal!$BP$127,0)</f>
        <v>0</v>
      </c>
      <c r="X121" s="1367">
        <f>IF(V121=1,Adm!$HI$4,0)</f>
        <v>0</v>
      </c>
      <c r="Z121" s="1153"/>
      <c r="AC121" s="1370">
        <f t="shared" si="23"/>
        <v>0</v>
      </c>
      <c r="AD121" s="1373">
        <f t="shared" si="24"/>
        <v>0</v>
      </c>
      <c r="AE121" s="1371">
        <f t="shared" si="25"/>
        <v>0</v>
      </c>
      <c r="AF121" s="1359">
        <f>HLOOKUP($AF$11,anticipafreeliq,107,0)</f>
        <v>-8.4490555555555541E-4</v>
      </c>
      <c r="AH121" s="1360">
        <f>Free!AK176</f>
        <v>-8.4490555555555541E-4</v>
      </c>
    </row>
    <row r="122" spans="1:34">
      <c r="A122" s="1118">
        <f t="shared" ca="1" si="14"/>
        <v>2</v>
      </c>
      <c r="B122" s="1101">
        <f t="shared" si="15"/>
        <v>0</v>
      </c>
      <c r="C122" s="2149">
        <f t="shared" si="16"/>
        <v>0</v>
      </c>
      <c r="D122" s="2150">
        <f t="shared" si="26"/>
        <v>0</v>
      </c>
      <c r="E122" s="2145">
        <f t="shared" si="20"/>
        <v>0</v>
      </c>
      <c r="F122" s="2145">
        <f t="shared" si="17"/>
        <v>0</v>
      </c>
      <c r="G122" s="2145">
        <f t="shared" si="22"/>
        <v>0</v>
      </c>
      <c r="H122" s="2145">
        <f>IF(K121&lt;0.01,0,IF(Adm!$GS$4=Adm!$GS$8,0,IF(Adm!$GS$12="Pagados por el Banco",0,K121*Adm!$GV$4)))</f>
        <v>0</v>
      </c>
      <c r="I122" s="2145">
        <f>IF(K121&lt;0.01,0,E122*Adm!$O$8)</f>
        <v>0</v>
      </c>
      <c r="J122" s="2145">
        <f t="shared" si="18"/>
        <v>0</v>
      </c>
      <c r="K122" s="2145">
        <f t="shared" si="19"/>
        <v>0</v>
      </c>
      <c r="L122" s="2146"/>
      <c r="V122" s="1352">
        <f t="shared" si="21"/>
        <v>11</v>
      </c>
      <c r="W122" s="1433">
        <f>IF(V122=1,Cal!$BP$127,0)</f>
        <v>0</v>
      </c>
      <c r="X122" s="1367">
        <f>IF(V122=1,Adm!$HI$4,0)</f>
        <v>0</v>
      </c>
      <c r="Z122" s="1153"/>
      <c r="AC122" s="1370">
        <f t="shared" si="23"/>
        <v>0</v>
      </c>
      <c r="AD122" s="1373">
        <f t="shared" si="24"/>
        <v>0</v>
      </c>
      <c r="AE122" s="1371">
        <f t="shared" si="25"/>
        <v>0</v>
      </c>
      <c r="AF122" s="1359">
        <f>HLOOKUP($AF$11,anticipafreeliq,108,0)</f>
        <v>-8.4490555555555562E-4</v>
      </c>
      <c r="AH122" s="1360">
        <f>Free!AK177</f>
        <v>-8.4490555555555562E-4</v>
      </c>
    </row>
    <row r="123" spans="1:34">
      <c r="A123" s="1118">
        <f t="shared" ca="1" si="14"/>
        <v>3</v>
      </c>
      <c r="B123" s="1101">
        <f t="shared" si="15"/>
        <v>0</v>
      </c>
      <c r="C123" s="2149">
        <f t="shared" si="16"/>
        <v>0</v>
      </c>
      <c r="D123" s="2150">
        <f t="shared" si="26"/>
        <v>0</v>
      </c>
      <c r="E123" s="2145">
        <f t="shared" si="20"/>
        <v>0</v>
      </c>
      <c r="F123" s="2145">
        <f t="shared" si="17"/>
        <v>0</v>
      </c>
      <c r="G123" s="2145">
        <f t="shared" si="22"/>
        <v>0</v>
      </c>
      <c r="H123" s="2145">
        <f>IF(K122&lt;0.01,0,IF(Adm!$GS$4=Adm!$GS$8,0,IF(Adm!$GS$12="Pagados por el Banco",0,K122*Adm!$GV$4)))</f>
        <v>0</v>
      </c>
      <c r="I123" s="2145">
        <f>IF(K122&lt;0.01,0,E123*Adm!$O$8)</f>
        <v>0</v>
      </c>
      <c r="J123" s="2145">
        <f t="shared" si="18"/>
        <v>0</v>
      </c>
      <c r="K123" s="2145">
        <f t="shared" si="19"/>
        <v>0</v>
      </c>
      <c r="L123" s="2146"/>
      <c r="V123" s="1352">
        <f t="shared" si="21"/>
        <v>12</v>
      </c>
      <c r="W123" s="1433">
        <f>IF(V123=1,Cal!$BP$127,0)</f>
        <v>0</v>
      </c>
      <c r="X123" s="1367">
        <f>IF(V123=1,Adm!$HI$4,0)</f>
        <v>0</v>
      </c>
      <c r="Z123" s="1153"/>
      <c r="AC123" s="1370">
        <f t="shared" si="23"/>
        <v>0</v>
      </c>
      <c r="AD123" s="1373">
        <f t="shared" si="24"/>
        <v>0</v>
      </c>
      <c r="AE123" s="1371">
        <f t="shared" si="25"/>
        <v>0</v>
      </c>
      <c r="AF123" s="1359">
        <f>HLOOKUP($AF$11,anticipafreeliq,109,0)</f>
        <v>-8.4490555555555562E-4</v>
      </c>
      <c r="AH123" s="1360">
        <f>Free!AK178</f>
        <v>-8.4490555555555562E-4</v>
      </c>
    </row>
    <row r="124" spans="1:34">
      <c r="A124" s="1118">
        <f t="shared" ca="1" si="14"/>
        <v>4</v>
      </c>
      <c r="B124" s="1101">
        <f t="shared" si="15"/>
        <v>0</v>
      </c>
      <c r="C124" s="2149">
        <f t="shared" si="16"/>
        <v>0</v>
      </c>
      <c r="D124" s="2150">
        <f t="shared" si="26"/>
        <v>0</v>
      </c>
      <c r="E124" s="2145">
        <f t="shared" si="20"/>
        <v>0</v>
      </c>
      <c r="F124" s="2145">
        <f t="shared" si="17"/>
        <v>0</v>
      </c>
      <c r="G124" s="2145">
        <f t="shared" si="22"/>
        <v>0</v>
      </c>
      <c r="H124" s="2145">
        <f>IF(K123&lt;0.01,0,IF(Adm!$GS$4=Adm!$GS$8,0,IF(Adm!$GS$12="Pagados por el Banco",0,K123*Adm!$GV$4)))</f>
        <v>0</v>
      </c>
      <c r="I124" s="2145">
        <f>IF(K123&lt;0.01,0,E124*Adm!$O$8)</f>
        <v>0</v>
      </c>
      <c r="J124" s="2145">
        <f t="shared" si="18"/>
        <v>0</v>
      </c>
      <c r="K124" s="2145">
        <f t="shared" si="19"/>
        <v>0</v>
      </c>
      <c r="L124" s="2146"/>
      <c r="V124" s="1352">
        <f t="shared" si="21"/>
        <v>1</v>
      </c>
      <c r="W124" s="1433">
        <f>IF(V124=1,Cal!$BP$127,0)</f>
        <v>0</v>
      </c>
      <c r="X124" s="1367">
        <f>IF(V124=1,Adm!$HI$4,0)</f>
        <v>2.5000000000000001E-3</v>
      </c>
      <c r="Z124" s="1153"/>
      <c r="AC124" s="1370">
        <f t="shared" si="23"/>
        <v>0</v>
      </c>
      <c r="AD124" s="1373">
        <f t="shared" si="24"/>
        <v>0</v>
      </c>
      <c r="AE124" s="1371">
        <f t="shared" si="25"/>
        <v>0</v>
      </c>
      <c r="AF124" s="1359">
        <f>HLOOKUP($AF$11,anticipafreeliq,110,0)</f>
        <v>-8.4490555555555562E-4</v>
      </c>
      <c r="AH124" s="1360">
        <f>Free!AK179</f>
        <v>-8.4490555555555562E-4</v>
      </c>
    </row>
    <row r="125" spans="1:34">
      <c r="A125" s="1118">
        <f t="shared" ca="1" si="14"/>
        <v>5</v>
      </c>
      <c r="B125" s="1101">
        <f t="shared" si="15"/>
        <v>0</v>
      </c>
      <c r="C125" s="2149">
        <f t="shared" si="16"/>
        <v>0</v>
      </c>
      <c r="D125" s="2150">
        <f t="shared" si="26"/>
        <v>0</v>
      </c>
      <c r="E125" s="2145">
        <f t="shared" si="20"/>
        <v>0</v>
      </c>
      <c r="F125" s="2145">
        <f t="shared" si="17"/>
        <v>0</v>
      </c>
      <c r="G125" s="2145">
        <f t="shared" si="22"/>
        <v>0</v>
      </c>
      <c r="H125" s="2145">
        <f>IF(K124&lt;0.01,0,IF(Adm!$GS$4=Adm!$GS$8,0,IF(Adm!$GS$12="Pagados por el Banco",0,K124*Adm!$GV$4)))</f>
        <v>0</v>
      </c>
      <c r="I125" s="2145">
        <f>IF(K124&lt;0.01,0,E125*Adm!$O$8)</f>
        <v>0</v>
      </c>
      <c r="J125" s="2145">
        <f t="shared" si="18"/>
        <v>0</v>
      </c>
      <c r="K125" s="2145">
        <f t="shared" si="19"/>
        <v>0</v>
      </c>
      <c r="L125" s="2146"/>
      <c r="V125" s="1352">
        <f t="shared" si="21"/>
        <v>2</v>
      </c>
      <c r="W125" s="1433">
        <f>IF(V125=1,Cal!$BP$127,0)</f>
        <v>0</v>
      </c>
      <c r="X125" s="1367">
        <f>IF(V125=1,Adm!$HI$4,0)</f>
        <v>0</v>
      </c>
      <c r="Z125" s="1153"/>
      <c r="AC125" s="1370">
        <f t="shared" si="23"/>
        <v>0</v>
      </c>
      <c r="AD125" s="1373">
        <f t="shared" si="24"/>
        <v>0</v>
      </c>
      <c r="AE125" s="1371">
        <f t="shared" si="25"/>
        <v>0</v>
      </c>
      <c r="AF125" s="1359">
        <f>HLOOKUP($AF$11,anticipafreeliq,111,0)</f>
        <v>-8.4490555555555551E-4</v>
      </c>
      <c r="AH125" s="1360">
        <f>Free!AK180</f>
        <v>-8.4490555555555551E-4</v>
      </c>
    </row>
    <row r="126" spans="1:34">
      <c r="A126" s="1118">
        <f t="shared" ca="1" si="14"/>
        <v>6</v>
      </c>
      <c r="B126" s="1101">
        <f t="shared" si="15"/>
        <v>0</v>
      </c>
      <c r="C126" s="2149">
        <f t="shared" si="16"/>
        <v>0</v>
      </c>
      <c r="D126" s="2150">
        <f t="shared" si="26"/>
        <v>0</v>
      </c>
      <c r="E126" s="2145">
        <f t="shared" si="20"/>
        <v>0</v>
      </c>
      <c r="F126" s="2145">
        <f t="shared" si="17"/>
        <v>0</v>
      </c>
      <c r="G126" s="2145">
        <f t="shared" si="22"/>
        <v>0</v>
      </c>
      <c r="H126" s="2145">
        <f>IF(K125&lt;0.01,0,IF(Adm!$GS$4=Adm!$GS$8,0,IF(Adm!$GS$12="Pagados por el Banco",0,K125*Adm!$GV$4)))</f>
        <v>0</v>
      </c>
      <c r="I126" s="2145">
        <f>IF(K125&lt;0.01,0,E126*Adm!$O$8)</f>
        <v>0</v>
      </c>
      <c r="J126" s="2145">
        <f t="shared" si="18"/>
        <v>0</v>
      </c>
      <c r="K126" s="2145">
        <f t="shared" si="19"/>
        <v>0</v>
      </c>
      <c r="L126" s="2146"/>
      <c r="V126" s="1352">
        <f t="shared" si="21"/>
        <v>3</v>
      </c>
      <c r="W126" s="1433">
        <f>IF(V126=1,Cal!$BP$127,0)</f>
        <v>0</v>
      </c>
      <c r="X126" s="1367">
        <f>IF(V126=1,Adm!$HI$4,0)</f>
        <v>0</v>
      </c>
      <c r="Z126" s="1153"/>
      <c r="AC126" s="1370">
        <f t="shared" si="23"/>
        <v>0</v>
      </c>
      <c r="AD126" s="1373">
        <f t="shared" si="24"/>
        <v>0</v>
      </c>
      <c r="AE126" s="1371">
        <f t="shared" si="25"/>
        <v>0</v>
      </c>
      <c r="AF126" s="1359">
        <f>HLOOKUP($AF$11,anticipafreeliq,112,0)</f>
        <v>-8.4490555555555551E-4</v>
      </c>
      <c r="AH126" s="1360">
        <f>Free!AK181</f>
        <v>-8.4490555555555551E-4</v>
      </c>
    </row>
    <row r="127" spans="1:34">
      <c r="A127" s="1118">
        <f t="shared" ca="1" si="14"/>
        <v>7</v>
      </c>
      <c r="B127" s="1101">
        <f t="shared" si="15"/>
        <v>0</v>
      </c>
      <c r="C127" s="2149">
        <f t="shared" si="16"/>
        <v>0</v>
      </c>
      <c r="D127" s="2150">
        <f t="shared" si="26"/>
        <v>0</v>
      </c>
      <c r="E127" s="2145">
        <f t="shared" si="20"/>
        <v>0</v>
      </c>
      <c r="F127" s="2145">
        <f t="shared" si="17"/>
        <v>0</v>
      </c>
      <c r="G127" s="2145">
        <f t="shared" si="22"/>
        <v>0</v>
      </c>
      <c r="H127" s="2145">
        <f>IF(K126&lt;0.01,0,IF(Adm!$GS$4=Adm!$GS$8,0,IF(Adm!$GS$12="Pagados por el Banco",0,K126*Adm!$GV$4)))</f>
        <v>0</v>
      </c>
      <c r="I127" s="2145">
        <f>IF(K126&lt;0.01,0,E127*Adm!$O$8)</f>
        <v>0</v>
      </c>
      <c r="J127" s="2145">
        <f t="shared" si="18"/>
        <v>0</v>
      </c>
      <c r="K127" s="2145">
        <f t="shared" si="19"/>
        <v>0</v>
      </c>
      <c r="L127" s="2146"/>
      <c r="V127" s="1352">
        <f t="shared" si="21"/>
        <v>4</v>
      </c>
      <c r="W127" s="1433">
        <f>IF(V127=1,Cal!$BP$127,0)</f>
        <v>0</v>
      </c>
      <c r="X127" s="1367">
        <f>IF(V127=1,Adm!$HI$4,0)</f>
        <v>0</v>
      </c>
      <c r="Z127" s="1153"/>
      <c r="AC127" s="1370">
        <f t="shared" si="23"/>
        <v>0</v>
      </c>
      <c r="AD127" s="1373">
        <f t="shared" si="24"/>
        <v>0</v>
      </c>
      <c r="AE127" s="1371">
        <f t="shared" si="25"/>
        <v>0</v>
      </c>
      <c r="AF127" s="1359">
        <f>HLOOKUP($AF$11,anticipafreeliq,113,0)</f>
        <v>-8.4490555555555551E-4</v>
      </c>
      <c r="AH127" s="1360">
        <f>Free!AK182</f>
        <v>-8.4490555555555551E-4</v>
      </c>
    </row>
    <row r="128" spans="1:34">
      <c r="A128" s="1118">
        <f t="shared" ca="1" si="14"/>
        <v>8</v>
      </c>
      <c r="B128" s="1101">
        <f t="shared" si="15"/>
        <v>0</v>
      </c>
      <c r="C128" s="2149">
        <f t="shared" si="16"/>
        <v>0</v>
      </c>
      <c r="D128" s="2150">
        <f t="shared" si="26"/>
        <v>0</v>
      </c>
      <c r="E128" s="2145">
        <f t="shared" si="20"/>
        <v>0</v>
      </c>
      <c r="F128" s="2145">
        <f t="shared" si="17"/>
        <v>0</v>
      </c>
      <c r="G128" s="2145">
        <f t="shared" si="22"/>
        <v>0</v>
      </c>
      <c r="H128" s="2145">
        <f>IF(K127&lt;0.01,0,IF(Adm!$GS$4=Adm!$GS$8,0,IF(Adm!$GS$12="Pagados por el Banco",0,K127*Adm!$GV$4)))</f>
        <v>0</v>
      </c>
      <c r="I128" s="2145">
        <f>IF(K127&lt;0.01,0,E128*Adm!$O$8)</f>
        <v>0</v>
      </c>
      <c r="J128" s="2145">
        <f t="shared" si="18"/>
        <v>0</v>
      </c>
      <c r="K128" s="2145">
        <f t="shared" si="19"/>
        <v>0</v>
      </c>
      <c r="L128" s="2146"/>
      <c r="V128" s="1352">
        <f t="shared" si="21"/>
        <v>5</v>
      </c>
      <c r="W128" s="1433">
        <f>IF(V128=1,Cal!$BP$127,0)</f>
        <v>0</v>
      </c>
      <c r="X128" s="1367">
        <f>IF(V128=1,Adm!$HI$4,0)</f>
        <v>0</v>
      </c>
      <c r="Z128" s="1153"/>
      <c r="AC128" s="1370">
        <f t="shared" si="23"/>
        <v>0</v>
      </c>
      <c r="AD128" s="1373">
        <f t="shared" si="24"/>
        <v>0</v>
      </c>
      <c r="AE128" s="1371">
        <f t="shared" si="25"/>
        <v>0</v>
      </c>
      <c r="AF128" s="1359">
        <f>HLOOKUP($AF$11,anticipafreeliq,114,0)</f>
        <v>-8.4490555555555551E-4</v>
      </c>
      <c r="AH128" s="1360">
        <f>Free!AK183</f>
        <v>-8.4490555555555551E-4</v>
      </c>
    </row>
    <row r="129" spans="1:34">
      <c r="A129" s="1118">
        <f t="shared" ca="1" si="14"/>
        <v>9</v>
      </c>
      <c r="B129" s="1101">
        <f t="shared" si="15"/>
        <v>0</v>
      </c>
      <c r="C129" s="2149">
        <f t="shared" si="16"/>
        <v>0</v>
      </c>
      <c r="D129" s="2150">
        <f t="shared" si="26"/>
        <v>0</v>
      </c>
      <c r="E129" s="2145">
        <f t="shared" si="20"/>
        <v>0</v>
      </c>
      <c r="F129" s="2145">
        <f t="shared" si="17"/>
        <v>0</v>
      </c>
      <c r="G129" s="2145">
        <f t="shared" si="22"/>
        <v>0</v>
      </c>
      <c r="H129" s="2145">
        <f>IF(K128&lt;0.01,0,IF(Adm!$GS$4=Adm!$GS$8,0,IF(Adm!$GS$12="Pagados por el Banco",0,K128*Adm!$GV$4)))</f>
        <v>0</v>
      </c>
      <c r="I129" s="2145">
        <f>IF(K128&lt;0.01,0,E129*Adm!$O$8)</f>
        <v>0</v>
      </c>
      <c r="J129" s="2145">
        <f t="shared" si="18"/>
        <v>0</v>
      </c>
      <c r="K129" s="2145">
        <f t="shared" si="19"/>
        <v>0</v>
      </c>
      <c r="L129" s="2146"/>
      <c r="V129" s="1352">
        <f t="shared" si="21"/>
        <v>6</v>
      </c>
      <c r="W129" s="1433">
        <f>IF(V129=1,Cal!$BP$127,0)</f>
        <v>0</v>
      </c>
      <c r="X129" s="1367">
        <f>IF(V129=1,Adm!$HI$4,0)</f>
        <v>0</v>
      </c>
      <c r="Z129" s="1153"/>
      <c r="AC129" s="1370">
        <f t="shared" si="23"/>
        <v>0</v>
      </c>
      <c r="AD129" s="1373">
        <f t="shared" si="24"/>
        <v>0</v>
      </c>
      <c r="AE129" s="1371">
        <f t="shared" si="25"/>
        <v>0</v>
      </c>
      <c r="AF129" s="1359">
        <f>HLOOKUP($AF$11,anticipafreeliq,115,0)</f>
        <v>-8.4490555555555551E-4</v>
      </c>
      <c r="AH129" s="1360">
        <f>Free!AK184</f>
        <v>-8.4490555555555551E-4</v>
      </c>
    </row>
    <row r="130" spans="1:34">
      <c r="A130" s="1118">
        <f t="shared" ca="1" si="14"/>
        <v>10</v>
      </c>
      <c r="B130" s="1101">
        <f t="shared" si="15"/>
        <v>0</v>
      </c>
      <c r="C130" s="2149">
        <f t="shared" si="16"/>
        <v>0</v>
      </c>
      <c r="D130" s="2150">
        <f t="shared" si="26"/>
        <v>0</v>
      </c>
      <c r="E130" s="2145">
        <f t="shared" si="20"/>
        <v>0</v>
      </c>
      <c r="F130" s="2145">
        <f t="shared" si="17"/>
        <v>0</v>
      </c>
      <c r="G130" s="2145">
        <f t="shared" si="22"/>
        <v>0</v>
      </c>
      <c r="H130" s="2145">
        <f>IF(K129&lt;0.01,0,IF(Adm!$GS$4=Adm!$GS$8,0,IF(Adm!$GS$12="Pagados por el Banco",0,K129*Adm!$GV$4)))</f>
        <v>0</v>
      </c>
      <c r="I130" s="2145">
        <f>IF(K129&lt;0.01,0,E130*Adm!$O$8)</f>
        <v>0</v>
      </c>
      <c r="J130" s="2145">
        <f t="shared" si="18"/>
        <v>0</v>
      </c>
      <c r="K130" s="2145">
        <f t="shared" si="19"/>
        <v>0</v>
      </c>
      <c r="L130" s="2146"/>
      <c r="V130" s="1352">
        <f t="shared" si="21"/>
        <v>7</v>
      </c>
      <c r="W130" s="1433">
        <f>IF(V130=1,Cal!$BP$127,0)</f>
        <v>0</v>
      </c>
      <c r="X130" s="1367">
        <f>IF(V130=1,Adm!$HI$4,0)</f>
        <v>0</v>
      </c>
      <c r="Z130" s="1153"/>
      <c r="AC130" s="1370">
        <f t="shared" si="23"/>
        <v>0</v>
      </c>
      <c r="AD130" s="1373">
        <f t="shared" si="24"/>
        <v>0</v>
      </c>
      <c r="AE130" s="1371">
        <f t="shared" si="25"/>
        <v>0</v>
      </c>
      <c r="AF130" s="1359">
        <f>HLOOKUP($AF$11,anticipafreeliq,116,0)</f>
        <v>-8.4490555555555551E-4</v>
      </c>
      <c r="AH130" s="1360">
        <f>Free!AK185</f>
        <v>-8.4490555555555551E-4</v>
      </c>
    </row>
    <row r="131" spans="1:34">
      <c r="A131" s="1118">
        <f t="shared" ca="1" si="14"/>
        <v>11</v>
      </c>
      <c r="B131" s="1101">
        <f t="shared" si="15"/>
        <v>0</v>
      </c>
      <c r="C131" s="2149">
        <f t="shared" si="16"/>
        <v>0</v>
      </c>
      <c r="D131" s="2150">
        <f t="shared" si="26"/>
        <v>0</v>
      </c>
      <c r="E131" s="2145">
        <f t="shared" si="20"/>
        <v>0</v>
      </c>
      <c r="F131" s="2145">
        <f t="shared" si="17"/>
        <v>0</v>
      </c>
      <c r="G131" s="2145">
        <f t="shared" si="22"/>
        <v>0</v>
      </c>
      <c r="H131" s="2145">
        <f>IF(K130&lt;0.01,0,IF(Adm!$GS$4=Adm!$GS$8,0,IF(Adm!$GS$12="Pagados por el Banco",0,K130*Adm!$GV$4)))</f>
        <v>0</v>
      </c>
      <c r="I131" s="2145">
        <f>IF(K130&lt;0.01,0,E131*Adm!$O$8)</f>
        <v>0</v>
      </c>
      <c r="J131" s="2145">
        <f t="shared" si="18"/>
        <v>0</v>
      </c>
      <c r="K131" s="2145">
        <f t="shared" si="19"/>
        <v>0</v>
      </c>
      <c r="L131" s="2146"/>
      <c r="V131" s="1352">
        <f t="shared" si="21"/>
        <v>8</v>
      </c>
      <c r="W131" s="1433">
        <f>IF(V131=1,Cal!$BP$127,0)</f>
        <v>0</v>
      </c>
      <c r="X131" s="1367">
        <f>IF(V131=1,Adm!$HI$4,0)</f>
        <v>0</v>
      </c>
      <c r="Z131" s="1153"/>
      <c r="AC131" s="1370">
        <f t="shared" si="23"/>
        <v>0</v>
      </c>
      <c r="AD131" s="1373">
        <f t="shared" si="24"/>
        <v>0</v>
      </c>
      <c r="AE131" s="1371">
        <f t="shared" si="25"/>
        <v>0</v>
      </c>
      <c r="AF131" s="1359">
        <f>HLOOKUP($AF$11,anticipafreeliq,117,0)</f>
        <v>-8.4490555555555551E-4</v>
      </c>
      <c r="AH131" s="1360">
        <f>Free!AK186</f>
        <v>-8.4490555555555551E-4</v>
      </c>
    </row>
    <row r="132" spans="1:34">
      <c r="A132" s="1118">
        <f t="shared" ca="1" si="14"/>
        <v>12</v>
      </c>
      <c r="B132" s="1101">
        <f t="shared" si="15"/>
        <v>0</v>
      </c>
      <c r="C132" s="2149">
        <f t="shared" si="16"/>
        <v>0</v>
      </c>
      <c r="D132" s="2150">
        <f t="shared" si="26"/>
        <v>0</v>
      </c>
      <c r="E132" s="2145">
        <f t="shared" si="20"/>
        <v>0</v>
      </c>
      <c r="F132" s="2145">
        <f t="shared" si="17"/>
        <v>0</v>
      </c>
      <c r="G132" s="2145">
        <f t="shared" si="22"/>
        <v>0</v>
      </c>
      <c r="H132" s="2145">
        <f>IF(K131&lt;0.01,0,IF(Adm!$GS$4=Adm!$GS$8,0,IF(Adm!$GS$12="Pagados por el Banco",0,K131*Adm!$GV$4)))</f>
        <v>0</v>
      </c>
      <c r="I132" s="2145">
        <f>IF(K131&lt;0.01,0,E132*Adm!$O$8)</f>
        <v>0</v>
      </c>
      <c r="J132" s="2145">
        <f t="shared" si="18"/>
        <v>0</v>
      </c>
      <c r="K132" s="2145">
        <f t="shared" si="19"/>
        <v>0</v>
      </c>
      <c r="L132" s="2146"/>
      <c r="V132" s="1352">
        <f t="shared" si="21"/>
        <v>9</v>
      </c>
      <c r="W132" s="1433">
        <f>IF(V132=1,Cal!$BP$127,0)</f>
        <v>0</v>
      </c>
      <c r="X132" s="1367">
        <f>IF(V132=1,Adm!$HI$4,0)</f>
        <v>0</v>
      </c>
      <c r="Z132" s="1153"/>
      <c r="AC132" s="1370">
        <f t="shared" si="23"/>
        <v>0</v>
      </c>
      <c r="AD132" s="1373">
        <f t="shared" si="24"/>
        <v>0</v>
      </c>
      <c r="AE132" s="1371">
        <f t="shared" si="25"/>
        <v>0</v>
      </c>
      <c r="AF132" s="1359">
        <f>HLOOKUP($AF$11,anticipafreeliq,118,0)</f>
        <v>-8.4490555555555551E-4</v>
      </c>
      <c r="AH132" s="1360">
        <f>Free!AK187</f>
        <v>-8.4490555555555551E-4</v>
      </c>
    </row>
    <row r="133" spans="1:34">
      <c r="A133" s="1118">
        <f t="shared" ca="1" si="14"/>
        <v>1</v>
      </c>
      <c r="B133" s="1101">
        <f t="shared" si="15"/>
        <v>0</v>
      </c>
      <c r="C133" s="2149">
        <f t="shared" si="16"/>
        <v>0</v>
      </c>
      <c r="D133" s="2150">
        <f t="shared" si="26"/>
        <v>0</v>
      </c>
      <c r="E133" s="2145">
        <f t="shared" si="20"/>
        <v>0</v>
      </c>
      <c r="F133" s="2145">
        <f t="shared" si="17"/>
        <v>0</v>
      </c>
      <c r="G133" s="2145">
        <f t="shared" si="22"/>
        <v>0</v>
      </c>
      <c r="H133" s="2145">
        <f>IF(K132&lt;0.01,0,IF(Adm!$GS$4=Adm!$GS$8,0,IF(Adm!$GS$12="Pagados por el Banco",0,K132*Adm!$GV$4)))</f>
        <v>0</v>
      </c>
      <c r="I133" s="2145">
        <f>IF(K132&lt;0.01,0,E133*Adm!$O$8)</f>
        <v>0</v>
      </c>
      <c r="J133" s="2145">
        <f t="shared" si="18"/>
        <v>0</v>
      </c>
      <c r="K133" s="2145">
        <f t="shared" si="19"/>
        <v>0</v>
      </c>
      <c r="L133" s="2146"/>
      <c r="V133" s="1352">
        <f t="shared" si="21"/>
        <v>10</v>
      </c>
      <c r="W133" s="1433">
        <f>IF(V133=1,Cal!$BP$127,0)</f>
        <v>0</v>
      </c>
      <c r="X133" s="1367">
        <f>IF(V133=1,Adm!$HI$4,0)</f>
        <v>0</v>
      </c>
      <c r="Z133" s="1153"/>
      <c r="AC133" s="1370">
        <f t="shared" si="23"/>
        <v>0</v>
      </c>
      <c r="AD133" s="1373">
        <f t="shared" si="24"/>
        <v>0</v>
      </c>
      <c r="AE133" s="1371">
        <f t="shared" si="25"/>
        <v>0</v>
      </c>
      <c r="AF133" s="1359">
        <f>HLOOKUP($AF$11,anticipafreeliq,119,0)</f>
        <v>-8.4490555555555551E-4</v>
      </c>
      <c r="AH133" s="1360">
        <f>Free!AK188</f>
        <v>-8.4490555555555551E-4</v>
      </c>
    </row>
    <row r="134" spans="1:34">
      <c r="A134" s="1118">
        <f t="shared" ca="1" si="14"/>
        <v>2</v>
      </c>
      <c r="B134" s="1101">
        <f t="shared" si="15"/>
        <v>0</v>
      </c>
      <c r="C134" s="2149">
        <f t="shared" si="16"/>
        <v>0</v>
      </c>
      <c r="D134" s="2150">
        <f t="shared" si="26"/>
        <v>0</v>
      </c>
      <c r="E134" s="2145">
        <f t="shared" si="20"/>
        <v>0</v>
      </c>
      <c r="F134" s="2145">
        <f t="shared" si="17"/>
        <v>0</v>
      </c>
      <c r="G134" s="2145">
        <f t="shared" si="22"/>
        <v>0</v>
      </c>
      <c r="H134" s="2145">
        <f>IF(K133&lt;0.01,0,IF(Adm!$GS$4=Adm!$GS$8,0,IF(Adm!$GS$12="Pagados por el Banco",0,K133*Adm!$GV$4)))</f>
        <v>0</v>
      </c>
      <c r="I134" s="2145">
        <f>IF(K133&lt;0.01,0,E134*Adm!$O$8)</f>
        <v>0</v>
      </c>
      <c r="J134" s="2145">
        <f t="shared" si="18"/>
        <v>0</v>
      </c>
      <c r="K134" s="2145">
        <f t="shared" si="19"/>
        <v>0</v>
      </c>
      <c r="L134" s="2146"/>
      <c r="V134" s="1352">
        <f t="shared" si="21"/>
        <v>11</v>
      </c>
      <c r="W134" s="1433">
        <f>IF(V134=1,Cal!$BP$127,0)</f>
        <v>0</v>
      </c>
      <c r="X134" s="1367">
        <f>IF(V134=1,Adm!$HI$4,0)</f>
        <v>0</v>
      </c>
      <c r="Z134" s="1153"/>
      <c r="AC134" s="1370">
        <f t="shared" si="23"/>
        <v>0</v>
      </c>
      <c r="AD134" s="1373">
        <f t="shared" si="24"/>
        <v>0</v>
      </c>
      <c r="AE134" s="1371">
        <f t="shared" si="25"/>
        <v>0</v>
      </c>
      <c r="AF134" s="1359">
        <f>HLOOKUP($AF$11,anticipafreeliq,120,0)</f>
        <v>-8.4490555555555551E-4</v>
      </c>
      <c r="AH134" s="1360">
        <f>Free!AK189</f>
        <v>-8.4490555555555551E-4</v>
      </c>
    </row>
    <row r="135" spans="1:34">
      <c r="A135" s="1118">
        <f t="shared" ca="1" si="14"/>
        <v>3</v>
      </c>
      <c r="B135" s="1101">
        <f t="shared" si="15"/>
        <v>0</v>
      </c>
      <c r="C135" s="2149">
        <f t="shared" si="16"/>
        <v>0</v>
      </c>
      <c r="D135" s="2150">
        <f t="shared" si="26"/>
        <v>0</v>
      </c>
      <c r="E135" s="2145">
        <f t="shared" si="20"/>
        <v>0</v>
      </c>
      <c r="F135" s="2145">
        <f t="shared" si="17"/>
        <v>0</v>
      </c>
      <c r="G135" s="2145">
        <f t="shared" si="22"/>
        <v>0</v>
      </c>
      <c r="H135" s="2145">
        <f>IF(K134&lt;0.01,0,IF(Adm!$GS$4=Adm!$GS$8,0,IF(Adm!$GS$12="Pagados por el Banco",0,K134*Adm!$GV$4)))</f>
        <v>0</v>
      </c>
      <c r="I135" s="2145">
        <f>IF(K134&lt;0.01,0,E135*Adm!$O$8)</f>
        <v>0</v>
      </c>
      <c r="J135" s="2145">
        <f t="shared" si="18"/>
        <v>0</v>
      </c>
      <c r="K135" s="2145">
        <f t="shared" si="19"/>
        <v>0</v>
      </c>
      <c r="L135" s="2146"/>
      <c r="V135" s="1352">
        <f t="shared" si="21"/>
        <v>12</v>
      </c>
      <c r="W135" s="1433">
        <f>IF(V135=1,Cal!$BP$127,0)</f>
        <v>0</v>
      </c>
      <c r="X135" s="1367">
        <f>IF(V135=1,Adm!$HI$4,0)</f>
        <v>0</v>
      </c>
      <c r="Z135" s="1153"/>
      <c r="AC135" s="1370">
        <f t="shared" si="23"/>
        <v>0</v>
      </c>
      <c r="AD135" s="1373">
        <f t="shared" si="24"/>
        <v>0</v>
      </c>
      <c r="AE135" s="1371">
        <f t="shared" si="25"/>
        <v>0</v>
      </c>
      <c r="AF135" s="1359">
        <f>HLOOKUP($AF$11,anticipafreeliq,121,0)</f>
        <v>-8.4490555555555551E-4</v>
      </c>
      <c r="AH135" s="1360">
        <f>Free!AK190</f>
        <v>-8.4490555555555551E-4</v>
      </c>
    </row>
    <row r="136" spans="1:34">
      <c r="A136" s="1118">
        <f t="shared" ca="1" si="14"/>
        <v>4</v>
      </c>
      <c r="B136" s="1101">
        <f t="shared" si="15"/>
        <v>0</v>
      </c>
      <c r="C136" s="2149">
        <f t="shared" si="16"/>
        <v>0</v>
      </c>
      <c r="D136" s="2150">
        <f t="shared" si="26"/>
        <v>0</v>
      </c>
      <c r="E136" s="2145">
        <f t="shared" si="20"/>
        <v>0</v>
      </c>
      <c r="F136" s="2145">
        <f t="shared" si="17"/>
        <v>0</v>
      </c>
      <c r="G136" s="2145">
        <f t="shared" si="22"/>
        <v>0</v>
      </c>
      <c r="H136" s="2145">
        <f>IF(K135&lt;0.01,0,IF(Adm!$GS$4=Adm!$GS$8,0,IF(Adm!$GS$12="Pagados por el Banco",0,K135*Adm!$GV$4)))</f>
        <v>0</v>
      </c>
      <c r="I136" s="2145">
        <f>IF(K135&lt;0.01,0,E136*Adm!$O$8)</f>
        <v>0</v>
      </c>
      <c r="J136" s="2145">
        <f t="shared" si="18"/>
        <v>0</v>
      </c>
      <c r="K136" s="2145">
        <f t="shared" si="19"/>
        <v>0</v>
      </c>
      <c r="L136" s="2146"/>
      <c r="V136" s="1352">
        <f t="shared" si="21"/>
        <v>1</v>
      </c>
      <c r="W136" s="1433">
        <f>IF(V136=1,Cal!$BP$127,0)</f>
        <v>0</v>
      </c>
      <c r="X136" s="1367">
        <f>IF(V136=1,Adm!$HI$4,0)</f>
        <v>2.5000000000000001E-3</v>
      </c>
      <c r="Z136" s="1153"/>
      <c r="AC136" s="1370">
        <f t="shared" si="23"/>
        <v>0</v>
      </c>
      <c r="AD136" s="1373">
        <f t="shared" si="24"/>
        <v>0</v>
      </c>
      <c r="AE136" s="1371">
        <f t="shared" si="25"/>
        <v>0</v>
      </c>
      <c r="AF136" s="1359">
        <f>HLOOKUP($AF$11,anticipafreeliq,122,0)</f>
        <v>-8.4490555555555551E-4</v>
      </c>
      <c r="AH136" s="1360">
        <f>Free!AK191</f>
        <v>-8.4490555555555551E-4</v>
      </c>
    </row>
    <row r="137" spans="1:34">
      <c r="A137" s="1118">
        <f t="shared" ca="1" si="14"/>
        <v>5</v>
      </c>
      <c r="B137" s="1101">
        <f t="shared" si="15"/>
        <v>0</v>
      </c>
      <c r="C137" s="2149">
        <f t="shared" si="16"/>
        <v>0</v>
      </c>
      <c r="D137" s="2150">
        <f t="shared" si="26"/>
        <v>0</v>
      </c>
      <c r="E137" s="2145">
        <f t="shared" si="20"/>
        <v>0</v>
      </c>
      <c r="F137" s="2145">
        <f t="shared" si="17"/>
        <v>0</v>
      </c>
      <c r="G137" s="2145">
        <f t="shared" si="22"/>
        <v>0</v>
      </c>
      <c r="H137" s="2145">
        <f>IF(K136&lt;0.01,0,IF(Adm!$GS$4=Adm!$GS$8,0,IF(Adm!$GS$12="Pagados por el Banco",0,K136*Adm!$GV$4)))</f>
        <v>0</v>
      </c>
      <c r="I137" s="2145">
        <f>IF(K136&lt;0.01,0,E137*Adm!$O$8)</f>
        <v>0</v>
      </c>
      <c r="J137" s="2145">
        <f t="shared" si="18"/>
        <v>0</v>
      </c>
      <c r="K137" s="2145">
        <f t="shared" si="19"/>
        <v>0</v>
      </c>
      <c r="L137" s="2146"/>
      <c r="V137" s="1352">
        <f t="shared" si="21"/>
        <v>2</v>
      </c>
      <c r="W137" s="1433">
        <f>IF(V137=1,Cal!$BP$127,0)</f>
        <v>0</v>
      </c>
      <c r="X137" s="1367">
        <f>IF(V137=1,Adm!$HI$4,0)</f>
        <v>0</v>
      </c>
      <c r="Z137" s="1153"/>
      <c r="AC137" s="1370">
        <f t="shared" si="23"/>
        <v>0</v>
      </c>
      <c r="AD137" s="1373">
        <f t="shared" si="24"/>
        <v>0</v>
      </c>
      <c r="AE137" s="1371">
        <f t="shared" si="25"/>
        <v>0</v>
      </c>
      <c r="AF137" s="1359">
        <f>HLOOKUP($AF$11,anticipafreeliq,123,0)</f>
        <v>-8.4490555555555541E-4</v>
      </c>
      <c r="AH137" s="1360">
        <f>Free!AK192</f>
        <v>-8.4490555555555541E-4</v>
      </c>
    </row>
    <row r="138" spans="1:34">
      <c r="A138" s="1118">
        <f t="shared" ca="1" si="14"/>
        <v>6</v>
      </c>
      <c r="B138" s="1101">
        <f t="shared" si="15"/>
        <v>0</v>
      </c>
      <c r="C138" s="2149">
        <f t="shared" si="16"/>
        <v>0</v>
      </c>
      <c r="D138" s="2150">
        <f t="shared" si="26"/>
        <v>0</v>
      </c>
      <c r="E138" s="2145">
        <f t="shared" si="20"/>
        <v>0</v>
      </c>
      <c r="F138" s="2145">
        <f t="shared" si="17"/>
        <v>0</v>
      </c>
      <c r="G138" s="2145">
        <f t="shared" si="22"/>
        <v>0</v>
      </c>
      <c r="H138" s="2145">
        <f>IF(K137&lt;0.01,0,IF(Adm!$GS$4=Adm!$GS$8,0,IF(Adm!$GS$12="Pagados por el Banco",0,K137*Adm!$GV$4)))</f>
        <v>0</v>
      </c>
      <c r="I138" s="2145">
        <f>IF(K137&lt;0.01,0,E138*Adm!$O$8)</f>
        <v>0</v>
      </c>
      <c r="J138" s="2145">
        <f t="shared" si="18"/>
        <v>0</v>
      </c>
      <c r="K138" s="2145">
        <f t="shared" si="19"/>
        <v>0</v>
      </c>
      <c r="L138" s="2146"/>
      <c r="V138" s="1352">
        <f t="shared" si="21"/>
        <v>3</v>
      </c>
      <c r="W138" s="1433">
        <f>IF(V138=1,Cal!$BP$127,0)</f>
        <v>0</v>
      </c>
      <c r="X138" s="1367">
        <f>IF(V138=1,Adm!$HI$4,0)</f>
        <v>0</v>
      </c>
      <c r="Z138" s="1153"/>
      <c r="AC138" s="1370">
        <f t="shared" si="23"/>
        <v>0</v>
      </c>
      <c r="AD138" s="1373">
        <f t="shared" si="24"/>
        <v>0</v>
      </c>
      <c r="AE138" s="1371">
        <f t="shared" si="25"/>
        <v>0</v>
      </c>
      <c r="AF138" s="1359">
        <f>HLOOKUP($AF$11,anticipafreeliq,124,0)</f>
        <v>-8.4490555555555551E-4</v>
      </c>
      <c r="AH138" s="1360">
        <f>Free!AK193</f>
        <v>-8.4490555555555551E-4</v>
      </c>
    </row>
    <row r="139" spans="1:34">
      <c r="A139" s="1118">
        <f t="shared" ca="1" si="14"/>
        <v>7</v>
      </c>
      <c r="B139" s="1101">
        <f t="shared" si="15"/>
        <v>0</v>
      </c>
      <c r="C139" s="2149">
        <f t="shared" si="16"/>
        <v>0</v>
      </c>
      <c r="D139" s="2150">
        <f t="shared" si="26"/>
        <v>0</v>
      </c>
      <c r="E139" s="2145">
        <f t="shared" si="20"/>
        <v>0</v>
      </c>
      <c r="F139" s="2145">
        <f t="shared" si="17"/>
        <v>0</v>
      </c>
      <c r="G139" s="2145">
        <f t="shared" si="22"/>
        <v>0</v>
      </c>
      <c r="H139" s="2145">
        <f>IF(K138&lt;0.01,0,IF(Adm!$GS$4=Adm!$GS$8,0,IF(Adm!$GS$12="Pagados por el Banco",0,K138*Adm!$GV$4)))</f>
        <v>0</v>
      </c>
      <c r="I139" s="2145">
        <f>IF(K138&lt;0.01,0,E139*Adm!$O$8)</f>
        <v>0</v>
      </c>
      <c r="J139" s="2145">
        <f t="shared" si="18"/>
        <v>0</v>
      </c>
      <c r="K139" s="2145">
        <f t="shared" si="19"/>
        <v>0</v>
      </c>
      <c r="L139" s="2146"/>
      <c r="V139" s="1352">
        <f t="shared" si="21"/>
        <v>4</v>
      </c>
      <c r="W139" s="1433">
        <f>IF(V139=1,Cal!$BP$127,0)</f>
        <v>0</v>
      </c>
      <c r="X139" s="1367">
        <f>IF(V139=1,Adm!$HI$4,0)</f>
        <v>0</v>
      </c>
      <c r="Z139" s="1153"/>
      <c r="AC139" s="1370">
        <f t="shared" si="23"/>
        <v>0</v>
      </c>
      <c r="AD139" s="1373">
        <f t="shared" si="24"/>
        <v>0</v>
      </c>
      <c r="AE139" s="1371">
        <f t="shared" si="25"/>
        <v>0</v>
      </c>
      <c r="AF139" s="1359">
        <f>HLOOKUP($AF$11,anticipafreeliq,125,0)</f>
        <v>-8.4490555555555551E-4</v>
      </c>
      <c r="AH139" s="1360">
        <f>Free!AK194</f>
        <v>-8.4490555555555551E-4</v>
      </c>
    </row>
    <row r="140" spans="1:34">
      <c r="A140" s="1118">
        <f t="shared" ca="1" si="14"/>
        <v>8</v>
      </c>
      <c r="B140" s="1101">
        <f t="shared" si="15"/>
        <v>0</v>
      </c>
      <c r="C140" s="2149">
        <f t="shared" si="16"/>
        <v>0</v>
      </c>
      <c r="D140" s="2150">
        <f t="shared" si="26"/>
        <v>0</v>
      </c>
      <c r="E140" s="2145">
        <f t="shared" si="20"/>
        <v>0</v>
      </c>
      <c r="F140" s="2145">
        <f t="shared" si="17"/>
        <v>0</v>
      </c>
      <c r="G140" s="2145">
        <f t="shared" si="22"/>
        <v>0</v>
      </c>
      <c r="H140" s="2145">
        <f>IF(K139&lt;0.01,0,IF(Adm!$GS$4=Adm!$GS$8,0,IF(Adm!$GS$12="Pagados por el Banco",0,K139*Adm!$GV$4)))</f>
        <v>0</v>
      </c>
      <c r="I140" s="2145">
        <f>IF(K139&lt;0.01,0,E140*Adm!$O$8)</f>
        <v>0</v>
      </c>
      <c r="J140" s="2145">
        <f t="shared" si="18"/>
        <v>0</v>
      </c>
      <c r="K140" s="2145">
        <f t="shared" si="19"/>
        <v>0</v>
      </c>
      <c r="L140" s="2146"/>
      <c r="V140" s="1352">
        <f t="shared" si="21"/>
        <v>5</v>
      </c>
      <c r="W140" s="1433">
        <f>IF(V140=1,Cal!$BP$127,0)</f>
        <v>0</v>
      </c>
      <c r="X140" s="1367">
        <f>IF(V140=1,Adm!$HI$4,0)</f>
        <v>0</v>
      </c>
      <c r="Z140" s="1153"/>
      <c r="AC140" s="1370">
        <f t="shared" si="23"/>
        <v>0</v>
      </c>
      <c r="AD140" s="1373">
        <f t="shared" si="24"/>
        <v>0</v>
      </c>
      <c r="AE140" s="1371">
        <f t="shared" si="25"/>
        <v>0</v>
      </c>
      <c r="AF140" s="1359">
        <f>HLOOKUP($AF$11,anticipafreeliq,125,0)</f>
        <v>-8.4490555555555551E-4</v>
      </c>
      <c r="AH140" s="1360">
        <f>Free!AK195</f>
        <v>-8.4490555555555562E-4</v>
      </c>
    </row>
    <row r="141" spans="1:34">
      <c r="A141" s="1118">
        <f t="shared" ca="1" si="14"/>
        <v>9</v>
      </c>
      <c r="B141" s="1101">
        <f t="shared" si="15"/>
        <v>0</v>
      </c>
      <c r="C141" s="2149">
        <f t="shared" si="16"/>
        <v>0</v>
      </c>
      <c r="D141" s="2150">
        <f t="shared" si="26"/>
        <v>0</v>
      </c>
      <c r="E141" s="2145">
        <f t="shared" si="20"/>
        <v>0</v>
      </c>
      <c r="F141" s="2145">
        <f t="shared" si="17"/>
        <v>0</v>
      </c>
      <c r="G141" s="2145">
        <f t="shared" si="22"/>
        <v>0</v>
      </c>
      <c r="H141" s="2145">
        <f>IF(K140&lt;0.01,0,IF(Adm!$GS$4=Adm!$GS$8,0,IF(Adm!$GS$12="Pagados por el Banco",0,K140*Adm!$GV$4)))</f>
        <v>0</v>
      </c>
      <c r="I141" s="2145">
        <f>IF(K140&lt;0.01,0,E141*Adm!$O$8)</f>
        <v>0</v>
      </c>
      <c r="J141" s="2145">
        <f t="shared" si="18"/>
        <v>0</v>
      </c>
      <c r="K141" s="2145">
        <f t="shared" si="19"/>
        <v>0</v>
      </c>
      <c r="L141" s="2146"/>
      <c r="V141" s="1352">
        <f t="shared" si="21"/>
        <v>6</v>
      </c>
      <c r="W141" s="1433">
        <f>IF(V141=1,Cal!$BP$127,0)</f>
        <v>0</v>
      </c>
      <c r="X141" s="1367">
        <f>IF(V141=1,Adm!$HI$4,0)</f>
        <v>0</v>
      </c>
      <c r="Z141" s="1153"/>
      <c r="AC141" s="1370">
        <f t="shared" si="23"/>
        <v>0</v>
      </c>
      <c r="AD141" s="1373">
        <f t="shared" si="24"/>
        <v>0</v>
      </c>
      <c r="AE141" s="1371">
        <f t="shared" si="25"/>
        <v>0</v>
      </c>
      <c r="AF141" s="1359">
        <f>HLOOKUP($AF$11,anticipafreeliq,127,0)</f>
        <v>-8.4490555555555551E-4</v>
      </c>
      <c r="AH141" s="1360">
        <f>Free!AK196</f>
        <v>-8.4490555555555551E-4</v>
      </c>
    </row>
    <row r="142" spans="1:34">
      <c r="A142" s="1118">
        <f t="shared" ca="1" si="14"/>
        <v>10</v>
      </c>
      <c r="B142" s="1101">
        <f t="shared" si="15"/>
        <v>0</v>
      </c>
      <c r="C142" s="2149">
        <f t="shared" si="16"/>
        <v>0</v>
      </c>
      <c r="D142" s="2150">
        <f t="shared" si="26"/>
        <v>0</v>
      </c>
      <c r="E142" s="2145">
        <f t="shared" si="20"/>
        <v>0</v>
      </c>
      <c r="F142" s="2145">
        <f t="shared" si="17"/>
        <v>0</v>
      </c>
      <c r="G142" s="2145">
        <f t="shared" si="22"/>
        <v>0</v>
      </c>
      <c r="H142" s="2145">
        <f>IF(K141&lt;0.01,0,IF(Adm!$GS$4=Adm!$GS$8,0,IF(Adm!$GS$12="Pagados por el Banco",0,K141*Adm!$GV$4)))</f>
        <v>0</v>
      </c>
      <c r="I142" s="2145">
        <f>IF(K141&lt;0.01,0,E142*Adm!$O$8)</f>
        <v>0</v>
      </c>
      <c r="J142" s="2145">
        <f t="shared" si="18"/>
        <v>0</v>
      </c>
      <c r="K142" s="2145">
        <f t="shared" si="19"/>
        <v>0</v>
      </c>
      <c r="L142" s="2146"/>
      <c r="V142" s="1352">
        <f t="shared" si="21"/>
        <v>7</v>
      </c>
      <c r="W142" s="1433">
        <f>IF(V142=1,Cal!$BP$127,0)</f>
        <v>0</v>
      </c>
      <c r="X142" s="1367">
        <f>IF(V142=1,Adm!$HI$4,0)</f>
        <v>0</v>
      </c>
      <c r="Z142" s="1153"/>
      <c r="AC142" s="1370">
        <f t="shared" si="23"/>
        <v>0</v>
      </c>
      <c r="AD142" s="1373">
        <f t="shared" si="24"/>
        <v>0</v>
      </c>
      <c r="AE142" s="1371">
        <f t="shared" si="25"/>
        <v>0</v>
      </c>
      <c r="AF142" s="1359">
        <f>HLOOKUP($AF$11,anticipafreeliq,128,0)</f>
        <v>-8.4490555555555551E-4</v>
      </c>
      <c r="AH142" s="1360">
        <f>Free!AK197</f>
        <v>-8.4490555555555551E-4</v>
      </c>
    </row>
    <row r="143" spans="1:34">
      <c r="A143" s="1118">
        <f t="shared" ca="1" si="14"/>
        <v>11</v>
      </c>
      <c r="B143" s="1101">
        <f t="shared" si="15"/>
        <v>0</v>
      </c>
      <c r="C143" s="2149">
        <f t="shared" si="16"/>
        <v>0</v>
      </c>
      <c r="D143" s="2150">
        <f t="shared" si="26"/>
        <v>0</v>
      </c>
      <c r="E143" s="2145">
        <f t="shared" si="20"/>
        <v>0</v>
      </c>
      <c r="F143" s="2145">
        <f t="shared" si="17"/>
        <v>0</v>
      </c>
      <c r="G143" s="2145">
        <f t="shared" si="22"/>
        <v>0</v>
      </c>
      <c r="H143" s="2145">
        <f>IF(K142&lt;0.01,0,IF(Adm!$GS$4=Adm!$GS$8,0,IF(Adm!$GS$12="Pagados por el Banco",0,K142*Adm!$GV$4)))</f>
        <v>0</v>
      </c>
      <c r="I143" s="2145">
        <f>IF(K142&lt;0.01,0,E143*Adm!$O$8)</f>
        <v>0</v>
      </c>
      <c r="J143" s="2145">
        <f t="shared" si="18"/>
        <v>0</v>
      </c>
      <c r="K143" s="2145">
        <f t="shared" si="19"/>
        <v>0</v>
      </c>
      <c r="L143" s="2146"/>
      <c r="V143" s="1352">
        <f t="shared" si="21"/>
        <v>8</v>
      </c>
      <c r="W143" s="1433">
        <f>IF(V143=1,Cal!$BP$127,0)</f>
        <v>0</v>
      </c>
      <c r="X143" s="1367">
        <f>IF(V143=1,Adm!$HI$4,0)</f>
        <v>0</v>
      </c>
      <c r="Z143" s="1153"/>
      <c r="AC143" s="1370">
        <f t="shared" si="23"/>
        <v>0</v>
      </c>
      <c r="AD143" s="1373">
        <f t="shared" si="24"/>
        <v>0</v>
      </c>
      <c r="AE143" s="1371">
        <f t="shared" si="25"/>
        <v>0</v>
      </c>
      <c r="AF143" s="1359">
        <f>HLOOKUP($AF$11,anticipafreeliq,129,0)</f>
        <v>-8.4490555555555551E-4</v>
      </c>
      <c r="AH143" s="1360">
        <f>Free!AK198</f>
        <v>-8.4490555555555551E-4</v>
      </c>
    </row>
    <row r="144" spans="1:34">
      <c r="A144" s="1118">
        <f t="shared" ref="A144:A207" ca="1" si="27">IF(A143=12,1,A143+1)</f>
        <v>12</v>
      </c>
      <c r="B144" s="1101">
        <f t="shared" ref="B144:B207" si="28">IF(K143&lt;0.01,0,B143-1)</f>
        <v>0</v>
      </c>
      <c r="C144" s="2149">
        <f t="shared" ref="C144:C207" si="29">IF(K143&lt;0.01,0,C143+1)</f>
        <v>0</v>
      </c>
      <c r="D144" s="2150">
        <f t="shared" si="26"/>
        <v>0</v>
      </c>
      <c r="E144" s="2145">
        <f t="shared" si="20"/>
        <v>0</v>
      </c>
      <c r="F144" s="2145">
        <f t="shared" ref="F144:F207" si="30">IF(K143&lt;0.01,0,G144-E144)</f>
        <v>0</v>
      </c>
      <c r="G144" s="2145">
        <f t="shared" si="22"/>
        <v>0</v>
      </c>
      <c r="H144" s="2145">
        <f>IF(K143&lt;0.01,0,IF(Adm!$GS$4=Adm!$GS$8,0,IF(Adm!$GS$12="Pagados por el Banco",0,K143*Adm!$GV$4)))</f>
        <v>0</v>
      </c>
      <c r="I144" s="2145">
        <f>IF(K143&lt;0.01,0,E144*Adm!$O$8)</f>
        <v>0</v>
      </c>
      <c r="J144" s="2145">
        <f t="shared" ref="J144:J207" si="31">G144+H144+I144</f>
        <v>0</v>
      </c>
      <c r="K144" s="2145">
        <f t="shared" ref="K144:K207" si="32">IF(K143&lt;0.01,0,K143-F144-L144)</f>
        <v>0</v>
      </c>
      <c r="L144" s="2146"/>
      <c r="V144" s="1352">
        <f t="shared" si="21"/>
        <v>9</v>
      </c>
      <c r="W144" s="1433">
        <f>IF(V144=1,Cal!$BP$127,0)</f>
        <v>0</v>
      </c>
      <c r="X144" s="1367">
        <f>IF(V144=1,Adm!$HI$4,0)</f>
        <v>0</v>
      </c>
      <c r="Z144" s="1153"/>
      <c r="AC144" s="1370">
        <f t="shared" si="23"/>
        <v>0</v>
      </c>
      <c r="AD144" s="1373">
        <f t="shared" si="24"/>
        <v>0</v>
      </c>
      <c r="AE144" s="1371">
        <f t="shared" si="25"/>
        <v>0</v>
      </c>
      <c r="AF144" s="1359">
        <f>HLOOKUP($AF$11,anticipafreeliq,130,0)</f>
        <v>-8.4490555555555551E-4</v>
      </c>
      <c r="AH144" s="1360">
        <f>Free!AK199</f>
        <v>-8.4490555555555551E-4</v>
      </c>
    </row>
    <row r="145" spans="1:34">
      <c r="A145" s="1118">
        <f t="shared" ca="1" si="27"/>
        <v>1</v>
      </c>
      <c r="B145" s="1101">
        <f t="shared" si="28"/>
        <v>0</v>
      </c>
      <c r="C145" s="2149">
        <f t="shared" si="29"/>
        <v>0</v>
      </c>
      <c r="D145" s="2150">
        <f t="shared" si="26"/>
        <v>0</v>
      </c>
      <c r="E145" s="2145">
        <f t="shared" ref="E145:E208" si="33">IF(K144&lt;0.01,0,K144*D145*30.4166/360)</f>
        <v>0</v>
      </c>
      <c r="F145" s="2145">
        <f t="shared" si="30"/>
        <v>0</v>
      </c>
      <c r="G145" s="2145">
        <f t="shared" si="22"/>
        <v>0</v>
      </c>
      <c r="H145" s="2145">
        <f>IF(K144&lt;0.01,0,IF(Adm!$GS$4=Adm!$GS$8,0,IF(Adm!$GS$12="Pagados por el Banco",0,K144*Adm!$GV$4)))</f>
        <v>0</v>
      </c>
      <c r="I145" s="2145">
        <f>IF(K144&lt;0.01,0,E145*Adm!$O$8)</f>
        <v>0</v>
      </c>
      <c r="J145" s="2145">
        <f t="shared" si="31"/>
        <v>0</v>
      </c>
      <c r="K145" s="2145">
        <f t="shared" si="32"/>
        <v>0</v>
      </c>
      <c r="L145" s="2146"/>
      <c r="V145" s="1352">
        <f t="shared" ref="V145:V208" si="34">IF(V144=12,1,V144+1)</f>
        <v>10</v>
      </c>
      <c r="W145" s="1433">
        <f>IF(V145=1,Cal!$BP$127,0)</f>
        <v>0</v>
      </c>
      <c r="X145" s="1367">
        <f>IF(V145=1,Adm!$HI$4,0)</f>
        <v>0</v>
      </c>
      <c r="Z145" s="1153"/>
      <c r="AC145" s="1370">
        <f t="shared" si="23"/>
        <v>0</v>
      </c>
      <c r="AD145" s="1373">
        <f t="shared" si="24"/>
        <v>0</v>
      </c>
      <c r="AE145" s="1371">
        <f t="shared" si="25"/>
        <v>0</v>
      </c>
      <c r="AF145" s="1359">
        <f>HLOOKUP($AF$11,anticipafreeliq,131,0)</f>
        <v>-8.4490555555555562E-4</v>
      </c>
      <c r="AH145" s="1360">
        <f>Free!AK200</f>
        <v>-8.4490555555555562E-4</v>
      </c>
    </row>
    <row r="146" spans="1:34">
      <c r="A146" s="1118">
        <f t="shared" ca="1" si="27"/>
        <v>2</v>
      </c>
      <c r="B146" s="1101">
        <f t="shared" si="28"/>
        <v>0</v>
      </c>
      <c r="C146" s="2149">
        <f t="shared" si="29"/>
        <v>0</v>
      </c>
      <c r="D146" s="2150">
        <f t="shared" si="26"/>
        <v>0</v>
      </c>
      <c r="E146" s="2145">
        <f t="shared" si="33"/>
        <v>0</v>
      </c>
      <c r="F146" s="2145">
        <f t="shared" si="30"/>
        <v>0</v>
      </c>
      <c r="G146" s="2145">
        <f t="shared" ref="G146:G209" si="35">IF(K145&lt;0.1,0,MIN(K145+E146,IF(AC146&gt;0,AC146,G145*(1+W146))))</f>
        <v>0</v>
      </c>
      <c r="H146" s="2145">
        <f>IF(K145&lt;0.01,0,IF(Adm!$GS$4=Adm!$GS$8,0,IF(Adm!$GS$12="Pagados por el Banco",0,K145*Adm!$GV$4)))</f>
        <v>0</v>
      </c>
      <c r="I146" s="2145">
        <f>IF(K145&lt;0.01,0,E146*Adm!$O$8)</f>
        <v>0</v>
      </c>
      <c r="J146" s="2145">
        <f t="shared" si="31"/>
        <v>0</v>
      </c>
      <c r="K146" s="2145">
        <f t="shared" si="32"/>
        <v>0</v>
      </c>
      <c r="L146" s="2146"/>
      <c r="V146" s="1352">
        <f t="shared" si="34"/>
        <v>11</v>
      </c>
      <c r="W146" s="1433">
        <f>IF(V146=1,Cal!$BP$127,0)</f>
        <v>0</v>
      </c>
      <c r="X146" s="1367">
        <f>IF(V146=1,Adm!$HI$4,0)</f>
        <v>0</v>
      </c>
      <c r="Z146" s="1153"/>
      <c r="AC146" s="1370">
        <f t="shared" ref="AC146:AC209" si="36">IF(AD146&gt;1,AD146,0)</f>
        <v>0</v>
      </c>
      <c r="AD146" s="1373">
        <f t="shared" ref="AD146:AD209" si="37">IF(AND(AE146&gt;0.01,$AC$10=2),AE146,0)</f>
        <v>0</v>
      </c>
      <c r="AE146" s="1371">
        <f t="shared" ref="AE146:AE209" si="38">IF(L145&lt;0.01,0,IF($AC$10=2,K145*AF146)+E146)</f>
        <v>0</v>
      </c>
      <c r="AF146" s="1359">
        <f>HLOOKUP($AF$11,anticipafreeliq,132,0)</f>
        <v>-8.4490555555555562E-4</v>
      </c>
      <c r="AH146" s="1360">
        <f>Free!AK201</f>
        <v>-8.4490555555555562E-4</v>
      </c>
    </row>
    <row r="147" spans="1:34">
      <c r="A147" s="1118">
        <f t="shared" ca="1" si="27"/>
        <v>3</v>
      </c>
      <c r="B147" s="1101">
        <f t="shared" si="28"/>
        <v>0</v>
      </c>
      <c r="C147" s="2149">
        <f t="shared" si="29"/>
        <v>0</v>
      </c>
      <c r="D147" s="2150">
        <f t="shared" si="26"/>
        <v>0</v>
      </c>
      <c r="E147" s="2145">
        <f t="shared" si="33"/>
        <v>0</v>
      </c>
      <c r="F147" s="2145">
        <f t="shared" si="30"/>
        <v>0</v>
      </c>
      <c r="G147" s="2145">
        <f t="shared" si="35"/>
        <v>0</v>
      </c>
      <c r="H147" s="2145">
        <f>IF(K146&lt;0.01,0,IF(Adm!$GS$4=Adm!$GS$8,0,IF(Adm!$GS$12="Pagados por el Banco",0,K146*Adm!$GV$4)))</f>
        <v>0</v>
      </c>
      <c r="I147" s="2145">
        <f>IF(K146&lt;0.01,0,E147*Adm!$O$8)</f>
        <v>0</v>
      </c>
      <c r="J147" s="2145">
        <f t="shared" si="31"/>
        <v>0</v>
      </c>
      <c r="K147" s="2145">
        <f t="shared" si="32"/>
        <v>0</v>
      </c>
      <c r="L147" s="2146"/>
      <c r="V147" s="1352">
        <f t="shared" si="34"/>
        <v>12</v>
      </c>
      <c r="W147" s="1433">
        <f>IF(V147=1,Cal!$BP$127,0)</f>
        <v>0</v>
      </c>
      <c r="X147" s="1367">
        <f>IF(V147=1,Adm!$HI$4,0)</f>
        <v>0</v>
      </c>
      <c r="Z147" s="1153"/>
      <c r="AC147" s="1370">
        <f t="shared" si="36"/>
        <v>0</v>
      </c>
      <c r="AD147" s="1373">
        <f t="shared" si="37"/>
        <v>0</v>
      </c>
      <c r="AE147" s="1371">
        <f t="shared" si="38"/>
        <v>0</v>
      </c>
      <c r="AF147" s="1359">
        <f>HLOOKUP($AF$11,anticipafreeliq,133,0)</f>
        <v>-8.4490555555555541E-4</v>
      </c>
      <c r="AH147" s="1360">
        <f>Free!AK202</f>
        <v>-8.4490555555555541E-4</v>
      </c>
    </row>
    <row r="148" spans="1:34">
      <c r="A148" s="1118">
        <f t="shared" ca="1" si="27"/>
        <v>4</v>
      </c>
      <c r="B148" s="1101">
        <f t="shared" si="28"/>
        <v>0</v>
      </c>
      <c r="C148" s="2149">
        <f t="shared" si="29"/>
        <v>0</v>
      </c>
      <c r="D148" s="2150">
        <f t="shared" si="26"/>
        <v>0</v>
      </c>
      <c r="E148" s="2145">
        <f t="shared" si="33"/>
        <v>0</v>
      </c>
      <c r="F148" s="2145">
        <f t="shared" si="30"/>
        <v>0</v>
      </c>
      <c r="G148" s="2145">
        <f t="shared" si="35"/>
        <v>0</v>
      </c>
      <c r="H148" s="2145">
        <f>IF(K147&lt;0.01,0,IF(Adm!$GS$4=Adm!$GS$8,0,IF(Adm!$GS$12="Pagados por el Banco",0,K147*Adm!$GV$4)))</f>
        <v>0</v>
      </c>
      <c r="I148" s="2145">
        <f>IF(K147&lt;0.01,0,E148*Adm!$O$8)</f>
        <v>0</v>
      </c>
      <c r="J148" s="2145">
        <f t="shared" si="31"/>
        <v>0</v>
      </c>
      <c r="K148" s="2145">
        <f t="shared" si="32"/>
        <v>0</v>
      </c>
      <c r="L148" s="2146"/>
      <c r="V148" s="1352">
        <f t="shared" si="34"/>
        <v>1</v>
      </c>
      <c r="W148" s="1433">
        <f>IF(V148=1,Cal!$BP$127,0)</f>
        <v>0</v>
      </c>
      <c r="X148" s="1367">
        <f>IF(V148=1,Adm!$HI$4,0)</f>
        <v>2.5000000000000001E-3</v>
      </c>
      <c r="Z148" s="1153"/>
      <c r="AC148" s="1370">
        <f t="shared" si="36"/>
        <v>0</v>
      </c>
      <c r="AD148" s="1373">
        <f t="shared" si="37"/>
        <v>0</v>
      </c>
      <c r="AE148" s="1371">
        <f t="shared" si="38"/>
        <v>0</v>
      </c>
      <c r="AF148" s="1359">
        <f>HLOOKUP($AF$11,anticipafreeliq,134,0)</f>
        <v>-8.4490555555555562E-4</v>
      </c>
      <c r="AH148" s="1360">
        <f>Free!AK203</f>
        <v>-8.4490555555555562E-4</v>
      </c>
    </row>
    <row r="149" spans="1:34">
      <c r="A149" s="1118">
        <f t="shared" ca="1" si="27"/>
        <v>5</v>
      </c>
      <c r="B149" s="1101">
        <f t="shared" si="28"/>
        <v>0</v>
      </c>
      <c r="C149" s="2149">
        <f t="shared" si="29"/>
        <v>0</v>
      </c>
      <c r="D149" s="2150">
        <f t="shared" si="26"/>
        <v>0</v>
      </c>
      <c r="E149" s="2145">
        <f t="shared" si="33"/>
        <v>0</v>
      </c>
      <c r="F149" s="2145">
        <f t="shared" si="30"/>
        <v>0</v>
      </c>
      <c r="G149" s="2145">
        <f t="shared" si="35"/>
        <v>0</v>
      </c>
      <c r="H149" s="2145">
        <f>IF(K148&lt;0.01,0,IF(Adm!$GS$4=Adm!$GS$8,0,IF(Adm!$GS$12="Pagados por el Banco",0,K148*Adm!$GV$4)))</f>
        <v>0</v>
      </c>
      <c r="I149" s="2145">
        <f>IF(K148&lt;0.01,0,E149*Adm!$O$8)</f>
        <v>0</v>
      </c>
      <c r="J149" s="2145">
        <f t="shared" si="31"/>
        <v>0</v>
      </c>
      <c r="K149" s="2145">
        <f t="shared" si="32"/>
        <v>0</v>
      </c>
      <c r="L149" s="2146"/>
      <c r="V149" s="1352">
        <f t="shared" si="34"/>
        <v>2</v>
      </c>
      <c r="W149" s="1433">
        <f>IF(V149=1,Cal!$BP$127,0)</f>
        <v>0</v>
      </c>
      <c r="X149" s="1367">
        <f>IF(V149=1,Adm!$HI$4,0)</f>
        <v>0</v>
      </c>
      <c r="Z149" s="1153"/>
      <c r="AC149" s="1370">
        <f t="shared" si="36"/>
        <v>0</v>
      </c>
      <c r="AD149" s="1373">
        <f t="shared" si="37"/>
        <v>0</v>
      </c>
      <c r="AE149" s="1371">
        <f t="shared" si="38"/>
        <v>0</v>
      </c>
      <c r="AF149" s="1359">
        <f>HLOOKUP($AF$11,anticipafreeliq,135,0)</f>
        <v>-8.4490555555555551E-4</v>
      </c>
      <c r="AH149" s="1360">
        <f>Free!AK204</f>
        <v>-8.4490555555555551E-4</v>
      </c>
    </row>
    <row r="150" spans="1:34">
      <c r="A150" s="1118">
        <f t="shared" ca="1" si="27"/>
        <v>6</v>
      </c>
      <c r="B150" s="1101">
        <f t="shared" si="28"/>
        <v>0</v>
      </c>
      <c r="C150" s="2149">
        <f t="shared" si="29"/>
        <v>0</v>
      </c>
      <c r="D150" s="2150">
        <f t="shared" si="26"/>
        <v>0</v>
      </c>
      <c r="E150" s="2145">
        <f t="shared" si="33"/>
        <v>0</v>
      </c>
      <c r="F150" s="2145">
        <f t="shared" si="30"/>
        <v>0</v>
      </c>
      <c r="G150" s="2145">
        <f t="shared" si="35"/>
        <v>0</v>
      </c>
      <c r="H150" s="2145">
        <f>IF(K149&lt;0.01,0,IF(Adm!$GS$4=Adm!$GS$8,0,IF(Adm!$GS$12="Pagados por el Banco",0,K149*Adm!$GV$4)))</f>
        <v>0</v>
      </c>
      <c r="I150" s="2145">
        <f>IF(K149&lt;0.01,0,E150*Adm!$O$8)</f>
        <v>0</v>
      </c>
      <c r="J150" s="2145">
        <f t="shared" si="31"/>
        <v>0</v>
      </c>
      <c r="K150" s="2145">
        <f t="shared" si="32"/>
        <v>0</v>
      </c>
      <c r="L150" s="2146"/>
      <c r="V150" s="1352">
        <f t="shared" si="34"/>
        <v>3</v>
      </c>
      <c r="W150" s="1433">
        <f>IF(V150=1,Cal!$BP$127,0)</f>
        <v>0</v>
      </c>
      <c r="X150" s="1367">
        <f>IF(V150=1,Adm!$HI$4,0)</f>
        <v>0</v>
      </c>
      <c r="Z150" s="1153"/>
      <c r="AC150" s="1370">
        <f t="shared" si="36"/>
        <v>0</v>
      </c>
      <c r="AD150" s="1373">
        <f t="shared" si="37"/>
        <v>0</v>
      </c>
      <c r="AE150" s="1371">
        <f t="shared" si="38"/>
        <v>0</v>
      </c>
      <c r="AF150" s="1359">
        <f>HLOOKUP($AF$11,anticipafreeliq,136,0)</f>
        <v>-8.4490555555555551E-4</v>
      </c>
      <c r="AH150" s="1360">
        <f>Free!AK205</f>
        <v>-8.4490555555555551E-4</v>
      </c>
    </row>
    <row r="151" spans="1:34">
      <c r="A151" s="1118">
        <f t="shared" ca="1" si="27"/>
        <v>7</v>
      </c>
      <c r="B151" s="1101">
        <f t="shared" si="28"/>
        <v>0</v>
      </c>
      <c r="C151" s="2149">
        <f t="shared" si="29"/>
        <v>0</v>
      </c>
      <c r="D151" s="2150">
        <f t="shared" si="26"/>
        <v>0</v>
      </c>
      <c r="E151" s="2145">
        <f t="shared" si="33"/>
        <v>0</v>
      </c>
      <c r="F151" s="2145">
        <f t="shared" si="30"/>
        <v>0</v>
      </c>
      <c r="G151" s="2145">
        <f t="shared" si="35"/>
        <v>0</v>
      </c>
      <c r="H151" s="2145">
        <f>IF(K150&lt;0.01,0,IF(Adm!$GS$4=Adm!$GS$8,0,IF(Adm!$GS$12="Pagados por el Banco",0,K150*Adm!$GV$4)))</f>
        <v>0</v>
      </c>
      <c r="I151" s="2145">
        <f>IF(K150&lt;0.01,0,E151*Adm!$O$8)</f>
        <v>0</v>
      </c>
      <c r="J151" s="2145">
        <f t="shared" si="31"/>
        <v>0</v>
      </c>
      <c r="K151" s="2145">
        <f t="shared" si="32"/>
        <v>0</v>
      </c>
      <c r="L151" s="2146"/>
      <c r="V151" s="1352">
        <f t="shared" si="34"/>
        <v>4</v>
      </c>
      <c r="W151" s="1433">
        <f>IF(V151=1,Cal!$BP$127,0)</f>
        <v>0</v>
      </c>
      <c r="X151" s="1367">
        <f>IF(V151=1,Adm!$HI$4,0)</f>
        <v>0</v>
      </c>
      <c r="Z151" s="1153"/>
      <c r="AC151" s="1370">
        <f t="shared" si="36"/>
        <v>0</v>
      </c>
      <c r="AD151" s="1373">
        <f t="shared" si="37"/>
        <v>0</v>
      </c>
      <c r="AE151" s="1371">
        <f t="shared" si="38"/>
        <v>0</v>
      </c>
      <c r="AF151" s="1359">
        <f>HLOOKUP($AF$11,anticipafreeliq,137,0)</f>
        <v>-8.4490555555555562E-4</v>
      </c>
      <c r="AH151" s="1360">
        <f>Free!AK206</f>
        <v>-8.4490555555555562E-4</v>
      </c>
    </row>
    <row r="152" spans="1:34">
      <c r="A152" s="1118">
        <f t="shared" ca="1" si="27"/>
        <v>8</v>
      </c>
      <c r="B152" s="1101">
        <f t="shared" si="28"/>
        <v>0</v>
      </c>
      <c r="C152" s="2149">
        <f t="shared" si="29"/>
        <v>0</v>
      </c>
      <c r="D152" s="2150">
        <f t="shared" si="26"/>
        <v>0</v>
      </c>
      <c r="E152" s="2145">
        <f t="shared" si="33"/>
        <v>0</v>
      </c>
      <c r="F152" s="2145">
        <f t="shared" si="30"/>
        <v>0</v>
      </c>
      <c r="G152" s="2145">
        <f t="shared" si="35"/>
        <v>0</v>
      </c>
      <c r="H152" s="2145">
        <f>IF(K151&lt;0.01,0,IF(Adm!$GS$4=Adm!$GS$8,0,IF(Adm!$GS$12="Pagados por el Banco",0,K151*Adm!$GV$4)))</f>
        <v>0</v>
      </c>
      <c r="I152" s="2145">
        <f>IF(K151&lt;0.01,0,E152*Adm!$O$8)</f>
        <v>0</v>
      </c>
      <c r="J152" s="2145">
        <f t="shared" si="31"/>
        <v>0</v>
      </c>
      <c r="K152" s="2145">
        <f t="shared" si="32"/>
        <v>0</v>
      </c>
      <c r="L152" s="2146"/>
      <c r="V152" s="1352">
        <f t="shared" si="34"/>
        <v>5</v>
      </c>
      <c r="W152" s="1433">
        <f>IF(V152=1,Cal!$BP$127,0)</f>
        <v>0</v>
      </c>
      <c r="X152" s="1367">
        <f>IF(V152=1,Adm!$HI$4,0)</f>
        <v>0</v>
      </c>
      <c r="Z152" s="1153"/>
      <c r="AC152" s="1370">
        <f t="shared" si="36"/>
        <v>0</v>
      </c>
      <c r="AD152" s="1373">
        <f t="shared" si="37"/>
        <v>0</v>
      </c>
      <c r="AE152" s="1371">
        <f t="shared" si="38"/>
        <v>0</v>
      </c>
      <c r="AF152" s="1359">
        <f>HLOOKUP($AF$11,anticipafreeliq,138,0)</f>
        <v>-8.4490555555555551E-4</v>
      </c>
      <c r="AH152" s="1360">
        <f>Free!AK207</f>
        <v>-8.4490555555555551E-4</v>
      </c>
    </row>
    <row r="153" spans="1:34">
      <c r="A153" s="1118">
        <f t="shared" ca="1" si="27"/>
        <v>9</v>
      </c>
      <c r="B153" s="1101">
        <f t="shared" si="28"/>
        <v>0</v>
      </c>
      <c r="C153" s="2149">
        <f t="shared" si="29"/>
        <v>0</v>
      </c>
      <c r="D153" s="2150">
        <f t="shared" si="26"/>
        <v>0</v>
      </c>
      <c r="E153" s="2145">
        <f t="shared" si="33"/>
        <v>0</v>
      </c>
      <c r="F153" s="2145">
        <f t="shared" si="30"/>
        <v>0</v>
      </c>
      <c r="G153" s="2145">
        <f t="shared" si="35"/>
        <v>0</v>
      </c>
      <c r="H153" s="2145">
        <f>IF(K152&lt;0.01,0,IF(Adm!$GS$4=Adm!$GS$8,0,IF(Adm!$GS$12="Pagados por el Banco",0,K152*Adm!$GV$4)))</f>
        <v>0</v>
      </c>
      <c r="I153" s="2145">
        <f>IF(K152&lt;0.01,0,E153*Adm!$O$8)</f>
        <v>0</v>
      </c>
      <c r="J153" s="2145">
        <f t="shared" si="31"/>
        <v>0</v>
      </c>
      <c r="K153" s="2145">
        <f t="shared" si="32"/>
        <v>0</v>
      </c>
      <c r="L153" s="2146"/>
      <c r="V153" s="1352">
        <f t="shared" si="34"/>
        <v>6</v>
      </c>
      <c r="W153" s="1433">
        <f>IF(V153=1,Cal!$BP$127,0)</f>
        <v>0</v>
      </c>
      <c r="X153" s="1367">
        <f>IF(V153=1,Adm!$HI$4,0)</f>
        <v>0</v>
      </c>
      <c r="Z153" s="1153"/>
      <c r="AC153" s="1370">
        <f t="shared" si="36"/>
        <v>0</v>
      </c>
      <c r="AD153" s="1373">
        <f t="shared" si="37"/>
        <v>0</v>
      </c>
      <c r="AE153" s="1371">
        <f t="shared" si="38"/>
        <v>0</v>
      </c>
      <c r="AF153" s="1359">
        <f>HLOOKUP($AF$11,anticipafreeliq,139,0)</f>
        <v>-8.4490555555555562E-4</v>
      </c>
      <c r="AH153" s="1360">
        <f>Free!AK208</f>
        <v>-8.4490555555555562E-4</v>
      </c>
    </row>
    <row r="154" spans="1:34">
      <c r="A154" s="1118">
        <f t="shared" ca="1" si="27"/>
        <v>10</v>
      </c>
      <c r="B154" s="1101">
        <f t="shared" si="28"/>
        <v>0</v>
      </c>
      <c r="C154" s="2149">
        <f t="shared" si="29"/>
        <v>0</v>
      </c>
      <c r="D154" s="2150">
        <f t="shared" si="26"/>
        <v>0</v>
      </c>
      <c r="E154" s="2145">
        <f t="shared" si="33"/>
        <v>0</v>
      </c>
      <c r="F154" s="2145">
        <f t="shared" si="30"/>
        <v>0</v>
      </c>
      <c r="G154" s="2145">
        <f t="shared" si="35"/>
        <v>0</v>
      </c>
      <c r="H154" s="2145">
        <f>IF(K153&lt;0.01,0,IF(Adm!$GS$4=Adm!$GS$8,0,IF(Adm!$GS$12="Pagados por el Banco",0,K153*Adm!$GV$4)))</f>
        <v>0</v>
      </c>
      <c r="I154" s="2145">
        <f>IF(K153&lt;0.01,0,E154*Adm!$O$8)</f>
        <v>0</v>
      </c>
      <c r="J154" s="2145">
        <f t="shared" si="31"/>
        <v>0</v>
      </c>
      <c r="K154" s="2145">
        <f t="shared" si="32"/>
        <v>0</v>
      </c>
      <c r="L154" s="2146"/>
      <c r="V154" s="1352">
        <f t="shared" si="34"/>
        <v>7</v>
      </c>
      <c r="W154" s="1433">
        <f>IF(V154=1,Cal!$BP$127,0)</f>
        <v>0</v>
      </c>
      <c r="X154" s="1367">
        <f>IF(V154=1,Adm!$HI$4,0)</f>
        <v>0</v>
      </c>
      <c r="Z154" s="1153"/>
      <c r="AC154" s="1370">
        <f t="shared" si="36"/>
        <v>0</v>
      </c>
      <c r="AD154" s="1373">
        <f t="shared" si="37"/>
        <v>0</v>
      </c>
      <c r="AE154" s="1371">
        <f t="shared" si="38"/>
        <v>0</v>
      </c>
      <c r="AF154" s="1359">
        <f>HLOOKUP($AF$11,anticipafreeliq,140,0)</f>
        <v>-8.4490555555555562E-4</v>
      </c>
      <c r="AH154" s="1360">
        <f>Free!AK209</f>
        <v>-8.4490555555555562E-4</v>
      </c>
    </row>
    <row r="155" spans="1:34">
      <c r="A155" s="1118">
        <f t="shared" ca="1" si="27"/>
        <v>11</v>
      </c>
      <c r="B155" s="1101">
        <f t="shared" si="28"/>
        <v>0</v>
      </c>
      <c r="C155" s="2149">
        <f t="shared" si="29"/>
        <v>0</v>
      </c>
      <c r="D155" s="2150">
        <f t="shared" si="26"/>
        <v>0</v>
      </c>
      <c r="E155" s="2145">
        <f t="shared" si="33"/>
        <v>0</v>
      </c>
      <c r="F155" s="2145">
        <f t="shared" si="30"/>
        <v>0</v>
      </c>
      <c r="G155" s="2145">
        <f t="shared" si="35"/>
        <v>0</v>
      </c>
      <c r="H155" s="2145">
        <f>IF(K154&lt;0.01,0,IF(Adm!$GS$4=Adm!$GS$8,0,IF(Adm!$GS$12="Pagados por el Banco",0,K154*Adm!$GV$4)))</f>
        <v>0</v>
      </c>
      <c r="I155" s="2145">
        <f>IF(K154&lt;0.01,0,E155*Adm!$O$8)</f>
        <v>0</v>
      </c>
      <c r="J155" s="2145">
        <f t="shared" si="31"/>
        <v>0</v>
      </c>
      <c r="K155" s="2145">
        <f t="shared" si="32"/>
        <v>0</v>
      </c>
      <c r="L155" s="2146"/>
      <c r="V155" s="1352">
        <f t="shared" si="34"/>
        <v>8</v>
      </c>
      <c r="W155" s="1433">
        <f>IF(V155=1,Cal!$BP$127,0)</f>
        <v>0</v>
      </c>
      <c r="X155" s="1367">
        <f>IF(V155=1,Adm!$HI$4,0)</f>
        <v>0</v>
      </c>
      <c r="Z155" s="1153"/>
      <c r="AC155" s="1370">
        <f t="shared" si="36"/>
        <v>0</v>
      </c>
      <c r="AD155" s="1373">
        <f t="shared" si="37"/>
        <v>0</v>
      </c>
      <c r="AE155" s="1371">
        <f t="shared" si="38"/>
        <v>0</v>
      </c>
      <c r="AF155" s="1359">
        <f>HLOOKUP($AF$11,anticipafreeliq,141,0)</f>
        <v>-8.4490555555555551E-4</v>
      </c>
      <c r="AH155" s="1360">
        <f>Free!AK210</f>
        <v>-8.4490555555555551E-4</v>
      </c>
    </row>
    <row r="156" spans="1:34">
      <c r="A156" s="1118">
        <f t="shared" ca="1" si="27"/>
        <v>12</v>
      </c>
      <c r="B156" s="1101">
        <f t="shared" si="28"/>
        <v>0</v>
      </c>
      <c r="C156" s="2149">
        <f t="shared" si="29"/>
        <v>0</v>
      </c>
      <c r="D156" s="2150">
        <f t="shared" si="26"/>
        <v>0</v>
      </c>
      <c r="E156" s="2145">
        <f t="shared" si="33"/>
        <v>0</v>
      </c>
      <c r="F156" s="2145">
        <f t="shared" si="30"/>
        <v>0</v>
      </c>
      <c r="G156" s="2145">
        <f t="shared" si="35"/>
        <v>0</v>
      </c>
      <c r="H156" s="2145">
        <f>IF(K155&lt;0.01,0,IF(Adm!$GS$4=Adm!$GS$8,0,IF(Adm!$GS$12="Pagados por el Banco",0,K155*Adm!$GV$4)))</f>
        <v>0</v>
      </c>
      <c r="I156" s="2145">
        <f>IF(K155&lt;0.01,0,E156*Adm!$O$8)</f>
        <v>0</v>
      </c>
      <c r="J156" s="2145">
        <f t="shared" si="31"/>
        <v>0</v>
      </c>
      <c r="K156" s="2145">
        <f t="shared" si="32"/>
        <v>0</v>
      </c>
      <c r="L156" s="2146"/>
      <c r="V156" s="1352">
        <f t="shared" si="34"/>
        <v>9</v>
      </c>
      <c r="W156" s="1433">
        <f>IF(V156=1,Cal!$BP$127,0)</f>
        <v>0</v>
      </c>
      <c r="X156" s="1367">
        <f>IF(V156=1,Adm!$HI$4,0)</f>
        <v>0</v>
      </c>
      <c r="Z156" s="1153"/>
      <c r="AC156" s="1370">
        <f t="shared" si="36"/>
        <v>0</v>
      </c>
      <c r="AD156" s="1373">
        <f t="shared" si="37"/>
        <v>0</v>
      </c>
      <c r="AE156" s="1371">
        <f t="shared" si="38"/>
        <v>0</v>
      </c>
      <c r="AF156" s="1359">
        <f>HLOOKUP($AF$11,anticipafreeliq,142,0)</f>
        <v>-8.4490555555555562E-4</v>
      </c>
      <c r="AH156" s="1360">
        <f>Free!AK211</f>
        <v>-8.4490555555555562E-4</v>
      </c>
    </row>
    <row r="157" spans="1:34">
      <c r="A157" s="1118">
        <f t="shared" ca="1" si="27"/>
        <v>1</v>
      </c>
      <c r="B157" s="1101">
        <f t="shared" si="28"/>
        <v>0</v>
      </c>
      <c r="C157" s="2149">
        <f t="shared" si="29"/>
        <v>0</v>
      </c>
      <c r="D157" s="2150">
        <f t="shared" si="26"/>
        <v>0</v>
      </c>
      <c r="E157" s="2145">
        <f t="shared" si="33"/>
        <v>0</v>
      </c>
      <c r="F157" s="2145">
        <f t="shared" si="30"/>
        <v>0</v>
      </c>
      <c r="G157" s="2145">
        <f t="shared" si="35"/>
        <v>0</v>
      </c>
      <c r="H157" s="2145">
        <f>IF(K156&lt;0.01,0,IF(Adm!$GS$4=Adm!$GS$8,0,IF(Adm!$GS$12="Pagados por el Banco",0,K156*Adm!$GV$4)))</f>
        <v>0</v>
      </c>
      <c r="I157" s="2145">
        <f>IF(K156&lt;0.01,0,E157*Adm!$O$8)</f>
        <v>0</v>
      </c>
      <c r="J157" s="2145">
        <f t="shared" si="31"/>
        <v>0</v>
      </c>
      <c r="K157" s="2145">
        <f t="shared" si="32"/>
        <v>0</v>
      </c>
      <c r="L157" s="2146"/>
      <c r="V157" s="1352">
        <f t="shared" si="34"/>
        <v>10</v>
      </c>
      <c r="W157" s="1433">
        <f>IF(V157=1,Cal!$BP$127,0)</f>
        <v>0</v>
      </c>
      <c r="X157" s="1367">
        <f>IF(V157=1,Adm!$HI$4,0)</f>
        <v>0</v>
      </c>
      <c r="Z157" s="1153"/>
      <c r="AC157" s="1370">
        <f t="shared" si="36"/>
        <v>0</v>
      </c>
      <c r="AD157" s="1373">
        <f t="shared" si="37"/>
        <v>0</v>
      </c>
      <c r="AE157" s="1371">
        <f t="shared" si="38"/>
        <v>0</v>
      </c>
      <c r="AF157" s="1359">
        <f>HLOOKUP($AF$11,anticipafreeliq,143,0)</f>
        <v>-8.4490555555555562E-4</v>
      </c>
      <c r="AH157" s="1360">
        <f>Free!AK212</f>
        <v>-8.4490555555555562E-4</v>
      </c>
    </row>
    <row r="158" spans="1:34">
      <c r="A158" s="1118">
        <f t="shared" ca="1" si="27"/>
        <v>2</v>
      </c>
      <c r="B158" s="1101">
        <f t="shared" si="28"/>
        <v>0</v>
      </c>
      <c r="C158" s="2149">
        <f t="shared" si="29"/>
        <v>0</v>
      </c>
      <c r="D158" s="2150">
        <f t="shared" si="26"/>
        <v>0</v>
      </c>
      <c r="E158" s="2145">
        <f t="shared" si="33"/>
        <v>0</v>
      </c>
      <c r="F158" s="2145">
        <f t="shared" si="30"/>
        <v>0</v>
      </c>
      <c r="G158" s="2145">
        <f t="shared" si="35"/>
        <v>0</v>
      </c>
      <c r="H158" s="2145">
        <f>IF(K157&lt;0.01,0,IF(Adm!$GS$4=Adm!$GS$8,0,IF(Adm!$GS$12="Pagados por el Banco",0,K157*Adm!$GV$4)))</f>
        <v>0</v>
      </c>
      <c r="I158" s="2145">
        <f>IF(K157&lt;0.01,0,E158*Adm!$O$8)</f>
        <v>0</v>
      </c>
      <c r="J158" s="2145">
        <f t="shared" si="31"/>
        <v>0</v>
      </c>
      <c r="K158" s="2145">
        <f t="shared" si="32"/>
        <v>0</v>
      </c>
      <c r="L158" s="2146"/>
      <c r="V158" s="1352">
        <f t="shared" si="34"/>
        <v>11</v>
      </c>
      <c r="W158" s="1433">
        <f>IF(V158=1,Cal!$BP$127,0)</f>
        <v>0</v>
      </c>
      <c r="X158" s="1367">
        <f>IF(V158=1,Adm!$HI$4,0)</f>
        <v>0</v>
      </c>
      <c r="Z158" s="1153"/>
      <c r="AC158" s="1370">
        <f t="shared" si="36"/>
        <v>0</v>
      </c>
      <c r="AD158" s="1373">
        <f t="shared" si="37"/>
        <v>0</v>
      </c>
      <c r="AE158" s="1371">
        <f t="shared" si="38"/>
        <v>0</v>
      </c>
      <c r="AF158" s="1359">
        <f>HLOOKUP($AF$11,anticipafreeliq,144,0)</f>
        <v>-8.4490555555555551E-4</v>
      </c>
      <c r="AH158" s="1360">
        <f>Free!AK213</f>
        <v>-8.4490555555555551E-4</v>
      </c>
    </row>
    <row r="159" spans="1:34">
      <c r="A159" s="1118">
        <f t="shared" ca="1" si="27"/>
        <v>3</v>
      </c>
      <c r="B159" s="1101">
        <f t="shared" si="28"/>
        <v>0</v>
      </c>
      <c r="C159" s="2149">
        <f t="shared" si="29"/>
        <v>0</v>
      </c>
      <c r="D159" s="2150">
        <f t="shared" si="26"/>
        <v>0</v>
      </c>
      <c r="E159" s="2145">
        <f t="shared" si="33"/>
        <v>0</v>
      </c>
      <c r="F159" s="2145">
        <f t="shared" si="30"/>
        <v>0</v>
      </c>
      <c r="G159" s="2145">
        <f t="shared" si="35"/>
        <v>0</v>
      </c>
      <c r="H159" s="2145">
        <f>IF(K158&lt;0.01,0,IF(Adm!$GS$4=Adm!$GS$8,0,IF(Adm!$GS$12="Pagados por el Banco",0,K158*Adm!$GV$4)))</f>
        <v>0</v>
      </c>
      <c r="I159" s="2145">
        <f>IF(K158&lt;0.01,0,E159*Adm!$O$8)</f>
        <v>0</v>
      </c>
      <c r="J159" s="2145">
        <f t="shared" si="31"/>
        <v>0</v>
      </c>
      <c r="K159" s="2145">
        <f t="shared" si="32"/>
        <v>0</v>
      </c>
      <c r="L159" s="2146"/>
      <c r="V159" s="1352">
        <f t="shared" si="34"/>
        <v>12</v>
      </c>
      <c r="W159" s="1433">
        <f>IF(V159=1,Cal!$BP$127,0)</f>
        <v>0</v>
      </c>
      <c r="X159" s="1367">
        <f>IF(V159=1,Adm!$HI$4,0)</f>
        <v>0</v>
      </c>
      <c r="Z159" s="1153"/>
      <c r="AC159" s="1370">
        <f t="shared" si="36"/>
        <v>0</v>
      </c>
      <c r="AD159" s="1373">
        <f t="shared" si="37"/>
        <v>0</v>
      </c>
      <c r="AE159" s="1371">
        <f t="shared" si="38"/>
        <v>0</v>
      </c>
      <c r="AF159" s="1359">
        <f>HLOOKUP($AF$11,anticipafreeliq,145,0)</f>
        <v>-8.4490555555555541E-4</v>
      </c>
      <c r="AH159" s="1360">
        <f>Free!AK214</f>
        <v>-8.4490555555555541E-4</v>
      </c>
    </row>
    <row r="160" spans="1:34">
      <c r="A160" s="1118">
        <f t="shared" ca="1" si="27"/>
        <v>4</v>
      </c>
      <c r="B160" s="1101">
        <f t="shared" si="28"/>
        <v>0</v>
      </c>
      <c r="C160" s="2149">
        <f t="shared" si="29"/>
        <v>0</v>
      </c>
      <c r="D160" s="2150">
        <f t="shared" si="26"/>
        <v>0</v>
      </c>
      <c r="E160" s="2145">
        <f t="shared" si="33"/>
        <v>0</v>
      </c>
      <c r="F160" s="2145">
        <f t="shared" si="30"/>
        <v>0</v>
      </c>
      <c r="G160" s="2145">
        <f t="shared" si="35"/>
        <v>0</v>
      </c>
      <c r="H160" s="2145">
        <f>IF(K159&lt;0.01,0,IF(Adm!$GS$4=Adm!$GS$8,0,IF(Adm!$GS$12="Pagados por el Banco",0,K159*Adm!$GV$4)))</f>
        <v>0</v>
      </c>
      <c r="I160" s="2145">
        <f>IF(K159&lt;0.01,0,E160*Adm!$O$8)</f>
        <v>0</v>
      </c>
      <c r="J160" s="2145">
        <f t="shared" si="31"/>
        <v>0</v>
      </c>
      <c r="K160" s="2145">
        <f t="shared" si="32"/>
        <v>0</v>
      </c>
      <c r="L160" s="2146"/>
      <c r="V160" s="1352">
        <f t="shared" si="34"/>
        <v>1</v>
      </c>
      <c r="W160" s="1433">
        <f>IF(V160=1,Cal!$BP$127,0)</f>
        <v>0</v>
      </c>
      <c r="X160" s="1367">
        <f>IF(V160=1,Adm!$HI$4,0)</f>
        <v>2.5000000000000001E-3</v>
      </c>
      <c r="Z160" s="1153"/>
      <c r="AC160" s="1370">
        <f t="shared" si="36"/>
        <v>0</v>
      </c>
      <c r="AD160" s="1373">
        <f t="shared" si="37"/>
        <v>0</v>
      </c>
      <c r="AE160" s="1371">
        <f t="shared" si="38"/>
        <v>0</v>
      </c>
      <c r="AF160" s="1359">
        <f>HLOOKUP($AF$11,anticipafreeliq,146,0)</f>
        <v>-8.4490555555555551E-4</v>
      </c>
      <c r="AH160" s="1360">
        <f>Free!AK215</f>
        <v>-8.4490555555555551E-4</v>
      </c>
    </row>
    <row r="161" spans="1:34">
      <c r="A161" s="1118">
        <f t="shared" ca="1" si="27"/>
        <v>5</v>
      </c>
      <c r="B161" s="1101">
        <f t="shared" si="28"/>
        <v>0</v>
      </c>
      <c r="C161" s="2149">
        <f t="shared" si="29"/>
        <v>0</v>
      </c>
      <c r="D161" s="2150">
        <f t="shared" si="26"/>
        <v>0</v>
      </c>
      <c r="E161" s="2145">
        <f t="shared" si="33"/>
        <v>0</v>
      </c>
      <c r="F161" s="2145">
        <f t="shared" si="30"/>
        <v>0</v>
      </c>
      <c r="G161" s="2145">
        <f t="shared" si="35"/>
        <v>0</v>
      </c>
      <c r="H161" s="2145">
        <f>IF(K160&lt;0.01,0,IF(Adm!$GS$4=Adm!$GS$8,0,IF(Adm!$GS$12="Pagados por el Banco",0,K160*Adm!$GV$4)))</f>
        <v>0</v>
      </c>
      <c r="I161" s="2145">
        <f>IF(K160&lt;0.01,0,E161*Adm!$O$8)</f>
        <v>0</v>
      </c>
      <c r="J161" s="2145">
        <f t="shared" si="31"/>
        <v>0</v>
      </c>
      <c r="K161" s="2145">
        <f t="shared" si="32"/>
        <v>0</v>
      </c>
      <c r="L161" s="2146"/>
      <c r="V161" s="1352">
        <f t="shared" si="34"/>
        <v>2</v>
      </c>
      <c r="W161" s="1433">
        <f>IF(V161=1,Cal!$BP$127,0)</f>
        <v>0</v>
      </c>
      <c r="X161" s="1367">
        <f>IF(V161=1,Adm!$HI$4,0)</f>
        <v>0</v>
      </c>
      <c r="Z161" s="1153"/>
      <c r="AC161" s="1370">
        <f t="shared" si="36"/>
        <v>0</v>
      </c>
      <c r="AD161" s="1373">
        <f t="shared" si="37"/>
        <v>0</v>
      </c>
      <c r="AE161" s="1371">
        <f t="shared" si="38"/>
        <v>0</v>
      </c>
      <c r="AF161" s="1359">
        <f>HLOOKUP($AF$11,anticipafreeliq,147,0)</f>
        <v>-8.4490555555555541E-4</v>
      </c>
      <c r="AH161" s="1360">
        <f>Free!AK216</f>
        <v>-8.4490555555555541E-4</v>
      </c>
    </row>
    <row r="162" spans="1:34">
      <c r="A162" s="1118">
        <f t="shared" ca="1" si="27"/>
        <v>6</v>
      </c>
      <c r="B162" s="1101">
        <f t="shared" si="28"/>
        <v>0</v>
      </c>
      <c r="C162" s="2149">
        <f t="shared" si="29"/>
        <v>0</v>
      </c>
      <c r="D162" s="2150">
        <f t="shared" si="26"/>
        <v>0</v>
      </c>
      <c r="E162" s="2145">
        <f t="shared" si="33"/>
        <v>0</v>
      </c>
      <c r="F162" s="2145">
        <f t="shared" si="30"/>
        <v>0</v>
      </c>
      <c r="G162" s="2145">
        <f t="shared" si="35"/>
        <v>0</v>
      </c>
      <c r="H162" s="2145">
        <f>IF(K161&lt;0.01,0,IF(Adm!$GS$4=Adm!$GS$8,0,IF(Adm!$GS$12="Pagados por el Banco",0,K161*Adm!$GV$4)))</f>
        <v>0</v>
      </c>
      <c r="I162" s="2145">
        <f>IF(K161&lt;0.01,0,E162*Adm!$O$8)</f>
        <v>0</v>
      </c>
      <c r="J162" s="2145">
        <f t="shared" si="31"/>
        <v>0</v>
      </c>
      <c r="K162" s="2145">
        <f t="shared" si="32"/>
        <v>0</v>
      </c>
      <c r="L162" s="2146"/>
      <c r="V162" s="1352">
        <f t="shared" si="34"/>
        <v>3</v>
      </c>
      <c r="W162" s="1433">
        <f>IF(V162=1,Cal!$BP$127,0)</f>
        <v>0</v>
      </c>
      <c r="X162" s="1367">
        <f>IF(V162=1,Adm!$HI$4,0)</f>
        <v>0</v>
      </c>
      <c r="Z162" s="1153"/>
      <c r="AC162" s="1370">
        <f t="shared" si="36"/>
        <v>0</v>
      </c>
      <c r="AD162" s="1373">
        <f t="shared" si="37"/>
        <v>0</v>
      </c>
      <c r="AE162" s="1371">
        <f t="shared" si="38"/>
        <v>0</v>
      </c>
      <c r="AF162" s="1359">
        <f>HLOOKUP($AF$11,anticipafreeliq,148,0)</f>
        <v>-8.4490555555555562E-4</v>
      </c>
      <c r="AH162" s="1360">
        <f>Free!AK217</f>
        <v>-8.4490555555555562E-4</v>
      </c>
    </row>
    <row r="163" spans="1:34">
      <c r="A163" s="1118">
        <f t="shared" ca="1" si="27"/>
        <v>7</v>
      </c>
      <c r="B163" s="1101">
        <f t="shared" si="28"/>
        <v>0</v>
      </c>
      <c r="C163" s="2149">
        <f t="shared" si="29"/>
        <v>0</v>
      </c>
      <c r="D163" s="2150">
        <f t="shared" si="26"/>
        <v>0</v>
      </c>
      <c r="E163" s="2145">
        <f t="shared" si="33"/>
        <v>0</v>
      </c>
      <c r="F163" s="2145">
        <f t="shared" si="30"/>
        <v>0</v>
      </c>
      <c r="G163" s="2145">
        <f t="shared" si="35"/>
        <v>0</v>
      </c>
      <c r="H163" s="2145">
        <f>IF(K162&lt;0.01,0,IF(Adm!$GS$4=Adm!$GS$8,0,IF(Adm!$GS$12="Pagados por el Banco",0,K162*Adm!$GV$4)))</f>
        <v>0</v>
      </c>
      <c r="I163" s="2145">
        <f>IF(K162&lt;0.01,0,E163*Adm!$O$8)</f>
        <v>0</v>
      </c>
      <c r="J163" s="2145">
        <f t="shared" si="31"/>
        <v>0</v>
      </c>
      <c r="K163" s="2145">
        <f t="shared" si="32"/>
        <v>0</v>
      </c>
      <c r="L163" s="2146"/>
      <c r="V163" s="1352">
        <f t="shared" si="34"/>
        <v>4</v>
      </c>
      <c r="W163" s="1433">
        <f>IF(V163=1,Cal!$BP$127,0)</f>
        <v>0</v>
      </c>
      <c r="X163" s="1367">
        <f>IF(V163=1,Adm!$HI$4,0)</f>
        <v>0</v>
      </c>
      <c r="Z163" s="1153"/>
      <c r="AC163" s="1370">
        <f t="shared" si="36"/>
        <v>0</v>
      </c>
      <c r="AD163" s="1373">
        <f t="shared" si="37"/>
        <v>0</v>
      </c>
      <c r="AE163" s="1371">
        <f t="shared" si="38"/>
        <v>0</v>
      </c>
      <c r="AF163" s="1359">
        <f>HLOOKUP($AF$11,anticipafreeliq,149,0)</f>
        <v>-8.4490555555555551E-4</v>
      </c>
      <c r="AH163" s="1360">
        <f>Free!AK218</f>
        <v>-8.4490555555555551E-4</v>
      </c>
    </row>
    <row r="164" spans="1:34">
      <c r="A164" s="1118">
        <f t="shared" ca="1" si="27"/>
        <v>8</v>
      </c>
      <c r="B164" s="1101">
        <f t="shared" si="28"/>
        <v>0</v>
      </c>
      <c r="C164" s="2149">
        <f t="shared" si="29"/>
        <v>0</v>
      </c>
      <c r="D164" s="2150">
        <f t="shared" si="26"/>
        <v>0</v>
      </c>
      <c r="E164" s="2145">
        <f t="shared" si="33"/>
        <v>0</v>
      </c>
      <c r="F164" s="2145">
        <f t="shared" si="30"/>
        <v>0</v>
      </c>
      <c r="G164" s="2145">
        <f t="shared" si="35"/>
        <v>0</v>
      </c>
      <c r="H164" s="2145">
        <f>IF(K163&lt;0.01,0,IF(Adm!$GS$4=Adm!$GS$8,0,IF(Adm!$GS$12="Pagados por el Banco",0,K163*Adm!$GV$4)))</f>
        <v>0</v>
      </c>
      <c r="I164" s="2145">
        <f>IF(K163&lt;0.01,0,E164*Adm!$O$8)</f>
        <v>0</v>
      </c>
      <c r="J164" s="2145">
        <f t="shared" si="31"/>
        <v>0</v>
      </c>
      <c r="K164" s="2145">
        <f t="shared" si="32"/>
        <v>0</v>
      </c>
      <c r="L164" s="2146"/>
      <c r="V164" s="1352">
        <f t="shared" si="34"/>
        <v>5</v>
      </c>
      <c r="W164" s="1433">
        <f>IF(V164=1,Cal!$BP$127,0)</f>
        <v>0</v>
      </c>
      <c r="X164" s="1367">
        <f>IF(V164=1,Adm!$HI$4,0)</f>
        <v>0</v>
      </c>
      <c r="Z164" s="1153"/>
      <c r="AC164" s="1370">
        <f t="shared" si="36"/>
        <v>0</v>
      </c>
      <c r="AD164" s="1373">
        <f t="shared" si="37"/>
        <v>0</v>
      </c>
      <c r="AE164" s="1371">
        <f t="shared" si="38"/>
        <v>0</v>
      </c>
      <c r="AF164" s="1359">
        <f>HLOOKUP($AF$11,anticipafreeliq,150,0)</f>
        <v>-8.4490555555555551E-4</v>
      </c>
      <c r="AH164" s="1360">
        <f>Free!AK219</f>
        <v>-8.4490555555555551E-4</v>
      </c>
    </row>
    <row r="165" spans="1:34">
      <c r="A165" s="1118">
        <f t="shared" ca="1" si="27"/>
        <v>9</v>
      </c>
      <c r="B165" s="1101">
        <f t="shared" si="28"/>
        <v>0</v>
      </c>
      <c r="C165" s="2149">
        <f t="shared" si="29"/>
        <v>0</v>
      </c>
      <c r="D165" s="2150">
        <f t="shared" si="26"/>
        <v>0</v>
      </c>
      <c r="E165" s="2145">
        <f t="shared" si="33"/>
        <v>0</v>
      </c>
      <c r="F165" s="2145">
        <f t="shared" si="30"/>
        <v>0</v>
      </c>
      <c r="G165" s="2145">
        <f t="shared" si="35"/>
        <v>0</v>
      </c>
      <c r="H165" s="2145">
        <f>IF(K164&lt;0.01,0,IF(Adm!$GS$4=Adm!$GS$8,0,IF(Adm!$GS$12="Pagados por el Banco",0,K164*Adm!$GV$4)))</f>
        <v>0</v>
      </c>
      <c r="I165" s="2145">
        <f>IF(K164&lt;0.01,0,E165*Adm!$O$8)</f>
        <v>0</v>
      </c>
      <c r="J165" s="2145">
        <f t="shared" si="31"/>
        <v>0</v>
      </c>
      <c r="K165" s="2145">
        <f t="shared" si="32"/>
        <v>0</v>
      </c>
      <c r="L165" s="2146"/>
      <c r="V165" s="1352">
        <f t="shared" si="34"/>
        <v>6</v>
      </c>
      <c r="W165" s="1433">
        <f>IF(V165=1,Cal!$BP$127,0)</f>
        <v>0</v>
      </c>
      <c r="X165" s="1367">
        <f>IF(V165=1,Adm!$HI$4,0)</f>
        <v>0</v>
      </c>
      <c r="Z165" s="1153"/>
      <c r="AC165" s="1370">
        <f t="shared" si="36"/>
        <v>0</v>
      </c>
      <c r="AD165" s="1373">
        <f t="shared" si="37"/>
        <v>0</v>
      </c>
      <c r="AE165" s="1371">
        <f t="shared" si="38"/>
        <v>0</v>
      </c>
      <c r="AF165" s="1359">
        <f>HLOOKUP($AF$11,anticipafreeliq,151,0)</f>
        <v>-8.4490555555555551E-4</v>
      </c>
      <c r="AH165" s="1360">
        <f>Free!AK220</f>
        <v>-8.4490555555555551E-4</v>
      </c>
    </row>
    <row r="166" spans="1:34">
      <c r="A166" s="1118">
        <f t="shared" ca="1" si="27"/>
        <v>10</v>
      </c>
      <c r="B166" s="1101">
        <f t="shared" si="28"/>
        <v>0</v>
      </c>
      <c r="C166" s="2149">
        <f t="shared" si="29"/>
        <v>0</v>
      </c>
      <c r="D166" s="2150">
        <f t="shared" si="26"/>
        <v>0</v>
      </c>
      <c r="E166" s="2145">
        <f t="shared" si="33"/>
        <v>0</v>
      </c>
      <c r="F166" s="2145">
        <f t="shared" si="30"/>
        <v>0</v>
      </c>
      <c r="G166" s="2145">
        <f t="shared" si="35"/>
        <v>0</v>
      </c>
      <c r="H166" s="2145">
        <f>IF(K165&lt;0.01,0,IF(Adm!$GS$4=Adm!$GS$8,0,IF(Adm!$GS$12="Pagados por el Banco",0,K165*Adm!$GV$4)))</f>
        <v>0</v>
      </c>
      <c r="I166" s="2145">
        <f>IF(K165&lt;0.01,0,E166*Adm!$O$8)</f>
        <v>0</v>
      </c>
      <c r="J166" s="2145">
        <f t="shared" si="31"/>
        <v>0</v>
      </c>
      <c r="K166" s="2145">
        <f t="shared" si="32"/>
        <v>0</v>
      </c>
      <c r="L166" s="2146"/>
      <c r="V166" s="1352">
        <f t="shared" si="34"/>
        <v>7</v>
      </c>
      <c r="W166" s="1433">
        <f>IF(V166=1,Cal!$BP$127,0)</f>
        <v>0</v>
      </c>
      <c r="X166" s="1367">
        <f>IF(V166=1,Adm!$HI$4,0)</f>
        <v>0</v>
      </c>
      <c r="Z166" s="1153"/>
      <c r="AC166" s="1370">
        <f t="shared" si="36"/>
        <v>0</v>
      </c>
      <c r="AD166" s="1373">
        <f t="shared" si="37"/>
        <v>0</v>
      </c>
      <c r="AE166" s="1371">
        <f t="shared" si="38"/>
        <v>0</v>
      </c>
      <c r="AF166" s="1359">
        <f>HLOOKUP($AF$11,anticipafreeliq,152,0)</f>
        <v>-8.4490555555555562E-4</v>
      </c>
      <c r="AH166" s="1360">
        <f>Free!AK221</f>
        <v>-8.4490555555555562E-4</v>
      </c>
    </row>
    <row r="167" spans="1:34">
      <c r="A167" s="1118">
        <f t="shared" ca="1" si="27"/>
        <v>11</v>
      </c>
      <c r="B167" s="1101">
        <f t="shared" si="28"/>
        <v>0</v>
      </c>
      <c r="C167" s="2149">
        <f t="shared" si="29"/>
        <v>0</v>
      </c>
      <c r="D167" s="2150">
        <f t="shared" si="26"/>
        <v>0</v>
      </c>
      <c r="E167" s="2145">
        <f t="shared" si="33"/>
        <v>0</v>
      </c>
      <c r="F167" s="2145">
        <f t="shared" si="30"/>
        <v>0</v>
      </c>
      <c r="G167" s="2145">
        <f t="shared" si="35"/>
        <v>0</v>
      </c>
      <c r="H167" s="2145">
        <f>IF(K166&lt;0.01,0,IF(Adm!$GS$4=Adm!$GS$8,0,IF(Adm!$GS$12="Pagados por el Banco",0,K166*Adm!$GV$4)))</f>
        <v>0</v>
      </c>
      <c r="I167" s="2145">
        <f>IF(K166&lt;0.01,0,E167*Adm!$O$8)</f>
        <v>0</v>
      </c>
      <c r="J167" s="2145">
        <f t="shared" si="31"/>
        <v>0</v>
      </c>
      <c r="K167" s="2145">
        <f t="shared" si="32"/>
        <v>0</v>
      </c>
      <c r="L167" s="2146"/>
      <c r="V167" s="1352">
        <f t="shared" si="34"/>
        <v>8</v>
      </c>
      <c r="W167" s="1433">
        <f>IF(V167=1,Cal!$BP$127,0)</f>
        <v>0</v>
      </c>
      <c r="X167" s="1367">
        <f>IF(V167=1,Adm!$HI$4,0)</f>
        <v>0</v>
      </c>
      <c r="Z167" s="1153"/>
      <c r="AC167" s="1370">
        <f t="shared" si="36"/>
        <v>0</v>
      </c>
      <c r="AD167" s="1373">
        <f t="shared" si="37"/>
        <v>0</v>
      </c>
      <c r="AE167" s="1371">
        <f t="shared" si="38"/>
        <v>0</v>
      </c>
      <c r="AF167" s="1359">
        <f>HLOOKUP($AF$11,anticipafreeliq,153,0)</f>
        <v>-8.4490555555555562E-4</v>
      </c>
      <c r="AH167" s="1360">
        <f>Free!AK222</f>
        <v>-8.4490555555555562E-4</v>
      </c>
    </row>
    <row r="168" spans="1:34">
      <c r="A168" s="1118">
        <f t="shared" ca="1" si="27"/>
        <v>12</v>
      </c>
      <c r="B168" s="1101">
        <f t="shared" si="28"/>
        <v>0</v>
      </c>
      <c r="C168" s="2149">
        <f t="shared" si="29"/>
        <v>0</v>
      </c>
      <c r="D168" s="2150">
        <f t="shared" si="26"/>
        <v>0</v>
      </c>
      <c r="E168" s="2145">
        <f t="shared" si="33"/>
        <v>0</v>
      </c>
      <c r="F168" s="2145">
        <f t="shared" si="30"/>
        <v>0</v>
      </c>
      <c r="G168" s="2145">
        <f t="shared" si="35"/>
        <v>0</v>
      </c>
      <c r="H168" s="2145">
        <f>IF(K167&lt;0.01,0,IF(Adm!$GS$4=Adm!$GS$8,0,IF(Adm!$GS$12="Pagados por el Banco",0,K167*Adm!$GV$4)))</f>
        <v>0</v>
      </c>
      <c r="I168" s="2145">
        <f>IF(K167&lt;0.01,0,E168*Adm!$O$8)</f>
        <v>0</v>
      </c>
      <c r="J168" s="2145">
        <f t="shared" si="31"/>
        <v>0</v>
      </c>
      <c r="K168" s="2145">
        <f t="shared" si="32"/>
        <v>0</v>
      </c>
      <c r="L168" s="2146"/>
      <c r="V168" s="1352">
        <f t="shared" si="34"/>
        <v>9</v>
      </c>
      <c r="W168" s="1433">
        <f>IF(V168=1,Cal!$BP$127,0)</f>
        <v>0</v>
      </c>
      <c r="X168" s="1367">
        <f>IF(V168=1,Adm!$HI$4,0)</f>
        <v>0</v>
      </c>
      <c r="Z168" s="1153"/>
      <c r="AC168" s="1370">
        <f t="shared" si="36"/>
        <v>0</v>
      </c>
      <c r="AD168" s="1373">
        <f t="shared" si="37"/>
        <v>0</v>
      </c>
      <c r="AE168" s="1371">
        <f t="shared" si="38"/>
        <v>0</v>
      </c>
      <c r="AF168" s="1359">
        <f>HLOOKUP($AF$11,anticipafreeliq,154,0)</f>
        <v>-8.4490555555555551E-4</v>
      </c>
      <c r="AH168" s="1360">
        <f>Free!AK223</f>
        <v>-8.4490555555555551E-4</v>
      </c>
    </row>
    <row r="169" spans="1:34">
      <c r="A169" s="1118">
        <f t="shared" ca="1" si="27"/>
        <v>1</v>
      </c>
      <c r="B169" s="1101">
        <f t="shared" si="28"/>
        <v>0</v>
      </c>
      <c r="C169" s="2149">
        <f t="shared" si="29"/>
        <v>0</v>
      </c>
      <c r="D169" s="2150">
        <f t="shared" si="26"/>
        <v>0</v>
      </c>
      <c r="E169" s="2145">
        <f t="shared" si="33"/>
        <v>0</v>
      </c>
      <c r="F169" s="2145">
        <f t="shared" si="30"/>
        <v>0</v>
      </c>
      <c r="G169" s="2145">
        <f t="shared" si="35"/>
        <v>0</v>
      </c>
      <c r="H169" s="2145">
        <f>IF(K168&lt;0.01,0,IF(Adm!$GS$4=Adm!$GS$8,0,IF(Adm!$GS$12="Pagados por el Banco",0,K168*Adm!$GV$4)))</f>
        <v>0</v>
      </c>
      <c r="I169" s="2145">
        <f>IF(K168&lt;0.01,0,E169*Adm!$O$8)</f>
        <v>0</v>
      </c>
      <c r="J169" s="2145">
        <f t="shared" si="31"/>
        <v>0</v>
      </c>
      <c r="K169" s="2145">
        <f t="shared" si="32"/>
        <v>0</v>
      </c>
      <c r="L169" s="2146"/>
      <c r="V169" s="1352">
        <f t="shared" si="34"/>
        <v>10</v>
      </c>
      <c r="W169" s="1433">
        <f>IF(V169=1,Cal!$BP$127,0)</f>
        <v>0</v>
      </c>
      <c r="X169" s="1367">
        <f>IF(V169=1,Adm!$HI$4,0)</f>
        <v>0</v>
      </c>
      <c r="Z169" s="1153"/>
      <c r="AC169" s="1370">
        <f t="shared" si="36"/>
        <v>0</v>
      </c>
      <c r="AD169" s="1373">
        <f t="shared" si="37"/>
        <v>0</v>
      </c>
      <c r="AE169" s="1371">
        <f t="shared" si="38"/>
        <v>0</v>
      </c>
      <c r="AF169" s="1359">
        <f>HLOOKUP($AF$11,anticipafreeliq,155,0)</f>
        <v>-8.4490555555555541E-4</v>
      </c>
      <c r="AH169" s="1360">
        <f>Free!AK224</f>
        <v>-8.4490555555555541E-4</v>
      </c>
    </row>
    <row r="170" spans="1:34">
      <c r="A170" s="1118">
        <f t="shared" ca="1" si="27"/>
        <v>2</v>
      </c>
      <c r="B170" s="1101">
        <f t="shared" si="28"/>
        <v>0</v>
      </c>
      <c r="C170" s="2149">
        <f t="shared" si="29"/>
        <v>0</v>
      </c>
      <c r="D170" s="2150">
        <f t="shared" si="26"/>
        <v>0</v>
      </c>
      <c r="E170" s="2145">
        <f t="shared" si="33"/>
        <v>0</v>
      </c>
      <c r="F170" s="2145">
        <f t="shared" si="30"/>
        <v>0</v>
      </c>
      <c r="G170" s="2145">
        <f t="shared" si="35"/>
        <v>0</v>
      </c>
      <c r="H170" s="2145">
        <f>IF(K169&lt;0.01,0,IF(Adm!$GS$4=Adm!$GS$8,0,IF(Adm!$GS$12="Pagados por el Banco",0,K169*Adm!$GV$4)))</f>
        <v>0</v>
      </c>
      <c r="I170" s="2145">
        <f>IF(K169&lt;0.01,0,E170*Adm!$O$8)</f>
        <v>0</v>
      </c>
      <c r="J170" s="2145">
        <f t="shared" si="31"/>
        <v>0</v>
      </c>
      <c r="K170" s="2145">
        <f t="shared" si="32"/>
        <v>0</v>
      </c>
      <c r="L170" s="2146"/>
      <c r="V170" s="1352">
        <f t="shared" si="34"/>
        <v>11</v>
      </c>
      <c r="W170" s="1433">
        <f>IF(V170=1,Cal!$BP$127,0)</f>
        <v>0</v>
      </c>
      <c r="X170" s="1367">
        <f>IF(V170=1,Adm!$HI$4,0)</f>
        <v>0</v>
      </c>
      <c r="Z170" s="1153"/>
      <c r="AC170" s="1370">
        <f t="shared" si="36"/>
        <v>0</v>
      </c>
      <c r="AD170" s="1373">
        <f t="shared" si="37"/>
        <v>0</v>
      </c>
      <c r="AE170" s="1371">
        <f t="shared" si="38"/>
        <v>0</v>
      </c>
      <c r="AF170" s="1359">
        <f>HLOOKUP($AF$11,anticipafreeliq,156,0)</f>
        <v>-8.4490555555555551E-4</v>
      </c>
      <c r="AH170" s="1360">
        <f>Free!AK225</f>
        <v>-8.4490555555555551E-4</v>
      </c>
    </row>
    <row r="171" spans="1:34">
      <c r="A171" s="1118">
        <f t="shared" ca="1" si="27"/>
        <v>3</v>
      </c>
      <c r="B171" s="1101">
        <f t="shared" si="28"/>
        <v>0</v>
      </c>
      <c r="C171" s="2149">
        <f t="shared" si="29"/>
        <v>0</v>
      </c>
      <c r="D171" s="2150">
        <f t="shared" si="26"/>
        <v>0</v>
      </c>
      <c r="E171" s="2145">
        <f t="shared" si="33"/>
        <v>0</v>
      </c>
      <c r="F171" s="2145">
        <f t="shared" si="30"/>
        <v>0</v>
      </c>
      <c r="G171" s="2145">
        <f t="shared" si="35"/>
        <v>0</v>
      </c>
      <c r="H171" s="2145">
        <f>IF(K170&lt;0.01,0,IF(Adm!$GS$4=Adm!$GS$8,0,IF(Adm!$GS$12="Pagados por el Banco",0,K170*Adm!$GV$4)))</f>
        <v>0</v>
      </c>
      <c r="I171" s="2145">
        <f>IF(K170&lt;0.01,0,E171*Adm!$O$8)</f>
        <v>0</v>
      </c>
      <c r="J171" s="2145">
        <f t="shared" si="31"/>
        <v>0</v>
      </c>
      <c r="K171" s="2145">
        <f t="shared" si="32"/>
        <v>0</v>
      </c>
      <c r="L171" s="2146"/>
      <c r="V171" s="1352">
        <f t="shared" si="34"/>
        <v>12</v>
      </c>
      <c r="W171" s="1433">
        <f>IF(V171=1,Cal!$BP$127,0)</f>
        <v>0</v>
      </c>
      <c r="X171" s="1367">
        <f>IF(V171=1,Adm!$HI$4,0)</f>
        <v>0</v>
      </c>
      <c r="Z171" s="1153"/>
      <c r="AC171" s="1370">
        <f t="shared" si="36"/>
        <v>0</v>
      </c>
      <c r="AD171" s="1373">
        <f t="shared" si="37"/>
        <v>0</v>
      </c>
      <c r="AE171" s="1371">
        <f t="shared" si="38"/>
        <v>0</v>
      </c>
      <c r="AF171" s="1359">
        <f>HLOOKUP($AF$11,anticipafreeliq,157,0)</f>
        <v>-8.4490555555555573E-4</v>
      </c>
      <c r="AH171" s="1360">
        <f>Free!AK226</f>
        <v>-8.4490555555555573E-4</v>
      </c>
    </row>
    <row r="172" spans="1:34">
      <c r="A172" s="1118">
        <f t="shared" ca="1" si="27"/>
        <v>4</v>
      </c>
      <c r="B172" s="1101">
        <f t="shared" si="28"/>
        <v>0</v>
      </c>
      <c r="C172" s="2149">
        <f t="shared" si="29"/>
        <v>0</v>
      </c>
      <c r="D172" s="2150">
        <f t="shared" si="26"/>
        <v>0</v>
      </c>
      <c r="E172" s="2145">
        <f t="shared" si="33"/>
        <v>0</v>
      </c>
      <c r="F172" s="2145">
        <f t="shared" si="30"/>
        <v>0</v>
      </c>
      <c r="G172" s="2145">
        <f t="shared" si="35"/>
        <v>0</v>
      </c>
      <c r="H172" s="2145">
        <f>IF(K171&lt;0.01,0,IF(Adm!$GS$4=Adm!$GS$8,0,IF(Adm!$GS$12="Pagados por el Banco",0,K171*Adm!$GV$4)))</f>
        <v>0</v>
      </c>
      <c r="I172" s="2145">
        <f>IF(K171&lt;0.01,0,E172*Adm!$O$8)</f>
        <v>0</v>
      </c>
      <c r="J172" s="2145">
        <f t="shared" si="31"/>
        <v>0</v>
      </c>
      <c r="K172" s="2145">
        <f t="shared" si="32"/>
        <v>0</v>
      </c>
      <c r="L172" s="2146"/>
      <c r="V172" s="1352">
        <f t="shared" si="34"/>
        <v>1</v>
      </c>
      <c r="W172" s="1433">
        <f>IF(V172=1,Cal!$BP$127,0)</f>
        <v>0</v>
      </c>
      <c r="X172" s="1367">
        <f>IF(V172=1,Adm!$HI$4,0)</f>
        <v>2.5000000000000001E-3</v>
      </c>
      <c r="Z172" s="1153"/>
      <c r="AC172" s="1370">
        <f t="shared" si="36"/>
        <v>0</v>
      </c>
      <c r="AD172" s="1373">
        <f t="shared" si="37"/>
        <v>0</v>
      </c>
      <c r="AE172" s="1371">
        <f t="shared" si="38"/>
        <v>0</v>
      </c>
      <c r="AF172" s="1359">
        <f>HLOOKUP($AF$11,anticipafreeliq,158,0)</f>
        <v>-8.4490555555555562E-4</v>
      </c>
      <c r="AH172" s="1360">
        <f>Free!AK227</f>
        <v>-8.4490555555555562E-4</v>
      </c>
    </row>
    <row r="173" spans="1:34">
      <c r="A173" s="1118">
        <f t="shared" ca="1" si="27"/>
        <v>5</v>
      </c>
      <c r="B173" s="1101">
        <f t="shared" si="28"/>
        <v>0</v>
      </c>
      <c r="C173" s="2149">
        <f t="shared" si="29"/>
        <v>0</v>
      </c>
      <c r="D173" s="2150">
        <f t="shared" si="26"/>
        <v>0</v>
      </c>
      <c r="E173" s="2145">
        <f t="shared" si="33"/>
        <v>0</v>
      </c>
      <c r="F173" s="2145">
        <f t="shared" si="30"/>
        <v>0</v>
      </c>
      <c r="G173" s="2145">
        <f t="shared" si="35"/>
        <v>0</v>
      </c>
      <c r="H173" s="2145">
        <f>IF(K172&lt;0.01,0,IF(Adm!$GS$4=Adm!$GS$8,0,IF(Adm!$GS$12="Pagados por el Banco",0,K172*Adm!$GV$4)))</f>
        <v>0</v>
      </c>
      <c r="I173" s="2145">
        <f>IF(K172&lt;0.01,0,E173*Adm!$O$8)</f>
        <v>0</v>
      </c>
      <c r="J173" s="2145">
        <f t="shared" si="31"/>
        <v>0</v>
      </c>
      <c r="K173" s="2145">
        <f t="shared" si="32"/>
        <v>0</v>
      </c>
      <c r="L173" s="2146"/>
      <c r="V173" s="1352">
        <f t="shared" si="34"/>
        <v>2</v>
      </c>
      <c r="W173" s="1433">
        <f>IF(V173=1,Cal!$BP$127,0)</f>
        <v>0</v>
      </c>
      <c r="X173" s="1367">
        <f>IF(V173=1,Adm!$HI$4,0)</f>
        <v>0</v>
      </c>
      <c r="Z173" s="1153"/>
      <c r="AC173" s="1370">
        <f t="shared" si="36"/>
        <v>0</v>
      </c>
      <c r="AD173" s="1373">
        <f t="shared" si="37"/>
        <v>0</v>
      </c>
      <c r="AE173" s="1371">
        <f t="shared" si="38"/>
        <v>0</v>
      </c>
      <c r="AF173" s="1359">
        <f>HLOOKUP($AF$11,anticipafreeliq,159,0)</f>
        <v>-8.4490555555555551E-4</v>
      </c>
      <c r="AH173" s="1360">
        <f>Free!AK228</f>
        <v>-8.4490555555555551E-4</v>
      </c>
    </row>
    <row r="174" spans="1:34">
      <c r="A174" s="1118">
        <f t="shared" ca="1" si="27"/>
        <v>6</v>
      </c>
      <c r="B174" s="1101">
        <f t="shared" si="28"/>
        <v>0</v>
      </c>
      <c r="C174" s="2149">
        <f t="shared" si="29"/>
        <v>0</v>
      </c>
      <c r="D174" s="2150">
        <f t="shared" si="26"/>
        <v>0</v>
      </c>
      <c r="E174" s="2145">
        <f t="shared" si="33"/>
        <v>0</v>
      </c>
      <c r="F174" s="2145">
        <f t="shared" si="30"/>
        <v>0</v>
      </c>
      <c r="G174" s="2145">
        <f t="shared" si="35"/>
        <v>0</v>
      </c>
      <c r="H174" s="2145">
        <f>IF(K173&lt;0.01,0,IF(Adm!$GS$4=Adm!$GS$8,0,IF(Adm!$GS$12="Pagados por el Banco",0,K173*Adm!$GV$4)))</f>
        <v>0</v>
      </c>
      <c r="I174" s="2145">
        <f>IF(K173&lt;0.01,0,E174*Adm!$O$8)</f>
        <v>0</v>
      </c>
      <c r="J174" s="2145">
        <f t="shared" si="31"/>
        <v>0</v>
      </c>
      <c r="K174" s="2145">
        <f t="shared" si="32"/>
        <v>0</v>
      </c>
      <c r="L174" s="2146"/>
      <c r="V174" s="1352">
        <f t="shared" si="34"/>
        <v>3</v>
      </c>
      <c r="W174" s="1433">
        <f>IF(V174=1,Cal!$BP$127,0)</f>
        <v>0</v>
      </c>
      <c r="X174" s="1367">
        <f>IF(V174=1,Adm!$HI$4,0)</f>
        <v>0</v>
      </c>
      <c r="Z174" s="1153"/>
      <c r="AC174" s="1370">
        <f t="shared" si="36"/>
        <v>0</v>
      </c>
      <c r="AD174" s="1373">
        <f t="shared" si="37"/>
        <v>0</v>
      </c>
      <c r="AE174" s="1371">
        <f t="shared" si="38"/>
        <v>0</v>
      </c>
      <c r="AF174" s="1359">
        <f>HLOOKUP($AF$11,anticipafreeliq,160,0)</f>
        <v>-8.4490555555555551E-4</v>
      </c>
      <c r="AH174" s="1360">
        <f>Free!AK229</f>
        <v>-8.4490555555555551E-4</v>
      </c>
    </row>
    <row r="175" spans="1:34">
      <c r="A175" s="1118">
        <f t="shared" ca="1" si="27"/>
        <v>7</v>
      </c>
      <c r="B175" s="1101">
        <f t="shared" si="28"/>
        <v>0</v>
      </c>
      <c r="C175" s="2149">
        <f t="shared" si="29"/>
        <v>0</v>
      </c>
      <c r="D175" s="2150">
        <f t="shared" si="26"/>
        <v>0</v>
      </c>
      <c r="E175" s="2145">
        <f t="shared" si="33"/>
        <v>0</v>
      </c>
      <c r="F175" s="2145">
        <f t="shared" si="30"/>
        <v>0</v>
      </c>
      <c r="G175" s="2145">
        <f t="shared" si="35"/>
        <v>0</v>
      </c>
      <c r="H175" s="2145">
        <f>IF(K174&lt;0.01,0,IF(Adm!$GS$4=Adm!$GS$8,0,IF(Adm!$GS$12="Pagados por el Banco",0,K174*Adm!$GV$4)))</f>
        <v>0</v>
      </c>
      <c r="I175" s="2145">
        <f>IF(K174&lt;0.01,0,E175*Adm!$O$8)</f>
        <v>0</v>
      </c>
      <c r="J175" s="2145">
        <f t="shared" si="31"/>
        <v>0</v>
      </c>
      <c r="K175" s="2145">
        <f t="shared" si="32"/>
        <v>0</v>
      </c>
      <c r="L175" s="2146"/>
      <c r="V175" s="1352">
        <f t="shared" si="34"/>
        <v>4</v>
      </c>
      <c r="W175" s="1433">
        <f>IF(V175=1,Cal!$BP$127,0)</f>
        <v>0</v>
      </c>
      <c r="X175" s="1367">
        <f>IF(V175=1,Adm!$HI$4,0)</f>
        <v>0</v>
      </c>
      <c r="Z175" s="1153"/>
      <c r="AC175" s="1370">
        <f t="shared" si="36"/>
        <v>0</v>
      </c>
      <c r="AD175" s="1373">
        <f t="shared" si="37"/>
        <v>0</v>
      </c>
      <c r="AE175" s="1371">
        <f t="shared" si="38"/>
        <v>0</v>
      </c>
      <c r="AF175" s="1359">
        <f>HLOOKUP($AF$11,anticipafreeliq,161,0)</f>
        <v>-8.4490555555555551E-4</v>
      </c>
      <c r="AH175" s="1360">
        <f>Free!AK230</f>
        <v>-8.4490555555555551E-4</v>
      </c>
    </row>
    <row r="176" spans="1:34">
      <c r="A176" s="1118">
        <f t="shared" ca="1" si="27"/>
        <v>8</v>
      </c>
      <c r="B176" s="1101">
        <f t="shared" si="28"/>
        <v>0</v>
      </c>
      <c r="C176" s="2149">
        <f t="shared" si="29"/>
        <v>0</v>
      </c>
      <c r="D176" s="2150">
        <f t="shared" si="26"/>
        <v>0</v>
      </c>
      <c r="E176" s="2145">
        <f t="shared" si="33"/>
        <v>0</v>
      </c>
      <c r="F176" s="2145">
        <f t="shared" si="30"/>
        <v>0</v>
      </c>
      <c r="G176" s="2145">
        <f t="shared" si="35"/>
        <v>0</v>
      </c>
      <c r="H176" s="2145">
        <f>IF(K175&lt;0.01,0,IF(Adm!$GS$4=Adm!$GS$8,0,IF(Adm!$GS$12="Pagados por el Banco",0,K175*Adm!$GV$4)))</f>
        <v>0</v>
      </c>
      <c r="I176" s="2145">
        <f>IF(K175&lt;0.01,0,E176*Adm!$O$8)</f>
        <v>0</v>
      </c>
      <c r="J176" s="2145">
        <f t="shared" si="31"/>
        <v>0</v>
      </c>
      <c r="K176" s="2145">
        <f t="shared" si="32"/>
        <v>0</v>
      </c>
      <c r="L176" s="2146"/>
      <c r="V176" s="1352">
        <f t="shared" si="34"/>
        <v>5</v>
      </c>
      <c r="W176" s="1433">
        <f>IF(V176=1,Cal!$BP$127,0)</f>
        <v>0</v>
      </c>
      <c r="X176" s="1367">
        <f>IF(V176=1,Adm!$HI$4,0)</f>
        <v>0</v>
      </c>
      <c r="Z176" s="1153"/>
      <c r="AC176" s="1370">
        <f t="shared" si="36"/>
        <v>0</v>
      </c>
      <c r="AD176" s="1373">
        <f t="shared" si="37"/>
        <v>0</v>
      </c>
      <c r="AE176" s="1371">
        <f t="shared" si="38"/>
        <v>0</v>
      </c>
      <c r="AF176" s="1359">
        <f>HLOOKUP($AF$11,anticipafreeliq,162,0)</f>
        <v>-8.4490555555555551E-4</v>
      </c>
      <c r="AH176" s="1360">
        <f>Free!AK231</f>
        <v>-8.4490555555555551E-4</v>
      </c>
    </row>
    <row r="177" spans="1:34">
      <c r="A177" s="1118">
        <f t="shared" ca="1" si="27"/>
        <v>9</v>
      </c>
      <c r="B177" s="1101">
        <f t="shared" si="28"/>
        <v>0</v>
      </c>
      <c r="C177" s="2149">
        <f t="shared" si="29"/>
        <v>0</v>
      </c>
      <c r="D177" s="2150">
        <f t="shared" si="26"/>
        <v>0</v>
      </c>
      <c r="E177" s="2145">
        <f t="shared" si="33"/>
        <v>0</v>
      </c>
      <c r="F177" s="2145">
        <f t="shared" si="30"/>
        <v>0</v>
      </c>
      <c r="G177" s="2145">
        <f t="shared" si="35"/>
        <v>0</v>
      </c>
      <c r="H177" s="2145">
        <f>IF(K176&lt;0.01,0,IF(Adm!$GS$4=Adm!$GS$8,0,IF(Adm!$GS$12="Pagados por el Banco",0,K176*Adm!$GV$4)))</f>
        <v>0</v>
      </c>
      <c r="I177" s="2145">
        <f>IF(K176&lt;0.01,0,E177*Adm!$O$8)</f>
        <v>0</v>
      </c>
      <c r="J177" s="2145">
        <f t="shared" si="31"/>
        <v>0</v>
      </c>
      <c r="K177" s="2145">
        <f t="shared" si="32"/>
        <v>0</v>
      </c>
      <c r="L177" s="2146"/>
      <c r="V177" s="1352">
        <f t="shared" si="34"/>
        <v>6</v>
      </c>
      <c r="W177" s="1433">
        <f>IF(V177=1,Cal!$BP$127,0)</f>
        <v>0</v>
      </c>
      <c r="X177" s="1367">
        <f>IF(V177=1,Adm!$HI$4,0)</f>
        <v>0</v>
      </c>
      <c r="Z177" s="1153"/>
      <c r="AC177" s="1370">
        <f t="shared" si="36"/>
        <v>0</v>
      </c>
      <c r="AD177" s="1373">
        <f t="shared" si="37"/>
        <v>0</v>
      </c>
      <c r="AE177" s="1371">
        <f t="shared" si="38"/>
        <v>0</v>
      </c>
      <c r="AF177" s="1359">
        <f>HLOOKUP($AF$11,anticipafreeliq,163,0)</f>
        <v>-8.4490555555555551E-4</v>
      </c>
      <c r="AH177" s="1360">
        <f>Free!AK232</f>
        <v>-8.4490555555555551E-4</v>
      </c>
    </row>
    <row r="178" spans="1:34">
      <c r="A178" s="1118">
        <f t="shared" ca="1" si="27"/>
        <v>10</v>
      </c>
      <c r="B178" s="1101">
        <f t="shared" si="28"/>
        <v>0</v>
      </c>
      <c r="C178" s="2149">
        <f t="shared" si="29"/>
        <v>0</v>
      </c>
      <c r="D178" s="2150">
        <f t="shared" si="26"/>
        <v>0</v>
      </c>
      <c r="E178" s="2145">
        <f t="shared" si="33"/>
        <v>0</v>
      </c>
      <c r="F178" s="2145">
        <f t="shared" si="30"/>
        <v>0</v>
      </c>
      <c r="G178" s="2145">
        <f t="shared" si="35"/>
        <v>0</v>
      </c>
      <c r="H178" s="2145">
        <f>IF(K177&lt;0.01,0,IF(Adm!$GS$4=Adm!$GS$8,0,IF(Adm!$GS$12="Pagados por el Banco",0,K177*Adm!$GV$4)))</f>
        <v>0</v>
      </c>
      <c r="I178" s="2145">
        <f>IF(K177&lt;0.01,0,E178*Adm!$O$8)</f>
        <v>0</v>
      </c>
      <c r="J178" s="2145">
        <f t="shared" si="31"/>
        <v>0</v>
      </c>
      <c r="K178" s="2145">
        <f t="shared" si="32"/>
        <v>0</v>
      </c>
      <c r="L178" s="2146"/>
      <c r="V178" s="1352">
        <f t="shared" si="34"/>
        <v>7</v>
      </c>
      <c r="W178" s="1433">
        <f>IF(V178=1,Cal!$BP$127,0)</f>
        <v>0</v>
      </c>
      <c r="X178" s="1367">
        <f>IF(V178=1,Adm!$HI$4,0)</f>
        <v>0</v>
      </c>
      <c r="Z178" s="1153"/>
      <c r="AC178" s="1370">
        <f t="shared" si="36"/>
        <v>0</v>
      </c>
      <c r="AD178" s="1373">
        <f t="shared" si="37"/>
        <v>0</v>
      </c>
      <c r="AE178" s="1371">
        <f t="shared" si="38"/>
        <v>0</v>
      </c>
      <c r="AF178" s="1359">
        <f>HLOOKUP($AF$11,anticipafreeliq,164,0)</f>
        <v>-8.4490555555555562E-4</v>
      </c>
      <c r="AH178" s="1360">
        <f>Free!AK233</f>
        <v>-8.4490555555555562E-4</v>
      </c>
    </row>
    <row r="179" spans="1:34">
      <c r="A179" s="1118">
        <f t="shared" ca="1" si="27"/>
        <v>11</v>
      </c>
      <c r="B179" s="1101">
        <f t="shared" si="28"/>
        <v>0</v>
      </c>
      <c r="C179" s="2149">
        <f t="shared" si="29"/>
        <v>0</v>
      </c>
      <c r="D179" s="2150">
        <f t="shared" si="26"/>
        <v>0</v>
      </c>
      <c r="E179" s="2145">
        <f t="shared" si="33"/>
        <v>0</v>
      </c>
      <c r="F179" s="2145">
        <f t="shared" si="30"/>
        <v>0</v>
      </c>
      <c r="G179" s="2145">
        <f t="shared" si="35"/>
        <v>0</v>
      </c>
      <c r="H179" s="2145">
        <f>IF(K178&lt;0.01,0,IF(Adm!$GS$4=Adm!$GS$8,0,IF(Adm!$GS$12="Pagados por el Banco",0,K178*Adm!$GV$4)))</f>
        <v>0</v>
      </c>
      <c r="I179" s="2145">
        <f>IF(K178&lt;0.01,0,E179*Adm!$O$8)</f>
        <v>0</v>
      </c>
      <c r="J179" s="2145">
        <f t="shared" si="31"/>
        <v>0</v>
      </c>
      <c r="K179" s="2145">
        <f t="shared" si="32"/>
        <v>0</v>
      </c>
      <c r="L179" s="2146"/>
      <c r="V179" s="1352">
        <f t="shared" si="34"/>
        <v>8</v>
      </c>
      <c r="W179" s="1433">
        <f>IF(V179=1,Cal!$BP$127,0)</f>
        <v>0</v>
      </c>
      <c r="X179" s="1367">
        <f>IF(V179=1,Adm!$HI$4,0)</f>
        <v>0</v>
      </c>
      <c r="Z179" s="1153"/>
      <c r="AC179" s="1370">
        <f t="shared" si="36"/>
        <v>0</v>
      </c>
      <c r="AD179" s="1373">
        <f t="shared" si="37"/>
        <v>0</v>
      </c>
      <c r="AE179" s="1371">
        <f t="shared" si="38"/>
        <v>0</v>
      </c>
      <c r="AF179" s="1359">
        <f>HLOOKUP($AF$11,anticipafreeliq,165,0)</f>
        <v>-8.4490555555555541E-4</v>
      </c>
      <c r="AH179" s="1360">
        <f>Free!AK234</f>
        <v>-8.4490555555555541E-4</v>
      </c>
    </row>
    <row r="180" spans="1:34">
      <c r="A180" s="1118">
        <f t="shared" ca="1" si="27"/>
        <v>12</v>
      </c>
      <c r="B180" s="1101">
        <f t="shared" si="28"/>
        <v>0</v>
      </c>
      <c r="C180" s="2149">
        <f t="shared" si="29"/>
        <v>0</v>
      </c>
      <c r="D180" s="2150">
        <f t="shared" ref="D180:D243" si="39">IF(K179&lt;0.01,0,IF(D179=$X$10,D179,IF(D179-X180&lt;=$X$10,D179-X180,D179-X180)))</f>
        <v>0</v>
      </c>
      <c r="E180" s="2145">
        <f t="shared" si="33"/>
        <v>0</v>
      </c>
      <c r="F180" s="2145">
        <f t="shared" si="30"/>
        <v>0</v>
      </c>
      <c r="G180" s="2145">
        <f t="shared" si="35"/>
        <v>0</v>
      </c>
      <c r="H180" s="2145">
        <f>IF(K179&lt;0.01,0,IF(Adm!$GS$4=Adm!$GS$8,0,IF(Adm!$GS$12="Pagados por el Banco",0,K179*Adm!$GV$4)))</f>
        <v>0</v>
      </c>
      <c r="I180" s="2145">
        <f>IF(K179&lt;0.01,0,E180*Adm!$O$8)</f>
        <v>0</v>
      </c>
      <c r="J180" s="2145">
        <f t="shared" si="31"/>
        <v>0</v>
      </c>
      <c r="K180" s="2145">
        <f t="shared" si="32"/>
        <v>0</v>
      </c>
      <c r="L180" s="2146"/>
      <c r="V180" s="1352">
        <f t="shared" si="34"/>
        <v>9</v>
      </c>
      <c r="W180" s="1433">
        <f>IF(V180=1,Cal!$BP$127,0)</f>
        <v>0</v>
      </c>
      <c r="X180" s="1367">
        <f>IF(V180=1,Adm!$HI$4,0)</f>
        <v>0</v>
      </c>
      <c r="Z180" s="1153"/>
      <c r="AC180" s="1370">
        <f t="shared" si="36"/>
        <v>0</v>
      </c>
      <c r="AD180" s="1373">
        <f t="shared" si="37"/>
        <v>0</v>
      </c>
      <c r="AE180" s="1371">
        <f t="shared" si="38"/>
        <v>0</v>
      </c>
      <c r="AF180" s="1359">
        <f>HLOOKUP($AF$11,anticipafreeliq,166,0)</f>
        <v>-8.4490555555555551E-4</v>
      </c>
      <c r="AH180" s="1360">
        <f>Free!AK235</f>
        <v>-8.4490555555555551E-4</v>
      </c>
    </row>
    <row r="181" spans="1:34">
      <c r="A181" s="1118">
        <f t="shared" ca="1" si="27"/>
        <v>1</v>
      </c>
      <c r="B181" s="1101">
        <f t="shared" si="28"/>
        <v>0</v>
      </c>
      <c r="C181" s="2149">
        <f t="shared" si="29"/>
        <v>0</v>
      </c>
      <c r="D181" s="2150">
        <f t="shared" si="39"/>
        <v>0</v>
      </c>
      <c r="E181" s="2145">
        <f t="shared" si="33"/>
        <v>0</v>
      </c>
      <c r="F181" s="2145">
        <f t="shared" si="30"/>
        <v>0</v>
      </c>
      <c r="G181" s="2145">
        <f t="shared" si="35"/>
        <v>0</v>
      </c>
      <c r="H181" s="2145">
        <f>IF(K180&lt;0.01,0,IF(Adm!$GS$4=Adm!$GS$8,0,IF(Adm!$GS$12="Pagados por el Banco",0,K180*Adm!$GV$4)))</f>
        <v>0</v>
      </c>
      <c r="I181" s="2145">
        <f>IF(K180&lt;0.01,0,E181*Adm!$O$8)</f>
        <v>0</v>
      </c>
      <c r="J181" s="2145">
        <f t="shared" si="31"/>
        <v>0</v>
      </c>
      <c r="K181" s="2145">
        <f t="shared" si="32"/>
        <v>0</v>
      </c>
      <c r="L181" s="2146"/>
      <c r="V181" s="1352">
        <f t="shared" si="34"/>
        <v>10</v>
      </c>
      <c r="W181" s="1433">
        <f>IF(V181=1,Cal!$BP$127,0)</f>
        <v>0</v>
      </c>
      <c r="X181" s="1367">
        <f>IF(V181=1,Adm!$HI$4,0)</f>
        <v>0</v>
      </c>
      <c r="Z181" s="1153"/>
      <c r="AC181" s="1370">
        <f t="shared" si="36"/>
        <v>0</v>
      </c>
      <c r="AD181" s="1373">
        <f t="shared" si="37"/>
        <v>0</v>
      </c>
      <c r="AE181" s="1371">
        <f t="shared" si="38"/>
        <v>0</v>
      </c>
      <c r="AF181" s="1359">
        <f>HLOOKUP($AF$11,anticipafreeliq,167,0)</f>
        <v>-8.4490555555555551E-4</v>
      </c>
      <c r="AH181" s="1360">
        <f>Free!AK236</f>
        <v>-8.4490555555555551E-4</v>
      </c>
    </row>
    <row r="182" spans="1:34">
      <c r="A182" s="1118">
        <f t="shared" ca="1" si="27"/>
        <v>2</v>
      </c>
      <c r="B182" s="1101">
        <f t="shared" si="28"/>
        <v>0</v>
      </c>
      <c r="C182" s="2149">
        <f t="shared" si="29"/>
        <v>0</v>
      </c>
      <c r="D182" s="2150">
        <f t="shared" si="39"/>
        <v>0</v>
      </c>
      <c r="E182" s="2145">
        <f t="shared" si="33"/>
        <v>0</v>
      </c>
      <c r="F182" s="2145">
        <f t="shared" si="30"/>
        <v>0</v>
      </c>
      <c r="G182" s="2145">
        <f t="shared" si="35"/>
        <v>0</v>
      </c>
      <c r="H182" s="2145">
        <f>IF(K181&lt;0.01,0,IF(Adm!$GS$4=Adm!$GS$8,0,IF(Adm!$GS$12="Pagados por el Banco",0,K181*Adm!$GV$4)))</f>
        <v>0</v>
      </c>
      <c r="I182" s="2145">
        <f>IF(K181&lt;0.01,0,E182*Adm!$O$8)</f>
        <v>0</v>
      </c>
      <c r="J182" s="2145">
        <f t="shared" si="31"/>
        <v>0</v>
      </c>
      <c r="K182" s="2145">
        <f t="shared" si="32"/>
        <v>0</v>
      </c>
      <c r="L182" s="2146"/>
      <c r="V182" s="1352">
        <f t="shared" si="34"/>
        <v>11</v>
      </c>
      <c r="W182" s="1433">
        <f>IF(V182=1,Cal!$BP$127,0)</f>
        <v>0</v>
      </c>
      <c r="X182" s="1367">
        <f>IF(V182=1,Adm!$HI$4,0)</f>
        <v>0</v>
      </c>
      <c r="Z182" s="1153"/>
      <c r="AC182" s="1370">
        <f t="shared" si="36"/>
        <v>0</v>
      </c>
      <c r="AD182" s="1373">
        <f t="shared" si="37"/>
        <v>0</v>
      </c>
      <c r="AE182" s="1371">
        <f t="shared" si="38"/>
        <v>0</v>
      </c>
      <c r="AF182" s="1359">
        <f>HLOOKUP($AF$11,anticipafreeliq,168,0)</f>
        <v>-8.4490555555555541E-4</v>
      </c>
      <c r="AH182" s="1360">
        <f>Free!AK237</f>
        <v>-8.4490555555555541E-4</v>
      </c>
    </row>
    <row r="183" spans="1:34">
      <c r="A183" s="1118">
        <f t="shared" ca="1" si="27"/>
        <v>3</v>
      </c>
      <c r="B183" s="1101">
        <f t="shared" si="28"/>
        <v>0</v>
      </c>
      <c r="C183" s="2149">
        <f t="shared" si="29"/>
        <v>0</v>
      </c>
      <c r="D183" s="2150">
        <f t="shared" si="39"/>
        <v>0</v>
      </c>
      <c r="E183" s="2145">
        <f t="shared" si="33"/>
        <v>0</v>
      </c>
      <c r="F183" s="2145">
        <f t="shared" si="30"/>
        <v>0</v>
      </c>
      <c r="G183" s="2145">
        <f t="shared" si="35"/>
        <v>0</v>
      </c>
      <c r="H183" s="2145">
        <f>IF(K182&lt;0.01,0,IF(Adm!$GS$4=Adm!$GS$8,0,IF(Adm!$GS$12="Pagados por el Banco",0,K182*Adm!$GV$4)))</f>
        <v>0</v>
      </c>
      <c r="I183" s="2145">
        <f>IF(K182&lt;0.01,0,E183*Adm!$O$8)</f>
        <v>0</v>
      </c>
      <c r="J183" s="2145">
        <f t="shared" si="31"/>
        <v>0</v>
      </c>
      <c r="K183" s="2145">
        <f t="shared" si="32"/>
        <v>0</v>
      </c>
      <c r="L183" s="2146"/>
      <c r="V183" s="1352">
        <f t="shared" si="34"/>
        <v>12</v>
      </c>
      <c r="W183" s="1433">
        <f>IF(V183=1,Cal!$BP$127,0)</f>
        <v>0</v>
      </c>
      <c r="X183" s="1367">
        <f>IF(V183=1,Adm!$HI$4,0)</f>
        <v>0</v>
      </c>
      <c r="Z183" s="1153"/>
      <c r="AC183" s="1370">
        <f t="shared" si="36"/>
        <v>0</v>
      </c>
      <c r="AD183" s="1373">
        <f t="shared" si="37"/>
        <v>0</v>
      </c>
      <c r="AE183" s="1371">
        <f t="shared" si="38"/>
        <v>0</v>
      </c>
      <c r="AF183" s="1359">
        <f>HLOOKUP($AF$11,anticipafreeliq,169,0)</f>
        <v>-8.4490555555555562E-4</v>
      </c>
      <c r="AH183" s="1360">
        <f>Free!AK238</f>
        <v>-8.4490555555555562E-4</v>
      </c>
    </row>
    <row r="184" spans="1:34">
      <c r="A184" s="1118">
        <f t="shared" ca="1" si="27"/>
        <v>4</v>
      </c>
      <c r="B184" s="1101">
        <f t="shared" si="28"/>
        <v>0</v>
      </c>
      <c r="C184" s="2149">
        <f t="shared" si="29"/>
        <v>0</v>
      </c>
      <c r="D184" s="2150">
        <f t="shared" si="39"/>
        <v>0</v>
      </c>
      <c r="E184" s="2145">
        <f t="shared" si="33"/>
        <v>0</v>
      </c>
      <c r="F184" s="2145">
        <f t="shared" si="30"/>
        <v>0</v>
      </c>
      <c r="G184" s="2145">
        <f t="shared" si="35"/>
        <v>0</v>
      </c>
      <c r="H184" s="2145">
        <f>IF(K183&lt;0.01,0,IF(Adm!$GS$4=Adm!$GS$8,0,IF(Adm!$GS$12="Pagados por el Banco",0,K183*Adm!$GV$4)))</f>
        <v>0</v>
      </c>
      <c r="I184" s="2145">
        <f>IF(K183&lt;0.01,0,E184*Adm!$O$8)</f>
        <v>0</v>
      </c>
      <c r="J184" s="2145">
        <f t="shared" si="31"/>
        <v>0</v>
      </c>
      <c r="K184" s="2145">
        <f t="shared" si="32"/>
        <v>0</v>
      </c>
      <c r="L184" s="2146"/>
      <c r="V184" s="1352">
        <f t="shared" si="34"/>
        <v>1</v>
      </c>
      <c r="W184" s="1433">
        <f>IF(V184=1,Cal!$BP$127,0)</f>
        <v>0</v>
      </c>
      <c r="X184" s="1367">
        <f>IF(V184=1,Adm!$HI$4,0)</f>
        <v>2.5000000000000001E-3</v>
      </c>
      <c r="Z184" s="1153"/>
      <c r="AC184" s="1370">
        <f t="shared" si="36"/>
        <v>0</v>
      </c>
      <c r="AD184" s="1373">
        <f t="shared" si="37"/>
        <v>0</v>
      </c>
      <c r="AE184" s="1371">
        <f t="shared" si="38"/>
        <v>0</v>
      </c>
      <c r="AF184" s="1359">
        <f>HLOOKUP($AF$11,anticipafreeliq,170,0)</f>
        <v>-8.4490555555555562E-4</v>
      </c>
      <c r="AH184" s="1360">
        <f>Free!AK239</f>
        <v>-8.4490555555555562E-4</v>
      </c>
    </row>
    <row r="185" spans="1:34">
      <c r="A185" s="1118">
        <f t="shared" ca="1" si="27"/>
        <v>5</v>
      </c>
      <c r="B185" s="1101">
        <f t="shared" si="28"/>
        <v>0</v>
      </c>
      <c r="C185" s="2149">
        <f t="shared" si="29"/>
        <v>0</v>
      </c>
      <c r="D185" s="2150">
        <f t="shared" si="39"/>
        <v>0</v>
      </c>
      <c r="E185" s="2145">
        <f t="shared" si="33"/>
        <v>0</v>
      </c>
      <c r="F185" s="2145">
        <f t="shared" si="30"/>
        <v>0</v>
      </c>
      <c r="G185" s="2145">
        <f t="shared" si="35"/>
        <v>0</v>
      </c>
      <c r="H185" s="2145">
        <f>IF(K184&lt;0.01,0,IF(Adm!$GS$4=Adm!$GS$8,0,IF(Adm!$GS$12="Pagados por el Banco",0,K184*Adm!$GV$4)))</f>
        <v>0</v>
      </c>
      <c r="I185" s="2145">
        <f>IF(K184&lt;0.01,0,E185*Adm!$O$8)</f>
        <v>0</v>
      </c>
      <c r="J185" s="2145">
        <f t="shared" si="31"/>
        <v>0</v>
      </c>
      <c r="K185" s="2145">
        <f t="shared" si="32"/>
        <v>0</v>
      </c>
      <c r="L185" s="2146"/>
      <c r="V185" s="1352">
        <f t="shared" si="34"/>
        <v>2</v>
      </c>
      <c r="W185" s="1433">
        <f>IF(V185=1,Cal!$BP$127,0)</f>
        <v>0</v>
      </c>
      <c r="X185" s="1367">
        <f>IF(V185=1,Adm!$HI$4,0)</f>
        <v>0</v>
      </c>
      <c r="Z185" s="1153"/>
      <c r="AC185" s="1370">
        <f t="shared" si="36"/>
        <v>0</v>
      </c>
      <c r="AD185" s="1373">
        <f t="shared" si="37"/>
        <v>0</v>
      </c>
      <c r="AE185" s="1371">
        <f t="shared" si="38"/>
        <v>0</v>
      </c>
      <c r="AF185" s="1359">
        <f>HLOOKUP($AF$11,anticipafreeliq,171,0)</f>
        <v>-8.4490555555555562E-4</v>
      </c>
      <c r="AH185" s="1360">
        <f>Free!AK240</f>
        <v>-8.4490555555555562E-4</v>
      </c>
    </row>
    <row r="186" spans="1:34">
      <c r="A186" s="1118">
        <f t="shared" ca="1" si="27"/>
        <v>6</v>
      </c>
      <c r="B186" s="1101">
        <f t="shared" si="28"/>
        <v>0</v>
      </c>
      <c r="C186" s="2149">
        <f t="shared" si="29"/>
        <v>0</v>
      </c>
      <c r="D186" s="2150">
        <f t="shared" si="39"/>
        <v>0</v>
      </c>
      <c r="E186" s="2145">
        <f t="shared" si="33"/>
        <v>0</v>
      </c>
      <c r="F186" s="2145">
        <f t="shared" si="30"/>
        <v>0</v>
      </c>
      <c r="G186" s="2145">
        <f t="shared" si="35"/>
        <v>0</v>
      </c>
      <c r="H186" s="2145">
        <f>IF(K185&lt;0.01,0,IF(Adm!$GS$4=Adm!$GS$8,0,IF(Adm!$GS$12="Pagados por el Banco",0,K185*Adm!$GV$4)))</f>
        <v>0</v>
      </c>
      <c r="I186" s="2145">
        <f>IF(K185&lt;0.01,0,E186*Adm!$O$8)</f>
        <v>0</v>
      </c>
      <c r="J186" s="2145">
        <f t="shared" si="31"/>
        <v>0</v>
      </c>
      <c r="K186" s="2145">
        <f t="shared" si="32"/>
        <v>0</v>
      </c>
      <c r="L186" s="2146"/>
      <c r="V186" s="1352">
        <f t="shared" si="34"/>
        <v>3</v>
      </c>
      <c r="W186" s="1433">
        <f>IF(V186=1,Cal!$BP$127,0)</f>
        <v>0</v>
      </c>
      <c r="X186" s="1367">
        <f>IF(V186=1,Adm!$HI$4,0)</f>
        <v>0</v>
      </c>
      <c r="Z186" s="1153"/>
      <c r="AC186" s="1370">
        <f t="shared" si="36"/>
        <v>0</v>
      </c>
      <c r="AD186" s="1373">
        <f t="shared" si="37"/>
        <v>0</v>
      </c>
      <c r="AE186" s="1371">
        <f t="shared" si="38"/>
        <v>0</v>
      </c>
      <c r="AF186" s="1359">
        <f>HLOOKUP($AF$11,anticipafreeliq,172,0)</f>
        <v>-8.4490555555555551E-4</v>
      </c>
      <c r="AH186" s="1360">
        <f>Free!AK241</f>
        <v>-8.4490555555555551E-4</v>
      </c>
    </row>
    <row r="187" spans="1:34">
      <c r="A187" s="1118">
        <f t="shared" ca="1" si="27"/>
        <v>7</v>
      </c>
      <c r="B187" s="1101">
        <f t="shared" si="28"/>
        <v>0</v>
      </c>
      <c r="C187" s="2149">
        <f t="shared" si="29"/>
        <v>0</v>
      </c>
      <c r="D187" s="2150">
        <f t="shared" si="39"/>
        <v>0</v>
      </c>
      <c r="E187" s="2145">
        <f t="shared" si="33"/>
        <v>0</v>
      </c>
      <c r="F187" s="2145">
        <f t="shared" si="30"/>
        <v>0</v>
      </c>
      <c r="G187" s="2145">
        <f t="shared" si="35"/>
        <v>0</v>
      </c>
      <c r="H187" s="2145">
        <f>IF(K186&lt;0.01,0,IF(Adm!$GS$4=Adm!$GS$8,0,IF(Adm!$GS$12="Pagados por el Banco",0,K186*Adm!$GV$4)))</f>
        <v>0</v>
      </c>
      <c r="I187" s="2145">
        <f>IF(K186&lt;0.01,0,E187*Adm!$O$8)</f>
        <v>0</v>
      </c>
      <c r="J187" s="2145">
        <f t="shared" si="31"/>
        <v>0</v>
      </c>
      <c r="K187" s="2145">
        <f t="shared" si="32"/>
        <v>0</v>
      </c>
      <c r="L187" s="2146"/>
      <c r="V187" s="1352">
        <f t="shared" si="34"/>
        <v>4</v>
      </c>
      <c r="W187" s="1433">
        <f>IF(V187=1,Cal!$BP$127,0)</f>
        <v>0</v>
      </c>
      <c r="X187" s="1367">
        <f>IF(V187=1,Adm!$HI$4,0)</f>
        <v>0</v>
      </c>
      <c r="Z187" s="1153"/>
      <c r="AC187" s="1370">
        <f t="shared" si="36"/>
        <v>0</v>
      </c>
      <c r="AD187" s="1373">
        <f t="shared" si="37"/>
        <v>0</v>
      </c>
      <c r="AE187" s="1371">
        <f t="shared" si="38"/>
        <v>0</v>
      </c>
      <c r="AF187" s="1359">
        <f>HLOOKUP($AF$11,anticipafreeliq,173,0)</f>
        <v>-8.4490555555555551E-4</v>
      </c>
      <c r="AH187" s="1360">
        <f>Free!AK242</f>
        <v>-8.4490555555555551E-4</v>
      </c>
    </row>
    <row r="188" spans="1:34">
      <c r="A188" s="1118">
        <f t="shared" ca="1" si="27"/>
        <v>8</v>
      </c>
      <c r="B188" s="1101">
        <f t="shared" si="28"/>
        <v>0</v>
      </c>
      <c r="C188" s="2149">
        <f t="shared" si="29"/>
        <v>0</v>
      </c>
      <c r="D188" s="2150">
        <f t="shared" si="39"/>
        <v>0</v>
      </c>
      <c r="E188" s="2145">
        <f t="shared" si="33"/>
        <v>0</v>
      </c>
      <c r="F188" s="2145">
        <f t="shared" si="30"/>
        <v>0</v>
      </c>
      <c r="G188" s="2145">
        <f t="shared" si="35"/>
        <v>0</v>
      </c>
      <c r="H188" s="2145">
        <f>IF(K187&lt;0.01,0,IF(Adm!$GS$4=Adm!$GS$8,0,IF(Adm!$GS$12="Pagados por el Banco",0,K187*Adm!$GV$4)))</f>
        <v>0</v>
      </c>
      <c r="I188" s="2145">
        <f>IF(K187&lt;0.01,0,E188*Adm!$O$8)</f>
        <v>0</v>
      </c>
      <c r="J188" s="2145">
        <f t="shared" si="31"/>
        <v>0</v>
      </c>
      <c r="K188" s="2145">
        <f t="shared" si="32"/>
        <v>0</v>
      </c>
      <c r="L188" s="2146"/>
      <c r="V188" s="1352">
        <f t="shared" si="34"/>
        <v>5</v>
      </c>
      <c r="W188" s="1433">
        <f>IF(V188=1,Cal!$BP$127,0)</f>
        <v>0</v>
      </c>
      <c r="X188" s="1367">
        <f>IF(V188=1,Adm!$HI$4,0)</f>
        <v>0</v>
      </c>
      <c r="Z188" s="1153"/>
      <c r="AC188" s="1370">
        <f t="shared" si="36"/>
        <v>0</v>
      </c>
      <c r="AD188" s="1373">
        <f t="shared" si="37"/>
        <v>0</v>
      </c>
      <c r="AE188" s="1371">
        <f t="shared" si="38"/>
        <v>0</v>
      </c>
      <c r="AF188" s="1359">
        <f>HLOOKUP($AF$11,anticipafreeliq,174,0)</f>
        <v>-8.4490555555555551E-4</v>
      </c>
      <c r="AH188" s="1360">
        <f>Free!AK243</f>
        <v>-8.4490555555555551E-4</v>
      </c>
    </row>
    <row r="189" spans="1:34">
      <c r="A189" s="1118">
        <f t="shared" ca="1" si="27"/>
        <v>9</v>
      </c>
      <c r="B189" s="1101">
        <f t="shared" si="28"/>
        <v>0</v>
      </c>
      <c r="C189" s="2149">
        <f t="shared" si="29"/>
        <v>0</v>
      </c>
      <c r="D189" s="2150">
        <f t="shared" si="39"/>
        <v>0</v>
      </c>
      <c r="E189" s="2145">
        <f t="shared" si="33"/>
        <v>0</v>
      </c>
      <c r="F189" s="2145">
        <f t="shared" si="30"/>
        <v>0</v>
      </c>
      <c r="G189" s="2145">
        <f t="shared" si="35"/>
        <v>0</v>
      </c>
      <c r="H189" s="2145">
        <f>IF(K188&lt;0.01,0,IF(Adm!$GS$4=Adm!$GS$8,0,IF(Adm!$GS$12="Pagados por el Banco",0,K188*Adm!$GV$4)))</f>
        <v>0</v>
      </c>
      <c r="I189" s="2145">
        <f>IF(K188&lt;0.01,0,E189*Adm!$O$8)</f>
        <v>0</v>
      </c>
      <c r="J189" s="2145">
        <f t="shared" si="31"/>
        <v>0</v>
      </c>
      <c r="K189" s="2145">
        <f t="shared" si="32"/>
        <v>0</v>
      </c>
      <c r="L189" s="2146"/>
      <c r="V189" s="1352">
        <f t="shared" si="34"/>
        <v>6</v>
      </c>
      <c r="W189" s="1433">
        <f>IF(V189=1,Cal!$BP$127,0)</f>
        <v>0</v>
      </c>
      <c r="X189" s="1367">
        <f>IF(V189=1,Adm!$HI$4,0)</f>
        <v>0</v>
      </c>
      <c r="Z189" s="1153"/>
      <c r="AC189" s="1370">
        <f t="shared" si="36"/>
        <v>0</v>
      </c>
      <c r="AD189" s="1373">
        <f t="shared" si="37"/>
        <v>0</v>
      </c>
      <c r="AE189" s="1371">
        <f t="shared" si="38"/>
        <v>0</v>
      </c>
      <c r="AF189" s="1359">
        <f>HLOOKUP($AF$11,anticipafreeliq,175,0)</f>
        <v>-8.4490555555555551E-4</v>
      </c>
      <c r="AH189" s="1360">
        <f>Free!AK244</f>
        <v>-8.4490555555555551E-4</v>
      </c>
    </row>
    <row r="190" spans="1:34">
      <c r="A190" s="1118">
        <f t="shared" ca="1" si="27"/>
        <v>10</v>
      </c>
      <c r="B190" s="1101">
        <f t="shared" si="28"/>
        <v>0</v>
      </c>
      <c r="C190" s="2149">
        <f t="shared" si="29"/>
        <v>0</v>
      </c>
      <c r="D190" s="2150">
        <f t="shared" si="39"/>
        <v>0</v>
      </c>
      <c r="E190" s="2145">
        <f t="shared" si="33"/>
        <v>0</v>
      </c>
      <c r="F190" s="2145">
        <f t="shared" si="30"/>
        <v>0</v>
      </c>
      <c r="G190" s="2145">
        <f t="shared" si="35"/>
        <v>0</v>
      </c>
      <c r="H190" s="2145">
        <f>IF(K189&lt;0.01,0,IF(Adm!$GS$4=Adm!$GS$8,0,IF(Adm!$GS$12="Pagados por el Banco",0,K189*Adm!$GV$4)))</f>
        <v>0</v>
      </c>
      <c r="I190" s="2145">
        <f>IF(K189&lt;0.01,0,E190*Adm!$O$8)</f>
        <v>0</v>
      </c>
      <c r="J190" s="2145">
        <f t="shared" si="31"/>
        <v>0</v>
      </c>
      <c r="K190" s="2145">
        <f t="shared" si="32"/>
        <v>0</v>
      </c>
      <c r="L190" s="2146"/>
      <c r="V190" s="1352">
        <f t="shared" si="34"/>
        <v>7</v>
      </c>
      <c r="W190" s="1433">
        <f>IF(V190=1,Cal!$BP$127,0)</f>
        <v>0</v>
      </c>
      <c r="X190" s="1367">
        <f>IF(V190=1,Adm!$HI$4,0)</f>
        <v>0</v>
      </c>
      <c r="Z190" s="1153"/>
      <c r="AC190" s="1370">
        <f t="shared" si="36"/>
        <v>0</v>
      </c>
      <c r="AD190" s="1373">
        <f t="shared" si="37"/>
        <v>0</v>
      </c>
      <c r="AE190" s="1371">
        <f t="shared" si="38"/>
        <v>0</v>
      </c>
      <c r="AF190" s="1359">
        <f>HLOOKUP($AF$11,anticipafreeliq,176,0)</f>
        <v>-8.4490555555555562E-4</v>
      </c>
      <c r="AH190" s="1360">
        <f>Free!AK245</f>
        <v>-8.4490555555555562E-4</v>
      </c>
    </row>
    <row r="191" spans="1:34">
      <c r="A191" s="1118">
        <f t="shared" ca="1" si="27"/>
        <v>11</v>
      </c>
      <c r="B191" s="1101">
        <f t="shared" si="28"/>
        <v>0</v>
      </c>
      <c r="C191" s="2149">
        <f t="shared" si="29"/>
        <v>0</v>
      </c>
      <c r="D191" s="2150">
        <f t="shared" si="39"/>
        <v>0</v>
      </c>
      <c r="E191" s="2145">
        <f t="shared" si="33"/>
        <v>0</v>
      </c>
      <c r="F191" s="2145">
        <f t="shared" si="30"/>
        <v>0</v>
      </c>
      <c r="G191" s="2145">
        <f t="shared" si="35"/>
        <v>0</v>
      </c>
      <c r="H191" s="2145">
        <f>IF(K190&lt;0.01,0,IF(Adm!$GS$4=Adm!$GS$8,0,IF(Adm!$GS$12="Pagados por el Banco",0,K190*Adm!$GV$4)))</f>
        <v>0</v>
      </c>
      <c r="I191" s="2145">
        <f>IF(K190&lt;0.01,0,E191*Adm!$O$8)</f>
        <v>0</v>
      </c>
      <c r="J191" s="2145">
        <f t="shared" si="31"/>
        <v>0</v>
      </c>
      <c r="K191" s="2145">
        <f t="shared" si="32"/>
        <v>0</v>
      </c>
      <c r="L191" s="2146"/>
      <c r="V191" s="1352">
        <f t="shared" si="34"/>
        <v>8</v>
      </c>
      <c r="W191" s="1433">
        <f>IF(V191=1,Cal!$BP$127,0)</f>
        <v>0</v>
      </c>
      <c r="X191" s="1367">
        <f>IF(V191=1,Adm!$HI$4,0)</f>
        <v>0</v>
      </c>
      <c r="Z191" s="1153"/>
      <c r="AC191" s="1370">
        <f t="shared" si="36"/>
        <v>0</v>
      </c>
      <c r="AD191" s="1373">
        <f t="shared" si="37"/>
        <v>0</v>
      </c>
      <c r="AE191" s="1371">
        <f t="shared" si="38"/>
        <v>0</v>
      </c>
      <c r="AF191" s="1359">
        <f>HLOOKUP($AF$11,anticipafreeliq,177,0)</f>
        <v>-8.4490555555555562E-4</v>
      </c>
      <c r="AH191" s="1360">
        <f>Free!AK246</f>
        <v>-8.4490555555555562E-4</v>
      </c>
    </row>
    <row r="192" spans="1:34">
      <c r="A192" s="1118">
        <f t="shared" ca="1" si="27"/>
        <v>12</v>
      </c>
      <c r="B192" s="1101">
        <f t="shared" si="28"/>
        <v>0</v>
      </c>
      <c r="C192" s="2149">
        <f t="shared" si="29"/>
        <v>0</v>
      </c>
      <c r="D192" s="2150">
        <f t="shared" si="39"/>
        <v>0</v>
      </c>
      <c r="E192" s="2145">
        <f t="shared" si="33"/>
        <v>0</v>
      </c>
      <c r="F192" s="2145">
        <f t="shared" si="30"/>
        <v>0</v>
      </c>
      <c r="G192" s="2145">
        <f t="shared" si="35"/>
        <v>0</v>
      </c>
      <c r="H192" s="2145">
        <f>IF(K191&lt;0.01,0,IF(Adm!$GS$4=Adm!$GS$8,0,IF(Adm!$GS$12="Pagados por el Banco",0,K191*Adm!$GV$4)))</f>
        <v>0</v>
      </c>
      <c r="I192" s="2145">
        <f>IF(K191&lt;0.01,0,E192*Adm!$O$8)</f>
        <v>0</v>
      </c>
      <c r="J192" s="2145">
        <f t="shared" si="31"/>
        <v>0</v>
      </c>
      <c r="K192" s="2145">
        <f t="shared" si="32"/>
        <v>0</v>
      </c>
      <c r="L192" s="2146"/>
      <c r="V192" s="1352">
        <f t="shared" si="34"/>
        <v>9</v>
      </c>
      <c r="W192" s="1433">
        <f>IF(V192=1,Cal!$BP$127,0)</f>
        <v>0</v>
      </c>
      <c r="X192" s="1367">
        <f>IF(V192=1,Adm!$HI$4,0)</f>
        <v>0</v>
      </c>
      <c r="Z192" s="1153"/>
      <c r="AC192" s="1370">
        <f t="shared" si="36"/>
        <v>0</v>
      </c>
      <c r="AD192" s="1373">
        <f t="shared" si="37"/>
        <v>0</v>
      </c>
      <c r="AE192" s="1371">
        <f t="shared" si="38"/>
        <v>0</v>
      </c>
      <c r="AF192" s="1359">
        <f>HLOOKUP($AF$11,anticipafreeliq,178,0)</f>
        <v>-8.4490555555555551E-4</v>
      </c>
      <c r="AH192" s="1360">
        <f>Free!AK247</f>
        <v>-8.4490555555555551E-4</v>
      </c>
    </row>
    <row r="193" spans="1:34">
      <c r="A193" s="1118">
        <f t="shared" ca="1" si="27"/>
        <v>1</v>
      </c>
      <c r="B193" s="1101">
        <f t="shared" si="28"/>
        <v>0</v>
      </c>
      <c r="C193" s="2149">
        <f t="shared" si="29"/>
        <v>0</v>
      </c>
      <c r="D193" s="2150">
        <f t="shared" si="39"/>
        <v>0</v>
      </c>
      <c r="E193" s="2145">
        <f t="shared" si="33"/>
        <v>0</v>
      </c>
      <c r="F193" s="2145">
        <f t="shared" si="30"/>
        <v>0</v>
      </c>
      <c r="G193" s="2145">
        <f t="shared" si="35"/>
        <v>0</v>
      </c>
      <c r="H193" s="2145">
        <f>IF(K192&lt;0.01,0,IF(Adm!$GS$4=Adm!$GS$8,0,IF(Adm!$GS$12="Pagados por el Banco",0,K192*Adm!$GV$4)))</f>
        <v>0</v>
      </c>
      <c r="I193" s="2145">
        <f>IF(K192&lt;0.01,0,E193*Adm!$O$8)</f>
        <v>0</v>
      </c>
      <c r="J193" s="2145">
        <f t="shared" si="31"/>
        <v>0</v>
      </c>
      <c r="K193" s="2145">
        <f t="shared" si="32"/>
        <v>0</v>
      </c>
      <c r="L193" s="2146"/>
      <c r="V193" s="1352">
        <f t="shared" si="34"/>
        <v>10</v>
      </c>
      <c r="W193" s="1433">
        <f>IF(V193=1,Cal!$BP$127,0)</f>
        <v>0</v>
      </c>
      <c r="X193" s="1367">
        <f>IF(V193=1,Adm!$HI$4,0)</f>
        <v>0</v>
      </c>
      <c r="Z193" s="1153"/>
      <c r="AC193" s="1370">
        <f t="shared" si="36"/>
        <v>0</v>
      </c>
      <c r="AD193" s="1373">
        <f t="shared" si="37"/>
        <v>0</v>
      </c>
      <c r="AE193" s="1371">
        <f t="shared" si="38"/>
        <v>0</v>
      </c>
      <c r="AF193" s="1359">
        <f>HLOOKUP($AF$11,anticipafreeliq,179,0)</f>
        <v>-8.4490555555555562E-4</v>
      </c>
      <c r="AH193" s="1360">
        <f>Free!AK248</f>
        <v>-8.4490555555555562E-4</v>
      </c>
    </row>
    <row r="194" spans="1:34">
      <c r="A194" s="1118">
        <f t="shared" ca="1" si="27"/>
        <v>2</v>
      </c>
      <c r="B194" s="1101">
        <f t="shared" si="28"/>
        <v>0</v>
      </c>
      <c r="C194" s="2149">
        <f t="shared" si="29"/>
        <v>0</v>
      </c>
      <c r="D194" s="2150">
        <f t="shared" si="39"/>
        <v>0</v>
      </c>
      <c r="E194" s="2145">
        <f t="shared" si="33"/>
        <v>0</v>
      </c>
      <c r="F194" s="2145">
        <f t="shared" si="30"/>
        <v>0</v>
      </c>
      <c r="G194" s="2145">
        <f t="shared" si="35"/>
        <v>0</v>
      </c>
      <c r="H194" s="2145">
        <f>IF(K193&lt;0.01,0,IF(Adm!$GS$4=Adm!$GS$8,0,IF(Adm!$GS$12="Pagados por el Banco",0,K193*Adm!$GV$4)))</f>
        <v>0</v>
      </c>
      <c r="I194" s="2145">
        <f>IF(K193&lt;0.01,0,E194*Adm!$O$8)</f>
        <v>0</v>
      </c>
      <c r="J194" s="2145">
        <f t="shared" si="31"/>
        <v>0</v>
      </c>
      <c r="K194" s="2145">
        <f t="shared" si="32"/>
        <v>0</v>
      </c>
      <c r="L194" s="2146"/>
      <c r="V194" s="1352">
        <f t="shared" si="34"/>
        <v>11</v>
      </c>
      <c r="W194" s="1433">
        <f>IF(V194=1,Cal!$BP$127,0)</f>
        <v>0</v>
      </c>
      <c r="X194" s="1367">
        <f>IF(V194=1,Adm!$HI$4,0)</f>
        <v>0</v>
      </c>
      <c r="Z194" s="1153"/>
      <c r="AC194" s="1370">
        <f t="shared" si="36"/>
        <v>0</v>
      </c>
      <c r="AD194" s="1373">
        <f t="shared" si="37"/>
        <v>0</v>
      </c>
      <c r="AE194" s="1371">
        <f t="shared" si="38"/>
        <v>0</v>
      </c>
      <c r="AF194" s="1359">
        <f>HLOOKUP($AF$11,anticipafreeliq,180,0)</f>
        <v>-8.4490555555555551E-4</v>
      </c>
      <c r="AH194" s="1360">
        <f>Free!AK249</f>
        <v>-8.4490555555555551E-4</v>
      </c>
    </row>
    <row r="195" spans="1:34">
      <c r="A195" s="1118">
        <f t="shared" ca="1" si="27"/>
        <v>3</v>
      </c>
      <c r="B195" s="1101">
        <f t="shared" si="28"/>
        <v>0</v>
      </c>
      <c r="C195" s="2149">
        <f t="shared" si="29"/>
        <v>0</v>
      </c>
      <c r="D195" s="2150">
        <f t="shared" si="39"/>
        <v>0</v>
      </c>
      <c r="E195" s="2145">
        <f t="shared" si="33"/>
        <v>0</v>
      </c>
      <c r="F195" s="2145">
        <f t="shared" si="30"/>
        <v>0</v>
      </c>
      <c r="G195" s="2145">
        <f t="shared" si="35"/>
        <v>0</v>
      </c>
      <c r="H195" s="2145">
        <f>IF(K194&lt;0.01,0,IF(Adm!$GS$4=Adm!$GS$8,0,IF(Adm!$GS$12="Pagados por el Banco",0,K194*Adm!$GV$4)))</f>
        <v>0</v>
      </c>
      <c r="I195" s="2145">
        <f>IF(K194&lt;0.01,0,E195*Adm!$O$8)</f>
        <v>0</v>
      </c>
      <c r="J195" s="2145">
        <f t="shared" si="31"/>
        <v>0</v>
      </c>
      <c r="K195" s="2145">
        <f t="shared" si="32"/>
        <v>0</v>
      </c>
      <c r="L195" s="2146"/>
      <c r="V195" s="1352">
        <f t="shared" si="34"/>
        <v>12</v>
      </c>
      <c r="W195" s="1433">
        <f>IF(V195=1,Cal!$BP$127,0)</f>
        <v>0</v>
      </c>
      <c r="X195" s="1367">
        <f>IF(V195=1,Adm!$HI$4,0)</f>
        <v>0</v>
      </c>
      <c r="Z195" s="1153"/>
      <c r="AC195" s="1370">
        <f t="shared" si="36"/>
        <v>0</v>
      </c>
      <c r="AD195" s="1373">
        <f t="shared" si="37"/>
        <v>0</v>
      </c>
      <c r="AE195" s="1371">
        <f t="shared" si="38"/>
        <v>0</v>
      </c>
      <c r="AF195" s="1359">
        <f>HLOOKUP($AF$11,anticipafreeliq,181,0)</f>
        <v>-8.4490555555555551E-4</v>
      </c>
      <c r="AH195" s="1360">
        <f>Free!AK250</f>
        <v>-8.4490555555555551E-4</v>
      </c>
    </row>
    <row r="196" spans="1:34">
      <c r="A196" s="1118">
        <f t="shared" ca="1" si="27"/>
        <v>4</v>
      </c>
      <c r="B196" s="1101">
        <f t="shared" si="28"/>
        <v>0</v>
      </c>
      <c r="C196" s="2149">
        <f t="shared" si="29"/>
        <v>0</v>
      </c>
      <c r="D196" s="2150">
        <f t="shared" si="39"/>
        <v>0</v>
      </c>
      <c r="E196" s="2145">
        <f t="shared" si="33"/>
        <v>0</v>
      </c>
      <c r="F196" s="2145">
        <f t="shared" si="30"/>
        <v>0</v>
      </c>
      <c r="G196" s="2145">
        <f t="shared" si="35"/>
        <v>0</v>
      </c>
      <c r="H196" s="2145">
        <f>IF(K195&lt;0.01,0,IF(Adm!$GS$4=Adm!$GS$8,0,IF(Adm!$GS$12="Pagados por el Banco",0,K195*Adm!$GV$4)))</f>
        <v>0</v>
      </c>
      <c r="I196" s="2145">
        <f>IF(K195&lt;0.01,0,E196*Adm!$O$8)</f>
        <v>0</v>
      </c>
      <c r="J196" s="2145">
        <f t="shared" si="31"/>
        <v>0</v>
      </c>
      <c r="K196" s="2145">
        <f t="shared" si="32"/>
        <v>0</v>
      </c>
      <c r="L196" s="2146"/>
      <c r="V196" s="1352">
        <f t="shared" si="34"/>
        <v>1</v>
      </c>
      <c r="W196" s="1433">
        <f>IF(V196=1,Cal!$BP$127,0)</f>
        <v>0</v>
      </c>
      <c r="X196" s="1367">
        <f>IF(V196=1,Adm!$HI$4,0)</f>
        <v>2.5000000000000001E-3</v>
      </c>
      <c r="Z196" s="1153"/>
      <c r="AC196" s="1370">
        <f t="shared" si="36"/>
        <v>0</v>
      </c>
      <c r="AD196" s="1373">
        <f t="shared" si="37"/>
        <v>0</v>
      </c>
      <c r="AE196" s="1371">
        <f t="shared" si="38"/>
        <v>0</v>
      </c>
      <c r="AF196" s="1359">
        <f>HLOOKUP($AF$11,anticipafreeliq,182,0)</f>
        <v>-8.4490555555555551E-4</v>
      </c>
      <c r="AH196" s="1360">
        <f>Free!AK251</f>
        <v>-8.4490555555555551E-4</v>
      </c>
    </row>
    <row r="197" spans="1:34">
      <c r="A197" s="1118">
        <f t="shared" ca="1" si="27"/>
        <v>5</v>
      </c>
      <c r="B197" s="1101">
        <f t="shared" si="28"/>
        <v>0</v>
      </c>
      <c r="C197" s="2149">
        <f t="shared" si="29"/>
        <v>0</v>
      </c>
      <c r="D197" s="2150">
        <f t="shared" si="39"/>
        <v>0</v>
      </c>
      <c r="E197" s="2145">
        <f t="shared" si="33"/>
        <v>0</v>
      </c>
      <c r="F197" s="2145">
        <f t="shared" si="30"/>
        <v>0</v>
      </c>
      <c r="G197" s="2145">
        <f t="shared" si="35"/>
        <v>0</v>
      </c>
      <c r="H197" s="2145">
        <f>IF(K196&lt;0.01,0,IF(Adm!$GS$4=Adm!$GS$8,0,IF(Adm!$GS$12="Pagados por el Banco",0,K196*Adm!$GV$4)))</f>
        <v>0</v>
      </c>
      <c r="I197" s="2145">
        <f>IF(K196&lt;0.01,0,E197*Adm!$O$8)</f>
        <v>0</v>
      </c>
      <c r="J197" s="2145">
        <f t="shared" si="31"/>
        <v>0</v>
      </c>
      <c r="K197" s="2145">
        <f t="shared" si="32"/>
        <v>0</v>
      </c>
      <c r="L197" s="2146"/>
      <c r="V197" s="1352">
        <f t="shared" si="34"/>
        <v>2</v>
      </c>
      <c r="W197" s="1433">
        <f>IF(V197=1,Cal!$BP$127,0)</f>
        <v>0</v>
      </c>
      <c r="X197" s="1367">
        <f>IF(V197=1,Adm!$HI$4,0)</f>
        <v>0</v>
      </c>
      <c r="Z197" s="1153"/>
      <c r="AC197" s="1370">
        <f t="shared" si="36"/>
        <v>0</v>
      </c>
      <c r="AD197" s="1373">
        <f t="shared" si="37"/>
        <v>0</v>
      </c>
      <c r="AE197" s="1371">
        <f t="shared" si="38"/>
        <v>0</v>
      </c>
      <c r="AF197" s="1359">
        <f>HLOOKUP($AF$11,anticipafreeliq,183,0)</f>
        <v>-8.4490555555555551E-4</v>
      </c>
      <c r="AH197" s="1360">
        <f>Free!AK252</f>
        <v>-8.4490555555555551E-4</v>
      </c>
    </row>
    <row r="198" spans="1:34">
      <c r="A198" s="1118">
        <f t="shared" ca="1" si="27"/>
        <v>6</v>
      </c>
      <c r="B198" s="1101">
        <f t="shared" si="28"/>
        <v>0</v>
      </c>
      <c r="C198" s="2149">
        <f t="shared" si="29"/>
        <v>0</v>
      </c>
      <c r="D198" s="2150">
        <f t="shared" si="39"/>
        <v>0</v>
      </c>
      <c r="E198" s="2145">
        <f t="shared" si="33"/>
        <v>0</v>
      </c>
      <c r="F198" s="2145">
        <f t="shared" si="30"/>
        <v>0</v>
      </c>
      <c r="G198" s="2145">
        <f t="shared" si="35"/>
        <v>0</v>
      </c>
      <c r="H198" s="2145">
        <f>IF(K197&lt;0.01,0,IF(Adm!$GS$4=Adm!$GS$8,0,IF(Adm!$GS$12="Pagados por el Banco",0,K197*Adm!$GV$4)))</f>
        <v>0</v>
      </c>
      <c r="I198" s="2145">
        <f>IF(K197&lt;0.01,0,E198*Adm!$O$8)</f>
        <v>0</v>
      </c>
      <c r="J198" s="2145">
        <f t="shared" si="31"/>
        <v>0</v>
      </c>
      <c r="K198" s="2145">
        <f t="shared" si="32"/>
        <v>0</v>
      </c>
      <c r="L198" s="2146"/>
      <c r="V198" s="1352">
        <f t="shared" si="34"/>
        <v>3</v>
      </c>
      <c r="W198" s="1433">
        <f>IF(V198=1,Cal!$BP$127,0)</f>
        <v>0</v>
      </c>
      <c r="X198" s="1367">
        <f>IF(V198=1,Adm!$HI$4,0)</f>
        <v>0</v>
      </c>
      <c r="Z198" s="1153"/>
      <c r="AC198" s="1370">
        <f t="shared" si="36"/>
        <v>0</v>
      </c>
      <c r="AD198" s="1373">
        <f t="shared" si="37"/>
        <v>0</v>
      </c>
      <c r="AE198" s="1371">
        <f t="shared" si="38"/>
        <v>0</v>
      </c>
      <c r="AF198" s="1359">
        <f>HLOOKUP($AF$11,anticipafreeliq,184,0)</f>
        <v>-8.4490555555555541E-4</v>
      </c>
      <c r="AH198" s="1360">
        <f>Free!AK253</f>
        <v>-8.4490555555555541E-4</v>
      </c>
    </row>
    <row r="199" spans="1:34">
      <c r="A199" s="1118">
        <f t="shared" ca="1" si="27"/>
        <v>7</v>
      </c>
      <c r="B199" s="1101">
        <f t="shared" si="28"/>
        <v>0</v>
      </c>
      <c r="C199" s="2149">
        <f t="shared" si="29"/>
        <v>0</v>
      </c>
      <c r="D199" s="2150">
        <f t="shared" si="39"/>
        <v>0</v>
      </c>
      <c r="E199" s="2145">
        <f t="shared" si="33"/>
        <v>0</v>
      </c>
      <c r="F199" s="2145">
        <f t="shared" si="30"/>
        <v>0</v>
      </c>
      <c r="G199" s="2145">
        <f t="shared" si="35"/>
        <v>0</v>
      </c>
      <c r="H199" s="2145">
        <f>IF(K198&lt;0.01,0,IF(Adm!$GS$4=Adm!$GS$8,0,IF(Adm!$GS$12="Pagados por el Banco",0,K198*Adm!$GV$4)))</f>
        <v>0</v>
      </c>
      <c r="I199" s="2145">
        <f>IF(K198&lt;0.01,0,E199*Adm!$O$8)</f>
        <v>0</v>
      </c>
      <c r="J199" s="2145">
        <f t="shared" si="31"/>
        <v>0</v>
      </c>
      <c r="K199" s="2145">
        <f t="shared" si="32"/>
        <v>0</v>
      </c>
      <c r="L199" s="2146"/>
      <c r="V199" s="1352">
        <f t="shared" si="34"/>
        <v>4</v>
      </c>
      <c r="W199" s="1433">
        <f>IF(V199=1,Cal!$BP$127,0)</f>
        <v>0</v>
      </c>
      <c r="X199" s="1367">
        <f>IF(V199=1,Adm!$HI$4,0)</f>
        <v>0</v>
      </c>
      <c r="Z199" s="1153"/>
      <c r="AC199" s="1370">
        <f t="shared" si="36"/>
        <v>0</v>
      </c>
      <c r="AD199" s="1373">
        <f t="shared" si="37"/>
        <v>0</v>
      </c>
      <c r="AE199" s="1371">
        <f t="shared" si="38"/>
        <v>0</v>
      </c>
      <c r="AF199" s="1359">
        <f>HLOOKUP($AF$11,anticipafreeliq,185,0)</f>
        <v>-8.4490555555555562E-4</v>
      </c>
      <c r="AH199" s="1360">
        <f>Free!AK254</f>
        <v>-8.4490555555555562E-4</v>
      </c>
    </row>
    <row r="200" spans="1:34">
      <c r="A200" s="1118">
        <f t="shared" ca="1" si="27"/>
        <v>8</v>
      </c>
      <c r="B200" s="1101">
        <f t="shared" si="28"/>
        <v>0</v>
      </c>
      <c r="C200" s="2149">
        <f t="shared" si="29"/>
        <v>0</v>
      </c>
      <c r="D200" s="2150">
        <f t="shared" si="39"/>
        <v>0</v>
      </c>
      <c r="E200" s="2145">
        <f t="shared" si="33"/>
        <v>0</v>
      </c>
      <c r="F200" s="2145">
        <f t="shared" si="30"/>
        <v>0</v>
      </c>
      <c r="G200" s="2145">
        <f t="shared" si="35"/>
        <v>0</v>
      </c>
      <c r="H200" s="2145">
        <f>IF(K199&lt;0.01,0,IF(Adm!$GS$4=Adm!$GS$8,0,IF(Adm!$GS$12="Pagados por el Banco",0,K199*Adm!$GV$4)))</f>
        <v>0</v>
      </c>
      <c r="I200" s="2145">
        <f>IF(K199&lt;0.01,0,E200*Adm!$O$8)</f>
        <v>0</v>
      </c>
      <c r="J200" s="2145">
        <f t="shared" si="31"/>
        <v>0</v>
      </c>
      <c r="K200" s="2145">
        <f t="shared" si="32"/>
        <v>0</v>
      </c>
      <c r="L200" s="2146"/>
      <c r="V200" s="1352">
        <f t="shared" si="34"/>
        <v>5</v>
      </c>
      <c r="W200" s="1433">
        <f>IF(V200=1,Cal!$BP$127,0)</f>
        <v>0</v>
      </c>
      <c r="X200" s="1367">
        <f>IF(V200=1,Adm!$HI$4,0)</f>
        <v>0</v>
      </c>
      <c r="Z200" s="1153"/>
      <c r="AC200" s="1370">
        <f t="shared" si="36"/>
        <v>0</v>
      </c>
      <c r="AD200" s="1373">
        <f t="shared" si="37"/>
        <v>0</v>
      </c>
      <c r="AE200" s="1371">
        <f t="shared" si="38"/>
        <v>0</v>
      </c>
      <c r="AF200" s="1359">
        <f>HLOOKUP($AF$11,anticipafreeliq,186,0)</f>
        <v>-8.4490555555555551E-4</v>
      </c>
      <c r="AH200" s="1360">
        <f>Free!AK255</f>
        <v>-8.4490555555555551E-4</v>
      </c>
    </row>
    <row r="201" spans="1:34">
      <c r="A201" s="1118">
        <f t="shared" ca="1" si="27"/>
        <v>9</v>
      </c>
      <c r="B201" s="1101">
        <f t="shared" si="28"/>
        <v>0</v>
      </c>
      <c r="C201" s="2149">
        <f t="shared" si="29"/>
        <v>0</v>
      </c>
      <c r="D201" s="2150">
        <f t="shared" si="39"/>
        <v>0</v>
      </c>
      <c r="E201" s="2145">
        <f t="shared" si="33"/>
        <v>0</v>
      </c>
      <c r="F201" s="2145">
        <f t="shared" si="30"/>
        <v>0</v>
      </c>
      <c r="G201" s="2145">
        <f t="shared" si="35"/>
        <v>0</v>
      </c>
      <c r="H201" s="2145">
        <f>IF(K200&lt;0.01,0,IF(Adm!$GS$4=Adm!$GS$8,0,IF(Adm!$GS$12="Pagados por el Banco",0,K200*Adm!$GV$4)))</f>
        <v>0</v>
      </c>
      <c r="I201" s="2145">
        <f>IF(K200&lt;0.01,0,E201*Adm!$O$8)</f>
        <v>0</v>
      </c>
      <c r="J201" s="2145">
        <f t="shared" si="31"/>
        <v>0</v>
      </c>
      <c r="K201" s="2145">
        <f t="shared" si="32"/>
        <v>0</v>
      </c>
      <c r="L201" s="2146"/>
      <c r="V201" s="1352">
        <f t="shared" si="34"/>
        <v>6</v>
      </c>
      <c r="W201" s="1433">
        <f>IF(V201=1,Cal!$BP$127,0)</f>
        <v>0</v>
      </c>
      <c r="X201" s="1367">
        <f>IF(V201=1,Adm!$HI$4,0)</f>
        <v>0</v>
      </c>
      <c r="Z201" s="1153"/>
      <c r="AC201" s="1370">
        <f t="shared" si="36"/>
        <v>0</v>
      </c>
      <c r="AD201" s="1373">
        <f t="shared" si="37"/>
        <v>0</v>
      </c>
      <c r="AE201" s="1371">
        <f t="shared" si="38"/>
        <v>0</v>
      </c>
      <c r="AF201" s="1359">
        <f>HLOOKUP($AF$11,anticipafreeliq,187,0)</f>
        <v>-8.4490555555555551E-4</v>
      </c>
      <c r="AH201" s="1360">
        <f>Free!AK256</f>
        <v>-8.4490555555555551E-4</v>
      </c>
    </row>
    <row r="202" spans="1:34">
      <c r="A202" s="1118">
        <f t="shared" ca="1" si="27"/>
        <v>10</v>
      </c>
      <c r="B202" s="1101">
        <f t="shared" si="28"/>
        <v>0</v>
      </c>
      <c r="C202" s="2149">
        <f t="shared" si="29"/>
        <v>0</v>
      </c>
      <c r="D202" s="2150">
        <f t="shared" si="39"/>
        <v>0</v>
      </c>
      <c r="E202" s="2145">
        <f t="shared" si="33"/>
        <v>0</v>
      </c>
      <c r="F202" s="2145">
        <f t="shared" si="30"/>
        <v>0</v>
      </c>
      <c r="G202" s="2145">
        <f t="shared" si="35"/>
        <v>0</v>
      </c>
      <c r="H202" s="2145">
        <f>IF(K201&lt;0.01,0,IF(Adm!$GS$4=Adm!$GS$8,0,IF(Adm!$GS$12="Pagados por el Banco",0,K201*Adm!$GV$4)))</f>
        <v>0</v>
      </c>
      <c r="I202" s="2145">
        <f>IF(K201&lt;0.01,0,E202*Adm!$O$8)</f>
        <v>0</v>
      </c>
      <c r="J202" s="2145">
        <f t="shared" si="31"/>
        <v>0</v>
      </c>
      <c r="K202" s="2145">
        <f t="shared" si="32"/>
        <v>0</v>
      </c>
      <c r="L202" s="2146"/>
      <c r="V202" s="1352">
        <f t="shared" si="34"/>
        <v>7</v>
      </c>
      <c r="W202" s="1433">
        <f>IF(V202=1,Cal!$BP$127,0)</f>
        <v>0</v>
      </c>
      <c r="X202" s="1367">
        <f>IF(V202=1,Adm!$HI$4,0)</f>
        <v>0</v>
      </c>
      <c r="Z202" s="1153"/>
      <c r="AC202" s="1370">
        <f t="shared" si="36"/>
        <v>0</v>
      </c>
      <c r="AD202" s="1373">
        <f t="shared" si="37"/>
        <v>0</v>
      </c>
      <c r="AE202" s="1371">
        <f t="shared" si="38"/>
        <v>0</v>
      </c>
      <c r="AF202" s="1359">
        <f>HLOOKUP($AF$11,anticipafreeliq,188,0)</f>
        <v>-8.4490555555555562E-4</v>
      </c>
      <c r="AH202" s="1360">
        <f>Free!AK257</f>
        <v>-8.4490555555555562E-4</v>
      </c>
    </row>
    <row r="203" spans="1:34">
      <c r="A203" s="1118">
        <f t="shared" ca="1" si="27"/>
        <v>11</v>
      </c>
      <c r="B203" s="1101">
        <f t="shared" si="28"/>
        <v>0</v>
      </c>
      <c r="C203" s="2149">
        <f t="shared" si="29"/>
        <v>0</v>
      </c>
      <c r="D203" s="2150">
        <f t="shared" si="39"/>
        <v>0</v>
      </c>
      <c r="E203" s="2145">
        <f t="shared" si="33"/>
        <v>0</v>
      </c>
      <c r="F203" s="2145">
        <f t="shared" si="30"/>
        <v>0</v>
      </c>
      <c r="G203" s="2145">
        <f t="shared" si="35"/>
        <v>0</v>
      </c>
      <c r="H203" s="2145">
        <f>IF(K202&lt;0.01,0,IF(Adm!$GS$4=Adm!$GS$8,0,IF(Adm!$GS$12="Pagados por el Banco",0,K202*Adm!$GV$4)))</f>
        <v>0</v>
      </c>
      <c r="I203" s="2145">
        <f>IF(K202&lt;0.01,0,E203*Adm!$O$8)</f>
        <v>0</v>
      </c>
      <c r="J203" s="2145">
        <f t="shared" si="31"/>
        <v>0</v>
      </c>
      <c r="K203" s="2145">
        <f t="shared" si="32"/>
        <v>0</v>
      </c>
      <c r="L203" s="2146"/>
      <c r="V203" s="1352">
        <f t="shared" si="34"/>
        <v>8</v>
      </c>
      <c r="W203" s="1433">
        <f>IF(V203=1,Cal!$BP$127,0)</f>
        <v>0</v>
      </c>
      <c r="X203" s="1367">
        <f>IF(V203=1,Adm!$HI$4,0)</f>
        <v>0</v>
      </c>
      <c r="Z203" s="1153"/>
      <c r="AC203" s="1370">
        <f t="shared" si="36"/>
        <v>0</v>
      </c>
      <c r="AD203" s="1373">
        <f t="shared" si="37"/>
        <v>0</v>
      </c>
      <c r="AE203" s="1371">
        <f t="shared" si="38"/>
        <v>0</v>
      </c>
      <c r="AF203" s="1359">
        <f>HLOOKUP($AF$11,anticipafreeliq,189,0)</f>
        <v>-8.4490555555555551E-4</v>
      </c>
      <c r="AH203" s="1360">
        <f>Free!AK258</f>
        <v>-8.4490555555555551E-4</v>
      </c>
    </row>
    <row r="204" spans="1:34">
      <c r="A204" s="1118">
        <f t="shared" ca="1" si="27"/>
        <v>12</v>
      </c>
      <c r="B204" s="1101">
        <f t="shared" si="28"/>
        <v>0</v>
      </c>
      <c r="C204" s="2149">
        <f t="shared" si="29"/>
        <v>0</v>
      </c>
      <c r="D204" s="2150">
        <f t="shared" si="39"/>
        <v>0</v>
      </c>
      <c r="E204" s="2145">
        <f t="shared" si="33"/>
        <v>0</v>
      </c>
      <c r="F204" s="2145">
        <f t="shared" si="30"/>
        <v>0</v>
      </c>
      <c r="G204" s="2145">
        <f t="shared" si="35"/>
        <v>0</v>
      </c>
      <c r="H204" s="2145">
        <f>IF(K203&lt;0.01,0,IF(Adm!$GS$4=Adm!$GS$8,0,IF(Adm!$GS$12="Pagados por el Banco",0,K203*Adm!$GV$4)))</f>
        <v>0</v>
      </c>
      <c r="I204" s="2145">
        <f>IF(K203&lt;0.01,0,E204*Adm!$O$8)</f>
        <v>0</v>
      </c>
      <c r="J204" s="2145">
        <f t="shared" si="31"/>
        <v>0</v>
      </c>
      <c r="K204" s="2145">
        <f t="shared" si="32"/>
        <v>0</v>
      </c>
      <c r="L204" s="2146"/>
      <c r="V204" s="1352">
        <f t="shared" si="34"/>
        <v>9</v>
      </c>
      <c r="W204" s="1433">
        <f>IF(V204=1,Cal!$BP$127,0)</f>
        <v>0</v>
      </c>
      <c r="X204" s="1367">
        <f>IF(V204=1,Adm!$HI$4,0)</f>
        <v>0</v>
      </c>
      <c r="Z204" s="1153"/>
      <c r="AC204" s="1370">
        <f t="shared" si="36"/>
        <v>0</v>
      </c>
      <c r="AD204" s="1373">
        <f t="shared" si="37"/>
        <v>0</v>
      </c>
      <c r="AE204" s="1371">
        <f t="shared" si="38"/>
        <v>0</v>
      </c>
      <c r="AF204" s="1359">
        <f>HLOOKUP($AF$11,anticipafreeliq,190,0)</f>
        <v>-8.4490555555555551E-4</v>
      </c>
      <c r="AH204" s="1360">
        <f>Free!AK259</f>
        <v>-8.4490555555555551E-4</v>
      </c>
    </row>
    <row r="205" spans="1:34">
      <c r="A205" s="1118">
        <f t="shared" ca="1" si="27"/>
        <v>1</v>
      </c>
      <c r="B205" s="1101">
        <f t="shared" si="28"/>
        <v>0</v>
      </c>
      <c r="C205" s="2149">
        <f t="shared" si="29"/>
        <v>0</v>
      </c>
      <c r="D205" s="2150">
        <f t="shared" si="39"/>
        <v>0</v>
      </c>
      <c r="E205" s="2145">
        <f t="shared" si="33"/>
        <v>0</v>
      </c>
      <c r="F205" s="2145">
        <f t="shared" si="30"/>
        <v>0</v>
      </c>
      <c r="G205" s="2145">
        <f t="shared" si="35"/>
        <v>0</v>
      </c>
      <c r="H205" s="2145">
        <f>IF(K204&lt;0.01,0,IF(Adm!$GS$4=Adm!$GS$8,0,IF(Adm!$GS$12="Pagados por el Banco",0,K204*Adm!$GV$4)))</f>
        <v>0</v>
      </c>
      <c r="I205" s="2145">
        <f>IF(K204&lt;0.01,0,E205*Adm!$O$8)</f>
        <v>0</v>
      </c>
      <c r="J205" s="2145">
        <f t="shared" si="31"/>
        <v>0</v>
      </c>
      <c r="K205" s="2145">
        <f t="shared" si="32"/>
        <v>0</v>
      </c>
      <c r="L205" s="2146"/>
      <c r="V205" s="1352">
        <f t="shared" si="34"/>
        <v>10</v>
      </c>
      <c r="W205" s="1433">
        <f>IF(V205=1,Cal!$BP$127,0)</f>
        <v>0</v>
      </c>
      <c r="X205" s="1367">
        <f>IF(V205=1,Adm!$HI$4,0)</f>
        <v>0</v>
      </c>
      <c r="Z205" s="1153"/>
      <c r="AC205" s="1370">
        <f t="shared" si="36"/>
        <v>0</v>
      </c>
      <c r="AD205" s="1373">
        <f t="shared" si="37"/>
        <v>0</v>
      </c>
      <c r="AE205" s="1371">
        <f t="shared" si="38"/>
        <v>0</v>
      </c>
      <c r="AF205" s="1359">
        <f>HLOOKUP($AF$11,anticipafreeliq,191,0)</f>
        <v>-8.4490555555555562E-4</v>
      </c>
      <c r="AH205" s="1360">
        <f>Free!AK260</f>
        <v>-8.4490555555555562E-4</v>
      </c>
    </row>
    <row r="206" spans="1:34">
      <c r="A206" s="1118">
        <f t="shared" ca="1" si="27"/>
        <v>2</v>
      </c>
      <c r="B206" s="1101">
        <f t="shared" si="28"/>
        <v>0</v>
      </c>
      <c r="C206" s="2149">
        <f t="shared" si="29"/>
        <v>0</v>
      </c>
      <c r="D206" s="2150">
        <f t="shared" si="39"/>
        <v>0</v>
      </c>
      <c r="E206" s="2145">
        <f t="shared" si="33"/>
        <v>0</v>
      </c>
      <c r="F206" s="2145">
        <f t="shared" si="30"/>
        <v>0</v>
      </c>
      <c r="G206" s="2145">
        <f t="shared" si="35"/>
        <v>0</v>
      </c>
      <c r="H206" s="2145">
        <f>IF(K205&lt;0.01,0,IF(Adm!$GS$4=Adm!$GS$8,0,IF(Adm!$GS$12="Pagados por el Banco",0,K205*Adm!$GV$4)))</f>
        <v>0</v>
      </c>
      <c r="I206" s="2145">
        <f>IF(K205&lt;0.01,0,E206*Adm!$O$8)</f>
        <v>0</v>
      </c>
      <c r="J206" s="2145">
        <f t="shared" si="31"/>
        <v>0</v>
      </c>
      <c r="K206" s="2145">
        <f t="shared" si="32"/>
        <v>0</v>
      </c>
      <c r="L206" s="2146"/>
      <c r="V206" s="1352">
        <f t="shared" si="34"/>
        <v>11</v>
      </c>
      <c r="W206" s="1433">
        <f>IF(V206=1,Cal!$BP$127,0)</f>
        <v>0</v>
      </c>
      <c r="X206" s="1367">
        <f>IF(V206=1,Adm!$HI$4,0)</f>
        <v>0</v>
      </c>
      <c r="Z206" s="1153"/>
      <c r="AC206" s="1370">
        <f t="shared" si="36"/>
        <v>0</v>
      </c>
      <c r="AD206" s="1373">
        <f t="shared" si="37"/>
        <v>0</v>
      </c>
      <c r="AE206" s="1371">
        <f t="shared" si="38"/>
        <v>0</v>
      </c>
      <c r="AF206" s="1359">
        <f>HLOOKUP($AF$11,anticipafreeliq,192,0)</f>
        <v>-8.4490555555555562E-4</v>
      </c>
      <c r="AH206" s="1360">
        <f>Free!AK261</f>
        <v>-8.4490555555555562E-4</v>
      </c>
    </row>
    <row r="207" spans="1:34">
      <c r="A207" s="1118">
        <f t="shared" ca="1" si="27"/>
        <v>3</v>
      </c>
      <c r="B207" s="1101">
        <f t="shared" si="28"/>
        <v>0</v>
      </c>
      <c r="C207" s="2149">
        <f t="shared" si="29"/>
        <v>0</v>
      </c>
      <c r="D207" s="2150">
        <f t="shared" si="39"/>
        <v>0</v>
      </c>
      <c r="E207" s="2145">
        <f t="shared" si="33"/>
        <v>0</v>
      </c>
      <c r="F207" s="2145">
        <f t="shared" si="30"/>
        <v>0</v>
      </c>
      <c r="G207" s="2145">
        <f t="shared" si="35"/>
        <v>0</v>
      </c>
      <c r="H207" s="2145">
        <f>IF(K206&lt;0.01,0,IF(Adm!$GS$4=Adm!$GS$8,0,IF(Adm!$GS$12="Pagados por el Banco",0,K206*Adm!$GV$4)))</f>
        <v>0</v>
      </c>
      <c r="I207" s="2145">
        <f>IF(K206&lt;0.01,0,E207*Adm!$O$8)</f>
        <v>0</v>
      </c>
      <c r="J207" s="2145">
        <f t="shared" si="31"/>
        <v>0</v>
      </c>
      <c r="K207" s="2145">
        <f t="shared" si="32"/>
        <v>0</v>
      </c>
      <c r="L207" s="2146"/>
      <c r="V207" s="1352">
        <f t="shared" si="34"/>
        <v>12</v>
      </c>
      <c r="W207" s="1433">
        <f>IF(V207=1,Cal!$BP$127,0)</f>
        <v>0</v>
      </c>
      <c r="X207" s="1367">
        <f>IF(V207=1,Adm!$HI$4,0)</f>
        <v>0</v>
      </c>
      <c r="Z207" s="1153"/>
      <c r="AC207" s="1370">
        <f t="shared" si="36"/>
        <v>0</v>
      </c>
      <c r="AD207" s="1373">
        <f t="shared" si="37"/>
        <v>0</v>
      </c>
      <c r="AE207" s="1371">
        <f t="shared" si="38"/>
        <v>0</v>
      </c>
      <c r="AF207" s="1359">
        <f>HLOOKUP($AF$11,anticipafreeliq,193,0)</f>
        <v>-8.4490555555555562E-4</v>
      </c>
      <c r="AH207" s="1360">
        <f>Free!AK262</f>
        <v>-8.4490555555555562E-4</v>
      </c>
    </row>
    <row r="208" spans="1:34">
      <c r="A208" s="1118">
        <f t="shared" ref="A208:A255" ca="1" si="40">IF(A207=12,1,A207+1)</f>
        <v>4</v>
      </c>
      <c r="B208" s="1101">
        <f t="shared" ref="B208:B255" si="41">IF(K207&lt;0.01,0,B207-1)</f>
        <v>0</v>
      </c>
      <c r="C208" s="2149">
        <f t="shared" ref="C208:C255" si="42">IF(K207&lt;0.01,0,C207+1)</f>
        <v>0</v>
      </c>
      <c r="D208" s="2150">
        <f t="shared" si="39"/>
        <v>0</v>
      </c>
      <c r="E208" s="2145">
        <f t="shared" si="33"/>
        <v>0</v>
      </c>
      <c r="F208" s="2145">
        <f t="shared" ref="F208:F255" si="43">IF(K207&lt;0.01,0,G208-E208)</f>
        <v>0</v>
      </c>
      <c r="G208" s="2145">
        <f t="shared" si="35"/>
        <v>0</v>
      </c>
      <c r="H208" s="2145">
        <f>IF(K207&lt;0.01,0,IF(Adm!$GS$4=Adm!$GS$8,0,IF(Adm!$GS$12="Pagados por el Banco",0,K207*Adm!$GV$4)))</f>
        <v>0</v>
      </c>
      <c r="I208" s="2145">
        <f>IF(K207&lt;0.01,0,E208*Adm!$O$8)</f>
        <v>0</v>
      </c>
      <c r="J208" s="2145">
        <f t="shared" ref="J208:J255" si="44">G208+H208+I208</f>
        <v>0</v>
      </c>
      <c r="K208" s="2145">
        <f t="shared" ref="K208:K255" si="45">IF(K207&lt;0.01,0,K207-F208-L208)</f>
        <v>0</v>
      </c>
      <c r="L208" s="2146"/>
      <c r="V208" s="1352">
        <f t="shared" si="34"/>
        <v>1</v>
      </c>
      <c r="W208" s="1433">
        <f>IF(V208=1,Cal!$BP$127,0)</f>
        <v>0</v>
      </c>
      <c r="X208" s="1367">
        <f>IF(V208=1,Adm!$HI$4,0)</f>
        <v>2.5000000000000001E-3</v>
      </c>
      <c r="Z208" s="1153"/>
      <c r="AC208" s="1370">
        <f t="shared" si="36"/>
        <v>0</v>
      </c>
      <c r="AD208" s="1373">
        <f t="shared" si="37"/>
        <v>0</v>
      </c>
      <c r="AE208" s="1371">
        <f t="shared" si="38"/>
        <v>0</v>
      </c>
      <c r="AF208" s="1359">
        <f>HLOOKUP($AF$11,anticipafreeliq,194,0)</f>
        <v>-8.4490555555555551E-4</v>
      </c>
      <c r="AH208" s="1360">
        <f>Free!AK263</f>
        <v>-8.4490555555555551E-4</v>
      </c>
    </row>
    <row r="209" spans="1:34">
      <c r="A209" s="1118">
        <f t="shared" ca="1" si="40"/>
        <v>5</v>
      </c>
      <c r="B209" s="1101">
        <f t="shared" si="41"/>
        <v>0</v>
      </c>
      <c r="C209" s="2149">
        <f t="shared" si="42"/>
        <v>0</v>
      </c>
      <c r="D209" s="2150">
        <f t="shared" si="39"/>
        <v>0</v>
      </c>
      <c r="E209" s="2145">
        <f t="shared" ref="E209:E255" si="46">IF(K208&lt;0.01,0,K208*D209*30.4166/360)</f>
        <v>0</v>
      </c>
      <c r="F209" s="2145">
        <f t="shared" si="43"/>
        <v>0</v>
      </c>
      <c r="G209" s="2145">
        <f t="shared" si="35"/>
        <v>0</v>
      </c>
      <c r="H209" s="2145">
        <f>IF(K208&lt;0.01,0,IF(Adm!$GS$4=Adm!$GS$8,0,IF(Adm!$GS$12="Pagados por el Banco",0,K208*Adm!$GV$4)))</f>
        <v>0</v>
      </c>
      <c r="I209" s="2145">
        <f>IF(K208&lt;0.01,0,E209*Adm!$O$8)</f>
        <v>0</v>
      </c>
      <c r="J209" s="2145">
        <f t="shared" si="44"/>
        <v>0</v>
      </c>
      <c r="K209" s="2145">
        <f t="shared" si="45"/>
        <v>0</v>
      </c>
      <c r="L209" s="2146"/>
      <c r="V209" s="1352">
        <f t="shared" ref="V209:V255" si="47">IF(V208=12,1,V208+1)</f>
        <v>2</v>
      </c>
      <c r="W209" s="1433">
        <f>IF(V209=1,Cal!$BP$127,0)</f>
        <v>0</v>
      </c>
      <c r="X209" s="1367">
        <f>IF(V209=1,Adm!$HI$4,0)</f>
        <v>0</v>
      </c>
      <c r="Z209" s="1153"/>
      <c r="AC209" s="1370">
        <f t="shared" si="36"/>
        <v>0</v>
      </c>
      <c r="AD209" s="1373">
        <f t="shared" si="37"/>
        <v>0</v>
      </c>
      <c r="AE209" s="1371">
        <f t="shared" si="38"/>
        <v>0</v>
      </c>
      <c r="AF209" s="1359">
        <f>HLOOKUP($AF$11,anticipafreeliq,195,0)</f>
        <v>-8.4490555555555551E-4</v>
      </c>
      <c r="AH209" s="1360">
        <f>Free!AK264</f>
        <v>-8.4490555555555551E-4</v>
      </c>
    </row>
    <row r="210" spans="1:34">
      <c r="A210" s="1118">
        <f t="shared" ca="1" si="40"/>
        <v>6</v>
      </c>
      <c r="B210" s="1101">
        <f t="shared" si="41"/>
        <v>0</v>
      </c>
      <c r="C210" s="2149">
        <f t="shared" si="42"/>
        <v>0</v>
      </c>
      <c r="D210" s="2150">
        <f t="shared" si="39"/>
        <v>0</v>
      </c>
      <c r="E210" s="2145">
        <f t="shared" si="46"/>
        <v>0</v>
      </c>
      <c r="F210" s="2145">
        <f t="shared" si="43"/>
        <v>0</v>
      </c>
      <c r="G210" s="2145">
        <f t="shared" ref="G210:G255" si="48">IF(K209&lt;0.1,0,MIN(K209+E210,IF(AC210&gt;0,AC210,G209*(1+W210))))</f>
        <v>0</v>
      </c>
      <c r="H210" s="2145">
        <f>IF(K209&lt;0.01,0,IF(Adm!$GS$4=Adm!$GS$8,0,IF(Adm!$GS$12="Pagados por el Banco",0,K209*Adm!$GV$4)))</f>
        <v>0</v>
      </c>
      <c r="I210" s="2145">
        <f>IF(K209&lt;0.01,0,E210*Adm!$O$8)</f>
        <v>0</v>
      </c>
      <c r="J210" s="2145">
        <f t="shared" si="44"/>
        <v>0</v>
      </c>
      <c r="K210" s="2145">
        <f t="shared" si="45"/>
        <v>0</v>
      </c>
      <c r="L210" s="2146"/>
      <c r="V210" s="1352">
        <f t="shared" si="47"/>
        <v>3</v>
      </c>
      <c r="W210" s="1433">
        <f>IF(V210=1,Cal!$BP$127,0)</f>
        <v>0</v>
      </c>
      <c r="X210" s="1367">
        <f>IF(V210=1,Adm!$HI$4,0)</f>
        <v>0</v>
      </c>
      <c r="Z210" s="1153"/>
      <c r="AC210" s="1370">
        <f t="shared" ref="AC210:AC255" si="49">IF(AD210&gt;1,AD210,0)</f>
        <v>0</v>
      </c>
      <c r="AD210" s="1373">
        <f t="shared" ref="AD210:AD255" si="50">IF(AND(AE210&gt;0.01,$AC$10=2),AE210,0)</f>
        <v>0</v>
      </c>
      <c r="AE210" s="1371">
        <f t="shared" ref="AE210:AE255" si="51">IF(L209&lt;0.01,0,IF($AC$10=2,K209*AF210)+E210)</f>
        <v>0</v>
      </c>
      <c r="AF210" s="1359">
        <f>HLOOKUP($AF$11,anticipafreeliq,196,0)</f>
        <v>-8.4490555555555551E-4</v>
      </c>
      <c r="AH210" s="1360">
        <f>Free!AK265</f>
        <v>-8.4490555555555551E-4</v>
      </c>
    </row>
    <row r="211" spans="1:34">
      <c r="A211" s="1118">
        <f t="shared" ca="1" si="40"/>
        <v>7</v>
      </c>
      <c r="B211" s="1101">
        <f t="shared" si="41"/>
        <v>0</v>
      </c>
      <c r="C211" s="2149">
        <f t="shared" si="42"/>
        <v>0</v>
      </c>
      <c r="D211" s="2150">
        <f t="shared" si="39"/>
        <v>0</v>
      </c>
      <c r="E211" s="2145">
        <f t="shared" si="46"/>
        <v>0</v>
      </c>
      <c r="F211" s="2145">
        <f t="shared" si="43"/>
        <v>0</v>
      </c>
      <c r="G211" s="2145">
        <f t="shared" si="48"/>
        <v>0</v>
      </c>
      <c r="H211" s="2145">
        <f>IF(K210&lt;0.01,0,IF(Adm!$GS$4=Adm!$GS$8,0,IF(Adm!$GS$12="Pagados por el Banco",0,K210*Adm!$GV$4)))</f>
        <v>0</v>
      </c>
      <c r="I211" s="2145">
        <f>IF(K210&lt;0.01,0,E211*Adm!$O$8)</f>
        <v>0</v>
      </c>
      <c r="J211" s="2145">
        <f t="shared" si="44"/>
        <v>0</v>
      </c>
      <c r="K211" s="2145">
        <f t="shared" si="45"/>
        <v>0</v>
      </c>
      <c r="L211" s="2146"/>
      <c r="V211" s="1352">
        <f t="shared" si="47"/>
        <v>4</v>
      </c>
      <c r="W211" s="1433">
        <f>IF(V211=1,Cal!$BP$127,0)</f>
        <v>0</v>
      </c>
      <c r="X211" s="1367">
        <f>IF(V211=1,Adm!$HI$4,0)</f>
        <v>0</v>
      </c>
      <c r="Z211" s="1153"/>
      <c r="AC211" s="1370">
        <f t="shared" si="49"/>
        <v>0</v>
      </c>
      <c r="AD211" s="1373">
        <f t="shared" si="50"/>
        <v>0</v>
      </c>
      <c r="AE211" s="1371">
        <f t="shared" si="51"/>
        <v>0</v>
      </c>
      <c r="AF211" s="1359">
        <f>HLOOKUP($AF$11,anticipafreeliq,197,0)</f>
        <v>-8.4490555555555562E-4</v>
      </c>
      <c r="AH211" s="1360">
        <f>Free!AK266</f>
        <v>-8.4490555555555562E-4</v>
      </c>
    </row>
    <row r="212" spans="1:34">
      <c r="A212" s="1118">
        <f t="shared" ca="1" si="40"/>
        <v>8</v>
      </c>
      <c r="B212" s="1101">
        <f t="shared" si="41"/>
        <v>0</v>
      </c>
      <c r="C212" s="2149">
        <f t="shared" si="42"/>
        <v>0</v>
      </c>
      <c r="D212" s="2150">
        <f t="shared" si="39"/>
        <v>0</v>
      </c>
      <c r="E212" s="2145">
        <f t="shared" si="46"/>
        <v>0</v>
      </c>
      <c r="F212" s="2145">
        <f t="shared" si="43"/>
        <v>0</v>
      </c>
      <c r="G212" s="2145">
        <f t="shared" si="48"/>
        <v>0</v>
      </c>
      <c r="H212" s="2145">
        <f>IF(K211&lt;0.01,0,IF(Adm!$GS$4=Adm!$GS$8,0,IF(Adm!$GS$12="Pagados por el Banco",0,K211*Adm!$GV$4)))</f>
        <v>0</v>
      </c>
      <c r="I212" s="2145">
        <f>IF(K211&lt;0.01,0,E212*Adm!$O$8)</f>
        <v>0</v>
      </c>
      <c r="J212" s="2145">
        <f t="shared" si="44"/>
        <v>0</v>
      </c>
      <c r="K212" s="2145">
        <f t="shared" si="45"/>
        <v>0</v>
      </c>
      <c r="L212" s="2146"/>
      <c r="V212" s="1352">
        <f t="shared" si="47"/>
        <v>5</v>
      </c>
      <c r="W212" s="1433">
        <f>IF(V212=1,Cal!$BP$127,0)</f>
        <v>0</v>
      </c>
      <c r="X212" s="1367">
        <f>IF(V212=1,Adm!$HI$4,0)</f>
        <v>0</v>
      </c>
      <c r="Z212" s="1153"/>
      <c r="AC212" s="1370">
        <f t="shared" si="49"/>
        <v>0</v>
      </c>
      <c r="AD212" s="1373">
        <f t="shared" si="50"/>
        <v>0</v>
      </c>
      <c r="AE212" s="1371">
        <f t="shared" si="51"/>
        <v>0</v>
      </c>
      <c r="AF212" s="1359">
        <f>HLOOKUP($AF$11,anticipafreeliq,198,0)</f>
        <v>-8.4490555555555562E-4</v>
      </c>
      <c r="AH212" s="1360">
        <f>Free!AK267</f>
        <v>-8.4490555555555562E-4</v>
      </c>
    </row>
    <row r="213" spans="1:34">
      <c r="A213" s="1118">
        <f t="shared" ca="1" si="40"/>
        <v>9</v>
      </c>
      <c r="B213" s="1101">
        <f t="shared" si="41"/>
        <v>0</v>
      </c>
      <c r="C213" s="2149">
        <f t="shared" si="42"/>
        <v>0</v>
      </c>
      <c r="D213" s="2150">
        <f t="shared" si="39"/>
        <v>0</v>
      </c>
      <c r="E213" s="2145">
        <f t="shared" si="46"/>
        <v>0</v>
      </c>
      <c r="F213" s="2145">
        <f t="shared" si="43"/>
        <v>0</v>
      </c>
      <c r="G213" s="2145">
        <f t="shared" si="48"/>
        <v>0</v>
      </c>
      <c r="H213" s="2145">
        <f>IF(K212&lt;0.01,0,IF(Adm!$GS$4=Adm!$GS$8,0,IF(Adm!$GS$12="Pagados por el Banco",0,K212*Adm!$GV$4)))</f>
        <v>0</v>
      </c>
      <c r="I213" s="2145">
        <f>IF(K212&lt;0.01,0,E213*Adm!$O$8)</f>
        <v>0</v>
      </c>
      <c r="J213" s="2145">
        <f t="shared" si="44"/>
        <v>0</v>
      </c>
      <c r="K213" s="2145">
        <f t="shared" si="45"/>
        <v>0</v>
      </c>
      <c r="L213" s="2146"/>
      <c r="V213" s="1352">
        <f t="shared" si="47"/>
        <v>6</v>
      </c>
      <c r="W213" s="1433">
        <f>IF(V213=1,Cal!$BP$127,0)</f>
        <v>0</v>
      </c>
      <c r="X213" s="1367">
        <f>IF(V213=1,Adm!$HI$4,0)</f>
        <v>0</v>
      </c>
      <c r="Z213" s="1153"/>
      <c r="AC213" s="1370">
        <f t="shared" si="49"/>
        <v>0</v>
      </c>
      <c r="AD213" s="1373">
        <f t="shared" si="50"/>
        <v>0</v>
      </c>
      <c r="AE213" s="1371">
        <f t="shared" si="51"/>
        <v>0</v>
      </c>
      <c r="AF213" s="1359">
        <f>HLOOKUP($AF$11,anticipafreeliq,199,0)</f>
        <v>-8.4490555555555551E-4</v>
      </c>
      <c r="AH213" s="1360">
        <f>Free!AK268</f>
        <v>-8.4490555555555551E-4</v>
      </c>
    </row>
    <row r="214" spans="1:34">
      <c r="A214" s="1118">
        <f t="shared" ca="1" si="40"/>
        <v>10</v>
      </c>
      <c r="B214" s="1101">
        <f t="shared" si="41"/>
        <v>0</v>
      </c>
      <c r="C214" s="2149">
        <f t="shared" si="42"/>
        <v>0</v>
      </c>
      <c r="D214" s="2150">
        <f t="shared" si="39"/>
        <v>0</v>
      </c>
      <c r="E214" s="2145">
        <f t="shared" si="46"/>
        <v>0</v>
      </c>
      <c r="F214" s="2145">
        <f t="shared" si="43"/>
        <v>0</v>
      </c>
      <c r="G214" s="2145">
        <f t="shared" si="48"/>
        <v>0</v>
      </c>
      <c r="H214" s="2145">
        <f>IF(K213&lt;0.01,0,IF(Adm!$GS$4=Adm!$GS$8,0,IF(Adm!$GS$12="Pagados por el Banco",0,K213*Adm!$GV$4)))</f>
        <v>0</v>
      </c>
      <c r="I214" s="2145">
        <f>IF(K213&lt;0.01,0,E214*Adm!$O$8)</f>
        <v>0</v>
      </c>
      <c r="J214" s="2145">
        <f t="shared" si="44"/>
        <v>0</v>
      </c>
      <c r="K214" s="2145">
        <f t="shared" si="45"/>
        <v>0</v>
      </c>
      <c r="L214" s="2146"/>
      <c r="V214" s="1352">
        <f t="shared" si="47"/>
        <v>7</v>
      </c>
      <c r="W214" s="1433">
        <f>IF(V214=1,Cal!$BP$127,0)</f>
        <v>0</v>
      </c>
      <c r="X214" s="1367">
        <f>IF(V214=1,Adm!$HI$4,0)</f>
        <v>0</v>
      </c>
      <c r="Z214" s="1153"/>
      <c r="AC214" s="1370">
        <f t="shared" si="49"/>
        <v>0</v>
      </c>
      <c r="AD214" s="1373">
        <f t="shared" si="50"/>
        <v>0</v>
      </c>
      <c r="AE214" s="1371">
        <f t="shared" si="51"/>
        <v>0</v>
      </c>
      <c r="AF214" s="1359">
        <f>HLOOKUP($AF$11,anticipafreeliq,200,0)</f>
        <v>-8.4490555555555541E-4</v>
      </c>
      <c r="AH214" s="1360">
        <f>Free!AK269</f>
        <v>-8.4490555555555541E-4</v>
      </c>
    </row>
    <row r="215" spans="1:34">
      <c r="A215" s="1118">
        <f t="shared" ca="1" si="40"/>
        <v>11</v>
      </c>
      <c r="B215" s="1101">
        <f t="shared" si="41"/>
        <v>0</v>
      </c>
      <c r="C215" s="2149">
        <f t="shared" si="42"/>
        <v>0</v>
      </c>
      <c r="D215" s="2150">
        <f t="shared" si="39"/>
        <v>0</v>
      </c>
      <c r="E215" s="2145">
        <f t="shared" si="46"/>
        <v>0</v>
      </c>
      <c r="F215" s="2145">
        <f t="shared" si="43"/>
        <v>0</v>
      </c>
      <c r="G215" s="2145">
        <f t="shared" si="48"/>
        <v>0</v>
      </c>
      <c r="H215" s="2145">
        <f>IF(K214&lt;0.01,0,IF(Adm!$GS$4=Adm!$GS$8,0,IF(Adm!$GS$12="Pagados por el Banco",0,K214*Adm!$GV$4)))</f>
        <v>0</v>
      </c>
      <c r="I215" s="2145">
        <f>IF(K214&lt;0.01,0,E215*Adm!$O$8)</f>
        <v>0</v>
      </c>
      <c r="J215" s="2145">
        <f t="shared" si="44"/>
        <v>0</v>
      </c>
      <c r="K215" s="2145">
        <f t="shared" si="45"/>
        <v>0</v>
      </c>
      <c r="L215" s="2146"/>
      <c r="V215" s="1352">
        <f t="shared" si="47"/>
        <v>8</v>
      </c>
      <c r="W215" s="1433">
        <f>IF(V215=1,Cal!$BP$127,0)</f>
        <v>0</v>
      </c>
      <c r="X215" s="1367">
        <f>IF(V215=1,Adm!$HI$4,0)</f>
        <v>0</v>
      </c>
      <c r="Z215" s="1153"/>
      <c r="AC215" s="1370">
        <f t="shared" si="49"/>
        <v>0</v>
      </c>
      <c r="AD215" s="1373">
        <f t="shared" si="50"/>
        <v>0</v>
      </c>
      <c r="AE215" s="1371">
        <f t="shared" si="51"/>
        <v>0</v>
      </c>
      <c r="AF215" s="1359">
        <f>HLOOKUP($AF$11,anticipafreeliq,201,0)</f>
        <v>-8.4490555555555551E-4</v>
      </c>
      <c r="AH215" s="1360">
        <f>Free!AK270</f>
        <v>-8.4490555555555551E-4</v>
      </c>
    </row>
    <row r="216" spans="1:34">
      <c r="A216" s="1118">
        <f t="shared" ca="1" si="40"/>
        <v>12</v>
      </c>
      <c r="B216" s="1101">
        <f t="shared" si="41"/>
        <v>0</v>
      </c>
      <c r="C216" s="2149">
        <f t="shared" si="42"/>
        <v>0</v>
      </c>
      <c r="D216" s="2150">
        <f t="shared" si="39"/>
        <v>0</v>
      </c>
      <c r="E216" s="2145">
        <f t="shared" si="46"/>
        <v>0</v>
      </c>
      <c r="F216" s="2145">
        <f t="shared" si="43"/>
        <v>0</v>
      </c>
      <c r="G216" s="2145">
        <f t="shared" si="48"/>
        <v>0</v>
      </c>
      <c r="H216" s="2145">
        <f>IF(K215&lt;0.01,0,IF(Adm!$GS$4=Adm!$GS$8,0,IF(Adm!$GS$12="Pagados por el Banco",0,K215*Adm!$GV$4)))</f>
        <v>0</v>
      </c>
      <c r="I216" s="2145">
        <f>IF(K215&lt;0.01,0,E216*Adm!$O$8)</f>
        <v>0</v>
      </c>
      <c r="J216" s="2145">
        <f t="shared" si="44"/>
        <v>0</v>
      </c>
      <c r="K216" s="2145">
        <f t="shared" si="45"/>
        <v>0</v>
      </c>
      <c r="L216" s="2146"/>
      <c r="V216" s="1352">
        <f t="shared" si="47"/>
        <v>9</v>
      </c>
      <c r="W216" s="1433">
        <f>IF(V216=1,Cal!$BP$127,0)</f>
        <v>0</v>
      </c>
      <c r="X216" s="1367">
        <f>IF(V216=1,Adm!$HI$4,0)</f>
        <v>0</v>
      </c>
      <c r="Z216" s="1153"/>
      <c r="AC216" s="1370">
        <f t="shared" si="49"/>
        <v>0</v>
      </c>
      <c r="AD216" s="1373">
        <f t="shared" si="50"/>
        <v>0</v>
      </c>
      <c r="AE216" s="1371">
        <f t="shared" si="51"/>
        <v>0</v>
      </c>
      <c r="AF216" s="1359">
        <f>HLOOKUP($AF$11,anticipafreeliq,202,0)</f>
        <v>-8.4490555555555551E-4</v>
      </c>
      <c r="AH216" s="1360">
        <f>Free!AK271</f>
        <v>-8.4490555555555551E-4</v>
      </c>
    </row>
    <row r="217" spans="1:34">
      <c r="A217" s="1118">
        <f t="shared" ca="1" si="40"/>
        <v>1</v>
      </c>
      <c r="B217" s="1101">
        <f t="shared" si="41"/>
        <v>0</v>
      </c>
      <c r="C217" s="2149">
        <f t="shared" si="42"/>
        <v>0</v>
      </c>
      <c r="D217" s="2150">
        <f t="shared" si="39"/>
        <v>0</v>
      </c>
      <c r="E217" s="2145">
        <f t="shared" si="46"/>
        <v>0</v>
      </c>
      <c r="F217" s="2145">
        <f t="shared" si="43"/>
        <v>0</v>
      </c>
      <c r="G217" s="2145">
        <f t="shared" si="48"/>
        <v>0</v>
      </c>
      <c r="H217" s="2145">
        <f>IF(K216&lt;0.01,0,IF(Adm!$GS$4=Adm!$GS$8,0,IF(Adm!$GS$12="Pagados por el Banco",0,K216*Adm!$GV$4)))</f>
        <v>0</v>
      </c>
      <c r="I217" s="2145">
        <f>IF(K216&lt;0.01,0,E217*Adm!$O$8)</f>
        <v>0</v>
      </c>
      <c r="J217" s="2145">
        <f t="shared" si="44"/>
        <v>0</v>
      </c>
      <c r="K217" s="2145">
        <f t="shared" si="45"/>
        <v>0</v>
      </c>
      <c r="L217" s="2146"/>
      <c r="V217" s="1352">
        <f t="shared" si="47"/>
        <v>10</v>
      </c>
      <c r="W217" s="1433">
        <f>IF(V217=1,Cal!$BP$127,0)</f>
        <v>0</v>
      </c>
      <c r="X217" s="1367">
        <f>IF(V217=1,Adm!$HI$4,0)</f>
        <v>0</v>
      </c>
      <c r="Z217" s="1153"/>
      <c r="AC217" s="1370">
        <f t="shared" si="49"/>
        <v>0</v>
      </c>
      <c r="AD217" s="1373">
        <f t="shared" si="50"/>
        <v>0</v>
      </c>
      <c r="AE217" s="1371">
        <f t="shared" si="51"/>
        <v>0</v>
      </c>
      <c r="AF217" s="1359">
        <f>HLOOKUP($AF$11,anticipafreeliq,203,0)</f>
        <v>-8.4490555555555541E-4</v>
      </c>
      <c r="AH217" s="1360">
        <f>Free!AK272</f>
        <v>-8.4490555555555541E-4</v>
      </c>
    </row>
    <row r="218" spans="1:34">
      <c r="A218" s="1118">
        <f t="shared" ca="1" si="40"/>
        <v>2</v>
      </c>
      <c r="B218" s="1101">
        <f t="shared" si="41"/>
        <v>0</v>
      </c>
      <c r="C218" s="2149">
        <f t="shared" si="42"/>
        <v>0</v>
      </c>
      <c r="D218" s="2150">
        <f t="shared" si="39"/>
        <v>0</v>
      </c>
      <c r="E218" s="2145">
        <f t="shared" si="46"/>
        <v>0</v>
      </c>
      <c r="F218" s="2145">
        <f t="shared" si="43"/>
        <v>0</v>
      </c>
      <c r="G218" s="2145">
        <f t="shared" si="48"/>
        <v>0</v>
      </c>
      <c r="H218" s="2145">
        <f>IF(K217&lt;0.01,0,IF(Adm!$GS$4=Adm!$GS$8,0,IF(Adm!$GS$12="Pagados por el Banco",0,K217*Adm!$GV$4)))</f>
        <v>0</v>
      </c>
      <c r="I218" s="2145">
        <f>IF(K217&lt;0.01,0,E218*Adm!$O$8)</f>
        <v>0</v>
      </c>
      <c r="J218" s="2145">
        <f t="shared" si="44"/>
        <v>0</v>
      </c>
      <c r="K218" s="2145">
        <f t="shared" si="45"/>
        <v>0</v>
      </c>
      <c r="L218" s="2146"/>
      <c r="V218" s="1352">
        <f t="shared" si="47"/>
        <v>11</v>
      </c>
      <c r="W218" s="1433">
        <f>IF(V218=1,Cal!$BP$127,0)</f>
        <v>0</v>
      </c>
      <c r="X218" s="1367">
        <f>IF(V218=1,Adm!$HI$4,0)</f>
        <v>0</v>
      </c>
      <c r="Z218" s="1153"/>
      <c r="AC218" s="1370">
        <f t="shared" si="49"/>
        <v>0</v>
      </c>
      <c r="AD218" s="1373">
        <f t="shared" si="50"/>
        <v>0</v>
      </c>
      <c r="AE218" s="1371">
        <f t="shared" si="51"/>
        <v>0</v>
      </c>
      <c r="AF218" s="1359">
        <f>HLOOKUP($AF$11,anticipafreeliq,204,0)</f>
        <v>-8.4490555555555551E-4</v>
      </c>
      <c r="AH218" s="1360">
        <f>Free!AK273</f>
        <v>-8.4490555555555551E-4</v>
      </c>
    </row>
    <row r="219" spans="1:34">
      <c r="A219" s="1118">
        <f t="shared" ca="1" si="40"/>
        <v>3</v>
      </c>
      <c r="B219" s="1101">
        <f t="shared" si="41"/>
        <v>0</v>
      </c>
      <c r="C219" s="2149">
        <f t="shared" si="42"/>
        <v>0</v>
      </c>
      <c r="D219" s="2150">
        <f t="shared" si="39"/>
        <v>0</v>
      </c>
      <c r="E219" s="2145">
        <f t="shared" si="46"/>
        <v>0</v>
      </c>
      <c r="F219" s="2145">
        <f t="shared" si="43"/>
        <v>0</v>
      </c>
      <c r="G219" s="2145">
        <f t="shared" si="48"/>
        <v>0</v>
      </c>
      <c r="H219" s="2145">
        <f>IF(K218&lt;0.01,0,IF(Adm!$GS$4=Adm!$GS$8,0,IF(Adm!$GS$12="Pagados por el Banco",0,K218*Adm!$GV$4)))</f>
        <v>0</v>
      </c>
      <c r="I219" s="2145">
        <f>IF(K218&lt;0.01,0,E219*Adm!$O$8)</f>
        <v>0</v>
      </c>
      <c r="J219" s="2145">
        <f t="shared" si="44"/>
        <v>0</v>
      </c>
      <c r="K219" s="2145">
        <f t="shared" si="45"/>
        <v>0</v>
      </c>
      <c r="L219" s="2146"/>
      <c r="V219" s="1352">
        <f t="shared" si="47"/>
        <v>12</v>
      </c>
      <c r="W219" s="1433">
        <f>IF(V219=1,Cal!$BP$127,0)</f>
        <v>0</v>
      </c>
      <c r="X219" s="1367">
        <f>IF(V219=1,Adm!$HI$4,0)</f>
        <v>0</v>
      </c>
      <c r="Z219" s="1153"/>
      <c r="AC219" s="1370">
        <f t="shared" si="49"/>
        <v>0</v>
      </c>
      <c r="AD219" s="1373">
        <f t="shared" si="50"/>
        <v>0</v>
      </c>
      <c r="AE219" s="1371">
        <f t="shared" si="51"/>
        <v>0</v>
      </c>
      <c r="AF219" s="1359">
        <f>HLOOKUP($AF$11,anticipafreeliq,205,0)</f>
        <v>-8.4490555555555541E-4</v>
      </c>
      <c r="AH219" s="1360">
        <f>Free!AK274</f>
        <v>-8.4490555555555541E-4</v>
      </c>
    </row>
    <row r="220" spans="1:34">
      <c r="A220" s="1118">
        <f t="shared" ca="1" si="40"/>
        <v>4</v>
      </c>
      <c r="B220" s="1101">
        <f t="shared" si="41"/>
        <v>0</v>
      </c>
      <c r="C220" s="2149">
        <f t="shared" si="42"/>
        <v>0</v>
      </c>
      <c r="D220" s="2150">
        <f t="shared" si="39"/>
        <v>0</v>
      </c>
      <c r="E220" s="2145">
        <f t="shared" si="46"/>
        <v>0</v>
      </c>
      <c r="F220" s="2145">
        <f t="shared" si="43"/>
        <v>0</v>
      </c>
      <c r="G220" s="2145">
        <f t="shared" si="48"/>
        <v>0</v>
      </c>
      <c r="H220" s="2145">
        <f>IF(K219&lt;0.01,0,IF(Adm!$GS$4=Adm!$GS$8,0,IF(Adm!$GS$12="Pagados por el Banco",0,K219*Adm!$GV$4)))</f>
        <v>0</v>
      </c>
      <c r="I220" s="2145">
        <f>IF(K219&lt;0.01,0,E220*Adm!$O$8)</f>
        <v>0</v>
      </c>
      <c r="J220" s="2145">
        <f t="shared" si="44"/>
        <v>0</v>
      </c>
      <c r="K220" s="2145">
        <f t="shared" si="45"/>
        <v>0</v>
      </c>
      <c r="L220" s="2146"/>
      <c r="V220" s="1352">
        <f t="shared" si="47"/>
        <v>1</v>
      </c>
      <c r="W220" s="1433">
        <f>IF(V220=1,Cal!$BP$127,0)</f>
        <v>0</v>
      </c>
      <c r="X220" s="1367">
        <f>IF(V220=1,Adm!$HI$4,0)</f>
        <v>2.5000000000000001E-3</v>
      </c>
      <c r="Z220" s="1153"/>
      <c r="AC220" s="1370">
        <f t="shared" si="49"/>
        <v>0</v>
      </c>
      <c r="AD220" s="1373">
        <f t="shared" si="50"/>
        <v>0</v>
      </c>
      <c r="AE220" s="1371">
        <f t="shared" si="51"/>
        <v>0</v>
      </c>
      <c r="AF220" s="1359">
        <f>HLOOKUP($AF$11,anticipafreeliq,206,0)</f>
        <v>-8.4490555555555551E-4</v>
      </c>
      <c r="AH220" s="1360">
        <f>Free!AK275</f>
        <v>-8.4490555555555551E-4</v>
      </c>
    </row>
    <row r="221" spans="1:34">
      <c r="A221" s="1118">
        <f t="shared" ca="1" si="40"/>
        <v>5</v>
      </c>
      <c r="B221" s="1101">
        <f t="shared" si="41"/>
        <v>0</v>
      </c>
      <c r="C221" s="2149">
        <f t="shared" si="42"/>
        <v>0</v>
      </c>
      <c r="D221" s="2150">
        <f t="shared" si="39"/>
        <v>0</v>
      </c>
      <c r="E221" s="2145">
        <f t="shared" si="46"/>
        <v>0</v>
      </c>
      <c r="F221" s="2145">
        <f t="shared" si="43"/>
        <v>0</v>
      </c>
      <c r="G221" s="2145">
        <f t="shared" si="48"/>
        <v>0</v>
      </c>
      <c r="H221" s="2145">
        <f>IF(K220&lt;0.01,0,IF(Adm!$GS$4=Adm!$GS$8,0,IF(Adm!$GS$12="Pagados por el Banco",0,K220*Adm!$GV$4)))</f>
        <v>0</v>
      </c>
      <c r="I221" s="2145">
        <f>IF(K220&lt;0.01,0,E221*Adm!$O$8)</f>
        <v>0</v>
      </c>
      <c r="J221" s="2145">
        <f t="shared" si="44"/>
        <v>0</v>
      </c>
      <c r="K221" s="2145">
        <f t="shared" si="45"/>
        <v>0</v>
      </c>
      <c r="L221" s="2146"/>
      <c r="V221" s="1352">
        <f t="shared" si="47"/>
        <v>2</v>
      </c>
      <c r="W221" s="1433">
        <f>IF(V221=1,Cal!$BP$127,0)</f>
        <v>0</v>
      </c>
      <c r="X221" s="1367">
        <f>IF(V221=1,Adm!$HI$4,0)</f>
        <v>0</v>
      </c>
      <c r="Z221" s="1153"/>
      <c r="AC221" s="1370">
        <f t="shared" si="49"/>
        <v>0</v>
      </c>
      <c r="AD221" s="1373">
        <f t="shared" si="50"/>
        <v>0</v>
      </c>
      <c r="AE221" s="1371">
        <f t="shared" si="51"/>
        <v>0</v>
      </c>
      <c r="AF221" s="1359">
        <f>HLOOKUP($AF$11,anticipafreeliq,207,0)</f>
        <v>-8.4490555555555541E-4</v>
      </c>
      <c r="AH221" s="1360">
        <f>Free!AK276</f>
        <v>-8.4490555555555541E-4</v>
      </c>
    </row>
    <row r="222" spans="1:34">
      <c r="A222" s="1118">
        <f t="shared" ca="1" si="40"/>
        <v>6</v>
      </c>
      <c r="B222" s="1101">
        <f t="shared" si="41"/>
        <v>0</v>
      </c>
      <c r="C222" s="2149">
        <f t="shared" si="42"/>
        <v>0</v>
      </c>
      <c r="D222" s="2150">
        <f t="shared" si="39"/>
        <v>0</v>
      </c>
      <c r="E222" s="2145">
        <f t="shared" si="46"/>
        <v>0</v>
      </c>
      <c r="F222" s="2145">
        <f t="shared" si="43"/>
        <v>0</v>
      </c>
      <c r="G222" s="2145">
        <f t="shared" si="48"/>
        <v>0</v>
      </c>
      <c r="H222" s="2145">
        <f>IF(K221&lt;0.01,0,IF(Adm!$GS$4=Adm!$GS$8,0,IF(Adm!$GS$12="Pagados por el Banco",0,K221*Adm!$GV$4)))</f>
        <v>0</v>
      </c>
      <c r="I222" s="2145">
        <f>IF(K221&lt;0.01,0,E222*Adm!$O$8)</f>
        <v>0</v>
      </c>
      <c r="J222" s="2145">
        <f t="shared" si="44"/>
        <v>0</v>
      </c>
      <c r="K222" s="2145">
        <f t="shared" si="45"/>
        <v>0</v>
      </c>
      <c r="L222" s="2146"/>
      <c r="V222" s="1352">
        <f t="shared" si="47"/>
        <v>3</v>
      </c>
      <c r="W222" s="1433">
        <f>IF(V222=1,Cal!$BP$127,0)</f>
        <v>0</v>
      </c>
      <c r="X222" s="1367">
        <f>IF(V222=1,Adm!$HI$4,0)</f>
        <v>0</v>
      </c>
      <c r="Z222" s="1153"/>
      <c r="AC222" s="1370">
        <f t="shared" si="49"/>
        <v>0</v>
      </c>
      <c r="AD222" s="1373">
        <f t="shared" si="50"/>
        <v>0</v>
      </c>
      <c r="AE222" s="1371">
        <f t="shared" si="51"/>
        <v>0</v>
      </c>
      <c r="AF222" s="1359">
        <f>HLOOKUP($AF$11,anticipafreeliq,208,0)</f>
        <v>-8.4490555555555562E-4</v>
      </c>
      <c r="AH222" s="1360">
        <f>Free!AK277</f>
        <v>-8.4490555555555562E-4</v>
      </c>
    </row>
    <row r="223" spans="1:34">
      <c r="A223" s="1118">
        <f t="shared" ca="1" si="40"/>
        <v>7</v>
      </c>
      <c r="B223" s="1101">
        <f t="shared" si="41"/>
        <v>0</v>
      </c>
      <c r="C223" s="2149">
        <f t="shared" si="42"/>
        <v>0</v>
      </c>
      <c r="D223" s="2150">
        <f t="shared" si="39"/>
        <v>0</v>
      </c>
      <c r="E223" s="2145">
        <f t="shared" si="46"/>
        <v>0</v>
      </c>
      <c r="F223" s="2145">
        <f t="shared" si="43"/>
        <v>0</v>
      </c>
      <c r="G223" s="2145">
        <f t="shared" si="48"/>
        <v>0</v>
      </c>
      <c r="H223" s="2145">
        <f>IF(K222&lt;0.01,0,IF(Adm!$GS$4=Adm!$GS$8,0,IF(Adm!$GS$12="Pagados por el Banco",0,K222*Adm!$GV$4)))</f>
        <v>0</v>
      </c>
      <c r="I223" s="2145">
        <f>IF(K222&lt;0.01,0,E223*Adm!$O$8)</f>
        <v>0</v>
      </c>
      <c r="J223" s="2145">
        <f t="shared" si="44"/>
        <v>0</v>
      </c>
      <c r="K223" s="2145">
        <f t="shared" si="45"/>
        <v>0</v>
      </c>
      <c r="L223" s="2146"/>
      <c r="V223" s="1352">
        <f t="shared" si="47"/>
        <v>4</v>
      </c>
      <c r="W223" s="1433">
        <f>IF(V223=1,Cal!$BP$127,0)</f>
        <v>0</v>
      </c>
      <c r="X223" s="1367">
        <f>IF(V223=1,Adm!$HI$4,0)</f>
        <v>0</v>
      </c>
      <c r="Z223" s="1153"/>
      <c r="AC223" s="1370">
        <f t="shared" si="49"/>
        <v>0</v>
      </c>
      <c r="AD223" s="1373">
        <f t="shared" si="50"/>
        <v>0</v>
      </c>
      <c r="AE223" s="1371">
        <f t="shared" si="51"/>
        <v>0</v>
      </c>
      <c r="AF223" s="1359">
        <f>HLOOKUP($AF$11,anticipafreeliq,209,0)</f>
        <v>-8.4490555555555551E-4</v>
      </c>
      <c r="AH223" s="1360">
        <f>Free!AK278</f>
        <v>-8.4490555555555551E-4</v>
      </c>
    </row>
    <row r="224" spans="1:34">
      <c r="A224" s="1118">
        <f t="shared" ca="1" si="40"/>
        <v>8</v>
      </c>
      <c r="B224" s="1101">
        <f t="shared" si="41"/>
        <v>0</v>
      </c>
      <c r="C224" s="2149">
        <f t="shared" si="42"/>
        <v>0</v>
      </c>
      <c r="D224" s="2150">
        <f t="shared" si="39"/>
        <v>0</v>
      </c>
      <c r="E224" s="2145">
        <f t="shared" si="46"/>
        <v>0</v>
      </c>
      <c r="F224" s="2145">
        <f t="shared" si="43"/>
        <v>0</v>
      </c>
      <c r="G224" s="2145">
        <f t="shared" si="48"/>
        <v>0</v>
      </c>
      <c r="H224" s="2145">
        <f>IF(K223&lt;0.01,0,IF(Adm!$GS$4=Adm!$GS$8,0,IF(Adm!$GS$12="Pagados por el Banco",0,K223*Adm!$GV$4)))</f>
        <v>0</v>
      </c>
      <c r="I224" s="2145">
        <f>IF(K223&lt;0.01,0,E224*Adm!$O$8)</f>
        <v>0</v>
      </c>
      <c r="J224" s="2145">
        <f t="shared" si="44"/>
        <v>0</v>
      </c>
      <c r="K224" s="2145">
        <f t="shared" si="45"/>
        <v>0</v>
      </c>
      <c r="L224" s="2146"/>
      <c r="V224" s="1352">
        <f t="shared" si="47"/>
        <v>5</v>
      </c>
      <c r="W224" s="1433">
        <f>IF(V224=1,Cal!$BP$127,0)</f>
        <v>0</v>
      </c>
      <c r="X224" s="1367">
        <f>IF(V224=1,Adm!$HI$4,0)</f>
        <v>0</v>
      </c>
      <c r="Z224" s="1153"/>
      <c r="AC224" s="1370">
        <f t="shared" si="49"/>
        <v>0</v>
      </c>
      <c r="AD224" s="1373">
        <f t="shared" si="50"/>
        <v>0</v>
      </c>
      <c r="AE224" s="1371">
        <f t="shared" si="51"/>
        <v>0</v>
      </c>
      <c r="AF224" s="1359">
        <f>HLOOKUP($AF$11,anticipafreeliq,210,0)</f>
        <v>-8.4490555555555551E-4</v>
      </c>
      <c r="AH224" s="1360">
        <f>Free!AK279</f>
        <v>-8.4490555555555551E-4</v>
      </c>
    </row>
    <row r="225" spans="1:34">
      <c r="A225" s="1118">
        <f t="shared" ca="1" si="40"/>
        <v>9</v>
      </c>
      <c r="B225" s="1101">
        <f t="shared" si="41"/>
        <v>0</v>
      </c>
      <c r="C225" s="2149">
        <f t="shared" si="42"/>
        <v>0</v>
      </c>
      <c r="D225" s="2150">
        <f t="shared" si="39"/>
        <v>0</v>
      </c>
      <c r="E225" s="2145">
        <f t="shared" si="46"/>
        <v>0</v>
      </c>
      <c r="F225" s="2145">
        <f t="shared" si="43"/>
        <v>0</v>
      </c>
      <c r="G225" s="2145">
        <f t="shared" si="48"/>
        <v>0</v>
      </c>
      <c r="H225" s="2145">
        <f>IF(K224&lt;0.01,0,IF(Adm!$GS$4=Adm!$GS$8,0,IF(Adm!$GS$12="Pagados por el Banco",0,K224*Adm!$GV$4)))</f>
        <v>0</v>
      </c>
      <c r="I225" s="2145">
        <f>IF(K224&lt;0.01,0,E225*Adm!$O$8)</f>
        <v>0</v>
      </c>
      <c r="J225" s="2145">
        <f t="shared" si="44"/>
        <v>0</v>
      </c>
      <c r="K225" s="2145">
        <f t="shared" si="45"/>
        <v>0</v>
      </c>
      <c r="L225" s="2146"/>
      <c r="V225" s="1352">
        <f t="shared" si="47"/>
        <v>6</v>
      </c>
      <c r="W225" s="1433">
        <f>IF(V225=1,Cal!$BP$127,0)</f>
        <v>0</v>
      </c>
      <c r="X225" s="1367">
        <f>IF(V225=1,Adm!$HI$4,0)</f>
        <v>0</v>
      </c>
      <c r="Z225" s="1153"/>
      <c r="AC225" s="1370">
        <f t="shared" si="49"/>
        <v>0</v>
      </c>
      <c r="AD225" s="1373">
        <f t="shared" si="50"/>
        <v>0</v>
      </c>
      <c r="AE225" s="1371">
        <f t="shared" si="51"/>
        <v>0</v>
      </c>
      <c r="AF225" s="1359">
        <f>HLOOKUP($AF$11,anticipafreeliq,211,0)</f>
        <v>-8.4490555555555562E-4</v>
      </c>
      <c r="AH225" s="1360">
        <f>Free!AK280</f>
        <v>-8.4490555555555562E-4</v>
      </c>
    </row>
    <row r="226" spans="1:34">
      <c r="A226" s="1118">
        <f t="shared" ca="1" si="40"/>
        <v>10</v>
      </c>
      <c r="B226" s="1101">
        <f t="shared" si="41"/>
        <v>0</v>
      </c>
      <c r="C226" s="2149">
        <f t="shared" si="42"/>
        <v>0</v>
      </c>
      <c r="D226" s="2150">
        <f t="shared" si="39"/>
        <v>0</v>
      </c>
      <c r="E226" s="2145">
        <f t="shared" si="46"/>
        <v>0</v>
      </c>
      <c r="F226" s="2145">
        <f t="shared" si="43"/>
        <v>0</v>
      </c>
      <c r="G226" s="2145">
        <f t="shared" si="48"/>
        <v>0</v>
      </c>
      <c r="H226" s="2145">
        <f>IF(K225&lt;0.01,0,IF(Adm!$GS$4=Adm!$GS$8,0,IF(Adm!$GS$12="Pagados por el Banco",0,K225*Adm!$GV$4)))</f>
        <v>0</v>
      </c>
      <c r="I226" s="2145">
        <f>IF(K225&lt;0.01,0,E226*Adm!$O$8)</f>
        <v>0</v>
      </c>
      <c r="J226" s="2145">
        <f t="shared" si="44"/>
        <v>0</v>
      </c>
      <c r="K226" s="2145">
        <f t="shared" si="45"/>
        <v>0</v>
      </c>
      <c r="L226" s="2146"/>
      <c r="V226" s="1352">
        <f t="shared" si="47"/>
        <v>7</v>
      </c>
      <c r="W226" s="1433">
        <f>IF(V226=1,Cal!$BP$127,0)</f>
        <v>0</v>
      </c>
      <c r="X226" s="1367">
        <f>IF(V226=1,Adm!$HI$4,0)</f>
        <v>0</v>
      </c>
      <c r="Z226" s="1153"/>
      <c r="AC226" s="1370">
        <f t="shared" si="49"/>
        <v>0</v>
      </c>
      <c r="AD226" s="1373">
        <f t="shared" si="50"/>
        <v>0</v>
      </c>
      <c r="AE226" s="1371">
        <f t="shared" si="51"/>
        <v>0</v>
      </c>
      <c r="AF226" s="1359">
        <f>HLOOKUP($AF$11,anticipafreeliq,212,0)</f>
        <v>-8.4490555555555551E-4</v>
      </c>
      <c r="AH226" s="1360">
        <f>Free!AK281</f>
        <v>-8.4490555555555551E-4</v>
      </c>
    </row>
    <row r="227" spans="1:34">
      <c r="A227" s="1118">
        <f t="shared" ca="1" si="40"/>
        <v>11</v>
      </c>
      <c r="B227" s="1101">
        <f t="shared" si="41"/>
        <v>0</v>
      </c>
      <c r="C227" s="2149">
        <f t="shared" si="42"/>
        <v>0</v>
      </c>
      <c r="D227" s="2150">
        <f t="shared" si="39"/>
        <v>0</v>
      </c>
      <c r="E227" s="2145">
        <f t="shared" si="46"/>
        <v>0</v>
      </c>
      <c r="F227" s="2145">
        <f t="shared" si="43"/>
        <v>0</v>
      </c>
      <c r="G227" s="2145">
        <f t="shared" si="48"/>
        <v>0</v>
      </c>
      <c r="H227" s="2145">
        <f>IF(K226&lt;0.01,0,IF(Adm!$GS$4=Adm!$GS$8,0,IF(Adm!$GS$12="Pagados por el Banco",0,K226*Adm!$GV$4)))</f>
        <v>0</v>
      </c>
      <c r="I227" s="2145">
        <f>IF(K226&lt;0.01,0,E227*Adm!$O$8)</f>
        <v>0</v>
      </c>
      <c r="J227" s="2145">
        <f t="shared" si="44"/>
        <v>0</v>
      </c>
      <c r="K227" s="2145">
        <f t="shared" si="45"/>
        <v>0</v>
      </c>
      <c r="L227" s="2146"/>
      <c r="V227" s="1352">
        <f t="shared" si="47"/>
        <v>8</v>
      </c>
      <c r="W227" s="1433">
        <f>IF(V227=1,Cal!$BP$127,0)</f>
        <v>0</v>
      </c>
      <c r="X227" s="1367">
        <f>IF(V227=1,Adm!$HI$4,0)</f>
        <v>0</v>
      </c>
      <c r="Z227" s="1153"/>
      <c r="AC227" s="1370">
        <f t="shared" si="49"/>
        <v>0</v>
      </c>
      <c r="AD227" s="1373">
        <f t="shared" si="50"/>
        <v>0</v>
      </c>
      <c r="AE227" s="1371">
        <f t="shared" si="51"/>
        <v>0</v>
      </c>
      <c r="AF227" s="1359">
        <f>HLOOKUP($AF$11,anticipafreeliq,213,0)</f>
        <v>-8.4490555555555551E-4</v>
      </c>
      <c r="AH227" s="1360">
        <f>Free!AK282</f>
        <v>-8.4490555555555551E-4</v>
      </c>
    </row>
    <row r="228" spans="1:34">
      <c r="A228" s="1118">
        <f t="shared" ca="1" si="40"/>
        <v>12</v>
      </c>
      <c r="B228" s="1101">
        <f t="shared" si="41"/>
        <v>0</v>
      </c>
      <c r="C228" s="2149">
        <f t="shared" si="42"/>
        <v>0</v>
      </c>
      <c r="D228" s="2150">
        <f t="shared" si="39"/>
        <v>0</v>
      </c>
      <c r="E228" s="2145">
        <f t="shared" si="46"/>
        <v>0</v>
      </c>
      <c r="F228" s="2145">
        <f t="shared" si="43"/>
        <v>0</v>
      </c>
      <c r="G228" s="2145">
        <f t="shared" si="48"/>
        <v>0</v>
      </c>
      <c r="H228" s="2145">
        <f>IF(K227&lt;0.01,0,IF(Adm!$GS$4=Adm!$GS$8,0,IF(Adm!$GS$12="Pagados por el Banco",0,K227*Adm!$GV$4)))</f>
        <v>0</v>
      </c>
      <c r="I228" s="2145">
        <f>IF(K227&lt;0.01,0,E228*Adm!$O$8)</f>
        <v>0</v>
      </c>
      <c r="J228" s="2145">
        <f t="shared" si="44"/>
        <v>0</v>
      </c>
      <c r="K228" s="2145">
        <f t="shared" si="45"/>
        <v>0</v>
      </c>
      <c r="L228" s="2146"/>
      <c r="V228" s="1352">
        <f t="shared" si="47"/>
        <v>9</v>
      </c>
      <c r="W228" s="1433">
        <f>IF(V228=1,Cal!$BP$127,0)</f>
        <v>0</v>
      </c>
      <c r="X228" s="1367">
        <f>IF(V228=1,Adm!$HI$4,0)</f>
        <v>0</v>
      </c>
      <c r="Z228" s="1153"/>
      <c r="AC228" s="1370">
        <f t="shared" si="49"/>
        <v>0</v>
      </c>
      <c r="AD228" s="1373">
        <f t="shared" si="50"/>
        <v>0</v>
      </c>
      <c r="AE228" s="1371">
        <f t="shared" si="51"/>
        <v>0</v>
      </c>
      <c r="AF228" s="1359">
        <f>HLOOKUP($AF$11,anticipafreeliq,214,0)</f>
        <v>-8.4490555555555551E-4</v>
      </c>
      <c r="AH228" s="1360">
        <f>Free!AK283</f>
        <v>-8.4490555555555551E-4</v>
      </c>
    </row>
    <row r="229" spans="1:34">
      <c r="A229" s="1118">
        <f t="shared" ca="1" si="40"/>
        <v>1</v>
      </c>
      <c r="B229" s="1101">
        <f t="shared" si="41"/>
        <v>0</v>
      </c>
      <c r="C229" s="2149">
        <f t="shared" si="42"/>
        <v>0</v>
      </c>
      <c r="D229" s="2150">
        <f t="shared" si="39"/>
        <v>0</v>
      </c>
      <c r="E229" s="2145">
        <f t="shared" si="46"/>
        <v>0</v>
      </c>
      <c r="F229" s="2145">
        <f t="shared" si="43"/>
        <v>0</v>
      </c>
      <c r="G229" s="2145">
        <f t="shared" si="48"/>
        <v>0</v>
      </c>
      <c r="H229" s="2145">
        <f>IF(K228&lt;0.01,0,IF(Adm!$GS$4=Adm!$GS$8,0,IF(Adm!$GS$12="Pagados por el Banco",0,K228*Adm!$GV$4)))</f>
        <v>0</v>
      </c>
      <c r="I229" s="2145">
        <f>IF(K228&lt;0.01,0,E229*Adm!$O$8)</f>
        <v>0</v>
      </c>
      <c r="J229" s="2145">
        <f t="shared" si="44"/>
        <v>0</v>
      </c>
      <c r="K229" s="2145">
        <f t="shared" si="45"/>
        <v>0</v>
      </c>
      <c r="L229" s="2146"/>
      <c r="V229" s="1352">
        <f t="shared" si="47"/>
        <v>10</v>
      </c>
      <c r="W229" s="1433">
        <f>IF(V229=1,Cal!$BP$127,0)</f>
        <v>0</v>
      </c>
      <c r="X229" s="1367">
        <f>IF(V229=1,Adm!$HI$4,0)</f>
        <v>0</v>
      </c>
      <c r="Z229" s="1153"/>
      <c r="AC229" s="1370">
        <f t="shared" si="49"/>
        <v>0</v>
      </c>
      <c r="AD229" s="1373">
        <f t="shared" si="50"/>
        <v>0</v>
      </c>
      <c r="AE229" s="1371">
        <f t="shared" si="51"/>
        <v>0</v>
      </c>
      <c r="AF229" s="1359">
        <f>HLOOKUP($AF$11,anticipafreeliq,215,0)</f>
        <v>-8.4490555555555562E-4</v>
      </c>
      <c r="AH229" s="1360">
        <f>Free!AK284</f>
        <v>-8.4490555555555562E-4</v>
      </c>
    </row>
    <row r="230" spans="1:34">
      <c r="A230" s="1118">
        <f t="shared" ca="1" si="40"/>
        <v>2</v>
      </c>
      <c r="B230" s="1101">
        <f t="shared" si="41"/>
        <v>0</v>
      </c>
      <c r="C230" s="2149">
        <f t="shared" si="42"/>
        <v>0</v>
      </c>
      <c r="D230" s="2150">
        <f t="shared" si="39"/>
        <v>0</v>
      </c>
      <c r="E230" s="2145">
        <f t="shared" si="46"/>
        <v>0</v>
      </c>
      <c r="F230" s="2145">
        <f t="shared" si="43"/>
        <v>0</v>
      </c>
      <c r="G230" s="2145">
        <f t="shared" si="48"/>
        <v>0</v>
      </c>
      <c r="H230" s="2145">
        <f>IF(K229&lt;0.01,0,IF(Adm!$GS$4=Adm!$GS$8,0,IF(Adm!$GS$12="Pagados por el Banco",0,K229*Adm!$GV$4)))</f>
        <v>0</v>
      </c>
      <c r="I230" s="2145">
        <f>IF(K229&lt;0.01,0,E230*Adm!$O$8)</f>
        <v>0</v>
      </c>
      <c r="J230" s="2145">
        <f t="shared" si="44"/>
        <v>0</v>
      </c>
      <c r="K230" s="2145">
        <f t="shared" si="45"/>
        <v>0</v>
      </c>
      <c r="L230" s="2146"/>
      <c r="V230" s="1352">
        <f t="shared" si="47"/>
        <v>11</v>
      </c>
      <c r="W230" s="1433">
        <f>IF(V230=1,Cal!$BP$127,0)</f>
        <v>0</v>
      </c>
      <c r="X230" s="1367">
        <f>IF(V230=1,Adm!$HI$4,0)</f>
        <v>0</v>
      </c>
      <c r="Z230" s="1153"/>
      <c r="AC230" s="1370">
        <f t="shared" si="49"/>
        <v>0</v>
      </c>
      <c r="AD230" s="1373">
        <f t="shared" si="50"/>
        <v>0</v>
      </c>
      <c r="AE230" s="1371">
        <f t="shared" si="51"/>
        <v>0</v>
      </c>
      <c r="AF230" s="1359">
        <f>HLOOKUP($AF$11,anticipafreeliq,216,0)</f>
        <v>-8.4490555555555551E-4</v>
      </c>
      <c r="AH230" s="1360">
        <f>Free!AK285</f>
        <v>-8.4490555555555551E-4</v>
      </c>
    </row>
    <row r="231" spans="1:34">
      <c r="A231" s="1118">
        <f t="shared" ca="1" si="40"/>
        <v>3</v>
      </c>
      <c r="B231" s="1101">
        <f t="shared" si="41"/>
        <v>0</v>
      </c>
      <c r="C231" s="2149">
        <f t="shared" si="42"/>
        <v>0</v>
      </c>
      <c r="D231" s="2150">
        <f t="shared" si="39"/>
        <v>0</v>
      </c>
      <c r="E231" s="2145">
        <f t="shared" si="46"/>
        <v>0</v>
      </c>
      <c r="F231" s="2145">
        <f t="shared" si="43"/>
        <v>0</v>
      </c>
      <c r="G231" s="2145">
        <f t="shared" si="48"/>
        <v>0</v>
      </c>
      <c r="H231" s="2145">
        <f>IF(K230&lt;0.01,0,IF(Adm!$GS$4=Adm!$GS$8,0,IF(Adm!$GS$12="Pagados por el Banco",0,K230*Adm!$GV$4)))</f>
        <v>0</v>
      </c>
      <c r="I231" s="2145">
        <f>IF(K230&lt;0.01,0,E231*Adm!$O$8)</f>
        <v>0</v>
      </c>
      <c r="J231" s="2145">
        <f t="shared" si="44"/>
        <v>0</v>
      </c>
      <c r="K231" s="2145">
        <f t="shared" si="45"/>
        <v>0</v>
      </c>
      <c r="L231" s="2146"/>
      <c r="V231" s="1352">
        <f t="shared" si="47"/>
        <v>12</v>
      </c>
      <c r="W231" s="1433">
        <f>IF(V231=1,Cal!$BP$127,0)</f>
        <v>0</v>
      </c>
      <c r="X231" s="1367">
        <f>IF(V231=1,Adm!$HI$4,0)</f>
        <v>0</v>
      </c>
      <c r="Z231" s="1153"/>
      <c r="AC231" s="1370">
        <f t="shared" si="49"/>
        <v>0</v>
      </c>
      <c r="AD231" s="1373">
        <f t="shared" si="50"/>
        <v>0</v>
      </c>
      <c r="AE231" s="1371">
        <f t="shared" si="51"/>
        <v>0</v>
      </c>
      <c r="AF231" s="1359">
        <f>HLOOKUP($AF$11,anticipafreeliq,217,0)</f>
        <v>-8.4490555555555551E-4</v>
      </c>
      <c r="AH231" s="1360">
        <f>Free!AK286</f>
        <v>-8.4490555555555551E-4</v>
      </c>
    </row>
    <row r="232" spans="1:34">
      <c r="A232" s="1118">
        <f t="shared" ca="1" si="40"/>
        <v>4</v>
      </c>
      <c r="B232" s="1101">
        <f t="shared" si="41"/>
        <v>0</v>
      </c>
      <c r="C232" s="2149">
        <f t="shared" si="42"/>
        <v>0</v>
      </c>
      <c r="D232" s="2150">
        <f t="shared" si="39"/>
        <v>0</v>
      </c>
      <c r="E232" s="2145">
        <f t="shared" si="46"/>
        <v>0</v>
      </c>
      <c r="F232" s="2145">
        <f t="shared" si="43"/>
        <v>0</v>
      </c>
      <c r="G232" s="2145">
        <f t="shared" si="48"/>
        <v>0</v>
      </c>
      <c r="H232" s="2145">
        <f>IF(K231&lt;0.01,0,IF(Adm!$GS$4=Adm!$GS$8,0,IF(Adm!$GS$12="Pagados por el Banco",0,K231*Adm!$GV$4)))</f>
        <v>0</v>
      </c>
      <c r="I232" s="2145">
        <f>IF(K231&lt;0.01,0,E232*Adm!$O$8)</f>
        <v>0</v>
      </c>
      <c r="J232" s="2145">
        <f t="shared" si="44"/>
        <v>0</v>
      </c>
      <c r="K232" s="2145">
        <f t="shared" si="45"/>
        <v>0</v>
      </c>
      <c r="L232" s="2146"/>
      <c r="V232" s="1352">
        <f t="shared" si="47"/>
        <v>1</v>
      </c>
      <c r="W232" s="1433">
        <f>IF(V232=1,Cal!$BP$127,0)</f>
        <v>0</v>
      </c>
      <c r="X232" s="1367">
        <f>IF(V232=1,Adm!$HI$4,0)</f>
        <v>2.5000000000000001E-3</v>
      </c>
      <c r="Z232" s="1153"/>
      <c r="AC232" s="1370">
        <f t="shared" si="49"/>
        <v>0</v>
      </c>
      <c r="AD232" s="1373">
        <f t="shared" si="50"/>
        <v>0</v>
      </c>
      <c r="AE232" s="1371">
        <f t="shared" si="51"/>
        <v>0</v>
      </c>
      <c r="AF232" s="1359">
        <f>HLOOKUP($AF$11,anticipafreeliq,218,0)</f>
        <v>-8.4490555555555551E-4</v>
      </c>
      <c r="AH232" s="1360">
        <f>Free!AK287</f>
        <v>-8.4490555555555551E-4</v>
      </c>
    </row>
    <row r="233" spans="1:34">
      <c r="A233" s="1118">
        <f t="shared" ca="1" si="40"/>
        <v>5</v>
      </c>
      <c r="B233" s="1101">
        <f t="shared" si="41"/>
        <v>0</v>
      </c>
      <c r="C233" s="2149">
        <f t="shared" si="42"/>
        <v>0</v>
      </c>
      <c r="D233" s="2150">
        <f t="shared" si="39"/>
        <v>0</v>
      </c>
      <c r="E233" s="2145">
        <f t="shared" si="46"/>
        <v>0</v>
      </c>
      <c r="F233" s="2145">
        <f t="shared" si="43"/>
        <v>0</v>
      </c>
      <c r="G233" s="2145">
        <f t="shared" si="48"/>
        <v>0</v>
      </c>
      <c r="H233" s="2145">
        <f>IF(K232&lt;0.01,0,IF(Adm!$GS$4=Adm!$GS$8,0,IF(Adm!$GS$12="Pagados por el Banco",0,K232*Adm!$GV$4)))</f>
        <v>0</v>
      </c>
      <c r="I233" s="2145">
        <f>IF(K232&lt;0.01,0,E233*Adm!$O$8)</f>
        <v>0</v>
      </c>
      <c r="J233" s="2145">
        <f t="shared" si="44"/>
        <v>0</v>
      </c>
      <c r="K233" s="2145">
        <f t="shared" si="45"/>
        <v>0</v>
      </c>
      <c r="L233" s="2146"/>
      <c r="V233" s="1352">
        <f t="shared" si="47"/>
        <v>2</v>
      </c>
      <c r="W233" s="1433">
        <f>IF(V233=1,Cal!$BP$127,0)</f>
        <v>0</v>
      </c>
      <c r="X233" s="1367">
        <f>IF(V233=1,Adm!$HI$4,0)</f>
        <v>0</v>
      </c>
      <c r="Z233" s="1153"/>
      <c r="AC233" s="1370">
        <f t="shared" si="49"/>
        <v>0</v>
      </c>
      <c r="AD233" s="1373">
        <f t="shared" si="50"/>
        <v>0</v>
      </c>
      <c r="AE233" s="1371">
        <f t="shared" si="51"/>
        <v>0</v>
      </c>
      <c r="AF233" s="1359">
        <f>HLOOKUP($AF$11,anticipafreeliq,219,0)</f>
        <v>-8.4490555555555551E-4</v>
      </c>
      <c r="AH233" s="1360">
        <f>Free!AK288</f>
        <v>-8.4490555555555551E-4</v>
      </c>
    </row>
    <row r="234" spans="1:34">
      <c r="A234" s="1118">
        <f t="shared" ca="1" si="40"/>
        <v>6</v>
      </c>
      <c r="B234" s="1101">
        <f t="shared" si="41"/>
        <v>0</v>
      </c>
      <c r="C234" s="2149">
        <f t="shared" si="42"/>
        <v>0</v>
      </c>
      <c r="D234" s="2150">
        <f t="shared" si="39"/>
        <v>0</v>
      </c>
      <c r="E234" s="2145">
        <f t="shared" si="46"/>
        <v>0</v>
      </c>
      <c r="F234" s="2145">
        <f t="shared" si="43"/>
        <v>0</v>
      </c>
      <c r="G234" s="2145">
        <f t="shared" si="48"/>
        <v>0</v>
      </c>
      <c r="H234" s="2145">
        <f>IF(K233&lt;0.01,0,IF(Adm!$GS$4=Adm!$GS$8,0,IF(Adm!$GS$12="Pagados por el Banco",0,K233*Adm!$GV$4)))</f>
        <v>0</v>
      </c>
      <c r="I234" s="2145">
        <f>IF(K233&lt;0.01,0,E234*Adm!$O$8)</f>
        <v>0</v>
      </c>
      <c r="J234" s="2145">
        <f t="shared" si="44"/>
        <v>0</v>
      </c>
      <c r="K234" s="2145">
        <f t="shared" si="45"/>
        <v>0</v>
      </c>
      <c r="L234" s="2146"/>
      <c r="V234" s="1352">
        <f t="shared" si="47"/>
        <v>3</v>
      </c>
      <c r="W234" s="1433">
        <f>IF(V234=1,Cal!$BP$127,0)</f>
        <v>0</v>
      </c>
      <c r="X234" s="1367">
        <f>IF(V234=1,Adm!$HI$4,0)</f>
        <v>0</v>
      </c>
      <c r="Z234" s="1153"/>
      <c r="AC234" s="1370">
        <f t="shared" si="49"/>
        <v>0</v>
      </c>
      <c r="AD234" s="1373">
        <f t="shared" si="50"/>
        <v>0</v>
      </c>
      <c r="AE234" s="1371">
        <f t="shared" si="51"/>
        <v>0</v>
      </c>
      <c r="AF234" s="1359">
        <f>HLOOKUP($AF$11,anticipafreeliq,220,0)</f>
        <v>-8.4490555555555562E-4</v>
      </c>
      <c r="AH234" s="1360">
        <f>Free!AK289</f>
        <v>-8.4490555555555562E-4</v>
      </c>
    </row>
    <row r="235" spans="1:34">
      <c r="A235" s="1118">
        <f t="shared" ca="1" si="40"/>
        <v>7</v>
      </c>
      <c r="B235" s="1101">
        <f t="shared" si="41"/>
        <v>0</v>
      </c>
      <c r="C235" s="2149">
        <f t="shared" si="42"/>
        <v>0</v>
      </c>
      <c r="D235" s="2150">
        <f t="shared" si="39"/>
        <v>0</v>
      </c>
      <c r="E235" s="2145">
        <f t="shared" si="46"/>
        <v>0</v>
      </c>
      <c r="F235" s="2145">
        <f t="shared" si="43"/>
        <v>0</v>
      </c>
      <c r="G235" s="2145">
        <f t="shared" si="48"/>
        <v>0</v>
      </c>
      <c r="H235" s="2145">
        <f>IF(K234&lt;0.01,0,IF(Adm!$GS$4=Adm!$GS$8,0,IF(Adm!$GS$12="Pagados por el Banco",0,K234*Adm!$GV$4)))</f>
        <v>0</v>
      </c>
      <c r="I235" s="2145">
        <f>IF(K234&lt;0.01,0,E235*Adm!$O$8)</f>
        <v>0</v>
      </c>
      <c r="J235" s="2145">
        <f t="shared" si="44"/>
        <v>0</v>
      </c>
      <c r="K235" s="2145">
        <f t="shared" si="45"/>
        <v>0</v>
      </c>
      <c r="L235" s="2146"/>
      <c r="V235" s="1352">
        <f t="shared" si="47"/>
        <v>4</v>
      </c>
      <c r="W235" s="1433">
        <f>IF(V235=1,Cal!$BP$127,0)</f>
        <v>0</v>
      </c>
      <c r="X235" s="1367">
        <f>IF(V235=1,Adm!$HI$4,0)</f>
        <v>0</v>
      </c>
      <c r="Z235" s="1153"/>
      <c r="AC235" s="1370">
        <f t="shared" si="49"/>
        <v>0</v>
      </c>
      <c r="AD235" s="1373">
        <f t="shared" si="50"/>
        <v>0</v>
      </c>
      <c r="AE235" s="1371">
        <f t="shared" si="51"/>
        <v>0</v>
      </c>
      <c r="AF235" s="1359">
        <f>HLOOKUP($AF$11,anticipafreeliq,221,0)</f>
        <v>-8.4490555555555562E-4</v>
      </c>
      <c r="AH235" s="1360">
        <f>Free!AK290</f>
        <v>-8.4490555555555562E-4</v>
      </c>
    </row>
    <row r="236" spans="1:34">
      <c r="A236" s="1118">
        <f t="shared" ca="1" si="40"/>
        <v>8</v>
      </c>
      <c r="B236" s="1101">
        <f t="shared" si="41"/>
        <v>0</v>
      </c>
      <c r="C236" s="2149">
        <f t="shared" si="42"/>
        <v>0</v>
      </c>
      <c r="D236" s="2150">
        <f t="shared" si="39"/>
        <v>0</v>
      </c>
      <c r="E236" s="2145">
        <f t="shared" si="46"/>
        <v>0</v>
      </c>
      <c r="F236" s="2145">
        <f t="shared" si="43"/>
        <v>0</v>
      </c>
      <c r="G236" s="2145">
        <f t="shared" si="48"/>
        <v>0</v>
      </c>
      <c r="H236" s="2145">
        <f>IF(K235&lt;0.01,0,IF(Adm!$GS$4=Adm!$GS$8,0,IF(Adm!$GS$12="Pagados por el Banco",0,K235*Adm!$GV$4)))</f>
        <v>0</v>
      </c>
      <c r="I236" s="2145">
        <f>IF(K235&lt;0.01,0,E236*Adm!$O$8)</f>
        <v>0</v>
      </c>
      <c r="J236" s="2145">
        <f t="shared" si="44"/>
        <v>0</v>
      </c>
      <c r="K236" s="2145">
        <f t="shared" si="45"/>
        <v>0</v>
      </c>
      <c r="L236" s="2146"/>
      <c r="V236" s="1352">
        <f t="shared" si="47"/>
        <v>5</v>
      </c>
      <c r="W236" s="1433">
        <f>IF(V236=1,Cal!$BP$127,0)</f>
        <v>0</v>
      </c>
      <c r="X236" s="1367">
        <f>IF(V236=1,Adm!$HI$4,0)</f>
        <v>0</v>
      </c>
      <c r="Z236" s="1153"/>
      <c r="AC236" s="1370">
        <f t="shared" si="49"/>
        <v>0</v>
      </c>
      <c r="AD236" s="1373">
        <f t="shared" si="50"/>
        <v>0</v>
      </c>
      <c r="AE236" s="1371">
        <f t="shared" si="51"/>
        <v>0</v>
      </c>
      <c r="AF236" s="1359">
        <f>HLOOKUP($AF$11,anticipafreeliq,222,0)</f>
        <v>-8.4490555555555562E-4</v>
      </c>
      <c r="AH236" s="1360">
        <f>Free!AK291</f>
        <v>-8.4490555555555562E-4</v>
      </c>
    </row>
    <row r="237" spans="1:34">
      <c r="A237" s="1118">
        <f t="shared" ca="1" si="40"/>
        <v>9</v>
      </c>
      <c r="B237" s="1101">
        <f t="shared" si="41"/>
        <v>0</v>
      </c>
      <c r="C237" s="2149">
        <f t="shared" si="42"/>
        <v>0</v>
      </c>
      <c r="D237" s="2150">
        <f t="shared" si="39"/>
        <v>0</v>
      </c>
      <c r="E237" s="2145">
        <f t="shared" si="46"/>
        <v>0</v>
      </c>
      <c r="F237" s="2145">
        <f t="shared" si="43"/>
        <v>0</v>
      </c>
      <c r="G237" s="2145">
        <f t="shared" si="48"/>
        <v>0</v>
      </c>
      <c r="H237" s="2145">
        <f>IF(K236&lt;0.01,0,IF(Adm!$GS$4=Adm!$GS$8,0,IF(Adm!$GS$12="Pagados por el Banco",0,K236*Adm!$GV$4)))</f>
        <v>0</v>
      </c>
      <c r="I237" s="2145">
        <f>IF(K236&lt;0.01,0,E237*Adm!$O$8)</f>
        <v>0</v>
      </c>
      <c r="J237" s="2145">
        <f t="shared" si="44"/>
        <v>0</v>
      </c>
      <c r="K237" s="2145">
        <f t="shared" si="45"/>
        <v>0</v>
      </c>
      <c r="L237" s="2146"/>
      <c r="V237" s="1352">
        <f t="shared" si="47"/>
        <v>6</v>
      </c>
      <c r="W237" s="1433">
        <f>IF(V237=1,Cal!$BP$127,0)</f>
        <v>0</v>
      </c>
      <c r="X237" s="1367">
        <f>IF(V237=1,Adm!$HI$4,0)</f>
        <v>0</v>
      </c>
      <c r="Z237" s="1153"/>
      <c r="AC237" s="1370">
        <f t="shared" si="49"/>
        <v>0</v>
      </c>
      <c r="AD237" s="1373">
        <f t="shared" si="50"/>
        <v>0</v>
      </c>
      <c r="AE237" s="1371">
        <f t="shared" si="51"/>
        <v>0</v>
      </c>
      <c r="AF237" s="1359">
        <f>HLOOKUP($AF$11,anticipafreeliq,223,0)</f>
        <v>-8.4490555555555551E-4</v>
      </c>
      <c r="AH237" s="1360">
        <f>Free!AK292</f>
        <v>-8.4490555555555551E-4</v>
      </c>
    </row>
    <row r="238" spans="1:34">
      <c r="A238" s="1118">
        <f t="shared" ca="1" si="40"/>
        <v>10</v>
      </c>
      <c r="B238" s="1101">
        <f t="shared" si="41"/>
        <v>0</v>
      </c>
      <c r="C238" s="2149">
        <f t="shared" si="42"/>
        <v>0</v>
      </c>
      <c r="D238" s="2150">
        <f t="shared" si="39"/>
        <v>0</v>
      </c>
      <c r="E238" s="2145">
        <f t="shared" si="46"/>
        <v>0</v>
      </c>
      <c r="F238" s="2145">
        <f t="shared" si="43"/>
        <v>0</v>
      </c>
      <c r="G238" s="2145">
        <f t="shared" si="48"/>
        <v>0</v>
      </c>
      <c r="H238" s="2145">
        <f>IF(K237&lt;0.01,0,IF(Adm!$GS$4=Adm!$GS$8,0,IF(Adm!$GS$12="Pagados por el Banco",0,K237*Adm!$GV$4)))</f>
        <v>0</v>
      </c>
      <c r="I238" s="2145">
        <f>IF(K237&lt;0.01,0,E238*Adm!$O$8)</f>
        <v>0</v>
      </c>
      <c r="J238" s="2145">
        <f t="shared" si="44"/>
        <v>0</v>
      </c>
      <c r="K238" s="2145">
        <f t="shared" si="45"/>
        <v>0</v>
      </c>
      <c r="L238" s="2146"/>
      <c r="V238" s="1352">
        <f t="shared" si="47"/>
        <v>7</v>
      </c>
      <c r="W238" s="1433">
        <f>IF(V238=1,Cal!$BP$127,0)</f>
        <v>0</v>
      </c>
      <c r="X238" s="1367">
        <f>IF(V238=1,Adm!$HI$4,0)</f>
        <v>0</v>
      </c>
      <c r="Z238" s="1153"/>
      <c r="AC238" s="1370">
        <f t="shared" si="49"/>
        <v>0</v>
      </c>
      <c r="AD238" s="1373">
        <f t="shared" si="50"/>
        <v>0</v>
      </c>
      <c r="AE238" s="1371">
        <f t="shared" si="51"/>
        <v>0</v>
      </c>
      <c r="AF238" s="1359">
        <f>HLOOKUP($AF$11,anticipafreeliq,224,0)</f>
        <v>-8.4490555555555551E-4</v>
      </c>
      <c r="AH238" s="1360">
        <f>Free!AK293</f>
        <v>-8.4490555555555551E-4</v>
      </c>
    </row>
    <row r="239" spans="1:34">
      <c r="A239" s="1118">
        <f t="shared" ca="1" si="40"/>
        <v>11</v>
      </c>
      <c r="B239" s="1101">
        <f t="shared" si="41"/>
        <v>0</v>
      </c>
      <c r="C239" s="2149">
        <f t="shared" si="42"/>
        <v>0</v>
      </c>
      <c r="D239" s="2150">
        <f t="shared" si="39"/>
        <v>0</v>
      </c>
      <c r="E239" s="2145">
        <f t="shared" si="46"/>
        <v>0</v>
      </c>
      <c r="F239" s="2145">
        <f t="shared" si="43"/>
        <v>0</v>
      </c>
      <c r="G239" s="2145">
        <f t="shared" si="48"/>
        <v>0</v>
      </c>
      <c r="H239" s="2145">
        <f>IF(K238&lt;0.01,0,IF(Adm!$GS$4=Adm!$GS$8,0,IF(Adm!$GS$12="Pagados por el Banco",0,K238*Adm!$GV$4)))</f>
        <v>0</v>
      </c>
      <c r="I239" s="2145">
        <f>IF(K238&lt;0.01,0,E239*Adm!$O$8)</f>
        <v>0</v>
      </c>
      <c r="J239" s="2145">
        <f t="shared" si="44"/>
        <v>0</v>
      </c>
      <c r="K239" s="2145">
        <f t="shared" si="45"/>
        <v>0</v>
      </c>
      <c r="L239" s="2146"/>
      <c r="V239" s="1352">
        <f t="shared" si="47"/>
        <v>8</v>
      </c>
      <c r="W239" s="1433">
        <f>IF(V239=1,Cal!$BP$127,0)</f>
        <v>0</v>
      </c>
      <c r="X239" s="1367">
        <f>IF(V239=1,Adm!$HI$4,0)</f>
        <v>0</v>
      </c>
      <c r="Z239" s="1153"/>
      <c r="AC239" s="1370">
        <f t="shared" si="49"/>
        <v>0</v>
      </c>
      <c r="AD239" s="1373">
        <f t="shared" si="50"/>
        <v>0</v>
      </c>
      <c r="AE239" s="1371">
        <f t="shared" si="51"/>
        <v>0</v>
      </c>
      <c r="AF239" s="1359">
        <f>HLOOKUP($AF$11,anticipafreeliq,225,0)</f>
        <v>-8.4490555555555562E-4</v>
      </c>
      <c r="AH239" s="1360">
        <f>Free!AK294</f>
        <v>-8.4490555555555562E-4</v>
      </c>
    </row>
    <row r="240" spans="1:34">
      <c r="A240" s="1118">
        <f t="shared" ca="1" si="40"/>
        <v>12</v>
      </c>
      <c r="B240" s="1101">
        <f t="shared" si="41"/>
        <v>0</v>
      </c>
      <c r="C240" s="2149">
        <f t="shared" si="42"/>
        <v>0</v>
      </c>
      <c r="D240" s="2150">
        <f t="shared" si="39"/>
        <v>0</v>
      </c>
      <c r="E240" s="2145">
        <f t="shared" si="46"/>
        <v>0</v>
      </c>
      <c r="F240" s="2145">
        <f t="shared" si="43"/>
        <v>0</v>
      </c>
      <c r="G240" s="2145">
        <f t="shared" si="48"/>
        <v>0</v>
      </c>
      <c r="H240" s="2145">
        <f>IF(K239&lt;0.01,0,IF(Adm!$GS$4=Adm!$GS$8,0,IF(Adm!$GS$12="Pagados por el Banco",0,K239*Adm!$GV$4)))</f>
        <v>0</v>
      </c>
      <c r="I240" s="2145">
        <f>IF(K239&lt;0.01,0,E240*Adm!$O$8)</f>
        <v>0</v>
      </c>
      <c r="J240" s="2145">
        <f t="shared" si="44"/>
        <v>0</v>
      </c>
      <c r="K240" s="2145">
        <f t="shared" si="45"/>
        <v>0</v>
      </c>
      <c r="L240" s="2146"/>
      <c r="V240" s="1352">
        <f t="shared" si="47"/>
        <v>9</v>
      </c>
      <c r="W240" s="1433">
        <f>IF(V240=1,Cal!$BP$127,0)</f>
        <v>0</v>
      </c>
      <c r="X240" s="1367">
        <f>IF(V240=1,Adm!$HI$4,0)</f>
        <v>0</v>
      </c>
      <c r="Z240" s="1153"/>
      <c r="AC240" s="1370">
        <f t="shared" si="49"/>
        <v>0</v>
      </c>
      <c r="AD240" s="1373">
        <f t="shared" si="50"/>
        <v>0</v>
      </c>
      <c r="AE240" s="1371">
        <f t="shared" si="51"/>
        <v>0</v>
      </c>
      <c r="AF240" s="1359">
        <f>HLOOKUP($AF$11,anticipafreeliq,226,0)</f>
        <v>-8.4490555555555562E-4</v>
      </c>
      <c r="AH240" s="1360">
        <f>Free!AK295</f>
        <v>-8.4490555555555562E-4</v>
      </c>
    </row>
    <row r="241" spans="1:34">
      <c r="A241" s="1118">
        <f t="shared" ca="1" si="40"/>
        <v>1</v>
      </c>
      <c r="B241" s="1101">
        <f t="shared" si="41"/>
        <v>0</v>
      </c>
      <c r="C241" s="2149">
        <f t="shared" si="42"/>
        <v>0</v>
      </c>
      <c r="D241" s="2150">
        <f t="shared" si="39"/>
        <v>0</v>
      </c>
      <c r="E241" s="2145">
        <f t="shared" si="46"/>
        <v>0</v>
      </c>
      <c r="F241" s="2145">
        <f t="shared" si="43"/>
        <v>0</v>
      </c>
      <c r="G241" s="2145">
        <f t="shared" si="48"/>
        <v>0</v>
      </c>
      <c r="H241" s="2145">
        <f>IF(K240&lt;0.01,0,IF(Adm!$GS$4=Adm!$GS$8,0,IF(Adm!$GS$12="Pagados por el Banco",0,K240*Adm!$GV$4)))</f>
        <v>0</v>
      </c>
      <c r="I241" s="2145">
        <f>IF(K240&lt;0.01,0,E241*Adm!$O$8)</f>
        <v>0</v>
      </c>
      <c r="J241" s="2145">
        <f t="shared" si="44"/>
        <v>0</v>
      </c>
      <c r="K241" s="2145">
        <f t="shared" si="45"/>
        <v>0</v>
      </c>
      <c r="L241" s="2146"/>
      <c r="V241" s="1352">
        <f t="shared" si="47"/>
        <v>10</v>
      </c>
      <c r="W241" s="1433">
        <f>IF(V241=1,Cal!$BP$127,0)</f>
        <v>0</v>
      </c>
      <c r="X241" s="1367">
        <f>IF(V241=1,Adm!$HI$4,0)</f>
        <v>0</v>
      </c>
      <c r="Z241" s="1153"/>
      <c r="AC241" s="1370">
        <f t="shared" si="49"/>
        <v>0</v>
      </c>
      <c r="AD241" s="1373">
        <f t="shared" si="50"/>
        <v>0</v>
      </c>
      <c r="AE241" s="1371">
        <f t="shared" si="51"/>
        <v>0</v>
      </c>
      <c r="AF241" s="1359">
        <f>HLOOKUP($AF$11,anticipafreeliq,227,0)</f>
        <v>-8.4490555555555562E-4</v>
      </c>
      <c r="AH241" s="1360">
        <f>Free!AK296</f>
        <v>-8.4490555555555562E-4</v>
      </c>
    </row>
    <row r="242" spans="1:34">
      <c r="A242" s="1118">
        <f t="shared" ca="1" si="40"/>
        <v>2</v>
      </c>
      <c r="B242" s="1101">
        <f t="shared" si="41"/>
        <v>0</v>
      </c>
      <c r="C242" s="2149">
        <f t="shared" si="42"/>
        <v>0</v>
      </c>
      <c r="D242" s="2150">
        <f t="shared" si="39"/>
        <v>0</v>
      </c>
      <c r="E242" s="2145">
        <f t="shared" si="46"/>
        <v>0</v>
      </c>
      <c r="F242" s="2145">
        <f t="shared" si="43"/>
        <v>0</v>
      </c>
      <c r="G242" s="2145">
        <f t="shared" si="48"/>
        <v>0</v>
      </c>
      <c r="H242" s="2145">
        <f>IF(K241&lt;0.01,0,IF(Adm!$GS$4=Adm!$GS$8,0,IF(Adm!$GS$12="Pagados por el Banco",0,K241*Adm!$GV$4)))</f>
        <v>0</v>
      </c>
      <c r="I242" s="2145">
        <f>IF(K241&lt;0.01,0,E242*Adm!$O$8)</f>
        <v>0</v>
      </c>
      <c r="J242" s="2145">
        <f t="shared" si="44"/>
        <v>0</v>
      </c>
      <c r="K242" s="2145">
        <f t="shared" si="45"/>
        <v>0</v>
      </c>
      <c r="L242" s="2146"/>
      <c r="V242" s="1352">
        <f t="shared" si="47"/>
        <v>11</v>
      </c>
      <c r="W242" s="1433">
        <f>IF(V242=1,Cal!$BP$127,0)</f>
        <v>0</v>
      </c>
      <c r="X242" s="1367">
        <f>IF(V242=1,Adm!$HI$4,0)</f>
        <v>0</v>
      </c>
      <c r="Z242" s="1153"/>
      <c r="AC242" s="1370">
        <f t="shared" si="49"/>
        <v>0</v>
      </c>
      <c r="AD242" s="1373">
        <f t="shared" si="50"/>
        <v>0</v>
      </c>
      <c r="AE242" s="1371">
        <f t="shared" si="51"/>
        <v>0</v>
      </c>
      <c r="AF242" s="1359">
        <f>HLOOKUP($AF$11,anticipafreeliq,228,0)</f>
        <v>-8.4490555555555562E-4</v>
      </c>
      <c r="AH242" s="1360">
        <f>Free!AK297</f>
        <v>-8.4490555555555562E-4</v>
      </c>
    </row>
    <row r="243" spans="1:34">
      <c r="A243" s="1118">
        <f t="shared" ca="1" si="40"/>
        <v>3</v>
      </c>
      <c r="B243" s="1101">
        <f t="shared" si="41"/>
        <v>0</v>
      </c>
      <c r="C243" s="2149">
        <f t="shared" si="42"/>
        <v>0</v>
      </c>
      <c r="D243" s="2150">
        <f t="shared" si="39"/>
        <v>0</v>
      </c>
      <c r="E243" s="2145">
        <f t="shared" si="46"/>
        <v>0</v>
      </c>
      <c r="F243" s="2145">
        <f t="shared" si="43"/>
        <v>0</v>
      </c>
      <c r="G243" s="2145">
        <f t="shared" si="48"/>
        <v>0</v>
      </c>
      <c r="H243" s="2145">
        <f>IF(K242&lt;0.01,0,IF(Adm!$GS$4=Adm!$GS$8,0,IF(Adm!$GS$12="Pagados por el Banco",0,K242*Adm!$GV$4)))</f>
        <v>0</v>
      </c>
      <c r="I243" s="2145">
        <f>IF(K242&lt;0.01,0,E243*Adm!$O$8)</f>
        <v>0</v>
      </c>
      <c r="J243" s="2145">
        <f t="shared" si="44"/>
        <v>0</v>
      </c>
      <c r="K243" s="2145">
        <f t="shared" si="45"/>
        <v>0</v>
      </c>
      <c r="L243" s="2146"/>
      <c r="V243" s="1352">
        <f t="shared" si="47"/>
        <v>12</v>
      </c>
      <c r="W243" s="1433">
        <f>IF(V243=1,Cal!$BP$127,0)</f>
        <v>0</v>
      </c>
      <c r="X243" s="1367">
        <f>IF(V243=1,Adm!$HI$4,0)</f>
        <v>0</v>
      </c>
      <c r="Z243" s="1153"/>
      <c r="AC243" s="1370">
        <f t="shared" si="49"/>
        <v>0</v>
      </c>
      <c r="AD243" s="1373">
        <f t="shared" si="50"/>
        <v>0</v>
      </c>
      <c r="AE243" s="1371">
        <f t="shared" si="51"/>
        <v>0</v>
      </c>
      <c r="AF243" s="1359">
        <f>HLOOKUP($AF$11,anticipafreeliq,229,0)</f>
        <v>-8.4490555555555551E-4</v>
      </c>
      <c r="AH243" s="1360">
        <f>Free!AK298</f>
        <v>-8.4490555555555551E-4</v>
      </c>
    </row>
    <row r="244" spans="1:34">
      <c r="A244" s="1118">
        <f t="shared" ca="1" si="40"/>
        <v>4</v>
      </c>
      <c r="B244" s="1101">
        <f t="shared" si="41"/>
        <v>0</v>
      </c>
      <c r="C244" s="2149">
        <f t="shared" si="42"/>
        <v>0</v>
      </c>
      <c r="D244" s="2150">
        <f t="shared" ref="D244:D255" si="52">IF(K243&lt;0.01,0,IF(D243=$X$10,D243,IF(D243-X244&lt;=$X$10,D243-X244,D243-X244)))</f>
        <v>0</v>
      </c>
      <c r="E244" s="2145">
        <f t="shared" si="46"/>
        <v>0</v>
      </c>
      <c r="F244" s="2145">
        <f t="shared" si="43"/>
        <v>0</v>
      </c>
      <c r="G244" s="2145">
        <f t="shared" si="48"/>
        <v>0</v>
      </c>
      <c r="H244" s="2145">
        <f>IF(K243&lt;0.01,0,IF(Adm!$GS$4=Adm!$GS$8,0,IF(Adm!$GS$12="Pagados por el Banco",0,K243*Adm!$GV$4)))</f>
        <v>0</v>
      </c>
      <c r="I244" s="2145">
        <f>IF(K243&lt;0.01,0,E244*Adm!$O$8)</f>
        <v>0</v>
      </c>
      <c r="J244" s="2145">
        <f t="shared" si="44"/>
        <v>0</v>
      </c>
      <c r="K244" s="2145">
        <f t="shared" si="45"/>
        <v>0</v>
      </c>
      <c r="L244" s="2146"/>
      <c r="V244" s="1352">
        <f t="shared" si="47"/>
        <v>1</v>
      </c>
      <c r="W244" s="1433">
        <f>IF(V244=1,Cal!$BP$127,0)</f>
        <v>0</v>
      </c>
      <c r="X244" s="1367">
        <f>IF(V244=1,Adm!$HI$4,0)</f>
        <v>2.5000000000000001E-3</v>
      </c>
      <c r="Z244" s="1153"/>
      <c r="AC244" s="1370">
        <f t="shared" si="49"/>
        <v>0</v>
      </c>
      <c r="AD244" s="1373">
        <f t="shared" si="50"/>
        <v>0</v>
      </c>
      <c r="AE244" s="1371">
        <f t="shared" si="51"/>
        <v>0</v>
      </c>
      <c r="AF244" s="1359">
        <f>HLOOKUP($AF$11,anticipafreeliq,230,0)</f>
        <v>-8.4490555555555541E-4</v>
      </c>
      <c r="AH244" s="1360">
        <f>Free!AK299</f>
        <v>-8.4490555555555541E-4</v>
      </c>
    </row>
    <row r="245" spans="1:34">
      <c r="A245" s="1118">
        <f t="shared" ca="1" si="40"/>
        <v>5</v>
      </c>
      <c r="B245" s="1101">
        <f t="shared" si="41"/>
        <v>0</v>
      </c>
      <c r="C245" s="2149">
        <f t="shared" si="42"/>
        <v>0</v>
      </c>
      <c r="D245" s="2150">
        <f t="shared" si="52"/>
        <v>0</v>
      </c>
      <c r="E245" s="2145">
        <f t="shared" si="46"/>
        <v>0</v>
      </c>
      <c r="F245" s="2145">
        <f t="shared" si="43"/>
        <v>0</v>
      </c>
      <c r="G245" s="2145">
        <f t="shared" si="48"/>
        <v>0</v>
      </c>
      <c r="H245" s="2145">
        <f>IF(K244&lt;0.01,0,IF(Adm!$GS$4=Adm!$GS$8,0,IF(Adm!$GS$12="Pagados por el Banco",0,K244*Adm!$GV$4)))</f>
        <v>0</v>
      </c>
      <c r="I245" s="2145">
        <f>IF(K244&lt;0.01,0,E245*Adm!$O$8)</f>
        <v>0</v>
      </c>
      <c r="J245" s="2145">
        <f t="shared" si="44"/>
        <v>0</v>
      </c>
      <c r="K245" s="2145">
        <f t="shared" si="45"/>
        <v>0</v>
      </c>
      <c r="L245" s="2146"/>
      <c r="V245" s="1352">
        <f t="shared" si="47"/>
        <v>2</v>
      </c>
      <c r="W245" s="1433">
        <f>IF(V245=1,Cal!$BP$127,0)</f>
        <v>0</v>
      </c>
      <c r="X245" s="1367">
        <f>IF(V245=1,Adm!$HI$4,0)</f>
        <v>0</v>
      </c>
      <c r="Z245" s="1153"/>
      <c r="AC245" s="1370">
        <f t="shared" si="49"/>
        <v>0</v>
      </c>
      <c r="AD245" s="1373">
        <f t="shared" si="50"/>
        <v>0</v>
      </c>
      <c r="AE245" s="1371">
        <f t="shared" si="51"/>
        <v>0</v>
      </c>
      <c r="AF245" s="1359">
        <f>HLOOKUP($AF$11,anticipafreeliq,231,0)</f>
        <v>-8.4490555555555551E-4</v>
      </c>
      <c r="AH245" s="1360">
        <f>Free!AK300</f>
        <v>-8.4490555555555551E-4</v>
      </c>
    </row>
    <row r="246" spans="1:34">
      <c r="A246" s="1118">
        <f t="shared" ca="1" si="40"/>
        <v>6</v>
      </c>
      <c r="B246" s="1101">
        <f t="shared" si="41"/>
        <v>0</v>
      </c>
      <c r="C246" s="2149">
        <f t="shared" si="42"/>
        <v>0</v>
      </c>
      <c r="D246" s="2150">
        <f t="shared" si="52"/>
        <v>0</v>
      </c>
      <c r="E246" s="2145">
        <f t="shared" si="46"/>
        <v>0</v>
      </c>
      <c r="F246" s="2145">
        <f t="shared" si="43"/>
        <v>0</v>
      </c>
      <c r="G246" s="2145">
        <f t="shared" si="48"/>
        <v>0</v>
      </c>
      <c r="H246" s="2145">
        <f>IF(K245&lt;0.01,0,IF(Adm!$GS$4=Adm!$GS$8,0,IF(Adm!$GS$12="Pagados por el Banco",0,K245*Adm!$GV$4)))</f>
        <v>0</v>
      </c>
      <c r="I246" s="2145">
        <f>IF(K245&lt;0.01,0,E246*Adm!$O$8)</f>
        <v>0</v>
      </c>
      <c r="J246" s="2145">
        <f t="shared" si="44"/>
        <v>0</v>
      </c>
      <c r="K246" s="2145">
        <f t="shared" si="45"/>
        <v>0</v>
      </c>
      <c r="L246" s="2146"/>
      <c r="V246" s="1352">
        <f t="shared" si="47"/>
        <v>3</v>
      </c>
      <c r="W246" s="1433">
        <f>IF(V246=1,Cal!$BP$127,0)</f>
        <v>0</v>
      </c>
      <c r="X246" s="1367">
        <f>IF(V246=1,Adm!$HI$4,0)</f>
        <v>0</v>
      </c>
      <c r="Z246" s="1153"/>
      <c r="AC246" s="1370">
        <f t="shared" si="49"/>
        <v>0</v>
      </c>
      <c r="AD246" s="1373">
        <f t="shared" si="50"/>
        <v>0</v>
      </c>
      <c r="AE246" s="1371">
        <f t="shared" si="51"/>
        <v>0</v>
      </c>
      <c r="AF246" s="1359">
        <f>HLOOKUP($AF$11,anticipafreeliq,232,0)</f>
        <v>-8.4490555555555562E-4</v>
      </c>
      <c r="AH246" s="1360">
        <f>Free!AK301</f>
        <v>-8.4490555555555562E-4</v>
      </c>
    </row>
    <row r="247" spans="1:34">
      <c r="A247" s="1118">
        <f t="shared" ca="1" si="40"/>
        <v>7</v>
      </c>
      <c r="B247" s="1101">
        <f t="shared" si="41"/>
        <v>0</v>
      </c>
      <c r="C247" s="2149">
        <f t="shared" si="42"/>
        <v>0</v>
      </c>
      <c r="D247" s="2150">
        <f t="shared" si="52"/>
        <v>0</v>
      </c>
      <c r="E247" s="2145">
        <f t="shared" si="46"/>
        <v>0</v>
      </c>
      <c r="F247" s="2145">
        <f t="shared" si="43"/>
        <v>0</v>
      </c>
      <c r="G247" s="2145">
        <f t="shared" si="48"/>
        <v>0</v>
      </c>
      <c r="H247" s="2145">
        <f>IF(K246&lt;0.01,0,IF(Adm!$GS$4=Adm!$GS$8,0,IF(Adm!$GS$12="Pagados por el Banco",0,K246*Adm!$GV$4)))</f>
        <v>0</v>
      </c>
      <c r="I247" s="2145">
        <f>IF(K246&lt;0.01,0,E247*Adm!$O$8)</f>
        <v>0</v>
      </c>
      <c r="J247" s="2145">
        <f t="shared" si="44"/>
        <v>0</v>
      </c>
      <c r="K247" s="2145">
        <f t="shared" si="45"/>
        <v>0</v>
      </c>
      <c r="L247" s="2146"/>
      <c r="V247" s="1352">
        <f t="shared" si="47"/>
        <v>4</v>
      </c>
      <c r="W247" s="1433">
        <f>IF(V247=1,Cal!$BP$127,0)</f>
        <v>0</v>
      </c>
      <c r="X247" s="1367">
        <f>IF(V247=1,Adm!$HI$4,0)</f>
        <v>0</v>
      </c>
      <c r="Z247" s="1153"/>
      <c r="AC247" s="1370">
        <f t="shared" si="49"/>
        <v>0</v>
      </c>
      <c r="AD247" s="1373">
        <f t="shared" si="50"/>
        <v>0</v>
      </c>
      <c r="AE247" s="1371">
        <f t="shared" si="51"/>
        <v>0</v>
      </c>
      <c r="AF247" s="1359">
        <f>HLOOKUP($AF$11,anticipafreeliq,233,0)</f>
        <v>-8.4490555555555562E-4</v>
      </c>
      <c r="AH247" s="1360">
        <f>Free!AK302</f>
        <v>-8.4490555555555562E-4</v>
      </c>
    </row>
    <row r="248" spans="1:34">
      <c r="A248" s="1118">
        <f t="shared" ca="1" si="40"/>
        <v>8</v>
      </c>
      <c r="B248" s="1101">
        <f t="shared" si="41"/>
        <v>0</v>
      </c>
      <c r="C248" s="2149">
        <f t="shared" si="42"/>
        <v>0</v>
      </c>
      <c r="D248" s="2150">
        <f t="shared" si="52"/>
        <v>0</v>
      </c>
      <c r="E248" s="2145">
        <f t="shared" si="46"/>
        <v>0</v>
      </c>
      <c r="F248" s="2145">
        <f t="shared" si="43"/>
        <v>0</v>
      </c>
      <c r="G248" s="2145">
        <f t="shared" si="48"/>
        <v>0</v>
      </c>
      <c r="H248" s="2145">
        <f>IF(K247&lt;0.01,0,IF(Adm!$GS$4=Adm!$GS$8,0,IF(Adm!$GS$12="Pagados por el Banco",0,K247*Adm!$GV$4)))</f>
        <v>0</v>
      </c>
      <c r="I248" s="2145">
        <f>IF(K247&lt;0.01,0,E248*Adm!$O$8)</f>
        <v>0</v>
      </c>
      <c r="J248" s="2145">
        <f t="shared" si="44"/>
        <v>0</v>
      </c>
      <c r="K248" s="2145">
        <f t="shared" si="45"/>
        <v>0</v>
      </c>
      <c r="L248" s="2146"/>
      <c r="V248" s="1352">
        <f t="shared" si="47"/>
        <v>5</v>
      </c>
      <c r="W248" s="1433">
        <f>IF(V248=1,Cal!$BP$127,0)</f>
        <v>0</v>
      </c>
      <c r="X248" s="1367">
        <f>IF(V248=1,Adm!$HI$4,0)</f>
        <v>0</v>
      </c>
      <c r="Z248" s="1153"/>
      <c r="AC248" s="1370">
        <f t="shared" si="49"/>
        <v>0</v>
      </c>
      <c r="AD248" s="1373">
        <f t="shared" si="50"/>
        <v>0</v>
      </c>
      <c r="AE248" s="1371">
        <f t="shared" si="51"/>
        <v>0</v>
      </c>
      <c r="AF248" s="1359">
        <f>HLOOKUP($AF$11,anticipafreeliq,234,0)</f>
        <v>-8.4490555555555551E-4</v>
      </c>
      <c r="AH248" s="1360">
        <f>Free!AK303</f>
        <v>-8.4490555555555551E-4</v>
      </c>
    </row>
    <row r="249" spans="1:34">
      <c r="A249" s="1118">
        <f t="shared" ca="1" si="40"/>
        <v>9</v>
      </c>
      <c r="B249" s="1101">
        <f t="shared" si="41"/>
        <v>0</v>
      </c>
      <c r="C249" s="2149">
        <f t="shared" si="42"/>
        <v>0</v>
      </c>
      <c r="D249" s="2150">
        <f t="shared" si="52"/>
        <v>0</v>
      </c>
      <c r="E249" s="2145">
        <f t="shared" si="46"/>
        <v>0</v>
      </c>
      <c r="F249" s="2145">
        <f t="shared" si="43"/>
        <v>0</v>
      </c>
      <c r="G249" s="2145">
        <f t="shared" si="48"/>
        <v>0</v>
      </c>
      <c r="H249" s="2145">
        <f>IF(K248&lt;0.01,0,IF(Adm!$GS$4=Adm!$GS$8,0,IF(Adm!$GS$12="Pagados por el Banco",0,K248*Adm!$GV$4)))</f>
        <v>0</v>
      </c>
      <c r="I249" s="2145">
        <f>IF(K248&lt;0.01,0,E249*Adm!$O$8)</f>
        <v>0</v>
      </c>
      <c r="J249" s="2145">
        <f t="shared" si="44"/>
        <v>0</v>
      </c>
      <c r="K249" s="2145">
        <f t="shared" si="45"/>
        <v>0</v>
      </c>
      <c r="L249" s="2146"/>
      <c r="V249" s="1352">
        <f t="shared" si="47"/>
        <v>6</v>
      </c>
      <c r="W249" s="1433">
        <f>IF(V249=1,Cal!$BP$127,0)</f>
        <v>0</v>
      </c>
      <c r="X249" s="1367">
        <f>IF(V249=1,Adm!$HI$4,0)</f>
        <v>0</v>
      </c>
      <c r="Z249" s="1153"/>
      <c r="AC249" s="1370">
        <f t="shared" si="49"/>
        <v>0</v>
      </c>
      <c r="AD249" s="1373">
        <f t="shared" si="50"/>
        <v>0</v>
      </c>
      <c r="AE249" s="1371">
        <f t="shared" si="51"/>
        <v>0</v>
      </c>
      <c r="AF249" s="1359">
        <f>HLOOKUP($AF$11,anticipafreeliq,235,0)</f>
        <v>-8.4490555555555562E-4</v>
      </c>
      <c r="AH249" s="1360">
        <f>Free!AK304</f>
        <v>-8.4490555555555562E-4</v>
      </c>
    </row>
    <row r="250" spans="1:34">
      <c r="A250" s="1118">
        <f t="shared" ca="1" si="40"/>
        <v>10</v>
      </c>
      <c r="B250" s="1101">
        <f t="shared" si="41"/>
        <v>0</v>
      </c>
      <c r="C250" s="2149">
        <f t="shared" si="42"/>
        <v>0</v>
      </c>
      <c r="D250" s="2150">
        <f t="shared" si="52"/>
        <v>0</v>
      </c>
      <c r="E250" s="2145">
        <f t="shared" si="46"/>
        <v>0</v>
      </c>
      <c r="F250" s="2145">
        <f t="shared" si="43"/>
        <v>0</v>
      </c>
      <c r="G250" s="2145">
        <f t="shared" si="48"/>
        <v>0</v>
      </c>
      <c r="H250" s="2145">
        <f>IF(K249&lt;0.01,0,IF(Adm!$GS$4=Adm!$GS$8,0,IF(Adm!$GS$12="Pagados por el Banco",0,K249*Adm!$GV$4)))</f>
        <v>0</v>
      </c>
      <c r="I250" s="2145">
        <f>IF(K249&lt;0.01,0,E250*Adm!$O$8)</f>
        <v>0</v>
      </c>
      <c r="J250" s="2145">
        <f t="shared" si="44"/>
        <v>0</v>
      </c>
      <c r="K250" s="2145">
        <f t="shared" si="45"/>
        <v>0</v>
      </c>
      <c r="L250" s="2146"/>
      <c r="V250" s="1352">
        <f t="shared" si="47"/>
        <v>7</v>
      </c>
      <c r="W250" s="1433">
        <f>IF(V250=1,Cal!$BP$127,0)</f>
        <v>0</v>
      </c>
      <c r="X250" s="1367">
        <f>IF(V250=1,Adm!$HI$4,0)</f>
        <v>0</v>
      </c>
      <c r="Z250" s="1153"/>
      <c r="AC250" s="1370">
        <f t="shared" si="49"/>
        <v>0</v>
      </c>
      <c r="AD250" s="1373">
        <f t="shared" si="50"/>
        <v>0</v>
      </c>
      <c r="AE250" s="1371">
        <f t="shared" si="51"/>
        <v>0</v>
      </c>
      <c r="AF250" s="1359">
        <f>HLOOKUP($AF$11,anticipafreeliq,236,0)</f>
        <v>-8.4490555555555562E-4</v>
      </c>
      <c r="AH250" s="1360">
        <f>Free!AK305</f>
        <v>-8.4490555555555562E-4</v>
      </c>
    </row>
    <row r="251" spans="1:34">
      <c r="A251" s="1118">
        <f t="shared" ca="1" si="40"/>
        <v>11</v>
      </c>
      <c r="B251" s="1101">
        <f t="shared" si="41"/>
        <v>0</v>
      </c>
      <c r="C251" s="2149">
        <f t="shared" si="42"/>
        <v>0</v>
      </c>
      <c r="D251" s="2150">
        <f t="shared" si="52"/>
        <v>0</v>
      </c>
      <c r="E251" s="2145">
        <f t="shared" si="46"/>
        <v>0</v>
      </c>
      <c r="F251" s="2145">
        <f t="shared" si="43"/>
        <v>0</v>
      </c>
      <c r="G251" s="2145">
        <f t="shared" si="48"/>
        <v>0</v>
      </c>
      <c r="H251" s="2145">
        <f>IF(K250&lt;0.01,0,IF(Adm!$GS$4=Adm!$GS$8,0,IF(Adm!$GS$12="Pagados por el Banco",0,K250*Adm!$GV$4)))</f>
        <v>0</v>
      </c>
      <c r="I251" s="2145">
        <f>IF(K250&lt;0.01,0,E251*Adm!$O$8)</f>
        <v>0</v>
      </c>
      <c r="J251" s="2145">
        <f t="shared" si="44"/>
        <v>0</v>
      </c>
      <c r="K251" s="2145">
        <f t="shared" si="45"/>
        <v>0</v>
      </c>
      <c r="L251" s="2146"/>
      <c r="V251" s="1352">
        <f t="shared" si="47"/>
        <v>8</v>
      </c>
      <c r="W251" s="1433">
        <f>IF(V251=1,Cal!$BP$127,0)</f>
        <v>0</v>
      </c>
      <c r="X251" s="1367">
        <f>IF(V251=1,Adm!$HI$4,0)</f>
        <v>0</v>
      </c>
      <c r="Z251" s="1153"/>
      <c r="AC251" s="1370">
        <f t="shared" si="49"/>
        <v>0</v>
      </c>
      <c r="AD251" s="1373">
        <f t="shared" si="50"/>
        <v>0</v>
      </c>
      <c r="AE251" s="1371">
        <f t="shared" si="51"/>
        <v>0</v>
      </c>
      <c r="AF251" s="1359">
        <f>HLOOKUP($AF$11,anticipafreeliq,237,0)</f>
        <v>-8.4490555555555551E-4</v>
      </c>
      <c r="AH251" s="1360">
        <f>Free!AK306</f>
        <v>-8.4490555555555551E-4</v>
      </c>
    </row>
    <row r="252" spans="1:34">
      <c r="A252" s="1118">
        <f t="shared" ca="1" si="40"/>
        <v>12</v>
      </c>
      <c r="B252" s="1101">
        <f t="shared" si="41"/>
        <v>0</v>
      </c>
      <c r="C252" s="2149">
        <f t="shared" si="42"/>
        <v>0</v>
      </c>
      <c r="D252" s="2150">
        <f t="shared" si="52"/>
        <v>0</v>
      </c>
      <c r="E252" s="2145">
        <f t="shared" si="46"/>
        <v>0</v>
      </c>
      <c r="F252" s="2145">
        <f t="shared" si="43"/>
        <v>0</v>
      </c>
      <c r="G252" s="2145">
        <f t="shared" si="48"/>
        <v>0</v>
      </c>
      <c r="H252" s="2145">
        <f>IF(K251&lt;0.01,0,IF(Adm!$GS$4=Adm!$GS$8,0,IF(Adm!$GS$12="Pagados por el Banco",0,K251*Adm!$GV$4)))</f>
        <v>0</v>
      </c>
      <c r="I252" s="2145">
        <f>IF(K251&lt;0.01,0,E252*Adm!$O$8)</f>
        <v>0</v>
      </c>
      <c r="J252" s="2145">
        <f t="shared" si="44"/>
        <v>0</v>
      </c>
      <c r="K252" s="2145">
        <f t="shared" si="45"/>
        <v>0</v>
      </c>
      <c r="L252" s="2146"/>
      <c r="V252" s="1352">
        <f t="shared" si="47"/>
        <v>9</v>
      </c>
      <c r="W252" s="1433">
        <f>IF(V252=1,Cal!$BP$127,0)</f>
        <v>0</v>
      </c>
      <c r="X252" s="1367">
        <f>IF(V252=1,Adm!$HI$4,0)</f>
        <v>0</v>
      </c>
      <c r="Z252" s="1153"/>
      <c r="AC252" s="1370">
        <f t="shared" si="49"/>
        <v>0</v>
      </c>
      <c r="AD252" s="1373">
        <f t="shared" si="50"/>
        <v>0</v>
      </c>
      <c r="AE252" s="1371">
        <f t="shared" si="51"/>
        <v>0</v>
      </c>
      <c r="AF252" s="1359">
        <f>HLOOKUP($AF$11,anticipafreeliq,238,0)</f>
        <v>-8.4490555555555562E-4</v>
      </c>
      <c r="AH252" s="1360">
        <f>Free!AK307</f>
        <v>-8.4490555555555562E-4</v>
      </c>
    </row>
    <row r="253" spans="1:34">
      <c r="A253" s="1118">
        <f t="shared" ca="1" si="40"/>
        <v>1</v>
      </c>
      <c r="B253" s="1101">
        <f t="shared" si="41"/>
        <v>0</v>
      </c>
      <c r="C253" s="2149">
        <f t="shared" si="42"/>
        <v>0</v>
      </c>
      <c r="D253" s="2150">
        <f t="shared" si="52"/>
        <v>0</v>
      </c>
      <c r="E253" s="2145">
        <f t="shared" si="46"/>
        <v>0</v>
      </c>
      <c r="F253" s="2145">
        <f t="shared" si="43"/>
        <v>0</v>
      </c>
      <c r="G253" s="2145">
        <f t="shared" si="48"/>
        <v>0</v>
      </c>
      <c r="H253" s="2145">
        <f>IF(K252&lt;0.01,0,IF(Adm!$GS$4=Adm!$GS$8,0,IF(Adm!$GS$12="Pagados por el Banco",0,K252*Adm!$GV$4)))</f>
        <v>0</v>
      </c>
      <c r="I253" s="2145">
        <f>IF(K252&lt;0.01,0,E253*Adm!$O$8)</f>
        <v>0</v>
      </c>
      <c r="J253" s="2145">
        <f t="shared" si="44"/>
        <v>0</v>
      </c>
      <c r="K253" s="2145">
        <f t="shared" si="45"/>
        <v>0</v>
      </c>
      <c r="L253" s="2146"/>
      <c r="V253" s="1352">
        <f t="shared" si="47"/>
        <v>10</v>
      </c>
      <c r="W253" s="1433">
        <f>IF(V253=1,Cal!$BP$127,0)</f>
        <v>0</v>
      </c>
      <c r="X253" s="1367">
        <f>IF(V253=1,Adm!$HI$4,0)</f>
        <v>0</v>
      </c>
      <c r="Z253" s="1153"/>
      <c r="AC253" s="1370">
        <f t="shared" si="49"/>
        <v>0</v>
      </c>
      <c r="AD253" s="1373">
        <f t="shared" si="50"/>
        <v>0</v>
      </c>
      <c r="AE253" s="1371">
        <f t="shared" si="51"/>
        <v>0</v>
      </c>
      <c r="AF253" s="1359">
        <f>HLOOKUP($AF$11,anticipafreeliq,239,0)</f>
        <v>-8.4490555555555551E-4</v>
      </c>
      <c r="AH253" s="1360">
        <f>Free!AK308</f>
        <v>-8.4490555555555551E-4</v>
      </c>
    </row>
    <row r="254" spans="1:34">
      <c r="A254" s="1118">
        <f t="shared" ca="1" si="40"/>
        <v>2</v>
      </c>
      <c r="B254" s="1101">
        <f t="shared" si="41"/>
        <v>0</v>
      </c>
      <c r="C254" s="2149">
        <f t="shared" si="42"/>
        <v>0</v>
      </c>
      <c r="D254" s="2150">
        <f t="shared" si="52"/>
        <v>0</v>
      </c>
      <c r="E254" s="2145">
        <f t="shared" si="46"/>
        <v>0</v>
      </c>
      <c r="F254" s="2145">
        <f t="shared" si="43"/>
        <v>0</v>
      </c>
      <c r="G254" s="2145">
        <f t="shared" si="48"/>
        <v>0</v>
      </c>
      <c r="H254" s="2145">
        <f>IF(K253&lt;0.01,0,IF(Adm!$GS$4=Adm!$GS$8,0,IF(Adm!$GS$12="Pagados por el Banco",0,K253*Adm!$GV$4)))</f>
        <v>0</v>
      </c>
      <c r="I254" s="2145">
        <f>IF(K253&lt;0.01,0,E254*Adm!$O$8)</f>
        <v>0</v>
      </c>
      <c r="J254" s="2145">
        <f t="shared" si="44"/>
        <v>0</v>
      </c>
      <c r="K254" s="2145">
        <f t="shared" si="45"/>
        <v>0</v>
      </c>
      <c r="L254" s="2146"/>
      <c r="V254" s="1352">
        <f t="shared" si="47"/>
        <v>11</v>
      </c>
      <c r="W254" s="1433">
        <f>IF(V254=1,Cal!$BP$127,0)</f>
        <v>0</v>
      </c>
      <c r="X254" s="1367">
        <f>IF(V254=1,Adm!$HI$4,0)</f>
        <v>0</v>
      </c>
      <c r="Z254" s="1153"/>
      <c r="AC254" s="1370">
        <f t="shared" si="49"/>
        <v>0</v>
      </c>
      <c r="AD254" s="1373">
        <f t="shared" si="50"/>
        <v>0</v>
      </c>
      <c r="AE254" s="1371">
        <f t="shared" si="51"/>
        <v>0</v>
      </c>
      <c r="AF254" s="1359">
        <f>HLOOKUP($AF$11,anticipafreeliq,240,0)</f>
        <v>-8.4490555555555551E-4</v>
      </c>
      <c r="AH254" s="1360">
        <f>Free!AK309</f>
        <v>-8.4490555555555551E-4</v>
      </c>
    </row>
    <row r="255" spans="1:34">
      <c r="A255" s="1118">
        <f t="shared" ca="1" si="40"/>
        <v>3</v>
      </c>
      <c r="B255" s="1101">
        <f t="shared" si="41"/>
        <v>0</v>
      </c>
      <c r="C255" s="2149">
        <f t="shared" si="42"/>
        <v>0</v>
      </c>
      <c r="D255" s="2150">
        <f t="shared" si="52"/>
        <v>0</v>
      </c>
      <c r="E255" s="2145">
        <f t="shared" si="46"/>
        <v>0</v>
      </c>
      <c r="F255" s="2145">
        <f t="shared" si="43"/>
        <v>0</v>
      </c>
      <c r="G255" s="2145">
        <f t="shared" si="48"/>
        <v>0</v>
      </c>
      <c r="H255" s="2145">
        <f>IF(K254&lt;0.01,0,IF(Adm!$GS$4=Adm!$GS$8,0,IF(Adm!$GS$12="Pagados por el Banco",0,K254*Adm!$GV$4)))</f>
        <v>0</v>
      </c>
      <c r="I255" s="2145">
        <f>IF(K254&lt;0.01,0,E255*Adm!$O$8)</f>
        <v>0</v>
      </c>
      <c r="J255" s="2145">
        <f t="shared" si="44"/>
        <v>0</v>
      </c>
      <c r="K255" s="2145">
        <f t="shared" si="45"/>
        <v>0</v>
      </c>
      <c r="L255" s="2146"/>
      <c r="V255" s="1386">
        <f t="shared" si="47"/>
        <v>12</v>
      </c>
      <c r="W255" s="1433">
        <f>IF(V255=1,Cal!$BP$127,0)</f>
        <v>0</v>
      </c>
      <c r="X255" s="1367">
        <f>IF(V255=1,Adm!$HI$4,0)</f>
        <v>0</v>
      </c>
      <c r="Z255" s="1153"/>
      <c r="AC255" s="1370">
        <f t="shared" si="49"/>
        <v>0</v>
      </c>
      <c r="AD255" s="1373">
        <f t="shared" si="50"/>
        <v>0</v>
      </c>
      <c r="AE255" s="1371">
        <f t="shared" si="51"/>
        <v>0</v>
      </c>
      <c r="AF255" s="1389">
        <f>HLOOKUP($AF$11,anticipafreeliq,241,0)</f>
        <v>-8.4490555555555551E-4</v>
      </c>
      <c r="AH255" s="1360">
        <f>Free!AK310</f>
        <v>-8.4490555555555551E-4</v>
      </c>
    </row>
    <row r="256" spans="1:34" ht="9" customHeight="1">
      <c r="A256" s="1118"/>
      <c r="C256" s="1101"/>
      <c r="D256" s="1431"/>
      <c r="E256" s="1393"/>
      <c r="F256" s="1393"/>
      <c r="G256" s="1393"/>
      <c r="H256" s="1393"/>
      <c r="I256" s="1393"/>
      <c r="J256" s="1393"/>
      <c r="K256" s="1393"/>
      <c r="L256" s="1432"/>
      <c r="V256" s="1395"/>
      <c r="W256" s="1433"/>
      <c r="X256" s="1433"/>
      <c r="Z256" s="1153"/>
    </row>
    <row r="257" spans="3:12">
      <c r="C257" s="1396" t="s">
        <v>466</v>
      </c>
      <c r="D257" s="1435"/>
      <c r="E257" s="1445">
        <f>SUM(E16:E255)</f>
        <v>0</v>
      </c>
      <c r="F257" s="1445">
        <f t="shared" ref="F257:J257" si="53">SUM(F16:F255)</f>
        <v>0</v>
      </c>
      <c r="G257" s="1445">
        <f t="shared" si="53"/>
        <v>0</v>
      </c>
      <c r="H257" s="1445">
        <f t="shared" si="53"/>
        <v>0</v>
      </c>
      <c r="I257" s="1445">
        <f t="shared" si="53"/>
        <v>0</v>
      </c>
      <c r="J257" s="1445">
        <f t="shared" si="53"/>
        <v>0</v>
      </c>
      <c r="K257" s="1437"/>
      <c r="L257" s="1438">
        <f>SUM(L16:L255)</f>
        <v>0</v>
      </c>
    </row>
    <row r="258" spans="3:12" ht="27" customHeight="1">
      <c r="C258" s="2266" t="str">
        <f>Free!C314</f>
        <v>ESTE DOCUMENTO NO ES UNA OFERTA VINCULANTE</v>
      </c>
      <c r="D258" s="2266"/>
      <c r="E258" s="2266"/>
      <c r="F258" s="2266"/>
      <c r="G258" s="2266"/>
      <c r="H258" s="2266"/>
      <c r="I258" s="2266"/>
      <c r="J258" s="2266"/>
      <c r="K258" s="2266"/>
      <c r="L258" s="2266"/>
    </row>
    <row r="259" spans="3:12" ht="30.75" customHeight="1">
      <c r="C259" s="2265" t="str">
        <f>Free!C315</f>
        <v xml:space="preserve">Este documento es únicamente de carácter informativo y para fines ilustrativos por lo que no implica asunción de obligación ni compromiso por parte de Banco Santander México S.A., ni de Entidad alguna referida en el presente documento, integrante o no del Grupo Financiero Santander México. </v>
      </c>
      <c r="D259" s="2265"/>
      <c r="E259" s="2265"/>
      <c r="F259" s="2265"/>
      <c r="G259" s="2265"/>
      <c r="H259" s="2265"/>
      <c r="I259" s="2265"/>
      <c r="J259" s="2265"/>
      <c r="K259" s="2265"/>
      <c r="L259" s="2265"/>
    </row>
    <row r="260" spans="3:12">
      <c r="C260" s="2265" t="str">
        <f>Free!C316</f>
        <v>Las condiciones del producto, criterios de elegibilidad, planes, importes de beneficios y políticas de crédito que se refieren en el simulador están sujetas a cambio sin previo aviso.</v>
      </c>
      <c r="D260" s="2265"/>
      <c r="E260" s="2265"/>
      <c r="F260" s="2265"/>
      <c r="G260" s="2265"/>
      <c r="H260" s="2265"/>
      <c r="I260" s="2265"/>
      <c r="J260" s="2265"/>
      <c r="K260" s="2265"/>
      <c r="L260" s="2265"/>
    </row>
    <row r="261" spans="3:12">
      <c r="C261" s="2265" t="str">
        <f>Free!C317</f>
        <v>La autorización del crédito es una facultad discrecional de Banco Santander México S.A. por lo que se reserva el derecho de otorgarla o negarla.</v>
      </c>
      <c r="D261" s="2265"/>
      <c r="E261" s="2265"/>
      <c r="F261" s="2265"/>
      <c r="G261" s="2265"/>
      <c r="H261" s="2265"/>
      <c r="I261" s="2265"/>
      <c r="J261" s="2265"/>
      <c r="K261" s="2265"/>
      <c r="L261" s="2265"/>
    </row>
    <row r="262" spans="3:12" ht="30" customHeight="1">
      <c r="C262" s="2265" t="str">
        <f>Free!C318</f>
        <v>Banco Santander México S.A. se reserva el derecho de solicitar información adicional y/o restringir parámetros de enganche, monto, plazo o tasa en función de las características específicas del solicitante y del inmueble.</v>
      </c>
      <c r="D262" s="2265"/>
      <c r="E262" s="2265"/>
      <c r="F262" s="2265"/>
      <c r="G262" s="2265"/>
      <c r="H262" s="2265"/>
      <c r="I262" s="2265"/>
      <c r="J262" s="2265"/>
      <c r="K262" s="2265"/>
      <c r="L262" s="2265"/>
    </row>
    <row r="263" spans="3:12">
      <c r="C263" s="2265" t="str">
        <f>Free!C319</f>
        <v>Los productos hipotecarios son emitidos por Banco Santander México, S.A., Institución de Banca Múltiple, Grupo Financiero Santander México.</v>
      </c>
      <c r="D263" s="2265"/>
      <c r="E263" s="2265"/>
      <c r="F263" s="2265"/>
      <c r="G263" s="2265"/>
      <c r="H263" s="2265"/>
      <c r="I263" s="2265"/>
      <c r="J263" s="2265"/>
      <c r="K263" s="2265"/>
      <c r="L263" s="2265"/>
    </row>
    <row r="264" spans="3:12" ht="33" customHeight="1">
      <c r="C264" s="2265" t="str">
        <f>Free!C320</f>
        <v>Para conocer las características, términos, comisiones, requisitos de contratación, tasa de Interés aplicable, vigencia, restricciones y beneficios del producto, consulta www.santander.com.mx  Disponible en toda la República Mexicana</v>
      </c>
      <c r="D264" s="2265"/>
      <c r="E264" s="2265"/>
      <c r="F264" s="2265"/>
      <c r="G264" s="2265"/>
      <c r="H264" s="2265"/>
      <c r="I264" s="2265"/>
      <c r="J264" s="2265"/>
      <c r="K264" s="2265"/>
      <c r="L264" s="2265"/>
    </row>
    <row r="265" spans="3:12" ht="33" customHeight="1">
      <c r="C265" s="2265" t="str">
        <f>Free!C321</f>
        <v>El cálculo en el Seguro de referencia es única y exclusivamente con fines informativos e ilustrativos. La calidad en la prestación de los servicios y responsabilidad en el otorgamiento de los mismos es responsabilidad directa de Zúrich Santander Seguros México S.A. y/o de la aseguradora con la que contrate estos seguros.</v>
      </c>
      <c r="D265" s="2265"/>
      <c r="E265" s="2265"/>
      <c r="F265" s="2265"/>
      <c r="G265" s="2265"/>
      <c r="H265" s="2265"/>
      <c r="I265" s="2265"/>
      <c r="J265" s="2265"/>
      <c r="K265" s="2265"/>
      <c r="L265" s="2265"/>
    </row>
    <row r="266" spans="3:12">
      <c r="C266" s="2265"/>
      <c r="D266" s="2265"/>
      <c r="E266" s="2265"/>
      <c r="F266" s="2265"/>
      <c r="G266" s="2265"/>
      <c r="H266" s="2265"/>
      <c r="I266" s="2265"/>
      <c r="J266" s="2265"/>
      <c r="K266" s="2265"/>
      <c r="L266" s="2265"/>
    </row>
    <row r="267" spans="3:12">
      <c r="C267" s="2266" t="str">
        <f>Free!C323</f>
        <v>NOTAS</v>
      </c>
      <c r="D267" s="2266"/>
      <c r="E267" s="2266"/>
      <c r="F267" s="2266"/>
      <c r="G267" s="2266"/>
      <c r="H267" s="2266"/>
      <c r="I267" s="2266"/>
      <c r="J267" s="2266"/>
      <c r="K267" s="2266"/>
      <c r="L267" s="2266"/>
    </row>
    <row r="268" spans="3:12" ht="29.25" customHeight="1">
      <c r="C268" s="2265" t="str">
        <f>Free!C324</f>
        <v xml:space="preserve"> La simulación contenida en la tabla de amortización es considerando que el crédito será pagado en forma puntual durante todo el plazo contratado. Para la obtención del beneficio de la reducción de tasa mostrada en esta simulación el cliente deberá cumplir con los requisitos de la oferta</v>
      </c>
      <c r="D268" s="2265"/>
      <c r="E268" s="2265"/>
      <c r="F268" s="2265"/>
      <c r="G268" s="2265"/>
      <c r="H268" s="2265"/>
      <c r="I268" s="2265"/>
      <c r="J268" s="2265"/>
      <c r="K268" s="2265"/>
      <c r="L268" s="2265"/>
    </row>
    <row r="269" spans="3:12" ht="30" customHeight="1">
      <c r="C269" s="2265" t="str">
        <f>Free!C325</f>
        <v/>
      </c>
      <c r="D269" s="2265"/>
      <c r="E269" s="2265"/>
      <c r="F269" s="2265"/>
      <c r="G269" s="2265"/>
      <c r="H269" s="2265"/>
      <c r="I269" s="2265"/>
      <c r="J269" s="2265"/>
      <c r="K269" s="2265"/>
      <c r="L269" s="2265"/>
    </row>
    <row r="270" spans="3:12" ht="30" customHeight="1">
      <c r="C270" s="2265" t="str">
        <f>Free!C326</f>
        <v>Las ofertas especiales para los Colectivos, están condicionadas al cumplimiento del perfil y requisitos específicos para esa oferta. Para más información, consulta con tu ejecutivo hipotecario.</v>
      </c>
      <c r="D270" s="2265"/>
      <c r="E270" s="2265"/>
      <c r="F270" s="2265"/>
      <c r="G270" s="2265"/>
      <c r="H270" s="2265"/>
      <c r="I270" s="2265"/>
      <c r="J270" s="2265"/>
      <c r="K270" s="2265"/>
      <c r="L270" s="2265"/>
    </row>
    <row r="271" spans="3:12" ht="29.25" customHeight="1">
      <c r="C271" s="2265" t="str">
        <f>Free!C327</f>
        <v/>
      </c>
      <c r="D271" s="2265"/>
      <c r="E271" s="2265"/>
      <c r="F271" s="2265"/>
      <c r="G271" s="2265"/>
      <c r="H271" s="2265"/>
      <c r="I271" s="2265"/>
      <c r="J271" s="2265"/>
      <c r="K271" s="2265"/>
      <c r="L271" s="2265"/>
    </row>
    <row r="272" spans="3:12" ht="32.25" customHeight="1">
      <c r="C272" s="2265" t="str">
        <f>Free!C328</f>
        <v/>
      </c>
      <c r="D272" s="2265"/>
      <c r="E272" s="2265"/>
      <c r="F272" s="2265"/>
      <c r="G272" s="2265"/>
      <c r="H272" s="2265"/>
      <c r="I272" s="2265"/>
      <c r="J272" s="2265"/>
      <c r="K272" s="2265"/>
      <c r="L272" s="2265"/>
    </row>
    <row r="274" spans="3:12">
      <c r="C274" s="1102" t="str">
        <f>inicio!C22</f>
        <v>Versión. 2026-1 Ro (09 marzo 2026)</v>
      </c>
      <c r="D274" s="1439"/>
      <c r="E274" s="1439"/>
      <c r="F274" s="1439"/>
      <c r="G274" s="1439"/>
      <c r="H274" s="1439"/>
      <c r="I274" s="1439"/>
      <c r="J274" s="1439"/>
      <c r="K274" s="1439"/>
      <c r="L274" s="1439" t="str">
        <f>inicio!L22</f>
        <v>BHF-034 (032026)</v>
      </c>
    </row>
  </sheetData>
  <sheetProtection algorithmName="SHA-512" hashValue="yWMir142IH6FyuvMbybv/E1+3y89StovCdd5PIHxUIGgNhEElLvZswdhEBgQ+rIBZbWA4hMZ+EnGVI2gGaPbBg==" saltValue="DNsGVQaifyc2obqN/5nD0A==" spinCount="100000" sheet="1" objects="1" scenarios="1"/>
  <mergeCells count="18">
    <mergeCell ref="C272:L272"/>
    <mergeCell ref="K1:L1"/>
    <mergeCell ref="E5:H5"/>
    <mergeCell ref="C13:L13"/>
    <mergeCell ref="C258:L258"/>
    <mergeCell ref="C271:L271"/>
    <mergeCell ref="C259:L259"/>
    <mergeCell ref="C260:L260"/>
    <mergeCell ref="C261:L261"/>
    <mergeCell ref="C262:L262"/>
    <mergeCell ref="C263:L263"/>
    <mergeCell ref="C264:L264"/>
    <mergeCell ref="C265:L265"/>
    <mergeCell ref="C266:L266"/>
    <mergeCell ref="C267:L267"/>
    <mergeCell ref="C268:L268"/>
    <mergeCell ref="C270:L270"/>
    <mergeCell ref="C269:L269"/>
  </mergeCells>
  <conditionalFormatting sqref="D11">
    <cfRule type="expression" dxfId="106" priority="11" stopIfTrue="1">
      <formula>#REF!&gt;0</formula>
    </cfRule>
  </conditionalFormatting>
  <conditionalFormatting sqref="H14">
    <cfRule type="cellIs" dxfId="105" priority="10" stopIfTrue="1" operator="greaterThan">
      <formula>""""""</formula>
    </cfRule>
  </conditionalFormatting>
  <conditionalFormatting sqref="X52:X255">
    <cfRule type="cellIs" dxfId="104" priority="5" operator="greaterThan">
      <formula>0</formula>
    </cfRule>
  </conditionalFormatting>
  <conditionalFormatting sqref="D52">
    <cfRule type="cellIs" dxfId="103" priority="4" operator="greaterThan">
      <formula>0</formula>
    </cfRule>
  </conditionalFormatting>
  <conditionalFormatting sqref="D64">
    <cfRule type="cellIs" dxfId="102" priority="3" operator="greaterThan">
      <formula>0</formula>
    </cfRule>
  </conditionalFormatting>
  <conditionalFormatting sqref="D76">
    <cfRule type="cellIs" dxfId="101" priority="2" operator="greaterThan">
      <formula>0</formula>
    </cfRule>
  </conditionalFormatting>
  <conditionalFormatting sqref="D88">
    <cfRule type="cellIs" dxfId="100" priority="1" operator="greaterThan">
      <formula>0</formula>
    </cfRule>
  </conditionalFormatting>
  <dataValidations count="1">
    <dataValidation type="list" allowBlank="1" showInputMessage="1" showErrorMessage="1" sqref="L10" xr:uid="{4CD52CCC-A41B-447A-874E-84B3AB5070AD}">
      <formula1>$AC$8:$AC$9</formula1>
    </dataValidation>
  </dataValidations>
  <pageMargins left="0.19685039370078741" right="0.19685039370078741" top="0.19685039370078741" bottom="0.15748031496062992" header="0.31496062992125984" footer="0.31496062992125984"/>
  <pageSetup scale="65" orientation="landscape" horizontalDpi="4294967294" verticalDpi="4294967294"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D4EBED-E132-4A77-A322-1E257A87A1C6}">
  <sheetPr codeName="Hoja7">
    <tabColor rgb="FFFF6600"/>
  </sheetPr>
  <dimension ref="A1:EB482"/>
  <sheetViews>
    <sheetView showGridLines="0" showRowColHeaders="0" showZeros="0" topLeftCell="C1" zoomScale="85" zoomScaleNormal="85" workbookViewId="0">
      <selection activeCell="J22" sqref="J22"/>
    </sheetView>
  </sheetViews>
  <sheetFormatPr baseColWidth="10" defaultColWidth="11.44140625" defaultRowHeight="13.2"/>
  <cols>
    <col min="1" max="1" width="4.44140625" style="1107" hidden="1" customWidth="1"/>
    <col min="2" max="2" width="6.77734375" style="1107" hidden="1" customWidth="1"/>
    <col min="3" max="3" width="8.21875" style="1107" customWidth="1"/>
    <col min="4" max="4" width="15.21875" style="1107" customWidth="1"/>
    <col min="5" max="5" width="13.77734375" style="1107" customWidth="1"/>
    <col min="6" max="6" width="18.5546875" style="1102" customWidth="1"/>
    <col min="7" max="8" width="20.5546875" style="1107" customWidth="1"/>
    <col min="9" max="9" width="26.5546875" style="1107" customWidth="1"/>
    <col min="10" max="10" width="17.77734375" style="1107" customWidth="1"/>
    <col min="11" max="11" width="14.5546875" style="1107" customWidth="1"/>
    <col min="12" max="12" width="20.44140625" style="1107" customWidth="1"/>
    <col min="13" max="13" width="14.77734375" style="1107" customWidth="1"/>
    <col min="14" max="14" width="18.77734375" style="1107" customWidth="1"/>
    <col min="15" max="15" width="13.77734375" style="1107" customWidth="1"/>
    <col min="16" max="32" width="15.5546875" style="1107" hidden="1" customWidth="1"/>
    <col min="33" max="35" width="18" style="1107" hidden="1" customWidth="1"/>
    <col min="36" max="36" width="21.21875" style="1107" hidden="1" customWidth="1"/>
    <col min="37" max="37" width="43.5546875" style="1107" hidden="1" customWidth="1"/>
    <col min="38" max="38" width="21" style="1107" hidden="1" customWidth="1"/>
    <col min="39" max="39" width="53.44140625" style="1107" hidden="1" customWidth="1"/>
    <col min="40" max="40" width="25.44140625" style="1107" hidden="1" customWidth="1"/>
    <col min="41" max="41" width="26.77734375" style="1107" hidden="1" customWidth="1"/>
    <col min="42" max="42" width="26" style="1107" hidden="1" customWidth="1"/>
    <col min="43" max="43" width="33.77734375" style="1107" hidden="1" customWidth="1"/>
    <col min="44" max="44" width="24.21875" style="1107" hidden="1" customWidth="1"/>
    <col min="45" max="45" width="16" style="1118" hidden="1" customWidth="1"/>
    <col min="46" max="46" width="19.44140625" style="1107" hidden="1" customWidth="1"/>
    <col min="47" max="47" width="39.44140625" style="1107" hidden="1" customWidth="1"/>
    <col min="48" max="48" width="26.44140625" style="1107" hidden="1" customWidth="1"/>
    <col min="49" max="53" width="26.21875" style="1107" hidden="1" customWidth="1"/>
    <col min="54" max="54" width="26.77734375" style="1107" hidden="1" customWidth="1"/>
    <col min="55" max="55" width="22" style="1107" hidden="1" customWidth="1"/>
    <col min="56" max="56" width="20.5546875" style="1107" hidden="1" customWidth="1"/>
    <col min="57" max="59" width="22" style="1107" hidden="1" customWidth="1"/>
    <col min="60" max="60" width="24.44140625" style="1107" hidden="1" customWidth="1"/>
    <col min="61" max="61" width="15.44140625" style="1107" hidden="1" customWidth="1"/>
    <col min="62" max="62" width="29.44140625" style="1107" hidden="1" customWidth="1"/>
    <col min="63" max="63" width="13.77734375" style="1107" hidden="1" customWidth="1"/>
    <col min="64" max="64" width="27.77734375" style="1107" hidden="1" customWidth="1"/>
    <col min="65" max="67" width="22" style="1107" hidden="1" customWidth="1"/>
    <col min="68" max="68" width="28" style="1107" hidden="1" customWidth="1"/>
    <col min="69" max="69" width="19.77734375" style="1107" hidden="1" customWidth="1"/>
    <col min="70" max="70" width="22" style="1107" hidden="1" customWidth="1"/>
    <col min="71" max="71" width="14" style="1107" hidden="1" customWidth="1"/>
    <col min="72" max="72" width="14" style="1118" hidden="1" customWidth="1"/>
    <col min="73" max="79" width="14" style="1107" hidden="1" customWidth="1"/>
    <col min="80" max="80" width="22.21875" style="1107" hidden="1" customWidth="1"/>
    <col min="81" max="81" width="20.5546875" style="1107" hidden="1" customWidth="1"/>
    <col min="82" max="82" width="31.21875" style="1107" hidden="1" customWidth="1"/>
    <col min="83" max="83" width="24.5546875" style="1107" hidden="1" customWidth="1"/>
    <col min="84" max="84" width="14.21875" style="1107" hidden="1" customWidth="1"/>
    <col min="85" max="85" width="22.21875" style="1107" hidden="1" customWidth="1"/>
    <col min="86" max="86" width="20.21875" style="1107" hidden="1" customWidth="1"/>
    <col min="87" max="87" width="16.77734375" style="1108" hidden="1" customWidth="1"/>
    <col min="88" max="88" width="18.44140625" style="1108" hidden="1" customWidth="1"/>
    <col min="89" max="89" width="16.77734375" style="1108" hidden="1" customWidth="1"/>
    <col min="90" max="90" width="16.44140625" style="1107" hidden="1" customWidth="1"/>
    <col min="91" max="91" width="28.5546875" style="1107" hidden="1" customWidth="1"/>
    <col min="92" max="92" width="20" style="1108" hidden="1" customWidth="1"/>
    <col min="93" max="93" width="21.77734375" style="1108" hidden="1" customWidth="1"/>
    <col min="94" max="94" width="21.5546875" style="1108" hidden="1" customWidth="1"/>
    <col min="95" max="95" width="26" style="1108" hidden="1" customWidth="1"/>
    <col min="96" max="96" width="20.77734375" style="1107" hidden="1" customWidth="1"/>
    <col min="97" max="106" width="14.21875" style="1107" hidden="1" customWidth="1"/>
    <col min="107" max="107" width="43.21875" style="1107" hidden="1" customWidth="1"/>
    <col min="108" max="121" width="6.21875" style="1107" hidden="1" customWidth="1"/>
    <col min="122" max="129" width="14.21875" style="1107" hidden="1" customWidth="1"/>
    <col min="130" max="132" width="14.21875" style="1107" customWidth="1"/>
    <col min="133" max="199" width="11.44140625" style="1108" customWidth="1"/>
    <col min="200" max="16384" width="11.44140625" style="1108"/>
  </cols>
  <sheetData>
    <row r="1" spans="2:121" ht="24.75" customHeight="1" thickBot="1">
      <c r="C1" s="1242"/>
      <c r="E1" s="1251"/>
      <c r="F1" s="1251"/>
      <c r="G1" s="1251"/>
      <c r="H1" s="1251"/>
      <c r="I1" s="1251"/>
      <c r="J1" s="1251"/>
      <c r="K1" s="1251"/>
      <c r="L1" s="1251"/>
      <c r="M1" s="2361">
        <f ca="1">TODAY()</f>
        <v>46098</v>
      </c>
      <c r="N1" s="2361"/>
      <c r="X1" s="1529" t="str">
        <f>IF(F10=0,"Captura destino",IF(G12=0,"Captura valor de vivienda",IF(G13=0,"Captura suma asegurable",IF(AND(OR(F10=AK10,F10=AK11),G14=0),"Captura tamaño de la construcción",IF(AND(AT2=AT8,AT12=""),"Corrige esquema de amortización",IF(G15=0,"Captura plazo",IF(G16=0,"Captura tasa",IF(G17=0,"Captura monto de crédito",IF(G21=0,"Captura número de intervinientes",IF(AND(F10&gt;"",F22="Selecciona"),"Indica tipo de seguro de vida",IF(AND(F10&gt;"",F24="Selecciona"),"Indica tipo de seguro de daños",IF(AND(H22&lt;&gt;"",I22=0),"Captura el factor al millar de la extraprima",IF(AND(H22="",I22&gt;0),"Borra campos no requeridos",IF(AND(G17&gt;0,AV10="error"),"CORRIGE LA TASA SELECCIONADA",IF(E16&gt;"","Corrige tasa capturada",IF(AW2&gt;AW4,"Rebasas el aforo máximo por destino, corrige datos",IF(AND(OR(F10=AK10,F10=AK11),K20=0),"Captura importe de la primer ministración","")))))))))))))))))</f>
        <v>Captura destino</v>
      </c>
      <c r="Y1" s="1529"/>
      <c r="AH1" s="1530" t="s">
        <v>388</v>
      </c>
      <c r="AI1" s="1531" t="s">
        <v>7</v>
      </c>
      <c r="AJ1" s="1532" t="s">
        <v>505</v>
      </c>
      <c r="AK1" s="1533" t="s">
        <v>506</v>
      </c>
      <c r="AL1" s="1534" t="s">
        <v>143</v>
      </c>
      <c r="AM1" s="1266" t="s">
        <v>507</v>
      </c>
      <c r="AN1" s="1535" t="s">
        <v>508</v>
      </c>
      <c r="AO1" s="1536" t="s">
        <v>509</v>
      </c>
      <c r="AP1" s="1537" t="s">
        <v>510</v>
      </c>
      <c r="AQ1" s="1538" t="s">
        <v>511</v>
      </c>
      <c r="AR1" s="1539" t="s">
        <v>512</v>
      </c>
      <c r="AS1" s="1540" t="s">
        <v>11</v>
      </c>
      <c r="AT1" s="1541" t="s">
        <v>513</v>
      </c>
      <c r="AU1" s="1542" t="s">
        <v>514</v>
      </c>
      <c r="AV1" s="1543" t="s">
        <v>74</v>
      </c>
      <c r="AW1" s="1544" t="s">
        <v>368</v>
      </c>
      <c r="AX1" s="2352" t="s">
        <v>515</v>
      </c>
      <c r="AY1" s="2352"/>
      <c r="AZ1" s="2352"/>
      <c r="BA1" s="2352"/>
      <c r="BB1" s="1545" t="s">
        <v>516</v>
      </c>
      <c r="BC1" s="1546" t="s">
        <v>517</v>
      </c>
      <c r="BD1" s="1547" t="s">
        <v>376</v>
      </c>
      <c r="BE1" s="1548" t="s">
        <v>518</v>
      </c>
      <c r="BF1" s="1548" t="s">
        <v>519</v>
      </c>
      <c r="BH1" s="1549" t="s">
        <v>520</v>
      </c>
      <c r="BI1" s="1550" t="s">
        <v>521</v>
      </c>
      <c r="BJ1" s="1551" t="s">
        <v>522</v>
      </c>
      <c r="BK1" s="1550" t="s">
        <v>523</v>
      </c>
      <c r="BL1" s="1551" t="s">
        <v>522</v>
      </c>
      <c r="BN1" s="1552" t="s">
        <v>524</v>
      </c>
      <c r="BO1" s="1553"/>
      <c r="BP1" s="1553"/>
      <c r="BQ1" s="1553"/>
      <c r="BS1" s="2353" t="s">
        <v>25</v>
      </c>
      <c r="BT1" s="2354"/>
      <c r="BU1" s="2354"/>
      <c r="BV1" s="2354"/>
      <c r="BW1" s="2354"/>
      <c r="BX1" s="2354"/>
      <c r="BY1" s="1977"/>
      <c r="BZ1" s="1977"/>
      <c r="CA1" s="1977"/>
      <c r="CB1" s="1554"/>
      <c r="CD1" s="1555" t="s">
        <v>525</v>
      </c>
      <c r="CE1" s="1556">
        <f>AM2</f>
        <v>0</v>
      </c>
      <c r="CF1" s="1557" t="s">
        <v>61</v>
      </c>
      <c r="CG1" s="1558" t="s">
        <v>62</v>
      </c>
      <c r="CH1" s="1558" t="s">
        <v>194</v>
      </c>
      <c r="CI1" s="1559" t="s">
        <v>526</v>
      </c>
      <c r="CJ1" s="1560" t="s">
        <v>527</v>
      </c>
      <c r="CK1" s="1560" t="s">
        <v>528</v>
      </c>
      <c r="CL1" s="1560" t="s">
        <v>529</v>
      </c>
      <c r="CM1" s="1561" t="s">
        <v>530</v>
      </c>
      <c r="CN1" s="1561" t="s">
        <v>531</v>
      </c>
      <c r="CO1" s="1562" t="s">
        <v>532</v>
      </c>
      <c r="CP1" s="1561" t="s">
        <v>69</v>
      </c>
      <c r="CQ1" s="1563" t="s">
        <v>68</v>
      </c>
      <c r="CR1" s="2060" t="s">
        <v>66</v>
      </c>
      <c r="DC1" s="1975" t="s">
        <v>533</v>
      </c>
      <c r="DD1" s="1975"/>
      <c r="DE1" s="1975"/>
      <c r="DF1" s="1975"/>
      <c r="DG1" s="1975"/>
      <c r="DH1" s="1975"/>
      <c r="DI1" s="1975"/>
      <c r="DJ1" s="1975"/>
      <c r="DK1" s="1975"/>
      <c r="DL1" s="1975"/>
      <c r="DM1" s="1975"/>
      <c r="DN1" s="1975"/>
      <c r="DO1" s="1975"/>
      <c r="DP1" s="1975"/>
      <c r="DQ1" s="1975"/>
    </row>
    <row r="2" spans="2:121" ht="24" customHeight="1" thickBot="1">
      <c r="D2" s="1564"/>
      <c r="F2" s="1565" t="s">
        <v>534</v>
      </c>
      <c r="G2" s="1566"/>
      <c r="H2" s="1566"/>
      <c r="I2" s="1566"/>
      <c r="J2" s="1566"/>
      <c r="K2" s="1566"/>
      <c r="L2" s="1566"/>
      <c r="O2" s="1566"/>
      <c r="X2" s="1567" t="str">
        <f>IF(Y1&lt;&gt;"",Y1,X1)</f>
        <v>Captura destino</v>
      </c>
      <c r="AH2" s="1976" t="str">
        <f ca="1">TEXT(M1,AH1)</f>
        <v>17 mar 2026</v>
      </c>
      <c r="AI2" s="1572" t="e">
        <f>VLOOKUP($AM$2,plazosdestino,2,0)</f>
        <v>#N/A</v>
      </c>
      <c r="AJ2" s="1568">
        <v>0</v>
      </c>
      <c r="AK2" s="1569" t="s">
        <v>61</v>
      </c>
      <c r="AL2" s="1570">
        <v>0.95</v>
      </c>
      <c r="AM2" s="1571">
        <f>F10</f>
        <v>0</v>
      </c>
      <c r="AN2" s="1572" t="s">
        <v>535</v>
      </c>
      <c r="AO2" s="1269" t="s">
        <v>535</v>
      </c>
      <c r="AP2" s="1573">
        <v>1</v>
      </c>
      <c r="AQ2" s="1574">
        <f>IF($AQ$7="si",AQ9,0.0005154)</f>
        <v>5.1539999999999995E-4</v>
      </c>
      <c r="AR2" s="1575">
        <v>2.9999999999999997E-4</v>
      </c>
      <c r="AS2" s="1576">
        <f>IF(OR(F10=AK6,F10=AK9,F10=AK12,F10=AK7),1.16,0)</f>
        <v>0</v>
      </c>
      <c r="AT2" s="1577">
        <f>G18</f>
        <v>0</v>
      </c>
      <c r="AU2" s="1578" t="s">
        <v>536</v>
      </c>
      <c r="AV2" s="1579"/>
      <c r="AW2" s="1580" t="e">
        <f>G17/G12</f>
        <v>#DIV/0!</v>
      </c>
      <c r="AX2" s="1581"/>
      <c r="AY2" s="1582">
        <f>N10</f>
        <v>0</v>
      </c>
      <c r="AZ2" s="1580"/>
      <c r="BA2" s="1580"/>
      <c r="BB2" s="1500">
        <f>F44</f>
        <v>0</v>
      </c>
      <c r="BC2" s="1583">
        <v>0</v>
      </c>
      <c r="BD2" s="1577">
        <v>350</v>
      </c>
      <c r="BE2" s="1584">
        <f>IF(G14&lt;=500,12,IF(G14&gt;500,18,0))</f>
        <v>12</v>
      </c>
      <c r="BF2" s="1585">
        <f>IF(BE2=12,BF4+(BF5*2)+BF6,IF(BE2=18,BF4+(BF5*2)+BF6+BF7,0))</f>
        <v>0</v>
      </c>
      <c r="BH2" s="1586">
        <v>18</v>
      </c>
      <c r="BI2" s="1587">
        <v>16798</v>
      </c>
      <c r="BJ2" s="1587">
        <v>67065</v>
      </c>
      <c r="BK2" s="1587">
        <v>24688</v>
      </c>
      <c r="BL2" s="1587">
        <v>100598</v>
      </c>
      <c r="BN2" s="1588" t="s">
        <v>74</v>
      </c>
      <c r="BO2" s="1589" t="s">
        <v>40</v>
      </c>
      <c r="BP2" s="1589" t="s">
        <v>41</v>
      </c>
      <c r="BQ2" s="1589"/>
      <c r="BS2" s="1590">
        <f>IF(AT2=AT7,0,IF(AND(AT2=AT8,AU4&gt;""),BQ60,IF(G15=180,VLOOKUP(AV5,milplus_15,2,0),IF(G15=240,VLOOKUP(AV5,milplus_20,2,0),IF(G15=300,VLOOKUP(AV5,milplus_30,2,0),0)))))</f>
        <v>0</v>
      </c>
      <c r="BT2" s="1591">
        <f>IF(AT2=AT7,0,IF(G15=180,VLOOKUP(AV3,milplus_15,3,0),IF(G15=240,VLOOKUP(AV3,milplus_20,3,0),IF(G15=300,VLOOKUP(AV3,milplus_30,3,0),0))))</f>
        <v>0</v>
      </c>
      <c r="BV2" s="1592"/>
      <c r="BW2" s="1593"/>
      <c r="BX2" s="1592"/>
      <c r="BY2" s="1592"/>
      <c r="BZ2" s="1592"/>
      <c r="CA2" s="1592"/>
      <c r="CB2" s="1554"/>
      <c r="CC2" s="1594"/>
      <c r="CD2" s="1595" t="s">
        <v>178</v>
      </c>
      <c r="CE2" s="1596" t="e">
        <f>HLOOKUP(CE1,tasasplus,2,0)</f>
        <v>#N/A</v>
      </c>
      <c r="CF2" s="1597">
        <v>9.7500000000000003E-2</v>
      </c>
      <c r="CG2" s="1598">
        <v>9.7500000000000003E-2</v>
      </c>
      <c r="CH2" s="1597">
        <v>9.7500000000000003E-2</v>
      </c>
      <c r="CI2" s="1599">
        <v>0.10589999999999999</v>
      </c>
      <c r="CJ2" s="1599">
        <v>0.10589999999999999</v>
      </c>
      <c r="CK2" s="1597">
        <v>9.7500000000000003E-2</v>
      </c>
      <c r="CL2" s="1597">
        <v>9.7500000000000003E-2</v>
      </c>
      <c r="CM2" s="1597">
        <v>9.7500000000000003E-2</v>
      </c>
      <c r="CN2" s="1600">
        <v>9.7500000000000003E-2</v>
      </c>
      <c r="CO2" s="1600">
        <v>9.7500000000000003E-2</v>
      </c>
      <c r="CP2" s="1601">
        <v>0.115</v>
      </c>
      <c r="CQ2" s="1602">
        <v>0.115</v>
      </c>
      <c r="CR2" s="1597">
        <v>9.7500000000000003E-2</v>
      </c>
      <c r="DC2" s="1569" t="s">
        <v>61</v>
      </c>
      <c r="DD2" s="1584">
        <v>84</v>
      </c>
      <c r="DE2" s="1584">
        <f t="shared" ref="DE2:DE11" si="0">DD2+12</f>
        <v>96</v>
      </c>
      <c r="DF2" s="1584">
        <f t="shared" ref="DF2:DQ11" si="1">DE2+12</f>
        <v>108</v>
      </c>
      <c r="DG2" s="1584">
        <f t="shared" si="1"/>
        <v>120</v>
      </c>
      <c r="DH2" s="1584">
        <f t="shared" si="1"/>
        <v>132</v>
      </c>
      <c r="DI2" s="1584">
        <f t="shared" si="1"/>
        <v>144</v>
      </c>
      <c r="DJ2" s="1584">
        <f t="shared" si="1"/>
        <v>156</v>
      </c>
      <c r="DK2" s="1584">
        <f t="shared" si="1"/>
        <v>168</v>
      </c>
      <c r="DL2" s="1584">
        <f t="shared" si="1"/>
        <v>180</v>
      </c>
      <c r="DM2" s="1584">
        <v>240</v>
      </c>
      <c r="DN2" s="1584">
        <v>300</v>
      </c>
      <c r="DO2" s="1584"/>
      <c r="DP2" s="1584"/>
      <c r="DQ2" s="1584"/>
    </row>
    <row r="3" spans="2:121">
      <c r="B3" s="1119"/>
      <c r="C3" s="1112" t="s">
        <v>389</v>
      </c>
      <c r="D3" s="1112"/>
      <c r="E3" s="1113"/>
      <c r="F3" s="1114"/>
      <c r="G3" s="1114"/>
      <c r="H3" s="1114"/>
      <c r="I3" s="1114"/>
      <c r="J3" s="1114"/>
      <c r="K3" s="1114"/>
      <c r="L3" s="1114"/>
      <c r="M3" s="1114"/>
      <c r="N3" s="1114"/>
      <c r="O3" s="1114"/>
      <c r="AI3" s="1603" t="e">
        <f>VLOOKUP($AM$2,plazosdestino,3,0)</f>
        <v>#N/A</v>
      </c>
      <c r="AK3" s="1604" t="s">
        <v>62</v>
      </c>
      <c r="AL3" s="1605">
        <v>0.95</v>
      </c>
      <c r="AM3" s="1569" t="s">
        <v>61</v>
      </c>
      <c r="AN3" s="1603" t="s">
        <v>537</v>
      </c>
      <c r="AO3" s="1341" t="s">
        <v>538</v>
      </c>
      <c r="AP3" s="1606">
        <v>2</v>
      </c>
      <c r="AQ3" s="1607">
        <f>IF($AQ$7="si",AQ10,0.0008254)</f>
        <v>8.2540000000000001E-4</v>
      </c>
      <c r="AR3" s="1539" t="s">
        <v>539</v>
      </c>
      <c r="AS3" s="1608">
        <v>0.16</v>
      </c>
      <c r="AU3" s="1542" t="s">
        <v>209</v>
      </c>
      <c r="AV3" s="1609">
        <f>G16</f>
        <v>0</v>
      </c>
      <c r="AW3" s="1610" t="s">
        <v>295</v>
      </c>
      <c r="AX3" s="1611" t="s">
        <v>64</v>
      </c>
      <c r="AY3" s="2379" t="s">
        <v>158</v>
      </c>
      <c r="AZ3" s="2380"/>
      <c r="BA3" s="1612" t="s">
        <v>159</v>
      </c>
      <c r="BH3" s="1613">
        <v>19</v>
      </c>
      <c r="BI3" s="1614">
        <v>16878</v>
      </c>
      <c r="BJ3" s="1614">
        <v>67405</v>
      </c>
      <c r="BK3" s="1614">
        <v>24808</v>
      </c>
      <c r="BL3" s="1614">
        <v>101108</v>
      </c>
      <c r="BN3" s="1615">
        <v>8.9499999999999996E-2</v>
      </c>
      <c r="BO3" s="1616">
        <v>8.9499999999999996E-2</v>
      </c>
      <c r="BP3" s="1616"/>
      <c r="BQ3" s="1616"/>
      <c r="BS3" s="2355">
        <v>180</v>
      </c>
      <c r="BT3" s="2356"/>
      <c r="BU3" s="2357"/>
      <c r="BV3" s="2355">
        <v>240</v>
      </c>
      <c r="BW3" s="2356"/>
      <c r="BX3" s="2356"/>
      <c r="BY3" s="2355">
        <v>300</v>
      </c>
      <c r="BZ3" s="2356"/>
      <c r="CA3" s="2356"/>
      <c r="CB3" s="1617"/>
      <c r="CC3" s="1594"/>
      <c r="CD3" s="1618" t="s">
        <v>540</v>
      </c>
      <c r="CE3" s="1619" t="e">
        <f>HLOOKUP($CE$1,tasasplus,3,0)</f>
        <v>#N/A</v>
      </c>
      <c r="CF3" s="1620">
        <v>9.8000000000000004E-2</v>
      </c>
      <c r="CG3" s="1621">
        <v>9.8000000000000004E-2</v>
      </c>
      <c r="CH3" s="1620">
        <v>9.8000000000000004E-2</v>
      </c>
      <c r="CI3" s="1622">
        <v>0.111</v>
      </c>
      <c r="CJ3" s="1622">
        <v>0.111</v>
      </c>
      <c r="CK3" s="1620">
        <v>0.10249999999999999</v>
      </c>
      <c r="CL3" s="1620">
        <v>0.10249999999999999</v>
      </c>
      <c r="CM3" s="1620">
        <v>0.10249999999999999</v>
      </c>
      <c r="CN3" s="1600">
        <v>0.10249999999999999</v>
      </c>
      <c r="CO3" s="1600">
        <v>0.10249999999999999</v>
      </c>
      <c r="CP3" s="1601">
        <v>0.125</v>
      </c>
      <c r="CQ3" s="1623"/>
      <c r="CR3" s="1620">
        <v>9.8000000000000004E-2</v>
      </c>
      <c r="DC3" s="1604" t="s">
        <v>62</v>
      </c>
      <c r="DD3" s="1584">
        <v>84</v>
      </c>
      <c r="DE3" s="1584">
        <f t="shared" si="0"/>
        <v>96</v>
      </c>
      <c r="DF3" s="1584">
        <f t="shared" si="1"/>
        <v>108</v>
      </c>
      <c r="DG3" s="1584">
        <f t="shared" si="1"/>
        <v>120</v>
      </c>
      <c r="DH3" s="1584">
        <f t="shared" si="1"/>
        <v>132</v>
      </c>
      <c r="DI3" s="1584">
        <f t="shared" si="1"/>
        <v>144</v>
      </c>
      <c r="DJ3" s="1584">
        <f t="shared" si="1"/>
        <v>156</v>
      </c>
      <c r="DK3" s="1584">
        <f t="shared" si="1"/>
        <v>168</v>
      </c>
      <c r="DL3" s="1584">
        <f t="shared" si="1"/>
        <v>180</v>
      </c>
      <c r="DM3" s="1584">
        <v>240</v>
      </c>
      <c r="DN3" s="1584">
        <v>300</v>
      </c>
      <c r="DO3" s="1584"/>
      <c r="DP3" s="1584"/>
      <c r="DQ3" s="1584"/>
    </row>
    <row r="4" spans="2:121">
      <c r="F4" s="1107"/>
      <c r="AI4" s="1603" t="e">
        <f>VLOOKUP($AM$2,plazosdestino,4,0)</f>
        <v>#N/A</v>
      </c>
      <c r="AK4" s="1604" t="s">
        <v>194</v>
      </c>
      <c r="AL4" s="1605">
        <v>0.95</v>
      </c>
      <c r="AM4" s="1604" t="s">
        <v>62</v>
      </c>
      <c r="AN4" s="1603" t="s">
        <v>538</v>
      </c>
      <c r="AP4" s="1606">
        <v>3</v>
      </c>
      <c r="AQ4" s="1607">
        <f>IF($AQ$7="si",AQ11,0.0010285)</f>
        <v>1.0284999999999999E-3</v>
      </c>
      <c r="AR4" s="1624">
        <f>0.2269/1000</f>
        <v>2.2689999999999999E-4</v>
      </c>
      <c r="AS4" s="1625"/>
      <c r="AU4" s="1626">
        <f>I34</f>
        <v>0</v>
      </c>
      <c r="AV4" s="1627" t="s">
        <v>162</v>
      </c>
      <c r="AW4" s="1628" t="e">
        <f>VLOOKUP(F10,AK2:AL14,2,0)</f>
        <v>#N/A</v>
      </c>
      <c r="AX4" s="1629">
        <v>2586.21</v>
      </c>
      <c r="AY4" s="1630" t="s">
        <v>176</v>
      </c>
      <c r="AZ4" s="1631" t="s">
        <v>177</v>
      </c>
      <c r="BA4" s="1632"/>
      <c r="BE4" s="1326" t="s">
        <v>541</v>
      </c>
      <c r="BF4" s="1633">
        <f>K20</f>
        <v>0</v>
      </c>
      <c r="BG4" s="1634" t="e">
        <f>BF4/G17</f>
        <v>#DIV/0!</v>
      </c>
      <c r="BH4" s="1613">
        <v>20</v>
      </c>
      <c r="BI4" s="1614">
        <v>17118</v>
      </c>
      <c r="BJ4" s="1614">
        <v>68425</v>
      </c>
      <c r="BK4" s="1614">
        <v>25168.000000000004</v>
      </c>
      <c r="BL4" s="1614">
        <v>102638</v>
      </c>
      <c r="BN4" s="1635">
        <v>9.5000000000000001E-2</v>
      </c>
      <c r="BO4" s="1636">
        <v>8.8999999999999996E-2</v>
      </c>
      <c r="BP4" s="1636"/>
      <c r="BQ4" s="1636"/>
      <c r="BS4" s="2375" t="s">
        <v>181</v>
      </c>
      <c r="BT4" s="2376"/>
      <c r="BU4" s="2377"/>
      <c r="BV4" s="2375" t="s">
        <v>181</v>
      </c>
      <c r="BW4" s="2376"/>
      <c r="BX4" s="2377"/>
      <c r="BY4" s="2375" t="s">
        <v>181</v>
      </c>
      <c r="BZ4" s="2376"/>
      <c r="CA4" s="2377"/>
      <c r="CB4" s="1637"/>
      <c r="CC4" s="1594"/>
      <c r="CD4" s="1638" t="s">
        <v>542</v>
      </c>
      <c r="CE4" s="1619" t="e">
        <f>HLOOKUP($CE$1,tasasplus,4,0)</f>
        <v>#N/A</v>
      </c>
      <c r="CF4" s="1620">
        <v>0.10249999999999999</v>
      </c>
      <c r="CG4" s="1621">
        <v>0.10249999999999999</v>
      </c>
      <c r="CH4" s="1620">
        <v>0.10249999999999999</v>
      </c>
      <c r="CI4" s="1639">
        <v>0.1159</v>
      </c>
      <c r="CJ4" s="1639">
        <v>0.1159</v>
      </c>
      <c r="CK4" s="1620">
        <v>0.1045</v>
      </c>
      <c r="CL4" s="1620">
        <v>0.1045</v>
      </c>
      <c r="CM4" s="1620">
        <v>0.1045</v>
      </c>
      <c r="CN4" s="1600">
        <v>0.1045</v>
      </c>
      <c r="CO4" s="1600">
        <v>0.1045</v>
      </c>
      <c r="CP4" s="1623"/>
      <c r="CQ4" s="1623"/>
      <c r="CR4" s="1620">
        <v>0.10249999999999999</v>
      </c>
      <c r="DC4" s="1604" t="s">
        <v>194</v>
      </c>
      <c r="DD4" s="1584">
        <v>84</v>
      </c>
      <c r="DE4" s="1584">
        <f t="shared" si="0"/>
        <v>96</v>
      </c>
      <c r="DF4" s="1584">
        <f t="shared" si="1"/>
        <v>108</v>
      </c>
      <c r="DG4" s="1584">
        <f t="shared" si="1"/>
        <v>120</v>
      </c>
      <c r="DH4" s="1584">
        <f t="shared" si="1"/>
        <v>132</v>
      </c>
      <c r="DI4" s="1584">
        <f t="shared" si="1"/>
        <v>144</v>
      </c>
      <c r="DJ4" s="1584">
        <f t="shared" si="1"/>
        <v>156</v>
      </c>
      <c r="DK4" s="1584">
        <f t="shared" si="1"/>
        <v>168</v>
      </c>
      <c r="DL4" s="1584">
        <f t="shared" si="1"/>
        <v>180</v>
      </c>
      <c r="DM4" s="1584">
        <v>240</v>
      </c>
      <c r="DN4" s="1584">
        <v>300</v>
      </c>
      <c r="DO4" s="1584"/>
      <c r="DP4" s="1584"/>
      <c r="DQ4" s="1584"/>
    </row>
    <row r="5" spans="2:121">
      <c r="C5" s="1119" t="s">
        <v>390</v>
      </c>
      <c r="D5" s="1119"/>
      <c r="E5" s="2362"/>
      <c r="F5" s="2362"/>
      <c r="G5" s="2362"/>
      <c r="H5" s="2362"/>
      <c r="AI5" s="1603" t="e">
        <f>VLOOKUP($AM$2,plazosdestino,5,0)</f>
        <v>#N/A</v>
      </c>
      <c r="AK5" s="1640" t="s">
        <v>526</v>
      </c>
      <c r="AL5" s="1641">
        <v>0.9</v>
      </c>
      <c r="AM5" s="1604" t="s">
        <v>194</v>
      </c>
      <c r="AN5" s="1642"/>
      <c r="AO5" s="1643"/>
      <c r="AP5" s="1644">
        <v>4</v>
      </c>
      <c r="AQ5" s="1645">
        <f>IF($AQ$7="si",AQ12,0.0012967)</f>
        <v>1.2967E-3</v>
      </c>
      <c r="AR5" s="1108"/>
      <c r="AS5" s="1625"/>
      <c r="AV5" s="1646">
        <f>IF(OR(AU4="",AU4=0),AV3,IF(AU4=AU6,VLOOKUP(G16,PLUS,2,0),IF(AU4=AU7,VLOOKUP(G16,PLUS,3,0),0)))</f>
        <v>0</v>
      </c>
      <c r="AX5" s="1647" t="s">
        <v>199</v>
      </c>
      <c r="AY5" s="1648">
        <v>0</v>
      </c>
      <c r="AZ5" s="1648">
        <v>500000</v>
      </c>
      <c r="BA5" s="1649">
        <v>2000</v>
      </c>
      <c r="BE5" s="1650" t="s">
        <v>543</v>
      </c>
      <c r="BF5" s="1651">
        <f>IF(J20="",0,IF(AND(AM2=AK10,BE2=12),G17*0.25,IF(AND(AM2=AK10,BE2=18),G17*0.2,IF(AND(AM2=AK11,BE2=12),(G17-K20)/3,IF(AND(AM2=AK11,BE2=18),(G17-K20)/4)))))</f>
        <v>0</v>
      </c>
      <c r="BH5" s="1613">
        <v>21</v>
      </c>
      <c r="BI5" s="1614">
        <v>17278</v>
      </c>
      <c r="BJ5" s="1614">
        <v>69105</v>
      </c>
      <c r="BK5" s="1614">
        <v>25408.000000000004</v>
      </c>
      <c r="BL5" s="1614">
        <v>103658</v>
      </c>
      <c r="BN5" s="1652">
        <v>9.7500000000000003E-2</v>
      </c>
      <c r="BO5" s="1653">
        <v>8.9499999999999996E-2</v>
      </c>
      <c r="BP5" s="1653"/>
      <c r="BQ5" s="1653"/>
      <c r="BS5" s="1615">
        <v>9.5000000000000001E-2</v>
      </c>
      <c r="BT5" s="1654">
        <v>9.0399999999999991</v>
      </c>
      <c r="BU5" s="1978">
        <v>2.8000000000000001E-2</v>
      </c>
      <c r="BV5" s="1615">
        <v>9.5000000000000001E-2</v>
      </c>
      <c r="BW5" s="1654">
        <v>8.35</v>
      </c>
      <c r="BX5" s="1978">
        <v>1.7999999999999999E-2</v>
      </c>
      <c r="BY5" s="559">
        <v>9.8000000000000004E-2</v>
      </c>
      <c r="BZ5" s="570">
        <v>8.5</v>
      </c>
      <c r="CA5" s="559">
        <v>8.3999999999999995E-3</v>
      </c>
      <c r="CB5" s="1617"/>
      <c r="CC5" s="1594"/>
      <c r="CD5" s="1655" t="s">
        <v>69</v>
      </c>
      <c r="CE5" s="1619" t="e">
        <f>HLOOKUP($CE$1,tasasplus,5,0)</f>
        <v>#N/A</v>
      </c>
      <c r="CF5" s="1620">
        <v>0.1045</v>
      </c>
      <c r="CG5" s="1621">
        <v>0.1045</v>
      </c>
      <c r="CH5" s="1620">
        <v>0.1045</v>
      </c>
      <c r="CI5" s="1599">
        <v>0.121</v>
      </c>
      <c r="CJ5" s="1599">
        <v>0.121</v>
      </c>
      <c r="CK5" s="1620">
        <v>0.1095</v>
      </c>
      <c r="CL5" s="1620">
        <v>0.1095</v>
      </c>
      <c r="CM5" s="1599">
        <v>0.10589999999999999</v>
      </c>
      <c r="CN5" s="1600">
        <v>0.1095</v>
      </c>
      <c r="CO5" s="1600">
        <v>0.1095</v>
      </c>
      <c r="CP5" s="1623"/>
      <c r="CQ5" s="1656"/>
      <c r="CR5" s="1620">
        <v>0.1045</v>
      </c>
      <c r="DC5" s="1640" t="s">
        <v>526</v>
      </c>
      <c r="DD5" s="1584">
        <v>84</v>
      </c>
      <c r="DE5" s="1584">
        <f t="shared" si="0"/>
        <v>96</v>
      </c>
      <c r="DF5" s="1584">
        <f t="shared" si="1"/>
        <v>108</v>
      </c>
      <c r="DG5" s="1584">
        <f t="shared" si="1"/>
        <v>120</v>
      </c>
      <c r="DH5" s="1584">
        <f t="shared" si="1"/>
        <v>132</v>
      </c>
      <c r="DI5" s="1584">
        <f t="shared" si="1"/>
        <v>144</v>
      </c>
      <c r="DJ5" s="1584">
        <f t="shared" si="1"/>
        <v>156</v>
      </c>
      <c r="DK5" s="1584">
        <f t="shared" si="1"/>
        <v>168</v>
      </c>
      <c r="DL5" s="1584">
        <f t="shared" si="1"/>
        <v>180</v>
      </c>
      <c r="DM5" s="1584">
        <f t="shared" si="1"/>
        <v>192</v>
      </c>
      <c r="DN5" s="1584">
        <f t="shared" si="1"/>
        <v>204</v>
      </c>
      <c r="DO5" s="1584">
        <f t="shared" si="1"/>
        <v>216</v>
      </c>
      <c r="DP5" s="1584">
        <f t="shared" si="1"/>
        <v>228</v>
      </c>
      <c r="DQ5" s="1584">
        <f t="shared" si="1"/>
        <v>240</v>
      </c>
    </row>
    <row r="6" spans="2:121" ht="13.8" thickBot="1">
      <c r="C6" s="1657"/>
      <c r="D6" s="1657"/>
      <c r="E6" s="1657"/>
      <c r="F6" s="1658"/>
      <c r="G6" s="1657"/>
      <c r="H6" s="1659"/>
      <c r="I6" s="1659"/>
      <c r="J6" s="1657"/>
      <c r="K6" s="1657"/>
      <c r="L6" s="1657"/>
      <c r="M6" s="1657"/>
      <c r="N6" s="1657"/>
      <c r="O6" s="1657"/>
      <c r="AI6" s="1603" t="e">
        <f>VLOOKUP($AM$2,plazosdestino,6,0)</f>
        <v>#N/A</v>
      </c>
      <c r="AK6" s="1660" t="s">
        <v>527</v>
      </c>
      <c r="AL6" s="1661">
        <v>0.9</v>
      </c>
      <c r="AM6" s="1662" t="s">
        <v>526</v>
      </c>
      <c r="AT6" s="1541" t="s">
        <v>544</v>
      </c>
      <c r="AU6" s="1969" t="s">
        <v>40</v>
      </c>
      <c r="AX6" s="1629">
        <v>2586.21</v>
      </c>
      <c r="AY6" s="1648">
        <v>500001</v>
      </c>
      <c r="AZ6" s="1648">
        <v>1000000</v>
      </c>
      <c r="BA6" s="1649">
        <v>3000</v>
      </c>
      <c r="BE6" s="1107" t="s">
        <v>545</v>
      </c>
      <c r="BF6" s="1651">
        <f>IF(J20="",0,IF(J20="",0,IF(AND(AM2=AK10,BE2=12,BG4=25%),G17*0.25,IF(AND(AM2=AK10,BE2=12,OR(BG4&lt;25%,BG4&gt;25%)),G17-K20-(BF5*2),IF(AND(AM2=AK10,BE2=18,BG4=25%),G17*0.2,IF(AND(AM2=AK10,BE2=18,OR(BG4&lt;25%,BG4&gt;25%)),G17*0.2,IF(AND(AM2=AK11,BE2=12),(G17-K20)/3,IF(AND(AM2=AK11,BE2=18),(G17-K20)/4))))))))</f>
        <v>0</v>
      </c>
      <c r="BH6" s="1613">
        <v>22</v>
      </c>
      <c r="BI6" s="1614">
        <v>17518</v>
      </c>
      <c r="BJ6" s="1614">
        <v>70125</v>
      </c>
      <c r="BK6" s="1614">
        <v>25768</v>
      </c>
      <c r="BL6" s="1614">
        <v>105188</v>
      </c>
      <c r="BN6" s="1663">
        <v>9.8000000000000004E-2</v>
      </c>
      <c r="BO6" s="1664">
        <v>8.8499999999999995E-2</v>
      </c>
      <c r="BP6" s="1664">
        <v>9.5000000000000001E-2</v>
      </c>
      <c r="BQ6" s="1664"/>
      <c r="BS6" s="1635">
        <v>9.7500000000000003E-2</v>
      </c>
      <c r="BT6" s="1665">
        <v>9.19</v>
      </c>
      <c r="BU6" s="1979">
        <v>2.8000000000000001E-2</v>
      </c>
      <c r="BV6" s="1635">
        <v>9.7500000000000003E-2</v>
      </c>
      <c r="BW6" s="1665">
        <v>8.5</v>
      </c>
      <c r="BX6" s="1979">
        <v>1.7999999999999999E-2</v>
      </c>
      <c r="BY6" s="560">
        <v>0.105</v>
      </c>
      <c r="BZ6" s="573">
        <v>9.1</v>
      </c>
      <c r="CA6" s="560">
        <v>6.7000000000000002E-3</v>
      </c>
      <c r="CB6" s="1637"/>
      <c r="CC6" s="1594"/>
      <c r="CD6" s="1638" t="s">
        <v>68</v>
      </c>
      <c r="CE6" s="1619" t="e">
        <f>HLOOKUP($CE$1,tasasplus,6,0)</f>
        <v>#N/A</v>
      </c>
      <c r="CF6" s="1620">
        <v>0.105</v>
      </c>
      <c r="CG6" s="1621">
        <v>0.105</v>
      </c>
      <c r="CH6" s="1620">
        <v>0.105</v>
      </c>
      <c r="CI6" s="1666"/>
      <c r="CJ6" s="1656"/>
      <c r="CK6" s="1597">
        <v>0.11749999999999999</v>
      </c>
      <c r="CL6" s="1597">
        <v>0.11749999999999999</v>
      </c>
      <c r="CM6" s="1620">
        <v>0.1095</v>
      </c>
      <c r="CN6" s="1600">
        <v>0.11749999999999999</v>
      </c>
      <c r="CO6" s="1600">
        <v>0.11749999999999999</v>
      </c>
      <c r="CP6" s="1656"/>
      <c r="CQ6" s="1656"/>
      <c r="CR6" s="1620">
        <v>0.105</v>
      </c>
      <c r="DC6" s="1660" t="s">
        <v>527</v>
      </c>
      <c r="DD6" s="1584">
        <v>84</v>
      </c>
      <c r="DE6" s="1584">
        <f t="shared" si="0"/>
        <v>96</v>
      </c>
      <c r="DF6" s="1584">
        <f t="shared" si="1"/>
        <v>108</v>
      </c>
      <c r="DG6" s="1584">
        <f t="shared" si="1"/>
        <v>120</v>
      </c>
      <c r="DH6" s="1584">
        <f t="shared" si="1"/>
        <v>132</v>
      </c>
      <c r="DI6" s="1584">
        <f t="shared" si="1"/>
        <v>144</v>
      </c>
      <c r="DJ6" s="1584">
        <f t="shared" si="1"/>
        <v>156</v>
      </c>
      <c r="DK6" s="1584">
        <f t="shared" si="1"/>
        <v>168</v>
      </c>
      <c r="DL6" s="1584">
        <f t="shared" si="1"/>
        <v>180</v>
      </c>
      <c r="DM6" s="1584">
        <f t="shared" si="1"/>
        <v>192</v>
      </c>
      <c r="DN6" s="1584">
        <f t="shared" si="1"/>
        <v>204</v>
      </c>
      <c r="DO6" s="1584">
        <f t="shared" si="1"/>
        <v>216</v>
      </c>
      <c r="DP6" s="1584">
        <f t="shared" si="1"/>
        <v>228</v>
      </c>
      <c r="DQ6" s="1584">
        <f t="shared" si="1"/>
        <v>240</v>
      </c>
    </row>
    <row r="7" spans="2:121" ht="15.75" customHeight="1" thickTop="1" thickBot="1">
      <c r="C7" s="1667"/>
      <c r="D7" s="1667"/>
      <c r="E7" s="1667"/>
      <c r="F7" s="1667"/>
      <c r="G7" s="1667"/>
      <c r="H7" s="1667"/>
      <c r="I7" s="1667"/>
      <c r="J7" s="1667"/>
      <c r="K7" s="1667"/>
      <c r="L7" s="1667"/>
      <c r="M7" s="1667"/>
      <c r="N7" s="1667"/>
      <c r="AI7" s="1603" t="e">
        <f>VLOOKUP($AM$2,plazosdestino,7,0)</f>
        <v>#N/A</v>
      </c>
      <c r="AK7" s="1668" t="s">
        <v>530</v>
      </c>
      <c r="AL7" s="1669">
        <v>0.7</v>
      </c>
      <c r="AM7" s="1670" t="s">
        <v>527</v>
      </c>
      <c r="AN7" s="1671" t="s">
        <v>174</v>
      </c>
      <c r="AQ7" s="1672" t="str">
        <f>IF(AM2=AM3,I10,"")</f>
        <v/>
      </c>
      <c r="AT7" s="1673" t="s">
        <v>546</v>
      </c>
      <c r="AU7" s="1970" t="s">
        <v>41</v>
      </c>
      <c r="AY7" s="1648">
        <v>1000001</v>
      </c>
      <c r="AZ7" s="1648">
        <v>1500000</v>
      </c>
      <c r="BA7" s="1649">
        <v>4500</v>
      </c>
      <c r="BD7" s="1107">
        <f>IF(J20="",0,IF(AND(AM2=AK10,BE2=12),0,IF(AND(AM2=AK10,BE2=18,BG4=25%),G17*0.15,IF(AND(AM2=AK10,BE2=18,OR(BG4&lt;25%,BG4&gt;25%)),(G17-K20)/4,IF(AND(AM2=AK11,BE2=12),0,IF(AND(AM2=AK11,BE2=18),(G17-K20)/4))))))</f>
        <v>0</v>
      </c>
      <c r="BE7" s="1674" t="s">
        <v>547</v>
      </c>
      <c r="BF7" s="1675">
        <f>IF(J20="",0,IF(BE2=12,0,IF(AND(AM2=AK10,BE2=18,BG4=25%),G17*0.15,IF(AND(AM2=AK10,OR(BG4&lt;25%,BG4&gt;25%)),G17-K20-BF5-BF5-BF6,IF(AND(AM2=AK11,BE2=18),BF6)))))</f>
        <v>0</v>
      </c>
      <c r="BH7" s="1613">
        <v>23</v>
      </c>
      <c r="BI7" s="1614">
        <v>17658</v>
      </c>
      <c r="BJ7" s="1614">
        <v>70720</v>
      </c>
      <c r="BK7" s="1614">
        <v>25978</v>
      </c>
      <c r="BL7" s="1614">
        <v>106080</v>
      </c>
      <c r="BN7" s="1615">
        <v>0.1</v>
      </c>
      <c r="BO7" s="1616">
        <v>8.8999999999999996E-2</v>
      </c>
      <c r="BP7" s="1616"/>
      <c r="BQ7" s="1616"/>
      <c r="BS7" s="1652">
        <v>9.8000000000000004E-2</v>
      </c>
      <c r="BT7" s="1676">
        <v>9.2200000000000006</v>
      </c>
      <c r="BU7" s="1980">
        <v>2.8000000000000001E-2</v>
      </c>
      <c r="BV7" s="1652">
        <v>9.8000000000000004E-2</v>
      </c>
      <c r="BW7" s="1676">
        <v>8.5399999999999991</v>
      </c>
      <c r="BX7" s="1980">
        <v>1.7999999999999999E-2</v>
      </c>
      <c r="BY7" s="575">
        <v>0.11799999999999999</v>
      </c>
      <c r="BZ7" s="576">
        <v>10.130000000000001</v>
      </c>
      <c r="CA7" s="562">
        <v>5.4999999999999997E-3</v>
      </c>
      <c r="CB7" s="1617"/>
      <c r="CC7" s="1594"/>
      <c r="CD7" s="1594"/>
      <c r="CE7" s="1619" t="e">
        <f>HLOOKUP($CE$1,tasasplus,7,0)</f>
        <v>#N/A</v>
      </c>
      <c r="CF7" s="1620">
        <v>0.1095</v>
      </c>
      <c r="CG7" s="1621">
        <v>0.1095</v>
      </c>
      <c r="CH7" s="1620">
        <v>0.1095</v>
      </c>
      <c r="CI7" s="1666"/>
      <c r="CJ7" s="1656"/>
      <c r="CK7" s="1620">
        <v>0.1225</v>
      </c>
      <c r="CL7" s="1620">
        <v>0.1225</v>
      </c>
      <c r="CM7" s="1622">
        <v>0.111</v>
      </c>
      <c r="CN7" s="1600">
        <v>0.1225</v>
      </c>
      <c r="CO7" s="1600">
        <v>0.1225</v>
      </c>
      <c r="CP7" s="1623"/>
      <c r="CQ7" s="1623"/>
      <c r="CR7" s="1620">
        <v>0.1095</v>
      </c>
      <c r="DC7" s="1668" t="s">
        <v>530</v>
      </c>
      <c r="DD7" s="1584">
        <v>84</v>
      </c>
      <c r="DE7" s="1584">
        <f t="shared" si="0"/>
        <v>96</v>
      </c>
      <c r="DF7" s="1584">
        <f t="shared" si="1"/>
        <v>108</v>
      </c>
      <c r="DG7" s="1584">
        <f t="shared" si="1"/>
        <v>120</v>
      </c>
      <c r="DH7" s="1584">
        <f t="shared" si="1"/>
        <v>132</v>
      </c>
      <c r="DI7" s="1584">
        <f t="shared" si="1"/>
        <v>144</v>
      </c>
      <c r="DJ7" s="1584">
        <f t="shared" si="1"/>
        <v>156</v>
      </c>
      <c r="DK7" s="1584">
        <f t="shared" si="1"/>
        <v>168</v>
      </c>
      <c r="DL7" s="1584">
        <f t="shared" si="1"/>
        <v>180</v>
      </c>
      <c r="DM7" s="1584">
        <f t="shared" si="1"/>
        <v>192</v>
      </c>
      <c r="DN7" s="1584">
        <f t="shared" si="1"/>
        <v>204</v>
      </c>
      <c r="DO7" s="1584">
        <f t="shared" si="1"/>
        <v>216</v>
      </c>
      <c r="DP7" s="1584">
        <f t="shared" si="1"/>
        <v>228</v>
      </c>
      <c r="DQ7" s="1584">
        <f t="shared" si="1"/>
        <v>240</v>
      </c>
    </row>
    <row r="8" spans="2:121" ht="16.5" customHeight="1" thickTop="1">
      <c r="D8" s="2363" t="s">
        <v>548</v>
      </c>
      <c r="E8" s="2364"/>
      <c r="F8" s="2364"/>
      <c r="G8" s="2364"/>
      <c r="L8" s="2365" t="s">
        <v>418</v>
      </c>
      <c r="M8" s="2366"/>
      <c r="N8" s="2367"/>
      <c r="AI8" s="1603" t="e">
        <f>VLOOKUP($AM$2,plazosdestino,8,0)</f>
        <v>#N/A</v>
      </c>
      <c r="AK8" s="1677" t="s">
        <v>528</v>
      </c>
      <c r="AL8" s="1678">
        <v>0.9</v>
      </c>
      <c r="AM8" s="1670" t="s">
        <v>528</v>
      </c>
      <c r="AN8" s="1341" t="s">
        <v>549</v>
      </c>
      <c r="AQ8" s="1679" t="s">
        <v>164</v>
      </c>
      <c r="AT8" s="1680" t="s">
        <v>58</v>
      </c>
      <c r="AU8" s="1681"/>
      <c r="AY8" s="1648">
        <v>1500001</v>
      </c>
      <c r="AZ8" s="1648">
        <v>2000000</v>
      </c>
      <c r="BA8" s="1649">
        <v>6000</v>
      </c>
      <c r="BH8" s="1613">
        <v>24</v>
      </c>
      <c r="BI8" s="1614">
        <v>18138</v>
      </c>
      <c r="BJ8" s="1614">
        <v>72760</v>
      </c>
      <c r="BK8" s="1614">
        <v>26698</v>
      </c>
      <c r="BL8" s="1614">
        <v>109140</v>
      </c>
      <c r="BN8" s="1682">
        <v>0.10199999999999999</v>
      </c>
      <c r="BO8" s="1683">
        <v>9.7000000000000003E-2</v>
      </c>
      <c r="BP8" s="1683"/>
      <c r="BQ8" s="1683"/>
      <c r="BS8" s="1663">
        <v>0.1</v>
      </c>
      <c r="BT8" s="1684">
        <v>9.33</v>
      </c>
      <c r="BU8" s="1981">
        <v>2.8000000000000001E-2</v>
      </c>
      <c r="BV8" s="1663">
        <v>0.1</v>
      </c>
      <c r="BW8" s="1684">
        <v>8.67</v>
      </c>
      <c r="BX8" s="1981">
        <v>1.7999999999999999E-2</v>
      </c>
      <c r="BY8" s="1664"/>
      <c r="BZ8" s="1664"/>
      <c r="CA8" s="1664"/>
      <c r="CB8" s="1637"/>
      <c r="CC8" s="1594"/>
      <c r="CD8" s="1594"/>
      <c r="CE8" s="1619" t="e">
        <f>HLOOKUP($CE$1,tasasplus,8,0)</f>
        <v>#N/A</v>
      </c>
      <c r="CF8" s="1597">
        <v>0.11749999999999999</v>
      </c>
      <c r="CG8" s="1598">
        <v>0.11749999999999999</v>
      </c>
      <c r="CH8" s="1597">
        <v>0.11749999999999999</v>
      </c>
      <c r="CI8" s="1666"/>
      <c r="CJ8" s="1656"/>
      <c r="CK8" s="1597">
        <v>0.1275</v>
      </c>
      <c r="CL8" s="1597">
        <v>0.1275</v>
      </c>
      <c r="CM8" s="1639">
        <v>0.1159</v>
      </c>
      <c r="CN8" s="1685">
        <v>0.1275</v>
      </c>
      <c r="CO8" s="1685">
        <v>0.1275</v>
      </c>
      <c r="CP8" s="1686"/>
      <c r="CQ8" s="1686"/>
      <c r="CR8" s="1597">
        <v>0.11749999999999999</v>
      </c>
      <c r="DC8" s="1677" t="s">
        <v>528</v>
      </c>
      <c r="DD8" s="1584">
        <v>84</v>
      </c>
      <c r="DE8" s="1584">
        <f t="shared" si="0"/>
        <v>96</v>
      </c>
      <c r="DF8" s="1584">
        <f t="shared" si="1"/>
        <v>108</v>
      </c>
      <c r="DG8" s="1584">
        <f t="shared" si="1"/>
        <v>120</v>
      </c>
      <c r="DH8" s="1584">
        <f t="shared" si="1"/>
        <v>132</v>
      </c>
      <c r="DI8" s="1584">
        <f t="shared" si="1"/>
        <v>144</v>
      </c>
      <c r="DJ8" s="1584">
        <f t="shared" si="1"/>
        <v>156</v>
      </c>
      <c r="DK8" s="1584">
        <f t="shared" si="1"/>
        <v>168</v>
      </c>
      <c r="DL8" s="1584">
        <f t="shared" si="1"/>
        <v>180</v>
      </c>
      <c r="DM8" s="1584">
        <f t="shared" si="1"/>
        <v>192</v>
      </c>
      <c r="DN8" s="1584">
        <f t="shared" si="1"/>
        <v>204</v>
      </c>
      <c r="DO8" s="1584">
        <f t="shared" si="1"/>
        <v>216</v>
      </c>
      <c r="DP8" s="1584">
        <f t="shared" si="1"/>
        <v>228</v>
      </c>
      <c r="DQ8" s="1584">
        <f t="shared" si="1"/>
        <v>240</v>
      </c>
    </row>
    <row r="9" spans="2:121">
      <c r="D9" s="2344"/>
      <c r="E9" s="2344"/>
      <c r="F9" s="2344"/>
      <c r="AI9" s="1603" t="e">
        <f>VLOOKUP($AM$2,plazosdestino,9,0)</f>
        <v>#N/A</v>
      </c>
      <c r="AJ9" s="1687"/>
      <c r="AK9" s="1688" t="s">
        <v>529</v>
      </c>
      <c r="AL9" s="1689">
        <v>0.9</v>
      </c>
      <c r="AM9" s="1670" t="s">
        <v>529</v>
      </c>
      <c r="AN9" s="1341" t="s">
        <v>537</v>
      </c>
      <c r="AQ9" s="1690">
        <v>2.6350000000000001E-4</v>
      </c>
      <c r="AR9" s="1691"/>
      <c r="AS9" s="1692"/>
      <c r="AT9" s="1687"/>
      <c r="AU9" s="1693" t="s">
        <v>550</v>
      </c>
      <c r="AV9" s="1694" t="s">
        <v>551</v>
      </c>
      <c r="AW9" s="1687"/>
      <c r="AX9" s="1687"/>
      <c r="AY9" s="1648">
        <v>2000001</v>
      </c>
      <c r="AZ9" s="1648">
        <v>2500000</v>
      </c>
      <c r="BA9" s="1649">
        <v>7000</v>
      </c>
      <c r="BE9" s="1695"/>
      <c r="BF9" s="1695"/>
      <c r="BH9" s="1613">
        <v>25</v>
      </c>
      <c r="BI9" s="1614">
        <v>18478</v>
      </c>
      <c r="BJ9" s="1614">
        <v>74205</v>
      </c>
      <c r="BK9" s="1614">
        <v>27208</v>
      </c>
      <c r="BL9" s="1614">
        <v>111308</v>
      </c>
      <c r="BN9" s="1635">
        <v>0.10249999999999999</v>
      </c>
      <c r="BO9" s="1636">
        <v>8.9499999999999996E-2</v>
      </c>
      <c r="BP9" s="1636"/>
      <c r="BQ9" s="1636"/>
      <c r="BS9" s="1615">
        <v>0.10199999999999999</v>
      </c>
      <c r="BT9" s="1654">
        <v>9.4499999999999993</v>
      </c>
      <c r="BU9" s="1982">
        <v>2.8000000000000001E-2</v>
      </c>
      <c r="BV9" s="1615">
        <v>0.10199999999999999</v>
      </c>
      <c r="BW9" s="1654">
        <v>9</v>
      </c>
      <c r="BX9" s="1982">
        <v>1.4500000000000001E-2</v>
      </c>
      <c r="BY9" s="1616"/>
      <c r="BZ9" s="1616"/>
      <c r="CA9" s="1616"/>
      <c r="CB9" s="1617"/>
      <c r="CC9" s="1696"/>
      <c r="CD9" s="1696"/>
      <c r="CE9" s="1619" t="e">
        <f>HLOOKUP($CE$1,tasasplus,9,0)</f>
        <v>#N/A</v>
      </c>
      <c r="CF9" s="1620">
        <v>0.11799999999999999</v>
      </c>
      <c r="CG9" s="1598">
        <v>0.11799999999999999</v>
      </c>
      <c r="CH9" s="1620">
        <v>0.11799999999999999</v>
      </c>
      <c r="CI9" s="1656"/>
      <c r="CJ9" s="1656"/>
      <c r="CK9" s="1620">
        <v>0.13250000000000001</v>
      </c>
      <c r="CL9" s="1620">
        <v>0.13250000000000001</v>
      </c>
      <c r="CM9" s="1597">
        <v>0.11749999999999999</v>
      </c>
      <c r="CN9" s="1685">
        <v>0.13250000000000001</v>
      </c>
      <c r="CO9" s="1685">
        <v>0.13250000000000001</v>
      </c>
      <c r="CP9" s="1623"/>
      <c r="CQ9" s="1623"/>
      <c r="CR9" s="1620">
        <v>0.11799999999999999</v>
      </c>
      <c r="DC9" s="1688" t="s">
        <v>529</v>
      </c>
      <c r="DD9" s="1584">
        <v>84</v>
      </c>
      <c r="DE9" s="1584">
        <f t="shared" si="0"/>
        <v>96</v>
      </c>
      <c r="DF9" s="1584">
        <f t="shared" si="1"/>
        <v>108</v>
      </c>
      <c r="DG9" s="1584">
        <f t="shared" si="1"/>
        <v>120</v>
      </c>
      <c r="DH9" s="1584">
        <f t="shared" si="1"/>
        <v>132</v>
      </c>
      <c r="DI9" s="1584">
        <f t="shared" si="1"/>
        <v>144</v>
      </c>
      <c r="DJ9" s="1584">
        <f t="shared" si="1"/>
        <v>156</v>
      </c>
      <c r="DK9" s="1584">
        <f t="shared" si="1"/>
        <v>168</v>
      </c>
      <c r="DL9" s="1584">
        <f t="shared" si="1"/>
        <v>180</v>
      </c>
      <c r="DM9" s="1584">
        <f t="shared" si="1"/>
        <v>192</v>
      </c>
      <c r="DN9" s="1584">
        <f t="shared" si="1"/>
        <v>204</v>
      </c>
      <c r="DO9" s="1584">
        <f t="shared" si="1"/>
        <v>216</v>
      </c>
      <c r="DP9" s="1584">
        <f t="shared" si="1"/>
        <v>228</v>
      </c>
      <c r="DQ9" s="1584">
        <f t="shared" si="1"/>
        <v>240</v>
      </c>
    </row>
    <row r="10" spans="2:121">
      <c r="D10" s="1120" t="s">
        <v>2</v>
      </c>
      <c r="F10" s="2368"/>
      <c r="G10" s="2369"/>
      <c r="H10" s="1121" t="str">
        <f>IF(F10=AM3,"¿Extranjeros?","")</f>
        <v/>
      </c>
      <c r="I10" s="1697"/>
      <c r="L10" s="1107" t="s">
        <v>552</v>
      </c>
      <c r="N10" s="1926"/>
      <c r="P10" s="1331"/>
      <c r="Q10" s="1331"/>
      <c r="R10" s="1331"/>
      <c r="S10" s="1331"/>
      <c r="T10" s="1331"/>
      <c r="U10" s="1331"/>
      <c r="V10" s="1331"/>
      <c r="W10" s="1331"/>
      <c r="X10" s="1331"/>
      <c r="Y10" s="1331"/>
      <c r="Z10" s="1331"/>
      <c r="AA10" s="1331"/>
      <c r="AB10" s="1331"/>
      <c r="AC10" s="1331"/>
      <c r="AD10" s="1331"/>
      <c r="AE10" s="1331"/>
      <c r="AF10" s="1331"/>
      <c r="AG10" s="1331"/>
      <c r="AH10" s="1331"/>
      <c r="AI10" s="1603" t="e">
        <f>VLOOKUP($AM$2,plazosdestino,10,0)</f>
        <v>#N/A</v>
      </c>
      <c r="AJ10" s="1687"/>
      <c r="AK10" s="1698" t="s">
        <v>531</v>
      </c>
      <c r="AL10" s="1699">
        <v>1</v>
      </c>
      <c r="AM10" s="1603" t="s">
        <v>530</v>
      </c>
      <c r="AN10" s="1700" t="s">
        <v>538</v>
      </c>
      <c r="AQ10" s="1690">
        <v>4.9640000000000003E-4</v>
      </c>
      <c r="AR10" s="1691"/>
      <c r="AS10" s="1692"/>
      <c r="AT10" s="1971" t="s">
        <v>209</v>
      </c>
      <c r="AU10" s="1973" t="s">
        <v>40</v>
      </c>
      <c r="AV10" s="1701">
        <f>IFERROR(VLOOKUP(AV3,ofertaplus,1,0),"error")</f>
        <v>0</v>
      </c>
      <c r="AW10" s="1687"/>
      <c r="AX10" s="1687"/>
      <c r="AY10" s="1648">
        <v>2500001</v>
      </c>
      <c r="AZ10" s="1648">
        <v>3000000</v>
      </c>
      <c r="BA10" s="1649">
        <v>9000</v>
      </c>
      <c r="BE10" s="1695"/>
      <c r="BF10" s="1695"/>
      <c r="BH10" s="1613">
        <v>26</v>
      </c>
      <c r="BI10" s="1614">
        <v>18858</v>
      </c>
      <c r="BJ10" s="1614">
        <v>75820</v>
      </c>
      <c r="BK10" s="1614">
        <v>27778</v>
      </c>
      <c r="BL10" s="1614">
        <v>113730</v>
      </c>
      <c r="BN10" s="1702">
        <v>0.1045</v>
      </c>
      <c r="BO10" s="1703">
        <v>9.9500000000000005E-2</v>
      </c>
      <c r="BP10" s="1703"/>
      <c r="BQ10" s="1703"/>
      <c r="BS10" s="1682">
        <v>0.10249999999999999</v>
      </c>
      <c r="BT10" s="1704">
        <v>9.48</v>
      </c>
      <c r="BU10" s="1983">
        <v>2.8000000000000001E-2</v>
      </c>
      <c r="BV10" s="1682">
        <v>0.10249999999999999</v>
      </c>
      <c r="BW10" s="1704">
        <v>9.0299999999999994</v>
      </c>
      <c r="BX10" s="1983">
        <v>1.4500000000000001E-2</v>
      </c>
      <c r="BY10" s="1683"/>
      <c r="BZ10" s="1683"/>
      <c r="CA10" s="1683"/>
      <c r="CB10" s="1637"/>
      <c r="CC10" s="1696"/>
      <c r="CD10" s="1696"/>
      <c r="CE10" s="1619" t="e">
        <f>HLOOKUP($CE$1,tasasplus,10,0)</f>
        <v>#N/A</v>
      </c>
      <c r="CF10" s="1620">
        <v>0.1225</v>
      </c>
      <c r="CG10" s="1621">
        <v>0.1225</v>
      </c>
      <c r="CH10" s="1620">
        <v>0.1225</v>
      </c>
      <c r="CI10" s="1656"/>
      <c r="CJ10" s="1656"/>
      <c r="CK10" s="1623"/>
      <c r="CL10" s="1623"/>
      <c r="CM10" s="1599">
        <v>0.121</v>
      </c>
      <c r="CN10" s="1623"/>
      <c r="CO10" s="1623"/>
      <c r="CP10" s="1623"/>
      <c r="CQ10" s="1623"/>
      <c r="CR10" s="1620">
        <v>0.1225</v>
      </c>
      <c r="DC10" s="1698" t="s">
        <v>531</v>
      </c>
      <c r="DD10" s="1584">
        <v>84</v>
      </c>
      <c r="DE10" s="1584">
        <f t="shared" si="0"/>
        <v>96</v>
      </c>
      <c r="DF10" s="1584">
        <f t="shared" si="1"/>
        <v>108</v>
      </c>
      <c r="DG10" s="1584">
        <f t="shared" si="1"/>
        <v>120</v>
      </c>
      <c r="DH10" s="1584">
        <f t="shared" si="1"/>
        <v>132</v>
      </c>
      <c r="DI10" s="1584">
        <f t="shared" si="1"/>
        <v>144</v>
      </c>
      <c r="DJ10" s="1584">
        <f t="shared" si="1"/>
        <v>156</v>
      </c>
      <c r="DK10" s="1584">
        <f t="shared" si="1"/>
        <v>168</v>
      </c>
      <c r="DL10" s="1584">
        <f t="shared" si="1"/>
        <v>180</v>
      </c>
      <c r="DM10" s="1584">
        <v>240</v>
      </c>
      <c r="DN10" s="1584"/>
      <c r="DO10" s="1584"/>
      <c r="DP10" s="1584"/>
      <c r="DQ10" s="1584"/>
    </row>
    <row r="11" spans="2:121">
      <c r="H11" s="1142"/>
      <c r="I11" s="1141"/>
      <c r="L11" s="1107" t="s">
        <v>553</v>
      </c>
      <c r="N11" s="1926"/>
      <c r="P11" s="1331"/>
      <c r="Q11" s="1331"/>
      <c r="R11" s="1331"/>
      <c r="S11" s="1331"/>
      <c r="T11" s="1331"/>
      <c r="U11" s="1331"/>
      <c r="V11" s="1331"/>
      <c r="W11" s="1331"/>
      <c r="X11" s="1331"/>
      <c r="Y11" s="1331"/>
      <c r="Z11" s="1331"/>
      <c r="AA11" s="1331"/>
      <c r="AB11" s="1331"/>
      <c r="AC11" s="1331"/>
      <c r="AD11" s="1331"/>
      <c r="AE11" s="1331"/>
      <c r="AF11" s="1331"/>
      <c r="AG11" s="1331"/>
      <c r="AH11" s="1331"/>
      <c r="AI11" s="1603" t="e">
        <f>VLOOKUP($AM$2,plazosdestino,11,0)</f>
        <v>#N/A</v>
      </c>
      <c r="AJ11" s="1687"/>
      <c r="AK11" s="1706" t="s">
        <v>532</v>
      </c>
      <c r="AL11" s="1707">
        <v>0.8</v>
      </c>
      <c r="AM11" s="1708" t="s">
        <v>531</v>
      </c>
      <c r="AN11" s="1700"/>
      <c r="AQ11" s="1690">
        <v>7.3990000000000004E-4</v>
      </c>
      <c r="AS11" s="1692"/>
      <c r="AT11" s="1972" t="s">
        <v>546</v>
      </c>
      <c r="AU11" s="1974" t="str">
        <f>IF(OR(AM2=AM3,AM2=AM4,AM2=AM5),"Plan Asalariado","")</f>
        <v/>
      </c>
      <c r="AW11" s="1687"/>
      <c r="AX11" s="1687"/>
      <c r="AY11" s="1648">
        <v>3000001</v>
      </c>
      <c r="AZ11" s="1648">
        <v>3500000</v>
      </c>
      <c r="BA11" s="1649">
        <v>10000</v>
      </c>
      <c r="BE11" s="1695"/>
      <c r="BF11" s="1695"/>
      <c r="BH11" s="1613">
        <v>27</v>
      </c>
      <c r="BI11" s="1614">
        <v>19338</v>
      </c>
      <c r="BJ11" s="1614">
        <v>77860</v>
      </c>
      <c r="BK11" s="1614">
        <v>28498</v>
      </c>
      <c r="BL11" s="1614">
        <v>116790</v>
      </c>
      <c r="BN11" s="1710">
        <v>0.105</v>
      </c>
      <c r="BO11" s="1711">
        <v>9.6000000000000002E-2</v>
      </c>
      <c r="BP11" s="1711">
        <v>0.10299999999999999</v>
      </c>
      <c r="BQ11" s="1711"/>
      <c r="BS11" s="1635">
        <v>0.1045</v>
      </c>
      <c r="BT11" s="1665">
        <v>9.59</v>
      </c>
      <c r="BU11" s="1979">
        <v>2.8000000000000001E-2</v>
      </c>
      <c r="BV11" s="1635">
        <v>0.1045</v>
      </c>
      <c r="BW11" s="1665">
        <v>9.16</v>
      </c>
      <c r="BX11" s="1979">
        <v>1.4500000000000001E-2</v>
      </c>
      <c r="BY11" s="1636"/>
      <c r="BZ11" s="1636"/>
      <c r="CA11" s="1636"/>
      <c r="CB11" s="1617"/>
      <c r="CE11" s="1619" t="e">
        <f>HLOOKUP($CE$1,tasasplus,11,0)</f>
        <v>#N/A</v>
      </c>
      <c r="CF11" s="1597">
        <v>0.1275</v>
      </c>
      <c r="CG11" s="1598">
        <v>0.1275</v>
      </c>
      <c r="CH11" s="1597">
        <v>0.1275</v>
      </c>
      <c r="CI11" s="1656"/>
      <c r="CJ11" s="1656"/>
      <c r="CK11" s="1686"/>
      <c r="CL11" s="1686"/>
      <c r="CM11" s="1620">
        <v>0.1225</v>
      </c>
      <c r="CN11" s="1623"/>
      <c r="CO11" s="1686"/>
      <c r="CP11" s="1686"/>
      <c r="CQ11" s="1686"/>
      <c r="CR11" s="1597">
        <v>0.1275</v>
      </c>
      <c r="DC11" s="1706" t="s">
        <v>532</v>
      </c>
      <c r="DD11" s="1584">
        <v>84</v>
      </c>
      <c r="DE11" s="1584">
        <f t="shared" si="0"/>
        <v>96</v>
      </c>
      <c r="DF11" s="1584">
        <f t="shared" si="1"/>
        <v>108</v>
      </c>
      <c r="DG11" s="1584">
        <f t="shared" si="1"/>
        <v>120</v>
      </c>
      <c r="DH11" s="1584">
        <f t="shared" si="1"/>
        <v>132</v>
      </c>
      <c r="DI11" s="1584">
        <f t="shared" si="1"/>
        <v>144</v>
      </c>
      <c r="DJ11" s="1584">
        <f t="shared" si="1"/>
        <v>156</v>
      </c>
      <c r="DK11" s="1584">
        <f t="shared" si="1"/>
        <v>168</v>
      </c>
      <c r="DL11" s="1584">
        <f t="shared" si="1"/>
        <v>180</v>
      </c>
      <c r="DM11" s="1584">
        <v>240</v>
      </c>
      <c r="DN11" s="1584"/>
      <c r="DO11" s="1584"/>
      <c r="DP11" s="1584"/>
      <c r="DQ11" s="1584"/>
    </row>
    <row r="12" spans="2:121">
      <c r="D12" s="1120" t="str">
        <f>IF(OR(F10=AK10,F10=AK11),"Valor del inmueble (Terreno + proyecto)","Valor de la vivienda")</f>
        <v>Valor de la vivienda</v>
      </c>
      <c r="G12" s="1926"/>
      <c r="L12" s="1107" t="s">
        <v>554</v>
      </c>
      <c r="M12" s="1925">
        <v>0.05</v>
      </c>
      <c r="N12" s="1705">
        <f>G12*M12</f>
        <v>0</v>
      </c>
      <c r="O12" s="1712"/>
      <c r="AI12" s="1603" t="e">
        <f>VLOOKUP($AM$2,plazosdestino,12,0)</f>
        <v>#N/A</v>
      </c>
      <c r="AJ12" s="1713"/>
      <c r="AK12" s="1714" t="s">
        <v>69</v>
      </c>
      <c r="AL12" s="1715">
        <v>0.7</v>
      </c>
      <c r="AM12" s="1708" t="s">
        <v>532</v>
      </c>
      <c r="AQ12" s="1716">
        <v>1.0614999999999999E-3</v>
      </c>
      <c r="AS12" s="1717"/>
      <c r="AT12" s="1642" t="str">
        <f>IF(OR(AM2=AK10,AM2=AK11,AM2=AK12,AM2=AK13),"","Crecientes")</f>
        <v>Crecientes</v>
      </c>
      <c r="AU12" s="1709"/>
      <c r="AV12" s="1718"/>
      <c r="AW12" s="1713"/>
      <c r="AX12" s="1713"/>
      <c r="AY12" s="1648">
        <v>3500001</v>
      </c>
      <c r="AZ12" s="1648">
        <v>4000000</v>
      </c>
      <c r="BA12" s="1649">
        <v>11000</v>
      </c>
      <c r="BE12" s="1695"/>
      <c r="BF12" s="1695"/>
      <c r="BH12" s="1613">
        <v>28</v>
      </c>
      <c r="BI12" s="1614">
        <v>19898</v>
      </c>
      <c r="BJ12" s="1614">
        <v>80240</v>
      </c>
      <c r="BK12" s="1614">
        <v>29338</v>
      </c>
      <c r="BL12" s="1614">
        <v>120360</v>
      </c>
      <c r="BN12" s="1719">
        <v>0.10589999999999999</v>
      </c>
      <c r="BO12" s="1720">
        <v>9.2999999999999999E-2</v>
      </c>
      <c r="BP12" s="1720"/>
      <c r="BQ12" s="1720"/>
      <c r="BS12" s="1702">
        <v>0.105</v>
      </c>
      <c r="BT12" s="1721">
        <v>9.6199999999999992</v>
      </c>
      <c r="BU12" s="1984">
        <v>2.8000000000000001E-2</v>
      </c>
      <c r="BV12" s="1702">
        <v>0.105</v>
      </c>
      <c r="BW12" s="1721">
        <v>9.1999999999999993</v>
      </c>
      <c r="BX12" s="1984">
        <v>1.4500000000000001E-2</v>
      </c>
      <c r="BY12" s="1703"/>
      <c r="BZ12" s="1703"/>
      <c r="CA12" s="1703"/>
      <c r="CB12" s="1617"/>
      <c r="CE12" s="1619" t="e">
        <f>HLOOKUP($CE$1,tasasplus,12,0)</f>
        <v>#N/A</v>
      </c>
      <c r="CF12" s="1620">
        <v>0.13250000000000001</v>
      </c>
      <c r="CG12" s="1621">
        <v>0.13250000000000001</v>
      </c>
      <c r="CH12" s="1620">
        <v>0.13250000000000001</v>
      </c>
      <c r="CI12" s="1656"/>
      <c r="CJ12" s="1656"/>
      <c r="CK12" s="1623"/>
      <c r="CL12" s="1623"/>
      <c r="CM12" s="1597">
        <v>0.1275</v>
      </c>
      <c r="CN12" s="1686"/>
      <c r="CO12" s="1623"/>
      <c r="CP12" s="1623"/>
      <c r="CQ12" s="1623"/>
      <c r="CR12" s="1620">
        <v>0.13250000000000001</v>
      </c>
      <c r="DC12" s="1714" t="s">
        <v>69</v>
      </c>
      <c r="DD12" s="1584">
        <v>60</v>
      </c>
      <c r="DE12" s="1584">
        <v>120</v>
      </c>
      <c r="DF12" s="1584">
        <v>180</v>
      </c>
      <c r="DG12" s="1584"/>
      <c r="DH12" s="1584"/>
      <c r="DI12" s="1584"/>
      <c r="DJ12" s="1584"/>
      <c r="DK12" s="1584"/>
      <c r="DL12" s="1584"/>
      <c r="DM12" s="1584"/>
      <c r="DN12" s="1584"/>
      <c r="DO12" s="1584"/>
      <c r="DP12" s="1584"/>
      <c r="DQ12" s="1584"/>
    </row>
    <row r="13" spans="2:121">
      <c r="C13" s="1722"/>
      <c r="E13" s="1152" t="s">
        <v>413</v>
      </c>
      <c r="G13" s="1926"/>
      <c r="L13" s="1107" t="str">
        <f>IF(OR(F10=AK10,F10=AK11),"Gastos de preoriginación dictamen de obra","")</f>
        <v/>
      </c>
      <c r="N13" s="1723">
        <f>IF(OR(F10=AK10,F10=AK11),Adm!F5*1.16,0)</f>
        <v>0</v>
      </c>
      <c r="O13" s="1687"/>
      <c r="P13" s="1723"/>
      <c r="Q13" s="1723"/>
      <c r="R13" s="1723"/>
      <c r="S13" s="1723"/>
      <c r="T13" s="1723"/>
      <c r="U13" s="1723"/>
      <c r="V13" s="1723"/>
      <c r="W13" s="1723"/>
      <c r="X13" s="1723"/>
      <c r="Y13" s="1723"/>
      <c r="Z13" s="1723"/>
      <c r="AA13" s="1723"/>
      <c r="AB13" s="1723"/>
      <c r="AC13" s="1723"/>
      <c r="AD13" s="1723"/>
      <c r="AE13" s="1723"/>
      <c r="AF13" s="1723"/>
      <c r="AI13" s="1603" t="e">
        <f>VLOOKUP($AM$2,plazosdestino,13,0)</f>
        <v>#N/A</v>
      </c>
      <c r="AK13" s="1724" t="s">
        <v>68</v>
      </c>
      <c r="AL13" s="1725">
        <v>0.7</v>
      </c>
      <c r="AM13" s="1603" t="s">
        <v>69</v>
      </c>
      <c r="AO13" s="1524"/>
      <c r="AP13" s="1524"/>
      <c r="AQ13" s="1524"/>
      <c r="AR13" s="1524"/>
      <c r="AS13" s="1726"/>
      <c r="AT13" s="1524"/>
      <c r="AU13" s="1709"/>
      <c r="AV13" s="1524"/>
      <c r="AW13" s="1524"/>
      <c r="AX13" s="1524"/>
      <c r="AY13" s="1648">
        <v>4000001</v>
      </c>
      <c r="AZ13" s="1648">
        <v>4500000</v>
      </c>
      <c r="BA13" s="1649">
        <v>13500</v>
      </c>
      <c r="BF13" s="1695"/>
      <c r="BH13" s="1613">
        <v>29</v>
      </c>
      <c r="BI13" s="1614">
        <v>20418</v>
      </c>
      <c r="BJ13" s="1614">
        <v>82450</v>
      </c>
      <c r="BK13" s="1614">
        <v>30117.999999999996</v>
      </c>
      <c r="BL13" s="1614">
        <v>123675</v>
      </c>
      <c r="BN13" s="1663">
        <v>0.107</v>
      </c>
      <c r="BO13" s="1664">
        <v>9.7000000000000003E-2</v>
      </c>
      <c r="BP13" s="1664"/>
      <c r="BQ13" s="1664"/>
      <c r="BS13" s="1710">
        <v>0.10589999999999999</v>
      </c>
      <c r="BT13" s="1727">
        <v>9.68</v>
      </c>
      <c r="BU13" s="1985">
        <v>2.8000000000000001E-2</v>
      </c>
      <c r="BV13" s="1710">
        <v>0.10589999999999999</v>
      </c>
      <c r="BW13" s="1727">
        <v>9.26</v>
      </c>
      <c r="BX13" s="1985">
        <v>1.4500000000000001E-2</v>
      </c>
      <c r="BY13" s="1711"/>
      <c r="BZ13" s="1711"/>
      <c r="CA13" s="1711"/>
      <c r="CB13" s="1637"/>
      <c r="CE13" s="1619" t="e">
        <f>HLOOKUP($CE$1,tasasplus,13,0)</f>
        <v>#N/A</v>
      </c>
      <c r="CF13" s="1686"/>
      <c r="CG13" s="1666"/>
      <c r="CH13" s="1666"/>
      <c r="CI13" s="1656"/>
      <c r="CJ13" s="1656"/>
      <c r="CK13" s="1686"/>
      <c r="CL13" s="1686"/>
      <c r="CM13" s="1620">
        <v>0.13250000000000001</v>
      </c>
      <c r="CN13" s="1623"/>
      <c r="CO13" s="1686"/>
      <c r="CP13" s="1656"/>
      <c r="CQ13" s="1656"/>
      <c r="DC13" s="1724" t="s">
        <v>68</v>
      </c>
      <c r="DD13" s="1584">
        <v>84</v>
      </c>
      <c r="DE13" s="1584">
        <v>120</v>
      </c>
      <c r="DF13" s="1584">
        <v>180</v>
      </c>
      <c r="DG13" s="1584"/>
      <c r="DH13" s="1584"/>
      <c r="DI13" s="1584"/>
      <c r="DJ13" s="1584"/>
      <c r="DK13" s="1584"/>
      <c r="DL13" s="1584"/>
      <c r="DM13" s="1584"/>
      <c r="DN13" s="1584"/>
      <c r="DO13" s="1584"/>
      <c r="DP13" s="1584"/>
      <c r="DQ13" s="1584"/>
    </row>
    <row r="14" spans="2:121">
      <c r="C14" s="1728" t="b">
        <f>IF(G15=180,IF(ISNA(VLOOKUP(G16,Adm!AG7:AG35,1,0)),0,VLOOKUP(G16,Adm!AG7:AG35,1,0)),IF(G15=240,IF(ISNA(VLOOKUP(G16,Adm!AJ7:AJ35,1,0)),0,VLOOKUP(G16,Adm!AJ7:AJ35,1,0))))</f>
        <v>0</v>
      </c>
      <c r="D14" s="1107" t="str">
        <f>IF(OR(AM2=AK10,AM2=AK11),"Tamaño de la construcción en M2","")</f>
        <v/>
      </c>
      <c r="G14" s="1729"/>
      <c r="O14" s="1712"/>
      <c r="P14" s="1730"/>
      <c r="Q14" s="1730"/>
      <c r="R14" s="1730"/>
      <c r="S14" s="1730"/>
      <c r="T14" s="1730"/>
      <c r="U14" s="1730"/>
      <c r="V14" s="1730"/>
      <c r="W14" s="1730"/>
      <c r="X14" s="1730"/>
      <c r="Y14" s="1730"/>
      <c r="Z14" s="1730"/>
      <c r="AA14" s="1730"/>
      <c r="AB14" s="1730"/>
      <c r="AC14" s="1730"/>
      <c r="AD14" s="1730"/>
      <c r="AE14" s="1730"/>
      <c r="AF14" s="1730"/>
      <c r="AI14" s="1603" t="e">
        <f>VLOOKUP($AM$2,plazosdestino,14,0)</f>
        <v>#N/A</v>
      </c>
      <c r="AK14" s="2058" t="s">
        <v>66</v>
      </c>
      <c r="AL14" s="2059">
        <v>0.5</v>
      </c>
      <c r="AM14" s="1642" t="s">
        <v>68</v>
      </c>
      <c r="AQ14" s="1119" t="s">
        <v>550</v>
      </c>
      <c r="AU14" s="551" t="s">
        <v>209</v>
      </c>
      <c r="AY14" s="1648">
        <v>4500001</v>
      </c>
      <c r="AZ14" s="1648">
        <v>5500000</v>
      </c>
      <c r="BA14" s="1649">
        <v>14000</v>
      </c>
      <c r="BF14" s="1695"/>
      <c r="BH14" s="1613">
        <v>30</v>
      </c>
      <c r="BI14" s="1614">
        <v>21098</v>
      </c>
      <c r="BJ14" s="1614">
        <v>85340</v>
      </c>
      <c r="BK14" s="1614">
        <v>31137.999999999996</v>
      </c>
      <c r="BL14" s="1614">
        <v>128010</v>
      </c>
      <c r="BN14" s="1731">
        <v>0.1094</v>
      </c>
      <c r="BO14" s="1732">
        <v>9.9400000000000002E-2</v>
      </c>
      <c r="BP14" s="1732"/>
      <c r="BQ14" s="1732"/>
      <c r="BS14" s="1719">
        <v>0.106</v>
      </c>
      <c r="BT14" s="1733">
        <v>9.68</v>
      </c>
      <c r="BU14" s="1986">
        <v>2.8000000000000001E-2</v>
      </c>
      <c r="BV14" s="1719">
        <v>0.106</v>
      </c>
      <c r="BW14" s="1733">
        <v>9.26</v>
      </c>
      <c r="BX14" s="1986">
        <v>1.4500000000000001E-2</v>
      </c>
      <c r="BY14" s="1720"/>
      <c r="BZ14" s="1720"/>
      <c r="CA14" s="1720"/>
      <c r="CB14" s="1637"/>
      <c r="CE14" s="1619" t="e">
        <f>HLOOKUP($CE$1,tasasplus,14,0)</f>
        <v>#N/A</v>
      </c>
      <c r="CF14" s="1686"/>
      <c r="CG14" s="1666"/>
      <c r="CH14" s="1686"/>
      <c r="CI14" s="1656"/>
      <c r="CJ14" s="1656"/>
      <c r="CK14" s="1686"/>
      <c r="CL14" s="1686"/>
      <c r="CM14" s="1666"/>
      <c r="CN14" s="1623"/>
      <c r="CO14" s="1686"/>
      <c r="CP14" s="1656"/>
      <c r="CQ14" s="1656"/>
      <c r="DC14" s="1584" t="s">
        <v>66</v>
      </c>
      <c r="DD14" s="1584">
        <v>84</v>
      </c>
      <c r="DE14" s="1584">
        <f t="shared" ref="DE14" si="2">DD14+12</f>
        <v>96</v>
      </c>
      <c r="DF14" s="1584">
        <f t="shared" ref="DF14" si="3">DE14+12</f>
        <v>108</v>
      </c>
      <c r="DG14" s="1584">
        <f t="shared" ref="DG14" si="4">DF14+12</f>
        <v>120</v>
      </c>
      <c r="DH14" s="1584">
        <f t="shared" ref="DH14" si="5">DG14+12</f>
        <v>132</v>
      </c>
      <c r="DI14" s="1584">
        <f t="shared" ref="DI14" si="6">DH14+12</f>
        <v>144</v>
      </c>
      <c r="DJ14" s="1584">
        <f t="shared" ref="DJ14" si="7">DI14+12</f>
        <v>156</v>
      </c>
      <c r="DK14" s="1584">
        <f t="shared" ref="DK14" si="8">DJ14+12</f>
        <v>168</v>
      </c>
      <c r="DL14" s="1584">
        <f t="shared" ref="DL14" si="9">DK14+12</f>
        <v>180</v>
      </c>
      <c r="DM14" s="1584">
        <v>240</v>
      </c>
      <c r="DN14" s="1584"/>
      <c r="DO14" s="1584"/>
      <c r="DP14" s="1584"/>
      <c r="DQ14" s="1584"/>
    </row>
    <row r="15" spans="2:121">
      <c r="D15" s="1120" t="s">
        <v>555</v>
      </c>
      <c r="E15" s="1734"/>
      <c r="G15" s="2155"/>
      <c r="L15" s="1735" t="s">
        <v>556</v>
      </c>
      <c r="M15" s="1735"/>
      <c r="N15" s="1736">
        <f>SUM(N10:N13)</f>
        <v>0</v>
      </c>
      <c r="O15" s="1723"/>
      <c r="AI15" s="1603" t="e">
        <f>VLOOKUP($AM$2,plazosdestino,15,0)</f>
        <v>#N/A</v>
      </c>
      <c r="AM15" s="2061" t="s">
        <v>66</v>
      </c>
      <c r="AQ15" s="1572" t="str">
        <f>IF(AM2=AM3,"SI","")</f>
        <v/>
      </c>
      <c r="AU15" s="553" t="str" cm="1">
        <f t="array" ref="AU15">_xlfn._xlws.FILTER(PlanesPlus,PlanesPlus&lt;&gt;"")</f>
        <v>Plan Platino</v>
      </c>
      <c r="AV15" s="1738"/>
      <c r="AY15" s="1648">
        <v>5500001</v>
      </c>
      <c r="AZ15" s="1648">
        <v>6000000</v>
      </c>
      <c r="BA15" s="1649">
        <v>17000</v>
      </c>
      <c r="BH15" s="1613">
        <v>31</v>
      </c>
      <c r="BI15" s="1614">
        <v>21878</v>
      </c>
      <c r="BJ15" s="1614">
        <v>88655</v>
      </c>
      <c r="BK15" s="1614">
        <v>32308</v>
      </c>
      <c r="BL15" s="1614">
        <v>132983</v>
      </c>
      <c r="BN15" s="1682">
        <v>0.1095</v>
      </c>
      <c r="BO15" s="1683">
        <v>9.9500000000000005E-2</v>
      </c>
      <c r="BP15" s="1683"/>
      <c r="BQ15" s="1683"/>
      <c r="BS15" s="1663">
        <v>0.107</v>
      </c>
      <c r="BT15" s="1684">
        <v>9.74</v>
      </c>
      <c r="BU15" s="1981">
        <v>2.8000000000000001E-2</v>
      </c>
      <c r="BV15" s="1663">
        <v>0.107</v>
      </c>
      <c r="BW15" s="1684">
        <v>9.33</v>
      </c>
      <c r="BX15" s="1981">
        <v>1.4500000000000001E-2</v>
      </c>
      <c r="BY15" s="1664"/>
      <c r="BZ15" s="1664"/>
      <c r="CA15" s="1664"/>
      <c r="CB15" s="1739"/>
      <c r="CE15" s="1619" t="e">
        <f>HLOOKUP($CE$1,tasasplus,15,0)</f>
        <v>#N/A</v>
      </c>
      <c r="CF15" s="1686"/>
      <c r="CG15" s="1666"/>
      <c r="CH15" s="1686"/>
      <c r="CI15" s="1656"/>
      <c r="CJ15" s="1656"/>
      <c r="CK15" s="1686"/>
      <c r="CL15" s="1686"/>
      <c r="CM15" s="1666"/>
      <c r="CN15" s="1686"/>
      <c r="CO15" s="1686"/>
      <c r="CP15" s="1656"/>
      <c r="CQ15" s="1656"/>
    </row>
    <row r="16" spans="2:121">
      <c r="D16" s="1120" t="s">
        <v>557</v>
      </c>
      <c r="E16" s="1734"/>
      <c r="G16" s="1925"/>
      <c r="O16" s="1740"/>
      <c r="AI16" s="1741">
        <f>IF(ISNA(VLOOKUP(G15,pla,1,0)),0,VLOOKUP(G15,pla,1,0))</f>
        <v>0</v>
      </c>
      <c r="AM16" s="1120"/>
      <c r="AQ16" s="1642" t="str">
        <f>IF(AM2=AM3,"NO","")</f>
        <v/>
      </c>
      <c r="AY16" s="1648">
        <v>6000001</v>
      </c>
      <c r="AZ16" s="1648">
        <v>6500000</v>
      </c>
      <c r="BA16" s="1649">
        <v>19000</v>
      </c>
      <c r="BH16" s="1613">
        <v>32</v>
      </c>
      <c r="BI16" s="1614">
        <v>22738</v>
      </c>
      <c r="BJ16" s="1614">
        <v>92310</v>
      </c>
      <c r="BK16" s="1614">
        <v>33598</v>
      </c>
      <c r="BL16" s="1614">
        <v>138465</v>
      </c>
      <c r="BN16" s="1652">
        <v>0.111</v>
      </c>
      <c r="BO16" s="1653">
        <v>9.2999999999999999E-2</v>
      </c>
      <c r="BP16" s="1653"/>
      <c r="BQ16" s="1653"/>
      <c r="BS16" s="1731">
        <v>0.1094</v>
      </c>
      <c r="BT16" s="1742">
        <v>9.89</v>
      </c>
      <c r="BU16" s="1987">
        <v>2.8000000000000001E-2</v>
      </c>
      <c r="BV16" s="1731">
        <v>0.1094</v>
      </c>
      <c r="BW16" s="1742">
        <v>9.49</v>
      </c>
      <c r="BX16" s="1987">
        <v>1.4500000000000001E-2</v>
      </c>
      <c r="BY16" s="1732"/>
      <c r="BZ16" s="1732"/>
      <c r="CA16" s="1732"/>
      <c r="CB16" s="1743"/>
      <c r="CE16" s="1619" t="e">
        <f>HLOOKUP($CE$1,tasasplus,16,0)</f>
        <v>#N/A</v>
      </c>
      <c r="CF16" s="1686"/>
      <c r="CG16" s="1744"/>
      <c r="CH16" s="1686"/>
      <c r="CI16" s="1656"/>
      <c r="CJ16" s="1656"/>
      <c r="CK16" s="1686"/>
      <c r="CL16" s="1686"/>
      <c r="CM16" s="1744"/>
      <c r="CN16" s="1623"/>
      <c r="CO16" s="1686"/>
      <c r="CP16" s="1656"/>
      <c r="CQ16" s="1656"/>
    </row>
    <row r="17" spans="3:95" ht="15" customHeight="1">
      <c r="D17" s="1146" t="s">
        <v>558</v>
      </c>
      <c r="G17" s="1745"/>
      <c r="I17" s="2255" t="str">
        <f>IF(F10=AK3,"Captura el salario estimado para simular aportaciones patronales mayores","")</f>
        <v/>
      </c>
      <c r="J17" s="2255"/>
      <c r="O17" s="1740"/>
      <c r="AM17" s="1120"/>
      <c r="AQ17" s="1746"/>
      <c r="AR17" s="1746"/>
      <c r="AY17" s="1648">
        <v>6500001</v>
      </c>
      <c r="AZ17" s="1648">
        <v>8000000</v>
      </c>
      <c r="BA17" s="1649">
        <v>20000</v>
      </c>
      <c r="BH17" s="1613">
        <v>33</v>
      </c>
      <c r="BI17" s="1614">
        <v>23658</v>
      </c>
      <c r="BJ17" s="1614">
        <v>96220</v>
      </c>
      <c r="BK17" s="1614">
        <v>34978</v>
      </c>
      <c r="BL17" s="1614">
        <v>144330</v>
      </c>
      <c r="BN17" s="1747">
        <v>0.1149</v>
      </c>
      <c r="BO17" s="1748">
        <v>0.1125</v>
      </c>
      <c r="BP17" s="1748"/>
      <c r="BQ17" s="1748"/>
      <c r="BS17" s="1682">
        <v>0.1095</v>
      </c>
      <c r="BT17" s="1704">
        <v>9.89</v>
      </c>
      <c r="BU17" s="1983">
        <v>2.8000000000000001E-2</v>
      </c>
      <c r="BV17" s="1682">
        <v>0.1095</v>
      </c>
      <c r="BW17" s="1704">
        <v>9.5</v>
      </c>
      <c r="BX17" s="1983">
        <v>1.4500000000000001E-2</v>
      </c>
      <c r="BY17" s="1683"/>
      <c r="BZ17" s="1683"/>
      <c r="CA17" s="1683"/>
      <c r="CB17" s="1739"/>
      <c r="CE17" s="1619" t="e">
        <f>HLOOKUP($CE$1,tasasplus,17,0)</f>
        <v>#N/A</v>
      </c>
      <c r="CF17" s="1749"/>
      <c r="CG17" s="1744"/>
      <c r="CH17" s="1686"/>
      <c r="CI17" s="1656"/>
      <c r="CJ17" s="1656"/>
      <c r="CK17" s="1686"/>
      <c r="CL17" s="1686"/>
      <c r="CM17" s="1744"/>
      <c r="CN17" s="1686"/>
      <c r="CO17" s="1686"/>
      <c r="CP17" s="1656"/>
      <c r="CQ17" s="1656"/>
    </row>
    <row r="18" spans="3:95">
      <c r="D18" s="1120" t="s">
        <v>513</v>
      </c>
      <c r="G18" s="2156"/>
      <c r="I18" s="2255"/>
      <c r="J18" s="2255"/>
      <c r="K18" s="1750"/>
      <c r="AL18" s="1751"/>
      <c r="AM18" s="1737"/>
      <c r="AQ18" s="1752"/>
      <c r="AR18" s="1752"/>
      <c r="AY18" s="1648">
        <v>8000001</v>
      </c>
      <c r="AZ18" s="1648">
        <v>10000000</v>
      </c>
      <c r="BA18" s="1649">
        <v>22000</v>
      </c>
      <c r="BH18" s="1613">
        <v>34</v>
      </c>
      <c r="BI18" s="1614">
        <v>24678</v>
      </c>
      <c r="BJ18" s="1614">
        <v>100555</v>
      </c>
      <c r="BK18" s="1614">
        <v>36508</v>
      </c>
      <c r="BL18" s="1614">
        <v>150833</v>
      </c>
      <c r="BN18" s="1719">
        <v>0.115</v>
      </c>
      <c r="BO18" s="1720">
        <v>0.10349999999999999</v>
      </c>
      <c r="BP18" s="1720"/>
      <c r="BQ18" s="1720"/>
      <c r="BS18" s="1652">
        <v>0.1096</v>
      </c>
      <c r="BT18" s="1676">
        <v>9.9</v>
      </c>
      <c r="BU18" s="1980">
        <v>2.8000000000000001E-2</v>
      </c>
      <c r="BV18" s="1652">
        <v>0.1096</v>
      </c>
      <c r="BW18" s="1676">
        <v>9.5</v>
      </c>
      <c r="BX18" s="1980">
        <v>1.4500000000000001E-2</v>
      </c>
      <c r="BY18" s="1653"/>
      <c r="BZ18" s="1653"/>
      <c r="CA18" s="1653"/>
      <c r="CB18" s="1743"/>
      <c r="CE18" s="1619" t="e">
        <f>HLOOKUP($CE$1,tasasplus,18,0)</f>
        <v>#N/A</v>
      </c>
      <c r="CF18" s="1686"/>
      <c r="CG18" s="1753"/>
      <c r="CH18" s="1686"/>
      <c r="CI18" s="1656"/>
      <c r="CJ18" s="1656"/>
      <c r="CK18" s="1686"/>
      <c r="CL18" s="1686"/>
      <c r="CM18" s="1753"/>
      <c r="CN18" s="1686"/>
      <c r="CO18" s="1686"/>
      <c r="CP18" s="1656"/>
      <c r="CQ18" s="1656"/>
    </row>
    <row r="19" spans="3:95">
      <c r="F19" s="1119"/>
      <c r="J19" s="1525"/>
      <c r="O19" s="1754"/>
      <c r="P19" s="1755"/>
      <c r="Q19" s="1755"/>
      <c r="R19" s="1755"/>
      <c r="S19" s="1755"/>
      <c r="T19" s="1755"/>
      <c r="U19" s="1755"/>
      <c r="V19" s="1755"/>
      <c r="W19" s="1755"/>
      <c r="X19" s="1755"/>
      <c r="Y19" s="1755"/>
      <c r="Z19" s="1755"/>
      <c r="AA19" s="1755"/>
      <c r="AB19" s="1755"/>
      <c r="AC19" s="1755"/>
      <c r="AD19" s="1755"/>
      <c r="AE19" s="1755"/>
      <c r="AF19" s="1755"/>
      <c r="AG19" s="1756"/>
      <c r="AH19" s="1756"/>
      <c r="AI19" s="1756"/>
      <c r="AL19" s="1117"/>
      <c r="AM19" s="1120"/>
      <c r="AQ19" s="1108"/>
      <c r="AR19" s="1108"/>
      <c r="AU19" s="1738"/>
      <c r="AY19" s="1757">
        <v>10000001</v>
      </c>
      <c r="AZ19" s="1757">
        <v>999999999999</v>
      </c>
      <c r="BA19" s="1758">
        <v>24000</v>
      </c>
      <c r="BH19" s="1613">
        <v>35</v>
      </c>
      <c r="BI19" s="1614">
        <v>25878</v>
      </c>
      <c r="BJ19" s="1614">
        <v>105655</v>
      </c>
      <c r="BK19" s="1614">
        <v>38308</v>
      </c>
      <c r="BL19" s="1614">
        <v>158483</v>
      </c>
      <c r="BN19" s="1615">
        <v>0.1159</v>
      </c>
      <c r="BO19" s="1616">
        <v>0.1095</v>
      </c>
      <c r="BP19" s="1616"/>
      <c r="BQ19" s="1616"/>
      <c r="BS19" s="1747">
        <v>0.111</v>
      </c>
      <c r="BT19" s="1759">
        <v>9.98</v>
      </c>
      <c r="BU19" s="1988">
        <v>2.8000000000000001E-2</v>
      </c>
      <c r="BV19" s="1747">
        <v>0.111</v>
      </c>
      <c r="BW19" s="1759">
        <v>9.73</v>
      </c>
      <c r="BX19" s="1988">
        <v>1.23E-2</v>
      </c>
      <c r="BY19" s="1748"/>
      <c r="BZ19" s="1748"/>
      <c r="CA19" s="1748"/>
      <c r="CB19" s="1760"/>
      <c r="CE19" s="1619" t="e">
        <f>HLOOKUP($CE$1,tasasplus,19,0)</f>
        <v>#N/A</v>
      </c>
      <c r="CF19" s="1686"/>
      <c r="CG19" s="1753"/>
      <c r="CH19" s="1686"/>
      <c r="CI19" s="1656"/>
      <c r="CJ19" s="1656"/>
      <c r="CK19" s="1686"/>
      <c r="CL19" s="1686"/>
      <c r="CM19" s="1753"/>
      <c r="CN19" s="1686"/>
      <c r="CO19" s="1686"/>
      <c r="CP19" s="1656"/>
      <c r="CQ19" s="1656"/>
    </row>
    <row r="20" spans="3:95" ht="15" customHeight="1">
      <c r="D20" s="1146" t="s">
        <v>559</v>
      </c>
      <c r="E20" s="1146"/>
      <c r="F20" s="1146"/>
      <c r="J20" s="1761" t="str">
        <f>IF(OR(F10=AK10,F10=AK11),"Captura el importe de la Primera Disposición que se indica en el BHF","")</f>
        <v/>
      </c>
      <c r="K20" s="1745"/>
      <c r="L20" s="2378" t="str">
        <f>IF(OR(AM2=AK10,AM2=AK11)," Debes asegurarte de capturar las cifras correctas de tu BHF definitivo","")</f>
        <v/>
      </c>
      <c r="M20" s="2378"/>
      <c r="N20" s="2378"/>
      <c r="O20" s="2378"/>
      <c r="P20" s="1755"/>
      <c r="Q20" s="1755"/>
      <c r="R20" s="1755"/>
      <c r="S20" s="1755"/>
      <c r="T20" s="1755"/>
      <c r="U20" s="1755"/>
      <c r="V20" s="1755"/>
      <c r="W20" s="1755"/>
      <c r="X20" s="1755"/>
      <c r="Y20" s="1755"/>
      <c r="Z20" s="1755"/>
      <c r="AA20" s="1755"/>
      <c r="AB20" s="1755"/>
      <c r="AC20" s="1755"/>
      <c r="AD20" s="1755"/>
      <c r="AE20" s="1755"/>
      <c r="AF20" s="1755"/>
      <c r="AM20" s="1120"/>
      <c r="AQ20" s="1108"/>
      <c r="AR20" s="1108"/>
      <c r="BH20" s="1613">
        <v>36</v>
      </c>
      <c r="BI20" s="1614">
        <v>27198</v>
      </c>
      <c r="BJ20" s="1614">
        <v>111265</v>
      </c>
      <c r="BK20" s="1614">
        <v>40288</v>
      </c>
      <c r="BL20" s="1614">
        <v>166898</v>
      </c>
      <c r="BN20" s="1762">
        <v>0.11749999999999999</v>
      </c>
      <c r="BO20" s="1763">
        <v>0.1125</v>
      </c>
      <c r="BP20" s="1763"/>
      <c r="BQ20" s="1763"/>
      <c r="BS20" s="1719">
        <v>0.112</v>
      </c>
      <c r="BT20" s="1733">
        <v>10.039999999999999</v>
      </c>
      <c r="BU20" s="1986">
        <v>2.8000000000000001E-2</v>
      </c>
      <c r="BV20" s="1719">
        <v>0.112</v>
      </c>
      <c r="BW20" s="1733">
        <v>9.8000000000000007</v>
      </c>
      <c r="BX20" s="1986">
        <v>1.23E-2</v>
      </c>
      <c r="BY20" s="1720"/>
      <c r="BZ20" s="1720"/>
      <c r="CA20" s="1720"/>
      <c r="CB20" s="1760"/>
      <c r="CE20" s="1619" t="e">
        <f>HLOOKUP($CE$1,tasasplus,20,0)</f>
        <v>#N/A</v>
      </c>
      <c r="CF20" s="1764"/>
      <c r="CG20" s="1765"/>
      <c r="CH20" s="1686"/>
      <c r="CI20" s="1656"/>
      <c r="CJ20" s="1656"/>
      <c r="CK20" s="1686"/>
      <c r="CL20" s="1686"/>
      <c r="CM20" s="1765"/>
      <c r="CN20" s="1686"/>
      <c r="CO20" s="1686"/>
      <c r="CP20" s="1656"/>
      <c r="CQ20" s="1656"/>
    </row>
    <row r="21" spans="3:95">
      <c r="D21" s="1120" t="s">
        <v>560</v>
      </c>
      <c r="E21" s="1102"/>
      <c r="G21" s="2157">
        <v>1</v>
      </c>
      <c r="O21" s="1755"/>
      <c r="P21" s="1755"/>
      <c r="Q21" s="1755"/>
      <c r="R21" s="1755"/>
      <c r="S21" s="1755"/>
      <c r="T21" s="1755"/>
      <c r="U21" s="1755"/>
      <c r="V21" s="1755"/>
      <c r="W21" s="1755"/>
      <c r="X21" s="1755"/>
      <c r="Y21" s="1755"/>
      <c r="Z21" s="1755"/>
      <c r="AA21" s="1755"/>
      <c r="AB21" s="1755"/>
      <c r="AC21" s="1755"/>
      <c r="AD21" s="1755"/>
      <c r="AE21" s="1755"/>
      <c r="AF21" s="1755"/>
      <c r="AG21" s="1755"/>
      <c r="AH21" s="1755"/>
      <c r="AI21" s="1755"/>
      <c r="AJ21" s="1766"/>
      <c r="AM21" s="1767"/>
      <c r="AQ21" s="1108"/>
      <c r="AR21" s="1108"/>
      <c r="BH21" s="1613">
        <v>37</v>
      </c>
      <c r="BI21" s="1614">
        <v>28598</v>
      </c>
      <c r="BJ21" s="1614">
        <v>117215</v>
      </c>
      <c r="BK21" s="1614">
        <v>42388</v>
      </c>
      <c r="BL21" s="1614">
        <v>175823</v>
      </c>
      <c r="BN21" s="1719">
        <v>0.11799999999999999</v>
      </c>
      <c r="BO21" s="1720">
        <v>0.1065</v>
      </c>
      <c r="BP21" s="1720">
        <v>0.115</v>
      </c>
      <c r="BQ21" s="1720"/>
      <c r="BS21" s="1615">
        <v>0.1149</v>
      </c>
      <c r="BT21" s="1654">
        <v>10.220000000000001</v>
      </c>
      <c r="BU21" s="1982">
        <v>2.8000000000000001E-2</v>
      </c>
      <c r="BV21" s="1615">
        <v>0.1149</v>
      </c>
      <c r="BW21" s="1654">
        <v>10</v>
      </c>
      <c r="BX21" s="1982">
        <v>1.23E-2</v>
      </c>
      <c r="BY21" s="1616"/>
      <c r="BZ21" s="1616"/>
      <c r="CA21" s="1616"/>
      <c r="CB21" s="1760"/>
      <c r="CE21" s="1619" t="e">
        <f>HLOOKUP($CE$1,tasasplus,21,0)</f>
        <v>#N/A</v>
      </c>
      <c r="CF21" s="1768"/>
      <c r="CG21" s="1765"/>
      <c r="CH21" s="1686"/>
      <c r="CI21" s="1656"/>
      <c r="CJ21" s="1656"/>
      <c r="CK21" s="1686"/>
      <c r="CL21" s="1686"/>
      <c r="CM21" s="1765"/>
      <c r="CN21" s="1686"/>
      <c r="CO21" s="1686"/>
      <c r="CP21" s="1656"/>
      <c r="CQ21" s="1656"/>
    </row>
    <row r="22" spans="3:95">
      <c r="D22" s="1120" t="s">
        <v>561</v>
      </c>
      <c r="F22" s="2342" t="s">
        <v>223</v>
      </c>
      <c r="G22" s="2343"/>
      <c r="H22" s="1121" t="str">
        <f>IF(F22=AN3,"Captura factor","")</f>
        <v/>
      </c>
      <c r="I22" s="1769"/>
      <c r="O22" s="1755"/>
      <c r="P22" s="1755"/>
      <c r="Q22" s="1755"/>
      <c r="R22" s="1755"/>
      <c r="S22" s="1755"/>
      <c r="T22" s="1755"/>
      <c r="U22" s="1755"/>
      <c r="V22" s="1755"/>
      <c r="W22" s="1755"/>
      <c r="X22" s="1755"/>
      <c r="Y22" s="1755"/>
      <c r="Z22" s="1755"/>
      <c r="AA22" s="1755"/>
      <c r="AB22" s="1755"/>
      <c r="AC22" s="1755"/>
      <c r="AD22" s="1755"/>
      <c r="AE22" s="1755"/>
      <c r="AF22" s="1755"/>
      <c r="AG22" s="1755"/>
      <c r="AH22" s="1755"/>
      <c r="AI22" s="1755"/>
      <c r="AJ22" s="1766"/>
      <c r="AM22" s="1247"/>
      <c r="BH22" s="1613">
        <v>38</v>
      </c>
      <c r="BI22" s="1614">
        <v>30098</v>
      </c>
      <c r="BJ22" s="1614">
        <v>123590</v>
      </c>
      <c r="BK22" s="1614">
        <v>44638</v>
      </c>
      <c r="BL22" s="1614">
        <v>185385</v>
      </c>
      <c r="BN22" s="1710">
        <v>0.12</v>
      </c>
      <c r="BO22" s="1711">
        <v>0.1125</v>
      </c>
      <c r="BP22" s="1711"/>
      <c r="BQ22" s="1711"/>
      <c r="BS22" s="1710">
        <v>0.1159</v>
      </c>
      <c r="BT22" s="1727">
        <v>10.28</v>
      </c>
      <c r="BU22" s="1985">
        <v>2.8000000000000001E-2</v>
      </c>
      <c r="BV22" s="1710">
        <v>0.1159</v>
      </c>
      <c r="BW22" s="1727">
        <v>10.07</v>
      </c>
      <c r="BX22" s="1985">
        <v>1.23E-2</v>
      </c>
      <c r="BY22" s="1711"/>
      <c r="BZ22" s="1711"/>
      <c r="CA22" s="1711"/>
      <c r="CB22" s="1760"/>
      <c r="CE22" s="1619" t="e">
        <f>HLOOKUP($CE$1,tasasplus,22,0)</f>
        <v>#N/A</v>
      </c>
      <c r="CF22" s="1764"/>
      <c r="CG22" s="1770"/>
      <c r="CH22" s="1686"/>
      <c r="CI22" s="1656"/>
      <c r="CJ22" s="1656"/>
      <c r="CK22" s="1656"/>
      <c r="CL22" s="1686"/>
      <c r="CM22" s="1770"/>
      <c r="CN22" s="1686"/>
      <c r="CO22" s="1656"/>
      <c r="CP22" s="1656"/>
      <c r="CQ22" s="1656"/>
    </row>
    <row r="23" spans="3:95" ht="18" customHeight="1">
      <c r="H23" s="1771"/>
      <c r="I23" s="1772"/>
      <c r="J23" s="1772"/>
      <c r="O23" s="1755"/>
      <c r="P23" s="1755"/>
      <c r="Q23" s="1755"/>
      <c r="R23" s="1755"/>
      <c r="S23" s="1755"/>
      <c r="T23" s="1755"/>
      <c r="U23" s="1755"/>
      <c r="V23" s="1755"/>
      <c r="W23" s="1755"/>
      <c r="X23" s="1755"/>
      <c r="Y23" s="1755"/>
      <c r="Z23" s="1755"/>
      <c r="AA23" s="1755"/>
      <c r="AB23" s="1755"/>
      <c r="AC23" s="1755"/>
      <c r="AD23" s="1755"/>
      <c r="AE23" s="1755"/>
      <c r="AF23" s="1755"/>
      <c r="AG23" s="1755"/>
      <c r="AH23" s="1755"/>
      <c r="AI23" s="1755"/>
      <c r="AJ23" s="1766"/>
      <c r="BH23" s="1613">
        <v>39</v>
      </c>
      <c r="BI23" s="1614">
        <v>31938</v>
      </c>
      <c r="BJ23" s="1614">
        <v>131410</v>
      </c>
      <c r="BK23" s="1614">
        <v>47398</v>
      </c>
      <c r="BL23" s="1614">
        <v>197115</v>
      </c>
      <c r="BN23" s="1731">
        <v>0.121</v>
      </c>
      <c r="BO23" s="1732">
        <v>0.1095</v>
      </c>
      <c r="BP23" s="1732"/>
      <c r="BQ23" s="1732"/>
      <c r="BS23" s="1731">
        <v>0.11650000000000001</v>
      </c>
      <c r="BT23" s="1742">
        <v>10.31</v>
      </c>
      <c r="BU23" s="1987">
        <v>2.8000000000000001E-2</v>
      </c>
      <c r="BV23" s="1731">
        <v>0.11650000000000001</v>
      </c>
      <c r="BW23" s="1742">
        <v>10.11</v>
      </c>
      <c r="BX23" s="1987">
        <v>1.23E-2</v>
      </c>
      <c r="BY23" s="1732"/>
      <c r="BZ23" s="1732"/>
      <c r="CA23" s="1732"/>
      <c r="CB23" s="1760"/>
      <c r="CC23" s="1696"/>
      <c r="CE23" s="1619" t="e">
        <f>HLOOKUP($CE$1,tasasplus,23,0)</f>
        <v>#N/A</v>
      </c>
      <c r="CF23" s="1753"/>
      <c r="CG23" s="1753"/>
      <c r="CH23" s="1686"/>
      <c r="CI23" s="1656"/>
      <c r="CJ23" s="1656"/>
      <c r="CK23" s="1656"/>
      <c r="CL23" s="1753"/>
      <c r="CM23" s="1753"/>
      <c r="CN23" s="1686"/>
      <c r="CO23" s="1656"/>
      <c r="CP23" s="1656"/>
      <c r="CQ23" s="1656"/>
    </row>
    <row r="24" spans="3:95">
      <c r="D24" s="1120" t="s">
        <v>562</v>
      </c>
      <c r="F24" s="2342" t="s">
        <v>223</v>
      </c>
      <c r="G24" s="2343"/>
      <c r="H24" s="1687"/>
      <c r="I24" s="1773"/>
      <c r="O24" s="1401"/>
      <c r="P24" s="1774"/>
      <c r="Q24" s="1774"/>
      <c r="R24" s="1774"/>
      <c r="S24" s="1774"/>
      <c r="T24" s="1774"/>
      <c r="U24" s="1774"/>
      <c r="V24" s="1774"/>
      <c r="W24" s="1774"/>
      <c r="X24" s="1774"/>
      <c r="Y24" s="1774"/>
      <c r="Z24" s="1774"/>
      <c r="AA24" s="1774"/>
      <c r="AB24" s="1774"/>
      <c r="AC24" s="1774"/>
      <c r="AD24" s="1774"/>
      <c r="AE24" s="1774"/>
      <c r="AF24" s="1774"/>
      <c r="AG24" s="1774"/>
      <c r="AH24" s="1774"/>
      <c r="AI24" s="1774"/>
      <c r="AJ24" s="1775"/>
      <c r="AM24" s="1737"/>
      <c r="BH24" s="1613">
        <v>40</v>
      </c>
      <c r="BI24" s="1614">
        <v>33978</v>
      </c>
      <c r="BJ24" s="1614">
        <v>140080</v>
      </c>
      <c r="BK24" s="1614">
        <v>50458</v>
      </c>
      <c r="BL24" s="1614">
        <v>210120</v>
      </c>
      <c r="BN24" s="1635">
        <v>0.1225</v>
      </c>
      <c r="BO24" s="1636">
        <v>0.1125</v>
      </c>
      <c r="BP24" s="1636"/>
      <c r="BQ24" s="1636"/>
      <c r="BS24" s="1635">
        <v>0.11749999999999999</v>
      </c>
      <c r="BT24" s="1665">
        <v>10.38</v>
      </c>
      <c r="BU24" s="1979">
        <v>2.8000000000000001E-2</v>
      </c>
      <c r="BV24" s="1635">
        <v>0.11749999999999999</v>
      </c>
      <c r="BW24" s="1665">
        <v>10.18</v>
      </c>
      <c r="BX24" s="1979">
        <v>1.23E-2</v>
      </c>
      <c r="BY24" s="1636"/>
      <c r="BZ24" s="1636"/>
      <c r="CA24" s="1636"/>
      <c r="CB24" s="1760"/>
      <c r="CC24" s="1696"/>
      <c r="CE24" s="1619" t="e">
        <f>HLOOKUP($CE$1,tasasplus,24,0)</f>
        <v>#N/A</v>
      </c>
      <c r="CF24" s="1776"/>
      <c r="CG24" s="1776"/>
      <c r="CH24" s="1686"/>
      <c r="CI24" s="1656"/>
      <c r="CJ24" s="1656"/>
      <c r="CK24" s="1656"/>
      <c r="CL24" s="1776"/>
      <c r="CM24" s="1776"/>
      <c r="CN24" s="1686"/>
      <c r="CO24" s="1656"/>
      <c r="CP24" s="1656"/>
      <c r="CQ24" s="1656"/>
    </row>
    <row r="25" spans="3:95">
      <c r="I25" s="1773"/>
      <c r="O25" s="1777"/>
      <c r="P25" s="1695"/>
      <c r="Q25" s="1695"/>
      <c r="R25" s="1695"/>
      <c r="S25" s="1695"/>
      <c r="T25" s="1695"/>
      <c r="U25" s="1695"/>
      <c r="V25" s="1695"/>
      <c r="W25" s="1695"/>
      <c r="X25" s="1695"/>
      <c r="Y25" s="1695"/>
      <c r="Z25" s="1695"/>
      <c r="AA25" s="1695"/>
      <c r="AB25" s="1695"/>
      <c r="AC25" s="1695"/>
      <c r="AD25" s="1695"/>
      <c r="AE25" s="1695"/>
      <c r="AF25" s="1695"/>
      <c r="AM25" s="1737"/>
      <c r="BH25" s="1613">
        <v>41</v>
      </c>
      <c r="BI25" s="1614">
        <v>36038</v>
      </c>
      <c r="BJ25" s="1614">
        <v>148835</v>
      </c>
      <c r="BK25" s="1614">
        <v>53548.000000000007</v>
      </c>
      <c r="BL25" s="1614">
        <v>223253</v>
      </c>
      <c r="BN25" s="1663">
        <v>0.1249</v>
      </c>
      <c r="BO25" s="1664">
        <v>0.1225</v>
      </c>
      <c r="BP25" s="1664"/>
      <c r="BQ25" s="1664"/>
      <c r="BS25" s="1663">
        <v>0.12</v>
      </c>
      <c r="BT25" s="1684">
        <v>10.53</v>
      </c>
      <c r="BU25" s="1981">
        <v>2.8000000000000001E-2</v>
      </c>
      <c r="BV25" s="1663">
        <v>0.12</v>
      </c>
      <c r="BW25" s="1684">
        <v>10.49</v>
      </c>
      <c r="BX25" s="1981">
        <v>0.01</v>
      </c>
      <c r="BY25" s="1664"/>
      <c r="BZ25" s="1664"/>
      <c r="CA25" s="1664"/>
      <c r="CB25" s="1760"/>
      <c r="CC25" s="1696"/>
      <c r="CE25" s="1619" t="e">
        <f>HLOOKUP($CE$1,tasasplus,25,0)</f>
        <v>#N/A</v>
      </c>
      <c r="CF25" s="1776"/>
      <c r="CG25" s="1776"/>
      <c r="CH25" s="1686"/>
      <c r="CI25" s="1656"/>
      <c r="CJ25" s="1656"/>
      <c r="CK25" s="1656"/>
      <c r="CL25" s="1776"/>
      <c r="CM25" s="1776"/>
      <c r="CN25" s="1686"/>
      <c r="CO25" s="1656"/>
      <c r="CP25" s="1656"/>
      <c r="CQ25" s="1656"/>
    </row>
    <row r="26" spans="3:95">
      <c r="I26" s="1773"/>
      <c r="K26" s="1110"/>
      <c r="L26" s="1110"/>
      <c r="M26" s="1110"/>
      <c r="N26" s="1110"/>
      <c r="O26" s="1119"/>
      <c r="AM26" s="1120"/>
      <c r="BH26" s="1613">
        <v>42</v>
      </c>
      <c r="BI26" s="1614">
        <v>38418</v>
      </c>
      <c r="BJ26" s="1614">
        <v>158950</v>
      </c>
      <c r="BK26" s="1614">
        <v>57118</v>
      </c>
      <c r="BL26" s="1614">
        <v>238425</v>
      </c>
      <c r="BN26" s="1747">
        <v>0.125</v>
      </c>
      <c r="BO26" s="1748">
        <v>0.115</v>
      </c>
      <c r="BP26" s="1748"/>
      <c r="BQ26" s="1748"/>
      <c r="BS26" s="1747">
        <v>0.121</v>
      </c>
      <c r="BT26" s="1759">
        <v>10.59</v>
      </c>
      <c r="BU26" s="1988">
        <v>2.8000000000000001E-2</v>
      </c>
      <c r="BV26" s="1747">
        <v>0.121</v>
      </c>
      <c r="BW26" s="1759">
        <v>10.56</v>
      </c>
      <c r="BX26" s="1988">
        <v>0.01</v>
      </c>
      <c r="BY26" s="1748"/>
      <c r="BZ26" s="1748"/>
      <c r="CA26" s="1748"/>
      <c r="CB26" s="1760"/>
      <c r="CC26" s="1696"/>
      <c r="CE26" s="1619" t="e">
        <f>HLOOKUP($CE$1,tasasplus,26,0)</f>
        <v>#N/A</v>
      </c>
      <c r="CF26" s="1776"/>
      <c r="CG26" s="1776"/>
      <c r="CH26" s="1686"/>
      <c r="CI26" s="1656"/>
      <c r="CJ26" s="1656"/>
      <c r="CK26" s="1656"/>
      <c r="CL26" s="1776"/>
      <c r="CM26" s="1776"/>
      <c r="CN26" s="1686"/>
      <c r="CO26" s="1656"/>
      <c r="CP26" s="1656"/>
      <c r="CQ26" s="1656"/>
    </row>
    <row r="27" spans="3:95" ht="12.75" customHeight="1">
      <c r="AL27" s="1119"/>
      <c r="AM27" s="1120"/>
      <c r="BH27" s="1613">
        <v>43</v>
      </c>
      <c r="BI27" s="1614">
        <v>40958</v>
      </c>
      <c r="BJ27" s="1614">
        <v>169745</v>
      </c>
      <c r="BK27" s="1614">
        <v>60928</v>
      </c>
      <c r="BL27" s="1614">
        <v>254618</v>
      </c>
      <c r="BN27" s="1682">
        <v>0.1275</v>
      </c>
      <c r="BO27" s="1683">
        <v>0.1225</v>
      </c>
      <c r="BP27" s="1683"/>
      <c r="BQ27" s="1683"/>
      <c r="BS27" s="1682">
        <v>0.1225</v>
      </c>
      <c r="BT27" s="1704">
        <v>10.68</v>
      </c>
      <c r="BU27" s="1983">
        <v>2.8000000000000001E-2</v>
      </c>
      <c r="BV27" s="1682">
        <v>0.1225</v>
      </c>
      <c r="BW27" s="1704">
        <v>10.67</v>
      </c>
      <c r="BX27" s="1983">
        <v>0.01</v>
      </c>
      <c r="BY27" s="1683"/>
      <c r="BZ27" s="1683"/>
      <c r="CA27" s="1683"/>
      <c r="CB27" s="1760"/>
      <c r="CC27" s="1696"/>
      <c r="CE27" s="1619" t="e">
        <f>HLOOKUP($CE$1,tasasplus,27,0)</f>
        <v>#N/A</v>
      </c>
      <c r="CF27" s="1776"/>
      <c r="CG27" s="1776"/>
      <c r="CH27" s="1686"/>
      <c r="CI27" s="1656"/>
      <c r="CJ27" s="1656"/>
      <c r="CK27" s="1656"/>
      <c r="CL27" s="1776"/>
      <c r="CM27" s="1776"/>
      <c r="CN27" s="1686"/>
      <c r="CO27" s="1656"/>
      <c r="CP27" s="1656"/>
      <c r="CQ27" s="1656"/>
    </row>
    <row r="28" spans="3:95">
      <c r="C28" s="2344" t="str">
        <f>X2</f>
        <v>Captura destino</v>
      </c>
      <c r="D28" s="2344"/>
      <c r="E28" s="2344"/>
      <c r="F28" s="2344"/>
      <c r="G28" s="2344"/>
      <c r="H28" s="2344"/>
      <c r="I28" s="2344"/>
      <c r="J28" s="2344"/>
      <c r="K28" s="2344"/>
      <c r="L28" s="2344"/>
      <c r="M28" s="2344"/>
      <c r="N28" s="2344"/>
      <c r="O28" s="2344"/>
      <c r="AM28" s="1737"/>
      <c r="BH28" s="1613">
        <v>44</v>
      </c>
      <c r="BI28" s="1614">
        <v>43858</v>
      </c>
      <c r="BJ28" s="1614">
        <v>182070</v>
      </c>
      <c r="BK28" s="1614">
        <v>65278.000000000007</v>
      </c>
      <c r="BL28" s="1614">
        <v>273105</v>
      </c>
      <c r="BM28" s="1108"/>
      <c r="BN28" s="1719">
        <v>0.13</v>
      </c>
      <c r="BO28" s="1720">
        <v>0.1225</v>
      </c>
      <c r="BP28" s="1720"/>
      <c r="BQ28" s="1720"/>
      <c r="BS28" s="1719">
        <v>0.124</v>
      </c>
      <c r="BT28" s="1733">
        <v>10.78</v>
      </c>
      <c r="BU28" s="1986">
        <v>2.8000000000000001E-2</v>
      </c>
      <c r="BV28" s="1719">
        <v>0.124</v>
      </c>
      <c r="BW28" s="1733">
        <v>10.77</v>
      </c>
      <c r="BX28" s="1986">
        <v>0.01</v>
      </c>
      <c r="BY28" s="1720"/>
      <c r="BZ28" s="1720"/>
      <c r="CA28" s="1720"/>
      <c r="CB28" s="1760"/>
      <c r="CC28" s="1696"/>
      <c r="CE28" s="1619" t="e">
        <f>HLOOKUP($CE$1,tasasplus,28,0)</f>
        <v>#N/A</v>
      </c>
      <c r="CF28" s="1656"/>
      <c r="CG28" s="1656"/>
      <c r="CH28" s="1686"/>
      <c r="CI28" s="1656"/>
      <c r="CJ28" s="1656"/>
      <c r="CK28" s="1656"/>
      <c r="CL28" s="1656"/>
      <c r="CM28" s="1656"/>
      <c r="CN28" s="1686"/>
      <c r="CO28" s="1656"/>
      <c r="CP28" s="1656"/>
      <c r="CQ28" s="1656"/>
    </row>
    <row r="29" spans="3:95" ht="13.5" customHeight="1">
      <c r="C29" s="2345"/>
      <c r="D29" s="2345"/>
      <c r="E29" s="2345"/>
      <c r="F29" s="2345"/>
      <c r="G29" s="2345"/>
      <c r="H29" s="2345"/>
      <c r="I29" s="2345"/>
      <c r="J29" s="2345"/>
      <c r="K29" s="2345"/>
      <c r="L29" s="2345"/>
      <c r="M29" s="2345"/>
      <c r="N29" s="2345"/>
      <c r="O29" s="2345"/>
      <c r="AM29" s="1120"/>
      <c r="AP29" s="1108"/>
      <c r="AQ29" s="1108"/>
      <c r="AR29" s="1108"/>
      <c r="BH29" s="1613">
        <v>45</v>
      </c>
      <c r="BI29" s="1614">
        <v>47138</v>
      </c>
      <c r="BJ29" s="1614">
        <v>196010</v>
      </c>
      <c r="BK29" s="1614">
        <v>70198</v>
      </c>
      <c r="BL29" s="1614">
        <v>294015</v>
      </c>
      <c r="BM29" s="1108"/>
      <c r="BN29" s="1615">
        <v>0.13250000000000001</v>
      </c>
      <c r="BO29" s="1616">
        <v>0.1225</v>
      </c>
      <c r="BP29" s="1616"/>
      <c r="BQ29" s="1616"/>
      <c r="BS29" s="1615">
        <v>0.1249</v>
      </c>
      <c r="BT29" s="1654">
        <v>10.83</v>
      </c>
      <c r="BU29" s="1982">
        <v>2.8000000000000001E-2</v>
      </c>
      <c r="BV29" s="1615">
        <v>0.1249</v>
      </c>
      <c r="BW29" s="1654">
        <v>10.84</v>
      </c>
      <c r="BX29" s="1982">
        <v>0.01</v>
      </c>
      <c r="BY29" s="1616"/>
      <c r="BZ29" s="1616"/>
      <c r="CA29" s="1616"/>
      <c r="CB29" s="1760"/>
      <c r="CC29" s="1696"/>
      <c r="CE29" s="1619" t="e">
        <f>HLOOKUP($CE$1,tasasplus,29,0)</f>
        <v>#N/A</v>
      </c>
      <c r="CF29" s="1656"/>
      <c r="CG29" s="1656"/>
      <c r="CH29" s="1686"/>
      <c r="CI29" s="1656"/>
      <c r="CJ29" s="1656"/>
      <c r="CK29" s="1656"/>
      <c r="CL29" s="1656"/>
      <c r="CM29" s="1656"/>
      <c r="CN29" s="1686"/>
      <c r="CO29" s="1656"/>
      <c r="CP29" s="1656"/>
      <c r="CQ29" s="1656"/>
    </row>
    <row r="30" spans="3:95" ht="11.25" customHeight="1" thickBot="1">
      <c r="C30" s="1751"/>
      <c r="D30" s="1751"/>
      <c r="E30" s="1751"/>
      <c r="F30" s="1751"/>
      <c r="G30" s="1751"/>
      <c r="H30" s="1751"/>
      <c r="I30" s="1751"/>
      <c r="J30" s="1751"/>
      <c r="K30" s="1751"/>
      <c r="L30" s="1751"/>
      <c r="M30" s="1751"/>
      <c r="N30" s="1751"/>
      <c r="O30" s="1751"/>
      <c r="AM30" s="1120"/>
      <c r="AP30" s="1108"/>
      <c r="AQ30" s="1108"/>
      <c r="AR30" s="1108"/>
      <c r="BH30" s="1613">
        <v>46</v>
      </c>
      <c r="BI30" s="1614">
        <v>50558</v>
      </c>
      <c r="BJ30" s="1614">
        <v>210545</v>
      </c>
      <c r="BK30" s="1614">
        <v>75328</v>
      </c>
      <c r="BL30" s="1614">
        <v>315818</v>
      </c>
      <c r="BM30" s="1108"/>
      <c r="BN30" s="1635"/>
      <c r="BO30" s="1636"/>
      <c r="BP30" s="1636"/>
      <c r="BQ30" s="1636"/>
      <c r="BS30" s="1635">
        <v>0.1275</v>
      </c>
      <c r="BT30" s="1665">
        <v>11</v>
      </c>
      <c r="BU30" s="1979">
        <v>2.8000000000000001E-2</v>
      </c>
      <c r="BV30" s="1635">
        <v>0.1275</v>
      </c>
      <c r="BW30" s="1665">
        <v>11.1</v>
      </c>
      <c r="BX30" s="1979">
        <v>8.8000000000000005E-3</v>
      </c>
      <c r="BY30" s="1636"/>
      <c r="BZ30" s="1636"/>
      <c r="CA30" s="1636"/>
      <c r="CB30" s="1760"/>
      <c r="CC30" s="1696"/>
      <c r="CE30" s="1619" t="e">
        <f>HLOOKUP($CE$1,tasasplus,30,0)</f>
        <v>#N/A</v>
      </c>
      <c r="CF30" s="1656"/>
      <c r="CG30" s="1656"/>
      <c r="CH30" s="1749"/>
      <c r="CI30" s="1656"/>
      <c r="CJ30" s="1656"/>
      <c r="CK30" s="1656"/>
      <c r="CL30" s="1656"/>
      <c r="CM30" s="1656"/>
      <c r="CN30" s="1686"/>
      <c r="CO30" s="1656"/>
      <c r="CP30" s="1656"/>
      <c r="CQ30" s="1656"/>
    </row>
    <row r="31" spans="3:95" ht="19.5" customHeight="1" thickTop="1" thickBot="1">
      <c r="C31" s="1751"/>
      <c r="D31" s="2358" t="s">
        <v>563</v>
      </c>
      <c r="E31" s="2359"/>
      <c r="F31" s="2359"/>
      <c r="G31" s="2360"/>
      <c r="H31" s="1751"/>
      <c r="I31" s="1751"/>
      <c r="J31" s="1751"/>
      <c r="K31" s="1751"/>
      <c r="L31" s="1751"/>
      <c r="M31" s="1751"/>
      <c r="N31" s="1751"/>
      <c r="O31" s="1751"/>
      <c r="AM31" s="1767"/>
      <c r="AP31" s="1108"/>
      <c r="AQ31" s="1108"/>
      <c r="AR31" s="1108"/>
      <c r="BH31" s="1613">
        <v>47</v>
      </c>
      <c r="BI31" s="1614">
        <v>54438</v>
      </c>
      <c r="BJ31" s="1614">
        <v>227035</v>
      </c>
      <c r="BK31" s="1614">
        <v>81148</v>
      </c>
      <c r="BL31" s="1614">
        <v>340553</v>
      </c>
      <c r="BM31" s="1108"/>
      <c r="BN31" s="1663"/>
      <c r="BO31" s="1664"/>
      <c r="BP31" s="1664"/>
      <c r="BQ31" s="1664"/>
      <c r="BS31" s="1663">
        <v>0.13</v>
      </c>
      <c r="BT31" s="1684">
        <v>11.15</v>
      </c>
      <c r="BU31" s="1981">
        <v>2.8000000000000001E-2</v>
      </c>
      <c r="BV31" s="1663">
        <v>0.13</v>
      </c>
      <c r="BW31" s="1684">
        <v>11.27</v>
      </c>
      <c r="BX31" s="1981">
        <v>8.8000000000000005E-3</v>
      </c>
      <c r="BY31" s="1664"/>
      <c r="BZ31" s="1664"/>
      <c r="CA31" s="1664"/>
      <c r="CB31" s="1760"/>
      <c r="CC31" s="1696"/>
      <c r="CF31" s="1656"/>
      <c r="CG31" s="1656"/>
      <c r="CH31" s="1656"/>
      <c r="CI31" s="1656"/>
      <c r="CJ31" s="1656"/>
      <c r="CK31" s="1656"/>
      <c r="CL31" s="1656"/>
      <c r="CM31" s="1656"/>
      <c r="CN31" s="1656"/>
      <c r="CO31" s="1656"/>
      <c r="CP31" s="1656"/>
      <c r="CQ31" s="1656"/>
    </row>
    <row r="32" spans="3:95" ht="15" customHeight="1" thickTop="1">
      <c r="D32" s="1778" t="s">
        <v>564</v>
      </c>
      <c r="F32" s="1108"/>
      <c r="G32" s="1108"/>
      <c r="H32" s="2346" t="s">
        <v>565</v>
      </c>
      <c r="I32" s="2347"/>
      <c r="J32" s="2347"/>
      <c r="L32" s="2348" t="str">
        <f>IF(I34&lt;&gt;"","Y ahorrarías:*","")</f>
        <v/>
      </c>
      <c r="M32" s="2348"/>
      <c r="N32" s="2348"/>
      <c r="O32" s="1119"/>
      <c r="AM32" s="1247"/>
      <c r="AP32" s="1108"/>
      <c r="AQ32" s="1108"/>
      <c r="AR32" s="1108"/>
      <c r="BH32" s="1613">
        <v>48</v>
      </c>
      <c r="BI32" s="1614">
        <v>58738</v>
      </c>
      <c r="BJ32" s="1614">
        <v>245310</v>
      </c>
      <c r="BK32" s="1614">
        <v>87598</v>
      </c>
      <c r="BL32" s="1614">
        <v>367965</v>
      </c>
      <c r="BM32" s="1108"/>
      <c r="BN32" s="1682"/>
      <c r="BO32" s="1683"/>
      <c r="BP32" s="1683"/>
      <c r="BQ32" s="1683"/>
      <c r="BS32" s="1682">
        <v>0.13250000000000001</v>
      </c>
      <c r="BT32" s="1704">
        <v>11.31</v>
      </c>
      <c r="BU32" s="1983">
        <v>2.8000000000000001E-2</v>
      </c>
      <c r="BV32" s="1682">
        <v>0.13250000000000001</v>
      </c>
      <c r="BW32" s="1704">
        <v>11.45</v>
      </c>
      <c r="BX32" s="1983">
        <v>8.8000000000000005E-3</v>
      </c>
      <c r="BY32" s="1683"/>
      <c r="BZ32" s="1683"/>
      <c r="CA32" s="1683"/>
      <c r="CB32" s="1760"/>
      <c r="CC32" s="1696"/>
      <c r="CF32" s="1656"/>
      <c r="CG32" s="1656"/>
      <c r="CH32" s="1656"/>
      <c r="CI32" s="1656"/>
      <c r="CJ32" s="1656"/>
      <c r="CK32" s="1656"/>
      <c r="CL32" s="1656"/>
      <c r="CM32" s="1656"/>
      <c r="CN32" s="1656"/>
      <c r="CO32" s="1656"/>
      <c r="CP32" s="1656"/>
      <c r="CQ32" s="1656"/>
    </row>
    <row r="33" spans="1:132">
      <c r="D33" s="1778"/>
      <c r="E33" s="1108"/>
      <c r="F33" s="2349" t="s">
        <v>566</v>
      </c>
      <c r="G33" s="2350"/>
      <c r="I33" s="1108"/>
      <c r="L33" s="1108"/>
      <c r="M33" s="1108"/>
      <c r="O33" s="1119"/>
      <c r="AP33" s="1108"/>
      <c r="AQ33" s="1108"/>
      <c r="AR33" s="1108"/>
      <c r="BH33" s="1613">
        <v>49</v>
      </c>
      <c r="BI33" s="1614">
        <v>63498</v>
      </c>
      <c r="BJ33" s="1614">
        <v>265540</v>
      </c>
      <c r="BK33" s="1614">
        <v>94738</v>
      </c>
      <c r="BL33" s="1614">
        <v>398310</v>
      </c>
      <c r="BM33" s="1108"/>
      <c r="BN33" s="1686"/>
      <c r="BO33" s="1779"/>
      <c r="BP33" s="1779"/>
      <c r="BQ33" s="1779"/>
      <c r="BS33" s="1780"/>
      <c r="BT33" s="1781"/>
      <c r="BU33" s="1782"/>
      <c r="BV33" s="1780"/>
      <c r="BW33" s="1783"/>
      <c r="BX33" s="1784"/>
      <c r="BY33" s="1784"/>
      <c r="BZ33" s="1784"/>
      <c r="CA33" s="1784"/>
      <c r="CB33" s="1760"/>
      <c r="CC33" s="1696"/>
      <c r="CF33" s="1656"/>
      <c r="CG33" s="1656"/>
      <c r="CH33" s="1656"/>
      <c r="CI33" s="1656"/>
      <c r="CJ33" s="1656"/>
      <c r="CK33" s="1656"/>
      <c r="CL33" s="1656"/>
      <c r="CM33" s="1656"/>
      <c r="CN33" s="1656"/>
      <c r="CO33" s="1656"/>
      <c r="CP33" s="1656"/>
      <c r="CQ33" s="1656"/>
    </row>
    <row r="34" spans="1:132" ht="18" customHeight="1">
      <c r="D34" s="2370" t="s">
        <v>567</v>
      </c>
      <c r="E34" s="2371"/>
      <c r="F34" s="2351">
        <v>30000</v>
      </c>
      <c r="G34" s="2341"/>
      <c r="I34" s="2374"/>
      <c r="J34" s="2249"/>
      <c r="L34" s="1785" t="str">
        <f>IF(I34&lt;&gt;"","Mensual $","")</f>
        <v/>
      </c>
      <c r="M34" s="1108"/>
      <c r="N34" s="1786">
        <f>IF(I34="",0,CAT!CX25-CAT!EP25)</f>
        <v>0</v>
      </c>
      <c r="O34" s="1119"/>
      <c r="AM34" s="1737"/>
      <c r="AP34" s="1108"/>
      <c r="AQ34" s="1108"/>
      <c r="AR34" s="1108"/>
      <c r="BH34" s="1613">
        <v>50</v>
      </c>
      <c r="BI34" s="1614">
        <v>68918</v>
      </c>
      <c r="BJ34" s="1614">
        <v>288575</v>
      </c>
      <c r="BK34" s="1614">
        <v>102868.00000000001</v>
      </c>
      <c r="BL34" s="1614">
        <v>432863</v>
      </c>
      <c r="BM34" s="1108"/>
      <c r="BN34" s="1623"/>
      <c r="BO34" s="1779"/>
      <c r="BP34" s="1779"/>
      <c r="BQ34" s="1779"/>
      <c r="BS34" s="1780"/>
      <c r="BT34" s="1787"/>
      <c r="BU34" s="1782"/>
      <c r="BV34" s="1780"/>
      <c r="BW34" s="1788"/>
      <c r="BX34" s="1782"/>
      <c r="BY34" s="1782"/>
      <c r="BZ34" s="1782"/>
      <c r="CA34" s="1782"/>
      <c r="CB34" s="1108"/>
      <c r="CF34" s="1656"/>
      <c r="CG34" s="1656"/>
      <c r="CH34" s="1656"/>
      <c r="CI34" s="1656"/>
      <c r="CJ34" s="1656"/>
      <c r="CK34" s="1656"/>
      <c r="CL34" s="1656"/>
      <c r="CM34" s="1656"/>
      <c r="CN34" s="1656"/>
      <c r="CO34" s="1656"/>
      <c r="CP34" s="1656"/>
      <c r="CQ34" s="1656"/>
    </row>
    <row r="35" spans="1:132">
      <c r="D35" s="2370"/>
      <c r="E35" s="2371"/>
      <c r="F35" s="2351"/>
      <c r="G35" s="2341"/>
      <c r="I35" s="1415"/>
      <c r="J35" s="1108"/>
      <c r="L35" s="1789" t="str">
        <f>IF(I34&lt;&gt;"","Anual $","")</f>
        <v/>
      </c>
      <c r="M35" s="1108"/>
      <c r="N35" s="1786">
        <f>IF(I34="",0,SUM(CAT!CX25:CX36)-(SUM(CAT!EP25:EP36)))</f>
        <v>0</v>
      </c>
      <c r="O35" s="1119"/>
      <c r="AM35" s="1120"/>
      <c r="AP35" s="1108"/>
      <c r="AQ35" s="1108"/>
      <c r="AR35" s="1108"/>
      <c r="BH35" s="1613">
        <v>51</v>
      </c>
      <c r="BI35" s="1614">
        <v>74718</v>
      </c>
      <c r="BJ35" s="1614">
        <v>313225</v>
      </c>
      <c r="BK35" s="1614">
        <v>111568</v>
      </c>
      <c r="BL35" s="1614">
        <v>469838</v>
      </c>
      <c r="BM35" s="1108"/>
      <c r="BN35" s="1623"/>
      <c r="BO35" s="1779"/>
      <c r="BP35" s="1779"/>
      <c r="BQ35" s="1779"/>
      <c r="BS35" s="1686"/>
      <c r="BT35" s="1790"/>
      <c r="BU35" s="1791"/>
      <c r="BV35" s="1686"/>
      <c r="BW35" s="1790"/>
      <c r="BX35" s="1792"/>
      <c r="BY35" s="1792"/>
      <c r="BZ35" s="1792"/>
      <c r="CA35" s="1792"/>
      <c r="CB35" s="1108"/>
      <c r="CF35" s="1656"/>
      <c r="CG35" s="1656"/>
      <c r="CH35" s="1656"/>
      <c r="CI35" s="1656"/>
      <c r="CJ35" s="1656"/>
      <c r="CK35" s="1656"/>
      <c r="CL35" s="1656"/>
      <c r="CM35" s="1656"/>
      <c r="CN35" s="1656"/>
      <c r="CO35" s="1656"/>
      <c r="CP35" s="1656"/>
      <c r="CQ35" s="1656"/>
    </row>
    <row r="36" spans="1:132" ht="18" customHeight="1">
      <c r="D36" s="2372"/>
      <c r="E36" s="2373"/>
      <c r="F36" s="2351"/>
      <c r="G36" s="2341"/>
      <c r="H36" s="1108"/>
      <c r="I36" s="2317" t="str">
        <f>IF(I34&lt;&gt;"",CONCATENATE("Tu tasa se reduciría"," ",TEXT(AV3-AV5,"0.00%")),"")</f>
        <v/>
      </c>
      <c r="J36" s="2317"/>
      <c r="L36" s="1793" t="str">
        <f>IF(I34&lt;&gt;"","Por todo el plazo $","")</f>
        <v/>
      </c>
      <c r="M36" s="1108"/>
      <c r="N36" s="1794">
        <f>IF(I34="",0,CAT!CX266-CAT!EP266)</f>
        <v>0</v>
      </c>
      <c r="O36" s="1119"/>
      <c r="AG36" s="1773"/>
      <c r="AM36" s="1120"/>
      <c r="AP36" s="1108"/>
      <c r="AQ36" s="1108"/>
      <c r="AR36" s="1108"/>
      <c r="BH36" s="1613">
        <v>52</v>
      </c>
      <c r="BI36" s="1614">
        <v>81258</v>
      </c>
      <c r="BJ36" s="1614">
        <v>341020</v>
      </c>
      <c r="BK36" s="1614">
        <v>121377.99999999999</v>
      </c>
      <c r="BL36" s="1614">
        <v>511530</v>
      </c>
      <c r="BM36" s="1108"/>
      <c r="BN36" s="1623"/>
      <c r="BO36" s="1779"/>
      <c r="BP36" s="1779"/>
      <c r="BQ36" s="1779"/>
      <c r="BS36" s="1686"/>
      <c r="BT36" s="1790"/>
      <c r="BU36" s="1791"/>
      <c r="BV36" s="1686"/>
      <c r="BW36" s="1795"/>
      <c r="BX36" s="1796"/>
      <c r="BY36" s="1796"/>
      <c r="BZ36" s="1796"/>
      <c r="CA36" s="1796"/>
      <c r="CB36" s="1797"/>
      <c r="CF36" s="1108"/>
      <c r="CG36" s="1108"/>
      <c r="CH36" s="1108"/>
      <c r="CL36" s="1108"/>
      <c r="CM36" s="1108"/>
    </row>
    <row r="37" spans="1:132" ht="18" customHeight="1">
      <c r="D37" s="2330" t="s">
        <v>568</v>
      </c>
      <c r="E37" s="2331"/>
      <c r="F37" s="2338">
        <v>20000</v>
      </c>
      <c r="G37" s="2339"/>
      <c r="H37" s="1108"/>
      <c r="I37" s="2332" t="str">
        <f>IF(I34="","",AV5)</f>
        <v/>
      </c>
      <c r="J37" s="2332"/>
      <c r="K37" s="1108"/>
      <c r="L37" s="2333" t="str">
        <f>IF(I34&lt;&gt;"","*En el supuesto que cumplas con todos los requisitos del plan seleccionado durante el plazo de tu crédito","")</f>
        <v/>
      </c>
      <c r="M37" s="2333"/>
      <c r="N37" s="2333"/>
      <c r="O37" s="1119"/>
      <c r="AM37" s="1737"/>
      <c r="AP37" s="1108"/>
      <c r="AQ37" s="1108"/>
      <c r="AR37" s="1108"/>
      <c r="BH37" s="1613">
        <v>53</v>
      </c>
      <c r="BI37" s="1614">
        <v>88558</v>
      </c>
      <c r="BJ37" s="1614">
        <v>372045</v>
      </c>
      <c r="BK37" s="1614">
        <v>132328</v>
      </c>
      <c r="BL37" s="1614">
        <v>558068</v>
      </c>
      <c r="BM37" s="1108"/>
      <c r="BN37" s="1686"/>
      <c r="BO37" s="1779"/>
      <c r="BP37" s="1779"/>
      <c r="BQ37" s="1779"/>
      <c r="BS37" s="1686"/>
      <c r="BT37" s="1795"/>
      <c r="BU37" s="1791"/>
      <c r="BV37" s="1686"/>
      <c r="BW37" s="1795"/>
      <c r="BX37" s="1796"/>
      <c r="BY37" s="1796"/>
      <c r="BZ37" s="1796"/>
      <c r="CA37" s="1796"/>
      <c r="CB37" s="1108"/>
      <c r="CF37" s="1108"/>
      <c r="CG37" s="1108"/>
      <c r="CH37" s="1108"/>
      <c r="CL37" s="1108"/>
      <c r="CM37" s="1108"/>
    </row>
    <row r="38" spans="1:132" ht="30" customHeight="1">
      <c r="D38" s="2334" t="s">
        <v>569</v>
      </c>
      <c r="E38" s="2335"/>
      <c r="F38" s="2340">
        <v>10000</v>
      </c>
      <c r="G38" s="2341"/>
      <c r="H38" s="1108"/>
      <c r="I38" s="1108"/>
      <c r="J38" s="1108"/>
      <c r="L38" s="2333"/>
      <c r="M38" s="2333"/>
      <c r="N38" s="2333"/>
      <c r="O38" s="1798"/>
      <c r="P38" s="1799"/>
      <c r="Q38" s="1799"/>
      <c r="R38" s="1799"/>
      <c r="S38" s="1799"/>
      <c r="T38" s="1799"/>
      <c r="U38" s="1799"/>
      <c r="V38" s="1799"/>
      <c r="W38" s="1799"/>
      <c r="X38" s="1799"/>
      <c r="Y38" s="1799"/>
      <c r="Z38" s="1799"/>
      <c r="AA38" s="1799"/>
      <c r="AB38" s="1799"/>
      <c r="AC38" s="1799"/>
      <c r="AD38" s="1799"/>
      <c r="AE38" s="1799"/>
      <c r="AF38" s="1799"/>
      <c r="AM38" s="1737"/>
      <c r="BH38" s="1800">
        <v>54</v>
      </c>
      <c r="BI38" s="1614">
        <v>96538</v>
      </c>
      <c r="BJ38" s="1614">
        <v>405960</v>
      </c>
      <c r="BK38" s="1614">
        <v>144298</v>
      </c>
      <c r="BL38" s="1614">
        <v>608940</v>
      </c>
      <c r="BM38" s="1108"/>
      <c r="BN38" s="1623"/>
      <c r="BO38" s="1779"/>
      <c r="BP38" s="1779"/>
      <c r="BQ38" s="1779"/>
      <c r="BS38" s="1686"/>
      <c r="BT38" s="1795"/>
      <c r="BU38" s="1791"/>
      <c r="BV38" s="1686"/>
      <c r="BW38" s="1795"/>
      <c r="BX38" s="1796"/>
      <c r="BY38" s="1796"/>
      <c r="BZ38" s="1796"/>
      <c r="CA38" s="1796"/>
      <c r="CF38" s="1108"/>
      <c r="CG38" s="1108"/>
      <c r="CH38" s="1108"/>
      <c r="CL38" s="1108"/>
      <c r="CM38" s="1108"/>
    </row>
    <row r="39" spans="1:132" ht="15.6">
      <c r="D39" s="1801" t="s">
        <v>570</v>
      </c>
      <c r="E39" s="1643"/>
      <c r="F39" s="1802"/>
      <c r="G39" s="1803"/>
      <c r="I39" s="1108"/>
      <c r="J39" s="1108"/>
      <c r="L39" s="1108"/>
      <c r="M39" s="1108"/>
      <c r="N39" s="1108"/>
      <c r="O39" s="1524"/>
      <c r="AG39" s="1119"/>
      <c r="AH39" s="1119"/>
      <c r="AI39" s="1119"/>
      <c r="AM39" s="1120"/>
      <c r="BH39" s="1613">
        <v>55</v>
      </c>
      <c r="BI39" s="1614">
        <v>105558</v>
      </c>
      <c r="BJ39" s="1614">
        <v>444295</v>
      </c>
      <c r="BK39" s="1614">
        <v>157828</v>
      </c>
      <c r="BL39" s="1614">
        <v>666443</v>
      </c>
      <c r="BM39" s="1108"/>
      <c r="BN39" s="1623"/>
      <c r="BO39" s="1779"/>
      <c r="BP39" s="1779"/>
      <c r="BQ39" s="1779"/>
      <c r="BS39" s="1686"/>
      <c r="BT39" s="1790"/>
      <c r="BU39" s="1791"/>
      <c r="BV39" s="1686"/>
      <c r="BW39" s="1804"/>
      <c r="BX39" s="1792"/>
      <c r="BY39" s="1792"/>
      <c r="BZ39" s="1792"/>
      <c r="CA39" s="1792"/>
      <c r="CB39" s="1108"/>
      <c r="CF39" s="1108"/>
      <c r="CG39" s="1108"/>
      <c r="CH39" s="1108"/>
      <c r="CL39" s="1108"/>
      <c r="CM39" s="1108"/>
    </row>
    <row r="40" spans="1:132">
      <c r="D40" s="1805"/>
      <c r="E40" s="1805"/>
      <c r="F40" s="1806"/>
      <c r="G40" s="1807"/>
      <c r="H40" s="1807"/>
      <c r="I40" s="1807"/>
      <c r="J40" s="1805"/>
      <c r="K40" s="1807"/>
      <c r="L40" s="1805"/>
      <c r="M40" s="1805"/>
      <c r="N40" s="1805"/>
      <c r="O40" s="1805"/>
      <c r="AG40" s="1119"/>
      <c r="AH40" s="1119"/>
      <c r="AI40" s="1119"/>
      <c r="AM40" s="1120"/>
      <c r="BC40" s="1108"/>
      <c r="BH40" s="1800">
        <v>56</v>
      </c>
      <c r="BI40" s="1808">
        <v>115538</v>
      </c>
      <c r="BJ40" s="1808">
        <v>486710</v>
      </c>
      <c r="BK40" s="1808">
        <v>172798</v>
      </c>
      <c r="BL40" s="1808">
        <v>730065</v>
      </c>
      <c r="BN40" s="1623"/>
      <c r="BO40" s="1779"/>
      <c r="BP40" s="1779"/>
      <c r="BQ40" s="1779"/>
      <c r="BS40" s="1686"/>
      <c r="BT40" s="1795"/>
      <c r="BU40" s="1791"/>
      <c r="BV40" s="1686"/>
      <c r="BW40" s="1795"/>
      <c r="BX40" s="1796"/>
      <c r="BY40" s="1796"/>
      <c r="BZ40" s="1796"/>
      <c r="CA40" s="1796"/>
      <c r="CF40" s="1108"/>
      <c r="CG40" s="1108"/>
      <c r="CH40" s="1108"/>
      <c r="CL40" s="1108"/>
      <c r="CM40" s="1108"/>
    </row>
    <row r="41" spans="1:132">
      <c r="D41" s="1108"/>
      <c r="E41" s="1108"/>
      <c r="F41" s="1101"/>
      <c r="G41" s="1108"/>
      <c r="H41" s="1809"/>
      <c r="J41" s="1108"/>
      <c r="L41" s="1108"/>
      <c r="M41" s="1108"/>
      <c r="N41" s="1108"/>
      <c r="O41" s="1108"/>
      <c r="AG41" s="1119"/>
      <c r="AH41" s="1119"/>
      <c r="AI41" s="1119"/>
      <c r="AM41" s="1737"/>
      <c r="BH41" s="1800">
        <v>57</v>
      </c>
      <c r="BI41" s="1808">
        <v>126498</v>
      </c>
      <c r="BJ41" s="1808">
        <v>533290</v>
      </c>
      <c r="BK41" s="1808">
        <v>189238</v>
      </c>
      <c r="BL41" s="1808">
        <v>799935</v>
      </c>
      <c r="BN41" s="1623"/>
      <c r="BO41" s="1779"/>
      <c r="BP41" s="1779"/>
      <c r="BQ41" s="1779"/>
      <c r="BS41" s="1686"/>
      <c r="BT41" s="1795"/>
      <c r="BU41" s="1791"/>
      <c r="BV41" s="1686"/>
      <c r="BW41" s="1795"/>
      <c r="BX41" s="1796"/>
      <c r="BY41" s="1796"/>
      <c r="BZ41" s="1796"/>
      <c r="CA41" s="1796"/>
      <c r="CF41" s="1108"/>
      <c r="CG41" s="1108"/>
      <c r="CH41" s="1108"/>
      <c r="CL41" s="1108"/>
      <c r="CM41" s="1108"/>
    </row>
    <row r="42" spans="1:132" ht="36.75" customHeight="1" thickBot="1">
      <c r="C42" s="1108"/>
      <c r="D42" s="2336" t="s">
        <v>571</v>
      </c>
      <c r="E42" s="2336"/>
      <c r="F42" s="2336"/>
      <c r="G42" s="2336"/>
      <c r="I42" s="2337" t="s">
        <v>572</v>
      </c>
      <c r="J42" s="2337"/>
      <c r="K42" s="2337"/>
      <c r="L42" s="2337"/>
      <c r="M42" s="2337"/>
      <c r="N42" s="2337"/>
      <c r="O42" s="2337"/>
      <c r="AG42" s="1119"/>
      <c r="AH42" s="1119"/>
      <c r="AI42" s="1119"/>
      <c r="AM42" s="1120"/>
      <c r="BC42" s="1118"/>
      <c r="BD42" s="1118"/>
      <c r="BE42" s="1118"/>
      <c r="BF42" s="1118"/>
      <c r="BG42" s="1118"/>
      <c r="BH42" s="1800">
        <v>58</v>
      </c>
      <c r="BI42" s="1808">
        <v>138758</v>
      </c>
      <c r="BJ42" s="1808">
        <v>585395</v>
      </c>
      <c r="BK42" s="1808">
        <v>207628</v>
      </c>
      <c r="BL42" s="1808">
        <v>878093</v>
      </c>
      <c r="BM42" s="1118"/>
      <c r="BN42" s="1686"/>
      <c r="BO42" s="1779"/>
      <c r="BP42" s="1779"/>
      <c r="BQ42" s="1779"/>
      <c r="BR42" s="1118"/>
      <c r="BS42" s="1686"/>
      <c r="BT42" s="1790"/>
      <c r="BU42" s="1791"/>
      <c r="BV42" s="1686"/>
      <c r="BW42" s="1790"/>
      <c r="BX42" s="1792"/>
      <c r="BY42" s="1792"/>
      <c r="BZ42" s="1792"/>
      <c r="CA42" s="1792"/>
      <c r="CF42" s="1108"/>
      <c r="CH42" s="1108"/>
      <c r="CM42" s="1108"/>
    </row>
    <row r="43" spans="1:132" ht="14.4" thickTop="1" thickBot="1">
      <c r="C43" s="1108"/>
      <c r="D43" s="2294" t="s">
        <v>573</v>
      </c>
      <c r="E43" s="2295"/>
      <c r="F43" s="2295"/>
      <c r="G43" s="2296"/>
      <c r="I43" s="2297" t="s">
        <v>574</v>
      </c>
      <c r="J43" s="2298"/>
      <c r="K43" s="2298"/>
      <c r="L43" s="2298"/>
      <c r="M43" s="2298"/>
      <c r="N43" s="2298"/>
      <c r="O43" s="2299"/>
      <c r="AG43" s="1401"/>
      <c r="AH43" s="1401"/>
      <c r="AI43" s="1119"/>
      <c r="AJ43" s="1810"/>
      <c r="AK43" s="1723"/>
      <c r="AL43" s="1723"/>
      <c r="AM43" s="1120"/>
      <c r="BC43" s="1118"/>
      <c r="BD43" s="1118"/>
      <c r="BE43" s="1118"/>
      <c r="BF43" s="1118"/>
      <c r="BG43" s="1118"/>
      <c r="BH43" s="1800">
        <v>59</v>
      </c>
      <c r="BI43" s="1808">
        <v>152318</v>
      </c>
      <c r="BJ43" s="1808">
        <v>643025</v>
      </c>
      <c r="BK43" s="1808">
        <v>227968.00000000003</v>
      </c>
      <c r="BL43" s="1808">
        <v>964538</v>
      </c>
      <c r="BM43" s="1118"/>
      <c r="BN43" s="1623"/>
      <c r="BO43" s="1779"/>
      <c r="BP43" s="1779"/>
      <c r="BQ43" s="1779"/>
      <c r="BR43" s="1118"/>
      <c r="BS43" s="1686"/>
      <c r="BT43" s="1795"/>
      <c r="BU43" s="1791"/>
      <c r="BV43" s="1686"/>
      <c r="BW43" s="1795"/>
      <c r="BX43" s="1796"/>
      <c r="BY43" s="1796"/>
      <c r="BZ43" s="1796"/>
      <c r="CA43" s="1796"/>
      <c r="CF43" s="1108"/>
      <c r="CH43" s="1108"/>
      <c r="CM43" s="1108"/>
    </row>
    <row r="44" spans="1:132" s="1247" customFormat="1" ht="25.5" customHeight="1" thickTop="1" thickBot="1">
      <c r="A44" s="1107"/>
      <c r="B44" s="1107"/>
      <c r="D44" s="1811"/>
      <c r="E44" s="1142" t="s">
        <v>575</v>
      </c>
      <c r="F44" s="1812"/>
      <c r="G44" s="1813" t="s">
        <v>576</v>
      </c>
      <c r="H44" s="1107"/>
      <c r="I44" s="1814"/>
      <c r="J44" s="1193"/>
      <c r="K44" s="1193"/>
      <c r="L44" s="1193"/>
      <c r="M44" s="1193"/>
      <c r="N44" s="2306"/>
      <c r="O44" s="2307"/>
      <c r="P44" s="1107"/>
      <c r="Q44" s="1107"/>
      <c r="R44" s="1107"/>
      <c r="S44" s="1107"/>
      <c r="T44" s="1107"/>
      <c r="U44" s="1107"/>
      <c r="V44" s="1107"/>
      <c r="W44" s="1107"/>
      <c r="X44" s="1107"/>
      <c r="Y44" s="1107"/>
      <c r="Z44" s="1107"/>
      <c r="AA44" s="1107"/>
      <c r="AB44" s="1107"/>
      <c r="AC44" s="1107"/>
      <c r="AD44" s="1107"/>
      <c r="AE44" s="1107"/>
      <c r="AF44" s="1107"/>
      <c r="AG44" s="1401"/>
      <c r="AH44" s="1401"/>
      <c r="AI44" s="1119"/>
      <c r="AJ44" s="1815"/>
      <c r="AK44" s="1723"/>
      <c r="AL44" s="1723"/>
      <c r="AM44" s="1737"/>
      <c r="AN44" s="1107"/>
      <c r="AO44" s="1107"/>
      <c r="AP44" s="1107"/>
      <c r="AQ44" s="1107"/>
      <c r="AR44" s="1107"/>
      <c r="AS44" s="1118"/>
      <c r="AT44" s="1107"/>
      <c r="AU44" s="1107"/>
      <c r="AV44" s="1107"/>
      <c r="AW44" s="1107"/>
      <c r="AX44" s="1107"/>
      <c r="AY44" s="1107"/>
      <c r="AZ44" s="1107"/>
      <c r="BA44" s="1107"/>
      <c r="BB44" s="1107"/>
      <c r="BC44" s="1118"/>
      <c r="BD44" s="1118"/>
      <c r="BE44" s="1118"/>
      <c r="BF44" s="1118"/>
      <c r="BG44" s="1118"/>
      <c r="BH44" s="1800">
        <v>60</v>
      </c>
      <c r="BI44" s="1808">
        <v>168518</v>
      </c>
      <c r="BJ44" s="1808">
        <v>711875</v>
      </c>
      <c r="BK44" s="1808">
        <v>252268</v>
      </c>
      <c r="BL44" s="1808">
        <v>1067813</v>
      </c>
      <c r="BM44" s="1118"/>
      <c r="BN44" s="1816"/>
      <c r="BO44" s="1817"/>
      <c r="BP44" s="1817"/>
      <c r="BQ44" s="1817"/>
      <c r="BR44" s="1118"/>
      <c r="BS44" s="1686"/>
      <c r="BT44" s="1790"/>
      <c r="BU44" s="1791"/>
      <c r="BV44" s="1686"/>
      <c r="BW44" s="1795"/>
      <c r="BX44" s="1796"/>
      <c r="BY44" s="1796"/>
      <c r="BZ44" s="1796"/>
      <c r="CA44" s="1796"/>
      <c r="CB44" s="1107"/>
      <c r="CC44" s="1107"/>
      <c r="CD44" s="1107"/>
      <c r="CE44" s="1107"/>
      <c r="CG44" s="1107"/>
      <c r="CL44" s="1107"/>
      <c r="CR44" s="1107"/>
      <c r="CS44" s="1107"/>
      <c r="CT44" s="1107"/>
      <c r="CU44" s="1107"/>
      <c r="CV44" s="1107"/>
      <c r="CW44" s="1107"/>
      <c r="CX44" s="1107"/>
      <c r="CY44" s="1107"/>
      <c r="CZ44" s="1107"/>
      <c r="DA44" s="1107"/>
      <c r="DB44" s="1107"/>
      <c r="DC44" s="1107"/>
      <c r="DD44" s="1107"/>
      <c r="DE44" s="1107"/>
      <c r="DF44" s="1107"/>
      <c r="DG44" s="1107"/>
      <c r="DH44" s="1107"/>
      <c r="DI44" s="1107"/>
      <c r="DJ44" s="1107"/>
      <c r="DK44" s="1107"/>
      <c r="DL44" s="1107"/>
      <c r="DM44" s="1107"/>
      <c r="DN44" s="1107"/>
      <c r="DO44" s="1107"/>
      <c r="DP44" s="1107"/>
      <c r="DQ44" s="1107"/>
      <c r="DR44" s="1107"/>
      <c r="DS44" s="1107"/>
      <c r="DT44" s="1107"/>
      <c r="DU44" s="1107"/>
      <c r="DV44" s="1107"/>
      <c r="DW44" s="1107"/>
      <c r="DX44" s="1107"/>
      <c r="DY44" s="1107"/>
      <c r="DZ44" s="1107"/>
      <c r="EA44" s="1107"/>
      <c r="EB44" s="1107"/>
    </row>
    <row r="45" spans="1:132" ht="33.75" customHeight="1" thickTop="1" thickBot="1">
      <c r="D45" s="2300"/>
      <c r="E45" s="2301"/>
      <c r="F45" s="2302" t="s">
        <v>577</v>
      </c>
      <c r="G45" s="2303"/>
      <c r="I45" s="1814"/>
      <c r="J45" s="1108"/>
      <c r="K45" s="1234" t="s">
        <v>578</v>
      </c>
      <c r="L45" s="2304" t="s">
        <v>579</v>
      </c>
      <c r="M45" s="2304"/>
      <c r="N45" s="2262" t="s">
        <v>580</v>
      </c>
      <c r="O45" s="2305"/>
      <c r="AG45" s="1401"/>
      <c r="AH45" s="1401"/>
      <c r="AI45" s="1119"/>
      <c r="AJ45" s="1810"/>
      <c r="AK45" s="1723"/>
      <c r="AL45" s="1723"/>
      <c r="AM45" s="1120"/>
      <c r="BC45" s="1118"/>
      <c r="BD45" s="1118"/>
      <c r="BE45" s="1118"/>
      <c r="BF45" s="1118"/>
      <c r="BG45" s="1118"/>
      <c r="BH45" s="1800">
        <v>61</v>
      </c>
      <c r="BI45" s="1808">
        <v>186078</v>
      </c>
      <c r="BJ45" s="1808">
        <v>786505</v>
      </c>
      <c r="BK45" s="1808">
        <v>278608</v>
      </c>
      <c r="BL45" s="1808">
        <v>1179758</v>
      </c>
      <c r="BM45" s="1118"/>
      <c r="BN45" s="1686"/>
      <c r="BO45" s="1779"/>
      <c r="BP45" s="1779"/>
      <c r="BQ45" s="1779"/>
      <c r="BR45" s="1118"/>
      <c r="BS45" s="1686"/>
      <c r="BT45" s="1804"/>
      <c r="BU45" s="1791"/>
      <c r="BV45" s="1686"/>
      <c r="BW45" s="1804"/>
      <c r="BX45" s="1792"/>
      <c r="BY45" s="1792"/>
      <c r="BZ45" s="1792"/>
      <c r="CA45" s="1792"/>
      <c r="CF45" s="1108"/>
      <c r="CH45" s="1108"/>
      <c r="CM45" s="1108"/>
    </row>
    <row r="46" spans="1:132" ht="20.25" customHeight="1" thickTop="1">
      <c r="C46" s="1108"/>
      <c r="D46" s="2300" t="s">
        <v>581</v>
      </c>
      <c r="E46" s="2301"/>
      <c r="F46" s="1818">
        <v>2000000</v>
      </c>
      <c r="G46" s="1819">
        <v>3000000</v>
      </c>
      <c r="I46" s="1820" t="s">
        <v>582</v>
      </c>
      <c r="J46" s="1108"/>
      <c r="K46" s="1821">
        <f>G16</f>
        <v>0</v>
      </c>
      <c r="L46" s="2306">
        <f>IF(I34="",0,AV5)</f>
        <v>0</v>
      </c>
      <c r="M46" s="2308"/>
      <c r="N46" s="2306">
        <f>IF(BC2=0,0,AV5)</f>
        <v>0</v>
      </c>
      <c r="O46" s="2307"/>
      <c r="AG46" s="1401"/>
      <c r="AH46" s="1401"/>
      <c r="AI46" s="1119"/>
      <c r="AJ46" s="1810"/>
      <c r="AK46" s="1723"/>
      <c r="AL46" s="1723"/>
      <c r="AM46" s="1120"/>
      <c r="BC46" s="1118"/>
      <c r="BD46" s="1118"/>
      <c r="BE46" s="1118"/>
      <c r="BF46" s="1118"/>
      <c r="BG46" s="1118"/>
      <c r="BH46" s="1800">
        <v>62</v>
      </c>
      <c r="BI46" s="1808">
        <v>203818</v>
      </c>
      <c r="BJ46" s="1808">
        <v>861900</v>
      </c>
      <c r="BK46" s="1808">
        <v>305218</v>
      </c>
      <c r="BL46" s="1808">
        <v>1292850</v>
      </c>
      <c r="BM46" s="1118"/>
      <c r="BN46" s="1749"/>
      <c r="BO46" s="1779"/>
      <c r="BP46" s="1779"/>
      <c r="BQ46" s="1779"/>
      <c r="BR46" s="1118"/>
      <c r="BS46" s="1686"/>
      <c r="BT46" s="1795"/>
      <c r="BU46" s="1791"/>
      <c r="BV46" s="1686"/>
      <c r="BW46" s="1795"/>
      <c r="BX46" s="1796"/>
      <c r="BY46" s="1796"/>
      <c r="BZ46" s="1796"/>
      <c r="CA46" s="1796"/>
      <c r="CF46" s="1108"/>
      <c r="CH46" s="1108"/>
      <c r="CM46" s="1108"/>
    </row>
    <row r="47" spans="1:132" ht="18" customHeight="1">
      <c r="D47" s="1822" t="s">
        <v>583</v>
      </c>
      <c r="E47" s="1243"/>
      <c r="F47" s="1823" t="e">
        <f>VLOOKUP(BB2,recompensa,2,0)</f>
        <v>#N/A</v>
      </c>
      <c r="G47" s="1824" t="e">
        <f>VLOOKUP(BB2,recompensa,4,0)</f>
        <v>#N/A</v>
      </c>
      <c r="I47" s="1820" t="s">
        <v>584</v>
      </c>
      <c r="J47" s="1108"/>
      <c r="K47" s="1825" t="s">
        <v>585</v>
      </c>
      <c r="L47" s="2309" t="s">
        <v>585</v>
      </c>
      <c r="M47" s="2308"/>
      <c r="N47" s="2310">
        <f>IF(BC2=0,0,IF(BC2=1,F48,IF(BC2=2,G48)))</f>
        <v>0</v>
      </c>
      <c r="O47" s="2311"/>
      <c r="AG47" s="1401"/>
      <c r="AH47" s="1401"/>
      <c r="AI47" s="1119"/>
      <c r="AJ47" s="1108"/>
      <c r="AK47" s="1723"/>
      <c r="AL47" s="1723"/>
      <c r="AM47" s="1737"/>
      <c r="BC47" s="1118"/>
      <c r="BD47" s="1118"/>
      <c r="BE47" s="1118"/>
      <c r="BF47" s="1118"/>
      <c r="BG47" s="1118"/>
      <c r="BH47" s="1800">
        <v>63</v>
      </c>
      <c r="BI47" s="1808">
        <v>223558</v>
      </c>
      <c r="BJ47" s="1808">
        <v>945795</v>
      </c>
      <c r="BK47" s="1808">
        <v>334828</v>
      </c>
      <c r="BL47" s="1808">
        <v>1418693</v>
      </c>
      <c r="BM47" s="1118"/>
      <c r="BN47" s="1623"/>
      <c r="BO47" s="1779"/>
      <c r="BP47" s="1779"/>
      <c r="BQ47" s="1779"/>
      <c r="BR47" s="1118"/>
      <c r="BS47" s="1686"/>
      <c r="BT47" s="1795"/>
      <c r="BU47" s="1791"/>
      <c r="BV47" s="1686"/>
      <c r="BW47" s="1795"/>
      <c r="BX47" s="1796"/>
      <c r="BY47" s="1796"/>
      <c r="BZ47" s="1796"/>
      <c r="CA47" s="1796"/>
      <c r="CF47" s="1108"/>
      <c r="CH47" s="1108"/>
      <c r="CM47" s="1108"/>
    </row>
    <row r="48" spans="1:132" ht="18" customHeight="1">
      <c r="D48" s="1826" t="s">
        <v>586</v>
      </c>
      <c r="E48" s="1827"/>
      <c r="F48" s="1828" t="e">
        <f>(F47*5)-5090</f>
        <v>#N/A</v>
      </c>
      <c r="G48" s="1829" t="e">
        <f>(G47*5)-5090</f>
        <v>#N/A</v>
      </c>
      <c r="I48" s="1830" t="s">
        <v>587</v>
      </c>
      <c r="K48" s="1825" t="s">
        <v>585</v>
      </c>
      <c r="L48" s="2309" t="s">
        <v>585</v>
      </c>
      <c r="M48" s="2308"/>
      <c r="N48" s="2312">
        <f>IF(BC2=0,0,IF(BC2=1,F49,IF(BC2=2,G49)))</f>
        <v>0</v>
      </c>
      <c r="O48" s="2313"/>
      <c r="AG48" s="1401"/>
      <c r="AH48" s="1401"/>
      <c r="AI48" s="1119"/>
      <c r="AJ48" s="1108"/>
      <c r="AK48" s="1723"/>
      <c r="AL48" s="1723"/>
      <c r="AM48" s="1120"/>
      <c r="BC48" s="1118"/>
      <c r="BD48" s="1118"/>
      <c r="BE48" s="1118"/>
      <c r="BF48" s="1118"/>
      <c r="BG48" s="1118"/>
      <c r="BH48" s="1800">
        <v>64</v>
      </c>
      <c r="BI48" s="1808">
        <v>245338</v>
      </c>
      <c r="BJ48" s="1808">
        <v>1038360</v>
      </c>
      <c r="BK48" s="1808">
        <v>367498</v>
      </c>
      <c r="BL48" s="1808">
        <v>1557540</v>
      </c>
      <c r="BM48" s="1118"/>
      <c r="BN48" s="1686"/>
      <c r="BO48" s="1779"/>
      <c r="BP48" s="1779"/>
      <c r="BQ48" s="1779"/>
      <c r="BR48" s="1118"/>
      <c r="BS48" s="1686"/>
      <c r="BT48" s="1795"/>
      <c r="BU48" s="1791"/>
      <c r="BV48" s="1686"/>
      <c r="BW48" s="1795"/>
      <c r="BX48" s="1796"/>
      <c r="BY48" s="1796"/>
      <c r="BZ48" s="1796"/>
      <c r="CA48" s="1796"/>
      <c r="CF48" s="1108"/>
      <c r="CH48" s="1108"/>
      <c r="CM48" s="1108"/>
    </row>
    <row r="49" spans="1:120" ht="18" customHeight="1">
      <c r="D49" s="1831" t="s">
        <v>588</v>
      </c>
      <c r="E49" s="1827"/>
      <c r="F49" s="1832" t="e">
        <f>F48*0.85</f>
        <v>#N/A</v>
      </c>
      <c r="G49" s="1833" t="e">
        <f>G48*0.85</f>
        <v>#N/A</v>
      </c>
      <c r="I49" s="1179" t="s">
        <v>589</v>
      </c>
      <c r="K49" s="1374">
        <f>CAT!CX266</f>
        <v>0</v>
      </c>
      <c r="L49" s="2292">
        <f>IF(I34="",0,CAT!EP266)</f>
        <v>0</v>
      </c>
      <c r="M49" s="2292"/>
      <c r="N49" s="2292">
        <f>IF(BC2=0,0,CAT!GH266)</f>
        <v>0</v>
      </c>
      <c r="O49" s="2293"/>
      <c r="AG49" s="1401"/>
      <c r="AH49" s="1401"/>
      <c r="AI49" s="1119"/>
      <c r="AJ49" s="1108"/>
      <c r="AK49" s="1723"/>
      <c r="AL49" s="1723"/>
      <c r="AM49" s="1120"/>
      <c r="BC49" s="1118"/>
      <c r="BD49" s="1118"/>
      <c r="BE49" s="1118"/>
      <c r="BF49" s="1118"/>
      <c r="BG49" s="1118"/>
      <c r="BH49" s="1834">
        <v>65</v>
      </c>
      <c r="BI49" s="1835">
        <v>269398</v>
      </c>
      <c r="BJ49" s="1835">
        <v>1140615</v>
      </c>
      <c r="BK49" s="1835">
        <v>403588</v>
      </c>
      <c r="BL49" s="1835">
        <v>1710923</v>
      </c>
      <c r="BM49" s="1118"/>
      <c r="BN49" s="1623"/>
      <c r="BO49" s="1779"/>
      <c r="BP49" s="1779"/>
      <c r="BQ49" s="1779"/>
      <c r="BR49" s="1118"/>
      <c r="BS49" s="1686"/>
      <c r="BT49" s="1795"/>
      <c r="BU49" s="1791"/>
      <c r="BV49" s="1686"/>
      <c r="BW49" s="1795"/>
      <c r="BX49" s="1796"/>
      <c r="BY49" s="1796"/>
      <c r="BZ49" s="1796"/>
      <c r="CA49" s="1796"/>
      <c r="CF49" s="1108"/>
      <c r="CH49" s="1108"/>
      <c r="CM49" s="1108"/>
    </row>
    <row r="50" spans="1:120" ht="33.75" customHeight="1">
      <c r="D50" s="2314" t="s">
        <v>590</v>
      </c>
      <c r="E50" s="2315"/>
      <c r="F50" s="1836" t="e">
        <f>F48-F49</f>
        <v>#N/A</v>
      </c>
      <c r="G50" s="1837" t="e">
        <f>G48-G49</f>
        <v>#N/A</v>
      </c>
      <c r="I50" s="1838" t="s">
        <v>591</v>
      </c>
      <c r="J50" s="1242"/>
      <c r="K50" s="1839" t="s">
        <v>585</v>
      </c>
      <c r="L50" s="2316">
        <f>IF(I34="",0,K49-L49)</f>
        <v>0</v>
      </c>
      <c r="M50" s="2317"/>
      <c r="N50" s="2316">
        <f>IF(BC2=0,0,K49-N49-N47)</f>
        <v>0</v>
      </c>
      <c r="O50" s="2318"/>
      <c r="AG50" s="1401"/>
      <c r="AH50" s="1401"/>
      <c r="AI50" s="1119"/>
      <c r="AJ50" s="1108"/>
      <c r="AK50" s="1723"/>
      <c r="AL50" s="1723"/>
      <c r="AM50" s="1737"/>
      <c r="BC50" s="1118"/>
      <c r="BD50" s="1118"/>
      <c r="BE50" s="1118"/>
      <c r="BF50" s="1118"/>
      <c r="BG50" s="1118"/>
      <c r="BH50" s="1118"/>
      <c r="BI50" s="1118"/>
      <c r="BJ50" s="1118"/>
      <c r="BK50" s="1118"/>
      <c r="BL50" s="1118"/>
      <c r="BM50" s="1118"/>
      <c r="BN50" s="1623"/>
      <c r="BO50" s="1779"/>
      <c r="BP50" s="1779"/>
      <c r="BQ50" s="1779"/>
      <c r="BR50" s="1118"/>
      <c r="BS50" s="1623"/>
      <c r="BT50" s="1840"/>
      <c r="BU50" s="1623"/>
      <c r="BV50" s="1623"/>
      <c r="BW50" s="1841"/>
      <c r="BX50" s="1623"/>
      <c r="BY50" s="1623"/>
      <c r="BZ50" s="1623"/>
      <c r="CA50" s="1623"/>
      <c r="CF50" s="1108"/>
      <c r="CH50" s="1108"/>
      <c r="CM50" s="1108"/>
    </row>
    <row r="51" spans="1:120" ht="18" customHeight="1">
      <c r="D51" s="1826" t="s">
        <v>592</v>
      </c>
      <c r="E51" s="1827"/>
      <c r="F51" s="1836" t="e">
        <f>F50/5</f>
        <v>#N/A</v>
      </c>
      <c r="G51" s="1837" t="e">
        <f>G50/5</f>
        <v>#N/A</v>
      </c>
      <c r="I51" s="2319" t="str">
        <f>IF(C28&lt;&gt;"","",IF(BC2&gt;0,CONCATENATE("Con Hipoteca Plus y Vida recompensa ahorrarías"," ",DOLLAR(N50,0)," ","y tu plazo se reduciría"," ",(G15-AK61)," ","meses**"),IF(I34&gt;"",CONCATENATE("Con Hipoteca Plus ahorrarías"," ",DOLLAR(L50,0)),"")))</f>
        <v/>
      </c>
      <c r="J51" s="2320"/>
      <c r="K51" s="2320"/>
      <c r="L51" s="2320"/>
      <c r="M51" s="2320"/>
      <c r="N51" s="2320"/>
      <c r="O51" s="2321"/>
      <c r="AG51" s="1401"/>
      <c r="AH51" s="1401"/>
      <c r="AI51" s="1119"/>
      <c r="AJ51" s="1108"/>
      <c r="AK51" s="1723"/>
      <c r="AL51" s="1723"/>
      <c r="AM51" s="1120"/>
      <c r="BC51" s="1118"/>
      <c r="BD51" s="1118"/>
      <c r="BE51" s="1118"/>
      <c r="BF51" s="1118"/>
      <c r="BG51" s="1118"/>
      <c r="BH51" s="1118"/>
      <c r="BI51" s="1118"/>
      <c r="BJ51" s="1118"/>
      <c r="BK51" s="1118"/>
      <c r="BL51" s="1118"/>
      <c r="BM51" s="1118"/>
      <c r="BN51" s="1623"/>
      <c r="BO51" s="1779"/>
      <c r="BP51" s="1779"/>
      <c r="BQ51" s="1779"/>
      <c r="BR51" s="1118"/>
      <c r="BS51" s="1623"/>
      <c r="BT51" s="1840"/>
      <c r="BU51" s="1623"/>
      <c r="BV51" s="1623"/>
      <c r="BW51" s="1840"/>
      <c r="BX51" s="1686"/>
      <c r="BY51" s="1686"/>
      <c r="BZ51" s="1686"/>
      <c r="CA51" s="1686"/>
      <c r="CF51" s="1108"/>
      <c r="CH51" s="1108"/>
      <c r="CM51" s="1108"/>
    </row>
    <row r="52" spans="1:120" ht="18" customHeight="1">
      <c r="D52" s="1826" t="s">
        <v>593</v>
      </c>
      <c r="E52" s="1827"/>
      <c r="F52" s="1842" t="e">
        <f>F51/12</f>
        <v>#N/A</v>
      </c>
      <c r="G52" s="1843" t="e">
        <f>G51/12</f>
        <v>#N/A</v>
      </c>
      <c r="I52" s="2319"/>
      <c r="J52" s="2320"/>
      <c r="K52" s="2320"/>
      <c r="L52" s="2320"/>
      <c r="M52" s="2320"/>
      <c r="N52" s="2320"/>
      <c r="O52" s="2321"/>
      <c r="AG52" s="1401"/>
      <c r="AH52" s="1401"/>
      <c r="AI52" s="1119"/>
      <c r="AJ52" s="1108"/>
      <c r="AK52" s="1723"/>
      <c r="AL52" s="1723"/>
      <c r="AM52" s="1120"/>
      <c r="BC52" s="1118"/>
      <c r="BD52" s="1118"/>
      <c r="BE52" s="1118"/>
      <c r="BF52" s="1118"/>
      <c r="BG52" s="1118"/>
      <c r="BH52" s="1118"/>
      <c r="BI52" s="1118"/>
      <c r="BJ52" s="1118"/>
      <c r="BK52" s="1118"/>
      <c r="BL52" s="1118"/>
      <c r="BM52" s="1118"/>
      <c r="BN52" s="1686"/>
      <c r="BO52" s="1779"/>
      <c r="BP52" s="1779"/>
      <c r="BQ52" s="1779"/>
      <c r="BR52" s="1118"/>
      <c r="BS52" s="1623"/>
      <c r="BT52" s="1840"/>
      <c r="BU52" s="1623"/>
      <c r="BV52" s="1623"/>
      <c r="BW52" s="1840"/>
      <c r="BX52" s="1686"/>
      <c r="BY52" s="1686"/>
      <c r="BZ52" s="1686"/>
      <c r="CA52" s="1686"/>
      <c r="CF52" s="1108"/>
      <c r="CH52" s="1108"/>
      <c r="CM52" s="1108"/>
    </row>
    <row r="53" spans="1:120" ht="18" customHeight="1">
      <c r="D53" s="1844" t="s">
        <v>594</v>
      </c>
      <c r="E53" s="1108"/>
      <c r="F53" s="1108"/>
      <c r="G53" s="1845"/>
      <c r="H53" s="1108"/>
      <c r="I53" s="2319"/>
      <c r="J53" s="2320"/>
      <c r="K53" s="2320"/>
      <c r="L53" s="2320"/>
      <c r="M53" s="2320"/>
      <c r="N53" s="2320"/>
      <c r="O53" s="2321"/>
      <c r="AG53" s="1119"/>
      <c r="AH53" s="1119"/>
      <c r="AI53" s="1119"/>
      <c r="AJ53" s="1108"/>
      <c r="BC53" s="1118"/>
      <c r="BD53" s="1118"/>
      <c r="BE53" s="1118"/>
      <c r="BF53" s="1118"/>
      <c r="BG53" s="1118"/>
      <c r="BH53" s="1118"/>
      <c r="BI53" s="1118"/>
      <c r="BJ53" s="1118"/>
      <c r="BK53" s="1118"/>
      <c r="BL53" s="1118"/>
      <c r="BM53" s="1118"/>
      <c r="BN53" s="1623"/>
      <c r="BO53" s="1779"/>
      <c r="BP53" s="1779"/>
      <c r="BQ53" s="1779"/>
      <c r="BR53" s="1118"/>
      <c r="BS53" s="1686"/>
      <c r="BT53" s="1804"/>
      <c r="BU53" s="1686"/>
      <c r="BV53" s="1686"/>
      <c r="BW53" s="1804"/>
      <c r="BX53" s="1846"/>
      <c r="BY53" s="1846"/>
      <c r="BZ53" s="1846"/>
      <c r="CA53" s="1846"/>
      <c r="CF53" s="1108"/>
      <c r="CH53" s="1108"/>
      <c r="CM53" s="1108"/>
    </row>
    <row r="54" spans="1:120" ht="27" customHeight="1">
      <c r="D54" s="2322" t="s">
        <v>595</v>
      </c>
      <c r="E54" s="2323"/>
      <c r="F54" s="2323"/>
      <c r="G54" s="1847"/>
      <c r="I54" s="2324" t="str">
        <f>IF(BC2&gt;0,"**El abono al crédito no es automático. El cliente deberá realizar el pago anticipado al crédito hipotecario una vez reciba la devolución del seguro.","")</f>
        <v/>
      </c>
      <c r="J54" s="2325"/>
      <c r="K54" s="2325"/>
      <c r="L54" s="2325"/>
      <c r="M54" s="2325"/>
      <c r="N54" s="2325"/>
      <c r="O54" s="2326"/>
      <c r="AG54" s="1401"/>
      <c r="AH54" s="1401"/>
      <c r="AI54" s="1119"/>
      <c r="AJ54" s="1108"/>
      <c r="BC54" s="1118"/>
      <c r="BD54" s="1118"/>
      <c r="BE54" s="1118"/>
      <c r="BF54" s="1118"/>
      <c r="BG54" s="1118"/>
      <c r="BH54" s="1118"/>
      <c r="BI54" s="1118"/>
      <c r="BJ54" s="1118"/>
      <c r="BK54" s="1118"/>
      <c r="BL54" s="1118"/>
      <c r="BM54" s="1118"/>
      <c r="BN54" s="1623"/>
      <c r="BO54" s="1779"/>
      <c r="BP54" s="1779"/>
      <c r="BQ54" s="1779"/>
      <c r="BR54" s="1118"/>
      <c r="BS54" s="1686"/>
      <c r="BT54" s="1840"/>
      <c r="BU54" s="1686"/>
      <c r="BV54" s="1686"/>
      <c r="BW54" s="1840"/>
      <c r="BX54" s="1623"/>
      <c r="BY54" s="1623"/>
      <c r="BZ54" s="1623"/>
      <c r="CA54" s="1623"/>
      <c r="CF54" s="1108"/>
      <c r="CH54" s="1108"/>
      <c r="CM54" s="1108"/>
    </row>
    <row r="55" spans="1:120" ht="52.5" customHeight="1">
      <c r="D55" s="1247"/>
      <c r="E55" s="1247"/>
      <c r="F55" s="1247"/>
      <c r="G55" s="1247"/>
      <c r="H55" s="1247"/>
      <c r="I55" s="2328" t="str">
        <f>IF(AND(G17&gt;0,I34&gt;"",BC2&gt;0,F44=0),"Te falta capturar la edad del cliente","")</f>
        <v/>
      </c>
      <c r="J55" s="2328"/>
      <c r="K55" s="1247"/>
      <c r="L55" s="1247"/>
      <c r="M55" s="1247"/>
      <c r="N55" s="1247"/>
      <c r="AG55" s="1401"/>
      <c r="AH55" s="1401"/>
      <c r="AI55" s="1119"/>
      <c r="AJ55" s="1108"/>
      <c r="BC55" s="1118"/>
      <c r="BD55" s="1118"/>
      <c r="BE55" s="1118"/>
      <c r="BF55" s="1118"/>
      <c r="BG55" s="1118"/>
      <c r="BH55" s="1118"/>
      <c r="BI55" s="1118"/>
      <c r="BJ55" s="1118"/>
      <c r="BK55" s="1118"/>
      <c r="BL55" s="1118"/>
      <c r="BM55" s="1118"/>
      <c r="BN55" s="1118"/>
      <c r="BO55" s="1118"/>
      <c r="BP55" s="1118"/>
      <c r="BQ55" s="1118"/>
      <c r="BR55" s="1118"/>
      <c r="BS55" s="1623"/>
      <c r="BT55" s="1840"/>
      <c r="BU55" s="1623"/>
      <c r="BV55" s="1623"/>
      <c r="BW55" s="1841"/>
      <c r="BX55" s="1623"/>
      <c r="BY55" s="1623"/>
      <c r="BZ55" s="1623"/>
      <c r="CA55" s="1623"/>
      <c r="CF55" s="1108"/>
      <c r="CH55" s="1108"/>
      <c r="CM55" s="1108"/>
    </row>
    <row r="56" spans="1:120" ht="10.5" customHeight="1">
      <c r="C56" s="1848"/>
      <c r="D56" s="1849"/>
      <c r="E56" s="1849"/>
      <c r="F56" s="1848"/>
      <c r="G56" s="1848"/>
      <c r="H56" s="1848"/>
      <c r="I56" s="1848"/>
      <c r="J56" s="1848"/>
      <c r="K56" s="1848"/>
      <c r="L56" s="1848"/>
      <c r="M56" s="1848"/>
      <c r="N56" s="1848"/>
      <c r="O56" s="1848"/>
      <c r="AG56" s="1119"/>
      <c r="AH56" s="1119"/>
      <c r="AI56" s="1410"/>
      <c r="AJ56" s="1850"/>
      <c r="AK56" s="1850"/>
      <c r="AL56" s="1850"/>
      <c r="AM56" s="1850"/>
      <c r="AN56" s="1850"/>
      <c r="AO56" s="1850"/>
      <c r="AP56" s="1850"/>
      <c r="AQ56" s="1850"/>
      <c r="AR56" s="1850"/>
      <c r="AS56" s="1414"/>
      <c r="AT56" s="1850"/>
      <c r="AU56" s="1850"/>
      <c r="AV56" s="1850"/>
      <c r="AW56" s="1850"/>
      <c r="AX56" s="1850"/>
      <c r="AY56" s="1850"/>
      <c r="AZ56" s="1850"/>
      <c r="BA56" s="1850"/>
      <c r="BB56" s="1850"/>
      <c r="BC56" s="1414"/>
      <c r="BD56" s="1414"/>
      <c r="BE56" s="1414"/>
      <c r="BF56" s="1414"/>
      <c r="BG56" s="1414"/>
      <c r="BH56" s="1414"/>
      <c r="BI56" s="1414"/>
      <c r="BJ56" s="1414"/>
      <c r="BK56" s="1414"/>
      <c r="BL56" s="1414"/>
      <c r="BM56" s="1414"/>
      <c r="BN56" s="1414"/>
      <c r="BO56" s="1414"/>
      <c r="BP56" s="1414"/>
      <c r="BQ56" s="1414"/>
      <c r="BR56" s="1414"/>
      <c r="BS56" s="1414"/>
      <c r="BT56" s="1414"/>
      <c r="BU56" s="1414"/>
      <c r="BV56" s="1414"/>
      <c r="BW56" s="1850"/>
      <c r="BX56" s="1850"/>
      <c r="BY56" s="1850"/>
      <c r="BZ56" s="1850"/>
      <c r="CA56" s="1850"/>
      <c r="CB56" s="1850"/>
      <c r="CC56" s="1850"/>
      <c r="CD56" s="1850"/>
      <c r="CE56" s="1850"/>
      <c r="CF56" s="1850"/>
      <c r="CG56" s="1850"/>
      <c r="CH56" s="1851"/>
      <c r="CI56" s="1851"/>
      <c r="CJ56" s="1851"/>
      <c r="CK56" s="1851"/>
      <c r="CL56" s="1850"/>
      <c r="CM56" s="1851"/>
      <c r="CN56" s="1851"/>
      <c r="CO56" s="1851"/>
      <c r="CP56" s="1851"/>
      <c r="CQ56" s="1851"/>
      <c r="CR56" s="1850"/>
      <c r="CS56" s="1850"/>
      <c r="CT56" s="1850"/>
      <c r="CU56" s="1850"/>
      <c r="CV56" s="1850"/>
      <c r="CW56" s="1850"/>
      <c r="CX56" s="1850"/>
      <c r="CY56" s="1850"/>
      <c r="CZ56" s="1850"/>
      <c r="DA56" s="1850"/>
    </row>
    <row r="57" spans="1:120">
      <c r="D57" s="1108"/>
      <c r="AG57" s="1401"/>
      <c r="AH57" s="1119"/>
      <c r="AI57" s="1108"/>
      <c r="AJ57" s="1108"/>
      <c r="AK57" s="1108"/>
      <c r="AL57" s="1108"/>
      <c r="AM57" s="1108"/>
      <c r="AN57" s="1108"/>
      <c r="AO57" s="1108"/>
      <c r="AP57" s="1108"/>
      <c r="AQ57" s="1108"/>
      <c r="AR57" s="1108"/>
      <c r="AS57" s="1852"/>
      <c r="AT57" s="1108"/>
      <c r="AU57" s="1108"/>
      <c r="AV57" s="1108"/>
      <c r="AW57" s="1108"/>
      <c r="AX57" s="1108"/>
      <c r="AY57" s="1108"/>
      <c r="AZ57" s="1108"/>
      <c r="BA57" s="1108"/>
      <c r="BB57" s="1108"/>
      <c r="BC57" s="1108"/>
      <c r="BD57" s="1108"/>
      <c r="BE57" s="1108"/>
      <c r="BF57" s="1108"/>
      <c r="BG57" s="1108"/>
      <c r="BH57" s="1108"/>
      <c r="BI57" s="1108"/>
      <c r="BJ57" s="1108"/>
      <c r="BK57" s="1108"/>
      <c r="BL57" s="1108"/>
      <c r="BM57" s="1108"/>
      <c r="BN57" s="1108"/>
      <c r="BO57" s="1108"/>
      <c r="BP57" s="1108"/>
      <c r="BQ57" s="1108"/>
      <c r="BR57" s="1108"/>
      <c r="BS57" s="1108"/>
      <c r="BT57" s="1851"/>
      <c r="BU57" s="1108"/>
      <c r="BV57" s="1108"/>
      <c r="BW57" s="1108"/>
      <c r="BX57" s="1108"/>
      <c r="BY57" s="1108"/>
      <c r="BZ57" s="1108"/>
      <c r="CA57" s="1108"/>
      <c r="CB57" s="1108"/>
      <c r="CC57" s="1108"/>
      <c r="CD57" s="1108"/>
      <c r="CE57" s="1108"/>
      <c r="CF57" s="1108"/>
      <c r="CG57" s="1108"/>
      <c r="CH57" s="1108"/>
      <c r="CL57" s="1108"/>
      <c r="CM57" s="1108"/>
      <c r="CR57" s="1108"/>
      <c r="CS57" s="1108"/>
      <c r="CT57" s="1108"/>
      <c r="CU57" s="1108"/>
      <c r="CV57" s="1108"/>
      <c r="CW57" s="1108"/>
      <c r="CX57" s="1108"/>
      <c r="CY57" s="1108"/>
      <c r="CZ57" s="1108"/>
      <c r="DA57" s="1108"/>
      <c r="DB57" s="1108"/>
      <c r="DC57" s="1108"/>
      <c r="DD57" s="1108"/>
      <c r="DE57" s="1108"/>
      <c r="DF57" s="1108"/>
      <c r="DG57" s="1108"/>
      <c r="DH57" s="1108"/>
      <c r="DI57" s="1108"/>
      <c r="DJ57" s="1108"/>
      <c r="DK57" s="1108"/>
      <c r="DL57" s="1108"/>
      <c r="DM57" s="1108"/>
      <c r="DN57" s="1108"/>
      <c r="DO57" s="1108"/>
      <c r="DP57" s="1108"/>
    </row>
    <row r="58" spans="1:120">
      <c r="G58" s="1297" t="str">
        <f>CONCATENATE("Tabla de Amortización"," ","HIPOTECA SANTANDER")</f>
        <v>Tabla de Amortización HIPOTECA SANTANDER</v>
      </c>
      <c r="AG58" s="1401"/>
      <c r="AH58" s="1119"/>
      <c r="AI58" s="1119"/>
      <c r="BC58" s="1118"/>
      <c r="BD58" s="1118"/>
      <c r="BE58" s="1118"/>
      <c r="BF58" s="1118"/>
      <c r="BG58" s="1126"/>
      <c r="BH58" s="1271" t="s">
        <v>427</v>
      </c>
      <c r="BI58" s="1272">
        <v>1000000</v>
      </c>
      <c r="BJ58" s="1126"/>
      <c r="BK58" s="1126"/>
      <c r="BL58" s="1126"/>
      <c r="BM58" s="1118"/>
      <c r="BN58" s="1273" t="s">
        <v>427</v>
      </c>
      <c r="BO58" s="1272">
        <v>1000000</v>
      </c>
      <c r="BP58" s="1126"/>
      <c r="BQ58" s="1126"/>
      <c r="BR58" s="1126"/>
      <c r="BS58" s="1108"/>
      <c r="BT58" s="1851"/>
      <c r="BU58" s="1108"/>
      <c r="BV58" s="1108"/>
      <c r="BW58" s="1108"/>
    </row>
    <row r="59" spans="1:120">
      <c r="AG59" s="1119"/>
      <c r="AH59" s="1119"/>
      <c r="AI59" s="1119"/>
      <c r="AN59" s="1853" t="s">
        <v>596</v>
      </c>
      <c r="AP59" s="1108"/>
      <c r="AQ59" s="1108"/>
      <c r="AR59" s="1108"/>
      <c r="AS59" s="1852"/>
      <c r="BC59" s="1118"/>
      <c r="BD59" s="1118"/>
      <c r="BE59" s="1118"/>
      <c r="BF59" s="1118"/>
      <c r="BH59" s="1284" t="s">
        <v>74</v>
      </c>
      <c r="BI59" s="1285">
        <f>AV5</f>
        <v>0</v>
      </c>
      <c r="BM59" s="1118"/>
      <c r="BN59" s="1286" t="s">
        <v>74</v>
      </c>
      <c r="BO59" s="1285">
        <f>AV5</f>
        <v>0</v>
      </c>
      <c r="BS59" s="1108"/>
      <c r="BT59" s="1851"/>
      <c r="BU59" s="1108"/>
      <c r="BV59" s="1108"/>
      <c r="BW59" s="1108"/>
    </row>
    <row r="60" spans="1:120" ht="15.6">
      <c r="D60" s="1121" t="s">
        <v>597</v>
      </c>
      <c r="E60" s="1921" t="e">
        <f>CAT!BR20</f>
        <v>#NUM!</v>
      </c>
      <c r="F60" s="1311" t="s">
        <v>436</v>
      </c>
      <c r="H60" s="1524"/>
      <c r="I60" s="1773"/>
      <c r="K60" s="1119" t="s">
        <v>598</v>
      </c>
      <c r="L60" s="1110"/>
      <c r="M60" s="1854">
        <f>IF(F10="",0,AK61)</f>
        <v>0</v>
      </c>
      <c r="N60" s="1119" t="str">
        <f>IF(M60&gt;0,"meses","")</f>
        <v/>
      </c>
      <c r="P60" s="1687"/>
      <c r="Q60" s="1687"/>
      <c r="R60" s="1687"/>
      <c r="S60" s="1687"/>
      <c r="T60" s="1687"/>
      <c r="U60" s="1687"/>
      <c r="V60" s="1687"/>
      <c r="W60" s="1687"/>
      <c r="X60" s="1687"/>
      <c r="Y60" s="1687"/>
      <c r="Z60" s="1687"/>
      <c r="AA60" s="1687"/>
      <c r="AB60" s="1687"/>
      <c r="AC60" s="1687"/>
      <c r="AD60" s="1687"/>
      <c r="AE60" s="1687"/>
      <c r="AF60" s="1687"/>
      <c r="AK60" s="1266" t="s">
        <v>424</v>
      </c>
      <c r="AN60" s="1855" t="e">
        <f>PMT(G16/12,G15,-1000)</f>
        <v>#NUM!</v>
      </c>
      <c r="AP60" s="1108"/>
      <c r="AQ60" s="1108"/>
      <c r="AR60" s="1108"/>
      <c r="AS60" s="1852"/>
      <c r="AU60" s="1856" t="s">
        <v>7</v>
      </c>
      <c r="AV60" s="1326" t="s">
        <v>599</v>
      </c>
      <c r="AW60" s="1269" t="s">
        <v>426</v>
      </c>
      <c r="AX60" s="1269"/>
      <c r="AY60" s="1269"/>
      <c r="AZ60" s="1269"/>
      <c r="BA60" s="1269"/>
      <c r="BB60" s="1269"/>
      <c r="BC60" s="1857"/>
      <c r="BD60" s="1858"/>
      <c r="BE60" s="1118"/>
      <c r="BF60" s="1118"/>
      <c r="BH60" s="1293" t="s">
        <v>434</v>
      </c>
      <c r="BI60" s="1294">
        <f>BS2</f>
        <v>0</v>
      </c>
      <c r="BM60" s="1118"/>
      <c r="BN60" s="1295" t="s">
        <v>434</v>
      </c>
      <c r="BO60" s="1294">
        <v>8.5434723045346619</v>
      </c>
      <c r="BQ60" s="1859">
        <f>BO60+0.000001</f>
        <v>8.5434733045346611</v>
      </c>
      <c r="BS60" s="1108"/>
      <c r="BT60" s="1851"/>
      <c r="BU60" s="1108"/>
      <c r="BV60" s="1108"/>
      <c r="BW60" s="1108"/>
    </row>
    <row r="61" spans="1:120">
      <c r="C61" s="1860"/>
      <c r="D61" s="2327" t="str">
        <f ca="1">CONCATENATE("Calculado al"," ",AH2," ",".Para fines informativos y de comparación.")</f>
        <v>Calculado al 17 mar 2026 .Para fines informativos y de comparación.</v>
      </c>
      <c r="E61" s="2327"/>
      <c r="F61" s="2327"/>
      <c r="G61" s="2327"/>
      <c r="H61" s="1860"/>
      <c r="I61" s="1860"/>
      <c r="J61" s="1860"/>
      <c r="K61" s="1110"/>
      <c r="L61" s="1110"/>
      <c r="M61" s="1193"/>
      <c r="N61" s="1119"/>
      <c r="AK61" s="1861">
        <f>MAXA(C66:C365)</f>
        <v>0</v>
      </c>
      <c r="AN61" s="1853" t="s">
        <v>600</v>
      </c>
      <c r="AU61" s="1862" t="s">
        <v>601</v>
      </c>
      <c r="BD61" s="1341"/>
      <c r="BH61" s="1284" t="s">
        <v>438</v>
      </c>
      <c r="BI61" s="1501">
        <f>BT2</f>
        <v>0</v>
      </c>
      <c r="BN61" s="1286" t="s">
        <v>438</v>
      </c>
      <c r="BO61" s="1501">
        <f>BT2</f>
        <v>0</v>
      </c>
      <c r="BT61" s="1414"/>
    </row>
    <row r="62" spans="1:120">
      <c r="C62" s="1297"/>
      <c r="D62" s="1297"/>
      <c r="E62" s="1863"/>
      <c r="F62" s="1104"/>
      <c r="J62" s="1772"/>
      <c r="K62" s="1772"/>
      <c r="M62" s="1864"/>
      <c r="N62" s="1864"/>
      <c r="O62" s="1864"/>
      <c r="P62" s="1331"/>
      <c r="Q62" s="1331"/>
      <c r="R62" s="1331"/>
      <c r="S62" s="1331"/>
      <c r="T62" s="1331"/>
      <c r="U62" s="1331"/>
      <c r="V62" s="1331"/>
      <c r="W62" s="1331"/>
      <c r="X62" s="1331"/>
      <c r="Y62" s="1331"/>
      <c r="Z62" s="1331"/>
      <c r="AA62" s="1331"/>
      <c r="AB62" s="1331"/>
      <c r="AC62" s="1331"/>
      <c r="AD62" s="1331"/>
      <c r="AE62" s="1331"/>
      <c r="AF62" s="1331"/>
      <c r="AG62" s="1331"/>
      <c r="AH62" s="1331"/>
      <c r="AI62" s="1331"/>
      <c r="AK62" s="1865">
        <f>AK61/12</f>
        <v>0</v>
      </c>
      <c r="AN62" s="1866">
        <f>L66/Adm!J7</f>
        <v>0</v>
      </c>
      <c r="AO62" s="1331"/>
      <c r="AT62" s="1331"/>
      <c r="AU62" s="1867">
        <f>IF(O64=AU60,1,IF(O64=AU61,2,0))</f>
        <v>0</v>
      </c>
      <c r="AV62" s="1290" t="s">
        <v>432</v>
      </c>
      <c r="AW62" s="1868" t="b">
        <f>IF(AT2=AT7,1,IF(AT2=AT8,2))</f>
        <v>0</v>
      </c>
      <c r="AX62" s="1868"/>
      <c r="AY62" s="1868"/>
      <c r="AZ62" s="1868"/>
      <c r="BA62" s="1868"/>
      <c r="BD62" s="1292" t="s">
        <v>433</v>
      </c>
      <c r="BH62" s="1284" t="s">
        <v>7</v>
      </c>
      <c r="BI62" s="1869">
        <f>G15</f>
        <v>0</v>
      </c>
      <c r="BN62" s="1286" t="s">
        <v>7</v>
      </c>
      <c r="BO62" s="1869">
        <f>G15</f>
        <v>0</v>
      </c>
      <c r="BT62" s="1414"/>
    </row>
    <row r="63" spans="1:120" ht="46.5" customHeight="1">
      <c r="A63" s="1321" t="s">
        <v>444</v>
      </c>
      <c r="B63" s="1870" t="s">
        <v>445</v>
      </c>
      <c r="C63" s="1425" t="s">
        <v>446</v>
      </c>
      <c r="D63" s="1442" t="s">
        <v>447</v>
      </c>
      <c r="E63" s="1425" t="s">
        <v>448</v>
      </c>
      <c r="F63" s="1425" t="s">
        <v>449</v>
      </c>
      <c r="G63" s="1442" t="s">
        <v>450</v>
      </c>
      <c r="H63" s="1425" t="str">
        <f>IF(F22=AN4,"","Seguro Vida")</f>
        <v>Seguro Vida</v>
      </c>
      <c r="I63" s="1425" t="str">
        <f>IF(F24=AO3,"",IF($F$24=$AO$3,"",IF(OR($F$10=$AK$7,$F$10=$AK$13),"","Seguro Daños")))</f>
        <v>Seguro Daños</v>
      </c>
      <c r="J63" s="1922" t="str">
        <f>IF($F$10=$AK$7,"","Administración autorización de crédito diferido")</f>
        <v>Administración autorización de crédito diferido</v>
      </c>
      <c r="K63" s="1871" t="str">
        <f>IF(AS2&gt;0,"IVA Intereses","")</f>
        <v/>
      </c>
      <c r="L63" s="1442" t="s">
        <v>452</v>
      </c>
      <c r="M63" s="1872" t="str">
        <f>IF(F10=AK3,"Prepago por aportaciones INFONAVIT","")</f>
        <v/>
      </c>
      <c r="N63" s="1442" t="s">
        <v>453</v>
      </c>
      <c r="O63" s="1873" t="s">
        <v>602</v>
      </c>
      <c r="P63" s="1325" t="str">
        <f>IF(OR(F10=AK10,F10=AK11),"Disposiciones de Crédito para Construcción","")</f>
        <v/>
      </c>
      <c r="Q63" s="1325"/>
      <c r="R63" s="1325"/>
      <c r="S63" s="1325"/>
      <c r="T63" s="1325"/>
      <c r="U63" s="1325"/>
      <c r="V63" s="1325"/>
      <c r="W63" s="1325"/>
      <c r="X63" s="1325"/>
      <c r="Y63" s="1325"/>
      <c r="Z63" s="1325"/>
      <c r="AA63" s="1325"/>
      <c r="AB63" s="1325"/>
      <c r="AC63" s="1325"/>
      <c r="AD63" s="1325"/>
      <c r="AE63" s="1325"/>
      <c r="AF63" s="1325"/>
      <c r="AG63" s="1874"/>
      <c r="AH63" s="1874"/>
      <c r="AI63" s="1874"/>
      <c r="AN63" s="1314" t="s">
        <v>440</v>
      </c>
      <c r="AO63" s="1314" t="s">
        <v>441</v>
      </c>
      <c r="AT63" s="1193"/>
      <c r="AU63" s="1875" t="s">
        <v>442</v>
      </c>
      <c r="AV63" s="1193"/>
      <c r="AW63" s="1193"/>
      <c r="AX63" s="1193"/>
      <c r="AY63" s="1193"/>
      <c r="AZ63" s="1193"/>
      <c r="BA63" s="1193"/>
      <c r="BB63" s="1193"/>
      <c r="BD63" s="1876">
        <f>IF(AT2="Crecientes",1,0)</f>
        <v>0</v>
      </c>
      <c r="BE63" s="1193"/>
      <c r="BF63" s="1193"/>
      <c r="BM63" s="1193"/>
      <c r="BT63" s="1414"/>
    </row>
    <row r="64" spans="1:120">
      <c r="B64" s="1877"/>
      <c r="C64" s="1269"/>
      <c r="D64" s="1269"/>
      <c r="E64" s="1269"/>
      <c r="F64" s="1878"/>
      <c r="G64" s="1269"/>
      <c r="H64" s="1879" t="s">
        <v>603</v>
      </c>
      <c r="I64" s="1269"/>
      <c r="J64" s="1269"/>
      <c r="K64" s="1269"/>
      <c r="L64" s="1269"/>
      <c r="M64" s="1269"/>
      <c r="N64" s="1269"/>
      <c r="O64" s="1880"/>
      <c r="AJ64" s="1326" t="s">
        <v>444</v>
      </c>
      <c r="AK64" s="1327" t="s">
        <v>454</v>
      </c>
      <c r="AN64" s="1881">
        <f>IF(K18&gt;0,K18,AN62)</f>
        <v>0</v>
      </c>
      <c r="AU64" s="1330" t="s">
        <v>455</v>
      </c>
      <c r="AV64" s="1331" t="s">
        <v>456</v>
      </c>
      <c r="AW64" s="1332" t="s">
        <v>457</v>
      </c>
      <c r="AX64" s="1332"/>
      <c r="AY64" s="1332"/>
      <c r="AZ64" s="1332"/>
      <c r="BA64" s="1332"/>
      <c r="BB64" s="1333" t="s">
        <v>458</v>
      </c>
      <c r="BC64" s="1334" t="s">
        <v>459</v>
      </c>
      <c r="BD64" s="1335" t="s">
        <v>460</v>
      </c>
      <c r="BE64" s="1332"/>
      <c r="BF64" s="1332"/>
      <c r="BG64" s="1293"/>
      <c r="BH64" s="1336" t="s">
        <v>444</v>
      </c>
      <c r="BI64" s="1336" t="s">
        <v>448</v>
      </c>
      <c r="BJ64" s="1336" t="s">
        <v>449</v>
      </c>
      <c r="BK64" s="1336" t="s">
        <v>461</v>
      </c>
      <c r="BL64" s="1336" t="s">
        <v>462</v>
      </c>
      <c r="BM64" s="1332"/>
      <c r="BN64" s="1336" t="s">
        <v>444</v>
      </c>
      <c r="BO64" s="1336" t="s">
        <v>448</v>
      </c>
      <c r="BP64" s="1336" t="s">
        <v>449</v>
      </c>
      <c r="BQ64" s="1336" t="s">
        <v>461</v>
      </c>
      <c r="BR64" s="1336" t="s">
        <v>462</v>
      </c>
      <c r="BT64" s="1414"/>
      <c r="BX64" s="1882"/>
      <c r="BY64" s="1882"/>
      <c r="BZ64" s="1882"/>
      <c r="CA64" s="1882"/>
      <c r="CB64" s="1882"/>
    </row>
    <row r="65" spans="1:124">
      <c r="A65" s="1868">
        <f ca="1">MONTH(M1)</f>
        <v>3</v>
      </c>
      <c r="B65" s="1883">
        <f>G15</f>
        <v>0</v>
      </c>
      <c r="C65" s="1884">
        <v>0</v>
      </c>
      <c r="D65" s="1884"/>
      <c r="E65" s="1885"/>
      <c r="F65" s="1885"/>
      <c r="G65" s="1885"/>
      <c r="H65" s="1885"/>
      <c r="I65" s="1885"/>
      <c r="J65" s="1885"/>
      <c r="K65" s="1885"/>
      <c r="L65" s="1885"/>
      <c r="M65" s="1886"/>
      <c r="N65" s="2158">
        <f>IF(G16=0,0,IF(C28&lt;&gt;"",0,IF(OR(F10=AK10,F10=AK11),K20,G17)))</f>
        <v>0</v>
      </c>
      <c r="O65" s="2159"/>
      <c r="AJ65" s="1340">
        <v>12</v>
      </c>
      <c r="AK65" s="1341" t="s">
        <v>463</v>
      </c>
      <c r="AN65" s="1887"/>
      <c r="AO65" s="1887"/>
      <c r="AU65" s="1888"/>
      <c r="AV65" s="1889"/>
      <c r="AW65" s="1889"/>
      <c r="AX65" s="1889"/>
      <c r="AY65" s="1889"/>
      <c r="AZ65" s="1889"/>
      <c r="BA65" s="1889"/>
      <c r="BB65" s="1889"/>
      <c r="BC65" s="1889"/>
      <c r="BD65" s="1344" t="s">
        <v>464</v>
      </c>
      <c r="BG65" s="1345">
        <v>1</v>
      </c>
      <c r="BH65" s="1346"/>
      <c r="BI65" s="1347"/>
      <c r="BJ65" s="1347"/>
      <c r="BK65" s="1347"/>
      <c r="BL65" s="1348">
        <f>BI58</f>
        <v>1000000</v>
      </c>
      <c r="BN65" s="1346"/>
      <c r="BO65" s="1347"/>
      <c r="BP65" s="1347"/>
      <c r="BQ65" s="1347"/>
      <c r="BR65" s="1348">
        <f>BO58</f>
        <v>1000000</v>
      </c>
      <c r="BT65" s="1414"/>
      <c r="BX65" s="1349"/>
      <c r="BY65" s="1349"/>
      <c r="BZ65" s="1349"/>
      <c r="CA65" s="1349"/>
      <c r="CB65" s="1349"/>
      <c r="CC65" s="1349"/>
      <c r="CD65" s="1349"/>
      <c r="CE65" s="1349"/>
      <c r="CF65" s="1349"/>
      <c r="CG65" s="1349"/>
      <c r="CH65" s="1349"/>
      <c r="CI65" s="1349"/>
      <c r="CJ65" s="1349"/>
      <c r="CK65" s="1349"/>
      <c r="CL65" s="1349"/>
      <c r="CM65" s="1349"/>
      <c r="CN65" s="1349"/>
      <c r="CO65" s="1349"/>
      <c r="CP65" s="1349"/>
      <c r="CQ65" s="1349"/>
      <c r="CR65" s="1349"/>
      <c r="CS65" s="1349"/>
      <c r="CT65" s="1349"/>
      <c r="CU65" s="1349"/>
      <c r="CV65" s="1349"/>
      <c r="CW65" s="1349"/>
      <c r="CX65" s="1349"/>
      <c r="CY65" s="1349"/>
      <c r="CZ65" s="1349"/>
      <c r="DA65" s="1349"/>
      <c r="DB65" s="1349"/>
      <c r="DC65" s="1349"/>
      <c r="DD65" s="1349"/>
      <c r="DE65" s="1349"/>
      <c r="DF65" s="1349"/>
      <c r="DG65" s="1349"/>
      <c r="DH65" s="1349"/>
      <c r="DI65" s="1349"/>
      <c r="DJ65" s="1349"/>
      <c r="DK65" s="1349"/>
      <c r="DL65" s="1349"/>
      <c r="DM65" s="1349"/>
      <c r="DN65" s="1349"/>
      <c r="DO65" s="1349"/>
      <c r="DP65" s="1349"/>
      <c r="DQ65" s="1349"/>
      <c r="DR65" s="1349"/>
      <c r="DS65" s="1349"/>
      <c r="DT65" s="1349"/>
    </row>
    <row r="66" spans="1:124">
      <c r="A66" s="1118">
        <f t="shared" ref="A66:A129" ca="1" si="10">IF(A65=12,1,A65+1)</f>
        <v>4</v>
      </c>
      <c r="B66" s="1890">
        <f>IF(N65&gt;0,B65-1,0)</f>
        <v>0</v>
      </c>
      <c r="C66" s="2160">
        <f>IF(G17&gt;0,C65+1,0)</f>
        <v>0</v>
      </c>
      <c r="D66" s="2161">
        <f>IF(N65&lt;0,0,IF(I34&lt;&gt;"",AV5,AV3))</f>
        <v>0</v>
      </c>
      <c r="E66" s="2162">
        <f>IF(N65&lt;0.01,0,N65*D66*30.4166/360)</f>
        <v>0</v>
      </c>
      <c r="F66" s="2162">
        <f>IF(N65&lt;0.01,0,IF(OR($F$10=$AK$10,$F$10=$AK$11),0,G66-E66))</f>
        <v>0</v>
      </c>
      <c r="G66" s="2162">
        <f>IF(N65&lt;0.01,0,IF(OR(F10=AK10,F10=AK11),E66,IF(AT2=AT8,N65*BS2/1000,PMT(((AV5/360)*(365/12)),G15,-N65))))</f>
        <v>0</v>
      </c>
      <c r="H66" s="2162">
        <f>IF(N65&lt;0.01,0,IF($F$22=$AN$4,0,IF($F$22=$AN$3,N65*$I$22/1000,N65*VLOOKUP($G$21,$AP$2:$AQ$5,2,0))))</f>
        <v>0</v>
      </c>
      <c r="I66" s="2162">
        <f t="shared" ref="I66:I77" si="11">IF(N65&lt;0.01,0,IF($F$24=$AO$3,0,IF(OR($F$10=$AK$7,$F$10=$AK$13),0,IF(OR($F$10=$AK$10,$F$10=$AK$11),$G$13*$AR$4,$G$13*$AR$2))))</f>
        <v>0</v>
      </c>
      <c r="J66" s="2162">
        <f t="shared" ref="J66:J129" si="12">IF(N65&lt;0.01,0,IF($F$10=$AK$7,0,$BD$2*1.16))</f>
        <v>0</v>
      </c>
      <c r="K66" s="2162">
        <f t="shared" ref="K66:K129" si="13">IF(N65&lt;0.01,0,IF($AS$2&gt;0,E66*$AS$3,0))</f>
        <v>0</v>
      </c>
      <c r="L66" s="2162">
        <f>IF(N65&lt;0.01,0,G66+H66+I66+J66+K66)</f>
        <v>0</v>
      </c>
      <c r="M66" s="2162">
        <f t="shared" ref="M66:M129" si="14">IF($F$10=$AK$3,MIN(N65+E66+H66+I66+J66-L66,AO66),0)</f>
        <v>0</v>
      </c>
      <c r="N66" s="2162">
        <f>IF(N65&lt;0.001,0,+N65-F66-M66-O66)</f>
        <v>0</v>
      </c>
      <c r="O66" s="2163"/>
      <c r="AG66" s="1756"/>
      <c r="AH66" s="1756"/>
      <c r="AI66" s="1756"/>
      <c r="AJ66" s="1989">
        <f>IF(AJ65=12,1,AJ65+1)</f>
        <v>1</v>
      </c>
      <c r="AK66" s="1892"/>
      <c r="AN66" s="1893">
        <f>IF(AND(F10=AK3,AN64&gt;0,AN64&lt;Adm!G9),AN64,IF(AND(F10=AK3,AN64&gt;0,AN64&gt;Adm!G9),Adm!G9,0))</f>
        <v>0</v>
      </c>
      <c r="AO66" s="1894">
        <v>0</v>
      </c>
      <c r="AU66" s="1895"/>
      <c r="AV66" s="1896"/>
      <c r="AW66" s="1896"/>
      <c r="AX66" s="1896"/>
      <c r="AY66" s="1896"/>
      <c r="AZ66" s="1896"/>
      <c r="BA66" s="1896"/>
      <c r="BB66" s="1897">
        <f>IF(AND(BC66&gt;0.01,$AU$62=2),BC66,0)</f>
        <v>0</v>
      </c>
      <c r="BC66" s="1897">
        <f t="shared" ref="BC66:BC129" si="15">IF(AND($AU$62=2,O65&lt;0.01),0,IF($AU$62=2,(N65*BD66)+E66,0))</f>
        <v>0</v>
      </c>
      <c r="BD66" s="1898" t="e">
        <f>HLOOKUP($BD$63,anticipaplus,2,0)</f>
        <v>#N/A</v>
      </c>
      <c r="BE66" s="1899"/>
      <c r="BF66" s="1899"/>
      <c r="BG66" s="1360">
        <f>BJ66/BL65</f>
        <v>0</v>
      </c>
      <c r="BH66" s="1361">
        <v>1</v>
      </c>
      <c r="BI66" s="1362">
        <f>BL65*$BI$59*30.4166/360</f>
        <v>0</v>
      </c>
      <c r="BJ66" s="1362">
        <f t="shared" ref="BJ66:BJ129" si="16">BK66-BI66</f>
        <v>0</v>
      </c>
      <c r="BK66" s="1362">
        <f>BL65*BI60/1000</f>
        <v>0</v>
      </c>
      <c r="BL66" s="1363">
        <f t="shared" ref="BL66:BL129" si="17">IF(BL65&lt;0.001,0,BL65-BJ66-BM67)</f>
        <v>1000000</v>
      </c>
      <c r="BM66" s="1899"/>
      <c r="BN66" s="1361">
        <v>1</v>
      </c>
      <c r="BO66" s="1362">
        <f t="shared" ref="BO66:BO129" si="18">BR65*$BO$59*30.4166/360</f>
        <v>0</v>
      </c>
      <c r="BP66" s="1362">
        <f t="shared" ref="BP66:BP129" si="19">BQ66-BO66</f>
        <v>8543.4723045346618</v>
      </c>
      <c r="BQ66" s="1362">
        <f>BR65*BO60/1000</f>
        <v>8543.4723045346618</v>
      </c>
      <c r="BR66" s="1363">
        <f t="shared" ref="BR66:BR129" si="20">IF(BR65&lt;0.001,0,BR65-BP66-BX67)</f>
        <v>991456.52769546537</v>
      </c>
      <c r="BT66" s="1414"/>
      <c r="BX66" s="1364"/>
      <c r="BY66" s="1364"/>
      <c r="BZ66" s="1364"/>
      <c r="CA66" s="1364"/>
      <c r="CB66" s="1364"/>
      <c r="CC66" s="1365"/>
      <c r="CD66" s="1365"/>
      <c r="CE66" s="1365"/>
      <c r="CF66" s="1365"/>
      <c r="CG66" s="1365"/>
      <c r="CH66" s="1366"/>
      <c r="CI66" s="1366"/>
      <c r="CJ66" s="1366"/>
      <c r="CK66" s="1366"/>
      <c r="CL66" s="1365"/>
      <c r="CM66" s="1366"/>
      <c r="CN66" s="1366"/>
      <c r="CO66" s="1366"/>
      <c r="CP66" s="1366"/>
      <c r="CQ66" s="1366"/>
      <c r="CR66" s="1366"/>
      <c r="CS66" s="1365"/>
      <c r="CT66" s="1365"/>
      <c r="CU66" s="1365"/>
      <c r="CV66" s="1365"/>
      <c r="CW66" s="1365"/>
      <c r="CX66" s="1365"/>
      <c r="CY66" s="1365"/>
      <c r="CZ66" s="1365"/>
      <c r="DA66" s="1365"/>
      <c r="DB66" s="1365"/>
      <c r="DC66" s="1365"/>
      <c r="DD66" s="1365"/>
      <c r="DE66" s="1365"/>
      <c r="DF66" s="1365"/>
      <c r="DG66" s="1365"/>
      <c r="DH66" s="1365"/>
      <c r="DI66" s="1365"/>
      <c r="DJ66" s="1365"/>
      <c r="DK66" s="1365"/>
      <c r="DL66" s="1365"/>
      <c r="DM66" s="1365"/>
      <c r="DN66" s="1365"/>
      <c r="DO66" s="1365"/>
      <c r="DP66" s="1365"/>
      <c r="DQ66" s="1365"/>
      <c r="DR66" s="1365"/>
      <c r="DS66" s="1365"/>
      <c r="DT66" s="1365"/>
    </row>
    <row r="67" spans="1:124">
      <c r="A67" s="1118">
        <f t="shared" ca="1" si="10"/>
        <v>5</v>
      </c>
      <c r="B67" s="1890">
        <f t="shared" ref="B67:B130" si="21">IF(N66&gt;0,B66-1,0)</f>
        <v>0</v>
      </c>
      <c r="C67" s="2160">
        <f>IF(N66&lt;0.01,0,C66+1)</f>
        <v>0</v>
      </c>
      <c r="D67" s="2161">
        <f>IF(N66&lt;0.01,0,D66)</f>
        <v>0</v>
      </c>
      <c r="E67" s="2162">
        <f t="shared" ref="E67:E130" si="22">IF(N66&lt;0.01,0,N66*D67*30.4166/360)</f>
        <v>0</v>
      </c>
      <c r="F67" s="2162">
        <f t="shared" ref="F67:F77" si="23">IF(N66&lt;0.01,0,MIN(N66,IF(OR($F$10=$AK$10,$F$10=$AK$11),0,G67-E67)))</f>
        <v>0</v>
      </c>
      <c r="G67" s="2162">
        <f t="shared" ref="G67:G77" si="24">IF(N66&lt;0.01,0,MIN(N66+E67,IF(AU67&gt;0,AU67,IF(OR($F$10=$AK$10,$F$10=$AK$11),E67,G66*(1+AK67)))))</f>
        <v>0</v>
      </c>
      <c r="H67" s="2162">
        <f>IF(N66&lt;0.01,0,IF($F$22=$AN$4,0,IF($F$22=$AN$3,N66*$I$22/1000,N66*VLOOKUP($G$21,$AP$2:$AQ$5,2,0))))</f>
        <v>0</v>
      </c>
      <c r="I67" s="2162">
        <f t="shared" si="11"/>
        <v>0</v>
      </c>
      <c r="J67" s="2162">
        <f t="shared" si="12"/>
        <v>0</v>
      </c>
      <c r="K67" s="2162">
        <f t="shared" si="13"/>
        <v>0</v>
      </c>
      <c r="L67" s="2162">
        <f t="shared" ref="L67:L130" si="25">IF(N66&lt;0.01,0,G67+H67+I67+J67+K67)</f>
        <v>0</v>
      </c>
      <c r="M67" s="2162">
        <f t="shared" si="14"/>
        <v>0</v>
      </c>
      <c r="N67" s="2162">
        <f t="shared" ref="N67:N130" si="26">IF(N66&lt;0.001,0,+N66-F67-M67-O67)</f>
        <v>0</v>
      </c>
      <c r="O67" s="2163"/>
      <c r="AG67" s="1756"/>
      <c r="AH67" s="1756"/>
      <c r="AI67" s="1756"/>
      <c r="AJ67" s="1989">
        <f t="shared" ref="AJ67:AJ130" si="27">IF(AJ66=12,1,AJ66+1)</f>
        <v>2</v>
      </c>
      <c r="AK67" s="1900">
        <f t="shared" ref="AK67:AK130" si="28">IF(AJ67=1,$BT$2,0)</f>
        <v>0</v>
      </c>
      <c r="AN67" s="1901">
        <f>AN66</f>
        <v>0</v>
      </c>
      <c r="AO67" s="1902">
        <f t="shared" ref="AO67:AO130" ca="1" si="29">IF(MOD(A67,2)=0,AN67*0.05*2,0)</f>
        <v>0</v>
      </c>
      <c r="AU67" s="1903">
        <f>IF(AV67&gt;1,AV67,IF(BB67&gt;1,BB67,0))</f>
        <v>0</v>
      </c>
      <c r="AV67" s="1904">
        <f t="shared" ref="AV67:AV130" si="30">IF(AND(OR($AW$62=1,$AW$62=3),O66&gt;0.1),AW67,0)</f>
        <v>0</v>
      </c>
      <c r="AW67" s="1904">
        <f t="shared" ref="AW67:AW130" si="31">IF(AND($AW$62=1,$AU$62=2),PMT((($D$66/360)*(365/12)),B66,-N66),0)</f>
        <v>0</v>
      </c>
      <c r="AX67" s="1904"/>
      <c r="AY67" s="1904"/>
      <c r="AZ67" s="1904"/>
      <c r="BA67" s="1904"/>
      <c r="BB67" s="1897">
        <f t="shared" ref="BB67:BB130" si="32">IF(AND(BC67&gt;0.01,$AU$62=2),BC67,0)</f>
        <v>0</v>
      </c>
      <c r="BC67" s="1897">
        <f t="shared" si="15"/>
        <v>0</v>
      </c>
      <c r="BD67" s="1898" t="e">
        <f>HLOOKUP($BD$63,anticipaplus,3,0)</f>
        <v>#N/A</v>
      </c>
      <c r="BE67" s="1899"/>
      <c r="BF67" s="1899"/>
      <c r="BG67" s="1360">
        <f t="shared" ref="BG67:BG130" si="33">BJ67/BL66</f>
        <v>0</v>
      </c>
      <c r="BH67" s="1361">
        <f>IF(BL66&lt;=0,"",BH66+1)</f>
        <v>2</v>
      </c>
      <c r="BI67" s="1362">
        <f t="shared" ref="BI67:BI130" si="34">BL66*$BI$59*30.4166/360</f>
        <v>0</v>
      </c>
      <c r="BJ67" s="1362">
        <f t="shared" si="16"/>
        <v>0</v>
      </c>
      <c r="BK67" s="1362">
        <f>MIN(BL66+BI67,BK66)</f>
        <v>0</v>
      </c>
      <c r="BL67" s="1363">
        <f t="shared" si="17"/>
        <v>1000000</v>
      </c>
      <c r="BM67" s="1899"/>
      <c r="BN67" s="1361">
        <f>IF(BR66&lt;=0,"",BN66+1)</f>
        <v>2</v>
      </c>
      <c r="BO67" s="1362">
        <f t="shared" si="18"/>
        <v>0</v>
      </c>
      <c r="BP67" s="1362">
        <f t="shared" si="19"/>
        <v>8543.4723045346618</v>
      </c>
      <c r="BQ67" s="1362">
        <f>MIN(BR66+BO67,BQ66)</f>
        <v>8543.4723045346618</v>
      </c>
      <c r="BR67" s="1363">
        <f t="shared" si="20"/>
        <v>982913.05539093073</v>
      </c>
      <c r="BT67" s="1414"/>
      <c r="BX67" s="1364"/>
      <c r="BY67" s="1364"/>
      <c r="BZ67" s="1364"/>
      <c r="CA67" s="1364"/>
      <c r="CB67" s="1364"/>
      <c r="CC67" s="1365"/>
      <c r="CD67" s="1365"/>
      <c r="CE67" s="1365"/>
      <c r="CF67" s="1365"/>
      <c r="CG67" s="1365"/>
      <c r="CH67" s="1366"/>
      <c r="CI67" s="1366"/>
      <c r="CJ67" s="1366"/>
      <c r="CK67" s="1366"/>
      <c r="CL67" s="1365"/>
      <c r="CM67" s="1366"/>
      <c r="CN67" s="1366"/>
      <c r="CO67" s="1366"/>
      <c r="CP67" s="1366"/>
      <c r="CQ67" s="1366"/>
      <c r="CR67" s="1366"/>
      <c r="CS67" s="1365"/>
      <c r="CT67" s="1365"/>
      <c r="CU67" s="1365"/>
      <c r="CV67" s="1365"/>
      <c r="CW67" s="1365"/>
      <c r="CX67" s="1365"/>
      <c r="CY67" s="1365"/>
      <c r="CZ67" s="1365"/>
      <c r="DA67" s="1365"/>
      <c r="DB67" s="1365"/>
      <c r="DC67" s="1365"/>
      <c r="DD67" s="1365"/>
      <c r="DE67" s="1365"/>
      <c r="DF67" s="1365"/>
      <c r="DG67" s="1365"/>
      <c r="DH67" s="1365"/>
      <c r="DI67" s="1365"/>
      <c r="DJ67" s="1365"/>
      <c r="DK67" s="1365"/>
      <c r="DL67" s="1365"/>
      <c r="DM67" s="1365"/>
      <c r="DN67" s="1365"/>
      <c r="DO67" s="1365"/>
      <c r="DP67" s="1365"/>
      <c r="DQ67" s="1365"/>
      <c r="DR67" s="1365"/>
      <c r="DS67" s="1365"/>
      <c r="DT67" s="1365"/>
    </row>
    <row r="68" spans="1:124">
      <c r="A68" s="1118">
        <f t="shared" ca="1" si="10"/>
        <v>6</v>
      </c>
      <c r="B68" s="1890">
        <f t="shared" si="21"/>
        <v>0</v>
      </c>
      <c r="C68" s="2160">
        <f t="shared" ref="C68:C131" si="35">IF(N67&lt;0.01,0,C67+1)</f>
        <v>0</v>
      </c>
      <c r="D68" s="2161">
        <f t="shared" ref="D68:D131" si="36">IF(N67&lt;0.01,0,D67)</f>
        <v>0</v>
      </c>
      <c r="E68" s="2162">
        <f t="shared" si="22"/>
        <v>0</v>
      </c>
      <c r="F68" s="2162">
        <f t="shared" si="23"/>
        <v>0</v>
      </c>
      <c r="G68" s="2162">
        <f t="shared" si="24"/>
        <v>0</v>
      </c>
      <c r="H68" s="2162">
        <f t="shared" ref="H68:H131" si="37">IF(N67&lt;0.01,0,IF($F$22=$AN$4,0,IF($F$22=$AN$3,N67*$I$22/1000,N67*VLOOKUP($G$21,$AP$2:$AQ$5,2,0))))</f>
        <v>0</v>
      </c>
      <c r="I68" s="2162">
        <f t="shared" si="11"/>
        <v>0</v>
      </c>
      <c r="J68" s="2162">
        <f t="shared" si="12"/>
        <v>0</v>
      </c>
      <c r="K68" s="2162">
        <f t="shared" si="13"/>
        <v>0</v>
      </c>
      <c r="L68" s="2162">
        <f t="shared" si="25"/>
        <v>0</v>
      </c>
      <c r="M68" s="2162">
        <f t="shared" si="14"/>
        <v>0</v>
      </c>
      <c r="N68" s="2162">
        <f>IF(N67&lt;0.001,0,+N67-F68-M68-O68+P68)</f>
        <v>0</v>
      </c>
      <c r="O68" s="2163"/>
      <c r="P68" s="1905">
        <f>IF(G16=0,0,IF(C28&lt;&gt;"",0,IF(AND(OR($F$10=$AK$10,$F$10=$AK$11),$BE$2=12),$BF$5,0)))</f>
        <v>0</v>
      </c>
      <c r="Q68" s="1905"/>
      <c r="R68" s="1905"/>
      <c r="S68" s="1905"/>
      <c r="T68" s="1905"/>
      <c r="U68" s="1905"/>
      <c r="V68" s="1905"/>
      <c r="W68" s="1905"/>
      <c r="X68" s="1905"/>
      <c r="Y68" s="1905"/>
      <c r="Z68" s="1905"/>
      <c r="AA68" s="1905"/>
      <c r="AB68" s="1905"/>
      <c r="AC68" s="1905"/>
      <c r="AD68" s="1905"/>
      <c r="AE68" s="1905"/>
      <c r="AF68" s="1905"/>
      <c r="AG68" s="1756"/>
      <c r="AH68" s="1756"/>
      <c r="AI68" s="1756"/>
      <c r="AJ68" s="1989">
        <f t="shared" si="27"/>
        <v>3</v>
      </c>
      <c r="AK68" s="1900">
        <f t="shared" si="28"/>
        <v>0</v>
      </c>
      <c r="AN68" s="1901">
        <f t="shared" ref="AN68:AN131" si="38">AN67</f>
        <v>0</v>
      </c>
      <c r="AO68" s="1906">
        <f t="shared" ca="1" si="29"/>
        <v>0</v>
      </c>
      <c r="AU68" s="1903">
        <f t="shared" ref="AU68:AU131" si="39">IF(AV68&gt;1,AV68,IF(BB68&gt;1,BB68,0))</f>
        <v>0</v>
      </c>
      <c r="AV68" s="1904">
        <f t="shared" si="30"/>
        <v>0</v>
      </c>
      <c r="AW68" s="1904">
        <f t="shared" si="31"/>
        <v>0</v>
      </c>
      <c r="AX68" s="1904"/>
      <c r="AY68" s="1904"/>
      <c r="AZ68" s="1904"/>
      <c r="BA68" s="1904"/>
      <c r="BB68" s="1897">
        <f t="shared" si="32"/>
        <v>0</v>
      </c>
      <c r="BC68" s="1897">
        <f t="shared" si="15"/>
        <v>0</v>
      </c>
      <c r="BD68" s="1898" t="e">
        <f>HLOOKUP($BD$63,anticipaplus,4,0)</f>
        <v>#N/A</v>
      </c>
      <c r="BE68" s="1899"/>
      <c r="BF68" s="1899"/>
      <c r="BG68" s="1360">
        <f t="shared" si="33"/>
        <v>0</v>
      </c>
      <c r="BH68" s="1361">
        <f>IF(BL67&lt;=0,"",BH67+1)</f>
        <v>3</v>
      </c>
      <c r="BI68" s="1362">
        <f t="shared" si="34"/>
        <v>0</v>
      </c>
      <c r="BJ68" s="1362">
        <f t="shared" si="16"/>
        <v>0</v>
      </c>
      <c r="BK68" s="1362">
        <f t="shared" ref="BK68:BK131" si="40">MIN(BL67+BI68,BK67)</f>
        <v>0</v>
      </c>
      <c r="BL68" s="1363">
        <f t="shared" si="17"/>
        <v>1000000</v>
      </c>
      <c r="BM68" s="1899"/>
      <c r="BN68" s="1361">
        <f>IF(BR67&lt;=0,"",BN67+1)</f>
        <v>3</v>
      </c>
      <c r="BO68" s="1362">
        <f t="shared" si="18"/>
        <v>0</v>
      </c>
      <c r="BP68" s="1362">
        <f t="shared" si="19"/>
        <v>8543.4723045346618</v>
      </c>
      <c r="BQ68" s="1362">
        <f t="shared" ref="BQ68:BQ77" si="41">MIN(BR67+BO68,BQ67)</f>
        <v>8543.4723045346618</v>
      </c>
      <c r="BR68" s="1363">
        <f t="shared" si="20"/>
        <v>974369.5830863961</v>
      </c>
      <c r="BT68" s="1414"/>
      <c r="BX68" s="1364"/>
      <c r="BY68" s="1364"/>
      <c r="BZ68" s="1364"/>
      <c r="CA68" s="1364"/>
      <c r="CB68" s="1364"/>
      <c r="CC68" s="1365"/>
      <c r="CD68" s="1365"/>
      <c r="CE68" s="1365"/>
      <c r="CF68" s="1365"/>
      <c r="CG68" s="1365"/>
      <c r="CH68" s="1366"/>
      <c r="CI68" s="1366"/>
      <c r="CJ68" s="1366"/>
      <c r="CK68" s="1366"/>
      <c r="CL68" s="1365"/>
      <c r="CM68" s="1366"/>
      <c r="CN68" s="1366"/>
      <c r="CO68" s="1366"/>
      <c r="CP68" s="1366"/>
      <c r="CQ68" s="1366"/>
      <c r="CR68" s="1366"/>
      <c r="CS68" s="1365"/>
      <c r="CT68" s="1365"/>
      <c r="CU68" s="1365"/>
      <c r="CV68" s="1365"/>
      <c r="CW68" s="1365"/>
      <c r="CX68" s="1365"/>
      <c r="CY68" s="1365"/>
      <c r="CZ68" s="1365"/>
      <c r="DA68" s="1365"/>
      <c r="DB68" s="1365"/>
      <c r="DC68" s="1365"/>
      <c r="DD68" s="1365"/>
      <c r="DE68" s="1365"/>
      <c r="DF68" s="1365"/>
      <c r="DG68" s="1365"/>
      <c r="DH68" s="1365"/>
      <c r="DI68" s="1365"/>
      <c r="DJ68" s="1365"/>
      <c r="DK68" s="1365"/>
      <c r="DL68" s="1365"/>
      <c r="DM68" s="1365"/>
      <c r="DN68" s="1365"/>
      <c r="DO68" s="1365"/>
      <c r="DP68" s="1365"/>
      <c r="DQ68" s="1365"/>
      <c r="DR68" s="1365"/>
      <c r="DS68" s="1365"/>
      <c r="DT68" s="1365"/>
    </row>
    <row r="69" spans="1:124">
      <c r="A69" s="1118">
        <f t="shared" ca="1" si="10"/>
        <v>7</v>
      </c>
      <c r="B69" s="1890">
        <f t="shared" si="21"/>
        <v>0</v>
      </c>
      <c r="C69" s="2160">
        <f t="shared" si="35"/>
        <v>0</v>
      </c>
      <c r="D69" s="2161">
        <f t="shared" si="36"/>
        <v>0</v>
      </c>
      <c r="E69" s="2162">
        <f t="shared" si="22"/>
        <v>0</v>
      </c>
      <c r="F69" s="2162">
        <f t="shared" si="23"/>
        <v>0</v>
      </c>
      <c r="G69" s="2162">
        <f t="shared" si="24"/>
        <v>0</v>
      </c>
      <c r="H69" s="2162">
        <f t="shared" si="37"/>
        <v>0</v>
      </c>
      <c r="I69" s="2162">
        <f t="shared" si="11"/>
        <v>0</v>
      </c>
      <c r="J69" s="2162">
        <f t="shared" si="12"/>
        <v>0</v>
      </c>
      <c r="K69" s="2162">
        <f t="shared" si="13"/>
        <v>0</v>
      </c>
      <c r="L69" s="2162">
        <f t="shared" si="25"/>
        <v>0</v>
      </c>
      <c r="M69" s="2162">
        <f t="shared" si="14"/>
        <v>0</v>
      </c>
      <c r="N69" s="2162">
        <f>IF(N68&lt;0.001,0,+N68-F69-M69-O69)+P69</f>
        <v>0</v>
      </c>
      <c r="O69" s="2163"/>
      <c r="P69" s="1905">
        <f>IF(G16=0,0,IF(C28&lt;&gt;"",0,IF(AND(OR($F$10=$AK$10,$F$10=$AK$11),$BE$2=18),$BF$5,0)))</f>
        <v>0</v>
      </c>
      <c r="Q69" s="1905"/>
      <c r="R69" s="1905"/>
      <c r="S69" s="1905"/>
      <c r="T69" s="1905"/>
      <c r="U69" s="1905"/>
      <c r="V69" s="1905"/>
      <c r="W69" s="1905"/>
      <c r="X69" s="1905"/>
      <c r="Y69" s="1905"/>
      <c r="Z69" s="1905"/>
      <c r="AA69" s="1905"/>
      <c r="AB69" s="1905"/>
      <c r="AC69" s="1905"/>
      <c r="AD69" s="1905"/>
      <c r="AE69" s="1905"/>
      <c r="AF69" s="1905"/>
      <c r="AG69" s="1756"/>
      <c r="AH69" s="1756"/>
      <c r="AI69" s="1756"/>
      <c r="AJ69" s="1989">
        <f t="shared" si="27"/>
        <v>4</v>
      </c>
      <c r="AK69" s="1900">
        <f t="shared" si="28"/>
        <v>0</v>
      </c>
      <c r="AL69" s="1907"/>
      <c r="AM69" s="1907"/>
      <c r="AN69" s="1901">
        <f t="shared" si="38"/>
        <v>0</v>
      </c>
      <c r="AO69" s="1906">
        <f t="shared" ca="1" si="29"/>
        <v>0</v>
      </c>
      <c r="AU69" s="1903">
        <f t="shared" si="39"/>
        <v>0</v>
      </c>
      <c r="AV69" s="1904">
        <f t="shared" si="30"/>
        <v>0</v>
      </c>
      <c r="AW69" s="1904">
        <f t="shared" si="31"/>
        <v>0</v>
      </c>
      <c r="AX69" s="1904"/>
      <c r="AY69" s="1904"/>
      <c r="AZ69" s="1904"/>
      <c r="BA69" s="1904"/>
      <c r="BB69" s="1897">
        <f t="shared" si="32"/>
        <v>0</v>
      </c>
      <c r="BC69" s="1897">
        <f t="shared" si="15"/>
        <v>0</v>
      </c>
      <c r="BD69" s="1898" t="e">
        <f>HLOOKUP($BD$63,anticipaplus,5,0)</f>
        <v>#N/A</v>
      </c>
      <c r="BE69" s="1899"/>
      <c r="BF69" s="1899"/>
      <c r="BG69" s="1360">
        <f t="shared" si="33"/>
        <v>0</v>
      </c>
      <c r="BH69" s="1361">
        <f t="shared" ref="BH69:BH132" si="42">IF(BL68&lt;=0,"",BH68+1)</f>
        <v>4</v>
      </c>
      <c r="BI69" s="1362">
        <f t="shared" si="34"/>
        <v>0</v>
      </c>
      <c r="BJ69" s="1362">
        <f t="shared" si="16"/>
        <v>0</v>
      </c>
      <c r="BK69" s="1362">
        <f t="shared" si="40"/>
        <v>0</v>
      </c>
      <c r="BL69" s="1363">
        <f t="shared" si="17"/>
        <v>1000000</v>
      </c>
      <c r="BM69" s="1899"/>
      <c r="BN69" s="1361">
        <f t="shared" ref="BN69:BN132" si="43">IF(BR68&lt;=0,"",BN68+1)</f>
        <v>4</v>
      </c>
      <c r="BO69" s="1362">
        <f t="shared" si="18"/>
        <v>0</v>
      </c>
      <c r="BP69" s="1362">
        <f t="shared" si="19"/>
        <v>8543.4723045346618</v>
      </c>
      <c r="BQ69" s="1362">
        <f t="shared" si="41"/>
        <v>8543.4723045346618</v>
      </c>
      <c r="BR69" s="1363">
        <f t="shared" si="20"/>
        <v>965826.11078186147</v>
      </c>
      <c r="BT69" s="1414"/>
      <c r="BX69" s="1364"/>
      <c r="BY69" s="1364"/>
      <c r="BZ69" s="1364"/>
      <c r="CA69" s="1364"/>
      <c r="CB69" s="1364"/>
      <c r="CC69" s="1365"/>
      <c r="CD69" s="1365"/>
      <c r="CE69" s="1365"/>
      <c r="CF69" s="1365"/>
      <c r="CG69" s="1365"/>
      <c r="CH69" s="1366"/>
      <c r="CI69" s="1366"/>
      <c r="CJ69" s="1366"/>
      <c r="CK69" s="1366"/>
      <c r="CL69" s="1365"/>
      <c r="CM69" s="1366"/>
      <c r="CN69" s="1366"/>
      <c r="CO69" s="1366"/>
      <c r="CP69" s="1366"/>
      <c r="CQ69" s="1366"/>
      <c r="CR69" s="1366"/>
      <c r="CS69" s="1365"/>
      <c r="CT69" s="1365"/>
      <c r="CU69" s="1365"/>
      <c r="CV69" s="1365"/>
      <c r="CW69" s="1365"/>
      <c r="CX69" s="1365"/>
      <c r="CY69" s="1365"/>
      <c r="CZ69" s="1365"/>
      <c r="DA69" s="1365"/>
      <c r="DB69" s="1365"/>
      <c r="DC69" s="1365"/>
      <c r="DD69" s="1365"/>
      <c r="DE69" s="1365"/>
      <c r="DF69" s="1365"/>
      <c r="DG69" s="1365"/>
      <c r="DH69" s="1365"/>
      <c r="DI69" s="1365"/>
      <c r="DJ69" s="1365"/>
      <c r="DK69" s="1365"/>
      <c r="DL69" s="1365"/>
      <c r="DM69" s="1365"/>
      <c r="DN69" s="1365"/>
      <c r="DO69" s="1365"/>
      <c r="DP69" s="1365"/>
      <c r="DQ69" s="1365"/>
      <c r="DR69" s="1365"/>
      <c r="DS69" s="1365"/>
      <c r="DT69" s="1365"/>
    </row>
    <row r="70" spans="1:124">
      <c r="A70" s="1118">
        <f t="shared" ca="1" si="10"/>
        <v>8</v>
      </c>
      <c r="B70" s="1890">
        <f t="shared" si="21"/>
        <v>0</v>
      </c>
      <c r="C70" s="2160">
        <f t="shared" si="35"/>
        <v>0</v>
      </c>
      <c r="D70" s="2161">
        <f t="shared" si="36"/>
        <v>0</v>
      </c>
      <c r="E70" s="2162">
        <f t="shared" si="22"/>
        <v>0</v>
      </c>
      <c r="F70" s="2162">
        <f t="shared" si="23"/>
        <v>0</v>
      </c>
      <c r="G70" s="2162">
        <f t="shared" si="24"/>
        <v>0</v>
      </c>
      <c r="H70" s="2162">
        <f t="shared" si="37"/>
        <v>0</v>
      </c>
      <c r="I70" s="2162">
        <f t="shared" si="11"/>
        <v>0</v>
      </c>
      <c r="J70" s="2162">
        <f t="shared" si="12"/>
        <v>0</v>
      </c>
      <c r="K70" s="2162">
        <f t="shared" si="13"/>
        <v>0</v>
      </c>
      <c r="L70" s="2162">
        <f t="shared" si="25"/>
        <v>0</v>
      </c>
      <c r="M70" s="2162">
        <f t="shared" si="14"/>
        <v>0</v>
      </c>
      <c r="N70" s="2162">
        <f>IF(N69&lt;0.001,0,+N69-F70-M70-O70)</f>
        <v>0</v>
      </c>
      <c r="O70" s="2163"/>
      <c r="P70" s="1905"/>
      <c r="Q70" s="1905"/>
      <c r="R70" s="1905"/>
      <c r="S70" s="1905"/>
      <c r="T70" s="1905"/>
      <c r="U70" s="1905"/>
      <c r="V70" s="1905"/>
      <c r="W70" s="1905"/>
      <c r="X70" s="1905"/>
      <c r="Y70" s="1905"/>
      <c r="Z70" s="1905"/>
      <c r="AA70" s="1905"/>
      <c r="AB70" s="1905"/>
      <c r="AC70" s="1905"/>
      <c r="AD70" s="1905"/>
      <c r="AE70" s="1905"/>
      <c r="AF70" s="1905"/>
      <c r="AG70" s="1756"/>
      <c r="AH70" s="1756"/>
      <c r="AI70" s="1756"/>
      <c r="AJ70" s="1989">
        <f t="shared" si="27"/>
        <v>5</v>
      </c>
      <c r="AK70" s="1900">
        <f t="shared" si="28"/>
        <v>0</v>
      </c>
      <c r="AL70" s="1907"/>
      <c r="AM70" s="1907"/>
      <c r="AN70" s="1901">
        <f t="shared" si="38"/>
        <v>0</v>
      </c>
      <c r="AO70" s="1906">
        <f t="shared" ca="1" si="29"/>
        <v>0</v>
      </c>
      <c r="AU70" s="1903">
        <f t="shared" si="39"/>
        <v>0</v>
      </c>
      <c r="AV70" s="1904">
        <f t="shared" si="30"/>
        <v>0</v>
      </c>
      <c r="AW70" s="1904">
        <f t="shared" si="31"/>
        <v>0</v>
      </c>
      <c r="AX70" s="1904"/>
      <c r="AY70" s="1904"/>
      <c r="AZ70" s="1904"/>
      <c r="BA70" s="1904"/>
      <c r="BB70" s="1897">
        <f t="shared" si="32"/>
        <v>0</v>
      </c>
      <c r="BC70" s="1897">
        <f t="shared" si="15"/>
        <v>0</v>
      </c>
      <c r="BD70" s="1898" t="e">
        <f>HLOOKUP($BD$63,anticipaplus,6,0)</f>
        <v>#N/A</v>
      </c>
      <c r="BE70" s="1899"/>
      <c r="BF70" s="1899"/>
      <c r="BG70" s="1360">
        <f t="shared" si="33"/>
        <v>0</v>
      </c>
      <c r="BH70" s="1361">
        <f t="shared" si="42"/>
        <v>5</v>
      </c>
      <c r="BI70" s="1362">
        <f t="shared" si="34"/>
        <v>0</v>
      </c>
      <c r="BJ70" s="1362">
        <f t="shared" si="16"/>
        <v>0</v>
      </c>
      <c r="BK70" s="1362">
        <f t="shared" si="40"/>
        <v>0</v>
      </c>
      <c r="BL70" s="1363">
        <f t="shared" si="17"/>
        <v>1000000</v>
      </c>
      <c r="BM70" s="1899"/>
      <c r="BN70" s="1361">
        <f t="shared" si="43"/>
        <v>5</v>
      </c>
      <c r="BO70" s="1362">
        <f t="shared" si="18"/>
        <v>0</v>
      </c>
      <c r="BP70" s="1362">
        <f t="shared" si="19"/>
        <v>8543.4723045346618</v>
      </c>
      <c r="BQ70" s="1362">
        <f t="shared" si="41"/>
        <v>8543.4723045346618</v>
      </c>
      <c r="BR70" s="1363">
        <f t="shared" si="20"/>
        <v>957282.63847732684</v>
      </c>
      <c r="BT70" s="1414"/>
      <c r="BX70" s="1364"/>
      <c r="BY70" s="1364"/>
      <c r="BZ70" s="1364"/>
      <c r="CA70" s="1364"/>
      <c r="CB70" s="1364"/>
      <c r="CC70" s="1365"/>
      <c r="CD70" s="1365"/>
      <c r="CE70" s="1365"/>
      <c r="CF70" s="1365"/>
      <c r="CG70" s="1365"/>
      <c r="CH70" s="1366"/>
      <c r="CI70" s="1366"/>
      <c r="CJ70" s="1366"/>
      <c r="CK70" s="1366"/>
      <c r="CL70" s="1365"/>
      <c r="CM70" s="1366"/>
      <c r="CN70" s="1366"/>
      <c r="CO70" s="1366"/>
      <c r="CP70" s="1366"/>
      <c r="CQ70" s="1366"/>
      <c r="CR70" s="1366"/>
      <c r="CS70" s="1365"/>
      <c r="CT70" s="1365"/>
      <c r="CU70" s="1365"/>
      <c r="CV70" s="1365"/>
      <c r="CW70" s="1365"/>
      <c r="CX70" s="1365"/>
      <c r="CY70" s="1365"/>
      <c r="CZ70" s="1365"/>
      <c r="DA70" s="1365"/>
      <c r="DB70" s="1365"/>
      <c r="DC70" s="1365"/>
      <c r="DD70" s="1365"/>
      <c r="DE70" s="1365"/>
      <c r="DF70" s="1365"/>
      <c r="DG70" s="1365"/>
      <c r="DH70" s="1365"/>
      <c r="DI70" s="1365"/>
      <c r="DJ70" s="1365"/>
      <c r="DK70" s="1365"/>
      <c r="DL70" s="1365"/>
      <c r="DM70" s="1365"/>
      <c r="DN70" s="1365"/>
      <c r="DO70" s="1365"/>
      <c r="DP70" s="1365"/>
      <c r="DQ70" s="1365"/>
      <c r="DR70" s="1365"/>
      <c r="DS70" s="1365"/>
      <c r="DT70" s="1365"/>
    </row>
    <row r="71" spans="1:124">
      <c r="A71" s="1118">
        <f t="shared" ca="1" si="10"/>
        <v>9</v>
      </c>
      <c r="B71" s="1890">
        <f t="shared" si="21"/>
        <v>0</v>
      </c>
      <c r="C71" s="2160">
        <f t="shared" si="35"/>
        <v>0</v>
      </c>
      <c r="D71" s="2161">
        <f t="shared" si="36"/>
        <v>0</v>
      </c>
      <c r="E71" s="2162">
        <f t="shared" si="22"/>
        <v>0</v>
      </c>
      <c r="F71" s="2162">
        <f t="shared" si="23"/>
        <v>0</v>
      </c>
      <c r="G71" s="2162">
        <f t="shared" si="24"/>
        <v>0</v>
      </c>
      <c r="H71" s="2162">
        <f t="shared" si="37"/>
        <v>0</v>
      </c>
      <c r="I71" s="2162">
        <f t="shared" si="11"/>
        <v>0</v>
      </c>
      <c r="J71" s="2162">
        <f t="shared" si="12"/>
        <v>0</v>
      </c>
      <c r="K71" s="2162">
        <f t="shared" si="13"/>
        <v>0</v>
      </c>
      <c r="L71" s="2162">
        <f t="shared" si="25"/>
        <v>0</v>
      </c>
      <c r="M71" s="2162">
        <f t="shared" si="14"/>
        <v>0</v>
      </c>
      <c r="N71" s="2162">
        <f>IF(N70&lt;0.001,0,+N70-F71-M71-O71)+P71</f>
        <v>0</v>
      </c>
      <c r="O71" s="2163"/>
      <c r="P71" s="1905">
        <f>IF(G16=0,0,IF(C28&lt;&gt;"",0,IF(AND(OR($F$10=$AK$10,$F$10=$AK$11),$BE$2=12),$BF$5,0)))</f>
        <v>0</v>
      </c>
      <c r="Q71" s="1905"/>
      <c r="R71" s="1905"/>
      <c r="S71" s="1905"/>
      <c r="T71" s="1905"/>
      <c r="U71" s="1905"/>
      <c r="V71" s="1905"/>
      <c r="W71" s="1905"/>
      <c r="X71" s="1905"/>
      <c r="Y71" s="1905"/>
      <c r="Z71" s="1905"/>
      <c r="AA71" s="1905"/>
      <c r="AB71" s="1905"/>
      <c r="AC71" s="1905"/>
      <c r="AD71" s="1905"/>
      <c r="AE71" s="1905"/>
      <c r="AF71" s="1905"/>
      <c r="AG71" s="1756"/>
      <c r="AH71" s="1756"/>
      <c r="AI71" s="1756"/>
      <c r="AJ71" s="1989">
        <f t="shared" si="27"/>
        <v>6</v>
      </c>
      <c r="AK71" s="1900">
        <f t="shared" si="28"/>
        <v>0</v>
      </c>
      <c r="AL71" s="1907"/>
      <c r="AM71" s="1907"/>
      <c r="AN71" s="1901">
        <f t="shared" si="38"/>
        <v>0</v>
      </c>
      <c r="AO71" s="1906">
        <f t="shared" ca="1" si="29"/>
        <v>0</v>
      </c>
      <c r="AU71" s="1903">
        <f t="shared" si="39"/>
        <v>0</v>
      </c>
      <c r="AV71" s="1904">
        <f t="shared" si="30"/>
        <v>0</v>
      </c>
      <c r="AW71" s="1904">
        <f t="shared" si="31"/>
        <v>0</v>
      </c>
      <c r="AX71" s="1904"/>
      <c r="AY71" s="1904"/>
      <c r="AZ71" s="1904"/>
      <c r="BA71" s="1904"/>
      <c r="BB71" s="1897">
        <f t="shared" si="32"/>
        <v>0</v>
      </c>
      <c r="BC71" s="1897">
        <f t="shared" si="15"/>
        <v>0</v>
      </c>
      <c r="BD71" s="1898" t="e">
        <f>HLOOKUP($BD$63,anticipaplus,7,0)</f>
        <v>#N/A</v>
      </c>
      <c r="BE71" s="1899"/>
      <c r="BF71" s="1899"/>
      <c r="BG71" s="1360">
        <f t="shared" si="33"/>
        <v>0</v>
      </c>
      <c r="BH71" s="1361">
        <f t="shared" si="42"/>
        <v>6</v>
      </c>
      <c r="BI71" s="1362">
        <f t="shared" si="34"/>
        <v>0</v>
      </c>
      <c r="BJ71" s="1362">
        <f t="shared" si="16"/>
        <v>0</v>
      </c>
      <c r="BK71" s="1362">
        <f t="shared" si="40"/>
        <v>0</v>
      </c>
      <c r="BL71" s="1363">
        <f t="shared" si="17"/>
        <v>1000000</v>
      </c>
      <c r="BM71" s="1899"/>
      <c r="BN71" s="1361">
        <f t="shared" si="43"/>
        <v>6</v>
      </c>
      <c r="BO71" s="1362">
        <f t="shared" si="18"/>
        <v>0</v>
      </c>
      <c r="BP71" s="1362">
        <f t="shared" si="19"/>
        <v>8543.4723045346618</v>
      </c>
      <c r="BQ71" s="1362">
        <f t="shared" si="41"/>
        <v>8543.4723045346618</v>
      </c>
      <c r="BR71" s="1363">
        <f t="shared" si="20"/>
        <v>948739.1661727922</v>
      </c>
      <c r="BT71" s="1414"/>
      <c r="BX71" s="1364"/>
      <c r="BY71" s="1364"/>
      <c r="BZ71" s="1364"/>
      <c r="CA71" s="1364"/>
      <c r="CB71" s="1364"/>
      <c r="CC71" s="1365"/>
      <c r="CD71" s="1365"/>
      <c r="CE71" s="1365"/>
      <c r="CF71" s="1365"/>
      <c r="CG71" s="1365"/>
      <c r="CH71" s="1366"/>
      <c r="CI71" s="1366"/>
      <c r="CJ71" s="1366"/>
      <c r="CK71" s="1366"/>
      <c r="CL71" s="1365"/>
      <c r="CM71" s="1366"/>
      <c r="CN71" s="1366"/>
      <c r="CO71" s="1366"/>
      <c r="CP71" s="1366"/>
      <c r="CQ71" s="1366"/>
      <c r="CR71" s="1366"/>
      <c r="CS71" s="1365"/>
      <c r="CT71" s="1365"/>
      <c r="CU71" s="1365"/>
      <c r="CV71" s="1365"/>
      <c r="CW71" s="1365"/>
      <c r="CX71" s="1365"/>
      <c r="CY71" s="1365"/>
      <c r="CZ71" s="1365"/>
      <c r="DA71" s="1365"/>
      <c r="DB71" s="1365"/>
      <c r="DC71" s="1365"/>
      <c r="DD71" s="1365"/>
      <c r="DE71" s="1365"/>
      <c r="DF71" s="1365"/>
      <c r="DG71" s="1365"/>
      <c r="DH71" s="1365"/>
      <c r="DI71" s="1365"/>
      <c r="DJ71" s="1365"/>
      <c r="DK71" s="1365"/>
      <c r="DL71" s="1365"/>
      <c r="DM71" s="1365"/>
      <c r="DN71" s="1365"/>
      <c r="DO71" s="1365"/>
      <c r="DP71" s="1365"/>
      <c r="DQ71" s="1365"/>
      <c r="DR71" s="1365"/>
      <c r="DS71" s="1365"/>
      <c r="DT71" s="1365"/>
    </row>
    <row r="72" spans="1:124">
      <c r="A72" s="1118">
        <f t="shared" ca="1" si="10"/>
        <v>10</v>
      </c>
      <c r="B72" s="1890">
        <f t="shared" si="21"/>
        <v>0</v>
      </c>
      <c r="C72" s="2160">
        <f t="shared" si="35"/>
        <v>0</v>
      </c>
      <c r="D72" s="2161">
        <f t="shared" si="36"/>
        <v>0</v>
      </c>
      <c r="E72" s="2162">
        <f t="shared" si="22"/>
        <v>0</v>
      </c>
      <c r="F72" s="2162">
        <f t="shared" si="23"/>
        <v>0</v>
      </c>
      <c r="G72" s="2162">
        <f t="shared" si="24"/>
        <v>0</v>
      </c>
      <c r="H72" s="2162">
        <f t="shared" si="37"/>
        <v>0</v>
      </c>
      <c r="I72" s="2162">
        <f t="shared" si="11"/>
        <v>0</v>
      </c>
      <c r="J72" s="2162">
        <f t="shared" si="12"/>
        <v>0</v>
      </c>
      <c r="K72" s="2162">
        <f t="shared" si="13"/>
        <v>0</v>
      </c>
      <c r="L72" s="2162">
        <f t="shared" si="25"/>
        <v>0</v>
      </c>
      <c r="M72" s="2162">
        <f t="shared" si="14"/>
        <v>0</v>
      </c>
      <c r="N72" s="2162">
        <f>IF(N71&lt;0.001,0,+N71-F72-M72-O72)</f>
        <v>0</v>
      </c>
      <c r="O72" s="2163"/>
      <c r="P72" s="1905"/>
      <c r="Q72" s="1905"/>
      <c r="R72" s="1905"/>
      <c r="S72" s="1905"/>
      <c r="T72" s="1905"/>
      <c r="U72" s="1905"/>
      <c r="V72" s="1905"/>
      <c r="W72" s="1905"/>
      <c r="X72" s="1905"/>
      <c r="Y72" s="1905"/>
      <c r="Z72" s="1905"/>
      <c r="AA72" s="1905"/>
      <c r="AB72" s="1905"/>
      <c r="AC72" s="1905"/>
      <c r="AD72" s="1905"/>
      <c r="AE72" s="1905"/>
      <c r="AF72" s="1905"/>
      <c r="AG72" s="1756"/>
      <c r="AH72" s="1756"/>
      <c r="AI72" s="1756"/>
      <c r="AJ72" s="1989">
        <f t="shared" si="27"/>
        <v>7</v>
      </c>
      <c r="AK72" s="1900">
        <f t="shared" si="28"/>
        <v>0</v>
      </c>
      <c r="AL72" s="1907"/>
      <c r="AM72" s="1907"/>
      <c r="AN72" s="1901">
        <f t="shared" si="38"/>
        <v>0</v>
      </c>
      <c r="AO72" s="1906">
        <f t="shared" ca="1" si="29"/>
        <v>0</v>
      </c>
      <c r="AU72" s="1903">
        <f t="shared" si="39"/>
        <v>0</v>
      </c>
      <c r="AV72" s="1904">
        <f t="shared" si="30"/>
        <v>0</v>
      </c>
      <c r="AW72" s="1904">
        <f t="shared" si="31"/>
        <v>0</v>
      </c>
      <c r="AX72" s="1904"/>
      <c r="AY72" s="1904"/>
      <c r="AZ72" s="1904"/>
      <c r="BA72" s="1904"/>
      <c r="BB72" s="1897">
        <f t="shared" si="32"/>
        <v>0</v>
      </c>
      <c r="BC72" s="1897">
        <f t="shared" si="15"/>
        <v>0</v>
      </c>
      <c r="BD72" s="1898" t="e">
        <f>HLOOKUP($BD$63,anticipaplus,8,0)</f>
        <v>#N/A</v>
      </c>
      <c r="BE72" s="1899"/>
      <c r="BF72" s="1899"/>
      <c r="BG72" s="1360">
        <f t="shared" si="33"/>
        <v>0</v>
      </c>
      <c r="BH72" s="1361">
        <f t="shared" si="42"/>
        <v>7</v>
      </c>
      <c r="BI72" s="1362">
        <f t="shared" si="34"/>
        <v>0</v>
      </c>
      <c r="BJ72" s="1362">
        <f t="shared" si="16"/>
        <v>0</v>
      </c>
      <c r="BK72" s="1362">
        <f t="shared" si="40"/>
        <v>0</v>
      </c>
      <c r="BL72" s="1363">
        <f t="shared" si="17"/>
        <v>1000000</v>
      </c>
      <c r="BM72" s="1899"/>
      <c r="BN72" s="1361">
        <f t="shared" si="43"/>
        <v>7</v>
      </c>
      <c r="BO72" s="1362">
        <f t="shared" si="18"/>
        <v>0</v>
      </c>
      <c r="BP72" s="1362">
        <f t="shared" si="19"/>
        <v>8543.4723045346618</v>
      </c>
      <c r="BQ72" s="1362">
        <f t="shared" si="41"/>
        <v>8543.4723045346618</v>
      </c>
      <c r="BR72" s="1363">
        <f t="shared" si="20"/>
        <v>940195.69386825757</v>
      </c>
      <c r="BT72" s="1414"/>
      <c r="BX72" s="1364"/>
      <c r="BY72" s="1364"/>
      <c r="BZ72" s="1364"/>
      <c r="CA72" s="1364"/>
      <c r="CB72" s="1364"/>
      <c r="CC72" s="1365"/>
      <c r="CD72" s="1365"/>
      <c r="CE72" s="1365"/>
      <c r="CF72" s="1365"/>
      <c r="CG72" s="1365"/>
      <c r="CH72" s="1366"/>
      <c r="CI72" s="1366"/>
      <c r="CJ72" s="1366"/>
      <c r="CK72" s="1366"/>
      <c r="CL72" s="1365"/>
      <c r="CM72" s="1366"/>
      <c r="CN72" s="1366"/>
      <c r="CO72" s="1366"/>
      <c r="CP72" s="1366"/>
      <c r="CQ72" s="1366"/>
      <c r="CR72" s="1366"/>
      <c r="CS72" s="1365"/>
      <c r="CT72" s="1365"/>
      <c r="CU72" s="1365"/>
      <c r="CV72" s="1365"/>
      <c r="CW72" s="1365"/>
      <c r="CX72" s="1365"/>
      <c r="CY72" s="1365"/>
      <c r="CZ72" s="1365"/>
      <c r="DA72" s="1365"/>
      <c r="DB72" s="1365"/>
      <c r="DC72" s="1365"/>
      <c r="DD72" s="1365"/>
      <c r="DE72" s="1365"/>
      <c r="DF72" s="1365"/>
      <c r="DG72" s="1365"/>
      <c r="DH72" s="1365"/>
      <c r="DI72" s="1365"/>
      <c r="DJ72" s="1365"/>
      <c r="DK72" s="1365"/>
      <c r="DL72" s="1365"/>
      <c r="DM72" s="1365"/>
      <c r="DN72" s="1365"/>
      <c r="DO72" s="1365"/>
      <c r="DP72" s="1365"/>
      <c r="DQ72" s="1365"/>
      <c r="DR72" s="1365"/>
      <c r="DS72" s="1365"/>
      <c r="DT72" s="1365"/>
    </row>
    <row r="73" spans="1:124">
      <c r="A73" s="1118">
        <f t="shared" ca="1" si="10"/>
        <v>11</v>
      </c>
      <c r="B73" s="1890">
        <f t="shared" si="21"/>
        <v>0</v>
      </c>
      <c r="C73" s="2160">
        <f t="shared" si="35"/>
        <v>0</v>
      </c>
      <c r="D73" s="2161">
        <f t="shared" si="36"/>
        <v>0</v>
      </c>
      <c r="E73" s="2162">
        <f t="shared" si="22"/>
        <v>0</v>
      </c>
      <c r="F73" s="2162">
        <f t="shared" si="23"/>
        <v>0</v>
      </c>
      <c r="G73" s="2162">
        <f t="shared" si="24"/>
        <v>0</v>
      </c>
      <c r="H73" s="2162">
        <f t="shared" si="37"/>
        <v>0</v>
      </c>
      <c r="I73" s="2162">
        <f t="shared" si="11"/>
        <v>0</v>
      </c>
      <c r="J73" s="2162">
        <f t="shared" si="12"/>
        <v>0</v>
      </c>
      <c r="K73" s="2162">
        <f t="shared" si="13"/>
        <v>0</v>
      </c>
      <c r="L73" s="2162">
        <f t="shared" si="25"/>
        <v>0</v>
      </c>
      <c r="M73" s="2162">
        <f t="shared" si="14"/>
        <v>0</v>
      </c>
      <c r="N73" s="2162">
        <f>IF(N72&lt;0.001,0,+N72-F73-M73-O73)+P73</f>
        <v>0</v>
      </c>
      <c r="O73" s="2163"/>
      <c r="P73" s="1905">
        <f>IF(G16=0,0,IF(C28&lt;&gt;"",0,IF(AND(OR($F$10=$AK$10,$F$10=$AK$11),$BE$2=18),$BF$5,0)))</f>
        <v>0</v>
      </c>
      <c r="Q73" s="1905"/>
      <c r="R73" s="1905"/>
      <c r="S73" s="1905"/>
      <c r="T73" s="1905"/>
      <c r="U73" s="1905"/>
      <c r="V73" s="1905"/>
      <c r="W73" s="1905"/>
      <c r="X73" s="1905"/>
      <c r="Y73" s="1905"/>
      <c r="Z73" s="1905"/>
      <c r="AA73" s="1905"/>
      <c r="AB73" s="1905"/>
      <c r="AC73" s="1905"/>
      <c r="AD73" s="1905"/>
      <c r="AE73" s="1905"/>
      <c r="AF73" s="1905"/>
      <c r="AG73" s="1756"/>
      <c r="AH73" s="1756"/>
      <c r="AI73" s="1756"/>
      <c r="AJ73" s="1989">
        <f t="shared" si="27"/>
        <v>8</v>
      </c>
      <c r="AK73" s="1900">
        <f t="shared" si="28"/>
        <v>0</v>
      </c>
      <c r="AL73" s="1907"/>
      <c r="AM73" s="1907"/>
      <c r="AN73" s="1901">
        <f t="shared" si="38"/>
        <v>0</v>
      </c>
      <c r="AO73" s="1906">
        <f t="shared" ca="1" si="29"/>
        <v>0</v>
      </c>
      <c r="AU73" s="1903">
        <f t="shared" si="39"/>
        <v>0</v>
      </c>
      <c r="AV73" s="1904">
        <f t="shared" si="30"/>
        <v>0</v>
      </c>
      <c r="AW73" s="1904">
        <f t="shared" si="31"/>
        <v>0</v>
      </c>
      <c r="AX73" s="1904"/>
      <c r="AY73" s="1904"/>
      <c r="AZ73" s="1904"/>
      <c r="BA73" s="1904"/>
      <c r="BB73" s="1897">
        <f t="shared" si="32"/>
        <v>0</v>
      </c>
      <c r="BC73" s="1897">
        <f t="shared" si="15"/>
        <v>0</v>
      </c>
      <c r="BD73" s="1898" t="e">
        <f>HLOOKUP($BD$63,anticipaplus,9,0)</f>
        <v>#N/A</v>
      </c>
      <c r="BE73" s="1899"/>
      <c r="BF73" s="1899"/>
      <c r="BG73" s="1360">
        <f t="shared" si="33"/>
        <v>0</v>
      </c>
      <c r="BH73" s="1361">
        <f t="shared" si="42"/>
        <v>8</v>
      </c>
      <c r="BI73" s="1362">
        <f t="shared" si="34"/>
        <v>0</v>
      </c>
      <c r="BJ73" s="1362">
        <f t="shared" si="16"/>
        <v>0</v>
      </c>
      <c r="BK73" s="1362">
        <f t="shared" si="40"/>
        <v>0</v>
      </c>
      <c r="BL73" s="1363">
        <f t="shared" si="17"/>
        <v>1000000</v>
      </c>
      <c r="BM73" s="1899"/>
      <c r="BN73" s="1361">
        <f t="shared" si="43"/>
        <v>8</v>
      </c>
      <c r="BO73" s="1362">
        <f t="shared" si="18"/>
        <v>0</v>
      </c>
      <c r="BP73" s="1362">
        <f t="shared" si="19"/>
        <v>8543.4723045346618</v>
      </c>
      <c r="BQ73" s="1362">
        <f t="shared" si="41"/>
        <v>8543.4723045346618</v>
      </c>
      <c r="BR73" s="1363">
        <f t="shared" si="20"/>
        <v>931652.22156372294</v>
      </c>
      <c r="BT73" s="1414"/>
      <c r="BX73" s="1364"/>
      <c r="BY73" s="1364"/>
      <c r="BZ73" s="1364"/>
      <c r="CA73" s="1364"/>
      <c r="CB73" s="1364"/>
      <c r="CC73" s="1365"/>
      <c r="CD73" s="1365"/>
      <c r="CE73" s="1365"/>
      <c r="CF73" s="1365"/>
      <c r="CG73" s="1365"/>
      <c r="CH73" s="1366"/>
      <c r="CI73" s="1366"/>
      <c r="CJ73" s="1366"/>
      <c r="CK73" s="1366"/>
      <c r="CL73" s="1365"/>
      <c r="CM73" s="1366"/>
      <c r="CN73" s="1366"/>
      <c r="CO73" s="1366"/>
      <c r="CP73" s="1366"/>
      <c r="CQ73" s="1366"/>
      <c r="CR73" s="1366"/>
      <c r="CS73" s="1365"/>
      <c r="CT73" s="1365"/>
      <c r="CU73" s="1365"/>
      <c r="CV73" s="1365"/>
      <c r="CW73" s="1365"/>
      <c r="CX73" s="1365"/>
      <c r="CY73" s="1365"/>
      <c r="CZ73" s="1365"/>
      <c r="DA73" s="1365"/>
      <c r="DB73" s="1365"/>
      <c r="DC73" s="1365"/>
      <c r="DD73" s="1365"/>
      <c r="DE73" s="1365"/>
      <c r="DF73" s="1365"/>
      <c r="DG73" s="1365"/>
      <c r="DH73" s="1365"/>
      <c r="DI73" s="1365"/>
      <c r="DJ73" s="1365"/>
      <c r="DK73" s="1365"/>
      <c r="DL73" s="1365"/>
      <c r="DM73" s="1365"/>
      <c r="DN73" s="1365"/>
      <c r="DO73" s="1365"/>
      <c r="DP73" s="1365"/>
      <c r="DQ73" s="1365"/>
      <c r="DR73" s="1365"/>
      <c r="DS73" s="1365"/>
      <c r="DT73" s="1365"/>
    </row>
    <row r="74" spans="1:124">
      <c r="A74" s="1118">
        <f t="shared" ca="1" si="10"/>
        <v>12</v>
      </c>
      <c r="B74" s="1890">
        <f t="shared" si="21"/>
        <v>0</v>
      </c>
      <c r="C74" s="2160">
        <f t="shared" si="35"/>
        <v>0</v>
      </c>
      <c r="D74" s="2161">
        <f t="shared" si="36"/>
        <v>0</v>
      </c>
      <c r="E74" s="2162">
        <f t="shared" si="22"/>
        <v>0</v>
      </c>
      <c r="F74" s="2162">
        <f t="shared" si="23"/>
        <v>0</v>
      </c>
      <c r="G74" s="2162">
        <f t="shared" si="24"/>
        <v>0</v>
      </c>
      <c r="H74" s="2162">
        <f t="shared" si="37"/>
        <v>0</v>
      </c>
      <c r="I74" s="2162">
        <f t="shared" si="11"/>
        <v>0</v>
      </c>
      <c r="J74" s="2162">
        <f t="shared" si="12"/>
        <v>0</v>
      </c>
      <c r="K74" s="2162">
        <f t="shared" si="13"/>
        <v>0</v>
      </c>
      <c r="L74" s="2162">
        <f t="shared" si="25"/>
        <v>0</v>
      </c>
      <c r="M74" s="2162">
        <f t="shared" si="14"/>
        <v>0</v>
      </c>
      <c r="N74" s="2162">
        <f>IF(N73&lt;0.001,0,+N73-F74-M74-O74+P74)</f>
        <v>0</v>
      </c>
      <c r="O74" s="2163"/>
      <c r="P74" s="1905">
        <f>IF(G16=0,0,IF(C28&lt;&gt;"",0,IF(AND(OR($F$10=$AK$10,$F$10=$AK$11),$BE$2=12),$BF$6,0)))</f>
        <v>0</v>
      </c>
      <c r="Q74" s="1905"/>
      <c r="R74" s="1905"/>
      <c r="S74" s="1905"/>
      <c r="T74" s="1905"/>
      <c r="U74" s="1905"/>
      <c r="V74" s="1905"/>
      <c r="W74" s="1905"/>
      <c r="X74" s="1905"/>
      <c r="Y74" s="1905"/>
      <c r="Z74" s="1905"/>
      <c r="AA74" s="1905"/>
      <c r="AB74" s="1905"/>
      <c r="AC74" s="1905"/>
      <c r="AD74" s="1905"/>
      <c r="AE74" s="1905"/>
      <c r="AF74" s="1905"/>
      <c r="AG74" s="1756"/>
      <c r="AH74" s="1756"/>
      <c r="AI74" s="1756"/>
      <c r="AJ74" s="1989">
        <f t="shared" si="27"/>
        <v>9</v>
      </c>
      <c r="AK74" s="1900">
        <f t="shared" si="28"/>
        <v>0</v>
      </c>
      <c r="AL74" s="1907"/>
      <c r="AM74" s="1907"/>
      <c r="AN74" s="1901">
        <f t="shared" si="38"/>
        <v>0</v>
      </c>
      <c r="AO74" s="1906">
        <f t="shared" ca="1" si="29"/>
        <v>0</v>
      </c>
      <c r="AU74" s="1903">
        <f t="shared" si="39"/>
        <v>0</v>
      </c>
      <c r="AV74" s="1904">
        <f t="shared" si="30"/>
        <v>0</v>
      </c>
      <c r="AW74" s="1904">
        <f t="shared" si="31"/>
        <v>0</v>
      </c>
      <c r="AX74" s="1904"/>
      <c r="AY74" s="1904"/>
      <c r="AZ74" s="1904"/>
      <c r="BA74" s="1904"/>
      <c r="BB74" s="1897">
        <f t="shared" si="32"/>
        <v>0</v>
      </c>
      <c r="BC74" s="1897">
        <f t="shared" si="15"/>
        <v>0</v>
      </c>
      <c r="BD74" s="1898" t="e">
        <f>HLOOKUP($BD$63,anticipaplus,10,0)</f>
        <v>#N/A</v>
      </c>
      <c r="BE74" s="1899"/>
      <c r="BF74" s="1899"/>
      <c r="BG74" s="1360">
        <f t="shared" si="33"/>
        <v>0</v>
      </c>
      <c r="BH74" s="1361">
        <f t="shared" si="42"/>
        <v>9</v>
      </c>
      <c r="BI74" s="1362">
        <f t="shared" si="34"/>
        <v>0</v>
      </c>
      <c r="BJ74" s="1362">
        <f t="shared" si="16"/>
        <v>0</v>
      </c>
      <c r="BK74" s="1362">
        <f t="shared" si="40"/>
        <v>0</v>
      </c>
      <c r="BL74" s="1363">
        <f t="shared" si="17"/>
        <v>1000000</v>
      </c>
      <c r="BM74" s="1899"/>
      <c r="BN74" s="1361">
        <f t="shared" si="43"/>
        <v>9</v>
      </c>
      <c r="BO74" s="1362">
        <f t="shared" si="18"/>
        <v>0</v>
      </c>
      <c r="BP74" s="1362">
        <f t="shared" si="19"/>
        <v>8543.4723045346618</v>
      </c>
      <c r="BQ74" s="1362">
        <f t="shared" si="41"/>
        <v>8543.4723045346618</v>
      </c>
      <c r="BR74" s="1363">
        <f t="shared" si="20"/>
        <v>923108.74925918831</v>
      </c>
      <c r="BT74" s="1414"/>
      <c r="BX74" s="1364"/>
      <c r="BY74" s="1364"/>
      <c r="BZ74" s="1364"/>
      <c r="CA74" s="1364"/>
      <c r="CB74" s="1364"/>
      <c r="CC74" s="1365"/>
      <c r="CD74" s="1365"/>
      <c r="CE74" s="1365"/>
      <c r="CF74" s="1365"/>
      <c r="CG74" s="1365"/>
      <c r="CH74" s="1366"/>
      <c r="CI74" s="1366"/>
      <c r="CJ74" s="1366"/>
      <c r="CK74" s="1366"/>
      <c r="CL74" s="1365"/>
      <c r="CM74" s="1366"/>
      <c r="CN74" s="1366"/>
      <c r="CO74" s="1366"/>
      <c r="CP74" s="1366"/>
      <c r="CQ74" s="1366"/>
      <c r="CR74" s="1366"/>
      <c r="CS74" s="1365"/>
      <c r="CT74" s="1365"/>
      <c r="CU74" s="1365"/>
      <c r="CV74" s="1365"/>
      <c r="CW74" s="1365"/>
      <c r="CX74" s="1365"/>
      <c r="CY74" s="1365"/>
      <c r="CZ74" s="1365"/>
      <c r="DA74" s="1365"/>
      <c r="DB74" s="1365"/>
      <c r="DC74" s="1365"/>
      <c r="DD74" s="1365"/>
      <c r="DE74" s="1365"/>
      <c r="DF74" s="1365"/>
      <c r="DG74" s="1365"/>
      <c r="DH74" s="1365"/>
      <c r="DI74" s="1365"/>
      <c r="DJ74" s="1365"/>
      <c r="DK74" s="1365"/>
      <c r="DL74" s="1365"/>
      <c r="DM74" s="1365"/>
      <c r="DN74" s="1365"/>
      <c r="DO74" s="1365"/>
      <c r="DP74" s="1365"/>
      <c r="DQ74" s="1365"/>
      <c r="DR74" s="1365"/>
      <c r="DS74" s="1365"/>
      <c r="DT74" s="1365"/>
    </row>
    <row r="75" spans="1:124">
      <c r="A75" s="1118">
        <f t="shared" ca="1" si="10"/>
        <v>1</v>
      </c>
      <c r="B75" s="1890">
        <f t="shared" si="21"/>
        <v>0</v>
      </c>
      <c r="C75" s="2160">
        <f t="shared" si="35"/>
        <v>0</v>
      </c>
      <c r="D75" s="2161">
        <f t="shared" si="36"/>
        <v>0</v>
      </c>
      <c r="E75" s="2162">
        <f t="shared" si="22"/>
        <v>0</v>
      </c>
      <c r="F75" s="2162">
        <f t="shared" si="23"/>
        <v>0</v>
      </c>
      <c r="G75" s="2162">
        <f t="shared" si="24"/>
        <v>0</v>
      </c>
      <c r="H75" s="2162">
        <f t="shared" si="37"/>
        <v>0</v>
      </c>
      <c r="I75" s="2162">
        <f t="shared" si="11"/>
        <v>0</v>
      </c>
      <c r="J75" s="2162">
        <f t="shared" si="12"/>
        <v>0</v>
      </c>
      <c r="K75" s="2162">
        <f t="shared" si="13"/>
        <v>0</v>
      </c>
      <c r="L75" s="2162">
        <f t="shared" si="25"/>
        <v>0</v>
      </c>
      <c r="M75" s="2162">
        <f t="shared" si="14"/>
        <v>0</v>
      </c>
      <c r="N75" s="2162">
        <f t="shared" si="26"/>
        <v>0</v>
      </c>
      <c r="O75" s="2163"/>
      <c r="P75" s="1755"/>
      <c r="Q75" s="1908"/>
      <c r="R75" s="1755"/>
      <c r="S75" s="1755"/>
      <c r="T75" s="1755"/>
      <c r="U75" s="1755"/>
      <c r="V75" s="1755"/>
      <c r="W75" s="1755"/>
      <c r="X75" s="1755"/>
      <c r="Y75" s="1755"/>
      <c r="Z75" s="1755"/>
      <c r="AA75" s="1755"/>
      <c r="AB75" s="1755"/>
      <c r="AC75" s="1755"/>
      <c r="AD75" s="1755"/>
      <c r="AE75" s="1755"/>
      <c r="AF75" s="1755"/>
      <c r="AG75" s="1756"/>
      <c r="AH75" s="1756"/>
      <c r="AI75" s="1756"/>
      <c r="AJ75" s="1989">
        <f t="shared" si="27"/>
        <v>10</v>
      </c>
      <c r="AK75" s="1900">
        <f t="shared" si="28"/>
        <v>0</v>
      </c>
      <c r="AL75" s="1907"/>
      <c r="AM75" s="1907"/>
      <c r="AN75" s="1901">
        <f t="shared" si="38"/>
        <v>0</v>
      </c>
      <c r="AO75" s="1906">
        <f t="shared" ca="1" si="29"/>
        <v>0</v>
      </c>
      <c r="AU75" s="1903">
        <f t="shared" si="39"/>
        <v>0</v>
      </c>
      <c r="AV75" s="1904">
        <f t="shared" si="30"/>
        <v>0</v>
      </c>
      <c r="AW75" s="1904">
        <f t="shared" si="31"/>
        <v>0</v>
      </c>
      <c r="AX75" s="1904"/>
      <c r="AY75" s="1904"/>
      <c r="AZ75" s="1904"/>
      <c r="BA75" s="1904"/>
      <c r="BB75" s="1897">
        <f t="shared" si="32"/>
        <v>0</v>
      </c>
      <c r="BC75" s="1897">
        <f t="shared" si="15"/>
        <v>0</v>
      </c>
      <c r="BD75" s="1898" t="e">
        <f>HLOOKUP($BD$63,anticipaplus,11,0)</f>
        <v>#N/A</v>
      </c>
      <c r="BE75" s="1899"/>
      <c r="BF75" s="1899"/>
      <c r="BG75" s="1360">
        <f t="shared" si="33"/>
        <v>0</v>
      </c>
      <c r="BH75" s="1361">
        <f t="shared" si="42"/>
        <v>10</v>
      </c>
      <c r="BI75" s="1362">
        <f t="shared" si="34"/>
        <v>0</v>
      </c>
      <c r="BJ75" s="1362">
        <f t="shared" si="16"/>
        <v>0</v>
      </c>
      <c r="BK75" s="1362">
        <f t="shared" si="40"/>
        <v>0</v>
      </c>
      <c r="BL75" s="1363">
        <f t="shared" si="17"/>
        <v>1000000</v>
      </c>
      <c r="BM75" s="1899"/>
      <c r="BN75" s="1361">
        <f t="shared" si="43"/>
        <v>10</v>
      </c>
      <c r="BO75" s="1362">
        <f t="shared" si="18"/>
        <v>0</v>
      </c>
      <c r="BP75" s="1362">
        <f t="shared" si="19"/>
        <v>8543.4723045346618</v>
      </c>
      <c r="BQ75" s="1362">
        <f t="shared" si="41"/>
        <v>8543.4723045346618</v>
      </c>
      <c r="BR75" s="1363">
        <f t="shared" si="20"/>
        <v>914565.27695465367</v>
      </c>
      <c r="BT75" s="1414"/>
      <c r="BX75" s="1364"/>
      <c r="BY75" s="1364"/>
      <c r="BZ75" s="1364"/>
      <c r="CA75" s="1364"/>
      <c r="CB75" s="1364"/>
      <c r="CC75" s="1365"/>
      <c r="CD75" s="1365"/>
      <c r="CE75" s="1365"/>
      <c r="CF75" s="1365"/>
      <c r="CG75" s="1365"/>
      <c r="CH75" s="1366"/>
      <c r="CI75" s="1366"/>
      <c r="CJ75" s="1366"/>
      <c r="CK75" s="1366"/>
      <c r="CL75" s="1365"/>
      <c r="CM75" s="1366"/>
      <c r="CN75" s="1366"/>
      <c r="CO75" s="1366"/>
      <c r="CP75" s="1366"/>
      <c r="CQ75" s="1366"/>
      <c r="CR75" s="1366"/>
      <c r="CS75" s="1365"/>
      <c r="CT75" s="1365"/>
      <c r="CU75" s="1365"/>
      <c r="CV75" s="1365"/>
      <c r="CW75" s="1365"/>
      <c r="CX75" s="1365"/>
      <c r="CY75" s="1365"/>
      <c r="CZ75" s="1365"/>
      <c r="DA75" s="1365"/>
      <c r="DB75" s="1365"/>
      <c r="DC75" s="1365"/>
      <c r="DD75" s="1365"/>
      <c r="DE75" s="1365"/>
      <c r="DF75" s="1365"/>
      <c r="DG75" s="1365"/>
      <c r="DH75" s="1365"/>
      <c r="DI75" s="1365"/>
      <c r="DJ75" s="1365"/>
      <c r="DK75" s="1365"/>
      <c r="DL75" s="1365"/>
      <c r="DM75" s="1365"/>
      <c r="DN75" s="1365"/>
      <c r="DO75" s="1365"/>
      <c r="DP75" s="1365"/>
      <c r="DQ75" s="1365"/>
      <c r="DR75" s="1365"/>
      <c r="DS75" s="1365"/>
      <c r="DT75" s="1365"/>
    </row>
    <row r="76" spans="1:124">
      <c r="A76" s="1118">
        <f t="shared" ca="1" si="10"/>
        <v>2</v>
      </c>
      <c r="B76" s="1890">
        <f t="shared" si="21"/>
        <v>0</v>
      </c>
      <c r="C76" s="2160">
        <f t="shared" si="35"/>
        <v>0</v>
      </c>
      <c r="D76" s="2161">
        <f t="shared" si="36"/>
        <v>0</v>
      </c>
      <c r="E76" s="2162">
        <f t="shared" si="22"/>
        <v>0</v>
      </c>
      <c r="F76" s="2162">
        <f t="shared" si="23"/>
        <v>0</v>
      </c>
      <c r="G76" s="2162">
        <f t="shared" si="24"/>
        <v>0</v>
      </c>
      <c r="H76" s="2162">
        <f t="shared" si="37"/>
        <v>0</v>
      </c>
      <c r="I76" s="2162">
        <f t="shared" si="11"/>
        <v>0</v>
      </c>
      <c r="J76" s="2162">
        <f t="shared" si="12"/>
        <v>0</v>
      </c>
      <c r="K76" s="2162">
        <f t="shared" si="13"/>
        <v>0</v>
      </c>
      <c r="L76" s="2162">
        <f t="shared" si="25"/>
        <v>0</v>
      </c>
      <c r="M76" s="2162">
        <f t="shared" si="14"/>
        <v>0</v>
      </c>
      <c r="N76" s="2162">
        <f t="shared" si="26"/>
        <v>0</v>
      </c>
      <c r="O76" s="2163"/>
      <c r="P76" s="1755"/>
      <c r="Q76" s="1908"/>
      <c r="R76" s="1755"/>
      <c r="S76" s="1755"/>
      <c r="T76" s="1755"/>
      <c r="U76" s="1755"/>
      <c r="V76" s="1755"/>
      <c r="W76" s="1755"/>
      <c r="X76" s="1755"/>
      <c r="Y76" s="1755"/>
      <c r="Z76" s="1755"/>
      <c r="AA76" s="1755"/>
      <c r="AB76" s="1755"/>
      <c r="AC76" s="1755"/>
      <c r="AD76" s="1755"/>
      <c r="AE76" s="1755"/>
      <c r="AF76" s="1755"/>
      <c r="AG76" s="1756"/>
      <c r="AH76" s="1756"/>
      <c r="AI76" s="1756"/>
      <c r="AJ76" s="1989">
        <f t="shared" si="27"/>
        <v>11</v>
      </c>
      <c r="AK76" s="1900">
        <f t="shared" si="28"/>
        <v>0</v>
      </c>
      <c r="AL76" s="1907"/>
      <c r="AM76" s="1907"/>
      <c r="AN76" s="1901">
        <f t="shared" si="38"/>
        <v>0</v>
      </c>
      <c r="AO76" s="1906">
        <f t="shared" ca="1" si="29"/>
        <v>0</v>
      </c>
      <c r="AT76" s="1909"/>
      <c r="AU76" s="1903">
        <f t="shared" si="39"/>
        <v>0</v>
      </c>
      <c r="AV76" s="1904">
        <f t="shared" si="30"/>
        <v>0</v>
      </c>
      <c r="AW76" s="1904">
        <f t="shared" si="31"/>
        <v>0</v>
      </c>
      <c r="AX76" s="1904"/>
      <c r="AY76" s="1904"/>
      <c r="AZ76" s="1904"/>
      <c r="BA76" s="1904"/>
      <c r="BB76" s="1897">
        <f t="shared" si="32"/>
        <v>0</v>
      </c>
      <c r="BC76" s="1897">
        <f t="shared" si="15"/>
        <v>0</v>
      </c>
      <c r="BD76" s="1898" t="e">
        <f>HLOOKUP($BD$63,anticipaplus,12,0)</f>
        <v>#N/A</v>
      </c>
      <c r="BE76" s="1899"/>
      <c r="BF76" s="1899"/>
      <c r="BG76" s="1360">
        <f t="shared" si="33"/>
        <v>0</v>
      </c>
      <c r="BH76" s="1361">
        <f t="shared" si="42"/>
        <v>11</v>
      </c>
      <c r="BI76" s="1362">
        <f t="shared" si="34"/>
        <v>0</v>
      </c>
      <c r="BJ76" s="1362">
        <f t="shared" si="16"/>
        <v>0</v>
      </c>
      <c r="BK76" s="1362">
        <f t="shared" si="40"/>
        <v>0</v>
      </c>
      <c r="BL76" s="1363">
        <f t="shared" si="17"/>
        <v>1000000</v>
      </c>
      <c r="BM76" s="1899"/>
      <c r="BN76" s="1361">
        <f t="shared" si="43"/>
        <v>11</v>
      </c>
      <c r="BO76" s="1362">
        <f t="shared" si="18"/>
        <v>0</v>
      </c>
      <c r="BP76" s="1362">
        <f t="shared" si="19"/>
        <v>8543.4723045346618</v>
      </c>
      <c r="BQ76" s="1362">
        <f t="shared" si="41"/>
        <v>8543.4723045346618</v>
      </c>
      <c r="BR76" s="1363">
        <f t="shared" si="20"/>
        <v>906021.80465011904</v>
      </c>
      <c r="BT76" s="1414"/>
      <c r="BX76" s="1364"/>
      <c r="BY76" s="1364"/>
      <c r="BZ76" s="1364"/>
      <c r="CA76" s="1364"/>
      <c r="CB76" s="1364"/>
      <c r="CC76" s="1365"/>
      <c r="CD76" s="1365"/>
      <c r="CE76" s="1365"/>
      <c r="CF76" s="1365"/>
      <c r="CG76" s="1365"/>
      <c r="CH76" s="1366"/>
      <c r="CI76" s="1366"/>
      <c r="CJ76" s="1366"/>
      <c r="CK76" s="1366"/>
      <c r="CL76" s="1365"/>
      <c r="CM76" s="1366"/>
      <c r="CN76" s="1366"/>
      <c r="CO76" s="1366"/>
      <c r="CP76" s="1366"/>
      <c r="CQ76" s="1366"/>
      <c r="CR76" s="1366"/>
      <c r="CS76" s="1365"/>
      <c r="CT76" s="1365"/>
      <c r="CU76" s="1365"/>
      <c r="CV76" s="1365"/>
      <c r="CW76" s="1365"/>
      <c r="CX76" s="1365"/>
      <c r="CY76" s="1365"/>
      <c r="CZ76" s="1365"/>
      <c r="DA76" s="1365"/>
      <c r="DB76" s="1365"/>
      <c r="DC76" s="1365"/>
      <c r="DD76" s="1365"/>
      <c r="DE76" s="1365"/>
      <c r="DF76" s="1365"/>
      <c r="DG76" s="1365"/>
      <c r="DH76" s="1365"/>
      <c r="DI76" s="1365"/>
      <c r="DJ76" s="1365"/>
      <c r="DK76" s="1365"/>
      <c r="DL76" s="1365"/>
      <c r="DM76" s="1365"/>
      <c r="DN76" s="1365"/>
      <c r="DO76" s="1365"/>
      <c r="DP76" s="1365"/>
      <c r="DQ76" s="1365"/>
      <c r="DR76" s="1365"/>
      <c r="DS76" s="1365"/>
      <c r="DT76" s="1365"/>
    </row>
    <row r="77" spans="1:124">
      <c r="A77" s="1118">
        <f t="shared" ca="1" si="10"/>
        <v>3</v>
      </c>
      <c r="B77" s="1890">
        <f t="shared" si="21"/>
        <v>0</v>
      </c>
      <c r="C77" s="2160">
        <f t="shared" si="35"/>
        <v>0</v>
      </c>
      <c r="D77" s="2161">
        <f t="shared" si="36"/>
        <v>0</v>
      </c>
      <c r="E77" s="2162">
        <f t="shared" si="22"/>
        <v>0</v>
      </c>
      <c r="F77" s="2162">
        <f t="shared" si="23"/>
        <v>0</v>
      </c>
      <c r="G77" s="2162">
        <f t="shared" si="24"/>
        <v>0</v>
      </c>
      <c r="H77" s="2162">
        <f t="shared" si="37"/>
        <v>0</v>
      </c>
      <c r="I77" s="2162">
        <f t="shared" si="11"/>
        <v>0</v>
      </c>
      <c r="J77" s="2162">
        <f t="shared" si="12"/>
        <v>0</v>
      </c>
      <c r="K77" s="2162">
        <f t="shared" si="13"/>
        <v>0</v>
      </c>
      <c r="L77" s="2162">
        <f t="shared" si="25"/>
        <v>0</v>
      </c>
      <c r="M77" s="2162">
        <f t="shared" si="14"/>
        <v>0</v>
      </c>
      <c r="N77" s="2162">
        <f>IF(N76&lt;0.001,0,+N76-F77-M77-O77)+P77</f>
        <v>0</v>
      </c>
      <c r="O77" s="2163"/>
      <c r="P77" s="1905">
        <f>IF(G16=0,0,IF(C28&lt;&gt;"",0,IF(AND(OR($F$10=$AK$10,$F$10=$AK$11),$BE$2=18),$BF$6,0)))</f>
        <v>0</v>
      </c>
      <c r="Q77" s="1905"/>
      <c r="R77" s="1905"/>
      <c r="S77" s="1905"/>
      <c r="T77" s="1905"/>
      <c r="U77" s="1905"/>
      <c r="V77" s="1905"/>
      <c r="W77" s="1905"/>
      <c r="X77" s="1905"/>
      <c r="Y77" s="1905"/>
      <c r="Z77" s="1905"/>
      <c r="AA77" s="1905"/>
      <c r="AB77" s="1905"/>
      <c r="AC77" s="1905"/>
      <c r="AD77" s="1905"/>
      <c r="AE77" s="1905"/>
      <c r="AF77" s="1905"/>
      <c r="AG77" s="1756"/>
      <c r="AH77" s="1756"/>
      <c r="AI77" s="1756"/>
      <c r="AJ77" s="1989">
        <f t="shared" si="27"/>
        <v>12</v>
      </c>
      <c r="AK77" s="1900">
        <f t="shared" si="28"/>
        <v>0</v>
      </c>
      <c r="AL77" s="1107" t="s">
        <v>465</v>
      </c>
      <c r="AN77" s="1901">
        <f t="shared" si="38"/>
        <v>0</v>
      </c>
      <c r="AO77" s="1906">
        <f t="shared" ca="1" si="29"/>
        <v>0</v>
      </c>
      <c r="AU77" s="1903">
        <f t="shared" si="39"/>
        <v>0</v>
      </c>
      <c r="AV77" s="1904">
        <f t="shared" si="30"/>
        <v>0</v>
      </c>
      <c r="AW77" s="1904">
        <f t="shared" si="31"/>
        <v>0</v>
      </c>
      <c r="AX77" s="1904"/>
      <c r="AY77" s="1904"/>
      <c r="AZ77" s="1904"/>
      <c r="BA77" s="1904"/>
      <c r="BB77" s="1897">
        <f t="shared" si="32"/>
        <v>0</v>
      </c>
      <c r="BC77" s="1897">
        <f t="shared" si="15"/>
        <v>0</v>
      </c>
      <c r="BD77" s="1898" t="e">
        <f>HLOOKUP($BD$63,anticipaplus,13,0)</f>
        <v>#N/A</v>
      </c>
      <c r="BE77" s="1899"/>
      <c r="BF77" s="1899"/>
      <c r="BG77" s="1360">
        <f t="shared" si="33"/>
        <v>0</v>
      </c>
      <c r="BH77" s="1361">
        <f t="shared" si="42"/>
        <v>12</v>
      </c>
      <c r="BI77" s="1362">
        <f t="shared" si="34"/>
        <v>0</v>
      </c>
      <c r="BJ77" s="1362">
        <f t="shared" si="16"/>
        <v>0</v>
      </c>
      <c r="BK77" s="1362">
        <f t="shared" si="40"/>
        <v>0</v>
      </c>
      <c r="BL77" s="1363">
        <f t="shared" si="17"/>
        <v>1000000</v>
      </c>
      <c r="BM77" s="1899"/>
      <c r="BN77" s="1361">
        <f t="shared" si="43"/>
        <v>12</v>
      </c>
      <c r="BO77" s="1362">
        <f t="shared" si="18"/>
        <v>0</v>
      </c>
      <c r="BP77" s="1362">
        <f t="shared" si="19"/>
        <v>8543.4723045346618</v>
      </c>
      <c r="BQ77" s="1362">
        <f t="shared" si="41"/>
        <v>8543.4723045346618</v>
      </c>
      <c r="BR77" s="1363">
        <f t="shared" si="20"/>
        <v>897478.33234558441</v>
      </c>
      <c r="BT77" s="1414"/>
      <c r="BX77" s="1364"/>
      <c r="BY77" s="1364"/>
      <c r="BZ77" s="1364"/>
      <c r="CA77" s="1364"/>
      <c r="CB77" s="1364"/>
      <c r="CC77" s="1365"/>
      <c r="CD77" s="1365"/>
      <c r="CE77" s="1365"/>
      <c r="CF77" s="1365"/>
      <c r="CG77" s="1365"/>
      <c r="CH77" s="1366"/>
      <c r="CI77" s="1366"/>
      <c r="CJ77" s="1366"/>
      <c r="CK77" s="1366"/>
      <c r="CL77" s="1365"/>
      <c r="CM77" s="1366"/>
      <c r="CN77" s="1366"/>
      <c r="CO77" s="1366"/>
      <c r="CP77" s="1366"/>
      <c r="CQ77" s="1366"/>
      <c r="CR77" s="1366"/>
      <c r="CS77" s="1365"/>
      <c r="CT77" s="1365"/>
      <c r="CU77" s="1365"/>
      <c r="CV77" s="1365"/>
      <c r="CW77" s="1365"/>
      <c r="CX77" s="1365"/>
      <c r="CY77" s="1365"/>
      <c r="CZ77" s="1365"/>
      <c r="DA77" s="1365"/>
      <c r="DB77" s="1365"/>
      <c r="DC77" s="1365"/>
      <c r="DD77" s="1365"/>
      <c r="DE77" s="1365"/>
      <c r="DF77" s="1365"/>
      <c r="DG77" s="1365"/>
      <c r="DH77" s="1365"/>
      <c r="DI77" s="1365"/>
      <c r="DJ77" s="1365"/>
      <c r="DK77" s="1365"/>
      <c r="DL77" s="1365"/>
      <c r="DM77" s="1365"/>
      <c r="DN77" s="1365"/>
      <c r="DO77" s="1365"/>
      <c r="DP77" s="1365"/>
      <c r="DQ77" s="1365"/>
      <c r="DR77" s="1365"/>
      <c r="DS77" s="1365"/>
      <c r="DT77" s="1365"/>
    </row>
    <row r="78" spans="1:124">
      <c r="A78" s="1118">
        <f t="shared" ca="1" si="10"/>
        <v>4</v>
      </c>
      <c r="B78" s="1890">
        <f t="shared" si="21"/>
        <v>0</v>
      </c>
      <c r="C78" s="2160">
        <f t="shared" si="35"/>
        <v>0</v>
      </c>
      <c r="D78" s="2161">
        <f t="shared" si="36"/>
        <v>0</v>
      </c>
      <c r="E78" s="2162">
        <f t="shared" si="22"/>
        <v>0</v>
      </c>
      <c r="F78" s="2162">
        <f t="shared" ref="F78:F83" si="44">IF(N77&lt;0.01,0,MIN(N77,IF(AND(OR($F$10=$AK$10,$F$10=$AK$11),$BE$2=18),0,G78-E78)))</f>
        <v>0</v>
      </c>
      <c r="G78" s="2162">
        <f>IF(N77&lt;0.01,0,MIN(N77+E78,IF(AU78&gt;0,AU78,IF(AND(OR($F$10=$AK$10,$F$10=$AK$11),$BE$2=12),AL78,G77*(1+AK78)))))</f>
        <v>0</v>
      </c>
      <c r="H78" s="2162">
        <f t="shared" si="37"/>
        <v>0</v>
      </c>
      <c r="I78" s="2162">
        <f t="shared" ref="I78:I141" si="45">IF(N77&lt;0.01,0,IF($F$24=$AO$3,0,IF(OR($F$10=$AK$7,$F$10=$AK$13),0,$G$13*$AR$2)))</f>
        <v>0</v>
      </c>
      <c r="J78" s="2162">
        <f t="shared" si="12"/>
        <v>0</v>
      </c>
      <c r="K78" s="2162">
        <f t="shared" si="13"/>
        <v>0</v>
      </c>
      <c r="L78" s="2162">
        <f t="shared" si="25"/>
        <v>0</v>
      </c>
      <c r="M78" s="2162">
        <f t="shared" si="14"/>
        <v>0</v>
      </c>
      <c r="N78" s="2162">
        <f t="shared" si="26"/>
        <v>0</v>
      </c>
      <c r="O78" s="2163"/>
      <c r="AG78" s="1756"/>
      <c r="AH78" s="1756"/>
      <c r="AI78" s="1756"/>
      <c r="AJ78" s="1989">
        <f t="shared" si="27"/>
        <v>1</v>
      </c>
      <c r="AK78" s="1900">
        <f t="shared" si="28"/>
        <v>0</v>
      </c>
      <c r="AL78" s="1910">
        <f>IF(AND(OR(F10=AK10,F10=AK11),BE2=12),PMT(((D77/360)*(365/12)),G15-12,-N77),0)</f>
        <v>0</v>
      </c>
      <c r="AM78" s="1911"/>
      <c r="AN78" s="1901">
        <f t="shared" si="38"/>
        <v>0</v>
      </c>
      <c r="AO78" s="1906">
        <f t="shared" ca="1" si="29"/>
        <v>0</v>
      </c>
      <c r="AU78" s="1903">
        <f t="shared" si="39"/>
        <v>0</v>
      </c>
      <c r="AV78" s="1904">
        <f t="shared" si="30"/>
        <v>0</v>
      </c>
      <c r="AW78" s="1904">
        <f t="shared" si="31"/>
        <v>0</v>
      </c>
      <c r="AX78" s="1904"/>
      <c r="AY78" s="1904"/>
      <c r="AZ78" s="1904"/>
      <c r="BA78" s="1904"/>
      <c r="BB78" s="1897">
        <f t="shared" si="32"/>
        <v>0</v>
      </c>
      <c r="BC78" s="1897">
        <f t="shared" si="15"/>
        <v>0</v>
      </c>
      <c r="BD78" s="1898" t="e">
        <f>HLOOKUP($BD$63,anticipaplus,14,0)</f>
        <v>#N/A</v>
      </c>
      <c r="BE78" s="1899"/>
      <c r="BF78" s="1899"/>
      <c r="BG78" s="1360">
        <f t="shared" si="33"/>
        <v>0</v>
      </c>
      <c r="BH78" s="1377">
        <f t="shared" si="42"/>
        <v>13</v>
      </c>
      <c r="BI78" s="1378">
        <f t="shared" si="34"/>
        <v>0</v>
      </c>
      <c r="BJ78" s="1378">
        <f t="shared" si="16"/>
        <v>0</v>
      </c>
      <c r="BK78" s="1378">
        <f>MIN(BL77+BI78,BK77*(1+$BI$61))</f>
        <v>0</v>
      </c>
      <c r="BL78" s="1363">
        <f t="shared" si="17"/>
        <v>1000000</v>
      </c>
      <c r="BM78" s="1899"/>
      <c r="BN78" s="1379">
        <f t="shared" si="43"/>
        <v>13</v>
      </c>
      <c r="BO78" s="1380">
        <f t="shared" si="18"/>
        <v>0</v>
      </c>
      <c r="BP78" s="1380">
        <f t="shared" si="19"/>
        <v>8543.4723045346618</v>
      </c>
      <c r="BQ78" s="1380">
        <f>MIN(BR77+BO78,BQ77*(1+$BO$61))</f>
        <v>8543.4723045346618</v>
      </c>
      <c r="BR78" s="1363">
        <f t="shared" si="20"/>
        <v>888934.86004104977</v>
      </c>
      <c r="BT78" s="1414"/>
      <c r="BX78" s="1364"/>
      <c r="BY78" s="1364"/>
      <c r="BZ78" s="1364"/>
      <c r="CA78" s="1364"/>
      <c r="CB78" s="1364"/>
      <c r="CC78" s="1365"/>
      <c r="CD78" s="1365"/>
      <c r="CE78" s="1365"/>
      <c r="CF78" s="1365"/>
      <c r="CG78" s="1365"/>
      <c r="CH78" s="1366"/>
      <c r="CI78" s="1366"/>
      <c r="CJ78" s="1366"/>
      <c r="CK78" s="1366"/>
      <c r="CL78" s="1365"/>
      <c r="CM78" s="1366"/>
      <c r="CN78" s="1366"/>
      <c r="CO78" s="1366"/>
      <c r="CP78" s="1366"/>
      <c r="CQ78" s="1366"/>
      <c r="CR78" s="1366"/>
      <c r="CS78" s="1365"/>
      <c r="CT78" s="1365"/>
      <c r="CU78" s="1365"/>
      <c r="CV78" s="1365"/>
      <c r="CW78" s="1365"/>
      <c r="CX78" s="1365"/>
      <c r="CY78" s="1365"/>
      <c r="CZ78" s="1365"/>
      <c r="DA78" s="1365"/>
      <c r="DB78" s="1365"/>
      <c r="DC78" s="1365"/>
      <c r="DD78" s="1365"/>
      <c r="DE78" s="1365"/>
      <c r="DF78" s="1365"/>
      <c r="DG78" s="1365"/>
      <c r="DH78" s="1365"/>
      <c r="DI78" s="1365"/>
      <c r="DJ78" s="1365"/>
      <c r="DK78" s="1365"/>
      <c r="DL78" s="1365"/>
      <c r="DM78" s="1365"/>
      <c r="DN78" s="1365"/>
      <c r="DO78" s="1365"/>
      <c r="DP78" s="1365"/>
      <c r="DQ78" s="1365"/>
      <c r="DR78" s="1365"/>
      <c r="DS78" s="1365"/>
      <c r="DT78" s="1365"/>
    </row>
    <row r="79" spans="1:124">
      <c r="A79" s="1118">
        <f t="shared" ca="1" si="10"/>
        <v>5</v>
      </c>
      <c r="B79" s="1890">
        <f t="shared" si="21"/>
        <v>0</v>
      </c>
      <c r="C79" s="2160">
        <f t="shared" si="35"/>
        <v>0</v>
      </c>
      <c r="D79" s="2161">
        <f t="shared" si="36"/>
        <v>0</v>
      </c>
      <c r="E79" s="2162">
        <f t="shared" si="22"/>
        <v>0</v>
      </c>
      <c r="F79" s="2162">
        <f t="shared" si="44"/>
        <v>0</v>
      </c>
      <c r="G79" s="2162">
        <f>IF(N78&lt;0.01,0,MIN(N78+E79,IF(AU79&gt;0,AU79,G78*(1+AK79))))</f>
        <v>0</v>
      </c>
      <c r="H79" s="2162">
        <f t="shared" si="37"/>
        <v>0</v>
      </c>
      <c r="I79" s="2162">
        <f t="shared" si="45"/>
        <v>0</v>
      </c>
      <c r="J79" s="2162">
        <f t="shared" si="12"/>
        <v>0</v>
      </c>
      <c r="K79" s="2162">
        <f t="shared" si="13"/>
        <v>0</v>
      </c>
      <c r="L79" s="2162">
        <f t="shared" si="25"/>
        <v>0</v>
      </c>
      <c r="M79" s="2162">
        <f t="shared" si="14"/>
        <v>0</v>
      </c>
      <c r="N79" s="2162">
        <f t="shared" si="26"/>
        <v>0</v>
      </c>
      <c r="O79" s="2163"/>
      <c r="AG79" s="1756"/>
      <c r="AH79" s="1756"/>
      <c r="AI79" s="1756"/>
      <c r="AJ79" s="1989">
        <f t="shared" si="27"/>
        <v>2</v>
      </c>
      <c r="AK79" s="1900">
        <f t="shared" si="28"/>
        <v>0</v>
      </c>
      <c r="AL79" s="1907"/>
      <c r="AM79" s="1907"/>
      <c r="AN79" s="1901">
        <f t="shared" si="38"/>
        <v>0</v>
      </c>
      <c r="AO79" s="1906">
        <f t="shared" ca="1" si="29"/>
        <v>0</v>
      </c>
      <c r="AU79" s="1903">
        <f t="shared" si="39"/>
        <v>0</v>
      </c>
      <c r="AV79" s="1904">
        <f t="shared" si="30"/>
        <v>0</v>
      </c>
      <c r="AW79" s="1904">
        <f t="shared" si="31"/>
        <v>0</v>
      </c>
      <c r="AX79" s="1904"/>
      <c r="AY79" s="1904"/>
      <c r="AZ79" s="1904"/>
      <c r="BA79" s="1904"/>
      <c r="BB79" s="1897">
        <f t="shared" si="32"/>
        <v>0</v>
      </c>
      <c r="BC79" s="1897">
        <f t="shared" si="15"/>
        <v>0</v>
      </c>
      <c r="BD79" s="1898" t="e">
        <f>HLOOKUP($BD$63,anticipaplus,15,0)</f>
        <v>#N/A</v>
      </c>
      <c r="BE79" s="1899"/>
      <c r="BF79" s="1899"/>
      <c r="BG79" s="1360">
        <f t="shared" si="33"/>
        <v>0</v>
      </c>
      <c r="BH79" s="1361">
        <f t="shared" si="42"/>
        <v>14</v>
      </c>
      <c r="BI79" s="1362">
        <f t="shared" si="34"/>
        <v>0</v>
      </c>
      <c r="BJ79" s="1362">
        <f t="shared" si="16"/>
        <v>0</v>
      </c>
      <c r="BK79" s="1362">
        <f t="shared" si="40"/>
        <v>0</v>
      </c>
      <c r="BL79" s="1363">
        <f t="shared" si="17"/>
        <v>1000000</v>
      </c>
      <c r="BM79" s="1899"/>
      <c r="BN79" s="1361">
        <f t="shared" si="43"/>
        <v>14</v>
      </c>
      <c r="BO79" s="1362">
        <f t="shared" si="18"/>
        <v>0</v>
      </c>
      <c r="BP79" s="1362">
        <f t="shared" si="19"/>
        <v>8543.4723045346618</v>
      </c>
      <c r="BQ79" s="1362">
        <f t="shared" ref="BQ79:BQ89" si="46">MIN(BR78+BO79,BQ78)</f>
        <v>8543.4723045346618</v>
      </c>
      <c r="BR79" s="1363">
        <f t="shared" si="20"/>
        <v>880391.38773651514</v>
      </c>
      <c r="BT79" s="1414"/>
      <c r="BX79" s="1364"/>
      <c r="BY79" s="1364"/>
      <c r="BZ79" s="1364"/>
      <c r="CA79" s="1364"/>
      <c r="CB79" s="1364"/>
      <c r="CC79" s="1365"/>
      <c r="CD79" s="1365"/>
      <c r="CE79" s="1365"/>
      <c r="CF79" s="1365"/>
      <c r="CG79" s="1365"/>
      <c r="CH79" s="1366"/>
      <c r="CI79" s="1366"/>
      <c r="CJ79" s="1366"/>
      <c r="CK79" s="1366"/>
      <c r="CL79" s="1365"/>
      <c r="CM79" s="1366"/>
      <c r="CN79" s="1366"/>
      <c r="CO79" s="1366"/>
      <c r="CP79" s="1366"/>
      <c r="CQ79" s="1366"/>
      <c r="CR79" s="1366"/>
      <c r="CS79" s="1365"/>
      <c r="CT79" s="1365"/>
      <c r="CU79" s="1365"/>
      <c r="CV79" s="1365"/>
      <c r="CW79" s="1365"/>
      <c r="CX79" s="1365"/>
      <c r="CY79" s="1365"/>
      <c r="CZ79" s="1365"/>
      <c r="DA79" s="1365"/>
      <c r="DB79" s="1365"/>
      <c r="DC79" s="1365"/>
      <c r="DD79" s="1365"/>
      <c r="DE79" s="1365"/>
      <c r="DF79" s="1365"/>
      <c r="DG79" s="1365"/>
      <c r="DH79" s="1365"/>
      <c r="DI79" s="1365"/>
      <c r="DJ79" s="1365"/>
      <c r="DK79" s="1365"/>
      <c r="DL79" s="1365"/>
      <c r="DM79" s="1365"/>
      <c r="DN79" s="1365"/>
      <c r="DO79" s="1365"/>
      <c r="DP79" s="1365"/>
      <c r="DQ79" s="1365"/>
      <c r="DR79" s="1365"/>
      <c r="DS79" s="1365"/>
      <c r="DT79" s="1365"/>
    </row>
    <row r="80" spans="1:124">
      <c r="A80" s="1118">
        <f t="shared" ca="1" si="10"/>
        <v>6</v>
      </c>
      <c r="B80" s="1890">
        <f t="shared" si="21"/>
        <v>0</v>
      </c>
      <c r="C80" s="2160">
        <f t="shared" si="35"/>
        <v>0</v>
      </c>
      <c r="D80" s="2161">
        <f t="shared" si="36"/>
        <v>0</v>
      </c>
      <c r="E80" s="2162">
        <f t="shared" si="22"/>
        <v>0</v>
      </c>
      <c r="F80" s="2162">
        <f t="shared" si="44"/>
        <v>0</v>
      </c>
      <c r="G80" s="2162">
        <f>IF(N79&lt;0.01,0,MIN(N79+E80,IF(AU80&gt;0,AU80,G79*(1+AK80))))</f>
        <v>0</v>
      </c>
      <c r="H80" s="2162">
        <f t="shared" si="37"/>
        <v>0</v>
      </c>
      <c r="I80" s="2162">
        <f t="shared" si="45"/>
        <v>0</v>
      </c>
      <c r="J80" s="2162">
        <f t="shared" si="12"/>
        <v>0</v>
      </c>
      <c r="K80" s="2162">
        <f t="shared" si="13"/>
        <v>0</v>
      </c>
      <c r="L80" s="2162">
        <f t="shared" si="25"/>
        <v>0</v>
      </c>
      <c r="M80" s="2162">
        <f t="shared" si="14"/>
        <v>0</v>
      </c>
      <c r="N80" s="2162">
        <f t="shared" si="26"/>
        <v>0</v>
      </c>
      <c r="O80" s="2163"/>
      <c r="AG80" s="1756"/>
      <c r="AH80" s="1756"/>
      <c r="AI80" s="1756"/>
      <c r="AJ80" s="1989">
        <f t="shared" si="27"/>
        <v>3</v>
      </c>
      <c r="AK80" s="1900">
        <f t="shared" si="28"/>
        <v>0</v>
      </c>
      <c r="AL80" s="1907"/>
      <c r="AM80" s="1907"/>
      <c r="AN80" s="1901">
        <f t="shared" si="38"/>
        <v>0</v>
      </c>
      <c r="AO80" s="1906">
        <f t="shared" ca="1" si="29"/>
        <v>0</v>
      </c>
      <c r="AU80" s="1912">
        <f t="shared" si="39"/>
        <v>0</v>
      </c>
      <c r="AV80" s="1904">
        <f t="shared" si="30"/>
        <v>0</v>
      </c>
      <c r="AW80" s="1904">
        <f t="shared" si="31"/>
        <v>0</v>
      </c>
      <c r="AX80" s="1904"/>
      <c r="AY80" s="1904"/>
      <c r="AZ80" s="1904"/>
      <c r="BA80" s="1904"/>
      <c r="BB80" s="1897">
        <f t="shared" si="32"/>
        <v>0</v>
      </c>
      <c r="BC80" s="1897">
        <f t="shared" si="15"/>
        <v>0</v>
      </c>
      <c r="BD80" s="1898" t="e">
        <f>HLOOKUP($BD$63,anticipaplus,16,0)</f>
        <v>#N/A</v>
      </c>
      <c r="BE80" s="1899"/>
      <c r="BF80" s="1899"/>
      <c r="BG80" s="1360">
        <f t="shared" si="33"/>
        <v>0</v>
      </c>
      <c r="BH80" s="1361">
        <f t="shared" si="42"/>
        <v>15</v>
      </c>
      <c r="BI80" s="1362">
        <f t="shared" si="34"/>
        <v>0</v>
      </c>
      <c r="BJ80" s="1362">
        <f t="shared" si="16"/>
        <v>0</v>
      </c>
      <c r="BK80" s="1362">
        <f t="shared" si="40"/>
        <v>0</v>
      </c>
      <c r="BL80" s="1363">
        <f t="shared" si="17"/>
        <v>1000000</v>
      </c>
      <c r="BM80" s="1899"/>
      <c r="BN80" s="1361">
        <f t="shared" si="43"/>
        <v>15</v>
      </c>
      <c r="BO80" s="1362">
        <f t="shared" si="18"/>
        <v>0</v>
      </c>
      <c r="BP80" s="1362">
        <f t="shared" si="19"/>
        <v>8543.4723045346618</v>
      </c>
      <c r="BQ80" s="1362">
        <f t="shared" si="46"/>
        <v>8543.4723045346618</v>
      </c>
      <c r="BR80" s="1363">
        <f t="shared" si="20"/>
        <v>871847.91543198051</v>
      </c>
      <c r="BT80" s="1414"/>
      <c r="BX80" s="1364"/>
      <c r="BY80" s="1364"/>
      <c r="BZ80" s="1364"/>
      <c r="CA80" s="1364"/>
      <c r="CB80" s="1364"/>
      <c r="CC80" s="1365"/>
      <c r="CD80" s="1365"/>
      <c r="CE80" s="1365"/>
      <c r="CF80" s="1365"/>
      <c r="CG80" s="1365"/>
      <c r="CH80" s="1366"/>
      <c r="CI80" s="1366"/>
      <c r="CJ80" s="1366"/>
      <c r="CK80" s="1366"/>
      <c r="CL80" s="1365"/>
      <c r="CM80" s="1366"/>
      <c r="CN80" s="1366"/>
      <c r="CO80" s="1366"/>
      <c r="CP80" s="1366"/>
      <c r="CQ80" s="1366"/>
      <c r="CR80" s="1366"/>
      <c r="CS80" s="1365"/>
      <c r="CT80" s="1365"/>
      <c r="CU80" s="1365"/>
      <c r="CV80" s="1365"/>
      <c r="CW80" s="1365"/>
      <c r="CX80" s="1365"/>
      <c r="CY80" s="1365"/>
      <c r="CZ80" s="1365"/>
      <c r="DA80" s="1365"/>
      <c r="DB80" s="1365"/>
      <c r="DC80" s="1365"/>
      <c r="DD80" s="1365"/>
      <c r="DE80" s="1365"/>
      <c r="DF80" s="1365"/>
      <c r="DG80" s="1365"/>
      <c r="DH80" s="1365"/>
      <c r="DI80" s="1365"/>
      <c r="DJ80" s="1365"/>
      <c r="DK80" s="1365"/>
      <c r="DL80" s="1365"/>
      <c r="DM80" s="1365"/>
      <c r="DN80" s="1365"/>
      <c r="DO80" s="1365"/>
      <c r="DP80" s="1365"/>
      <c r="DQ80" s="1365"/>
      <c r="DR80" s="1365"/>
      <c r="DS80" s="1365"/>
      <c r="DT80" s="1365"/>
    </row>
    <row r="81" spans="1:124">
      <c r="A81" s="1118">
        <f t="shared" ca="1" si="10"/>
        <v>7</v>
      </c>
      <c r="B81" s="1890">
        <f t="shared" si="21"/>
        <v>0</v>
      </c>
      <c r="C81" s="2160">
        <f t="shared" si="35"/>
        <v>0</v>
      </c>
      <c r="D81" s="2161">
        <f t="shared" si="36"/>
        <v>0</v>
      </c>
      <c r="E81" s="2162">
        <f t="shared" si="22"/>
        <v>0</v>
      </c>
      <c r="F81" s="2162">
        <f t="shared" si="44"/>
        <v>0</v>
      </c>
      <c r="G81" s="2162">
        <f>IF(N80&lt;0.01,0,MIN(N80+E81,IF(AU81&gt;0,AU81,G80*(1+AK81))))</f>
        <v>0</v>
      </c>
      <c r="H81" s="2162">
        <f t="shared" si="37"/>
        <v>0</v>
      </c>
      <c r="I81" s="2162">
        <f t="shared" si="45"/>
        <v>0</v>
      </c>
      <c r="J81" s="2162">
        <f t="shared" si="12"/>
        <v>0</v>
      </c>
      <c r="K81" s="2162">
        <f t="shared" si="13"/>
        <v>0</v>
      </c>
      <c r="L81" s="2162">
        <f t="shared" si="25"/>
        <v>0</v>
      </c>
      <c r="M81" s="2162">
        <f t="shared" si="14"/>
        <v>0</v>
      </c>
      <c r="N81" s="2162">
        <f>IF(N80&lt;0.001,0,+N80-F81-M81-O81)+P81</f>
        <v>0</v>
      </c>
      <c r="O81" s="2163"/>
      <c r="P81" s="1905">
        <f>IF(G16=0,0,IF(C28&lt;&gt;"",0,IF(AND(OR($F$10=$AK$10,$F$10=$AK$11),$BE$2=18),$BF$7,0)))</f>
        <v>0</v>
      </c>
      <c r="Q81" s="1905"/>
      <c r="R81" s="1905"/>
      <c r="S81" s="1905"/>
      <c r="T81" s="1905"/>
      <c r="U81" s="1905"/>
      <c r="V81" s="1905"/>
      <c r="W81" s="1905"/>
      <c r="X81" s="1905"/>
      <c r="Y81" s="1905"/>
      <c r="Z81" s="1905"/>
      <c r="AA81" s="1905"/>
      <c r="AB81" s="1905"/>
      <c r="AC81" s="1905"/>
      <c r="AD81" s="1905"/>
      <c r="AE81" s="1905"/>
      <c r="AF81" s="1905"/>
      <c r="AG81" s="1756"/>
      <c r="AH81" s="1756"/>
      <c r="AI81" s="1756"/>
      <c r="AJ81" s="1989">
        <f t="shared" si="27"/>
        <v>4</v>
      </c>
      <c r="AK81" s="1900">
        <f t="shared" si="28"/>
        <v>0</v>
      </c>
      <c r="AL81" s="1907"/>
      <c r="AM81" s="1907"/>
      <c r="AN81" s="1901">
        <f t="shared" si="38"/>
        <v>0</v>
      </c>
      <c r="AO81" s="1906">
        <f t="shared" ca="1" si="29"/>
        <v>0</v>
      </c>
      <c r="AU81" s="1903">
        <f t="shared" si="39"/>
        <v>0</v>
      </c>
      <c r="AV81" s="1904">
        <f t="shared" si="30"/>
        <v>0</v>
      </c>
      <c r="AW81" s="1904">
        <f t="shared" si="31"/>
        <v>0</v>
      </c>
      <c r="AX81" s="1904"/>
      <c r="AY81" s="1904"/>
      <c r="AZ81" s="1904"/>
      <c r="BA81" s="1904"/>
      <c r="BB81" s="1897">
        <f t="shared" si="32"/>
        <v>0</v>
      </c>
      <c r="BC81" s="1897">
        <f t="shared" si="15"/>
        <v>0</v>
      </c>
      <c r="BD81" s="1898" t="e">
        <f>HLOOKUP($BD$63,anticipaplus,17,0)</f>
        <v>#N/A</v>
      </c>
      <c r="BE81" s="1899"/>
      <c r="BF81" s="1899"/>
      <c r="BG81" s="1360">
        <f t="shared" si="33"/>
        <v>0</v>
      </c>
      <c r="BH81" s="1361">
        <f t="shared" si="42"/>
        <v>16</v>
      </c>
      <c r="BI81" s="1362">
        <f t="shared" si="34"/>
        <v>0</v>
      </c>
      <c r="BJ81" s="1362">
        <f t="shared" si="16"/>
        <v>0</v>
      </c>
      <c r="BK81" s="1362">
        <f t="shared" si="40"/>
        <v>0</v>
      </c>
      <c r="BL81" s="1363">
        <f t="shared" si="17"/>
        <v>1000000</v>
      </c>
      <c r="BM81" s="1899"/>
      <c r="BN81" s="1361">
        <f t="shared" si="43"/>
        <v>16</v>
      </c>
      <c r="BO81" s="1362">
        <f t="shared" si="18"/>
        <v>0</v>
      </c>
      <c r="BP81" s="1362">
        <f t="shared" si="19"/>
        <v>8543.4723045346618</v>
      </c>
      <c r="BQ81" s="1362">
        <f t="shared" si="46"/>
        <v>8543.4723045346618</v>
      </c>
      <c r="BR81" s="1363">
        <f t="shared" si="20"/>
        <v>863304.44312744588</v>
      </c>
      <c r="BT81" s="1414"/>
      <c r="BX81" s="1364"/>
      <c r="BY81" s="1364"/>
      <c r="BZ81" s="1364"/>
      <c r="CA81" s="1364"/>
      <c r="CB81" s="1364"/>
      <c r="CC81" s="1365"/>
      <c r="CD81" s="1365"/>
      <c r="CE81" s="1365"/>
      <c r="CF81" s="1365"/>
      <c r="CG81" s="1365"/>
      <c r="CH81" s="1366"/>
      <c r="CI81" s="1366"/>
      <c r="CJ81" s="1366"/>
      <c r="CK81" s="1366"/>
      <c r="CL81" s="1365"/>
      <c r="CM81" s="1366"/>
      <c r="CN81" s="1366"/>
      <c r="CO81" s="1366"/>
      <c r="CP81" s="1366"/>
      <c r="CQ81" s="1366"/>
      <c r="CR81" s="1366"/>
      <c r="CS81" s="1365"/>
      <c r="CT81" s="1365"/>
      <c r="CU81" s="1365"/>
      <c r="CV81" s="1365"/>
      <c r="CW81" s="1365"/>
      <c r="CX81" s="1365"/>
      <c r="CY81" s="1365"/>
      <c r="CZ81" s="1365"/>
      <c r="DA81" s="1365"/>
      <c r="DB81" s="1365"/>
      <c r="DC81" s="1365"/>
      <c r="DD81" s="1365"/>
      <c r="DE81" s="1365"/>
      <c r="DF81" s="1365"/>
      <c r="DG81" s="1365"/>
      <c r="DH81" s="1365"/>
      <c r="DI81" s="1365"/>
      <c r="DJ81" s="1365"/>
      <c r="DK81" s="1365"/>
      <c r="DL81" s="1365"/>
      <c r="DM81" s="1365"/>
      <c r="DN81" s="1365"/>
      <c r="DO81" s="1365"/>
      <c r="DP81" s="1365"/>
      <c r="DQ81" s="1365"/>
      <c r="DR81" s="1365"/>
      <c r="DS81" s="1365"/>
      <c r="DT81" s="1365"/>
    </row>
    <row r="82" spans="1:124">
      <c r="A82" s="1118">
        <f t="shared" ca="1" si="10"/>
        <v>8</v>
      </c>
      <c r="B82" s="1890">
        <f t="shared" si="21"/>
        <v>0</v>
      </c>
      <c r="C82" s="2160">
        <f t="shared" si="35"/>
        <v>0</v>
      </c>
      <c r="D82" s="2161">
        <f t="shared" si="36"/>
        <v>0</v>
      </c>
      <c r="E82" s="2162">
        <f t="shared" si="22"/>
        <v>0</v>
      </c>
      <c r="F82" s="2162">
        <f t="shared" si="44"/>
        <v>0</v>
      </c>
      <c r="G82" s="2162">
        <f>IF(N81&lt;0.01,0,MIN(N81+E82,IF(AU82&gt;0,AU82,G81*(1+AK82))))</f>
        <v>0</v>
      </c>
      <c r="H82" s="2162">
        <f t="shared" si="37"/>
        <v>0</v>
      </c>
      <c r="I82" s="2162">
        <f t="shared" si="45"/>
        <v>0</v>
      </c>
      <c r="J82" s="2162">
        <f t="shared" si="12"/>
        <v>0</v>
      </c>
      <c r="K82" s="2162">
        <f t="shared" si="13"/>
        <v>0</v>
      </c>
      <c r="L82" s="2162">
        <f t="shared" si="25"/>
        <v>0</v>
      </c>
      <c r="M82" s="2162">
        <f t="shared" si="14"/>
        <v>0</v>
      </c>
      <c r="N82" s="2162">
        <f t="shared" si="26"/>
        <v>0</v>
      </c>
      <c r="O82" s="2163"/>
      <c r="AG82" s="1756"/>
      <c r="AH82" s="1756"/>
      <c r="AI82" s="1756"/>
      <c r="AJ82" s="1989">
        <f t="shared" si="27"/>
        <v>5</v>
      </c>
      <c r="AK82" s="1900">
        <f t="shared" si="28"/>
        <v>0</v>
      </c>
      <c r="AL82" s="1907"/>
      <c r="AM82" s="1907"/>
      <c r="AN82" s="1901">
        <f t="shared" si="38"/>
        <v>0</v>
      </c>
      <c r="AO82" s="1906">
        <f t="shared" ca="1" si="29"/>
        <v>0</v>
      </c>
      <c r="AU82" s="1903">
        <f t="shared" si="39"/>
        <v>0</v>
      </c>
      <c r="AV82" s="1904">
        <f t="shared" si="30"/>
        <v>0</v>
      </c>
      <c r="AW82" s="1904">
        <f t="shared" si="31"/>
        <v>0</v>
      </c>
      <c r="AX82" s="1904"/>
      <c r="AY82" s="1904"/>
      <c r="AZ82" s="1904"/>
      <c r="BA82" s="1904"/>
      <c r="BB82" s="1897">
        <f t="shared" si="32"/>
        <v>0</v>
      </c>
      <c r="BC82" s="1897">
        <f t="shared" si="15"/>
        <v>0</v>
      </c>
      <c r="BD82" s="1898" t="e">
        <f>HLOOKUP($BD$63,anticipaplus,18,0)</f>
        <v>#N/A</v>
      </c>
      <c r="BE82" s="1899"/>
      <c r="BF82" s="1899"/>
      <c r="BG82" s="1360">
        <f t="shared" si="33"/>
        <v>0</v>
      </c>
      <c r="BH82" s="1361">
        <f t="shared" si="42"/>
        <v>17</v>
      </c>
      <c r="BI82" s="1362">
        <f t="shared" si="34"/>
        <v>0</v>
      </c>
      <c r="BJ82" s="1362">
        <f t="shared" si="16"/>
        <v>0</v>
      </c>
      <c r="BK82" s="1362">
        <f t="shared" si="40"/>
        <v>0</v>
      </c>
      <c r="BL82" s="1363">
        <f t="shared" si="17"/>
        <v>1000000</v>
      </c>
      <c r="BM82" s="1899"/>
      <c r="BN82" s="1361">
        <f t="shared" si="43"/>
        <v>17</v>
      </c>
      <c r="BO82" s="1362">
        <f t="shared" si="18"/>
        <v>0</v>
      </c>
      <c r="BP82" s="1362">
        <f t="shared" si="19"/>
        <v>8543.4723045346618</v>
      </c>
      <c r="BQ82" s="1362">
        <f t="shared" si="46"/>
        <v>8543.4723045346618</v>
      </c>
      <c r="BR82" s="1363">
        <f t="shared" si="20"/>
        <v>854760.97082291124</v>
      </c>
      <c r="BT82" s="1414"/>
      <c r="BX82" s="1364"/>
      <c r="BY82" s="1364"/>
      <c r="BZ82" s="1364"/>
      <c r="CA82" s="1364"/>
      <c r="CB82" s="1364"/>
      <c r="CC82" s="1365"/>
      <c r="CD82" s="1365"/>
      <c r="CE82" s="1365"/>
      <c r="CF82" s="1365"/>
      <c r="CG82" s="1365"/>
      <c r="CH82" s="1366"/>
      <c r="CI82" s="1366"/>
      <c r="CJ82" s="1366"/>
      <c r="CK82" s="1366"/>
      <c r="CL82" s="1365"/>
      <c r="CM82" s="1366"/>
      <c r="CN82" s="1366"/>
      <c r="CO82" s="1366"/>
      <c r="CP82" s="1366"/>
      <c r="CQ82" s="1366"/>
      <c r="CR82" s="1366"/>
      <c r="CS82" s="1365"/>
      <c r="CT82" s="1365"/>
      <c r="CU82" s="1365"/>
      <c r="CV82" s="1365"/>
      <c r="CW82" s="1365"/>
      <c r="CX82" s="1365"/>
      <c r="CY82" s="1365"/>
      <c r="CZ82" s="1365"/>
      <c r="DA82" s="1365"/>
      <c r="DB82" s="1365"/>
      <c r="DC82" s="1365"/>
      <c r="DD82" s="1365"/>
      <c r="DE82" s="1365"/>
      <c r="DF82" s="1365"/>
      <c r="DG82" s="1365"/>
      <c r="DH82" s="1365"/>
      <c r="DI82" s="1365"/>
      <c r="DJ82" s="1365"/>
      <c r="DK82" s="1365"/>
      <c r="DL82" s="1365"/>
      <c r="DM82" s="1365"/>
      <c r="DN82" s="1365"/>
      <c r="DO82" s="1365"/>
      <c r="DP82" s="1365"/>
      <c r="DQ82" s="1365"/>
      <c r="DR82" s="1365"/>
      <c r="DS82" s="1365"/>
      <c r="DT82" s="1365"/>
    </row>
    <row r="83" spans="1:124">
      <c r="A83" s="1118">
        <f t="shared" ca="1" si="10"/>
        <v>9</v>
      </c>
      <c r="B83" s="1890">
        <f t="shared" si="21"/>
        <v>0</v>
      </c>
      <c r="C83" s="2160">
        <f t="shared" si="35"/>
        <v>0</v>
      </c>
      <c r="D83" s="2161">
        <f t="shared" si="36"/>
        <v>0</v>
      </c>
      <c r="E83" s="2162">
        <f t="shared" si="22"/>
        <v>0</v>
      </c>
      <c r="F83" s="2162">
        <f t="shared" si="44"/>
        <v>0</v>
      </c>
      <c r="G83" s="2162">
        <f>IF(N82&lt;0.01,0,MIN(N82+E83,IF(AU83&gt;0,AU83,G82*(1+AK83))))</f>
        <v>0</v>
      </c>
      <c r="H83" s="2162">
        <f t="shared" si="37"/>
        <v>0</v>
      </c>
      <c r="I83" s="2162">
        <f t="shared" si="45"/>
        <v>0</v>
      </c>
      <c r="J83" s="2162">
        <f t="shared" si="12"/>
        <v>0</v>
      </c>
      <c r="K83" s="2162">
        <f t="shared" si="13"/>
        <v>0</v>
      </c>
      <c r="L83" s="2162">
        <f t="shared" si="25"/>
        <v>0</v>
      </c>
      <c r="M83" s="2162">
        <f t="shared" si="14"/>
        <v>0</v>
      </c>
      <c r="N83" s="2162">
        <f t="shared" si="26"/>
        <v>0</v>
      </c>
      <c r="O83" s="2163"/>
      <c r="AG83" s="1756"/>
      <c r="AH83" s="1756"/>
      <c r="AI83" s="1756"/>
      <c r="AJ83" s="1989">
        <f t="shared" si="27"/>
        <v>6</v>
      </c>
      <c r="AK83" s="1900">
        <f t="shared" si="28"/>
        <v>0</v>
      </c>
      <c r="AL83" s="1107" t="s">
        <v>465</v>
      </c>
      <c r="AN83" s="1901">
        <f t="shared" si="38"/>
        <v>0</v>
      </c>
      <c r="AO83" s="1906">
        <f t="shared" ca="1" si="29"/>
        <v>0</v>
      </c>
      <c r="AU83" s="1903">
        <f t="shared" si="39"/>
        <v>0</v>
      </c>
      <c r="AV83" s="1904">
        <f t="shared" si="30"/>
        <v>0</v>
      </c>
      <c r="AW83" s="1904">
        <f t="shared" si="31"/>
        <v>0</v>
      </c>
      <c r="AX83" s="1904"/>
      <c r="AY83" s="1904"/>
      <c r="AZ83" s="1904"/>
      <c r="BA83" s="1904"/>
      <c r="BB83" s="1897">
        <f t="shared" si="32"/>
        <v>0</v>
      </c>
      <c r="BC83" s="1897">
        <f t="shared" si="15"/>
        <v>0</v>
      </c>
      <c r="BD83" s="1898" t="e">
        <f>HLOOKUP($BD$63,anticipaplus,19,0)</f>
        <v>#N/A</v>
      </c>
      <c r="BE83" s="1899"/>
      <c r="BF83" s="1899"/>
      <c r="BG83" s="1360">
        <f t="shared" si="33"/>
        <v>0</v>
      </c>
      <c r="BH83" s="1361">
        <f t="shared" si="42"/>
        <v>18</v>
      </c>
      <c r="BI83" s="1362">
        <f t="shared" si="34"/>
        <v>0</v>
      </c>
      <c r="BJ83" s="1362">
        <f t="shared" si="16"/>
        <v>0</v>
      </c>
      <c r="BK83" s="1362">
        <f t="shared" si="40"/>
        <v>0</v>
      </c>
      <c r="BL83" s="1363">
        <f t="shared" si="17"/>
        <v>1000000</v>
      </c>
      <c r="BM83" s="1899"/>
      <c r="BN83" s="1361">
        <f t="shared" si="43"/>
        <v>18</v>
      </c>
      <c r="BO83" s="1362">
        <f t="shared" si="18"/>
        <v>0</v>
      </c>
      <c r="BP83" s="1362">
        <f t="shared" si="19"/>
        <v>8543.4723045346618</v>
      </c>
      <c r="BQ83" s="1362">
        <f t="shared" si="46"/>
        <v>8543.4723045346618</v>
      </c>
      <c r="BR83" s="1363">
        <f t="shared" si="20"/>
        <v>846217.49851837661</v>
      </c>
      <c r="BT83" s="1414"/>
      <c r="BX83" s="1364"/>
      <c r="BY83" s="1364"/>
      <c r="BZ83" s="1364"/>
      <c r="CA83" s="1364"/>
      <c r="CB83" s="1364"/>
      <c r="CC83" s="1365"/>
      <c r="CD83" s="1365"/>
      <c r="CE83" s="1365"/>
      <c r="CF83" s="1365"/>
      <c r="CG83" s="1365"/>
      <c r="CH83" s="1366"/>
      <c r="CI83" s="1366"/>
      <c r="CJ83" s="1366"/>
      <c r="CK83" s="1366"/>
      <c r="CL83" s="1365"/>
      <c r="CM83" s="1366"/>
      <c r="CN83" s="1366"/>
      <c r="CO83" s="1366"/>
      <c r="CP83" s="1366"/>
      <c r="CQ83" s="1366"/>
      <c r="CR83" s="1366"/>
      <c r="CS83" s="1365"/>
      <c r="CT83" s="1365"/>
      <c r="CU83" s="1365"/>
      <c r="CV83" s="1365"/>
      <c r="CW83" s="1365"/>
      <c r="CX83" s="1365"/>
      <c r="CY83" s="1365"/>
      <c r="CZ83" s="1365"/>
      <c r="DA83" s="1365"/>
      <c r="DB83" s="1365"/>
      <c r="DC83" s="1365"/>
      <c r="DD83" s="1365"/>
      <c r="DE83" s="1365"/>
      <c r="DF83" s="1365"/>
      <c r="DG83" s="1365"/>
      <c r="DH83" s="1365"/>
      <c r="DI83" s="1365"/>
      <c r="DJ83" s="1365"/>
      <c r="DK83" s="1365"/>
      <c r="DL83" s="1365"/>
      <c r="DM83" s="1365"/>
      <c r="DN83" s="1365"/>
      <c r="DO83" s="1365"/>
      <c r="DP83" s="1365"/>
      <c r="DQ83" s="1365"/>
      <c r="DR83" s="1365"/>
      <c r="DS83" s="1365"/>
      <c r="DT83" s="1365"/>
    </row>
    <row r="84" spans="1:124">
      <c r="A84" s="1118">
        <f t="shared" ca="1" si="10"/>
        <v>10</v>
      </c>
      <c r="B84" s="1890">
        <f t="shared" si="21"/>
        <v>0</v>
      </c>
      <c r="C84" s="2160">
        <f t="shared" si="35"/>
        <v>0</v>
      </c>
      <c r="D84" s="2161">
        <f t="shared" si="36"/>
        <v>0</v>
      </c>
      <c r="E84" s="2162">
        <f t="shared" si="22"/>
        <v>0</v>
      </c>
      <c r="F84" s="2162">
        <f t="shared" ref="F84:F147" si="47">IF(N83&lt;0.01,0,MIN(N83,G84-E84))</f>
        <v>0</v>
      </c>
      <c r="G84" s="2162">
        <f>IF(N83&lt;0.01,0,MIN(N83+E84,IF(AU84&gt;0,AU84,IF(AND(OR($F$10=$AK$10,$F$10=$AK$11),$BE$2=18),AL84,G83*(1+AK84)))))</f>
        <v>0</v>
      </c>
      <c r="H84" s="2162">
        <f t="shared" si="37"/>
        <v>0</v>
      </c>
      <c r="I84" s="2162">
        <f t="shared" si="45"/>
        <v>0</v>
      </c>
      <c r="J84" s="2162">
        <f t="shared" si="12"/>
        <v>0</v>
      </c>
      <c r="K84" s="2162">
        <f t="shared" si="13"/>
        <v>0</v>
      </c>
      <c r="L84" s="2162">
        <f t="shared" si="25"/>
        <v>0</v>
      </c>
      <c r="M84" s="2162">
        <f t="shared" si="14"/>
        <v>0</v>
      </c>
      <c r="N84" s="2162">
        <f t="shared" si="26"/>
        <v>0</v>
      </c>
      <c r="O84" s="2163"/>
      <c r="AG84" s="1730"/>
      <c r="AH84" s="1756"/>
      <c r="AI84" s="1756"/>
      <c r="AJ84" s="1989">
        <f t="shared" si="27"/>
        <v>7</v>
      </c>
      <c r="AK84" s="1900">
        <f t="shared" si="28"/>
        <v>0</v>
      </c>
      <c r="AL84" s="1910">
        <f>IF(AND(OR(F10=AK10,F10=AK11),BE2=18),PMT(((D77/360)*(365/12)),G15-18,-N81),0)</f>
        <v>0</v>
      </c>
      <c r="AM84" s="1911"/>
      <c r="AN84" s="1901">
        <f t="shared" si="38"/>
        <v>0</v>
      </c>
      <c r="AO84" s="1906">
        <f t="shared" ca="1" si="29"/>
        <v>0</v>
      </c>
      <c r="AU84" s="1903">
        <f t="shared" si="39"/>
        <v>0</v>
      </c>
      <c r="AV84" s="1904">
        <f t="shared" si="30"/>
        <v>0</v>
      </c>
      <c r="AW84" s="1904">
        <f t="shared" si="31"/>
        <v>0</v>
      </c>
      <c r="AX84" s="1904"/>
      <c r="AY84" s="1904"/>
      <c r="AZ84" s="1904"/>
      <c r="BA84" s="1904"/>
      <c r="BB84" s="1897">
        <f t="shared" si="32"/>
        <v>0</v>
      </c>
      <c r="BC84" s="1897">
        <f t="shared" si="15"/>
        <v>0</v>
      </c>
      <c r="BD84" s="1898" t="e">
        <f>HLOOKUP($BD$63,anticipaplus,20,0)</f>
        <v>#N/A</v>
      </c>
      <c r="BE84" s="1899"/>
      <c r="BF84" s="1899"/>
      <c r="BG84" s="1360">
        <f t="shared" si="33"/>
        <v>0</v>
      </c>
      <c r="BH84" s="1361">
        <f t="shared" si="42"/>
        <v>19</v>
      </c>
      <c r="BI84" s="1362">
        <f t="shared" si="34"/>
        <v>0</v>
      </c>
      <c r="BJ84" s="1362">
        <f t="shared" si="16"/>
        <v>0</v>
      </c>
      <c r="BK84" s="1362">
        <f t="shared" si="40"/>
        <v>0</v>
      </c>
      <c r="BL84" s="1363">
        <f t="shared" si="17"/>
        <v>1000000</v>
      </c>
      <c r="BM84" s="1899"/>
      <c r="BN84" s="1361">
        <f t="shared" si="43"/>
        <v>19</v>
      </c>
      <c r="BO84" s="1362">
        <f t="shared" si="18"/>
        <v>0</v>
      </c>
      <c r="BP84" s="1362">
        <f t="shared" si="19"/>
        <v>8543.4723045346618</v>
      </c>
      <c r="BQ84" s="1362">
        <f t="shared" si="46"/>
        <v>8543.4723045346618</v>
      </c>
      <c r="BR84" s="1363">
        <f t="shared" si="20"/>
        <v>837674.02621384198</v>
      </c>
      <c r="BT84" s="1414"/>
      <c r="BX84" s="1364"/>
      <c r="BY84" s="1364"/>
      <c r="BZ84" s="1364"/>
      <c r="CA84" s="1364"/>
      <c r="CB84" s="1364"/>
      <c r="CC84" s="1365"/>
      <c r="CD84" s="1365"/>
      <c r="CE84" s="1365"/>
      <c r="CF84" s="1365"/>
      <c r="CG84" s="1365"/>
      <c r="CH84" s="1366"/>
      <c r="CI84" s="1366"/>
      <c r="CJ84" s="1366"/>
      <c r="CK84" s="1366"/>
      <c r="CL84" s="1365"/>
      <c r="CM84" s="1366"/>
      <c r="CN84" s="1366"/>
      <c r="CO84" s="1366"/>
      <c r="CP84" s="1366"/>
      <c r="CQ84" s="1366"/>
      <c r="CR84" s="1366"/>
      <c r="CS84" s="1365"/>
      <c r="CT84" s="1365"/>
      <c r="CU84" s="1365"/>
      <c r="CV84" s="1365"/>
      <c r="CW84" s="1365"/>
      <c r="CX84" s="1365"/>
      <c r="CY84" s="1365"/>
      <c r="CZ84" s="1365"/>
      <c r="DA84" s="1365"/>
      <c r="DB84" s="1365"/>
      <c r="DC84" s="1365"/>
      <c r="DD84" s="1365"/>
      <c r="DE84" s="1365"/>
      <c r="DF84" s="1365"/>
      <c r="DG84" s="1365"/>
      <c r="DH84" s="1365"/>
      <c r="DI84" s="1365"/>
      <c r="DJ84" s="1365"/>
      <c r="DK84" s="1365"/>
      <c r="DL84" s="1365"/>
      <c r="DM84" s="1365"/>
      <c r="DN84" s="1365"/>
      <c r="DO84" s="1365"/>
      <c r="DP84" s="1365"/>
      <c r="DQ84" s="1365"/>
      <c r="DR84" s="1365"/>
      <c r="DS84" s="1365"/>
      <c r="DT84" s="1365"/>
    </row>
    <row r="85" spans="1:124">
      <c r="A85" s="1118">
        <f t="shared" ca="1" si="10"/>
        <v>11</v>
      </c>
      <c r="B85" s="1890">
        <f t="shared" si="21"/>
        <v>0</v>
      </c>
      <c r="C85" s="2160">
        <f t="shared" si="35"/>
        <v>0</v>
      </c>
      <c r="D85" s="2161">
        <f t="shared" si="36"/>
        <v>0</v>
      </c>
      <c r="E85" s="2162">
        <f t="shared" si="22"/>
        <v>0</v>
      </c>
      <c r="F85" s="2162">
        <f t="shared" si="47"/>
        <v>0</v>
      </c>
      <c r="G85" s="2162">
        <f t="shared" ref="G85:G148" si="48">IF(N84&lt;0.01,0,MIN(N84+E85,IF(AU85&gt;0,AU85,G84*(1+AK85))))</f>
        <v>0</v>
      </c>
      <c r="H85" s="2162">
        <f t="shared" si="37"/>
        <v>0</v>
      </c>
      <c r="I85" s="2162">
        <f t="shared" si="45"/>
        <v>0</v>
      </c>
      <c r="J85" s="2162">
        <f t="shared" si="12"/>
        <v>0</v>
      </c>
      <c r="K85" s="2162">
        <f t="shared" si="13"/>
        <v>0</v>
      </c>
      <c r="L85" s="2162">
        <f t="shared" si="25"/>
        <v>0</v>
      </c>
      <c r="M85" s="2162">
        <f t="shared" si="14"/>
        <v>0</v>
      </c>
      <c r="N85" s="2162">
        <f t="shared" si="26"/>
        <v>0</v>
      </c>
      <c r="O85" s="2163"/>
      <c r="AG85" s="1756"/>
      <c r="AH85" s="1756"/>
      <c r="AI85" s="1756"/>
      <c r="AJ85" s="1989">
        <f t="shared" si="27"/>
        <v>8</v>
      </c>
      <c r="AK85" s="1900">
        <f t="shared" si="28"/>
        <v>0</v>
      </c>
      <c r="AL85" s="1907"/>
      <c r="AM85" s="1907"/>
      <c r="AN85" s="1901">
        <f t="shared" si="38"/>
        <v>0</v>
      </c>
      <c r="AO85" s="1906">
        <f t="shared" ca="1" si="29"/>
        <v>0</v>
      </c>
      <c r="AU85" s="1903">
        <f t="shared" si="39"/>
        <v>0</v>
      </c>
      <c r="AV85" s="1904">
        <f t="shared" si="30"/>
        <v>0</v>
      </c>
      <c r="AW85" s="1904">
        <f t="shared" si="31"/>
        <v>0</v>
      </c>
      <c r="AX85" s="1904"/>
      <c r="AY85" s="1904"/>
      <c r="AZ85" s="1904"/>
      <c r="BA85" s="1904"/>
      <c r="BB85" s="1897">
        <f t="shared" si="32"/>
        <v>0</v>
      </c>
      <c r="BC85" s="1897">
        <f t="shared" si="15"/>
        <v>0</v>
      </c>
      <c r="BD85" s="1898" t="e">
        <f>HLOOKUP($BD$63,anticipaplus,21,0)</f>
        <v>#N/A</v>
      </c>
      <c r="BE85" s="1899"/>
      <c r="BF85" s="1899"/>
      <c r="BG85" s="1360">
        <f t="shared" si="33"/>
        <v>0</v>
      </c>
      <c r="BH85" s="1361">
        <f t="shared" si="42"/>
        <v>20</v>
      </c>
      <c r="BI85" s="1362">
        <f t="shared" si="34"/>
        <v>0</v>
      </c>
      <c r="BJ85" s="1362">
        <f t="shared" si="16"/>
        <v>0</v>
      </c>
      <c r="BK85" s="1362">
        <f t="shared" si="40"/>
        <v>0</v>
      </c>
      <c r="BL85" s="1363">
        <f t="shared" si="17"/>
        <v>1000000</v>
      </c>
      <c r="BM85" s="1899"/>
      <c r="BN85" s="1361">
        <f t="shared" si="43"/>
        <v>20</v>
      </c>
      <c r="BO85" s="1362">
        <f t="shared" si="18"/>
        <v>0</v>
      </c>
      <c r="BP85" s="1362">
        <f t="shared" si="19"/>
        <v>8543.4723045346618</v>
      </c>
      <c r="BQ85" s="1362">
        <f t="shared" si="46"/>
        <v>8543.4723045346618</v>
      </c>
      <c r="BR85" s="1363">
        <f t="shared" si="20"/>
        <v>829130.55390930735</v>
      </c>
      <c r="BT85" s="1414"/>
      <c r="BX85" s="1364"/>
      <c r="BY85" s="1364"/>
      <c r="BZ85" s="1364"/>
      <c r="CA85" s="1364"/>
      <c r="CB85" s="1364"/>
      <c r="CC85" s="1365"/>
      <c r="CD85" s="1365"/>
      <c r="CE85" s="1365"/>
      <c r="CF85" s="1365"/>
      <c r="CG85" s="1365"/>
      <c r="CH85" s="1366"/>
      <c r="CI85" s="1366"/>
      <c r="CJ85" s="1366"/>
      <c r="CK85" s="1366"/>
      <c r="CL85" s="1365"/>
      <c r="CM85" s="1366"/>
      <c r="CN85" s="1366"/>
      <c r="CO85" s="1366"/>
      <c r="CP85" s="1366"/>
      <c r="CQ85" s="1366"/>
      <c r="CR85" s="1366"/>
      <c r="CS85" s="1365"/>
      <c r="CT85" s="1365"/>
      <c r="CU85" s="1365"/>
      <c r="CV85" s="1365"/>
      <c r="CW85" s="1365"/>
      <c r="CX85" s="1365"/>
      <c r="CY85" s="1365"/>
      <c r="CZ85" s="1365"/>
      <c r="DA85" s="1365"/>
      <c r="DB85" s="1365"/>
      <c r="DC85" s="1365"/>
      <c r="DD85" s="1365"/>
      <c r="DE85" s="1365"/>
      <c r="DF85" s="1365"/>
      <c r="DG85" s="1365"/>
      <c r="DH85" s="1365"/>
      <c r="DI85" s="1365"/>
      <c r="DJ85" s="1365"/>
      <c r="DK85" s="1365"/>
      <c r="DL85" s="1365"/>
      <c r="DM85" s="1365"/>
      <c r="DN85" s="1365"/>
      <c r="DO85" s="1365"/>
      <c r="DP85" s="1365"/>
      <c r="DQ85" s="1365"/>
      <c r="DR85" s="1365"/>
      <c r="DS85" s="1365"/>
      <c r="DT85" s="1365"/>
    </row>
    <row r="86" spans="1:124">
      <c r="A86" s="1118">
        <f t="shared" ca="1" si="10"/>
        <v>12</v>
      </c>
      <c r="B86" s="1890">
        <f t="shared" si="21"/>
        <v>0</v>
      </c>
      <c r="C86" s="2160">
        <f t="shared" si="35"/>
        <v>0</v>
      </c>
      <c r="D86" s="2161">
        <f t="shared" si="36"/>
        <v>0</v>
      </c>
      <c r="E86" s="2162">
        <f t="shared" si="22"/>
        <v>0</v>
      </c>
      <c r="F86" s="2162">
        <f t="shared" si="47"/>
        <v>0</v>
      </c>
      <c r="G86" s="2162">
        <f t="shared" si="48"/>
        <v>0</v>
      </c>
      <c r="H86" s="2162">
        <f t="shared" si="37"/>
        <v>0</v>
      </c>
      <c r="I86" s="2162">
        <f t="shared" si="45"/>
        <v>0</v>
      </c>
      <c r="J86" s="2162">
        <f t="shared" si="12"/>
        <v>0</v>
      </c>
      <c r="K86" s="2162">
        <f t="shared" si="13"/>
        <v>0</v>
      </c>
      <c r="L86" s="2162">
        <f t="shared" si="25"/>
        <v>0</v>
      </c>
      <c r="M86" s="2162">
        <f t="shared" si="14"/>
        <v>0</v>
      </c>
      <c r="N86" s="2162">
        <f t="shared" si="26"/>
        <v>0</v>
      </c>
      <c r="O86" s="2163"/>
      <c r="AG86" s="1756"/>
      <c r="AH86" s="1756"/>
      <c r="AI86" s="1756"/>
      <c r="AJ86" s="1989">
        <f t="shared" si="27"/>
        <v>9</v>
      </c>
      <c r="AK86" s="1900">
        <f t="shared" si="28"/>
        <v>0</v>
      </c>
      <c r="AL86" s="1907"/>
      <c r="AM86" s="1907"/>
      <c r="AN86" s="1901">
        <f t="shared" si="38"/>
        <v>0</v>
      </c>
      <c r="AO86" s="1906">
        <f t="shared" ca="1" si="29"/>
        <v>0</v>
      </c>
      <c r="AU86" s="1903">
        <f t="shared" si="39"/>
        <v>0</v>
      </c>
      <c r="AV86" s="1904">
        <f t="shared" si="30"/>
        <v>0</v>
      </c>
      <c r="AW86" s="1904">
        <f t="shared" si="31"/>
        <v>0</v>
      </c>
      <c r="AX86" s="1904"/>
      <c r="AY86" s="1904"/>
      <c r="AZ86" s="1904"/>
      <c r="BA86" s="1904"/>
      <c r="BB86" s="1897">
        <f t="shared" si="32"/>
        <v>0</v>
      </c>
      <c r="BC86" s="1897">
        <f t="shared" si="15"/>
        <v>0</v>
      </c>
      <c r="BD86" s="1898" t="e">
        <f>HLOOKUP($BD$63,anticipaplus,22,0)</f>
        <v>#N/A</v>
      </c>
      <c r="BE86" s="1899"/>
      <c r="BF86" s="1899"/>
      <c r="BG86" s="1360">
        <f t="shared" si="33"/>
        <v>0</v>
      </c>
      <c r="BH86" s="1361">
        <f t="shared" si="42"/>
        <v>21</v>
      </c>
      <c r="BI86" s="1362">
        <f t="shared" si="34"/>
        <v>0</v>
      </c>
      <c r="BJ86" s="1362">
        <f t="shared" si="16"/>
        <v>0</v>
      </c>
      <c r="BK86" s="1362">
        <f t="shared" si="40"/>
        <v>0</v>
      </c>
      <c r="BL86" s="1363">
        <f t="shared" si="17"/>
        <v>1000000</v>
      </c>
      <c r="BM86" s="1899"/>
      <c r="BN86" s="1361">
        <f t="shared" si="43"/>
        <v>21</v>
      </c>
      <c r="BO86" s="1362">
        <f t="shared" si="18"/>
        <v>0</v>
      </c>
      <c r="BP86" s="1362">
        <f t="shared" si="19"/>
        <v>8543.4723045346618</v>
      </c>
      <c r="BQ86" s="1362">
        <f t="shared" si="46"/>
        <v>8543.4723045346618</v>
      </c>
      <c r="BR86" s="1363">
        <f t="shared" si="20"/>
        <v>820587.08160477271</v>
      </c>
      <c r="BT86" s="1414"/>
      <c r="BX86" s="1364"/>
      <c r="BY86" s="1364"/>
      <c r="BZ86" s="1364"/>
      <c r="CA86" s="1364"/>
      <c r="CB86" s="1364"/>
      <c r="CC86" s="1365"/>
      <c r="CD86" s="1365"/>
      <c r="CE86" s="1365"/>
      <c r="CF86" s="1365"/>
      <c r="CG86" s="1365"/>
      <c r="CH86" s="1366"/>
      <c r="CI86" s="1366"/>
      <c r="CJ86" s="1366"/>
      <c r="CK86" s="1366"/>
      <c r="CL86" s="1365"/>
      <c r="CM86" s="1366"/>
      <c r="CN86" s="1366"/>
      <c r="CO86" s="1366"/>
      <c r="CP86" s="1366"/>
      <c r="CQ86" s="1366"/>
      <c r="CR86" s="1366"/>
      <c r="CS86" s="1365"/>
      <c r="CT86" s="1365"/>
      <c r="CU86" s="1365"/>
      <c r="CV86" s="1365"/>
      <c r="CW86" s="1365"/>
      <c r="CX86" s="1365"/>
      <c r="CY86" s="1365"/>
      <c r="CZ86" s="1365"/>
      <c r="DA86" s="1365"/>
      <c r="DB86" s="1365"/>
      <c r="DC86" s="1365"/>
      <c r="DD86" s="1365"/>
      <c r="DE86" s="1365"/>
      <c r="DF86" s="1365"/>
      <c r="DG86" s="1365"/>
      <c r="DH86" s="1365"/>
      <c r="DI86" s="1365"/>
      <c r="DJ86" s="1365"/>
      <c r="DK86" s="1365"/>
      <c r="DL86" s="1365"/>
      <c r="DM86" s="1365"/>
      <c r="DN86" s="1365"/>
      <c r="DO86" s="1365"/>
      <c r="DP86" s="1365"/>
      <c r="DQ86" s="1365"/>
      <c r="DR86" s="1365"/>
      <c r="DS86" s="1365"/>
      <c r="DT86" s="1365"/>
    </row>
    <row r="87" spans="1:124">
      <c r="A87" s="1118">
        <f t="shared" ca="1" si="10"/>
        <v>1</v>
      </c>
      <c r="B87" s="1890">
        <f t="shared" si="21"/>
        <v>0</v>
      </c>
      <c r="C87" s="2160">
        <f t="shared" si="35"/>
        <v>0</v>
      </c>
      <c r="D87" s="2161">
        <f t="shared" si="36"/>
        <v>0</v>
      </c>
      <c r="E87" s="2162">
        <f t="shared" si="22"/>
        <v>0</v>
      </c>
      <c r="F87" s="2162">
        <f t="shared" si="47"/>
        <v>0</v>
      </c>
      <c r="G87" s="2162">
        <f t="shared" si="48"/>
        <v>0</v>
      </c>
      <c r="H87" s="2162">
        <f t="shared" si="37"/>
        <v>0</v>
      </c>
      <c r="I87" s="2162">
        <f t="shared" si="45"/>
        <v>0</v>
      </c>
      <c r="J87" s="2162">
        <f t="shared" si="12"/>
        <v>0</v>
      </c>
      <c r="K87" s="2162">
        <f t="shared" si="13"/>
        <v>0</v>
      </c>
      <c r="L87" s="2162">
        <f t="shared" si="25"/>
        <v>0</v>
      </c>
      <c r="M87" s="2162">
        <f t="shared" si="14"/>
        <v>0</v>
      </c>
      <c r="N87" s="2162">
        <f t="shared" si="26"/>
        <v>0</v>
      </c>
      <c r="O87" s="2163"/>
      <c r="AG87" s="1756"/>
      <c r="AH87" s="1756"/>
      <c r="AI87" s="1756"/>
      <c r="AJ87" s="1989">
        <f t="shared" si="27"/>
        <v>10</v>
      </c>
      <c r="AK87" s="1900">
        <f t="shared" si="28"/>
        <v>0</v>
      </c>
      <c r="AL87" s="1907"/>
      <c r="AM87" s="1907"/>
      <c r="AN87" s="1901">
        <f t="shared" si="38"/>
        <v>0</v>
      </c>
      <c r="AO87" s="1906">
        <f t="shared" ca="1" si="29"/>
        <v>0</v>
      </c>
      <c r="AU87" s="1903">
        <f t="shared" si="39"/>
        <v>0</v>
      </c>
      <c r="AV87" s="1904">
        <f t="shared" si="30"/>
        <v>0</v>
      </c>
      <c r="AW87" s="1904">
        <f t="shared" si="31"/>
        <v>0</v>
      </c>
      <c r="AX87" s="1904"/>
      <c r="AY87" s="1904"/>
      <c r="AZ87" s="1904"/>
      <c r="BA87" s="1904"/>
      <c r="BB87" s="1897">
        <f t="shared" si="32"/>
        <v>0</v>
      </c>
      <c r="BC87" s="1897">
        <f t="shared" si="15"/>
        <v>0</v>
      </c>
      <c r="BD87" s="1898" t="e">
        <f>HLOOKUP($BD$63,anticipaplus,23,0)</f>
        <v>#N/A</v>
      </c>
      <c r="BE87" s="1899"/>
      <c r="BF87" s="1899"/>
      <c r="BG87" s="1360">
        <f t="shared" si="33"/>
        <v>0</v>
      </c>
      <c r="BH87" s="1361">
        <f t="shared" si="42"/>
        <v>22</v>
      </c>
      <c r="BI87" s="1362">
        <f t="shared" si="34"/>
        <v>0</v>
      </c>
      <c r="BJ87" s="1362">
        <f t="shared" si="16"/>
        <v>0</v>
      </c>
      <c r="BK87" s="1362">
        <f t="shared" si="40"/>
        <v>0</v>
      </c>
      <c r="BL87" s="1363">
        <f t="shared" si="17"/>
        <v>1000000</v>
      </c>
      <c r="BM87" s="1899"/>
      <c r="BN87" s="1361">
        <f t="shared" si="43"/>
        <v>22</v>
      </c>
      <c r="BO87" s="1362">
        <f t="shared" si="18"/>
        <v>0</v>
      </c>
      <c r="BP87" s="1362">
        <f t="shared" si="19"/>
        <v>8543.4723045346618</v>
      </c>
      <c r="BQ87" s="1362">
        <f t="shared" si="46"/>
        <v>8543.4723045346618</v>
      </c>
      <c r="BR87" s="1363">
        <f t="shared" si="20"/>
        <v>812043.60930023808</v>
      </c>
      <c r="BT87" s="1414"/>
      <c r="BX87" s="1364"/>
      <c r="BY87" s="1364"/>
      <c r="BZ87" s="1364"/>
      <c r="CA87" s="1364"/>
      <c r="CB87" s="1364"/>
      <c r="CC87" s="1381"/>
      <c r="CD87" s="1381"/>
      <c r="CE87" s="1381"/>
      <c r="CF87" s="1381"/>
      <c r="CG87" s="1381"/>
      <c r="CH87" s="1381"/>
      <c r="CI87" s="1381"/>
      <c r="CJ87" s="1381"/>
      <c r="CK87" s="1381"/>
      <c r="CL87" s="1381"/>
      <c r="CM87" s="1381"/>
      <c r="CN87" s="1381"/>
      <c r="CO87" s="1381"/>
      <c r="CP87" s="1381"/>
      <c r="CQ87" s="1381"/>
      <c r="CR87" s="1381"/>
      <c r="CS87" s="1381"/>
      <c r="CT87" s="1381"/>
      <c r="CU87" s="1381"/>
      <c r="CV87" s="1381"/>
      <c r="CW87" s="1381"/>
      <c r="CX87" s="1381"/>
      <c r="CY87" s="1381"/>
      <c r="CZ87" s="1381"/>
      <c r="DA87" s="1381"/>
      <c r="DB87" s="1381"/>
      <c r="DC87" s="1381"/>
      <c r="DD87" s="1381"/>
      <c r="DE87" s="1381"/>
      <c r="DF87" s="1381"/>
      <c r="DG87" s="1381"/>
      <c r="DH87" s="1381"/>
      <c r="DI87" s="1381"/>
      <c r="DJ87" s="1381"/>
      <c r="DK87" s="1381"/>
      <c r="DL87" s="1381"/>
      <c r="DM87" s="1381"/>
      <c r="DN87" s="1381"/>
      <c r="DO87" s="1381"/>
      <c r="DP87" s="1381"/>
      <c r="DQ87" s="1381"/>
      <c r="DR87" s="1381"/>
      <c r="DS87" s="1381"/>
      <c r="DT87" s="1381"/>
    </row>
    <row r="88" spans="1:124" ht="15" customHeight="1">
      <c r="A88" s="1118">
        <f t="shared" ca="1" si="10"/>
        <v>2</v>
      </c>
      <c r="B88" s="1890">
        <f t="shared" si="21"/>
        <v>0</v>
      </c>
      <c r="C88" s="2160">
        <f t="shared" si="35"/>
        <v>0</v>
      </c>
      <c r="D88" s="2161">
        <f t="shared" si="36"/>
        <v>0</v>
      </c>
      <c r="E88" s="2162">
        <f t="shared" si="22"/>
        <v>0</v>
      </c>
      <c r="F88" s="2162">
        <f t="shared" si="47"/>
        <v>0</v>
      </c>
      <c r="G88" s="2162">
        <f t="shared" si="48"/>
        <v>0</v>
      </c>
      <c r="H88" s="2162">
        <f t="shared" si="37"/>
        <v>0</v>
      </c>
      <c r="I88" s="2162">
        <f t="shared" si="45"/>
        <v>0</v>
      </c>
      <c r="J88" s="2162">
        <f t="shared" si="12"/>
        <v>0</v>
      </c>
      <c r="K88" s="2162">
        <f t="shared" si="13"/>
        <v>0</v>
      </c>
      <c r="L88" s="2162">
        <f t="shared" si="25"/>
        <v>0</v>
      </c>
      <c r="M88" s="2162">
        <f t="shared" si="14"/>
        <v>0</v>
      </c>
      <c r="N88" s="2162">
        <f t="shared" si="26"/>
        <v>0</v>
      </c>
      <c r="O88" s="2163"/>
      <c r="AG88" s="1756"/>
      <c r="AH88" s="1756"/>
      <c r="AI88" s="1756"/>
      <c r="AJ88" s="1989">
        <f t="shared" si="27"/>
        <v>11</v>
      </c>
      <c r="AK88" s="1900">
        <f t="shared" si="28"/>
        <v>0</v>
      </c>
      <c r="AL88" s="1907"/>
      <c r="AM88" s="1907"/>
      <c r="AN88" s="1901">
        <f t="shared" si="38"/>
        <v>0</v>
      </c>
      <c r="AO88" s="1906">
        <f t="shared" ca="1" si="29"/>
        <v>0</v>
      </c>
      <c r="AU88" s="1903">
        <f t="shared" si="39"/>
        <v>0</v>
      </c>
      <c r="AV88" s="1904">
        <f t="shared" si="30"/>
        <v>0</v>
      </c>
      <c r="AW88" s="1904">
        <f t="shared" si="31"/>
        <v>0</v>
      </c>
      <c r="AX88" s="1904"/>
      <c r="AY88" s="1904"/>
      <c r="AZ88" s="1904"/>
      <c r="BA88" s="1904"/>
      <c r="BB88" s="1897">
        <f t="shared" si="32"/>
        <v>0</v>
      </c>
      <c r="BC88" s="1897">
        <f t="shared" si="15"/>
        <v>0</v>
      </c>
      <c r="BD88" s="1898" t="e">
        <f>HLOOKUP($BD$63,anticipaplus,24,0)</f>
        <v>#N/A</v>
      </c>
      <c r="BE88" s="1899"/>
      <c r="BF88" s="1899"/>
      <c r="BG88" s="1360">
        <f t="shared" si="33"/>
        <v>0</v>
      </c>
      <c r="BH88" s="1361">
        <f t="shared" si="42"/>
        <v>23</v>
      </c>
      <c r="BI88" s="1362">
        <f t="shared" si="34"/>
        <v>0</v>
      </c>
      <c r="BJ88" s="1362">
        <f t="shared" si="16"/>
        <v>0</v>
      </c>
      <c r="BK88" s="1362">
        <f t="shared" si="40"/>
        <v>0</v>
      </c>
      <c r="BL88" s="1363">
        <f t="shared" si="17"/>
        <v>1000000</v>
      </c>
      <c r="BM88" s="1899"/>
      <c r="BN88" s="1361">
        <f t="shared" si="43"/>
        <v>23</v>
      </c>
      <c r="BO88" s="1362">
        <f t="shared" si="18"/>
        <v>0</v>
      </c>
      <c r="BP88" s="1362">
        <f t="shared" si="19"/>
        <v>8543.4723045346618</v>
      </c>
      <c r="BQ88" s="1362">
        <f t="shared" si="46"/>
        <v>8543.4723045346618</v>
      </c>
      <c r="BR88" s="1363">
        <f t="shared" si="20"/>
        <v>803500.13699570345</v>
      </c>
      <c r="BT88" s="1414"/>
      <c r="BX88" s="1364"/>
      <c r="BY88" s="1364"/>
      <c r="BZ88" s="1364"/>
      <c r="CA88" s="1364"/>
      <c r="CB88" s="1364"/>
      <c r="CC88" s="1381"/>
      <c r="CD88" s="1381"/>
      <c r="CE88" s="1381"/>
      <c r="CF88" s="1381"/>
      <c r="CG88" s="1381"/>
      <c r="CH88" s="1381"/>
      <c r="CI88" s="1381"/>
      <c r="CJ88" s="1381"/>
      <c r="CK88" s="1381"/>
      <c r="CL88" s="1381"/>
      <c r="CM88" s="1381"/>
      <c r="CN88" s="1381"/>
      <c r="CO88" s="1381"/>
      <c r="CP88" s="1381"/>
      <c r="CQ88" s="1381"/>
      <c r="CR88" s="1381"/>
      <c r="CS88" s="1381"/>
      <c r="CT88" s="1381"/>
      <c r="CU88" s="1381"/>
      <c r="CV88" s="1381"/>
      <c r="CW88" s="1381"/>
      <c r="CX88" s="1381"/>
      <c r="CY88" s="1381"/>
      <c r="CZ88" s="1381"/>
      <c r="DA88" s="1381"/>
      <c r="DB88" s="1381"/>
      <c r="DC88" s="1381"/>
      <c r="DD88" s="1381"/>
      <c r="DE88" s="1381"/>
      <c r="DF88" s="1381"/>
      <c r="DG88" s="1381"/>
      <c r="DH88" s="1381"/>
      <c r="DI88" s="1381"/>
      <c r="DJ88" s="1381"/>
      <c r="DK88" s="1381"/>
      <c r="DL88" s="1381"/>
      <c r="DM88" s="1381"/>
      <c r="DN88" s="1381"/>
      <c r="DO88" s="1381"/>
      <c r="DP88" s="1381"/>
      <c r="DQ88" s="1381"/>
      <c r="DR88" s="1381"/>
      <c r="DS88" s="1381"/>
      <c r="DT88" s="1381"/>
    </row>
    <row r="89" spans="1:124">
      <c r="A89" s="1118">
        <f t="shared" ca="1" si="10"/>
        <v>3</v>
      </c>
      <c r="B89" s="1890">
        <f t="shared" si="21"/>
        <v>0</v>
      </c>
      <c r="C89" s="2160">
        <f t="shared" si="35"/>
        <v>0</v>
      </c>
      <c r="D89" s="2161">
        <f t="shared" si="36"/>
        <v>0</v>
      </c>
      <c r="E89" s="2162">
        <f t="shared" si="22"/>
        <v>0</v>
      </c>
      <c r="F89" s="2162">
        <f t="shared" si="47"/>
        <v>0</v>
      </c>
      <c r="G89" s="2162">
        <f t="shared" si="48"/>
        <v>0</v>
      </c>
      <c r="H89" s="2162">
        <f t="shared" si="37"/>
        <v>0</v>
      </c>
      <c r="I89" s="2162">
        <f t="shared" si="45"/>
        <v>0</v>
      </c>
      <c r="J89" s="2162">
        <f t="shared" si="12"/>
        <v>0</v>
      </c>
      <c r="K89" s="2162">
        <f t="shared" si="13"/>
        <v>0</v>
      </c>
      <c r="L89" s="2162">
        <f t="shared" si="25"/>
        <v>0</v>
      </c>
      <c r="M89" s="2162">
        <f t="shared" si="14"/>
        <v>0</v>
      </c>
      <c r="N89" s="2162">
        <f t="shared" si="26"/>
        <v>0</v>
      </c>
      <c r="O89" s="2163"/>
      <c r="AG89" s="1756"/>
      <c r="AH89" s="1756"/>
      <c r="AI89" s="1756"/>
      <c r="AJ89" s="1989">
        <f t="shared" si="27"/>
        <v>12</v>
      </c>
      <c r="AK89" s="1900">
        <f t="shared" si="28"/>
        <v>0</v>
      </c>
      <c r="AL89" s="1907"/>
      <c r="AM89" s="1907"/>
      <c r="AN89" s="1901">
        <f t="shared" si="38"/>
        <v>0</v>
      </c>
      <c r="AO89" s="1906">
        <f t="shared" ca="1" si="29"/>
        <v>0</v>
      </c>
      <c r="AU89" s="1903">
        <f t="shared" si="39"/>
        <v>0</v>
      </c>
      <c r="AV89" s="1904">
        <f t="shared" si="30"/>
        <v>0</v>
      </c>
      <c r="AW89" s="1904">
        <f t="shared" si="31"/>
        <v>0</v>
      </c>
      <c r="AX89" s="1904"/>
      <c r="AY89" s="1904"/>
      <c r="AZ89" s="1904"/>
      <c r="BA89" s="1904"/>
      <c r="BB89" s="1897">
        <f t="shared" si="32"/>
        <v>0</v>
      </c>
      <c r="BC89" s="1897">
        <f t="shared" si="15"/>
        <v>0</v>
      </c>
      <c r="BD89" s="1898" t="e">
        <f>HLOOKUP($BD$63,anticipaplus,25,0)</f>
        <v>#N/A</v>
      </c>
      <c r="BE89" s="1899"/>
      <c r="BF89" s="1899"/>
      <c r="BG89" s="1360">
        <f t="shared" si="33"/>
        <v>0</v>
      </c>
      <c r="BH89" s="1361">
        <f t="shared" si="42"/>
        <v>24</v>
      </c>
      <c r="BI89" s="1362">
        <f t="shared" si="34"/>
        <v>0</v>
      </c>
      <c r="BJ89" s="1362">
        <f t="shared" si="16"/>
        <v>0</v>
      </c>
      <c r="BK89" s="1362">
        <f t="shared" si="40"/>
        <v>0</v>
      </c>
      <c r="BL89" s="1363">
        <f t="shared" si="17"/>
        <v>1000000</v>
      </c>
      <c r="BM89" s="1899"/>
      <c r="BN89" s="1361">
        <f t="shared" si="43"/>
        <v>24</v>
      </c>
      <c r="BO89" s="1362">
        <f t="shared" si="18"/>
        <v>0</v>
      </c>
      <c r="BP89" s="1362">
        <f t="shared" si="19"/>
        <v>8543.4723045346618</v>
      </c>
      <c r="BQ89" s="1362">
        <f t="shared" si="46"/>
        <v>8543.4723045346618</v>
      </c>
      <c r="BR89" s="1363">
        <f t="shared" si="20"/>
        <v>794956.66469116881</v>
      </c>
      <c r="BT89" s="1414"/>
      <c r="BX89" s="1364"/>
      <c r="BY89" s="1364"/>
      <c r="BZ89" s="1364"/>
      <c r="CA89" s="1364"/>
      <c r="CB89" s="1364"/>
      <c r="CC89" s="1381"/>
      <c r="CD89" s="1381"/>
      <c r="CE89" s="1381"/>
      <c r="CF89" s="1381"/>
      <c r="CG89" s="1381"/>
      <c r="CH89" s="1381"/>
      <c r="CI89" s="1381"/>
      <c r="CJ89" s="1381"/>
      <c r="CK89" s="1381"/>
      <c r="CL89" s="1381"/>
      <c r="CM89" s="1381"/>
      <c r="CN89" s="1381"/>
      <c r="CO89" s="1381"/>
      <c r="CP89" s="1381"/>
      <c r="CQ89" s="1381"/>
      <c r="CR89" s="1381"/>
      <c r="CS89" s="1381"/>
      <c r="CT89" s="1381"/>
      <c r="CU89" s="1381"/>
      <c r="CV89" s="1381"/>
      <c r="CW89" s="1381"/>
      <c r="CX89" s="1381"/>
      <c r="CY89" s="1381"/>
      <c r="CZ89" s="1381"/>
      <c r="DA89" s="1381"/>
      <c r="DB89" s="1381"/>
      <c r="DC89" s="1381"/>
      <c r="DD89" s="1381"/>
      <c r="DE89" s="1381"/>
      <c r="DF89" s="1381"/>
      <c r="DG89" s="1381"/>
      <c r="DH89" s="1381"/>
      <c r="DI89" s="1381"/>
      <c r="DJ89" s="1381"/>
      <c r="DK89" s="1381"/>
      <c r="DL89" s="1381"/>
      <c r="DM89" s="1381"/>
      <c r="DN89" s="1381"/>
      <c r="DO89" s="1381"/>
      <c r="DP89" s="1381"/>
      <c r="DQ89" s="1381"/>
      <c r="DR89" s="1381"/>
      <c r="DS89" s="1381"/>
      <c r="DT89" s="1381"/>
    </row>
    <row r="90" spans="1:124">
      <c r="A90" s="1118">
        <f t="shared" ca="1" si="10"/>
        <v>4</v>
      </c>
      <c r="B90" s="1890">
        <f t="shared" si="21"/>
        <v>0</v>
      </c>
      <c r="C90" s="2160">
        <f t="shared" si="35"/>
        <v>0</v>
      </c>
      <c r="D90" s="2161">
        <f t="shared" si="36"/>
        <v>0</v>
      </c>
      <c r="E90" s="2162">
        <f t="shared" si="22"/>
        <v>0</v>
      </c>
      <c r="F90" s="2162">
        <f t="shared" si="47"/>
        <v>0</v>
      </c>
      <c r="G90" s="2162">
        <f t="shared" si="48"/>
        <v>0</v>
      </c>
      <c r="H90" s="2162">
        <f t="shared" si="37"/>
        <v>0</v>
      </c>
      <c r="I90" s="2162">
        <f t="shared" si="45"/>
        <v>0</v>
      </c>
      <c r="J90" s="2162">
        <f t="shared" si="12"/>
        <v>0</v>
      </c>
      <c r="K90" s="2162">
        <f t="shared" si="13"/>
        <v>0</v>
      </c>
      <c r="L90" s="2162">
        <f t="shared" si="25"/>
        <v>0</v>
      </c>
      <c r="M90" s="2162">
        <f t="shared" si="14"/>
        <v>0</v>
      </c>
      <c r="N90" s="2162">
        <f t="shared" si="26"/>
        <v>0</v>
      </c>
      <c r="O90" s="2163"/>
      <c r="AG90" s="1756"/>
      <c r="AH90" s="1756"/>
      <c r="AI90" s="1756"/>
      <c r="AJ90" s="1989">
        <f t="shared" si="27"/>
        <v>1</v>
      </c>
      <c r="AK90" s="1900">
        <f t="shared" si="28"/>
        <v>0</v>
      </c>
      <c r="AL90" s="1907"/>
      <c r="AM90" s="1907"/>
      <c r="AN90" s="1901">
        <f t="shared" si="38"/>
        <v>0</v>
      </c>
      <c r="AO90" s="1906">
        <f t="shared" ca="1" si="29"/>
        <v>0</v>
      </c>
      <c r="AU90" s="1903">
        <f t="shared" si="39"/>
        <v>0</v>
      </c>
      <c r="AV90" s="1904">
        <f t="shared" si="30"/>
        <v>0</v>
      </c>
      <c r="AW90" s="1904">
        <f t="shared" si="31"/>
        <v>0</v>
      </c>
      <c r="AX90" s="1904"/>
      <c r="AY90" s="1904"/>
      <c r="AZ90" s="1904"/>
      <c r="BA90" s="1904"/>
      <c r="BB90" s="1897">
        <f t="shared" si="32"/>
        <v>0</v>
      </c>
      <c r="BC90" s="1897">
        <f t="shared" si="15"/>
        <v>0</v>
      </c>
      <c r="BD90" s="1898" t="e">
        <f>HLOOKUP($BD$63,anticipaplus,26,0)</f>
        <v>#N/A</v>
      </c>
      <c r="BE90" s="1899"/>
      <c r="BF90" s="1899"/>
      <c r="BG90" s="1360">
        <f t="shared" si="33"/>
        <v>0</v>
      </c>
      <c r="BH90" s="1377">
        <f t="shared" si="42"/>
        <v>25</v>
      </c>
      <c r="BI90" s="1378">
        <f t="shared" si="34"/>
        <v>0</v>
      </c>
      <c r="BJ90" s="1378">
        <f t="shared" si="16"/>
        <v>0</v>
      </c>
      <c r="BK90" s="1378">
        <f>MIN(BL89+BI90,BK89*(1+$BI$61))</f>
        <v>0</v>
      </c>
      <c r="BL90" s="1363">
        <f t="shared" si="17"/>
        <v>1000000</v>
      </c>
      <c r="BM90" s="1899"/>
      <c r="BN90" s="1379">
        <f t="shared" si="43"/>
        <v>25</v>
      </c>
      <c r="BO90" s="1380">
        <f t="shared" si="18"/>
        <v>0</v>
      </c>
      <c r="BP90" s="1380">
        <f t="shared" si="19"/>
        <v>8543.4723045346618</v>
      </c>
      <c r="BQ90" s="1380">
        <f>MIN(BR89+BO90,BQ89*(1+$BO$61))</f>
        <v>8543.4723045346618</v>
      </c>
      <c r="BR90" s="1363">
        <f t="shared" si="20"/>
        <v>786413.19238663418</v>
      </c>
      <c r="BT90" s="1414"/>
      <c r="BX90" s="1364"/>
      <c r="BY90" s="1364"/>
      <c r="BZ90" s="1364"/>
      <c r="CA90" s="1364"/>
      <c r="CB90" s="1364"/>
      <c r="CC90" s="1381"/>
      <c r="CD90" s="1381"/>
      <c r="CE90" s="1381"/>
      <c r="CF90" s="1381"/>
      <c r="CG90" s="1381"/>
      <c r="CH90" s="1381"/>
      <c r="CI90" s="1381"/>
      <c r="CJ90" s="1381"/>
      <c r="CK90" s="1381"/>
      <c r="CL90" s="1381"/>
      <c r="CM90" s="1381"/>
      <c r="CN90" s="1381"/>
      <c r="CO90" s="1381"/>
      <c r="CP90" s="1381"/>
      <c r="CQ90" s="1381"/>
      <c r="CR90" s="1381"/>
      <c r="CS90" s="1381"/>
      <c r="CT90" s="1381"/>
      <c r="CU90" s="1381"/>
      <c r="CV90" s="1381"/>
      <c r="CW90" s="1381"/>
      <c r="CX90" s="1381"/>
      <c r="CY90" s="1381"/>
      <c r="CZ90" s="1381"/>
      <c r="DA90" s="1381"/>
      <c r="DB90" s="1381"/>
      <c r="DC90" s="1381"/>
      <c r="DD90" s="1381"/>
      <c r="DE90" s="1381"/>
      <c r="DF90" s="1381"/>
      <c r="DG90" s="1381"/>
      <c r="DH90" s="1381"/>
      <c r="DI90" s="1381"/>
      <c r="DJ90" s="1381"/>
      <c r="DK90" s="1381"/>
      <c r="DL90" s="1381"/>
      <c r="DM90" s="1381"/>
      <c r="DN90" s="1381"/>
      <c r="DO90" s="1381"/>
      <c r="DP90" s="1381"/>
      <c r="DQ90" s="1381"/>
      <c r="DR90" s="1381"/>
      <c r="DS90" s="1381"/>
      <c r="DT90" s="1381"/>
    </row>
    <row r="91" spans="1:124">
      <c r="A91" s="1118">
        <f t="shared" ca="1" si="10"/>
        <v>5</v>
      </c>
      <c r="B91" s="1890">
        <f t="shared" si="21"/>
        <v>0</v>
      </c>
      <c r="C91" s="2160">
        <f t="shared" si="35"/>
        <v>0</v>
      </c>
      <c r="D91" s="2161">
        <f t="shared" si="36"/>
        <v>0</v>
      </c>
      <c r="E91" s="2162">
        <f t="shared" si="22"/>
        <v>0</v>
      </c>
      <c r="F91" s="2162">
        <f t="shared" si="47"/>
        <v>0</v>
      </c>
      <c r="G91" s="2162">
        <f t="shared" si="48"/>
        <v>0</v>
      </c>
      <c r="H91" s="2162">
        <f t="shared" si="37"/>
        <v>0</v>
      </c>
      <c r="I91" s="2162">
        <f t="shared" si="45"/>
        <v>0</v>
      </c>
      <c r="J91" s="2162">
        <f t="shared" si="12"/>
        <v>0</v>
      </c>
      <c r="K91" s="2162">
        <f t="shared" si="13"/>
        <v>0</v>
      </c>
      <c r="L91" s="2162">
        <f t="shared" si="25"/>
        <v>0</v>
      </c>
      <c r="M91" s="2162">
        <f t="shared" si="14"/>
        <v>0</v>
      </c>
      <c r="N91" s="2162">
        <f t="shared" si="26"/>
        <v>0</v>
      </c>
      <c r="O91" s="2163"/>
      <c r="AG91" s="1756"/>
      <c r="AH91" s="1756"/>
      <c r="AI91" s="1756"/>
      <c r="AJ91" s="1989">
        <f t="shared" si="27"/>
        <v>2</v>
      </c>
      <c r="AK91" s="1900">
        <f t="shared" si="28"/>
        <v>0</v>
      </c>
      <c r="AL91" s="1907"/>
      <c r="AM91" s="1907"/>
      <c r="AN91" s="1901">
        <f t="shared" si="38"/>
        <v>0</v>
      </c>
      <c r="AO91" s="1906">
        <f t="shared" ca="1" si="29"/>
        <v>0</v>
      </c>
      <c r="AU91" s="1903">
        <f t="shared" si="39"/>
        <v>0</v>
      </c>
      <c r="AV91" s="1904">
        <f t="shared" si="30"/>
        <v>0</v>
      </c>
      <c r="AW91" s="1904">
        <f t="shared" si="31"/>
        <v>0</v>
      </c>
      <c r="AX91" s="1904"/>
      <c r="AY91" s="1904"/>
      <c r="AZ91" s="1904"/>
      <c r="BA91" s="1904"/>
      <c r="BB91" s="1897">
        <f t="shared" si="32"/>
        <v>0</v>
      </c>
      <c r="BC91" s="1897">
        <f t="shared" si="15"/>
        <v>0</v>
      </c>
      <c r="BD91" s="1898" t="e">
        <f>HLOOKUP($BD$63,anticipaplus,27,0)</f>
        <v>#N/A</v>
      </c>
      <c r="BE91" s="1899"/>
      <c r="BF91" s="1899"/>
      <c r="BG91" s="1360">
        <f t="shared" si="33"/>
        <v>0</v>
      </c>
      <c r="BH91" s="1361">
        <f t="shared" si="42"/>
        <v>26</v>
      </c>
      <c r="BI91" s="1362">
        <f t="shared" si="34"/>
        <v>0</v>
      </c>
      <c r="BJ91" s="1362">
        <f t="shared" si="16"/>
        <v>0</v>
      </c>
      <c r="BK91" s="1362">
        <f t="shared" si="40"/>
        <v>0</v>
      </c>
      <c r="BL91" s="1363">
        <f t="shared" si="17"/>
        <v>1000000</v>
      </c>
      <c r="BM91" s="1899"/>
      <c r="BN91" s="1361">
        <f t="shared" si="43"/>
        <v>26</v>
      </c>
      <c r="BO91" s="1362">
        <f t="shared" si="18"/>
        <v>0</v>
      </c>
      <c r="BP91" s="1362">
        <f t="shared" si="19"/>
        <v>8543.4723045346618</v>
      </c>
      <c r="BQ91" s="1362">
        <f t="shared" ref="BQ91:BQ101" si="49">MIN(BR90+BO91,BQ90)</f>
        <v>8543.4723045346618</v>
      </c>
      <c r="BR91" s="1363">
        <f t="shared" si="20"/>
        <v>777869.72008209955</v>
      </c>
      <c r="BT91" s="1414"/>
      <c r="BX91" s="1364"/>
      <c r="BY91" s="1364"/>
      <c r="BZ91" s="1364"/>
      <c r="CA91" s="1364"/>
      <c r="CB91" s="1364"/>
      <c r="CC91" s="1381"/>
      <c r="CD91" s="1381"/>
      <c r="CE91" s="1381"/>
      <c r="CF91" s="1381"/>
      <c r="CG91" s="1381"/>
      <c r="CH91" s="1381"/>
      <c r="CI91" s="1381"/>
      <c r="CJ91" s="1381"/>
      <c r="CK91" s="1381"/>
      <c r="CL91" s="1381"/>
      <c r="CM91" s="1381"/>
      <c r="CN91" s="1381"/>
      <c r="CO91" s="1381"/>
      <c r="CP91" s="1381"/>
      <c r="CQ91" s="1381"/>
      <c r="CR91" s="1381"/>
      <c r="CS91" s="1381"/>
      <c r="CT91" s="1381"/>
      <c r="CU91" s="1381"/>
      <c r="CV91" s="1381"/>
      <c r="CW91" s="1381"/>
      <c r="CX91" s="1381"/>
      <c r="CY91" s="1381"/>
      <c r="CZ91" s="1381"/>
      <c r="DA91" s="1381"/>
      <c r="DB91" s="1381"/>
      <c r="DC91" s="1381"/>
      <c r="DD91" s="1381"/>
      <c r="DE91" s="1381"/>
      <c r="DF91" s="1381"/>
      <c r="DG91" s="1381"/>
      <c r="DH91" s="1381"/>
      <c r="DI91" s="1381"/>
      <c r="DJ91" s="1381"/>
      <c r="DK91" s="1381"/>
      <c r="DL91" s="1381"/>
      <c r="DM91" s="1381"/>
      <c r="DN91" s="1381"/>
      <c r="DO91" s="1381"/>
      <c r="DP91" s="1381"/>
      <c r="DQ91" s="1381"/>
      <c r="DR91" s="1381"/>
      <c r="DS91" s="1381"/>
      <c r="DT91" s="1381"/>
    </row>
    <row r="92" spans="1:124" ht="12.75" customHeight="1">
      <c r="A92" s="1118">
        <f t="shared" ca="1" si="10"/>
        <v>6</v>
      </c>
      <c r="B92" s="1890">
        <f t="shared" si="21"/>
        <v>0</v>
      </c>
      <c r="C92" s="2160">
        <f t="shared" si="35"/>
        <v>0</v>
      </c>
      <c r="D92" s="2161">
        <f t="shared" si="36"/>
        <v>0</v>
      </c>
      <c r="E92" s="2162">
        <f t="shared" si="22"/>
        <v>0</v>
      </c>
      <c r="F92" s="2162">
        <f t="shared" si="47"/>
        <v>0</v>
      </c>
      <c r="G92" s="2162">
        <f t="shared" si="48"/>
        <v>0</v>
      </c>
      <c r="H92" s="2162">
        <f t="shared" si="37"/>
        <v>0</v>
      </c>
      <c r="I92" s="2162">
        <f t="shared" si="45"/>
        <v>0</v>
      </c>
      <c r="J92" s="2162">
        <f t="shared" si="12"/>
        <v>0</v>
      </c>
      <c r="K92" s="2162">
        <f t="shared" si="13"/>
        <v>0</v>
      </c>
      <c r="L92" s="2162">
        <f t="shared" si="25"/>
        <v>0</v>
      </c>
      <c r="M92" s="2162">
        <f t="shared" si="14"/>
        <v>0</v>
      </c>
      <c r="N92" s="2162">
        <f t="shared" si="26"/>
        <v>0</v>
      </c>
      <c r="O92" s="2163"/>
      <c r="AG92" s="1756"/>
      <c r="AH92" s="1756"/>
      <c r="AI92" s="1756"/>
      <c r="AJ92" s="1989">
        <f t="shared" si="27"/>
        <v>3</v>
      </c>
      <c r="AK92" s="1900">
        <f t="shared" si="28"/>
        <v>0</v>
      </c>
      <c r="AL92" s="1907"/>
      <c r="AM92" s="1907"/>
      <c r="AN92" s="1901">
        <f t="shared" si="38"/>
        <v>0</v>
      </c>
      <c r="AO92" s="1906">
        <f t="shared" ca="1" si="29"/>
        <v>0</v>
      </c>
      <c r="AU92" s="1903">
        <f t="shared" si="39"/>
        <v>0</v>
      </c>
      <c r="AV92" s="1904">
        <f t="shared" si="30"/>
        <v>0</v>
      </c>
      <c r="AW92" s="1904">
        <f t="shared" si="31"/>
        <v>0</v>
      </c>
      <c r="AX92" s="1904"/>
      <c r="AY92" s="1904"/>
      <c r="AZ92" s="1904"/>
      <c r="BA92" s="1904"/>
      <c r="BB92" s="1897">
        <f t="shared" si="32"/>
        <v>0</v>
      </c>
      <c r="BC92" s="1897">
        <f t="shared" si="15"/>
        <v>0</v>
      </c>
      <c r="BD92" s="1898" t="e">
        <f>HLOOKUP($BD$63,anticipaplus,28,0)</f>
        <v>#N/A</v>
      </c>
      <c r="BE92" s="1899"/>
      <c r="BF92" s="1899"/>
      <c r="BG92" s="1360">
        <f t="shared" si="33"/>
        <v>0</v>
      </c>
      <c r="BH92" s="1361">
        <f t="shared" si="42"/>
        <v>27</v>
      </c>
      <c r="BI92" s="1362">
        <f t="shared" si="34"/>
        <v>0</v>
      </c>
      <c r="BJ92" s="1362">
        <f t="shared" si="16"/>
        <v>0</v>
      </c>
      <c r="BK92" s="1362">
        <f t="shared" si="40"/>
        <v>0</v>
      </c>
      <c r="BL92" s="1363">
        <f t="shared" si="17"/>
        <v>1000000</v>
      </c>
      <c r="BM92" s="1899"/>
      <c r="BN92" s="1361">
        <f t="shared" si="43"/>
        <v>27</v>
      </c>
      <c r="BO92" s="1362">
        <f t="shared" si="18"/>
        <v>0</v>
      </c>
      <c r="BP92" s="1362">
        <f t="shared" si="19"/>
        <v>8543.4723045346618</v>
      </c>
      <c r="BQ92" s="1362">
        <f t="shared" si="49"/>
        <v>8543.4723045346618</v>
      </c>
      <c r="BR92" s="1363">
        <f t="shared" si="20"/>
        <v>769326.24777756492</v>
      </c>
      <c r="BT92" s="1414"/>
      <c r="BX92" s="1364"/>
      <c r="BY92" s="1364"/>
      <c r="BZ92" s="1364"/>
      <c r="CA92" s="1364"/>
      <c r="CB92" s="1364"/>
      <c r="CC92" s="1381"/>
      <c r="CD92" s="1381"/>
      <c r="CE92" s="1381"/>
      <c r="CF92" s="1381"/>
      <c r="CG92" s="1381"/>
      <c r="CH92" s="1381"/>
      <c r="CI92" s="1381"/>
      <c r="CJ92" s="1381"/>
      <c r="CK92" s="1381"/>
      <c r="CL92" s="1381"/>
      <c r="CM92" s="1381"/>
      <c r="CN92" s="1381"/>
      <c r="CO92" s="1381"/>
      <c r="CP92" s="1381"/>
      <c r="CQ92" s="1381"/>
      <c r="CR92" s="1381"/>
      <c r="CS92" s="1381"/>
      <c r="CT92" s="1381"/>
      <c r="CU92" s="1381"/>
      <c r="CV92" s="1381"/>
      <c r="CW92" s="1381"/>
      <c r="CX92" s="1381"/>
      <c r="CY92" s="1381"/>
      <c r="CZ92" s="1381"/>
      <c r="DA92" s="1381"/>
      <c r="DB92" s="1381"/>
      <c r="DC92" s="1381"/>
      <c r="DD92" s="1381"/>
      <c r="DE92" s="1381"/>
      <c r="DF92" s="1381"/>
      <c r="DG92" s="1381"/>
      <c r="DH92" s="1381"/>
      <c r="DI92" s="1381"/>
      <c r="DJ92" s="1381"/>
      <c r="DK92" s="1381"/>
      <c r="DL92" s="1381"/>
      <c r="DM92" s="1381"/>
      <c r="DN92" s="1381"/>
      <c r="DO92" s="1381"/>
      <c r="DP92" s="1381"/>
      <c r="DQ92" s="1381"/>
      <c r="DR92" s="1381"/>
      <c r="DS92" s="1381"/>
      <c r="DT92" s="1381"/>
    </row>
    <row r="93" spans="1:124" ht="12.75" customHeight="1">
      <c r="A93" s="1118">
        <f t="shared" ca="1" si="10"/>
        <v>7</v>
      </c>
      <c r="B93" s="1890">
        <f t="shared" si="21"/>
        <v>0</v>
      </c>
      <c r="C93" s="2160">
        <f t="shared" si="35"/>
        <v>0</v>
      </c>
      <c r="D93" s="2161">
        <f t="shared" si="36"/>
        <v>0</v>
      </c>
      <c r="E93" s="2162">
        <f t="shared" si="22"/>
        <v>0</v>
      </c>
      <c r="F93" s="2162">
        <f t="shared" si="47"/>
        <v>0</v>
      </c>
      <c r="G93" s="2162">
        <f t="shared" si="48"/>
        <v>0</v>
      </c>
      <c r="H93" s="2162">
        <f t="shared" si="37"/>
        <v>0</v>
      </c>
      <c r="I93" s="2162">
        <f t="shared" si="45"/>
        <v>0</v>
      </c>
      <c r="J93" s="2162">
        <f t="shared" si="12"/>
        <v>0</v>
      </c>
      <c r="K93" s="2162">
        <f t="shared" si="13"/>
        <v>0</v>
      </c>
      <c r="L93" s="2162">
        <f t="shared" si="25"/>
        <v>0</v>
      </c>
      <c r="M93" s="2162">
        <f t="shared" si="14"/>
        <v>0</v>
      </c>
      <c r="N93" s="2162">
        <f t="shared" si="26"/>
        <v>0</v>
      </c>
      <c r="O93" s="2163"/>
      <c r="AG93" s="1756"/>
      <c r="AH93" s="1756"/>
      <c r="AI93" s="1756"/>
      <c r="AJ93" s="1989">
        <f t="shared" si="27"/>
        <v>4</v>
      </c>
      <c r="AK93" s="1900">
        <f t="shared" si="28"/>
        <v>0</v>
      </c>
      <c r="AL93" s="1907"/>
      <c r="AM93" s="1907"/>
      <c r="AN93" s="1901">
        <f t="shared" si="38"/>
        <v>0</v>
      </c>
      <c r="AO93" s="1906">
        <f t="shared" ca="1" si="29"/>
        <v>0</v>
      </c>
      <c r="AU93" s="1903">
        <f t="shared" si="39"/>
        <v>0</v>
      </c>
      <c r="AV93" s="1904">
        <f t="shared" si="30"/>
        <v>0</v>
      </c>
      <c r="AW93" s="1904">
        <f t="shared" si="31"/>
        <v>0</v>
      </c>
      <c r="AX93" s="1904"/>
      <c r="AY93" s="1904"/>
      <c r="AZ93" s="1904"/>
      <c r="BA93" s="1904"/>
      <c r="BB93" s="1897">
        <f t="shared" si="32"/>
        <v>0</v>
      </c>
      <c r="BC93" s="1897">
        <f t="shared" si="15"/>
        <v>0</v>
      </c>
      <c r="BD93" s="1898" t="e">
        <f>HLOOKUP($BD$63,anticipaplus,29,0)</f>
        <v>#N/A</v>
      </c>
      <c r="BE93" s="1899"/>
      <c r="BF93" s="1899"/>
      <c r="BG93" s="1360">
        <f t="shared" si="33"/>
        <v>0</v>
      </c>
      <c r="BH93" s="1361">
        <f t="shared" si="42"/>
        <v>28</v>
      </c>
      <c r="BI93" s="1362">
        <f t="shared" si="34"/>
        <v>0</v>
      </c>
      <c r="BJ93" s="1362">
        <f t="shared" si="16"/>
        <v>0</v>
      </c>
      <c r="BK93" s="1362">
        <f t="shared" si="40"/>
        <v>0</v>
      </c>
      <c r="BL93" s="1363">
        <f t="shared" si="17"/>
        <v>1000000</v>
      </c>
      <c r="BM93" s="1899"/>
      <c r="BN93" s="1361">
        <f t="shared" si="43"/>
        <v>28</v>
      </c>
      <c r="BO93" s="1362">
        <f t="shared" si="18"/>
        <v>0</v>
      </c>
      <c r="BP93" s="1362">
        <f t="shared" si="19"/>
        <v>8543.4723045346618</v>
      </c>
      <c r="BQ93" s="1362">
        <f t="shared" si="49"/>
        <v>8543.4723045346618</v>
      </c>
      <c r="BR93" s="1363">
        <f t="shared" si="20"/>
        <v>760782.77547303028</v>
      </c>
      <c r="BT93" s="1414"/>
      <c r="BX93" s="1364"/>
      <c r="BY93" s="1364"/>
      <c r="BZ93" s="1364"/>
      <c r="CA93" s="1364"/>
      <c r="CB93" s="1364"/>
      <c r="CC93" s="1381"/>
      <c r="CD93" s="1381"/>
      <c r="CE93" s="1381"/>
      <c r="CF93" s="1381"/>
      <c r="CG93" s="1381"/>
      <c r="CH93" s="1381"/>
      <c r="CI93" s="1381"/>
      <c r="CJ93" s="1381"/>
      <c r="CK93" s="1381"/>
      <c r="CL93" s="1381"/>
      <c r="CM93" s="1381"/>
      <c r="CN93" s="1381"/>
      <c r="CO93" s="1381"/>
      <c r="CP93" s="1381"/>
      <c r="CQ93" s="1381"/>
      <c r="CR93" s="1381"/>
      <c r="CS93" s="1381"/>
      <c r="CT93" s="1381"/>
      <c r="CU93" s="1381"/>
      <c r="CV93" s="1381"/>
      <c r="CW93" s="1381"/>
      <c r="CX93" s="1381"/>
      <c r="CY93" s="1381"/>
      <c r="CZ93" s="1381"/>
      <c r="DA93" s="1381"/>
      <c r="DB93" s="1381"/>
      <c r="DC93" s="1381"/>
      <c r="DD93" s="1381"/>
      <c r="DE93" s="1381"/>
      <c r="DF93" s="1381"/>
      <c r="DG93" s="1381"/>
      <c r="DH93" s="1381"/>
      <c r="DI93" s="1381"/>
      <c r="DJ93" s="1381"/>
      <c r="DK93" s="1381"/>
      <c r="DL93" s="1381"/>
      <c r="DM93" s="1381"/>
      <c r="DN93" s="1381"/>
      <c r="DO93" s="1381"/>
      <c r="DP93" s="1381"/>
      <c r="DQ93" s="1381"/>
      <c r="DR93" s="1381"/>
      <c r="DS93" s="1381"/>
      <c r="DT93" s="1381"/>
    </row>
    <row r="94" spans="1:124">
      <c r="A94" s="1118">
        <f t="shared" ca="1" si="10"/>
        <v>8</v>
      </c>
      <c r="B94" s="1890">
        <f t="shared" si="21"/>
        <v>0</v>
      </c>
      <c r="C94" s="2160">
        <f t="shared" si="35"/>
        <v>0</v>
      </c>
      <c r="D94" s="2161">
        <f t="shared" si="36"/>
        <v>0</v>
      </c>
      <c r="E94" s="2162">
        <f t="shared" si="22"/>
        <v>0</v>
      </c>
      <c r="F94" s="2162">
        <f t="shared" si="47"/>
        <v>0</v>
      </c>
      <c r="G94" s="2162">
        <f t="shared" si="48"/>
        <v>0</v>
      </c>
      <c r="H94" s="2162">
        <f t="shared" si="37"/>
        <v>0</v>
      </c>
      <c r="I94" s="2162">
        <f t="shared" si="45"/>
        <v>0</v>
      </c>
      <c r="J94" s="2162">
        <f t="shared" si="12"/>
        <v>0</v>
      </c>
      <c r="K94" s="2162">
        <f t="shared" si="13"/>
        <v>0</v>
      </c>
      <c r="L94" s="2162">
        <f t="shared" si="25"/>
        <v>0</v>
      </c>
      <c r="M94" s="2162">
        <f t="shared" si="14"/>
        <v>0</v>
      </c>
      <c r="N94" s="2162">
        <f t="shared" si="26"/>
        <v>0</v>
      </c>
      <c r="O94" s="2163"/>
      <c r="AG94" s="1756"/>
      <c r="AH94" s="1756"/>
      <c r="AI94" s="1756"/>
      <c r="AJ94" s="1989">
        <f t="shared" si="27"/>
        <v>5</v>
      </c>
      <c r="AK94" s="1900">
        <f t="shared" si="28"/>
        <v>0</v>
      </c>
      <c r="AL94" s="1907"/>
      <c r="AM94" s="1907"/>
      <c r="AN94" s="1901">
        <f t="shared" si="38"/>
        <v>0</v>
      </c>
      <c r="AO94" s="1906">
        <f t="shared" ca="1" si="29"/>
        <v>0</v>
      </c>
      <c r="AU94" s="1903">
        <f t="shared" si="39"/>
        <v>0</v>
      </c>
      <c r="AV94" s="1904">
        <f t="shared" si="30"/>
        <v>0</v>
      </c>
      <c r="AW94" s="1904">
        <f t="shared" si="31"/>
        <v>0</v>
      </c>
      <c r="AX94" s="1904"/>
      <c r="AY94" s="1904"/>
      <c r="AZ94" s="1904"/>
      <c r="BA94" s="1904"/>
      <c r="BB94" s="1897">
        <f t="shared" si="32"/>
        <v>0</v>
      </c>
      <c r="BC94" s="1897">
        <f t="shared" si="15"/>
        <v>0</v>
      </c>
      <c r="BD94" s="1898" t="e">
        <f>HLOOKUP($BD$63,anticipaplus,30,0)</f>
        <v>#N/A</v>
      </c>
      <c r="BE94" s="1899"/>
      <c r="BF94" s="1899"/>
      <c r="BG94" s="1360">
        <f t="shared" si="33"/>
        <v>0</v>
      </c>
      <c r="BH94" s="1361">
        <f t="shared" si="42"/>
        <v>29</v>
      </c>
      <c r="BI94" s="1362">
        <f t="shared" si="34"/>
        <v>0</v>
      </c>
      <c r="BJ94" s="1362">
        <f t="shared" si="16"/>
        <v>0</v>
      </c>
      <c r="BK94" s="1362">
        <f t="shared" si="40"/>
        <v>0</v>
      </c>
      <c r="BL94" s="1363">
        <f t="shared" si="17"/>
        <v>1000000</v>
      </c>
      <c r="BM94" s="1899"/>
      <c r="BN94" s="1361">
        <f t="shared" si="43"/>
        <v>29</v>
      </c>
      <c r="BO94" s="1362">
        <f t="shared" si="18"/>
        <v>0</v>
      </c>
      <c r="BP94" s="1362">
        <f t="shared" si="19"/>
        <v>8543.4723045346618</v>
      </c>
      <c r="BQ94" s="1362">
        <f t="shared" si="49"/>
        <v>8543.4723045346618</v>
      </c>
      <c r="BR94" s="1363">
        <f t="shared" si="20"/>
        <v>752239.30316849565</v>
      </c>
      <c r="BT94" s="1414"/>
      <c r="BX94" s="1364"/>
      <c r="BY94" s="1364"/>
      <c r="BZ94" s="1364"/>
      <c r="CA94" s="1364"/>
      <c r="CB94" s="1364"/>
      <c r="CC94" s="1381"/>
      <c r="CD94" s="1381"/>
      <c r="CE94" s="1381"/>
      <c r="CF94" s="1381"/>
      <c r="CG94" s="1381"/>
      <c r="CH94" s="1381"/>
      <c r="CI94" s="1381"/>
      <c r="CJ94" s="1381"/>
      <c r="CK94" s="1381"/>
      <c r="CL94" s="1381"/>
      <c r="CM94" s="1381"/>
      <c r="CN94" s="1381"/>
      <c r="CO94" s="1381"/>
      <c r="CP94" s="1381"/>
      <c r="CQ94" s="1381"/>
      <c r="CR94" s="1381"/>
      <c r="CS94" s="1381"/>
      <c r="CT94" s="1381"/>
      <c r="CU94" s="1381"/>
      <c r="CV94" s="1381"/>
      <c r="CW94" s="1381"/>
      <c r="CX94" s="1381"/>
      <c r="CY94" s="1381"/>
      <c r="CZ94" s="1381"/>
      <c r="DA94" s="1381"/>
      <c r="DB94" s="1381"/>
      <c r="DC94" s="1381"/>
      <c r="DD94" s="1381"/>
      <c r="DE94" s="1381"/>
      <c r="DF94" s="1381"/>
      <c r="DG94" s="1381"/>
      <c r="DH94" s="1381"/>
      <c r="DI94" s="1381"/>
      <c r="DJ94" s="1381"/>
      <c r="DK94" s="1381"/>
      <c r="DL94" s="1381"/>
      <c r="DM94" s="1381"/>
      <c r="DN94" s="1381"/>
      <c r="DO94" s="1381"/>
      <c r="DP94" s="1381"/>
      <c r="DQ94" s="1381"/>
      <c r="DR94" s="1381"/>
      <c r="DS94" s="1381"/>
      <c r="DT94" s="1381"/>
    </row>
    <row r="95" spans="1:124">
      <c r="A95" s="1118">
        <f t="shared" ca="1" si="10"/>
        <v>9</v>
      </c>
      <c r="B95" s="1890">
        <f t="shared" si="21"/>
        <v>0</v>
      </c>
      <c r="C95" s="2160">
        <f t="shared" si="35"/>
        <v>0</v>
      </c>
      <c r="D95" s="2161">
        <f t="shared" si="36"/>
        <v>0</v>
      </c>
      <c r="E95" s="2162">
        <f t="shared" si="22"/>
        <v>0</v>
      </c>
      <c r="F95" s="2162">
        <f t="shared" si="47"/>
        <v>0</v>
      </c>
      <c r="G95" s="2162">
        <f t="shared" si="48"/>
        <v>0</v>
      </c>
      <c r="H95" s="2162">
        <f t="shared" si="37"/>
        <v>0</v>
      </c>
      <c r="I95" s="2162">
        <f t="shared" si="45"/>
        <v>0</v>
      </c>
      <c r="J95" s="2162">
        <f t="shared" si="12"/>
        <v>0</v>
      </c>
      <c r="K95" s="2162">
        <f t="shared" si="13"/>
        <v>0</v>
      </c>
      <c r="L95" s="2162">
        <f t="shared" si="25"/>
        <v>0</v>
      </c>
      <c r="M95" s="2162">
        <f t="shared" si="14"/>
        <v>0</v>
      </c>
      <c r="N95" s="2162">
        <f t="shared" si="26"/>
        <v>0</v>
      </c>
      <c r="O95" s="2163"/>
      <c r="AG95" s="1756"/>
      <c r="AH95" s="1756"/>
      <c r="AI95" s="1756"/>
      <c r="AJ95" s="1989">
        <f t="shared" si="27"/>
        <v>6</v>
      </c>
      <c r="AK95" s="1900">
        <f t="shared" si="28"/>
        <v>0</v>
      </c>
      <c r="AL95" s="1907"/>
      <c r="AM95" s="1907"/>
      <c r="AN95" s="1901">
        <f t="shared" si="38"/>
        <v>0</v>
      </c>
      <c r="AO95" s="1906">
        <f t="shared" ca="1" si="29"/>
        <v>0</v>
      </c>
      <c r="AU95" s="1903">
        <f t="shared" si="39"/>
        <v>0</v>
      </c>
      <c r="AV95" s="1904">
        <f t="shared" si="30"/>
        <v>0</v>
      </c>
      <c r="AW95" s="1904">
        <f t="shared" si="31"/>
        <v>0</v>
      </c>
      <c r="AX95" s="1904"/>
      <c r="AY95" s="1904"/>
      <c r="AZ95" s="1904"/>
      <c r="BA95" s="1904"/>
      <c r="BB95" s="1897">
        <f t="shared" si="32"/>
        <v>0</v>
      </c>
      <c r="BC95" s="1897">
        <f t="shared" si="15"/>
        <v>0</v>
      </c>
      <c r="BD95" s="1898" t="e">
        <f>HLOOKUP($BD$63,anticipaplus,31,0)</f>
        <v>#N/A</v>
      </c>
      <c r="BE95" s="1899"/>
      <c r="BF95" s="1899"/>
      <c r="BG95" s="1360">
        <f t="shared" si="33"/>
        <v>0</v>
      </c>
      <c r="BH95" s="1361">
        <f t="shared" si="42"/>
        <v>30</v>
      </c>
      <c r="BI95" s="1362">
        <f t="shared" si="34"/>
        <v>0</v>
      </c>
      <c r="BJ95" s="1362">
        <f t="shared" si="16"/>
        <v>0</v>
      </c>
      <c r="BK95" s="1362">
        <f t="shared" si="40"/>
        <v>0</v>
      </c>
      <c r="BL95" s="1363">
        <f t="shared" si="17"/>
        <v>1000000</v>
      </c>
      <c r="BM95" s="1899"/>
      <c r="BN95" s="1361">
        <f t="shared" si="43"/>
        <v>30</v>
      </c>
      <c r="BO95" s="1362">
        <f t="shared" si="18"/>
        <v>0</v>
      </c>
      <c r="BP95" s="1362">
        <f t="shared" si="19"/>
        <v>8543.4723045346618</v>
      </c>
      <c r="BQ95" s="1362">
        <f t="shared" si="49"/>
        <v>8543.4723045346618</v>
      </c>
      <c r="BR95" s="1363">
        <f t="shared" si="20"/>
        <v>743695.83086396102</v>
      </c>
      <c r="BT95" s="1414"/>
      <c r="BX95" s="1364"/>
      <c r="BY95" s="1364"/>
      <c r="BZ95" s="1364"/>
      <c r="CA95" s="1364"/>
      <c r="CB95" s="1364"/>
      <c r="CG95" s="1381"/>
      <c r="CH95" s="1381"/>
      <c r="CI95" s="1381"/>
      <c r="CJ95" s="1381"/>
      <c r="CK95" s="1381"/>
      <c r="CL95" s="1381"/>
      <c r="CM95" s="1381"/>
      <c r="CN95" s="1381"/>
      <c r="CO95" s="1381"/>
      <c r="CP95" s="1381"/>
      <c r="CQ95" s="1381"/>
      <c r="CR95" s="1381"/>
      <c r="CS95" s="1381"/>
      <c r="CT95" s="1381"/>
      <c r="CU95" s="1381"/>
      <c r="CV95" s="1381"/>
      <c r="CW95" s="1381"/>
      <c r="CX95" s="1381"/>
      <c r="CY95" s="1381"/>
      <c r="CZ95" s="1381"/>
      <c r="DA95" s="1381"/>
      <c r="DB95" s="1381"/>
      <c r="DC95" s="1381"/>
      <c r="DD95" s="1381"/>
      <c r="DE95" s="1381"/>
      <c r="DF95" s="1381"/>
      <c r="DG95" s="1381"/>
      <c r="DH95" s="1381"/>
      <c r="DI95" s="1381"/>
      <c r="DJ95" s="1381"/>
      <c r="DK95" s="1381"/>
      <c r="DL95" s="1381"/>
      <c r="DM95" s="1381"/>
      <c r="DN95" s="1381"/>
      <c r="DO95" s="1381"/>
      <c r="DP95" s="1381"/>
      <c r="DQ95" s="1381"/>
      <c r="DR95" s="1381"/>
      <c r="DS95" s="1381"/>
      <c r="DT95" s="1381"/>
    </row>
    <row r="96" spans="1:124">
      <c r="A96" s="1118">
        <f t="shared" ca="1" si="10"/>
        <v>10</v>
      </c>
      <c r="B96" s="1890">
        <f t="shared" si="21"/>
        <v>0</v>
      </c>
      <c r="C96" s="2160">
        <f t="shared" si="35"/>
        <v>0</v>
      </c>
      <c r="D96" s="2161">
        <f t="shared" si="36"/>
        <v>0</v>
      </c>
      <c r="E96" s="2162">
        <f t="shared" si="22"/>
        <v>0</v>
      </c>
      <c r="F96" s="2162">
        <f t="shared" si="47"/>
        <v>0</v>
      </c>
      <c r="G96" s="2162">
        <f t="shared" si="48"/>
        <v>0</v>
      </c>
      <c r="H96" s="2162">
        <f t="shared" si="37"/>
        <v>0</v>
      </c>
      <c r="I96" s="2162">
        <f t="shared" si="45"/>
        <v>0</v>
      </c>
      <c r="J96" s="2162">
        <f t="shared" si="12"/>
        <v>0</v>
      </c>
      <c r="K96" s="2162">
        <f t="shared" si="13"/>
        <v>0</v>
      </c>
      <c r="L96" s="2162">
        <f t="shared" si="25"/>
        <v>0</v>
      </c>
      <c r="M96" s="2162">
        <f t="shared" si="14"/>
        <v>0</v>
      </c>
      <c r="N96" s="2162">
        <f t="shared" si="26"/>
        <v>0</v>
      </c>
      <c r="O96" s="2163"/>
      <c r="AG96" s="1756"/>
      <c r="AH96" s="1756"/>
      <c r="AI96" s="1756"/>
      <c r="AJ96" s="1989">
        <f t="shared" si="27"/>
        <v>7</v>
      </c>
      <c r="AK96" s="1900">
        <f t="shared" si="28"/>
        <v>0</v>
      </c>
      <c r="AL96" s="1907"/>
      <c r="AM96" s="1907"/>
      <c r="AN96" s="1901">
        <f t="shared" si="38"/>
        <v>0</v>
      </c>
      <c r="AO96" s="1906">
        <f t="shared" ca="1" si="29"/>
        <v>0</v>
      </c>
      <c r="AU96" s="1903">
        <f t="shared" si="39"/>
        <v>0</v>
      </c>
      <c r="AV96" s="1904">
        <f t="shared" si="30"/>
        <v>0</v>
      </c>
      <c r="AW96" s="1904">
        <f t="shared" si="31"/>
        <v>0</v>
      </c>
      <c r="AX96" s="1904"/>
      <c r="AY96" s="1904"/>
      <c r="AZ96" s="1904"/>
      <c r="BA96" s="1904"/>
      <c r="BB96" s="1897">
        <f t="shared" si="32"/>
        <v>0</v>
      </c>
      <c r="BC96" s="1897">
        <f t="shared" si="15"/>
        <v>0</v>
      </c>
      <c r="BD96" s="1898" t="e">
        <f>HLOOKUP($BD$63,anticipaplus,32,0)</f>
        <v>#N/A</v>
      </c>
      <c r="BE96" s="1899"/>
      <c r="BF96" s="1899"/>
      <c r="BG96" s="1360">
        <f t="shared" si="33"/>
        <v>0</v>
      </c>
      <c r="BH96" s="1361">
        <f t="shared" si="42"/>
        <v>31</v>
      </c>
      <c r="BI96" s="1362">
        <f t="shared" si="34"/>
        <v>0</v>
      </c>
      <c r="BJ96" s="1362">
        <f t="shared" si="16"/>
        <v>0</v>
      </c>
      <c r="BK96" s="1362">
        <f t="shared" si="40"/>
        <v>0</v>
      </c>
      <c r="BL96" s="1363">
        <f t="shared" si="17"/>
        <v>1000000</v>
      </c>
      <c r="BM96" s="1899"/>
      <c r="BN96" s="1361">
        <f t="shared" si="43"/>
        <v>31</v>
      </c>
      <c r="BO96" s="1362">
        <f t="shared" si="18"/>
        <v>0</v>
      </c>
      <c r="BP96" s="1362">
        <f t="shared" si="19"/>
        <v>8543.4723045346618</v>
      </c>
      <c r="BQ96" s="1362">
        <f t="shared" si="49"/>
        <v>8543.4723045346618</v>
      </c>
      <c r="BR96" s="1363">
        <f t="shared" si="20"/>
        <v>735152.35855942639</v>
      </c>
      <c r="BT96" s="1414"/>
      <c r="BX96" s="1364"/>
      <c r="BY96" s="1364"/>
      <c r="BZ96" s="1364"/>
      <c r="CA96" s="1364"/>
      <c r="CB96" s="1364"/>
      <c r="CG96" s="1381"/>
      <c r="CH96" s="1381"/>
      <c r="CI96" s="1381"/>
      <c r="CJ96" s="1381"/>
      <c r="CK96" s="1381"/>
      <c r="CL96" s="1381"/>
      <c r="CM96" s="1381"/>
      <c r="CN96" s="1381"/>
      <c r="CO96" s="1381"/>
      <c r="CP96" s="1381"/>
      <c r="CQ96" s="1381"/>
      <c r="CR96" s="1381"/>
      <c r="CS96" s="1381"/>
      <c r="CT96" s="1381"/>
      <c r="CU96" s="1381"/>
      <c r="CV96" s="1381"/>
      <c r="CW96" s="1381"/>
      <c r="CX96" s="1381"/>
      <c r="CY96" s="1381"/>
      <c r="CZ96" s="1381"/>
      <c r="DA96" s="1381"/>
      <c r="DB96" s="1381"/>
      <c r="DC96" s="1381"/>
      <c r="DD96" s="1381"/>
      <c r="DE96" s="1381"/>
      <c r="DF96" s="1381"/>
      <c r="DG96" s="1381"/>
      <c r="DH96" s="1381"/>
      <c r="DI96" s="1381"/>
      <c r="DJ96" s="1381"/>
      <c r="DK96" s="1381"/>
      <c r="DL96" s="1381"/>
      <c r="DM96" s="1381"/>
      <c r="DN96" s="1381"/>
      <c r="DO96" s="1381"/>
      <c r="DP96" s="1381"/>
      <c r="DQ96" s="1381"/>
      <c r="DR96" s="1381"/>
      <c r="DS96" s="1381"/>
      <c r="DT96" s="1381"/>
    </row>
    <row r="97" spans="1:124">
      <c r="A97" s="1118">
        <f t="shared" ca="1" si="10"/>
        <v>11</v>
      </c>
      <c r="B97" s="1890">
        <f t="shared" si="21"/>
        <v>0</v>
      </c>
      <c r="C97" s="2160">
        <f t="shared" si="35"/>
        <v>0</v>
      </c>
      <c r="D97" s="2161">
        <f t="shared" si="36"/>
        <v>0</v>
      </c>
      <c r="E97" s="2162">
        <f t="shared" si="22"/>
        <v>0</v>
      </c>
      <c r="F97" s="2162">
        <f t="shared" si="47"/>
        <v>0</v>
      </c>
      <c r="G97" s="2162">
        <f t="shared" si="48"/>
        <v>0</v>
      </c>
      <c r="H97" s="2162">
        <f t="shared" si="37"/>
        <v>0</v>
      </c>
      <c r="I97" s="2162">
        <f t="shared" si="45"/>
        <v>0</v>
      </c>
      <c r="J97" s="2162">
        <f t="shared" si="12"/>
        <v>0</v>
      </c>
      <c r="K97" s="2162">
        <f t="shared" si="13"/>
        <v>0</v>
      </c>
      <c r="L97" s="2162">
        <f t="shared" si="25"/>
        <v>0</v>
      </c>
      <c r="M97" s="2162">
        <f t="shared" si="14"/>
        <v>0</v>
      </c>
      <c r="N97" s="2162">
        <f t="shared" si="26"/>
        <v>0</v>
      </c>
      <c r="O97" s="2163"/>
      <c r="AG97" s="1756"/>
      <c r="AH97" s="1756"/>
      <c r="AI97" s="1756"/>
      <c r="AJ97" s="1989">
        <f t="shared" si="27"/>
        <v>8</v>
      </c>
      <c r="AK97" s="1900">
        <f t="shared" si="28"/>
        <v>0</v>
      </c>
      <c r="AL97" s="1907"/>
      <c r="AM97" s="1907"/>
      <c r="AN97" s="1901">
        <f t="shared" si="38"/>
        <v>0</v>
      </c>
      <c r="AO97" s="1906">
        <f t="shared" ca="1" si="29"/>
        <v>0</v>
      </c>
      <c r="AU97" s="1903">
        <f t="shared" si="39"/>
        <v>0</v>
      </c>
      <c r="AV97" s="1904">
        <f t="shared" si="30"/>
        <v>0</v>
      </c>
      <c r="AW97" s="1904">
        <f t="shared" si="31"/>
        <v>0</v>
      </c>
      <c r="AX97" s="1904"/>
      <c r="AY97" s="1904"/>
      <c r="AZ97" s="1904"/>
      <c r="BA97" s="1904"/>
      <c r="BB97" s="1897">
        <f t="shared" si="32"/>
        <v>0</v>
      </c>
      <c r="BC97" s="1897">
        <f t="shared" si="15"/>
        <v>0</v>
      </c>
      <c r="BD97" s="1898" t="e">
        <f>HLOOKUP($BD$63,anticipaplus,33,0)</f>
        <v>#N/A</v>
      </c>
      <c r="BE97" s="1899"/>
      <c r="BF97" s="1899"/>
      <c r="BG97" s="1360">
        <f t="shared" si="33"/>
        <v>0</v>
      </c>
      <c r="BH97" s="1361">
        <f t="shared" si="42"/>
        <v>32</v>
      </c>
      <c r="BI97" s="1362">
        <f t="shared" si="34"/>
        <v>0</v>
      </c>
      <c r="BJ97" s="1362">
        <f t="shared" si="16"/>
        <v>0</v>
      </c>
      <c r="BK97" s="1362">
        <f t="shared" si="40"/>
        <v>0</v>
      </c>
      <c r="BL97" s="1363">
        <f t="shared" si="17"/>
        <v>1000000</v>
      </c>
      <c r="BM97" s="1899"/>
      <c r="BN97" s="1361">
        <f t="shared" si="43"/>
        <v>32</v>
      </c>
      <c r="BO97" s="1362">
        <f t="shared" si="18"/>
        <v>0</v>
      </c>
      <c r="BP97" s="1362">
        <f t="shared" si="19"/>
        <v>8543.4723045346618</v>
      </c>
      <c r="BQ97" s="1362">
        <f t="shared" si="49"/>
        <v>8543.4723045346618</v>
      </c>
      <c r="BR97" s="1363">
        <f t="shared" si="20"/>
        <v>726608.88625489175</v>
      </c>
      <c r="BT97" s="1414"/>
      <c r="BX97" s="1364"/>
      <c r="BY97" s="1364"/>
      <c r="BZ97" s="1364"/>
      <c r="CA97" s="1364"/>
      <c r="CB97" s="1364"/>
      <c r="CC97" s="1381"/>
      <c r="CD97" s="1381"/>
      <c r="CE97" s="1381"/>
      <c r="CF97" s="1381"/>
      <c r="CG97" s="1381"/>
      <c r="CH97" s="1381"/>
      <c r="CI97" s="1381"/>
      <c r="CJ97" s="1381"/>
      <c r="CK97" s="1381"/>
      <c r="CL97" s="1381"/>
      <c r="CM97" s="1381"/>
      <c r="CN97" s="1381"/>
      <c r="CO97" s="1381"/>
      <c r="CP97" s="1381"/>
      <c r="CQ97" s="1381"/>
      <c r="CR97" s="1381"/>
      <c r="CS97" s="1381"/>
      <c r="CT97" s="1381"/>
      <c r="CU97" s="1381"/>
      <c r="CV97" s="1381"/>
      <c r="CW97" s="1381"/>
      <c r="CX97" s="1381"/>
      <c r="CY97" s="1381"/>
      <c r="CZ97" s="1381"/>
      <c r="DA97" s="1381"/>
      <c r="DB97" s="1381"/>
      <c r="DC97" s="1381"/>
      <c r="DD97" s="1381"/>
      <c r="DE97" s="1381"/>
      <c r="DF97" s="1381"/>
      <c r="DG97" s="1381"/>
      <c r="DH97" s="1381"/>
      <c r="DI97" s="1381"/>
      <c r="DJ97" s="1381"/>
      <c r="DK97" s="1381"/>
      <c r="DL97" s="1381"/>
      <c r="DM97" s="1381"/>
      <c r="DN97" s="1381"/>
      <c r="DO97" s="1381"/>
      <c r="DP97" s="1381"/>
      <c r="DQ97" s="1381"/>
      <c r="DR97" s="1381"/>
      <c r="DS97" s="1381"/>
      <c r="DT97" s="1381"/>
    </row>
    <row r="98" spans="1:124">
      <c r="A98" s="1118">
        <f t="shared" ca="1" si="10"/>
        <v>12</v>
      </c>
      <c r="B98" s="1890">
        <f t="shared" si="21"/>
        <v>0</v>
      </c>
      <c r="C98" s="2160">
        <f t="shared" si="35"/>
        <v>0</v>
      </c>
      <c r="D98" s="2161">
        <f t="shared" si="36"/>
        <v>0</v>
      </c>
      <c r="E98" s="2162">
        <f t="shared" si="22"/>
        <v>0</v>
      </c>
      <c r="F98" s="2162">
        <f t="shared" si="47"/>
        <v>0</v>
      </c>
      <c r="G98" s="2162">
        <f t="shared" si="48"/>
        <v>0</v>
      </c>
      <c r="H98" s="2162">
        <f t="shared" si="37"/>
        <v>0</v>
      </c>
      <c r="I98" s="2162">
        <f t="shared" si="45"/>
        <v>0</v>
      </c>
      <c r="J98" s="2162">
        <f t="shared" si="12"/>
        <v>0</v>
      </c>
      <c r="K98" s="2162">
        <f t="shared" si="13"/>
        <v>0</v>
      </c>
      <c r="L98" s="2162">
        <f t="shared" si="25"/>
        <v>0</v>
      </c>
      <c r="M98" s="2162">
        <f t="shared" si="14"/>
        <v>0</v>
      </c>
      <c r="N98" s="2162">
        <f t="shared" si="26"/>
        <v>0</v>
      </c>
      <c r="O98" s="2163"/>
      <c r="AG98" s="1756"/>
      <c r="AH98" s="1756"/>
      <c r="AI98" s="1756"/>
      <c r="AJ98" s="1989">
        <f t="shared" si="27"/>
        <v>9</v>
      </c>
      <c r="AK98" s="1900">
        <f t="shared" si="28"/>
        <v>0</v>
      </c>
      <c r="AL98" s="1907"/>
      <c r="AM98" s="1907"/>
      <c r="AN98" s="1901">
        <f t="shared" si="38"/>
        <v>0</v>
      </c>
      <c r="AO98" s="1906">
        <f t="shared" ca="1" si="29"/>
        <v>0</v>
      </c>
      <c r="AU98" s="1903">
        <f t="shared" si="39"/>
        <v>0</v>
      </c>
      <c r="AV98" s="1904">
        <f t="shared" si="30"/>
        <v>0</v>
      </c>
      <c r="AW98" s="1904">
        <f t="shared" si="31"/>
        <v>0</v>
      </c>
      <c r="AX98" s="1904"/>
      <c r="AY98" s="1904"/>
      <c r="AZ98" s="1904"/>
      <c r="BA98" s="1904"/>
      <c r="BB98" s="1897">
        <f t="shared" si="32"/>
        <v>0</v>
      </c>
      <c r="BC98" s="1897">
        <f t="shared" si="15"/>
        <v>0</v>
      </c>
      <c r="BD98" s="1898" t="e">
        <f>HLOOKUP($BD$63,anticipaplus,34,0)</f>
        <v>#N/A</v>
      </c>
      <c r="BE98" s="1899"/>
      <c r="BF98" s="1899"/>
      <c r="BG98" s="1360">
        <f t="shared" si="33"/>
        <v>0</v>
      </c>
      <c r="BH98" s="1361">
        <f t="shared" si="42"/>
        <v>33</v>
      </c>
      <c r="BI98" s="1362">
        <f t="shared" si="34"/>
        <v>0</v>
      </c>
      <c r="BJ98" s="1362">
        <f t="shared" si="16"/>
        <v>0</v>
      </c>
      <c r="BK98" s="1362">
        <f t="shared" si="40"/>
        <v>0</v>
      </c>
      <c r="BL98" s="1363">
        <f t="shared" si="17"/>
        <v>1000000</v>
      </c>
      <c r="BM98" s="1899"/>
      <c r="BN98" s="1361">
        <f t="shared" si="43"/>
        <v>33</v>
      </c>
      <c r="BO98" s="1362">
        <f t="shared" si="18"/>
        <v>0</v>
      </c>
      <c r="BP98" s="1362">
        <f t="shared" si="19"/>
        <v>8543.4723045346618</v>
      </c>
      <c r="BQ98" s="1362">
        <f t="shared" si="49"/>
        <v>8543.4723045346618</v>
      </c>
      <c r="BR98" s="1363">
        <f t="shared" si="20"/>
        <v>718065.41395035712</v>
      </c>
      <c r="BT98" s="1414"/>
      <c r="BX98" s="1364"/>
      <c r="BY98" s="1364"/>
      <c r="BZ98" s="1364"/>
      <c r="CA98" s="1364"/>
      <c r="CB98" s="1364"/>
      <c r="CC98" s="1381"/>
      <c r="CD98" s="1381"/>
      <c r="CE98" s="1381"/>
      <c r="CF98" s="1381"/>
      <c r="CG98" s="1381"/>
      <c r="CH98" s="1381"/>
      <c r="CI98" s="1381"/>
      <c r="CJ98" s="1381"/>
      <c r="CK98" s="1381"/>
      <c r="CL98" s="1381"/>
      <c r="CM98" s="1381"/>
      <c r="CN98" s="1381"/>
      <c r="CO98" s="1381"/>
      <c r="CP98" s="1381"/>
      <c r="CQ98" s="1381"/>
      <c r="CR98" s="1381"/>
      <c r="CS98" s="1381"/>
      <c r="CT98" s="1381"/>
      <c r="CU98" s="1381"/>
      <c r="CV98" s="1381"/>
      <c r="CW98" s="1381"/>
      <c r="CX98" s="1381"/>
      <c r="CY98" s="1381"/>
      <c r="CZ98" s="1381"/>
      <c r="DA98" s="1381"/>
      <c r="DB98" s="1381"/>
      <c r="DC98" s="1381"/>
      <c r="DD98" s="1381"/>
      <c r="DE98" s="1381"/>
      <c r="DF98" s="1381"/>
      <c r="DG98" s="1381"/>
      <c r="DH98" s="1381"/>
      <c r="DI98" s="1381"/>
      <c r="DJ98" s="1381"/>
      <c r="DK98" s="1381"/>
      <c r="DL98" s="1381"/>
      <c r="DM98" s="1381"/>
      <c r="DN98" s="1381"/>
      <c r="DO98" s="1381"/>
      <c r="DP98" s="1381"/>
      <c r="DQ98" s="1381"/>
      <c r="DR98" s="1381"/>
      <c r="DS98" s="1381"/>
      <c r="DT98" s="1381"/>
    </row>
    <row r="99" spans="1:124">
      <c r="A99" s="1118">
        <f t="shared" ca="1" si="10"/>
        <v>1</v>
      </c>
      <c r="B99" s="1890">
        <f t="shared" si="21"/>
        <v>0</v>
      </c>
      <c r="C99" s="2160">
        <f t="shared" si="35"/>
        <v>0</v>
      </c>
      <c r="D99" s="2161">
        <f t="shared" si="36"/>
        <v>0</v>
      </c>
      <c r="E99" s="2162">
        <f t="shared" si="22"/>
        <v>0</v>
      </c>
      <c r="F99" s="2162">
        <f t="shared" si="47"/>
        <v>0</v>
      </c>
      <c r="G99" s="2162">
        <f t="shared" si="48"/>
        <v>0</v>
      </c>
      <c r="H99" s="2162">
        <f t="shared" si="37"/>
        <v>0</v>
      </c>
      <c r="I99" s="2162">
        <f t="shared" si="45"/>
        <v>0</v>
      </c>
      <c r="J99" s="2162">
        <f t="shared" si="12"/>
        <v>0</v>
      </c>
      <c r="K99" s="2162">
        <f t="shared" si="13"/>
        <v>0</v>
      </c>
      <c r="L99" s="2162">
        <f t="shared" si="25"/>
        <v>0</v>
      </c>
      <c r="M99" s="2162">
        <f t="shared" si="14"/>
        <v>0</v>
      </c>
      <c r="N99" s="2162">
        <f t="shared" si="26"/>
        <v>0</v>
      </c>
      <c r="O99" s="2163"/>
      <c r="AG99" s="1756"/>
      <c r="AH99" s="1756"/>
      <c r="AI99" s="1756"/>
      <c r="AJ99" s="1989">
        <f t="shared" si="27"/>
        <v>10</v>
      </c>
      <c r="AK99" s="1900">
        <f t="shared" si="28"/>
        <v>0</v>
      </c>
      <c r="AL99" s="1907"/>
      <c r="AM99" s="1907"/>
      <c r="AN99" s="1901">
        <f t="shared" si="38"/>
        <v>0</v>
      </c>
      <c r="AO99" s="1906">
        <f t="shared" ca="1" si="29"/>
        <v>0</v>
      </c>
      <c r="AU99" s="1903">
        <f t="shared" si="39"/>
        <v>0</v>
      </c>
      <c r="AV99" s="1904">
        <f t="shared" si="30"/>
        <v>0</v>
      </c>
      <c r="AW99" s="1904">
        <f t="shared" si="31"/>
        <v>0</v>
      </c>
      <c r="AX99" s="1904"/>
      <c r="AY99" s="1904"/>
      <c r="AZ99" s="1904"/>
      <c r="BA99" s="1904"/>
      <c r="BB99" s="1897">
        <f t="shared" si="32"/>
        <v>0</v>
      </c>
      <c r="BC99" s="1897">
        <f t="shared" si="15"/>
        <v>0</v>
      </c>
      <c r="BD99" s="1898" t="e">
        <f>HLOOKUP($BD$63,anticipaplus,35,0)</f>
        <v>#N/A</v>
      </c>
      <c r="BE99" s="1899"/>
      <c r="BF99" s="1899"/>
      <c r="BG99" s="1360">
        <f t="shared" si="33"/>
        <v>0</v>
      </c>
      <c r="BH99" s="1361">
        <f t="shared" si="42"/>
        <v>34</v>
      </c>
      <c r="BI99" s="1362">
        <f t="shared" si="34"/>
        <v>0</v>
      </c>
      <c r="BJ99" s="1362">
        <f t="shared" si="16"/>
        <v>0</v>
      </c>
      <c r="BK99" s="1362">
        <f t="shared" si="40"/>
        <v>0</v>
      </c>
      <c r="BL99" s="1363">
        <f t="shared" si="17"/>
        <v>1000000</v>
      </c>
      <c r="BM99" s="1899"/>
      <c r="BN99" s="1361">
        <f t="shared" si="43"/>
        <v>34</v>
      </c>
      <c r="BO99" s="1362">
        <f t="shared" si="18"/>
        <v>0</v>
      </c>
      <c r="BP99" s="1362">
        <f t="shared" si="19"/>
        <v>8543.4723045346618</v>
      </c>
      <c r="BQ99" s="1362">
        <f t="shared" si="49"/>
        <v>8543.4723045346618</v>
      </c>
      <c r="BR99" s="1363">
        <f t="shared" si="20"/>
        <v>709521.94164582249</v>
      </c>
      <c r="BT99" s="1414"/>
      <c r="BX99" s="1364"/>
      <c r="BY99" s="1364"/>
      <c r="BZ99" s="1364"/>
      <c r="CA99" s="1364"/>
      <c r="CB99" s="1364"/>
      <c r="CC99" s="1365"/>
      <c r="CD99" s="1365"/>
      <c r="CE99" s="1365"/>
      <c r="CF99" s="1365"/>
      <c r="CG99" s="1365"/>
      <c r="CH99" s="1366"/>
      <c r="CI99" s="1366"/>
      <c r="CJ99" s="1366"/>
      <c r="CK99" s="1366"/>
      <c r="CL99" s="1365"/>
      <c r="CM99" s="1366"/>
      <c r="CN99" s="1366"/>
      <c r="CO99" s="1366"/>
      <c r="CP99" s="1366"/>
      <c r="CQ99" s="1366"/>
      <c r="CR99" s="1366"/>
      <c r="CS99" s="1365"/>
      <c r="CT99" s="1365"/>
      <c r="CU99" s="1365"/>
      <c r="CV99" s="1365"/>
      <c r="CW99" s="1365"/>
      <c r="CX99" s="1365"/>
      <c r="CY99" s="1365"/>
      <c r="CZ99" s="1365"/>
      <c r="DA99" s="1365"/>
      <c r="DB99" s="1365"/>
      <c r="DC99" s="1365"/>
      <c r="DD99" s="1365"/>
      <c r="DE99" s="1365"/>
      <c r="DF99" s="1365"/>
      <c r="DG99" s="1365"/>
      <c r="DH99" s="1365"/>
      <c r="DI99" s="1365"/>
      <c r="DJ99" s="1365"/>
      <c r="DK99" s="1365"/>
      <c r="DL99" s="1365"/>
      <c r="DM99" s="1365"/>
      <c r="DN99" s="1365"/>
      <c r="DO99" s="1365"/>
      <c r="DP99" s="1365"/>
      <c r="DQ99" s="1365"/>
      <c r="DR99" s="1365"/>
      <c r="DS99" s="1365"/>
      <c r="DT99" s="1365"/>
    </row>
    <row r="100" spans="1:124">
      <c r="A100" s="1118">
        <f t="shared" ca="1" si="10"/>
        <v>2</v>
      </c>
      <c r="B100" s="1890">
        <f t="shared" si="21"/>
        <v>0</v>
      </c>
      <c r="C100" s="2160">
        <f t="shared" si="35"/>
        <v>0</v>
      </c>
      <c r="D100" s="2161">
        <f t="shared" si="36"/>
        <v>0</v>
      </c>
      <c r="E100" s="2162">
        <f t="shared" si="22"/>
        <v>0</v>
      </c>
      <c r="F100" s="2162">
        <f t="shared" si="47"/>
        <v>0</v>
      </c>
      <c r="G100" s="2162">
        <f t="shared" si="48"/>
        <v>0</v>
      </c>
      <c r="H100" s="2162">
        <f t="shared" si="37"/>
        <v>0</v>
      </c>
      <c r="I100" s="2162">
        <f t="shared" si="45"/>
        <v>0</v>
      </c>
      <c r="J100" s="2162">
        <f t="shared" si="12"/>
        <v>0</v>
      </c>
      <c r="K100" s="2162">
        <f t="shared" si="13"/>
        <v>0</v>
      </c>
      <c r="L100" s="2162">
        <f t="shared" si="25"/>
        <v>0</v>
      </c>
      <c r="M100" s="2162">
        <f t="shared" si="14"/>
        <v>0</v>
      </c>
      <c r="N100" s="2162">
        <f t="shared" si="26"/>
        <v>0</v>
      </c>
      <c r="O100" s="2163"/>
      <c r="AG100" s="1756"/>
      <c r="AH100" s="1756"/>
      <c r="AI100" s="1756"/>
      <c r="AJ100" s="1989">
        <f t="shared" si="27"/>
        <v>11</v>
      </c>
      <c r="AK100" s="1900">
        <f t="shared" si="28"/>
        <v>0</v>
      </c>
      <c r="AL100" s="1907"/>
      <c r="AM100" s="1907"/>
      <c r="AN100" s="1901">
        <f t="shared" si="38"/>
        <v>0</v>
      </c>
      <c r="AO100" s="1906">
        <f t="shared" ca="1" si="29"/>
        <v>0</v>
      </c>
      <c r="AU100" s="1903">
        <f t="shared" si="39"/>
        <v>0</v>
      </c>
      <c r="AV100" s="1904">
        <f t="shared" si="30"/>
        <v>0</v>
      </c>
      <c r="AW100" s="1904">
        <f t="shared" si="31"/>
        <v>0</v>
      </c>
      <c r="AX100" s="1904"/>
      <c r="AY100" s="1904"/>
      <c r="AZ100" s="1904"/>
      <c r="BA100" s="1904"/>
      <c r="BB100" s="1897">
        <f t="shared" si="32"/>
        <v>0</v>
      </c>
      <c r="BC100" s="1897">
        <f t="shared" si="15"/>
        <v>0</v>
      </c>
      <c r="BD100" s="1898" t="e">
        <f>HLOOKUP($BD$63,anticipaplus,36,0)</f>
        <v>#N/A</v>
      </c>
      <c r="BE100" s="1899"/>
      <c r="BF100" s="1899"/>
      <c r="BG100" s="1360">
        <f t="shared" si="33"/>
        <v>0</v>
      </c>
      <c r="BH100" s="1361">
        <f t="shared" si="42"/>
        <v>35</v>
      </c>
      <c r="BI100" s="1362">
        <f t="shared" si="34"/>
        <v>0</v>
      </c>
      <c r="BJ100" s="1362">
        <f t="shared" si="16"/>
        <v>0</v>
      </c>
      <c r="BK100" s="1362">
        <f t="shared" si="40"/>
        <v>0</v>
      </c>
      <c r="BL100" s="1363">
        <f t="shared" si="17"/>
        <v>1000000</v>
      </c>
      <c r="BM100" s="1899"/>
      <c r="BN100" s="1361">
        <f t="shared" si="43"/>
        <v>35</v>
      </c>
      <c r="BO100" s="1362">
        <f t="shared" si="18"/>
        <v>0</v>
      </c>
      <c r="BP100" s="1362">
        <f t="shared" si="19"/>
        <v>8543.4723045346618</v>
      </c>
      <c r="BQ100" s="1362">
        <f t="shared" si="49"/>
        <v>8543.4723045346618</v>
      </c>
      <c r="BR100" s="1363">
        <f t="shared" si="20"/>
        <v>700978.46934128786</v>
      </c>
      <c r="BT100" s="1414"/>
      <c r="BX100" s="1364"/>
      <c r="BY100" s="1364"/>
      <c r="BZ100" s="1364"/>
      <c r="CA100" s="1364"/>
      <c r="CB100" s="1364"/>
      <c r="CC100" s="1365"/>
      <c r="CD100" s="1365"/>
      <c r="CE100" s="1365"/>
      <c r="CF100" s="1365"/>
      <c r="CG100" s="1365"/>
      <c r="CH100" s="1366"/>
      <c r="CI100" s="1366"/>
      <c r="CJ100" s="1366"/>
      <c r="CK100" s="1366"/>
      <c r="CL100" s="1365"/>
      <c r="CM100" s="1366"/>
      <c r="CN100" s="1366"/>
      <c r="CO100" s="1366"/>
      <c r="CP100" s="1366"/>
      <c r="CQ100" s="1366"/>
      <c r="CR100" s="1366"/>
      <c r="CS100" s="1365"/>
      <c r="CT100" s="1365"/>
      <c r="CU100" s="1365"/>
      <c r="CV100" s="1365"/>
      <c r="CW100" s="1365"/>
      <c r="CX100" s="1365"/>
      <c r="CY100" s="1365"/>
      <c r="CZ100" s="1365"/>
      <c r="DA100" s="1365"/>
      <c r="DB100" s="1365"/>
      <c r="DC100" s="1365"/>
      <c r="DD100" s="1365"/>
      <c r="DE100" s="1365"/>
      <c r="DF100" s="1365"/>
      <c r="DG100" s="1365"/>
      <c r="DH100" s="1365"/>
      <c r="DI100" s="1365"/>
      <c r="DJ100" s="1365"/>
      <c r="DK100" s="1365"/>
      <c r="DL100" s="1365"/>
      <c r="DM100" s="1365"/>
      <c r="DN100" s="1365"/>
      <c r="DO100" s="1365"/>
      <c r="DP100" s="1365"/>
      <c r="DQ100" s="1365"/>
      <c r="DR100" s="1365"/>
      <c r="DS100" s="1365"/>
      <c r="DT100" s="1365"/>
    </row>
    <row r="101" spans="1:124">
      <c r="A101" s="1118">
        <f t="shared" ca="1" si="10"/>
        <v>3</v>
      </c>
      <c r="B101" s="1890">
        <f t="shared" si="21"/>
        <v>0</v>
      </c>
      <c r="C101" s="2160">
        <f t="shared" si="35"/>
        <v>0</v>
      </c>
      <c r="D101" s="2161">
        <f t="shared" si="36"/>
        <v>0</v>
      </c>
      <c r="E101" s="2162">
        <f t="shared" si="22"/>
        <v>0</v>
      </c>
      <c r="F101" s="2162">
        <f t="shared" si="47"/>
        <v>0</v>
      </c>
      <c r="G101" s="2162">
        <f t="shared" si="48"/>
        <v>0</v>
      </c>
      <c r="H101" s="2162">
        <f t="shared" si="37"/>
        <v>0</v>
      </c>
      <c r="I101" s="2162">
        <f t="shared" si="45"/>
        <v>0</v>
      </c>
      <c r="J101" s="2162">
        <f t="shared" si="12"/>
        <v>0</v>
      </c>
      <c r="K101" s="2162">
        <f t="shared" si="13"/>
        <v>0</v>
      </c>
      <c r="L101" s="2162">
        <f t="shared" si="25"/>
        <v>0</v>
      </c>
      <c r="M101" s="2162">
        <f t="shared" si="14"/>
        <v>0</v>
      </c>
      <c r="N101" s="2162">
        <f t="shared" si="26"/>
        <v>0</v>
      </c>
      <c r="O101" s="2163"/>
      <c r="AG101" s="1756"/>
      <c r="AH101" s="1756"/>
      <c r="AI101" s="1756"/>
      <c r="AJ101" s="1989">
        <f t="shared" si="27"/>
        <v>12</v>
      </c>
      <c r="AK101" s="1900">
        <f t="shared" si="28"/>
        <v>0</v>
      </c>
      <c r="AL101" s="1907"/>
      <c r="AM101" s="1907"/>
      <c r="AN101" s="1901">
        <f t="shared" si="38"/>
        <v>0</v>
      </c>
      <c r="AO101" s="1906">
        <f t="shared" ca="1" si="29"/>
        <v>0</v>
      </c>
      <c r="AU101" s="1903">
        <f t="shared" si="39"/>
        <v>0</v>
      </c>
      <c r="AV101" s="1904">
        <f t="shared" si="30"/>
        <v>0</v>
      </c>
      <c r="AW101" s="1904">
        <f t="shared" si="31"/>
        <v>0</v>
      </c>
      <c r="AX101" s="1904"/>
      <c r="AY101" s="1904"/>
      <c r="AZ101" s="1904"/>
      <c r="BA101" s="1904"/>
      <c r="BB101" s="1897">
        <f t="shared" si="32"/>
        <v>0</v>
      </c>
      <c r="BC101" s="1897">
        <f t="shared" si="15"/>
        <v>0</v>
      </c>
      <c r="BD101" s="1898" t="e">
        <f>HLOOKUP($BD$63,anticipaplus,37,0)</f>
        <v>#N/A</v>
      </c>
      <c r="BE101" s="1899"/>
      <c r="BF101" s="1899"/>
      <c r="BG101" s="1360">
        <f t="shared" si="33"/>
        <v>0</v>
      </c>
      <c r="BH101" s="1361">
        <f t="shared" si="42"/>
        <v>36</v>
      </c>
      <c r="BI101" s="1362">
        <f t="shared" si="34"/>
        <v>0</v>
      </c>
      <c r="BJ101" s="1362">
        <f t="shared" si="16"/>
        <v>0</v>
      </c>
      <c r="BK101" s="1362">
        <f t="shared" si="40"/>
        <v>0</v>
      </c>
      <c r="BL101" s="1363">
        <f t="shared" si="17"/>
        <v>1000000</v>
      </c>
      <c r="BM101" s="1899"/>
      <c r="BN101" s="1361">
        <f t="shared" si="43"/>
        <v>36</v>
      </c>
      <c r="BO101" s="1362">
        <f t="shared" si="18"/>
        <v>0</v>
      </c>
      <c r="BP101" s="1362">
        <f t="shared" si="19"/>
        <v>8543.4723045346618</v>
      </c>
      <c r="BQ101" s="1362">
        <f t="shared" si="49"/>
        <v>8543.4723045346618</v>
      </c>
      <c r="BR101" s="1363">
        <f t="shared" si="20"/>
        <v>692434.99703675322</v>
      </c>
      <c r="BT101" s="1414"/>
      <c r="BX101" s="1364"/>
      <c r="BY101" s="1364"/>
      <c r="BZ101" s="1364"/>
      <c r="CA101" s="1364"/>
      <c r="CB101" s="1364"/>
      <c r="CC101" s="1365"/>
      <c r="CD101" s="1365"/>
      <c r="CE101" s="1365"/>
      <c r="CF101" s="1365"/>
      <c r="CG101" s="1365"/>
      <c r="CH101" s="1366"/>
      <c r="CI101" s="1366"/>
      <c r="CJ101" s="1366"/>
      <c r="CK101" s="1366"/>
      <c r="CL101" s="1365"/>
      <c r="CM101" s="1366"/>
      <c r="CN101" s="1366"/>
      <c r="CO101" s="1366"/>
      <c r="CP101" s="1366"/>
      <c r="CQ101" s="1366"/>
      <c r="CR101" s="1366"/>
      <c r="CS101" s="1365"/>
      <c r="CT101" s="1365"/>
      <c r="CU101" s="1365"/>
      <c r="CV101" s="1365"/>
      <c r="CW101" s="1365"/>
      <c r="CX101" s="1365"/>
      <c r="CY101" s="1365"/>
      <c r="CZ101" s="1365"/>
      <c r="DA101" s="1365"/>
      <c r="DB101" s="1365"/>
      <c r="DC101" s="1365"/>
      <c r="DD101" s="1365"/>
      <c r="DE101" s="1365"/>
      <c r="DF101" s="1365"/>
      <c r="DG101" s="1365"/>
      <c r="DH101" s="1365"/>
      <c r="DI101" s="1365"/>
      <c r="DJ101" s="1365"/>
      <c r="DK101" s="1365"/>
      <c r="DL101" s="1365"/>
      <c r="DM101" s="1365"/>
      <c r="DN101" s="1365"/>
      <c r="DO101" s="1365"/>
      <c r="DP101" s="1365"/>
      <c r="DQ101" s="1365"/>
      <c r="DR101" s="1365"/>
      <c r="DS101" s="1365"/>
      <c r="DT101" s="1365"/>
    </row>
    <row r="102" spans="1:124">
      <c r="A102" s="1118">
        <f t="shared" ca="1" si="10"/>
        <v>4</v>
      </c>
      <c r="B102" s="1890">
        <f t="shared" si="21"/>
        <v>0</v>
      </c>
      <c r="C102" s="2160">
        <f t="shared" si="35"/>
        <v>0</v>
      </c>
      <c r="D102" s="2161">
        <f t="shared" si="36"/>
        <v>0</v>
      </c>
      <c r="E102" s="2162">
        <f t="shared" si="22"/>
        <v>0</v>
      </c>
      <c r="F102" s="2162">
        <f t="shared" si="47"/>
        <v>0</v>
      </c>
      <c r="G102" s="2162">
        <f t="shared" si="48"/>
        <v>0</v>
      </c>
      <c r="H102" s="2162">
        <f t="shared" si="37"/>
        <v>0</v>
      </c>
      <c r="I102" s="2162">
        <f t="shared" si="45"/>
        <v>0</v>
      </c>
      <c r="J102" s="2162">
        <f t="shared" si="12"/>
        <v>0</v>
      </c>
      <c r="K102" s="2162">
        <f t="shared" si="13"/>
        <v>0</v>
      </c>
      <c r="L102" s="2162">
        <f t="shared" si="25"/>
        <v>0</v>
      </c>
      <c r="M102" s="2162">
        <f t="shared" si="14"/>
        <v>0</v>
      </c>
      <c r="N102" s="2162">
        <f t="shared" si="26"/>
        <v>0</v>
      </c>
      <c r="O102" s="2163"/>
      <c r="P102" s="1913"/>
      <c r="Q102" s="1913"/>
      <c r="R102" s="1913"/>
      <c r="S102" s="1913"/>
      <c r="T102" s="1913"/>
      <c r="U102" s="1913"/>
      <c r="V102" s="1913"/>
      <c r="W102" s="1913"/>
      <c r="X102" s="1913"/>
      <c r="Y102" s="1913"/>
      <c r="Z102" s="1913"/>
      <c r="AA102" s="1913"/>
      <c r="AB102" s="1913"/>
      <c r="AC102" s="1913"/>
      <c r="AD102" s="1913"/>
      <c r="AE102" s="1913"/>
      <c r="AF102" s="1913"/>
      <c r="AG102" s="1756"/>
      <c r="AH102" s="1756"/>
      <c r="AI102" s="1756"/>
      <c r="AJ102" s="1989">
        <f t="shared" si="27"/>
        <v>1</v>
      </c>
      <c r="AK102" s="1900">
        <f t="shared" si="28"/>
        <v>0</v>
      </c>
      <c r="AL102" s="1907"/>
      <c r="AM102" s="1907"/>
      <c r="AN102" s="1901">
        <f t="shared" si="38"/>
        <v>0</v>
      </c>
      <c r="AO102" s="1906">
        <f t="shared" ca="1" si="29"/>
        <v>0</v>
      </c>
      <c r="AT102" s="1913"/>
      <c r="AU102" s="1903">
        <f t="shared" si="39"/>
        <v>0</v>
      </c>
      <c r="AV102" s="1904">
        <f t="shared" si="30"/>
        <v>0</v>
      </c>
      <c r="AW102" s="1904">
        <f t="shared" si="31"/>
        <v>0</v>
      </c>
      <c r="AX102" s="1904"/>
      <c r="AY102" s="1904"/>
      <c r="AZ102" s="1904"/>
      <c r="BA102" s="1904"/>
      <c r="BB102" s="1897">
        <f t="shared" si="32"/>
        <v>0</v>
      </c>
      <c r="BC102" s="1897">
        <f t="shared" si="15"/>
        <v>0</v>
      </c>
      <c r="BD102" s="1898" t="e">
        <f>HLOOKUP($BD$63,anticipaplus,38,0)</f>
        <v>#N/A</v>
      </c>
      <c r="BE102" s="1899"/>
      <c r="BF102" s="1899"/>
      <c r="BG102" s="1360">
        <f t="shared" si="33"/>
        <v>0</v>
      </c>
      <c r="BH102" s="1377">
        <f t="shared" si="42"/>
        <v>37</v>
      </c>
      <c r="BI102" s="1378">
        <f t="shared" si="34"/>
        <v>0</v>
      </c>
      <c r="BJ102" s="1378">
        <f t="shared" si="16"/>
        <v>0</v>
      </c>
      <c r="BK102" s="1378">
        <f>MIN(BL101+BI102,BK101*(1+$BI$61))</f>
        <v>0</v>
      </c>
      <c r="BL102" s="1363">
        <f t="shared" si="17"/>
        <v>1000000</v>
      </c>
      <c r="BM102" s="1899"/>
      <c r="BN102" s="1379">
        <f t="shared" si="43"/>
        <v>37</v>
      </c>
      <c r="BO102" s="1380">
        <f t="shared" si="18"/>
        <v>0</v>
      </c>
      <c r="BP102" s="1380">
        <f t="shared" si="19"/>
        <v>8543.4723045346618</v>
      </c>
      <c r="BQ102" s="1380">
        <f>MIN(BR101+BO102,BQ101*(1+$BO$61))</f>
        <v>8543.4723045346618</v>
      </c>
      <c r="BR102" s="1363">
        <f t="shared" si="20"/>
        <v>683891.52473221859</v>
      </c>
      <c r="BT102" s="1414"/>
      <c r="BX102" s="1364"/>
      <c r="BY102" s="1364"/>
      <c r="BZ102" s="1364"/>
      <c r="CA102" s="1364"/>
      <c r="CB102" s="1364"/>
      <c r="CC102" s="1365"/>
      <c r="CD102" s="1365"/>
      <c r="CE102" s="1365"/>
      <c r="CF102" s="1365"/>
      <c r="CG102" s="1365"/>
      <c r="CH102" s="1366"/>
      <c r="CI102" s="1366"/>
      <c r="CJ102" s="1366"/>
      <c r="CK102" s="1366"/>
      <c r="CL102" s="1365"/>
      <c r="CM102" s="1366"/>
      <c r="CN102" s="1366"/>
      <c r="CO102" s="1366"/>
      <c r="CP102" s="1366"/>
      <c r="CQ102" s="1366"/>
      <c r="CR102" s="1366"/>
      <c r="CS102" s="1365"/>
      <c r="CT102" s="1365"/>
      <c r="CU102" s="1365"/>
      <c r="CV102" s="1365"/>
      <c r="CW102" s="1365"/>
      <c r="CX102" s="1365"/>
      <c r="CY102" s="1365"/>
      <c r="CZ102" s="1365"/>
      <c r="DA102" s="1365"/>
      <c r="DB102" s="1365"/>
      <c r="DC102" s="1365"/>
      <c r="DD102" s="1365"/>
      <c r="DE102" s="1365"/>
      <c r="DF102" s="1365"/>
      <c r="DG102" s="1365"/>
      <c r="DH102" s="1365"/>
      <c r="DI102" s="1365"/>
      <c r="DJ102" s="1365"/>
      <c r="DK102" s="1365"/>
      <c r="DL102" s="1365"/>
      <c r="DM102" s="1365"/>
      <c r="DN102" s="1365"/>
      <c r="DO102" s="1365"/>
      <c r="DP102" s="1365"/>
      <c r="DQ102" s="1365"/>
      <c r="DR102" s="1365"/>
      <c r="DS102" s="1365"/>
      <c r="DT102" s="1365"/>
    </row>
    <row r="103" spans="1:124">
      <c r="A103" s="1118">
        <f t="shared" ca="1" si="10"/>
        <v>5</v>
      </c>
      <c r="B103" s="1890">
        <f t="shared" si="21"/>
        <v>0</v>
      </c>
      <c r="C103" s="2160">
        <f t="shared" si="35"/>
        <v>0</v>
      </c>
      <c r="D103" s="2161">
        <f t="shared" si="36"/>
        <v>0</v>
      </c>
      <c r="E103" s="2162">
        <f t="shared" si="22"/>
        <v>0</v>
      </c>
      <c r="F103" s="2162">
        <f t="shared" si="47"/>
        <v>0</v>
      </c>
      <c r="G103" s="2162">
        <f t="shared" si="48"/>
        <v>0</v>
      </c>
      <c r="H103" s="2162">
        <f t="shared" si="37"/>
        <v>0</v>
      </c>
      <c r="I103" s="2162">
        <f t="shared" si="45"/>
        <v>0</v>
      </c>
      <c r="J103" s="2162">
        <f t="shared" si="12"/>
        <v>0</v>
      </c>
      <c r="K103" s="2162">
        <f t="shared" si="13"/>
        <v>0</v>
      </c>
      <c r="L103" s="2162">
        <f t="shared" si="25"/>
        <v>0</v>
      </c>
      <c r="M103" s="2162">
        <f t="shared" si="14"/>
        <v>0</v>
      </c>
      <c r="N103" s="2162">
        <f t="shared" si="26"/>
        <v>0</v>
      </c>
      <c r="O103" s="2163"/>
      <c r="AG103" s="1756"/>
      <c r="AH103" s="1756"/>
      <c r="AI103" s="1756"/>
      <c r="AJ103" s="1989">
        <f t="shared" si="27"/>
        <v>2</v>
      </c>
      <c r="AK103" s="1900">
        <f t="shared" si="28"/>
        <v>0</v>
      </c>
      <c r="AL103" s="1907"/>
      <c r="AM103" s="1907"/>
      <c r="AN103" s="1901">
        <f t="shared" si="38"/>
        <v>0</v>
      </c>
      <c r="AO103" s="1906">
        <f t="shared" ca="1" si="29"/>
        <v>0</v>
      </c>
      <c r="AU103" s="1903">
        <f t="shared" si="39"/>
        <v>0</v>
      </c>
      <c r="AV103" s="1904">
        <f t="shared" si="30"/>
        <v>0</v>
      </c>
      <c r="AW103" s="1904">
        <f t="shared" si="31"/>
        <v>0</v>
      </c>
      <c r="AX103" s="1904"/>
      <c r="AY103" s="1904"/>
      <c r="AZ103" s="1904"/>
      <c r="BA103" s="1904"/>
      <c r="BB103" s="1897">
        <f t="shared" si="32"/>
        <v>0</v>
      </c>
      <c r="BC103" s="1897">
        <f t="shared" si="15"/>
        <v>0</v>
      </c>
      <c r="BD103" s="1898" t="e">
        <f>HLOOKUP($BD$63,anticipaplus,39,0)</f>
        <v>#N/A</v>
      </c>
      <c r="BE103" s="1899"/>
      <c r="BF103" s="1899"/>
      <c r="BG103" s="1360">
        <f t="shared" si="33"/>
        <v>0</v>
      </c>
      <c r="BH103" s="1361">
        <f t="shared" si="42"/>
        <v>38</v>
      </c>
      <c r="BI103" s="1362">
        <f t="shared" si="34"/>
        <v>0</v>
      </c>
      <c r="BJ103" s="1362">
        <f t="shared" si="16"/>
        <v>0</v>
      </c>
      <c r="BK103" s="1362">
        <f t="shared" si="40"/>
        <v>0</v>
      </c>
      <c r="BL103" s="1363">
        <f t="shared" si="17"/>
        <v>1000000</v>
      </c>
      <c r="BM103" s="1899"/>
      <c r="BN103" s="1361">
        <f t="shared" si="43"/>
        <v>38</v>
      </c>
      <c r="BO103" s="1362">
        <f t="shared" si="18"/>
        <v>0</v>
      </c>
      <c r="BP103" s="1362">
        <f t="shared" si="19"/>
        <v>8543.4723045346618</v>
      </c>
      <c r="BQ103" s="1362">
        <f t="shared" ref="BQ103:BQ113" si="50">MIN(BR102+BO103,BQ102)</f>
        <v>8543.4723045346618</v>
      </c>
      <c r="BR103" s="1363">
        <f t="shared" si="20"/>
        <v>675348.05242768396</v>
      </c>
      <c r="BT103" s="1414"/>
      <c r="BX103" s="1364"/>
      <c r="BY103" s="1364"/>
      <c r="BZ103" s="1364"/>
      <c r="CA103" s="1364"/>
      <c r="CB103" s="1364"/>
      <c r="CC103" s="1365"/>
      <c r="CD103" s="1365"/>
      <c r="CE103" s="1365"/>
      <c r="CF103" s="1365"/>
      <c r="CG103" s="1365"/>
      <c r="CH103" s="1366"/>
      <c r="CI103" s="1366"/>
      <c r="CJ103" s="1366"/>
      <c r="CK103" s="1366"/>
      <c r="CL103" s="1365"/>
      <c r="CM103" s="1366"/>
      <c r="CN103" s="1366"/>
      <c r="CO103" s="1366"/>
      <c r="CP103" s="1366"/>
      <c r="CQ103" s="1366"/>
      <c r="CR103" s="1366"/>
      <c r="CS103" s="1365"/>
      <c r="CT103" s="1365"/>
      <c r="CU103" s="1365"/>
      <c r="CV103" s="1365"/>
      <c r="CW103" s="1365"/>
      <c r="CX103" s="1365"/>
      <c r="CY103" s="1365"/>
      <c r="CZ103" s="1365"/>
      <c r="DA103" s="1365"/>
      <c r="DB103" s="1365"/>
      <c r="DC103" s="1365"/>
      <c r="DD103" s="1365"/>
      <c r="DE103" s="1365"/>
      <c r="DF103" s="1365"/>
      <c r="DG103" s="1365"/>
      <c r="DH103" s="1365"/>
      <c r="DI103" s="1365"/>
      <c r="DJ103" s="1365"/>
      <c r="DK103" s="1365"/>
      <c r="DL103" s="1365"/>
      <c r="DM103" s="1365"/>
      <c r="DN103" s="1365"/>
      <c r="DO103" s="1365"/>
      <c r="DP103" s="1365"/>
      <c r="DQ103" s="1365"/>
      <c r="DR103" s="1365"/>
      <c r="DS103" s="1365"/>
      <c r="DT103" s="1365"/>
    </row>
    <row r="104" spans="1:124">
      <c r="A104" s="1118">
        <f t="shared" ca="1" si="10"/>
        <v>6</v>
      </c>
      <c r="B104" s="1890">
        <f t="shared" si="21"/>
        <v>0</v>
      </c>
      <c r="C104" s="2160">
        <f t="shared" si="35"/>
        <v>0</v>
      </c>
      <c r="D104" s="2161">
        <f t="shared" si="36"/>
        <v>0</v>
      </c>
      <c r="E104" s="2162">
        <f t="shared" si="22"/>
        <v>0</v>
      </c>
      <c r="F104" s="2162">
        <f t="shared" si="47"/>
        <v>0</v>
      </c>
      <c r="G104" s="2162">
        <f t="shared" si="48"/>
        <v>0</v>
      </c>
      <c r="H104" s="2162">
        <f t="shared" si="37"/>
        <v>0</v>
      </c>
      <c r="I104" s="2162">
        <f t="shared" si="45"/>
        <v>0</v>
      </c>
      <c r="J104" s="2162">
        <f t="shared" si="12"/>
        <v>0</v>
      </c>
      <c r="K104" s="2162">
        <f t="shared" si="13"/>
        <v>0</v>
      </c>
      <c r="L104" s="2162">
        <f t="shared" si="25"/>
        <v>0</v>
      </c>
      <c r="M104" s="2162">
        <f t="shared" si="14"/>
        <v>0</v>
      </c>
      <c r="N104" s="2162">
        <f t="shared" si="26"/>
        <v>0</v>
      </c>
      <c r="O104" s="2163"/>
      <c r="AG104" s="1756"/>
      <c r="AH104" s="1756"/>
      <c r="AI104" s="1756"/>
      <c r="AJ104" s="1989">
        <f t="shared" si="27"/>
        <v>3</v>
      </c>
      <c r="AK104" s="1900">
        <f t="shared" si="28"/>
        <v>0</v>
      </c>
      <c r="AL104" s="1907"/>
      <c r="AM104" s="1907"/>
      <c r="AN104" s="1901">
        <f t="shared" si="38"/>
        <v>0</v>
      </c>
      <c r="AO104" s="1906">
        <f t="shared" ca="1" si="29"/>
        <v>0</v>
      </c>
      <c r="AU104" s="1903">
        <f t="shared" si="39"/>
        <v>0</v>
      </c>
      <c r="AV104" s="1904">
        <f t="shared" si="30"/>
        <v>0</v>
      </c>
      <c r="AW104" s="1904">
        <f t="shared" si="31"/>
        <v>0</v>
      </c>
      <c r="AX104" s="1904"/>
      <c r="AY104" s="1904"/>
      <c r="AZ104" s="1904"/>
      <c r="BA104" s="1904"/>
      <c r="BB104" s="1897">
        <f t="shared" si="32"/>
        <v>0</v>
      </c>
      <c r="BC104" s="1897">
        <f t="shared" si="15"/>
        <v>0</v>
      </c>
      <c r="BD104" s="1898" t="e">
        <f>HLOOKUP($BD$63,anticipaplus,40,0)</f>
        <v>#N/A</v>
      </c>
      <c r="BE104" s="1899"/>
      <c r="BF104" s="1899"/>
      <c r="BG104" s="1360">
        <f t="shared" si="33"/>
        <v>0</v>
      </c>
      <c r="BH104" s="1361">
        <f t="shared" si="42"/>
        <v>39</v>
      </c>
      <c r="BI104" s="1362">
        <f t="shared" si="34"/>
        <v>0</v>
      </c>
      <c r="BJ104" s="1362">
        <f t="shared" si="16"/>
        <v>0</v>
      </c>
      <c r="BK104" s="1362">
        <f t="shared" si="40"/>
        <v>0</v>
      </c>
      <c r="BL104" s="1363">
        <f t="shared" si="17"/>
        <v>1000000</v>
      </c>
      <c r="BM104" s="1899"/>
      <c r="BN104" s="1361">
        <f t="shared" si="43"/>
        <v>39</v>
      </c>
      <c r="BO104" s="1362">
        <f t="shared" si="18"/>
        <v>0</v>
      </c>
      <c r="BP104" s="1362">
        <f t="shared" si="19"/>
        <v>8543.4723045346618</v>
      </c>
      <c r="BQ104" s="1362">
        <f t="shared" si="50"/>
        <v>8543.4723045346618</v>
      </c>
      <c r="BR104" s="1363">
        <f t="shared" si="20"/>
        <v>666804.58012314932</v>
      </c>
      <c r="BT104" s="1414"/>
      <c r="BX104" s="1364"/>
      <c r="BY104" s="1364"/>
      <c r="BZ104" s="1364"/>
      <c r="CA104" s="1364"/>
      <c r="CB104" s="1364"/>
      <c r="CC104" s="1365"/>
      <c r="CD104" s="1365"/>
      <c r="CE104" s="1365"/>
      <c r="CF104" s="1365"/>
      <c r="CG104" s="1365"/>
      <c r="CH104" s="1366"/>
      <c r="CI104" s="1366"/>
      <c r="CJ104" s="1366"/>
      <c r="CK104" s="1366"/>
      <c r="CL104" s="1365"/>
      <c r="CM104" s="1366"/>
      <c r="CN104" s="1366"/>
      <c r="CO104" s="1366"/>
      <c r="CP104" s="1366"/>
      <c r="CQ104" s="1366"/>
      <c r="CR104" s="1366"/>
      <c r="CS104" s="1365"/>
      <c r="CT104" s="1365"/>
      <c r="CU104" s="1365"/>
      <c r="CV104" s="1365"/>
      <c r="CW104" s="1365"/>
      <c r="CX104" s="1365"/>
      <c r="CY104" s="1365"/>
      <c r="CZ104" s="1365"/>
      <c r="DA104" s="1365"/>
      <c r="DB104" s="1365"/>
      <c r="DC104" s="1365"/>
      <c r="DD104" s="1365"/>
      <c r="DE104" s="1365"/>
      <c r="DF104" s="1365"/>
      <c r="DG104" s="1365"/>
      <c r="DH104" s="1365"/>
      <c r="DI104" s="1365"/>
      <c r="DJ104" s="1365"/>
      <c r="DK104" s="1365"/>
      <c r="DL104" s="1365"/>
      <c r="DM104" s="1365"/>
      <c r="DN104" s="1365"/>
      <c r="DO104" s="1365"/>
      <c r="DP104" s="1365"/>
      <c r="DQ104" s="1365"/>
      <c r="DR104" s="1365"/>
      <c r="DS104" s="1365"/>
      <c r="DT104" s="1365"/>
    </row>
    <row r="105" spans="1:124">
      <c r="A105" s="1118">
        <f t="shared" ca="1" si="10"/>
        <v>7</v>
      </c>
      <c r="B105" s="1890">
        <f t="shared" si="21"/>
        <v>0</v>
      </c>
      <c r="C105" s="2160">
        <f t="shared" si="35"/>
        <v>0</v>
      </c>
      <c r="D105" s="2161">
        <f t="shared" si="36"/>
        <v>0</v>
      </c>
      <c r="E105" s="2162">
        <f t="shared" si="22"/>
        <v>0</v>
      </c>
      <c r="F105" s="2162">
        <f t="shared" si="47"/>
        <v>0</v>
      </c>
      <c r="G105" s="2162">
        <f t="shared" si="48"/>
        <v>0</v>
      </c>
      <c r="H105" s="2162">
        <f t="shared" si="37"/>
        <v>0</v>
      </c>
      <c r="I105" s="2162">
        <f t="shared" si="45"/>
        <v>0</v>
      </c>
      <c r="J105" s="2162">
        <f t="shared" si="12"/>
        <v>0</v>
      </c>
      <c r="K105" s="2162">
        <f t="shared" si="13"/>
        <v>0</v>
      </c>
      <c r="L105" s="2162">
        <f t="shared" si="25"/>
        <v>0</v>
      </c>
      <c r="M105" s="2162">
        <f t="shared" si="14"/>
        <v>0</v>
      </c>
      <c r="N105" s="2162">
        <f t="shared" si="26"/>
        <v>0</v>
      </c>
      <c r="O105" s="2163"/>
      <c r="P105" s="1909"/>
      <c r="Q105" s="1909"/>
      <c r="R105" s="1909"/>
      <c r="S105" s="1909"/>
      <c r="T105" s="1909"/>
      <c r="U105" s="1909"/>
      <c r="V105" s="1909"/>
      <c r="W105" s="1909"/>
      <c r="X105" s="1909"/>
      <c r="Y105" s="1909"/>
      <c r="Z105" s="1909"/>
      <c r="AA105" s="1909"/>
      <c r="AB105" s="1909"/>
      <c r="AC105" s="1909"/>
      <c r="AD105" s="1909"/>
      <c r="AE105" s="1909"/>
      <c r="AF105" s="1909"/>
      <c r="AG105" s="1756"/>
      <c r="AH105" s="1756"/>
      <c r="AI105" s="1756"/>
      <c r="AJ105" s="1989">
        <f t="shared" si="27"/>
        <v>4</v>
      </c>
      <c r="AK105" s="1900">
        <f t="shared" si="28"/>
        <v>0</v>
      </c>
      <c r="AL105" s="1907"/>
      <c r="AM105" s="1907"/>
      <c r="AN105" s="1901">
        <f t="shared" si="38"/>
        <v>0</v>
      </c>
      <c r="AO105" s="1906">
        <f t="shared" ca="1" si="29"/>
        <v>0</v>
      </c>
      <c r="AT105" s="1909"/>
      <c r="AU105" s="1903">
        <f t="shared" si="39"/>
        <v>0</v>
      </c>
      <c r="AV105" s="1904">
        <f t="shared" si="30"/>
        <v>0</v>
      </c>
      <c r="AW105" s="1904">
        <f t="shared" si="31"/>
        <v>0</v>
      </c>
      <c r="AX105" s="1904"/>
      <c r="AY105" s="1904"/>
      <c r="AZ105" s="1904"/>
      <c r="BA105" s="1904"/>
      <c r="BB105" s="1897">
        <f t="shared" si="32"/>
        <v>0</v>
      </c>
      <c r="BC105" s="1897">
        <f t="shared" si="15"/>
        <v>0</v>
      </c>
      <c r="BD105" s="1898" t="e">
        <f>HLOOKUP($BD$63,anticipaplus,41,0)</f>
        <v>#N/A</v>
      </c>
      <c r="BE105" s="1899"/>
      <c r="BF105" s="1899"/>
      <c r="BG105" s="1360">
        <f t="shared" si="33"/>
        <v>0</v>
      </c>
      <c r="BH105" s="1361">
        <f t="shared" si="42"/>
        <v>40</v>
      </c>
      <c r="BI105" s="1362">
        <f t="shared" si="34"/>
        <v>0</v>
      </c>
      <c r="BJ105" s="1362">
        <f t="shared" si="16"/>
        <v>0</v>
      </c>
      <c r="BK105" s="1362">
        <f t="shared" si="40"/>
        <v>0</v>
      </c>
      <c r="BL105" s="1363">
        <f t="shared" si="17"/>
        <v>1000000</v>
      </c>
      <c r="BM105" s="1899"/>
      <c r="BN105" s="1361">
        <f t="shared" si="43"/>
        <v>40</v>
      </c>
      <c r="BO105" s="1362">
        <f t="shared" si="18"/>
        <v>0</v>
      </c>
      <c r="BP105" s="1362">
        <f t="shared" si="19"/>
        <v>8543.4723045346618</v>
      </c>
      <c r="BQ105" s="1362">
        <f t="shared" si="50"/>
        <v>8543.4723045346618</v>
      </c>
      <c r="BR105" s="1363">
        <f t="shared" si="20"/>
        <v>658261.10781861469</v>
      </c>
      <c r="BT105" s="1414"/>
      <c r="BX105" s="1364"/>
      <c r="BY105" s="1364"/>
      <c r="BZ105" s="1364"/>
      <c r="CA105" s="1364"/>
      <c r="CB105" s="1364"/>
      <c r="CC105" s="1365"/>
      <c r="CD105" s="1365"/>
      <c r="CE105" s="1365"/>
      <c r="CF105" s="1365"/>
      <c r="CG105" s="1365"/>
      <c r="CH105" s="1366"/>
      <c r="CI105" s="1366"/>
      <c r="CJ105" s="1366"/>
      <c r="CK105" s="1366"/>
      <c r="CL105" s="1365"/>
      <c r="CM105" s="1366"/>
      <c r="CN105" s="1366"/>
      <c r="CO105" s="1366"/>
      <c r="CP105" s="1366"/>
      <c r="CQ105" s="1366"/>
      <c r="CR105" s="1366"/>
      <c r="CS105" s="1365"/>
      <c r="CT105" s="1365"/>
      <c r="CU105" s="1365"/>
      <c r="CV105" s="1365"/>
      <c r="CW105" s="1365"/>
      <c r="CX105" s="1365"/>
      <c r="CY105" s="1365"/>
      <c r="CZ105" s="1365"/>
      <c r="DA105" s="1365"/>
      <c r="DB105" s="1365"/>
      <c r="DC105" s="1365"/>
      <c r="DD105" s="1365"/>
      <c r="DE105" s="1365"/>
      <c r="DF105" s="1365"/>
      <c r="DG105" s="1365"/>
      <c r="DH105" s="1365"/>
      <c r="DI105" s="1365"/>
      <c r="DJ105" s="1365"/>
      <c r="DK105" s="1365"/>
      <c r="DL105" s="1365"/>
      <c r="DM105" s="1365"/>
      <c r="DN105" s="1365"/>
      <c r="DO105" s="1365"/>
      <c r="DP105" s="1365"/>
      <c r="DQ105" s="1365"/>
      <c r="DR105" s="1365"/>
      <c r="DS105" s="1365"/>
      <c r="DT105" s="1365"/>
    </row>
    <row r="106" spans="1:124">
      <c r="A106" s="1118">
        <f t="shared" ca="1" si="10"/>
        <v>8</v>
      </c>
      <c r="B106" s="1890">
        <f t="shared" si="21"/>
        <v>0</v>
      </c>
      <c r="C106" s="2160">
        <f t="shared" si="35"/>
        <v>0</v>
      </c>
      <c r="D106" s="2161">
        <f t="shared" si="36"/>
        <v>0</v>
      </c>
      <c r="E106" s="2162">
        <f t="shared" si="22"/>
        <v>0</v>
      </c>
      <c r="F106" s="2162">
        <f t="shared" si="47"/>
        <v>0</v>
      </c>
      <c r="G106" s="2162">
        <f t="shared" si="48"/>
        <v>0</v>
      </c>
      <c r="H106" s="2162">
        <f t="shared" si="37"/>
        <v>0</v>
      </c>
      <c r="I106" s="2162">
        <f t="shared" si="45"/>
        <v>0</v>
      </c>
      <c r="J106" s="2162">
        <f t="shared" si="12"/>
        <v>0</v>
      </c>
      <c r="K106" s="2162">
        <f t="shared" si="13"/>
        <v>0</v>
      </c>
      <c r="L106" s="2162">
        <f t="shared" si="25"/>
        <v>0</v>
      </c>
      <c r="M106" s="2162">
        <f t="shared" si="14"/>
        <v>0</v>
      </c>
      <c r="N106" s="2162">
        <f t="shared" si="26"/>
        <v>0</v>
      </c>
      <c r="O106" s="2163"/>
      <c r="AG106" s="1756"/>
      <c r="AH106" s="1756"/>
      <c r="AI106" s="1756"/>
      <c r="AJ106" s="1989">
        <f t="shared" si="27"/>
        <v>5</v>
      </c>
      <c r="AK106" s="1900">
        <f t="shared" si="28"/>
        <v>0</v>
      </c>
      <c r="AL106" s="1907"/>
      <c r="AM106" s="1907"/>
      <c r="AN106" s="1901">
        <f t="shared" si="38"/>
        <v>0</v>
      </c>
      <c r="AO106" s="1906">
        <f t="shared" ca="1" si="29"/>
        <v>0</v>
      </c>
      <c r="AU106" s="1903">
        <f t="shared" si="39"/>
        <v>0</v>
      </c>
      <c r="AV106" s="1904">
        <f t="shared" si="30"/>
        <v>0</v>
      </c>
      <c r="AW106" s="1904">
        <f t="shared" si="31"/>
        <v>0</v>
      </c>
      <c r="AX106" s="1904"/>
      <c r="AY106" s="1904"/>
      <c r="AZ106" s="1904"/>
      <c r="BA106" s="1904"/>
      <c r="BB106" s="1897">
        <f t="shared" si="32"/>
        <v>0</v>
      </c>
      <c r="BC106" s="1897">
        <f t="shared" si="15"/>
        <v>0</v>
      </c>
      <c r="BD106" s="1898" t="e">
        <f>HLOOKUP($BD$63,anticipaplus,42,0)</f>
        <v>#N/A</v>
      </c>
      <c r="BE106" s="1899"/>
      <c r="BF106" s="1899"/>
      <c r="BG106" s="1360">
        <f t="shared" si="33"/>
        <v>0</v>
      </c>
      <c r="BH106" s="1361">
        <f t="shared" si="42"/>
        <v>41</v>
      </c>
      <c r="BI106" s="1362">
        <f t="shared" si="34"/>
        <v>0</v>
      </c>
      <c r="BJ106" s="1362">
        <f t="shared" si="16"/>
        <v>0</v>
      </c>
      <c r="BK106" s="1362">
        <f t="shared" si="40"/>
        <v>0</v>
      </c>
      <c r="BL106" s="1363">
        <f t="shared" si="17"/>
        <v>1000000</v>
      </c>
      <c r="BM106" s="1899"/>
      <c r="BN106" s="1361">
        <f t="shared" si="43"/>
        <v>41</v>
      </c>
      <c r="BO106" s="1362">
        <f t="shared" si="18"/>
        <v>0</v>
      </c>
      <c r="BP106" s="1362">
        <f t="shared" si="19"/>
        <v>8543.4723045346618</v>
      </c>
      <c r="BQ106" s="1362">
        <f t="shared" si="50"/>
        <v>8543.4723045346618</v>
      </c>
      <c r="BR106" s="1363">
        <f t="shared" si="20"/>
        <v>649717.63551408006</v>
      </c>
      <c r="BT106" s="1414"/>
      <c r="BX106" s="1364"/>
      <c r="BY106" s="1364"/>
      <c r="BZ106" s="1364"/>
      <c r="CA106" s="1364"/>
      <c r="CB106" s="1364"/>
      <c r="CC106" s="1365"/>
      <c r="CD106" s="1365"/>
      <c r="CE106" s="1365"/>
      <c r="CF106" s="1365"/>
      <c r="CG106" s="1365"/>
      <c r="CH106" s="1366"/>
      <c r="CI106" s="1366"/>
      <c r="CJ106" s="1366"/>
      <c r="CK106" s="1366"/>
      <c r="CL106" s="1365"/>
      <c r="CM106" s="1366"/>
      <c r="CN106" s="1366"/>
      <c r="CO106" s="1366"/>
      <c r="CP106" s="1366"/>
      <c r="CQ106" s="1366"/>
      <c r="CR106" s="1366"/>
      <c r="CS106" s="1365"/>
      <c r="CT106" s="1365"/>
      <c r="CU106" s="1365"/>
      <c r="CV106" s="1365"/>
      <c r="CW106" s="1365"/>
      <c r="CX106" s="1365"/>
      <c r="CY106" s="1365"/>
      <c r="CZ106" s="1365"/>
      <c r="DA106" s="1365"/>
      <c r="DB106" s="1365"/>
      <c r="DC106" s="1365"/>
      <c r="DD106" s="1365"/>
      <c r="DE106" s="1365"/>
      <c r="DF106" s="1365"/>
      <c r="DG106" s="1365"/>
      <c r="DH106" s="1365"/>
      <c r="DI106" s="1365"/>
      <c r="DJ106" s="1365"/>
      <c r="DK106" s="1365"/>
      <c r="DL106" s="1365"/>
      <c r="DM106" s="1365"/>
      <c r="DN106" s="1365"/>
      <c r="DO106" s="1365"/>
      <c r="DP106" s="1365"/>
      <c r="DQ106" s="1365"/>
      <c r="DR106" s="1365"/>
      <c r="DS106" s="1365"/>
      <c r="DT106" s="1365"/>
    </row>
    <row r="107" spans="1:124">
      <c r="A107" s="1118">
        <f t="shared" ca="1" si="10"/>
        <v>9</v>
      </c>
      <c r="B107" s="1890">
        <f t="shared" si="21"/>
        <v>0</v>
      </c>
      <c r="C107" s="2160">
        <f t="shared" si="35"/>
        <v>0</v>
      </c>
      <c r="D107" s="2161">
        <f t="shared" si="36"/>
        <v>0</v>
      </c>
      <c r="E107" s="2162">
        <f t="shared" si="22"/>
        <v>0</v>
      </c>
      <c r="F107" s="2162">
        <f t="shared" si="47"/>
        <v>0</v>
      </c>
      <c r="G107" s="2162">
        <f t="shared" si="48"/>
        <v>0</v>
      </c>
      <c r="H107" s="2162">
        <f t="shared" si="37"/>
        <v>0</v>
      </c>
      <c r="I107" s="2162">
        <f t="shared" si="45"/>
        <v>0</v>
      </c>
      <c r="J107" s="2162">
        <f t="shared" si="12"/>
        <v>0</v>
      </c>
      <c r="K107" s="2162">
        <f t="shared" si="13"/>
        <v>0</v>
      </c>
      <c r="L107" s="2162">
        <f t="shared" si="25"/>
        <v>0</v>
      </c>
      <c r="M107" s="2162">
        <f t="shared" si="14"/>
        <v>0</v>
      </c>
      <c r="N107" s="2162">
        <f t="shared" si="26"/>
        <v>0</v>
      </c>
      <c r="O107" s="2163"/>
      <c r="AG107" s="1756"/>
      <c r="AH107" s="1756"/>
      <c r="AI107" s="1756"/>
      <c r="AJ107" s="1989">
        <f t="shared" si="27"/>
        <v>6</v>
      </c>
      <c r="AK107" s="1900">
        <f t="shared" si="28"/>
        <v>0</v>
      </c>
      <c r="AL107" s="1907"/>
      <c r="AM107" s="1907"/>
      <c r="AN107" s="1901">
        <f t="shared" si="38"/>
        <v>0</v>
      </c>
      <c r="AO107" s="1906">
        <f t="shared" ca="1" si="29"/>
        <v>0</v>
      </c>
      <c r="AU107" s="1903">
        <f t="shared" si="39"/>
        <v>0</v>
      </c>
      <c r="AV107" s="1904">
        <f t="shared" si="30"/>
        <v>0</v>
      </c>
      <c r="AW107" s="1904">
        <f t="shared" si="31"/>
        <v>0</v>
      </c>
      <c r="AX107" s="1904"/>
      <c r="AY107" s="1904"/>
      <c r="AZ107" s="1904"/>
      <c r="BA107" s="1904"/>
      <c r="BB107" s="1897">
        <f t="shared" si="32"/>
        <v>0</v>
      </c>
      <c r="BC107" s="1897">
        <f t="shared" si="15"/>
        <v>0</v>
      </c>
      <c r="BD107" s="1898" t="e">
        <f>HLOOKUP($BD$63,anticipaplus,43,0)</f>
        <v>#N/A</v>
      </c>
      <c r="BE107" s="1899"/>
      <c r="BF107" s="1899"/>
      <c r="BG107" s="1360">
        <f t="shared" si="33"/>
        <v>0</v>
      </c>
      <c r="BH107" s="1361">
        <f t="shared" si="42"/>
        <v>42</v>
      </c>
      <c r="BI107" s="1362">
        <f t="shared" si="34"/>
        <v>0</v>
      </c>
      <c r="BJ107" s="1362">
        <f t="shared" si="16"/>
        <v>0</v>
      </c>
      <c r="BK107" s="1362">
        <f t="shared" si="40"/>
        <v>0</v>
      </c>
      <c r="BL107" s="1363">
        <f t="shared" si="17"/>
        <v>1000000</v>
      </c>
      <c r="BM107" s="1899"/>
      <c r="BN107" s="1361">
        <f t="shared" si="43"/>
        <v>42</v>
      </c>
      <c r="BO107" s="1362">
        <f t="shared" si="18"/>
        <v>0</v>
      </c>
      <c r="BP107" s="1362">
        <f t="shared" si="19"/>
        <v>8543.4723045346618</v>
      </c>
      <c r="BQ107" s="1362">
        <f t="shared" si="50"/>
        <v>8543.4723045346618</v>
      </c>
      <c r="BR107" s="1363">
        <f t="shared" si="20"/>
        <v>641174.16320954543</v>
      </c>
      <c r="BT107" s="1414"/>
      <c r="BX107" s="1364"/>
      <c r="BY107" s="1364"/>
      <c r="BZ107" s="1364"/>
      <c r="CA107" s="1364"/>
      <c r="CB107" s="1364"/>
      <c r="CC107" s="1365"/>
      <c r="CD107" s="1365"/>
      <c r="CE107" s="1365"/>
      <c r="CF107" s="1365"/>
      <c r="CG107" s="1365"/>
      <c r="CH107" s="1366"/>
      <c r="CI107" s="1366"/>
      <c r="CJ107" s="1366"/>
      <c r="CK107" s="1366"/>
      <c r="CL107" s="1365"/>
      <c r="CM107" s="1366"/>
      <c r="CN107" s="1366"/>
      <c r="CO107" s="1366"/>
      <c r="CP107" s="1366"/>
      <c r="CQ107" s="1366"/>
      <c r="CR107" s="1366"/>
      <c r="CS107" s="1365"/>
      <c r="CT107" s="1365"/>
      <c r="CU107" s="1365"/>
      <c r="CV107" s="1365"/>
      <c r="CW107" s="1365"/>
      <c r="CX107" s="1365"/>
      <c r="CY107" s="1365"/>
      <c r="CZ107" s="1365"/>
      <c r="DA107" s="1365"/>
      <c r="DB107" s="1365"/>
      <c r="DC107" s="1365"/>
      <c r="DD107" s="1365"/>
      <c r="DE107" s="1365"/>
      <c r="DF107" s="1365"/>
      <c r="DG107" s="1365"/>
      <c r="DH107" s="1365"/>
      <c r="DI107" s="1365"/>
      <c r="DJ107" s="1365"/>
      <c r="DK107" s="1365"/>
      <c r="DL107" s="1365"/>
      <c r="DM107" s="1365"/>
      <c r="DN107" s="1365"/>
      <c r="DO107" s="1365"/>
      <c r="DP107" s="1365"/>
      <c r="DQ107" s="1365"/>
      <c r="DR107" s="1365"/>
      <c r="DS107" s="1365"/>
      <c r="DT107" s="1365"/>
    </row>
    <row r="108" spans="1:124">
      <c r="A108" s="1118">
        <f t="shared" ca="1" si="10"/>
        <v>10</v>
      </c>
      <c r="B108" s="1890">
        <f t="shared" si="21"/>
        <v>0</v>
      </c>
      <c r="C108" s="2160">
        <f t="shared" si="35"/>
        <v>0</v>
      </c>
      <c r="D108" s="2161">
        <f t="shared" si="36"/>
        <v>0</v>
      </c>
      <c r="E108" s="2162">
        <f t="shared" si="22"/>
        <v>0</v>
      </c>
      <c r="F108" s="2162">
        <f t="shared" si="47"/>
        <v>0</v>
      </c>
      <c r="G108" s="2162">
        <f t="shared" si="48"/>
        <v>0</v>
      </c>
      <c r="H108" s="2162">
        <f t="shared" si="37"/>
        <v>0</v>
      </c>
      <c r="I108" s="2162">
        <f t="shared" si="45"/>
        <v>0</v>
      </c>
      <c r="J108" s="2162">
        <f t="shared" si="12"/>
        <v>0</v>
      </c>
      <c r="K108" s="2162">
        <f t="shared" si="13"/>
        <v>0</v>
      </c>
      <c r="L108" s="2162">
        <f t="shared" si="25"/>
        <v>0</v>
      </c>
      <c r="M108" s="2162">
        <f t="shared" si="14"/>
        <v>0</v>
      </c>
      <c r="N108" s="2162">
        <f t="shared" si="26"/>
        <v>0</v>
      </c>
      <c r="O108" s="2163"/>
      <c r="AG108" s="1756"/>
      <c r="AH108" s="1756"/>
      <c r="AI108" s="1756"/>
      <c r="AJ108" s="1989">
        <f t="shared" si="27"/>
        <v>7</v>
      </c>
      <c r="AK108" s="1900">
        <f t="shared" si="28"/>
        <v>0</v>
      </c>
      <c r="AL108" s="1907"/>
      <c r="AM108" s="1907"/>
      <c r="AN108" s="1901">
        <f t="shared" si="38"/>
        <v>0</v>
      </c>
      <c r="AO108" s="1906">
        <f t="shared" ca="1" si="29"/>
        <v>0</v>
      </c>
      <c r="AU108" s="1903">
        <f t="shared" si="39"/>
        <v>0</v>
      </c>
      <c r="AV108" s="1904">
        <f t="shared" si="30"/>
        <v>0</v>
      </c>
      <c r="AW108" s="1904">
        <f t="shared" si="31"/>
        <v>0</v>
      </c>
      <c r="AX108" s="1904"/>
      <c r="AY108" s="1904"/>
      <c r="AZ108" s="1904"/>
      <c r="BA108" s="1904"/>
      <c r="BB108" s="1897">
        <f t="shared" si="32"/>
        <v>0</v>
      </c>
      <c r="BC108" s="1897">
        <f t="shared" si="15"/>
        <v>0</v>
      </c>
      <c r="BD108" s="1898" t="e">
        <f>HLOOKUP($BD$63,anticipaplus,44,0)</f>
        <v>#N/A</v>
      </c>
      <c r="BE108" s="1899"/>
      <c r="BF108" s="1899"/>
      <c r="BG108" s="1360">
        <f t="shared" si="33"/>
        <v>0</v>
      </c>
      <c r="BH108" s="1361">
        <f t="shared" si="42"/>
        <v>43</v>
      </c>
      <c r="BI108" s="1362">
        <f t="shared" si="34"/>
        <v>0</v>
      </c>
      <c r="BJ108" s="1362">
        <f t="shared" si="16"/>
        <v>0</v>
      </c>
      <c r="BK108" s="1362">
        <f t="shared" si="40"/>
        <v>0</v>
      </c>
      <c r="BL108" s="1363">
        <f t="shared" si="17"/>
        <v>1000000</v>
      </c>
      <c r="BM108" s="1899"/>
      <c r="BN108" s="1361">
        <f t="shared" si="43"/>
        <v>43</v>
      </c>
      <c r="BO108" s="1362">
        <f t="shared" si="18"/>
        <v>0</v>
      </c>
      <c r="BP108" s="1362">
        <f t="shared" si="19"/>
        <v>8543.4723045346618</v>
      </c>
      <c r="BQ108" s="1362">
        <f t="shared" si="50"/>
        <v>8543.4723045346618</v>
      </c>
      <c r="BR108" s="1363">
        <f t="shared" si="20"/>
        <v>632630.69090501079</v>
      </c>
      <c r="BT108" s="1414"/>
      <c r="BX108" s="1364"/>
      <c r="BY108" s="1364"/>
      <c r="BZ108" s="1364"/>
      <c r="CA108" s="1364"/>
      <c r="CB108" s="1364"/>
      <c r="CC108" s="1365"/>
      <c r="CD108" s="1365"/>
      <c r="CE108" s="1365"/>
      <c r="CF108" s="1365"/>
      <c r="CG108" s="1365"/>
      <c r="CH108" s="1366"/>
      <c r="CI108" s="1366"/>
      <c r="CJ108" s="1366"/>
      <c r="CK108" s="1366"/>
      <c r="CL108" s="1365"/>
      <c r="CM108" s="1366"/>
      <c r="CN108" s="1366"/>
      <c r="CO108" s="1366"/>
      <c r="CP108" s="1366"/>
      <c r="CQ108" s="1366"/>
      <c r="CR108" s="1366"/>
      <c r="CS108" s="1365"/>
      <c r="CT108" s="1365"/>
      <c r="CU108" s="1365"/>
      <c r="CV108" s="1365"/>
      <c r="CW108" s="1365"/>
      <c r="CX108" s="1365"/>
      <c r="CY108" s="1365"/>
      <c r="CZ108" s="1365"/>
      <c r="DA108" s="1365"/>
      <c r="DB108" s="1365"/>
      <c r="DC108" s="1365"/>
      <c r="DD108" s="1365"/>
      <c r="DE108" s="1365"/>
      <c r="DF108" s="1365"/>
      <c r="DG108" s="1365"/>
      <c r="DH108" s="1365"/>
      <c r="DI108" s="1365"/>
      <c r="DJ108" s="1365"/>
      <c r="DK108" s="1365"/>
      <c r="DL108" s="1365"/>
      <c r="DM108" s="1365"/>
      <c r="DN108" s="1365"/>
      <c r="DO108" s="1365"/>
      <c r="DP108" s="1365"/>
      <c r="DQ108" s="1365"/>
      <c r="DR108" s="1365"/>
      <c r="DS108" s="1365"/>
      <c r="DT108" s="1365"/>
    </row>
    <row r="109" spans="1:124">
      <c r="A109" s="1118">
        <f t="shared" ca="1" si="10"/>
        <v>11</v>
      </c>
      <c r="B109" s="1890">
        <f t="shared" si="21"/>
        <v>0</v>
      </c>
      <c r="C109" s="2160">
        <f t="shared" si="35"/>
        <v>0</v>
      </c>
      <c r="D109" s="2161">
        <f t="shared" si="36"/>
        <v>0</v>
      </c>
      <c r="E109" s="2162">
        <f t="shared" si="22"/>
        <v>0</v>
      </c>
      <c r="F109" s="2162">
        <f t="shared" si="47"/>
        <v>0</v>
      </c>
      <c r="G109" s="2162">
        <f t="shared" si="48"/>
        <v>0</v>
      </c>
      <c r="H109" s="2162">
        <f t="shared" si="37"/>
        <v>0</v>
      </c>
      <c r="I109" s="2162">
        <f t="shared" si="45"/>
        <v>0</v>
      </c>
      <c r="J109" s="2162">
        <f t="shared" si="12"/>
        <v>0</v>
      </c>
      <c r="K109" s="2162">
        <f t="shared" si="13"/>
        <v>0</v>
      </c>
      <c r="L109" s="2162">
        <f t="shared" si="25"/>
        <v>0</v>
      </c>
      <c r="M109" s="2162">
        <f t="shared" si="14"/>
        <v>0</v>
      </c>
      <c r="N109" s="2162">
        <f t="shared" si="26"/>
        <v>0</v>
      </c>
      <c r="O109" s="2163"/>
      <c r="AG109" s="1756"/>
      <c r="AH109" s="1756"/>
      <c r="AI109" s="1756"/>
      <c r="AJ109" s="1989">
        <f t="shared" si="27"/>
        <v>8</v>
      </c>
      <c r="AK109" s="1900">
        <f t="shared" si="28"/>
        <v>0</v>
      </c>
      <c r="AL109" s="1907"/>
      <c r="AM109" s="1907"/>
      <c r="AN109" s="1901">
        <f t="shared" si="38"/>
        <v>0</v>
      </c>
      <c r="AO109" s="1906">
        <f t="shared" ca="1" si="29"/>
        <v>0</v>
      </c>
      <c r="AU109" s="1903">
        <f t="shared" si="39"/>
        <v>0</v>
      </c>
      <c r="AV109" s="1904">
        <f t="shared" si="30"/>
        <v>0</v>
      </c>
      <c r="AW109" s="1904">
        <f t="shared" si="31"/>
        <v>0</v>
      </c>
      <c r="AX109" s="1904"/>
      <c r="AY109" s="1904"/>
      <c r="AZ109" s="1904"/>
      <c r="BA109" s="1904"/>
      <c r="BB109" s="1897">
        <f t="shared" si="32"/>
        <v>0</v>
      </c>
      <c r="BC109" s="1897">
        <f t="shared" si="15"/>
        <v>0</v>
      </c>
      <c r="BD109" s="1898" t="e">
        <f>HLOOKUP($BD$63,anticipaplus,45,0)</f>
        <v>#N/A</v>
      </c>
      <c r="BE109" s="1899"/>
      <c r="BF109" s="1899"/>
      <c r="BG109" s="1360">
        <f t="shared" si="33"/>
        <v>0</v>
      </c>
      <c r="BH109" s="1361">
        <f t="shared" si="42"/>
        <v>44</v>
      </c>
      <c r="BI109" s="1362">
        <f t="shared" si="34"/>
        <v>0</v>
      </c>
      <c r="BJ109" s="1362">
        <f t="shared" si="16"/>
        <v>0</v>
      </c>
      <c r="BK109" s="1362">
        <f t="shared" si="40"/>
        <v>0</v>
      </c>
      <c r="BL109" s="1363">
        <f t="shared" si="17"/>
        <v>1000000</v>
      </c>
      <c r="BM109" s="1899"/>
      <c r="BN109" s="1361">
        <f t="shared" si="43"/>
        <v>44</v>
      </c>
      <c r="BO109" s="1362">
        <f t="shared" si="18"/>
        <v>0</v>
      </c>
      <c r="BP109" s="1362">
        <f t="shared" si="19"/>
        <v>8543.4723045346618</v>
      </c>
      <c r="BQ109" s="1362">
        <f t="shared" si="50"/>
        <v>8543.4723045346618</v>
      </c>
      <c r="BR109" s="1363">
        <f t="shared" si="20"/>
        <v>624087.21860047616</v>
      </c>
      <c r="BT109" s="1414"/>
      <c r="BX109" s="1364"/>
      <c r="BY109" s="1364"/>
      <c r="BZ109" s="1364"/>
      <c r="CA109" s="1364"/>
      <c r="CB109" s="1364"/>
      <c r="CC109" s="1365"/>
      <c r="CD109" s="1365"/>
      <c r="CE109" s="1365"/>
      <c r="CF109" s="1365"/>
      <c r="CG109" s="1365"/>
      <c r="CH109" s="1366"/>
      <c r="CI109" s="1366"/>
      <c r="CJ109" s="1366"/>
      <c r="CK109" s="1366"/>
      <c r="CL109" s="1365"/>
      <c r="CM109" s="1366"/>
      <c r="CN109" s="1366"/>
      <c r="CO109" s="1366"/>
      <c r="CP109" s="1366"/>
      <c r="CQ109" s="1366"/>
      <c r="CR109" s="1366"/>
      <c r="CS109" s="1365"/>
      <c r="CT109" s="1365"/>
      <c r="CU109" s="1365"/>
      <c r="CV109" s="1365"/>
      <c r="CW109" s="1365"/>
      <c r="CX109" s="1365"/>
      <c r="CY109" s="1365"/>
      <c r="CZ109" s="1365"/>
      <c r="DA109" s="1365"/>
      <c r="DB109" s="1365"/>
      <c r="DC109" s="1365"/>
      <c r="DD109" s="1365"/>
      <c r="DE109" s="1365"/>
      <c r="DF109" s="1365"/>
      <c r="DG109" s="1365"/>
      <c r="DH109" s="1365"/>
      <c r="DI109" s="1365"/>
      <c r="DJ109" s="1365"/>
      <c r="DK109" s="1365"/>
      <c r="DL109" s="1365"/>
      <c r="DM109" s="1365"/>
      <c r="DN109" s="1365"/>
      <c r="DO109" s="1365"/>
      <c r="DP109" s="1365"/>
      <c r="DQ109" s="1365"/>
      <c r="DR109" s="1365"/>
      <c r="DS109" s="1365"/>
      <c r="DT109" s="1365"/>
    </row>
    <row r="110" spans="1:124">
      <c r="A110" s="1118">
        <f t="shared" ca="1" si="10"/>
        <v>12</v>
      </c>
      <c r="B110" s="1890">
        <f t="shared" si="21"/>
        <v>0</v>
      </c>
      <c r="C110" s="2160">
        <f t="shared" si="35"/>
        <v>0</v>
      </c>
      <c r="D110" s="2161">
        <f t="shared" si="36"/>
        <v>0</v>
      </c>
      <c r="E110" s="2162">
        <f t="shared" si="22"/>
        <v>0</v>
      </c>
      <c r="F110" s="2162">
        <f t="shared" si="47"/>
        <v>0</v>
      </c>
      <c r="G110" s="2162">
        <f t="shared" si="48"/>
        <v>0</v>
      </c>
      <c r="H110" s="2162">
        <f t="shared" si="37"/>
        <v>0</v>
      </c>
      <c r="I110" s="2162">
        <f t="shared" si="45"/>
        <v>0</v>
      </c>
      <c r="J110" s="2162">
        <f t="shared" si="12"/>
        <v>0</v>
      </c>
      <c r="K110" s="2162">
        <f t="shared" si="13"/>
        <v>0</v>
      </c>
      <c r="L110" s="2162">
        <f t="shared" si="25"/>
        <v>0</v>
      </c>
      <c r="M110" s="2162">
        <f t="shared" si="14"/>
        <v>0</v>
      </c>
      <c r="N110" s="2162">
        <f t="shared" si="26"/>
        <v>0</v>
      </c>
      <c r="O110" s="2163"/>
      <c r="AG110" s="1756"/>
      <c r="AH110" s="1756"/>
      <c r="AI110" s="1756"/>
      <c r="AJ110" s="1989">
        <f t="shared" si="27"/>
        <v>9</v>
      </c>
      <c r="AK110" s="1900">
        <f t="shared" si="28"/>
        <v>0</v>
      </c>
      <c r="AL110" s="1907"/>
      <c r="AM110" s="1907"/>
      <c r="AN110" s="1901">
        <f t="shared" si="38"/>
        <v>0</v>
      </c>
      <c r="AO110" s="1906">
        <f t="shared" ca="1" si="29"/>
        <v>0</v>
      </c>
      <c r="AU110" s="1903">
        <f t="shared" si="39"/>
        <v>0</v>
      </c>
      <c r="AV110" s="1904">
        <f t="shared" si="30"/>
        <v>0</v>
      </c>
      <c r="AW110" s="1904">
        <f t="shared" si="31"/>
        <v>0</v>
      </c>
      <c r="AX110" s="1904"/>
      <c r="AY110" s="1904"/>
      <c r="AZ110" s="1904"/>
      <c r="BA110" s="1904"/>
      <c r="BB110" s="1897">
        <f t="shared" si="32"/>
        <v>0</v>
      </c>
      <c r="BC110" s="1897">
        <f t="shared" si="15"/>
        <v>0</v>
      </c>
      <c r="BD110" s="1898" t="e">
        <f>HLOOKUP($BD$63,anticipaplus,46,0)</f>
        <v>#N/A</v>
      </c>
      <c r="BE110" s="1899"/>
      <c r="BF110" s="1899"/>
      <c r="BG110" s="1360">
        <f t="shared" si="33"/>
        <v>0</v>
      </c>
      <c r="BH110" s="1361">
        <f t="shared" si="42"/>
        <v>45</v>
      </c>
      <c r="BI110" s="1362">
        <f t="shared" si="34"/>
        <v>0</v>
      </c>
      <c r="BJ110" s="1362">
        <f t="shared" si="16"/>
        <v>0</v>
      </c>
      <c r="BK110" s="1362">
        <f t="shared" si="40"/>
        <v>0</v>
      </c>
      <c r="BL110" s="1363">
        <f t="shared" si="17"/>
        <v>1000000</v>
      </c>
      <c r="BM110" s="1899"/>
      <c r="BN110" s="1361">
        <f t="shared" si="43"/>
        <v>45</v>
      </c>
      <c r="BO110" s="1362">
        <f t="shared" si="18"/>
        <v>0</v>
      </c>
      <c r="BP110" s="1362">
        <f t="shared" si="19"/>
        <v>8543.4723045346618</v>
      </c>
      <c r="BQ110" s="1362">
        <f t="shared" si="50"/>
        <v>8543.4723045346618</v>
      </c>
      <c r="BR110" s="1363">
        <f t="shared" si="20"/>
        <v>615543.74629594153</v>
      </c>
      <c r="BT110" s="1414"/>
      <c r="BX110" s="1364"/>
      <c r="BY110" s="1364"/>
      <c r="BZ110" s="1364"/>
      <c r="CA110" s="1364"/>
      <c r="CB110" s="1364"/>
      <c r="CC110" s="1365"/>
      <c r="CD110" s="1365"/>
      <c r="CE110" s="1365"/>
      <c r="CF110" s="1365"/>
      <c r="CG110" s="1365"/>
      <c r="CH110" s="1366"/>
      <c r="CI110" s="1366"/>
      <c r="CJ110" s="1366"/>
      <c r="CK110" s="1366"/>
      <c r="CL110" s="1365"/>
      <c r="CM110" s="1366"/>
      <c r="CN110" s="1366"/>
      <c r="CO110" s="1366"/>
      <c r="CP110" s="1366"/>
      <c r="CQ110" s="1366"/>
      <c r="CR110" s="1366"/>
      <c r="CS110" s="1365"/>
      <c r="CT110" s="1365"/>
      <c r="CU110" s="1365"/>
      <c r="CV110" s="1365"/>
      <c r="CW110" s="1365"/>
      <c r="CX110" s="1365"/>
      <c r="CY110" s="1365"/>
      <c r="CZ110" s="1365"/>
      <c r="DA110" s="1365"/>
      <c r="DB110" s="1365"/>
      <c r="DC110" s="1365"/>
      <c r="DD110" s="1365"/>
      <c r="DE110" s="1365"/>
      <c r="DF110" s="1365"/>
      <c r="DG110" s="1365"/>
      <c r="DH110" s="1365"/>
      <c r="DI110" s="1365"/>
      <c r="DJ110" s="1365"/>
      <c r="DK110" s="1365"/>
      <c r="DL110" s="1365"/>
      <c r="DM110" s="1365"/>
      <c r="DN110" s="1365"/>
      <c r="DO110" s="1365"/>
      <c r="DP110" s="1365"/>
      <c r="DQ110" s="1365"/>
      <c r="DR110" s="1365"/>
      <c r="DS110" s="1365"/>
      <c r="DT110" s="1365"/>
    </row>
    <row r="111" spans="1:124">
      <c r="A111" s="1118">
        <f t="shared" ca="1" si="10"/>
        <v>1</v>
      </c>
      <c r="B111" s="1890">
        <f t="shared" si="21"/>
        <v>0</v>
      </c>
      <c r="C111" s="2160">
        <f t="shared" si="35"/>
        <v>0</v>
      </c>
      <c r="D111" s="2161">
        <f t="shared" si="36"/>
        <v>0</v>
      </c>
      <c r="E111" s="2162">
        <f t="shared" si="22"/>
        <v>0</v>
      </c>
      <c r="F111" s="2162">
        <f t="shared" si="47"/>
        <v>0</v>
      </c>
      <c r="G111" s="2162">
        <f t="shared" si="48"/>
        <v>0</v>
      </c>
      <c r="H111" s="2162">
        <f t="shared" si="37"/>
        <v>0</v>
      </c>
      <c r="I111" s="2162">
        <f t="shared" si="45"/>
        <v>0</v>
      </c>
      <c r="J111" s="2162">
        <f t="shared" si="12"/>
        <v>0</v>
      </c>
      <c r="K111" s="2162">
        <f t="shared" si="13"/>
        <v>0</v>
      </c>
      <c r="L111" s="2162">
        <f t="shared" si="25"/>
        <v>0</v>
      </c>
      <c r="M111" s="2162">
        <f t="shared" si="14"/>
        <v>0</v>
      </c>
      <c r="N111" s="2162">
        <f t="shared" si="26"/>
        <v>0</v>
      </c>
      <c r="O111" s="2163"/>
      <c r="AG111" s="1756"/>
      <c r="AH111" s="1756"/>
      <c r="AI111" s="1756"/>
      <c r="AJ111" s="1989">
        <f t="shared" si="27"/>
        <v>10</v>
      </c>
      <c r="AK111" s="1900">
        <f t="shared" si="28"/>
        <v>0</v>
      </c>
      <c r="AL111" s="1907"/>
      <c r="AM111" s="1907"/>
      <c r="AN111" s="1901">
        <f t="shared" si="38"/>
        <v>0</v>
      </c>
      <c r="AO111" s="1906">
        <f t="shared" ca="1" si="29"/>
        <v>0</v>
      </c>
      <c r="AU111" s="1903">
        <f t="shared" si="39"/>
        <v>0</v>
      </c>
      <c r="AV111" s="1904">
        <f t="shared" si="30"/>
        <v>0</v>
      </c>
      <c r="AW111" s="1904">
        <f t="shared" si="31"/>
        <v>0</v>
      </c>
      <c r="AX111" s="1904"/>
      <c r="AY111" s="1904"/>
      <c r="AZ111" s="1904"/>
      <c r="BA111" s="1904"/>
      <c r="BB111" s="1897">
        <f t="shared" si="32"/>
        <v>0</v>
      </c>
      <c r="BC111" s="1897">
        <f t="shared" si="15"/>
        <v>0</v>
      </c>
      <c r="BD111" s="1898" t="e">
        <f>HLOOKUP($BD$63,anticipaplus,47,0)</f>
        <v>#N/A</v>
      </c>
      <c r="BE111" s="1899"/>
      <c r="BF111" s="1899"/>
      <c r="BG111" s="1360">
        <f t="shared" si="33"/>
        <v>0</v>
      </c>
      <c r="BH111" s="1361">
        <f t="shared" si="42"/>
        <v>46</v>
      </c>
      <c r="BI111" s="1362">
        <f t="shared" si="34"/>
        <v>0</v>
      </c>
      <c r="BJ111" s="1362">
        <f t="shared" si="16"/>
        <v>0</v>
      </c>
      <c r="BK111" s="1362">
        <f t="shared" si="40"/>
        <v>0</v>
      </c>
      <c r="BL111" s="1363">
        <f t="shared" si="17"/>
        <v>1000000</v>
      </c>
      <c r="BM111" s="1899"/>
      <c r="BN111" s="1361">
        <f t="shared" si="43"/>
        <v>46</v>
      </c>
      <c r="BO111" s="1362">
        <f t="shared" si="18"/>
        <v>0</v>
      </c>
      <c r="BP111" s="1362">
        <f t="shared" si="19"/>
        <v>8543.4723045346618</v>
      </c>
      <c r="BQ111" s="1362">
        <f t="shared" si="50"/>
        <v>8543.4723045346618</v>
      </c>
      <c r="BR111" s="1363">
        <f t="shared" si="20"/>
        <v>607000.2739914069</v>
      </c>
      <c r="BT111" s="1414"/>
      <c r="BX111" s="1364"/>
      <c r="BY111" s="1364"/>
      <c r="BZ111" s="1364"/>
      <c r="CA111" s="1364"/>
      <c r="CB111" s="1364"/>
      <c r="CC111" s="1365"/>
      <c r="CD111" s="1365"/>
      <c r="CE111" s="1365"/>
      <c r="CF111" s="1365"/>
      <c r="CG111" s="1365"/>
      <c r="CH111" s="1366"/>
      <c r="CI111" s="1366"/>
      <c r="CJ111" s="1366"/>
      <c r="CK111" s="1366"/>
      <c r="CL111" s="1365"/>
      <c r="CM111" s="1366"/>
      <c r="CN111" s="1366"/>
      <c r="CO111" s="1366"/>
      <c r="CP111" s="1366"/>
      <c r="CQ111" s="1366"/>
      <c r="CR111" s="1366"/>
      <c r="CS111" s="1365"/>
      <c r="CT111" s="1365"/>
      <c r="CU111" s="1365"/>
      <c r="CV111" s="1365"/>
      <c r="CW111" s="1365"/>
      <c r="CX111" s="1365"/>
      <c r="CY111" s="1365"/>
      <c r="CZ111" s="1365"/>
      <c r="DA111" s="1365"/>
      <c r="DB111" s="1365"/>
      <c r="DC111" s="1365"/>
      <c r="DD111" s="1365"/>
      <c r="DE111" s="1365"/>
      <c r="DF111" s="1365"/>
      <c r="DG111" s="1365"/>
      <c r="DH111" s="1365"/>
      <c r="DI111" s="1365"/>
      <c r="DJ111" s="1365"/>
      <c r="DK111" s="1365"/>
      <c r="DL111" s="1365"/>
      <c r="DM111" s="1365"/>
      <c r="DN111" s="1365"/>
      <c r="DO111" s="1365"/>
      <c r="DP111" s="1365"/>
      <c r="DQ111" s="1365"/>
      <c r="DR111" s="1365"/>
      <c r="DS111" s="1365"/>
      <c r="DT111" s="1365"/>
    </row>
    <row r="112" spans="1:124">
      <c r="A112" s="1118">
        <f t="shared" ca="1" si="10"/>
        <v>2</v>
      </c>
      <c r="B112" s="1890">
        <f t="shared" si="21"/>
        <v>0</v>
      </c>
      <c r="C112" s="2160">
        <f t="shared" si="35"/>
        <v>0</v>
      </c>
      <c r="D112" s="2161">
        <f t="shared" si="36"/>
        <v>0</v>
      </c>
      <c r="E112" s="2162">
        <f t="shared" si="22"/>
        <v>0</v>
      </c>
      <c r="F112" s="2162">
        <f t="shared" si="47"/>
        <v>0</v>
      </c>
      <c r="G112" s="2162">
        <f t="shared" si="48"/>
        <v>0</v>
      </c>
      <c r="H112" s="2162">
        <f t="shared" si="37"/>
        <v>0</v>
      </c>
      <c r="I112" s="2162">
        <f t="shared" si="45"/>
        <v>0</v>
      </c>
      <c r="J112" s="2162">
        <f t="shared" si="12"/>
        <v>0</v>
      </c>
      <c r="K112" s="2162">
        <f t="shared" si="13"/>
        <v>0</v>
      </c>
      <c r="L112" s="2162">
        <f t="shared" si="25"/>
        <v>0</v>
      </c>
      <c r="M112" s="2162">
        <f t="shared" si="14"/>
        <v>0</v>
      </c>
      <c r="N112" s="2162">
        <f t="shared" si="26"/>
        <v>0</v>
      </c>
      <c r="O112" s="2163"/>
      <c r="AG112" s="1756"/>
      <c r="AH112" s="1756"/>
      <c r="AI112" s="1756"/>
      <c r="AJ112" s="1989">
        <f t="shared" si="27"/>
        <v>11</v>
      </c>
      <c r="AK112" s="1900">
        <f t="shared" si="28"/>
        <v>0</v>
      </c>
      <c r="AL112" s="1907"/>
      <c r="AM112" s="1907"/>
      <c r="AN112" s="1901">
        <f t="shared" si="38"/>
        <v>0</v>
      </c>
      <c r="AO112" s="1906">
        <f t="shared" ca="1" si="29"/>
        <v>0</v>
      </c>
      <c r="AU112" s="1903">
        <f t="shared" si="39"/>
        <v>0</v>
      </c>
      <c r="AV112" s="1904">
        <f t="shared" si="30"/>
        <v>0</v>
      </c>
      <c r="AW112" s="1904">
        <f t="shared" si="31"/>
        <v>0</v>
      </c>
      <c r="AX112" s="1904"/>
      <c r="AY112" s="1904"/>
      <c r="AZ112" s="1904"/>
      <c r="BA112" s="1904"/>
      <c r="BB112" s="1897">
        <f t="shared" si="32"/>
        <v>0</v>
      </c>
      <c r="BC112" s="1897">
        <f t="shared" si="15"/>
        <v>0</v>
      </c>
      <c r="BD112" s="1898" t="e">
        <f>HLOOKUP($BD$63,anticipaplus,48,0)</f>
        <v>#N/A</v>
      </c>
      <c r="BE112" s="1899"/>
      <c r="BF112" s="1899"/>
      <c r="BG112" s="1360">
        <f t="shared" si="33"/>
        <v>0</v>
      </c>
      <c r="BH112" s="1361">
        <f t="shared" si="42"/>
        <v>47</v>
      </c>
      <c r="BI112" s="1362">
        <f t="shared" si="34"/>
        <v>0</v>
      </c>
      <c r="BJ112" s="1362">
        <f t="shared" si="16"/>
        <v>0</v>
      </c>
      <c r="BK112" s="1362">
        <f t="shared" si="40"/>
        <v>0</v>
      </c>
      <c r="BL112" s="1363">
        <f t="shared" si="17"/>
        <v>1000000</v>
      </c>
      <c r="BM112" s="1899"/>
      <c r="BN112" s="1361">
        <f t="shared" si="43"/>
        <v>47</v>
      </c>
      <c r="BO112" s="1362">
        <f t="shared" si="18"/>
        <v>0</v>
      </c>
      <c r="BP112" s="1362">
        <f t="shared" si="19"/>
        <v>8543.4723045346618</v>
      </c>
      <c r="BQ112" s="1362">
        <f t="shared" si="50"/>
        <v>8543.4723045346618</v>
      </c>
      <c r="BR112" s="1363">
        <f t="shared" si="20"/>
        <v>598456.80168687226</v>
      </c>
      <c r="BT112" s="1414"/>
      <c r="BX112" s="1364"/>
      <c r="BY112" s="1364"/>
      <c r="BZ112" s="1364"/>
      <c r="CA112" s="1364"/>
      <c r="CB112" s="1364"/>
      <c r="CC112" s="1365"/>
      <c r="CD112" s="1365"/>
      <c r="CE112" s="1365"/>
      <c r="CF112" s="1365"/>
      <c r="CG112" s="1365"/>
      <c r="CH112" s="1366"/>
      <c r="CI112" s="1366"/>
      <c r="CJ112" s="1366"/>
      <c r="CK112" s="1366"/>
      <c r="CL112" s="1365"/>
      <c r="CM112" s="1366"/>
      <c r="CN112" s="1366"/>
      <c r="CO112" s="1366"/>
      <c r="CP112" s="1366"/>
      <c r="CQ112" s="1366"/>
      <c r="CR112" s="1366"/>
      <c r="CS112" s="1365"/>
      <c r="CT112" s="1365"/>
      <c r="CU112" s="1365"/>
      <c r="CV112" s="1365"/>
      <c r="CW112" s="1365"/>
      <c r="CX112" s="1365"/>
      <c r="CY112" s="1365"/>
      <c r="CZ112" s="1365"/>
      <c r="DA112" s="1365"/>
      <c r="DB112" s="1365"/>
      <c r="DC112" s="1365"/>
      <c r="DD112" s="1365"/>
      <c r="DE112" s="1365"/>
      <c r="DF112" s="1365"/>
      <c r="DG112" s="1365"/>
      <c r="DH112" s="1365"/>
      <c r="DI112" s="1365"/>
      <c r="DJ112" s="1365"/>
      <c r="DK112" s="1365"/>
      <c r="DL112" s="1365"/>
      <c r="DM112" s="1365"/>
      <c r="DN112" s="1365"/>
      <c r="DO112" s="1365"/>
      <c r="DP112" s="1365"/>
      <c r="DQ112" s="1365"/>
      <c r="DR112" s="1365"/>
      <c r="DS112" s="1365"/>
      <c r="DT112" s="1365"/>
    </row>
    <row r="113" spans="1:124">
      <c r="A113" s="1118">
        <f t="shared" ca="1" si="10"/>
        <v>3</v>
      </c>
      <c r="B113" s="1890">
        <f t="shared" si="21"/>
        <v>0</v>
      </c>
      <c r="C113" s="2160">
        <f t="shared" si="35"/>
        <v>0</v>
      </c>
      <c r="D113" s="2161">
        <f t="shared" si="36"/>
        <v>0</v>
      </c>
      <c r="E113" s="2162">
        <f t="shared" si="22"/>
        <v>0</v>
      </c>
      <c r="F113" s="2162">
        <f t="shared" si="47"/>
        <v>0</v>
      </c>
      <c r="G113" s="2162">
        <f t="shared" si="48"/>
        <v>0</v>
      </c>
      <c r="H113" s="2162">
        <f t="shared" si="37"/>
        <v>0</v>
      </c>
      <c r="I113" s="2162">
        <f t="shared" si="45"/>
        <v>0</v>
      </c>
      <c r="J113" s="2162">
        <f t="shared" si="12"/>
        <v>0</v>
      </c>
      <c r="K113" s="2162">
        <f t="shared" si="13"/>
        <v>0</v>
      </c>
      <c r="L113" s="2162">
        <f t="shared" si="25"/>
        <v>0</v>
      </c>
      <c r="M113" s="2162">
        <f t="shared" si="14"/>
        <v>0</v>
      </c>
      <c r="N113" s="2162">
        <f t="shared" si="26"/>
        <v>0</v>
      </c>
      <c r="O113" s="2163"/>
      <c r="AG113" s="1756"/>
      <c r="AH113" s="1756"/>
      <c r="AI113" s="1756"/>
      <c r="AJ113" s="1989">
        <f t="shared" si="27"/>
        <v>12</v>
      </c>
      <c r="AK113" s="1900">
        <f t="shared" si="28"/>
        <v>0</v>
      </c>
      <c r="AL113" s="1907"/>
      <c r="AM113" s="1907"/>
      <c r="AN113" s="1901">
        <f t="shared" si="38"/>
        <v>0</v>
      </c>
      <c r="AO113" s="1906">
        <f t="shared" ca="1" si="29"/>
        <v>0</v>
      </c>
      <c r="AU113" s="1903">
        <f t="shared" si="39"/>
        <v>0</v>
      </c>
      <c r="AV113" s="1904">
        <f t="shared" si="30"/>
        <v>0</v>
      </c>
      <c r="AW113" s="1904">
        <f t="shared" si="31"/>
        <v>0</v>
      </c>
      <c r="AX113" s="1904"/>
      <c r="AY113" s="1904"/>
      <c r="AZ113" s="1904"/>
      <c r="BA113" s="1904"/>
      <c r="BB113" s="1897">
        <f t="shared" si="32"/>
        <v>0</v>
      </c>
      <c r="BC113" s="1897">
        <f t="shared" si="15"/>
        <v>0</v>
      </c>
      <c r="BD113" s="1898" t="e">
        <f>HLOOKUP($BD$63,anticipaplus,49,0)</f>
        <v>#N/A</v>
      </c>
      <c r="BE113" s="1899"/>
      <c r="BF113" s="1899"/>
      <c r="BG113" s="1360">
        <f t="shared" si="33"/>
        <v>0</v>
      </c>
      <c r="BH113" s="1361">
        <f t="shared" si="42"/>
        <v>48</v>
      </c>
      <c r="BI113" s="1362">
        <f t="shared" si="34"/>
        <v>0</v>
      </c>
      <c r="BJ113" s="1362">
        <f t="shared" si="16"/>
        <v>0</v>
      </c>
      <c r="BK113" s="1362">
        <f t="shared" si="40"/>
        <v>0</v>
      </c>
      <c r="BL113" s="1363">
        <f t="shared" si="17"/>
        <v>1000000</v>
      </c>
      <c r="BM113" s="1899"/>
      <c r="BN113" s="1361">
        <f t="shared" si="43"/>
        <v>48</v>
      </c>
      <c r="BO113" s="1362">
        <f t="shared" si="18"/>
        <v>0</v>
      </c>
      <c r="BP113" s="1362">
        <f t="shared" si="19"/>
        <v>8543.4723045346618</v>
      </c>
      <c r="BQ113" s="1362">
        <f t="shared" si="50"/>
        <v>8543.4723045346618</v>
      </c>
      <c r="BR113" s="1363">
        <f t="shared" si="20"/>
        <v>589913.32938233763</v>
      </c>
      <c r="BT113" s="1414"/>
      <c r="BX113" s="1364"/>
      <c r="BY113" s="1364"/>
      <c r="BZ113" s="1364"/>
      <c r="CA113" s="1364"/>
      <c r="CB113" s="1364"/>
      <c r="CC113" s="1365"/>
      <c r="CD113" s="1365"/>
      <c r="CE113" s="1365"/>
      <c r="CF113" s="1365"/>
      <c r="CG113" s="1365"/>
      <c r="CH113" s="1366"/>
      <c r="CI113" s="1366"/>
      <c r="CJ113" s="1366"/>
      <c r="CK113" s="1366"/>
      <c r="CL113" s="1365"/>
      <c r="CM113" s="1366"/>
      <c r="CN113" s="1366"/>
      <c r="CO113" s="1366"/>
      <c r="CP113" s="1366"/>
      <c r="CQ113" s="1366"/>
      <c r="CR113" s="1366"/>
      <c r="CS113" s="1365"/>
      <c r="CT113" s="1365"/>
      <c r="CU113" s="1365"/>
      <c r="CV113" s="1365"/>
      <c r="CW113" s="1365"/>
      <c r="CX113" s="1365"/>
      <c r="CY113" s="1365"/>
      <c r="CZ113" s="1365"/>
      <c r="DA113" s="1365"/>
      <c r="DB113" s="1365"/>
      <c r="DC113" s="1365"/>
      <c r="DD113" s="1365"/>
      <c r="DE113" s="1365"/>
      <c r="DF113" s="1365"/>
      <c r="DG113" s="1365"/>
      <c r="DH113" s="1365"/>
      <c r="DI113" s="1365"/>
      <c r="DJ113" s="1365"/>
      <c r="DK113" s="1365"/>
      <c r="DL113" s="1365"/>
      <c r="DM113" s="1365"/>
      <c r="DN113" s="1365"/>
      <c r="DO113" s="1365"/>
      <c r="DP113" s="1365"/>
      <c r="DQ113" s="1365"/>
      <c r="DR113" s="1365"/>
      <c r="DS113" s="1365"/>
      <c r="DT113" s="1365"/>
    </row>
    <row r="114" spans="1:124">
      <c r="A114" s="1118">
        <f t="shared" ca="1" si="10"/>
        <v>4</v>
      </c>
      <c r="B114" s="1890">
        <f t="shared" si="21"/>
        <v>0</v>
      </c>
      <c r="C114" s="2160">
        <f t="shared" si="35"/>
        <v>0</v>
      </c>
      <c r="D114" s="2161">
        <f t="shared" si="36"/>
        <v>0</v>
      </c>
      <c r="E114" s="2162">
        <f t="shared" si="22"/>
        <v>0</v>
      </c>
      <c r="F114" s="2162">
        <f t="shared" si="47"/>
        <v>0</v>
      </c>
      <c r="G114" s="2162">
        <f t="shared" si="48"/>
        <v>0</v>
      </c>
      <c r="H114" s="2162">
        <f t="shared" si="37"/>
        <v>0</v>
      </c>
      <c r="I114" s="2162">
        <f t="shared" si="45"/>
        <v>0</v>
      </c>
      <c r="J114" s="2162">
        <f t="shared" si="12"/>
        <v>0</v>
      </c>
      <c r="K114" s="2162">
        <f t="shared" si="13"/>
        <v>0</v>
      </c>
      <c r="L114" s="2162">
        <f t="shared" si="25"/>
        <v>0</v>
      </c>
      <c r="M114" s="2162">
        <f t="shared" si="14"/>
        <v>0</v>
      </c>
      <c r="N114" s="2162">
        <f t="shared" si="26"/>
        <v>0</v>
      </c>
      <c r="O114" s="2163"/>
      <c r="AG114" s="1730"/>
      <c r="AH114" s="1756"/>
      <c r="AI114" s="1756"/>
      <c r="AJ114" s="1989">
        <f t="shared" si="27"/>
        <v>1</v>
      </c>
      <c r="AK114" s="1900">
        <f t="shared" si="28"/>
        <v>0</v>
      </c>
      <c r="AL114" s="1907"/>
      <c r="AM114" s="1907"/>
      <c r="AN114" s="1901">
        <f t="shared" si="38"/>
        <v>0</v>
      </c>
      <c r="AO114" s="1906">
        <f t="shared" ca="1" si="29"/>
        <v>0</v>
      </c>
      <c r="AU114" s="1903">
        <f t="shared" si="39"/>
        <v>0</v>
      </c>
      <c r="AV114" s="1904">
        <f t="shared" si="30"/>
        <v>0</v>
      </c>
      <c r="AW114" s="1904">
        <f t="shared" si="31"/>
        <v>0</v>
      </c>
      <c r="AX114" s="1904"/>
      <c r="AY114" s="1904"/>
      <c r="AZ114" s="1904"/>
      <c r="BA114" s="1904"/>
      <c r="BB114" s="1897">
        <f t="shared" si="32"/>
        <v>0</v>
      </c>
      <c r="BC114" s="1897">
        <f t="shared" si="15"/>
        <v>0</v>
      </c>
      <c r="BD114" s="1898" t="e">
        <f>HLOOKUP($BD$63,anticipaplus,50,0)</f>
        <v>#N/A</v>
      </c>
      <c r="BE114" s="1899"/>
      <c r="BF114" s="1899"/>
      <c r="BG114" s="1360">
        <f t="shared" si="33"/>
        <v>0</v>
      </c>
      <c r="BH114" s="1377">
        <f t="shared" si="42"/>
        <v>49</v>
      </c>
      <c r="BI114" s="1378">
        <f t="shared" si="34"/>
        <v>0</v>
      </c>
      <c r="BJ114" s="1378">
        <f t="shared" si="16"/>
        <v>0</v>
      </c>
      <c r="BK114" s="1378">
        <f>MIN(BL113+BI114,BK113*(1+$BI$61))</f>
        <v>0</v>
      </c>
      <c r="BL114" s="1363">
        <f t="shared" si="17"/>
        <v>1000000</v>
      </c>
      <c r="BM114" s="1899"/>
      <c r="BN114" s="1379">
        <f t="shared" si="43"/>
        <v>49</v>
      </c>
      <c r="BO114" s="1380">
        <f t="shared" si="18"/>
        <v>0</v>
      </c>
      <c r="BP114" s="1380">
        <f t="shared" si="19"/>
        <v>8543.4723045346618</v>
      </c>
      <c r="BQ114" s="1380">
        <f>MIN(BR113+BO114,BQ113*(1+$BO$61))</f>
        <v>8543.4723045346618</v>
      </c>
      <c r="BR114" s="1363">
        <f t="shared" si="20"/>
        <v>581369.857077803</v>
      </c>
      <c r="BT114" s="1414"/>
      <c r="BX114" s="1364"/>
      <c r="BY114" s="1364"/>
      <c r="BZ114" s="1364"/>
      <c r="CA114" s="1364"/>
      <c r="CB114" s="1364"/>
      <c r="CC114" s="1365"/>
      <c r="CD114" s="1365"/>
      <c r="CE114" s="1365"/>
      <c r="CF114" s="1365"/>
      <c r="CG114" s="1365"/>
      <c r="CH114" s="1366"/>
      <c r="CI114" s="1366"/>
      <c r="CJ114" s="1366"/>
      <c r="CK114" s="1366"/>
      <c r="CL114" s="1365"/>
      <c r="CM114" s="1366"/>
      <c r="CN114" s="1366"/>
      <c r="CO114" s="1366"/>
      <c r="CP114" s="1366"/>
      <c r="CQ114" s="1366"/>
      <c r="CR114" s="1366"/>
      <c r="CS114" s="1365"/>
      <c r="CT114" s="1365"/>
      <c r="CU114" s="1365"/>
      <c r="CV114" s="1365"/>
      <c r="CW114" s="1365"/>
      <c r="CX114" s="1365"/>
      <c r="CY114" s="1365"/>
      <c r="CZ114" s="1365"/>
      <c r="DA114" s="1365"/>
      <c r="DB114" s="1365"/>
      <c r="DC114" s="1365"/>
      <c r="DD114" s="1365"/>
      <c r="DE114" s="1365"/>
      <c r="DF114" s="1365"/>
      <c r="DG114" s="1365"/>
      <c r="DH114" s="1365"/>
      <c r="DI114" s="1365"/>
      <c r="DJ114" s="1365"/>
      <c r="DK114" s="1365"/>
      <c r="DL114" s="1365"/>
      <c r="DM114" s="1365"/>
      <c r="DN114" s="1365"/>
      <c r="DO114" s="1365"/>
      <c r="DP114" s="1365"/>
      <c r="DQ114" s="1365"/>
      <c r="DR114" s="1365"/>
      <c r="DS114" s="1365"/>
      <c r="DT114" s="1365"/>
    </row>
    <row r="115" spans="1:124">
      <c r="A115" s="1118">
        <f t="shared" ca="1" si="10"/>
        <v>5</v>
      </c>
      <c r="B115" s="1890">
        <f t="shared" si="21"/>
        <v>0</v>
      </c>
      <c r="C115" s="2160">
        <f t="shared" si="35"/>
        <v>0</v>
      </c>
      <c r="D115" s="2161">
        <f t="shared" si="36"/>
        <v>0</v>
      </c>
      <c r="E115" s="2162">
        <f t="shared" si="22"/>
        <v>0</v>
      </c>
      <c r="F115" s="2162">
        <f t="shared" si="47"/>
        <v>0</v>
      </c>
      <c r="G115" s="2162">
        <f t="shared" si="48"/>
        <v>0</v>
      </c>
      <c r="H115" s="2162">
        <f t="shared" si="37"/>
        <v>0</v>
      </c>
      <c r="I115" s="2162">
        <f t="shared" si="45"/>
        <v>0</v>
      </c>
      <c r="J115" s="2162">
        <f t="shared" si="12"/>
        <v>0</v>
      </c>
      <c r="K115" s="2162">
        <f t="shared" si="13"/>
        <v>0</v>
      </c>
      <c r="L115" s="2162">
        <f t="shared" si="25"/>
        <v>0</v>
      </c>
      <c r="M115" s="2162">
        <f t="shared" si="14"/>
        <v>0</v>
      </c>
      <c r="N115" s="2162">
        <f t="shared" si="26"/>
        <v>0</v>
      </c>
      <c r="O115" s="2163"/>
      <c r="AG115" s="1756"/>
      <c r="AH115" s="1756"/>
      <c r="AI115" s="1756"/>
      <c r="AJ115" s="1989">
        <f t="shared" si="27"/>
        <v>2</v>
      </c>
      <c r="AK115" s="1900">
        <f t="shared" si="28"/>
        <v>0</v>
      </c>
      <c r="AL115" s="1907"/>
      <c r="AM115" s="1907"/>
      <c r="AN115" s="1901">
        <f t="shared" si="38"/>
        <v>0</v>
      </c>
      <c r="AO115" s="1906">
        <f t="shared" ca="1" si="29"/>
        <v>0</v>
      </c>
      <c r="AU115" s="1903">
        <f t="shared" si="39"/>
        <v>0</v>
      </c>
      <c r="AV115" s="1904">
        <f t="shared" si="30"/>
        <v>0</v>
      </c>
      <c r="AW115" s="1904">
        <f t="shared" si="31"/>
        <v>0</v>
      </c>
      <c r="AX115" s="1904"/>
      <c r="AY115" s="1904"/>
      <c r="AZ115" s="1904"/>
      <c r="BA115" s="1904"/>
      <c r="BB115" s="1897">
        <f t="shared" si="32"/>
        <v>0</v>
      </c>
      <c r="BC115" s="1897">
        <f t="shared" si="15"/>
        <v>0</v>
      </c>
      <c r="BD115" s="1898" t="e">
        <f>HLOOKUP($BD$63,anticipaplus,51,0)</f>
        <v>#N/A</v>
      </c>
      <c r="BE115" s="1899"/>
      <c r="BF115" s="1899"/>
      <c r="BG115" s="1360">
        <f t="shared" si="33"/>
        <v>0</v>
      </c>
      <c r="BH115" s="1361">
        <f t="shared" si="42"/>
        <v>50</v>
      </c>
      <c r="BI115" s="1362">
        <f t="shared" si="34"/>
        <v>0</v>
      </c>
      <c r="BJ115" s="1362">
        <f t="shared" si="16"/>
        <v>0</v>
      </c>
      <c r="BK115" s="1362">
        <f t="shared" si="40"/>
        <v>0</v>
      </c>
      <c r="BL115" s="1363">
        <f t="shared" si="17"/>
        <v>1000000</v>
      </c>
      <c r="BM115" s="1899"/>
      <c r="BN115" s="1361">
        <f t="shared" si="43"/>
        <v>50</v>
      </c>
      <c r="BO115" s="1362">
        <f t="shared" si="18"/>
        <v>0</v>
      </c>
      <c r="BP115" s="1362">
        <f t="shared" si="19"/>
        <v>8543.4723045346618</v>
      </c>
      <c r="BQ115" s="1362">
        <f t="shared" ref="BQ115:BQ125" si="51">MIN(BR114+BO115,BQ114)</f>
        <v>8543.4723045346618</v>
      </c>
      <c r="BR115" s="1363">
        <f t="shared" si="20"/>
        <v>572826.38477326836</v>
      </c>
      <c r="BT115" s="1414"/>
      <c r="BX115" s="1364"/>
      <c r="BY115" s="1364"/>
      <c r="BZ115" s="1364"/>
      <c r="CA115" s="1364"/>
      <c r="CB115" s="1364"/>
      <c r="CC115" s="1365"/>
      <c r="CD115" s="1365"/>
      <c r="CE115" s="1365"/>
      <c r="CF115" s="1365"/>
      <c r="CG115" s="1365"/>
      <c r="CH115" s="1366"/>
      <c r="CI115" s="1366"/>
      <c r="CJ115" s="1366"/>
      <c r="CK115" s="1366"/>
      <c r="CL115" s="1365"/>
      <c r="CM115" s="1366"/>
      <c r="CN115" s="1366"/>
      <c r="CO115" s="1366"/>
      <c r="CP115" s="1366"/>
      <c r="CQ115" s="1366"/>
      <c r="CR115" s="1366"/>
      <c r="CS115" s="1365"/>
      <c r="CT115" s="1365"/>
      <c r="CU115" s="1365"/>
      <c r="CV115" s="1365"/>
      <c r="CW115" s="1365"/>
      <c r="CX115" s="1365"/>
      <c r="CY115" s="1365"/>
      <c r="CZ115" s="1365"/>
      <c r="DA115" s="1365"/>
      <c r="DB115" s="1365"/>
      <c r="DC115" s="1365"/>
      <c r="DD115" s="1365"/>
      <c r="DE115" s="1365"/>
      <c r="DF115" s="1365"/>
      <c r="DG115" s="1365"/>
      <c r="DH115" s="1365"/>
      <c r="DI115" s="1365"/>
      <c r="DJ115" s="1365"/>
      <c r="DK115" s="1365"/>
      <c r="DL115" s="1365"/>
      <c r="DM115" s="1365"/>
      <c r="DN115" s="1365"/>
      <c r="DO115" s="1365"/>
      <c r="DP115" s="1365"/>
      <c r="DQ115" s="1365"/>
      <c r="DR115" s="1365"/>
      <c r="DS115" s="1365"/>
      <c r="DT115" s="1365"/>
    </row>
    <row r="116" spans="1:124">
      <c r="A116" s="1118">
        <f t="shared" ca="1" si="10"/>
        <v>6</v>
      </c>
      <c r="B116" s="1890">
        <f t="shared" si="21"/>
        <v>0</v>
      </c>
      <c r="C116" s="2160">
        <f t="shared" si="35"/>
        <v>0</v>
      </c>
      <c r="D116" s="2161">
        <f t="shared" si="36"/>
        <v>0</v>
      </c>
      <c r="E116" s="2162">
        <f t="shared" si="22"/>
        <v>0</v>
      </c>
      <c r="F116" s="2162">
        <f t="shared" si="47"/>
        <v>0</v>
      </c>
      <c r="G116" s="2162">
        <f t="shared" si="48"/>
        <v>0</v>
      </c>
      <c r="H116" s="2162">
        <f t="shared" si="37"/>
        <v>0</v>
      </c>
      <c r="I116" s="2162">
        <f t="shared" si="45"/>
        <v>0</v>
      </c>
      <c r="J116" s="2162">
        <f t="shared" si="12"/>
        <v>0</v>
      </c>
      <c r="K116" s="2162">
        <f t="shared" si="13"/>
        <v>0</v>
      </c>
      <c r="L116" s="2162">
        <f t="shared" si="25"/>
        <v>0</v>
      </c>
      <c r="M116" s="2162">
        <f t="shared" si="14"/>
        <v>0</v>
      </c>
      <c r="N116" s="2162">
        <f t="shared" si="26"/>
        <v>0</v>
      </c>
      <c r="O116" s="2163"/>
      <c r="AG116" s="1756"/>
      <c r="AH116" s="1756"/>
      <c r="AI116" s="1756"/>
      <c r="AJ116" s="1989">
        <f t="shared" si="27"/>
        <v>3</v>
      </c>
      <c r="AK116" s="1900">
        <f t="shared" si="28"/>
        <v>0</v>
      </c>
      <c r="AL116" s="1907"/>
      <c r="AM116" s="1907"/>
      <c r="AN116" s="1901">
        <f t="shared" si="38"/>
        <v>0</v>
      </c>
      <c r="AO116" s="1906">
        <f t="shared" ca="1" si="29"/>
        <v>0</v>
      </c>
      <c r="AU116" s="1903">
        <f t="shared" si="39"/>
        <v>0</v>
      </c>
      <c r="AV116" s="1904">
        <f t="shared" si="30"/>
        <v>0</v>
      </c>
      <c r="AW116" s="1904">
        <f t="shared" si="31"/>
        <v>0</v>
      </c>
      <c r="AX116" s="1904"/>
      <c r="AY116" s="1904"/>
      <c r="AZ116" s="1904"/>
      <c r="BA116" s="1904"/>
      <c r="BB116" s="1897">
        <f t="shared" si="32"/>
        <v>0</v>
      </c>
      <c r="BC116" s="1897">
        <f t="shared" si="15"/>
        <v>0</v>
      </c>
      <c r="BD116" s="1898" t="e">
        <f>HLOOKUP($BD$63,anticipaplus,52,0)</f>
        <v>#N/A</v>
      </c>
      <c r="BE116" s="1899"/>
      <c r="BF116" s="1899"/>
      <c r="BG116" s="1360">
        <f t="shared" si="33"/>
        <v>0</v>
      </c>
      <c r="BH116" s="1361">
        <f t="shared" si="42"/>
        <v>51</v>
      </c>
      <c r="BI116" s="1362">
        <f t="shared" si="34"/>
        <v>0</v>
      </c>
      <c r="BJ116" s="1362">
        <f t="shared" si="16"/>
        <v>0</v>
      </c>
      <c r="BK116" s="1362">
        <f t="shared" si="40"/>
        <v>0</v>
      </c>
      <c r="BL116" s="1363">
        <f t="shared" si="17"/>
        <v>1000000</v>
      </c>
      <c r="BM116" s="1899"/>
      <c r="BN116" s="1361">
        <f t="shared" si="43"/>
        <v>51</v>
      </c>
      <c r="BO116" s="1362">
        <f t="shared" si="18"/>
        <v>0</v>
      </c>
      <c r="BP116" s="1362">
        <f t="shared" si="19"/>
        <v>8543.4723045346618</v>
      </c>
      <c r="BQ116" s="1362">
        <f t="shared" si="51"/>
        <v>8543.4723045346618</v>
      </c>
      <c r="BR116" s="1363">
        <f t="shared" si="20"/>
        <v>564282.91246873373</v>
      </c>
      <c r="BT116" s="1414"/>
      <c r="BX116" s="1364"/>
      <c r="BY116" s="1364"/>
      <c r="BZ116" s="1364"/>
      <c r="CA116" s="1364"/>
      <c r="CB116" s="1364"/>
      <c r="CC116" s="1365"/>
      <c r="CD116" s="1365"/>
      <c r="CE116" s="1365"/>
      <c r="CF116" s="1365"/>
      <c r="CG116" s="1365"/>
      <c r="CH116" s="1366"/>
      <c r="CI116" s="1366"/>
      <c r="CJ116" s="1366"/>
      <c r="CK116" s="1366"/>
      <c r="CL116" s="1365"/>
      <c r="CM116" s="1366"/>
      <c r="CN116" s="1366"/>
      <c r="CO116" s="1366"/>
      <c r="CP116" s="1366"/>
      <c r="CQ116" s="1366"/>
      <c r="CR116" s="1366"/>
      <c r="CS116" s="1365"/>
      <c r="CT116" s="1365"/>
      <c r="CU116" s="1365"/>
      <c r="CV116" s="1365"/>
      <c r="CW116" s="1365"/>
      <c r="CX116" s="1365"/>
      <c r="CY116" s="1365"/>
      <c r="CZ116" s="1365"/>
      <c r="DA116" s="1365"/>
      <c r="DB116" s="1365"/>
      <c r="DC116" s="1365"/>
      <c r="DD116" s="1365"/>
      <c r="DE116" s="1365"/>
      <c r="DF116" s="1365"/>
      <c r="DG116" s="1365"/>
      <c r="DH116" s="1365"/>
      <c r="DI116" s="1365"/>
      <c r="DJ116" s="1365"/>
      <c r="DK116" s="1365"/>
      <c r="DL116" s="1365"/>
      <c r="DM116" s="1365"/>
      <c r="DN116" s="1365"/>
      <c r="DO116" s="1365"/>
      <c r="DP116" s="1365"/>
      <c r="DQ116" s="1365"/>
      <c r="DR116" s="1365"/>
      <c r="DS116" s="1365"/>
      <c r="DT116" s="1365"/>
    </row>
    <row r="117" spans="1:124">
      <c r="A117" s="1118">
        <f t="shared" ca="1" si="10"/>
        <v>7</v>
      </c>
      <c r="B117" s="1890">
        <f t="shared" si="21"/>
        <v>0</v>
      </c>
      <c r="C117" s="2160">
        <f t="shared" si="35"/>
        <v>0</v>
      </c>
      <c r="D117" s="2161">
        <f t="shared" si="36"/>
        <v>0</v>
      </c>
      <c r="E117" s="2162">
        <f t="shared" si="22"/>
        <v>0</v>
      </c>
      <c r="F117" s="2162">
        <f t="shared" si="47"/>
        <v>0</v>
      </c>
      <c r="G117" s="2162">
        <f t="shared" si="48"/>
        <v>0</v>
      </c>
      <c r="H117" s="2162">
        <f t="shared" si="37"/>
        <v>0</v>
      </c>
      <c r="I117" s="2162">
        <f t="shared" si="45"/>
        <v>0</v>
      </c>
      <c r="J117" s="2162">
        <f t="shared" si="12"/>
        <v>0</v>
      </c>
      <c r="K117" s="2162">
        <f t="shared" si="13"/>
        <v>0</v>
      </c>
      <c r="L117" s="2162">
        <f t="shared" si="25"/>
        <v>0</v>
      </c>
      <c r="M117" s="2162">
        <f t="shared" si="14"/>
        <v>0</v>
      </c>
      <c r="N117" s="2162">
        <f t="shared" si="26"/>
        <v>0</v>
      </c>
      <c r="O117" s="2163"/>
      <c r="AG117" s="1756"/>
      <c r="AH117" s="1756"/>
      <c r="AI117" s="1756"/>
      <c r="AJ117" s="1989">
        <f t="shared" si="27"/>
        <v>4</v>
      </c>
      <c r="AK117" s="1900">
        <f t="shared" si="28"/>
        <v>0</v>
      </c>
      <c r="AL117" s="1907"/>
      <c r="AM117" s="1907"/>
      <c r="AN117" s="1901">
        <f t="shared" si="38"/>
        <v>0</v>
      </c>
      <c r="AO117" s="1906">
        <f t="shared" ca="1" si="29"/>
        <v>0</v>
      </c>
      <c r="AU117" s="1903">
        <f t="shared" si="39"/>
        <v>0</v>
      </c>
      <c r="AV117" s="1904">
        <f t="shared" si="30"/>
        <v>0</v>
      </c>
      <c r="AW117" s="1904">
        <f t="shared" si="31"/>
        <v>0</v>
      </c>
      <c r="AX117" s="1904"/>
      <c r="AY117" s="1904"/>
      <c r="AZ117" s="1904"/>
      <c r="BA117" s="1904"/>
      <c r="BB117" s="1897">
        <f t="shared" si="32"/>
        <v>0</v>
      </c>
      <c r="BC117" s="1897">
        <f t="shared" si="15"/>
        <v>0</v>
      </c>
      <c r="BD117" s="1898" t="e">
        <f>HLOOKUP($BD$63,anticipaplus,53,0)</f>
        <v>#N/A</v>
      </c>
      <c r="BE117" s="1899"/>
      <c r="BF117" s="1899"/>
      <c r="BG117" s="1360">
        <f t="shared" si="33"/>
        <v>0</v>
      </c>
      <c r="BH117" s="1361">
        <f t="shared" si="42"/>
        <v>52</v>
      </c>
      <c r="BI117" s="1362">
        <f t="shared" si="34"/>
        <v>0</v>
      </c>
      <c r="BJ117" s="1362">
        <f t="shared" si="16"/>
        <v>0</v>
      </c>
      <c r="BK117" s="1362">
        <f t="shared" si="40"/>
        <v>0</v>
      </c>
      <c r="BL117" s="1363">
        <f t="shared" si="17"/>
        <v>1000000</v>
      </c>
      <c r="BM117" s="1899"/>
      <c r="BN117" s="1361">
        <f t="shared" si="43"/>
        <v>52</v>
      </c>
      <c r="BO117" s="1362">
        <f t="shared" si="18"/>
        <v>0</v>
      </c>
      <c r="BP117" s="1362">
        <f t="shared" si="19"/>
        <v>8543.4723045346618</v>
      </c>
      <c r="BQ117" s="1362">
        <f t="shared" si="51"/>
        <v>8543.4723045346618</v>
      </c>
      <c r="BR117" s="1363">
        <f t="shared" si="20"/>
        <v>555739.4401641991</v>
      </c>
      <c r="BT117" s="1414"/>
      <c r="BX117" s="1364"/>
      <c r="BY117" s="1364"/>
      <c r="BZ117" s="1364"/>
      <c r="CA117" s="1364"/>
      <c r="CB117" s="1364"/>
      <c r="CC117" s="1365"/>
      <c r="CD117" s="1365"/>
      <c r="CE117" s="1365"/>
      <c r="CF117" s="1365"/>
      <c r="CG117" s="1365"/>
      <c r="CH117" s="1366"/>
      <c r="CI117" s="1366"/>
      <c r="CJ117" s="1366"/>
      <c r="CK117" s="1366"/>
      <c r="CL117" s="1365"/>
      <c r="CM117" s="1366"/>
      <c r="CN117" s="1366"/>
      <c r="CO117" s="1366"/>
      <c r="CP117" s="1366"/>
      <c r="CQ117" s="1366"/>
      <c r="CR117" s="1366"/>
      <c r="CS117" s="1365"/>
      <c r="CT117" s="1365"/>
      <c r="CU117" s="1365"/>
      <c r="CV117" s="1365"/>
      <c r="CW117" s="1365"/>
      <c r="CX117" s="1365"/>
      <c r="CY117" s="1365"/>
      <c r="CZ117" s="1365"/>
      <c r="DA117" s="1365"/>
      <c r="DB117" s="1365"/>
      <c r="DC117" s="1365"/>
      <c r="DD117" s="1365"/>
      <c r="DE117" s="1365"/>
      <c r="DF117" s="1365"/>
      <c r="DG117" s="1365"/>
      <c r="DH117" s="1365"/>
      <c r="DI117" s="1365"/>
      <c r="DJ117" s="1365"/>
      <c r="DK117" s="1365"/>
      <c r="DL117" s="1365"/>
      <c r="DM117" s="1365"/>
      <c r="DN117" s="1365"/>
      <c r="DO117" s="1365"/>
      <c r="DP117" s="1365"/>
      <c r="DQ117" s="1365"/>
      <c r="DR117" s="1365"/>
      <c r="DS117" s="1365"/>
      <c r="DT117" s="1365"/>
    </row>
    <row r="118" spans="1:124">
      <c r="A118" s="1118">
        <f t="shared" ca="1" si="10"/>
        <v>8</v>
      </c>
      <c r="B118" s="1890">
        <f t="shared" si="21"/>
        <v>0</v>
      </c>
      <c r="C118" s="2160">
        <f t="shared" si="35"/>
        <v>0</v>
      </c>
      <c r="D118" s="2161">
        <f t="shared" si="36"/>
        <v>0</v>
      </c>
      <c r="E118" s="2162">
        <f t="shared" si="22"/>
        <v>0</v>
      </c>
      <c r="F118" s="2162">
        <f t="shared" si="47"/>
        <v>0</v>
      </c>
      <c r="G118" s="2162">
        <f t="shared" si="48"/>
        <v>0</v>
      </c>
      <c r="H118" s="2162">
        <f t="shared" si="37"/>
        <v>0</v>
      </c>
      <c r="I118" s="2162">
        <f t="shared" si="45"/>
        <v>0</v>
      </c>
      <c r="J118" s="2162">
        <f t="shared" si="12"/>
        <v>0</v>
      </c>
      <c r="K118" s="2162">
        <f t="shared" si="13"/>
        <v>0</v>
      </c>
      <c r="L118" s="2162">
        <f t="shared" si="25"/>
        <v>0</v>
      </c>
      <c r="M118" s="2162">
        <f t="shared" si="14"/>
        <v>0</v>
      </c>
      <c r="N118" s="2162">
        <f t="shared" si="26"/>
        <v>0</v>
      </c>
      <c r="O118" s="2163"/>
      <c r="AG118" s="1756"/>
      <c r="AH118" s="1756"/>
      <c r="AI118" s="1756"/>
      <c r="AJ118" s="1989">
        <f t="shared" si="27"/>
        <v>5</v>
      </c>
      <c r="AK118" s="1900">
        <f t="shared" si="28"/>
        <v>0</v>
      </c>
      <c r="AL118" s="1907"/>
      <c r="AM118" s="1907"/>
      <c r="AN118" s="1901">
        <f t="shared" si="38"/>
        <v>0</v>
      </c>
      <c r="AO118" s="1906">
        <f t="shared" ca="1" si="29"/>
        <v>0</v>
      </c>
      <c r="AU118" s="1903">
        <f t="shared" si="39"/>
        <v>0</v>
      </c>
      <c r="AV118" s="1904">
        <f t="shared" si="30"/>
        <v>0</v>
      </c>
      <c r="AW118" s="1904">
        <f t="shared" si="31"/>
        <v>0</v>
      </c>
      <c r="AX118" s="1904"/>
      <c r="AY118" s="1904"/>
      <c r="AZ118" s="1904"/>
      <c r="BA118" s="1904"/>
      <c r="BB118" s="1897">
        <f t="shared" si="32"/>
        <v>0</v>
      </c>
      <c r="BC118" s="1897">
        <f t="shared" si="15"/>
        <v>0</v>
      </c>
      <c r="BD118" s="1898" t="e">
        <f>HLOOKUP($BD$63,anticipaplus,54,0)</f>
        <v>#N/A</v>
      </c>
      <c r="BE118" s="1899"/>
      <c r="BF118" s="1899"/>
      <c r="BG118" s="1360">
        <f t="shared" si="33"/>
        <v>0</v>
      </c>
      <c r="BH118" s="1361">
        <f t="shared" si="42"/>
        <v>53</v>
      </c>
      <c r="BI118" s="1362">
        <f t="shared" si="34"/>
        <v>0</v>
      </c>
      <c r="BJ118" s="1362">
        <f t="shared" si="16"/>
        <v>0</v>
      </c>
      <c r="BK118" s="1362">
        <f t="shared" si="40"/>
        <v>0</v>
      </c>
      <c r="BL118" s="1363">
        <f t="shared" si="17"/>
        <v>1000000</v>
      </c>
      <c r="BM118" s="1899"/>
      <c r="BN118" s="1361">
        <f t="shared" si="43"/>
        <v>53</v>
      </c>
      <c r="BO118" s="1362">
        <f t="shared" si="18"/>
        <v>0</v>
      </c>
      <c r="BP118" s="1362">
        <f t="shared" si="19"/>
        <v>8543.4723045346618</v>
      </c>
      <c r="BQ118" s="1362">
        <f t="shared" si="51"/>
        <v>8543.4723045346618</v>
      </c>
      <c r="BR118" s="1363">
        <f t="shared" si="20"/>
        <v>547195.96785966447</v>
      </c>
      <c r="BT118" s="1414"/>
      <c r="BX118" s="1364"/>
      <c r="BY118" s="1364"/>
      <c r="BZ118" s="1364"/>
      <c r="CA118" s="1364"/>
      <c r="CB118" s="1364"/>
      <c r="CC118" s="1365"/>
      <c r="CD118" s="1365"/>
      <c r="CE118" s="1365"/>
      <c r="CF118" s="1365"/>
      <c r="CG118" s="1365"/>
      <c r="CH118" s="1366"/>
      <c r="CI118" s="1366"/>
      <c r="CJ118" s="1366"/>
      <c r="CK118" s="1366"/>
      <c r="CL118" s="1365"/>
      <c r="CM118" s="1366"/>
      <c r="CN118" s="1366"/>
      <c r="CO118" s="1366"/>
      <c r="CP118" s="1366"/>
      <c r="CQ118" s="1366"/>
      <c r="CR118" s="1366"/>
      <c r="CS118" s="1365"/>
      <c r="CT118" s="1365"/>
      <c r="CU118" s="1365"/>
      <c r="CV118" s="1365"/>
      <c r="CW118" s="1365"/>
      <c r="CX118" s="1365"/>
      <c r="CY118" s="1365"/>
      <c r="CZ118" s="1365"/>
      <c r="DA118" s="1365"/>
      <c r="DB118" s="1365"/>
      <c r="DC118" s="1365"/>
      <c r="DD118" s="1365"/>
      <c r="DE118" s="1365"/>
      <c r="DF118" s="1365"/>
      <c r="DG118" s="1365"/>
      <c r="DH118" s="1365"/>
      <c r="DI118" s="1365"/>
      <c r="DJ118" s="1365"/>
      <c r="DK118" s="1365"/>
      <c r="DL118" s="1365"/>
      <c r="DM118" s="1365"/>
      <c r="DN118" s="1365"/>
      <c r="DO118" s="1365"/>
      <c r="DP118" s="1365"/>
      <c r="DQ118" s="1365"/>
      <c r="DR118" s="1365"/>
      <c r="DS118" s="1365"/>
      <c r="DT118" s="1365"/>
    </row>
    <row r="119" spans="1:124">
      <c r="A119" s="1118">
        <f t="shared" ca="1" si="10"/>
        <v>9</v>
      </c>
      <c r="B119" s="1890">
        <f t="shared" si="21"/>
        <v>0</v>
      </c>
      <c r="C119" s="2160">
        <f t="shared" si="35"/>
        <v>0</v>
      </c>
      <c r="D119" s="2161">
        <f t="shared" si="36"/>
        <v>0</v>
      </c>
      <c r="E119" s="2162">
        <f t="shared" si="22"/>
        <v>0</v>
      </c>
      <c r="F119" s="2162">
        <f t="shared" si="47"/>
        <v>0</v>
      </c>
      <c r="G119" s="2162">
        <f t="shared" si="48"/>
        <v>0</v>
      </c>
      <c r="H119" s="2162">
        <f t="shared" si="37"/>
        <v>0</v>
      </c>
      <c r="I119" s="2162">
        <f t="shared" si="45"/>
        <v>0</v>
      </c>
      <c r="J119" s="2162">
        <f t="shared" si="12"/>
        <v>0</v>
      </c>
      <c r="K119" s="2162">
        <f t="shared" si="13"/>
        <v>0</v>
      </c>
      <c r="L119" s="2162">
        <f t="shared" si="25"/>
        <v>0</v>
      </c>
      <c r="M119" s="2162">
        <f t="shared" si="14"/>
        <v>0</v>
      </c>
      <c r="N119" s="2162">
        <f t="shared" si="26"/>
        <v>0</v>
      </c>
      <c r="O119" s="2163"/>
      <c r="AG119" s="1756"/>
      <c r="AH119" s="1756"/>
      <c r="AI119" s="1756"/>
      <c r="AJ119" s="1989">
        <f t="shared" si="27"/>
        <v>6</v>
      </c>
      <c r="AK119" s="1900">
        <f t="shared" si="28"/>
        <v>0</v>
      </c>
      <c r="AL119" s="1907"/>
      <c r="AM119" s="1907"/>
      <c r="AN119" s="1901">
        <f t="shared" si="38"/>
        <v>0</v>
      </c>
      <c r="AO119" s="1906">
        <f t="shared" ca="1" si="29"/>
        <v>0</v>
      </c>
      <c r="AU119" s="1903">
        <f t="shared" si="39"/>
        <v>0</v>
      </c>
      <c r="AV119" s="1904">
        <f t="shared" si="30"/>
        <v>0</v>
      </c>
      <c r="AW119" s="1904">
        <f t="shared" si="31"/>
        <v>0</v>
      </c>
      <c r="AX119" s="1904"/>
      <c r="AY119" s="1904"/>
      <c r="AZ119" s="1904"/>
      <c r="BA119" s="1904"/>
      <c r="BB119" s="1897">
        <f t="shared" si="32"/>
        <v>0</v>
      </c>
      <c r="BC119" s="1897">
        <f t="shared" si="15"/>
        <v>0</v>
      </c>
      <c r="BD119" s="1898" t="e">
        <f>HLOOKUP($BD$63,anticipaplus,55,0)</f>
        <v>#N/A</v>
      </c>
      <c r="BE119" s="1899"/>
      <c r="BF119" s="1899"/>
      <c r="BG119" s="1360">
        <f t="shared" si="33"/>
        <v>0</v>
      </c>
      <c r="BH119" s="1361">
        <f t="shared" si="42"/>
        <v>54</v>
      </c>
      <c r="BI119" s="1362">
        <f t="shared" si="34"/>
        <v>0</v>
      </c>
      <c r="BJ119" s="1362">
        <f t="shared" si="16"/>
        <v>0</v>
      </c>
      <c r="BK119" s="1362">
        <f t="shared" si="40"/>
        <v>0</v>
      </c>
      <c r="BL119" s="1363">
        <f t="shared" si="17"/>
        <v>1000000</v>
      </c>
      <c r="BM119" s="1899"/>
      <c r="BN119" s="1361">
        <f t="shared" si="43"/>
        <v>54</v>
      </c>
      <c r="BO119" s="1362">
        <f t="shared" si="18"/>
        <v>0</v>
      </c>
      <c r="BP119" s="1362">
        <f t="shared" si="19"/>
        <v>8543.4723045346618</v>
      </c>
      <c r="BQ119" s="1362">
        <f t="shared" si="51"/>
        <v>8543.4723045346618</v>
      </c>
      <c r="BR119" s="1363">
        <f t="shared" si="20"/>
        <v>538652.49555512983</v>
      </c>
      <c r="BT119" s="1414"/>
      <c r="BX119" s="1364"/>
      <c r="BY119" s="1364"/>
      <c r="BZ119" s="1364"/>
      <c r="CA119" s="1364"/>
      <c r="CB119" s="1364"/>
      <c r="CC119" s="1365"/>
      <c r="CD119" s="1365"/>
      <c r="CE119" s="1365"/>
      <c r="CF119" s="1365"/>
      <c r="CG119" s="1365"/>
      <c r="CH119" s="1366"/>
      <c r="CI119" s="1366"/>
      <c r="CJ119" s="1366"/>
      <c r="CK119" s="1366"/>
      <c r="CL119" s="1365"/>
      <c r="CM119" s="1366"/>
      <c r="CN119" s="1366"/>
      <c r="CO119" s="1366"/>
      <c r="CP119" s="1366"/>
      <c r="CQ119" s="1366"/>
      <c r="CR119" s="1366"/>
      <c r="CS119" s="1365"/>
      <c r="CT119" s="1365"/>
      <c r="CU119" s="1365"/>
      <c r="CV119" s="1365"/>
      <c r="CW119" s="1365"/>
      <c r="CX119" s="1365"/>
      <c r="CY119" s="1365"/>
      <c r="CZ119" s="1365"/>
      <c r="DA119" s="1365"/>
      <c r="DB119" s="1365"/>
      <c r="DC119" s="1365"/>
      <c r="DD119" s="1365"/>
      <c r="DE119" s="1365"/>
      <c r="DF119" s="1365"/>
      <c r="DG119" s="1365"/>
      <c r="DH119" s="1365"/>
      <c r="DI119" s="1365"/>
      <c r="DJ119" s="1365"/>
      <c r="DK119" s="1365"/>
      <c r="DL119" s="1365"/>
      <c r="DM119" s="1365"/>
      <c r="DN119" s="1365"/>
      <c r="DO119" s="1365"/>
      <c r="DP119" s="1365"/>
      <c r="DQ119" s="1365"/>
      <c r="DR119" s="1365"/>
      <c r="DS119" s="1365"/>
      <c r="DT119" s="1365"/>
    </row>
    <row r="120" spans="1:124">
      <c r="A120" s="1118">
        <f t="shared" ca="1" si="10"/>
        <v>10</v>
      </c>
      <c r="B120" s="1890">
        <f t="shared" si="21"/>
        <v>0</v>
      </c>
      <c r="C120" s="2160">
        <f t="shared" si="35"/>
        <v>0</v>
      </c>
      <c r="D120" s="2161">
        <f t="shared" si="36"/>
        <v>0</v>
      </c>
      <c r="E120" s="2162">
        <f t="shared" si="22"/>
        <v>0</v>
      </c>
      <c r="F120" s="2162">
        <f t="shared" si="47"/>
        <v>0</v>
      </c>
      <c r="G120" s="2162">
        <f t="shared" si="48"/>
        <v>0</v>
      </c>
      <c r="H120" s="2162">
        <f t="shared" si="37"/>
        <v>0</v>
      </c>
      <c r="I120" s="2162">
        <f t="shared" si="45"/>
        <v>0</v>
      </c>
      <c r="J120" s="2162">
        <f t="shared" si="12"/>
        <v>0</v>
      </c>
      <c r="K120" s="2162">
        <f t="shared" si="13"/>
        <v>0</v>
      </c>
      <c r="L120" s="2162">
        <f t="shared" si="25"/>
        <v>0</v>
      </c>
      <c r="M120" s="2162">
        <f t="shared" si="14"/>
        <v>0</v>
      </c>
      <c r="N120" s="2162">
        <f t="shared" si="26"/>
        <v>0</v>
      </c>
      <c r="O120" s="2163"/>
      <c r="AG120" s="1756"/>
      <c r="AH120" s="1756"/>
      <c r="AI120" s="1756"/>
      <c r="AJ120" s="1989">
        <f t="shared" si="27"/>
        <v>7</v>
      </c>
      <c r="AK120" s="1900">
        <f t="shared" si="28"/>
        <v>0</v>
      </c>
      <c r="AL120" s="1907"/>
      <c r="AM120" s="1907"/>
      <c r="AN120" s="1901">
        <f t="shared" si="38"/>
        <v>0</v>
      </c>
      <c r="AO120" s="1906">
        <f t="shared" ca="1" si="29"/>
        <v>0</v>
      </c>
      <c r="AU120" s="1903">
        <f t="shared" si="39"/>
        <v>0</v>
      </c>
      <c r="AV120" s="1904">
        <f t="shared" si="30"/>
        <v>0</v>
      </c>
      <c r="AW120" s="1904">
        <f t="shared" si="31"/>
        <v>0</v>
      </c>
      <c r="AX120" s="1904"/>
      <c r="AY120" s="1904"/>
      <c r="AZ120" s="1904"/>
      <c r="BA120" s="1904"/>
      <c r="BB120" s="1897">
        <f t="shared" si="32"/>
        <v>0</v>
      </c>
      <c r="BC120" s="1897">
        <f t="shared" si="15"/>
        <v>0</v>
      </c>
      <c r="BD120" s="1898" t="e">
        <f>HLOOKUP($BD$63,anticipaplus,56,0)</f>
        <v>#N/A</v>
      </c>
      <c r="BE120" s="1899"/>
      <c r="BF120" s="1899"/>
      <c r="BG120" s="1360">
        <f t="shared" si="33"/>
        <v>0</v>
      </c>
      <c r="BH120" s="1361">
        <f t="shared" si="42"/>
        <v>55</v>
      </c>
      <c r="BI120" s="1362">
        <f t="shared" si="34"/>
        <v>0</v>
      </c>
      <c r="BJ120" s="1362">
        <f t="shared" si="16"/>
        <v>0</v>
      </c>
      <c r="BK120" s="1362">
        <f t="shared" si="40"/>
        <v>0</v>
      </c>
      <c r="BL120" s="1363">
        <f t="shared" si="17"/>
        <v>1000000</v>
      </c>
      <c r="BM120" s="1899"/>
      <c r="BN120" s="1361">
        <f t="shared" si="43"/>
        <v>55</v>
      </c>
      <c r="BO120" s="1362">
        <f t="shared" si="18"/>
        <v>0</v>
      </c>
      <c r="BP120" s="1362">
        <f t="shared" si="19"/>
        <v>8543.4723045346618</v>
      </c>
      <c r="BQ120" s="1362">
        <f t="shared" si="51"/>
        <v>8543.4723045346618</v>
      </c>
      <c r="BR120" s="1363">
        <f t="shared" si="20"/>
        <v>530109.0232505952</v>
      </c>
      <c r="BT120" s="1414"/>
      <c r="BX120" s="1364"/>
      <c r="BY120" s="1364"/>
      <c r="BZ120" s="1364"/>
      <c r="CA120" s="1364"/>
      <c r="CB120" s="1364"/>
      <c r="CC120" s="1365"/>
      <c r="CD120" s="1365"/>
      <c r="CE120" s="1365"/>
      <c r="CF120" s="1365"/>
      <c r="CG120" s="1365"/>
      <c r="CH120" s="1366"/>
      <c r="CI120" s="1366"/>
      <c r="CJ120" s="1366"/>
      <c r="CK120" s="1366"/>
      <c r="CL120" s="1365"/>
      <c r="CM120" s="1366"/>
      <c r="CN120" s="1366"/>
      <c r="CO120" s="1366"/>
      <c r="CP120" s="1366"/>
      <c r="CQ120" s="1366"/>
      <c r="CR120" s="1366"/>
      <c r="CS120" s="1365"/>
      <c r="CT120" s="1365"/>
      <c r="CU120" s="1365"/>
      <c r="CV120" s="1365"/>
      <c r="CW120" s="1365"/>
      <c r="CX120" s="1365"/>
      <c r="CY120" s="1365"/>
      <c r="CZ120" s="1365"/>
      <c r="DA120" s="1365"/>
      <c r="DB120" s="1365"/>
      <c r="DC120" s="1365"/>
      <c r="DD120" s="1365"/>
      <c r="DE120" s="1365"/>
      <c r="DF120" s="1365"/>
      <c r="DG120" s="1365"/>
      <c r="DH120" s="1365"/>
      <c r="DI120" s="1365"/>
      <c r="DJ120" s="1365"/>
      <c r="DK120" s="1365"/>
      <c r="DL120" s="1365"/>
      <c r="DM120" s="1365"/>
      <c r="DN120" s="1365"/>
      <c r="DO120" s="1365"/>
      <c r="DP120" s="1365"/>
      <c r="DQ120" s="1365"/>
      <c r="DR120" s="1365"/>
      <c r="DS120" s="1365"/>
      <c r="DT120" s="1365"/>
    </row>
    <row r="121" spans="1:124">
      <c r="A121" s="1118">
        <f t="shared" ca="1" si="10"/>
        <v>11</v>
      </c>
      <c r="B121" s="1890">
        <f t="shared" si="21"/>
        <v>0</v>
      </c>
      <c r="C121" s="2160">
        <f t="shared" si="35"/>
        <v>0</v>
      </c>
      <c r="D121" s="2161">
        <f t="shared" si="36"/>
        <v>0</v>
      </c>
      <c r="E121" s="2162">
        <f t="shared" si="22"/>
        <v>0</v>
      </c>
      <c r="F121" s="2162">
        <f t="shared" si="47"/>
        <v>0</v>
      </c>
      <c r="G121" s="2162">
        <f t="shared" si="48"/>
        <v>0</v>
      </c>
      <c r="H121" s="2162">
        <f t="shared" si="37"/>
        <v>0</v>
      </c>
      <c r="I121" s="2162">
        <f t="shared" si="45"/>
        <v>0</v>
      </c>
      <c r="J121" s="2162">
        <f t="shared" si="12"/>
        <v>0</v>
      </c>
      <c r="K121" s="2162">
        <f t="shared" si="13"/>
        <v>0</v>
      </c>
      <c r="L121" s="2162">
        <f t="shared" si="25"/>
        <v>0</v>
      </c>
      <c r="M121" s="2162">
        <f t="shared" si="14"/>
        <v>0</v>
      </c>
      <c r="N121" s="2162">
        <f t="shared" si="26"/>
        <v>0</v>
      </c>
      <c r="O121" s="2163"/>
      <c r="AG121" s="1756"/>
      <c r="AH121" s="1756"/>
      <c r="AI121" s="1756"/>
      <c r="AJ121" s="1989">
        <f t="shared" si="27"/>
        <v>8</v>
      </c>
      <c r="AK121" s="1900">
        <f t="shared" si="28"/>
        <v>0</v>
      </c>
      <c r="AL121" s="1907"/>
      <c r="AM121" s="1907"/>
      <c r="AN121" s="1901">
        <f t="shared" si="38"/>
        <v>0</v>
      </c>
      <c r="AO121" s="1906">
        <f t="shared" ca="1" si="29"/>
        <v>0</v>
      </c>
      <c r="AU121" s="1903">
        <f t="shared" si="39"/>
        <v>0</v>
      </c>
      <c r="AV121" s="1904">
        <f t="shared" si="30"/>
        <v>0</v>
      </c>
      <c r="AW121" s="1904">
        <f t="shared" si="31"/>
        <v>0</v>
      </c>
      <c r="AX121" s="1904"/>
      <c r="AY121" s="1904"/>
      <c r="AZ121" s="1904"/>
      <c r="BA121" s="1904"/>
      <c r="BB121" s="1897">
        <f t="shared" si="32"/>
        <v>0</v>
      </c>
      <c r="BC121" s="1897">
        <f t="shared" si="15"/>
        <v>0</v>
      </c>
      <c r="BD121" s="1898" t="e">
        <f>HLOOKUP($BD$63,anticipaplus,57,0)</f>
        <v>#N/A</v>
      </c>
      <c r="BE121" s="1899"/>
      <c r="BF121" s="1899"/>
      <c r="BG121" s="1360">
        <f t="shared" si="33"/>
        <v>0</v>
      </c>
      <c r="BH121" s="1361">
        <f t="shared" si="42"/>
        <v>56</v>
      </c>
      <c r="BI121" s="1362">
        <f t="shared" si="34"/>
        <v>0</v>
      </c>
      <c r="BJ121" s="1362">
        <f t="shared" si="16"/>
        <v>0</v>
      </c>
      <c r="BK121" s="1362">
        <f t="shared" si="40"/>
        <v>0</v>
      </c>
      <c r="BL121" s="1363">
        <f t="shared" si="17"/>
        <v>1000000</v>
      </c>
      <c r="BM121" s="1899"/>
      <c r="BN121" s="1361">
        <f t="shared" si="43"/>
        <v>56</v>
      </c>
      <c r="BO121" s="1362">
        <f t="shared" si="18"/>
        <v>0</v>
      </c>
      <c r="BP121" s="1362">
        <f t="shared" si="19"/>
        <v>8543.4723045346618</v>
      </c>
      <c r="BQ121" s="1362">
        <f t="shared" si="51"/>
        <v>8543.4723045346618</v>
      </c>
      <c r="BR121" s="1363">
        <f t="shared" si="20"/>
        <v>521565.55094606057</v>
      </c>
      <c r="BT121" s="1414"/>
      <c r="BX121" s="1364"/>
      <c r="BY121" s="1364"/>
      <c r="BZ121" s="1364"/>
      <c r="CA121" s="1364"/>
      <c r="CB121" s="1364"/>
      <c r="CC121" s="1365"/>
      <c r="CD121" s="1365"/>
      <c r="CE121" s="1365"/>
      <c r="CF121" s="1365"/>
      <c r="CG121" s="1365"/>
      <c r="CH121" s="1366"/>
      <c r="CI121" s="1366"/>
      <c r="CJ121" s="1366"/>
      <c r="CK121" s="1366"/>
      <c r="CL121" s="1365"/>
      <c r="CM121" s="1366"/>
      <c r="CN121" s="1366"/>
      <c r="CO121" s="1366"/>
      <c r="CP121" s="1366"/>
      <c r="CQ121" s="1366"/>
      <c r="CR121" s="1366"/>
      <c r="CS121" s="1365"/>
      <c r="CT121" s="1365"/>
      <c r="CU121" s="1365"/>
      <c r="CV121" s="1365"/>
      <c r="CW121" s="1365"/>
      <c r="CX121" s="1365"/>
      <c r="CY121" s="1365"/>
      <c r="CZ121" s="1365"/>
      <c r="DA121" s="1365"/>
      <c r="DB121" s="1365"/>
      <c r="DC121" s="1365"/>
      <c r="DD121" s="1365"/>
      <c r="DE121" s="1365"/>
      <c r="DF121" s="1365"/>
      <c r="DG121" s="1365"/>
      <c r="DH121" s="1365"/>
      <c r="DI121" s="1365"/>
      <c r="DJ121" s="1365"/>
      <c r="DK121" s="1365"/>
      <c r="DL121" s="1365"/>
      <c r="DM121" s="1365"/>
      <c r="DN121" s="1365"/>
      <c r="DO121" s="1365"/>
      <c r="DP121" s="1365"/>
      <c r="DQ121" s="1365"/>
      <c r="DR121" s="1365"/>
      <c r="DS121" s="1365"/>
      <c r="DT121" s="1365"/>
    </row>
    <row r="122" spans="1:124">
      <c r="A122" s="1118">
        <f t="shared" ca="1" si="10"/>
        <v>12</v>
      </c>
      <c r="B122" s="1890">
        <f t="shared" si="21"/>
        <v>0</v>
      </c>
      <c r="C122" s="2160">
        <f t="shared" si="35"/>
        <v>0</v>
      </c>
      <c r="D122" s="2161">
        <f t="shared" si="36"/>
        <v>0</v>
      </c>
      <c r="E122" s="2162">
        <f t="shared" si="22"/>
        <v>0</v>
      </c>
      <c r="F122" s="2162">
        <f t="shared" si="47"/>
        <v>0</v>
      </c>
      <c r="G122" s="2162">
        <f t="shared" si="48"/>
        <v>0</v>
      </c>
      <c r="H122" s="2162">
        <f t="shared" si="37"/>
        <v>0</v>
      </c>
      <c r="I122" s="2162">
        <f t="shared" si="45"/>
        <v>0</v>
      </c>
      <c r="J122" s="2162">
        <f t="shared" si="12"/>
        <v>0</v>
      </c>
      <c r="K122" s="2162">
        <f t="shared" si="13"/>
        <v>0</v>
      </c>
      <c r="L122" s="2162">
        <f t="shared" si="25"/>
        <v>0</v>
      </c>
      <c r="M122" s="2162">
        <f t="shared" si="14"/>
        <v>0</v>
      </c>
      <c r="N122" s="2162">
        <f t="shared" si="26"/>
        <v>0</v>
      </c>
      <c r="O122" s="2163"/>
      <c r="AG122" s="1756"/>
      <c r="AH122" s="1756"/>
      <c r="AI122" s="1756"/>
      <c r="AJ122" s="1989">
        <f t="shared" si="27"/>
        <v>9</v>
      </c>
      <c r="AK122" s="1900">
        <f t="shared" si="28"/>
        <v>0</v>
      </c>
      <c r="AL122" s="1907"/>
      <c r="AM122" s="1907"/>
      <c r="AN122" s="1901">
        <f t="shared" si="38"/>
        <v>0</v>
      </c>
      <c r="AO122" s="1906">
        <f t="shared" ca="1" si="29"/>
        <v>0</v>
      </c>
      <c r="AU122" s="1903">
        <f t="shared" si="39"/>
        <v>0</v>
      </c>
      <c r="AV122" s="1904">
        <f t="shared" si="30"/>
        <v>0</v>
      </c>
      <c r="AW122" s="1904">
        <f t="shared" si="31"/>
        <v>0</v>
      </c>
      <c r="AX122" s="1904"/>
      <c r="AY122" s="1904"/>
      <c r="AZ122" s="1904"/>
      <c r="BA122" s="1904"/>
      <c r="BB122" s="1897">
        <f t="shared" si="32"/>
        <v>0</v>
      </c>
      <c r="BC122" s="1897">
        <f t="shared" si="15"/>
        <v>0</v>
      </c>
      <c r="BD122" s="1898" t="e">
        <f>HLOOKUP($BD$63,anticipaplus,58,0)</f>
        <v>#N/A</v>
      </c>
      <c r="BE122" s="1899"/>
      <c r="BF122" s="1899"/>
      <c r="BG122" s="1360">
        <f t="shared" si="33"/>
        <v>0</v>
      </c>
      <c r="BH122" s="1361">
        <f t="shared" si="42"/>
        <v>57</v>
      </c>
      <c r="BI122" s="1362">
        <f t="shared" si="34"/>
        <v>0</v>
      </c>
      <c r="BJ122" s="1362">
        <f t="shared" si="16"/>
        <v>0</v>
      </c>
      <c r="BK122" s="1362">
        <f t="shared" si="40"/>
        <v>0</v>
      </c>
      <c r="BL122" s="1363">
        <f t="shared" si="17"/>
        <v>1000000</v>
      </c>
      <c r="BM122" s="1899"/>
      <c r="BN122" s="1361">
        <f t="shared" si="43"/>
        <v>57</v>
      </c>
      <c r="BO122" s="1362">
        <f t="shared" si="18"/>
        <v>0</v>
      </c>
      <c r="BP122" s="1362">
        <f t="shared" si="19"/>
        <v>8543.4723045346618</v>
      </c>
      <c r="BQ122" s="1362">
        <f t="shared" si="51"/>
        <v>8543.4723045346618</v>
      </c>
      <c r="BR122" s="1363">
        <f t="shared" si="20"/>
        <v>513022.07864152594</v>
      </c>
      <c r="BT122" s="1414"/>
      <c r="BX122" s="1364"/>
      <c r="BY122" s="1364"/>
      <c r="BZ122" s="1364"/>
      <c r="CA122" s="1364"/>
      <c r="CB122" s="1364"/>
      <c r="CC122" s="1365"/>
      <c r="CD122" s="1365"/>
      <c r="CE122" s="1365"/>
      <c r="CF122" s="1365"/>
      <c r="CG122" s="1365"/>
      <c r="CH122" s="1366"/>
      <c r="CI122" s="1366"/>
      <c r="CJ122" s="1366"/>
      <c r="CK122" s="1366"/>
      <c r="CL122" s="1365"/>
      <c r="CM122" s="1366"/>
      <c r="CN122" s="1366"/>
      <c r="CO122" s="1366"/>
      <c r="CP122" s="1366"/>
      <c r="CQ122" s="1366"/>
      <c r="CR122" s="1366"/>
      <c r="CS122" s="1365"/>
      <c r="CT122" s="1365"/>
      <c r="CU122" s="1365"/>
      <c r="CV122" s="1365"/>
      <c r="CW122" s="1365"/>
      <c r="CX122" s="1365"/>
      <c r="CY122" s="1365"/>
      <c r="CZ122" s="1365"/>
      <c r="DA122" s="1365"/>
      <c r="DB122" s="1365"/>
      <c r="DC122" s="1365"/>
      <c r="DD122" s="1365"/>
      <c r="DE122" s="1365"/>
      <c r="DF122" s="1365"/>
      <c r="DG122" s="1365"/>
      <c r="DH122" s="1365"/>
      <c r="DI122" s="1365"/>
      <c r="DJ122" s="1365"/>
      <c r="DK122" s="1365"/>
      <c r="DL122" s="1365"/>
      <c r="DM122" s="1365"/>
      <c r="DN122" s="1365"/>
      <c r="DO122" s="1365"/>
      <c r="DP122" s="1365"/>
      <c r="DQ122" s="1365"/>
      <c r="DR122" s="1365"/>
      <c r="DS122" s="1365"/>
      <c r="DT122" s="1365"/>
    </row>
    <row r="123" spans="1:124">
      <c r="A123" s="1118">
        <f t="shared" ca="1" si="10"/>
        <v>1</v>
      </c>
      <c r="B123" s="1890">
        <f t="shared" si="21"/>
        <v>0</v>
      </c>
      <c r="C123" s="2160">
        <f t="shared" si="35"/>
        <v>0</v>
      </c>
      <c r="D123" s="2161">
        <f t="shared" si="36"/>
        <v>0</v>
      </c>
      <c r="E123" s="2162">
        <f t="shared" si="22"/>
        <v>0</v>
      </c>
      <c r="F123" s="2162">
        <f t="shared" si="47"/>
        <v>0</v>
      </c>
      <c r="G123" s="2162">
        <f t="shared" si="48"/>
        <v>0</v>
      </c>
      <c r="H123" s="2162">
        <f t="shared" si="37"/>
        <v>0</v>
      </c>
      <c r="I123" s="2162">
        <f t="shared" si="45"/>
        <v>0</v>
      </c>
      <c r="J123" s="2162">
        <f t="shared" si="12"/>
        <v>0</v>
      </c>
      <c r="K123" s="2162">
        <f t="shared" si="13"/>
        <v>0</v>
      </c>
      <c r="L123" s="2162">
        <f t="shared" si="25"/>
        <v>0</v>
      </c>
      <c r="M123" s="2162">
        <f t="shared" si="14"/>
        <v>0</v>
      </c>
      <c r="N123" s="2162">
        <f t="shared" si="26"/>
        <v>0</v>
      </c>
      <c r="O123" s="2163"/>
      <c r="AG123" s="1756"/>
      <c r="AH123" s="1756"/>
      <c r="AI123" s="1756"/>
      <c r="AJ123" s="1989">
        <f t="shared" si="27"/>
        <v>10</v>
      </c>
      <c r="AK123" s="1900">
        <f t="shared" si="28"/>
        <v>0</v>
      </c>
      <c r="AL123" s="1907"/>
      <c r="AM123" s="1907"/>
      <c r="AN123" s="1901">
        <f t="shared" si="38"/>
        <v>0</v>
      </c>
      <c r="AO123" s="1906">
        <f t="shared" ca="1" si="29"/>
        <v>0</v>
      </c>
      <c r="AU123" s="1903">
        <f t="shared" si="39"/>
        <v>0</v>
      </c>
      <c r="AV123" s="1904">
        <f t="shared" si="30"/>
        <v>0</v>
      </c>
      <c r="AW123" s="1904">
        <f t="shared" si="31"/>
        <v>0</v>
      </c>
      <c r="AX123" s="1904"/>
      <c r="AY123" s="1904"/>
      <c r="AZ123" s="1904"/>
      <c r="BA123" s="1904"/>
      <c r="BB123" s="1897">
        <f t="shared" si="32"/>
        <v>0</v>
      </c>
      <c r="BC123" s="1897">
        <f t="shared" si="15"/>
        <v>0</v>
      </c>
      <c r="BD123" s="1898" t="e">
        <f>HLOOKUP($BD$63,anticipaplus,59,0)</f>
        <v>#N/A</v>
      </c>
      <c r="BE123" s="1899"/>
      <c r="BF123" s="1899"/>
      <c r="BG123" s="1360">
        <f t="shared" si="33"/>
        <v>0</v>
      </c>
      <c r="BH123" s="1361">
        <f t="shared" si="42"/>
        <v>58</v>
      </c>
      <c r="BI123" s="1362">
        <f t="shared" si="34"/>
        <v>0</v>
      </c>
      <c r="BJ123" s="1362">
        <f t="shared" si="16"/>
        <v>0</v>
      </c>
      <c r="BK123" s="1362">
        <f t="shared" si="40"/>
        <v>0</v>
      </c>
      <c r="BL123" s="1363">
        <f t="shared" si="17"/>
        <v>1000000</v>
      </c>
      <c r="BM123" s="1899"/>
      <c r="BN123" s="1361">
        <f t="shared" si="43"/>
        <v>58</v>
      </c>
      <c r="BO123" s="1362">
        <f t="shared" si="18"/>
        <v>0</v>
      </c>
      <c r="BP123" s="1362">
        <f t="shared" si="19"/>
        <v>8543.4723045346618</v>
      </c>
      <c r="BQ123" s="1362">
        <f t="shared" si="51"/>
        <v>8543.4723045346618</v>
      </c>
      <c r="BR123" s="1363">
        <f t="shared" si="20"/>
        <v>504478.6063369913</v>
      </c>
      <c r="BT123" s="1414"/>
      <c r="BX123" s="1364"/>
      <c r="BY123" s="1364"/>
      <c r="BZ123" s="1364"/>
      <c r="CA123" s="1364"/>
      <c r="CB123" s="1364"/>
      <c r="CC123" s="1365"/>
      <c r="CD123" s="1365"/>
      <c r="CE123" s="1365"/>
      <c r="CF123" s="1365"/>
      <c r="CG123" s="1365"/>
      <c r="CH123" s="1366"/>
      <c r="CI123" s="1366"/>
      <c r="CJ123" s="1366"/>
      <c r="CK123" s="1366"/>
      <c r="CL123" s="1365"/>
      <c r="CM123" s="1366"/>
      <c r="CN123" s="1366"/>
      <c r="CO123" s="1366"/>
      <c r="CP123" s="1366"/>
      <c r="CQ123" s="1366"/>
      <c r="CR123" s="1366"/>
      <c r="CS123" s="1365"/>
      <c r="CT123" s="1365"/>
      <c r="CU123" s="1365"/>
      <c r="CV123" s="1365"/>
      <c r="CW123" s="1365"/>
      <c r="CX123" s="1365"/>
      <c r="CY123" s="1365"/>
      <c r="CZ123" s="1365"/>
      <c r="DA123" s="1365"/>
      <c r="DB123" s="1365"/>
      <c r="DC123" s="1365"/>
      <c r="DD123" s="1365"/>
      <c r="DE123" s="1365"/>
      <c r="DF123" s="1365"/>
      <c r="DG123" s="1365"/>
      <c r="DH123" s="1365"/>
      <c r="DI123" s="1365"/>
      <c r="DJ123" s="1365"/>
      <c r="DK123" s="1365"/>
      <c r="DL123" s="1365"/>
      <c r="DM123" s="1365"/>
      <c r="DN123" s="1365"/>
      <c r="DO123" s="1365"/>
      <c r="DP123" s="1365"/>
      <c r="DQ123" s="1365"/>
      <c r="DR123" s="1365"/>
      <c r="DS123" s="1365"/>
      <c r="DT123" s="1365"/>
    </row>
    <row r="124" spans="1:124">
      <c r="A124" s="1118">
        <f t="shared" ca="1" si="10"/>
        <v>2</v>
      </c>
      <c r="B124" s="1890">
        <f t="shared" si="21"/>
        <v>0</v>
      </c>
      <c r="C124" s="2160">
        <f t="shared" si="35"/>
        <v>0</v>
      </c>
      <c r="D124" s="2161">
        <f t="shared" si="36"/>
        <v>0</v>
      </c>
      <c r="E124" s="2162">
        <f t="shared" si="22"/>
        <v>0</v>
      </c>
      <c r="F124" s="2162">
        <f t="shared" si="47"/>
        <v>0</v>
      </c>
      <c r="G124" s="2162">
        <f t="shared" si="48"/>
        <v>0</v>
      </c>
      <c r="H124" s="2162">
        <f t="shared" si="37"/>
        <v>0</v>
      </c>
      <c r="I124" s="2162">
        <f t="shared" si="45"/>
        <v>0</v>
      </c>
      <c r="J124" s="2162">
        <f t="shared" si="12"/>
        <v>0</v>
      </c>
      <c r="K124" s="2162">
        <f t="shared" si="13"/>
        <v>0</v>
      </c>
      <c r="L124" s="2162">
        <f t="shared" si="25"/>
        <v>0</v>
      </c>
      <c r="M124" s="2162">
        <f t="shared" si="14"/>
        <v>0</v>
      </c>
      <c r="N124" s="2162">
        <f t="shared" si="26"/>
        <v>0</v>
      </c>
      <c r="O124" s="2163"/>
      <c r="AG124" s="1756"/>
      <c r="AH124" s="1756"/>
      <c r="AI124" s="1756"/>
      <c r="AJ124" s="1989">
        <f t="shared" si="27"/>
        <v>11</v>
      </c>
      <c r="AK124" s="1900">
        <f t="shared" si="28"/>
        <v>0</v>
      </c>
      <c r="AL124" s="1907"/>
      <c r="AM124" s="1907"/>
      <c r="AN124" s="1901">
        <f t="shared" si="38"/>
        <v>0</v>
      </c>
      <c r="AO124" s="1906">
        <f t="shared" ca="1" si="29"/>
        <v>0</v>
      </c>
      <c r="AU124" s="1903">
        <f t="shared" si="39"/>
        <v>0</v>
      </c>
      <c r="AV124" s="1904">
        <f t="shared" si="30"/>
        <v>0</v>
      </c>
      <c r="AW124" s="1904">
        <f t="shared" si="31"/>
        <v>0</v>
      </c>
      <c r="AX124" s="1904"/>
      <c r="AY124" s="1904"/>
      <c r="AZ124" s="1904"/>
      <c r="BA124" s="1904"/>
      <c r="BB124" s="1897">
        <f t="shared" si="32"/>
        <v>0</v>
      </c>
      <c r="BC124" s="1897">
        <f t="shared" si="15"/>
        <v>0</v>
      </c>
      <c r="BD124" s="1898" t="e">
        <f>HLOOKUP($BD$63,anticipaplus,60,0)</f>
        <v>#N/A</v>
      </c>
      <c r="BE124" s="1899"/>
      <c r="BF124" s="1899"/>
      <c r="BG124" s="1360">
        <f t="shared" si="33"/>
        <v>0</v>
      </c>
      <c r="BH124" s="1361">
        <f t="shared" si="42"/>
        <v>59</v>
      </c>
      <c r="BI124" s="1362">
        <f t="shared" si="34"/>
        <v>0</v>
      </c>
      <c r="BJ124" s="1362">
        <f t="shared" si="16"/>
        <v>0</v>
      </c>
      <c r="BK124" s="1362">
        <f t="shared" si="40"/>
        <v>0</v>
      </c>
      <c r="BL124" s="1363">
        <f t="shared" si="17"/>
        <v>1000000</v>
      </c>
      <c r="BM124" s="1899"/>
      <c r="BN124" s="1361">
        <f t="shared" si="43"/>
        <v>59</v>
      </c>
      <c r="BO124" s="1362">
        <f t="shared" si="18"/>
        <v>0</v>
      </c>
      <c r="BP124" s="1362">
        <f t="shared" si="19"/>
        <v>8543.4723045346618</v>
      </c>
      <c r="BQ124" s="1362">
        <f t="shared" si="51"/>
        <v>8543.4723045346618</v>
      </c>
      <c r="BR124" s="1363">
        <f t="shared" si="20"/>
        <v>495935.13403245667</v>
      </c>
      <c r="BT124" s="1414"/>
      <c r="BX124" s="1364"/>
      <c r="BY124" s="1364"/>
      <c r="BZ124" s="1364"/>
      <c r="CA124" s="1364"/>
      <c r="CB124" s="1364"/>
      <c r="CC124" s="1365"/>
      <c r="CD124" s="1365"/>
      <c r="CE124" s="1365"/>
      <c r="CF124" s="1365"/>
      <c r="CG124" s="1365"/>
      <c r="CH124" s="1366"/>
      <c r="CI124" s="1366"/>
      <c r="CJ124" s="1366"/>
      <c r="CK124" s="1366"/>
      <c r="CL124" s="1365"/>
      <c r="CM124" s="1366"/>
      <c r="CN124" s="1366"/>
      <c r="CO124" s="1366"/>
      <c r="CP124" s="1366"/>
      <c r="CQ124" s="1366"/>
      <c r="CR124" s="1366"/>
      <c r="CS124" s="1365"/>
      <c r="CT124" s="1365"/>
      <c r="CU124" s="1365"/>
      <c r="CV124" s="1365"/>
      <c r="CW124" s="1365"/>
      <c r="CX124" s="1365"/>
      <c r="CY124" s="1365"/>
      <c r="CZ124" s="1365"/>
      <c r="DA124" s="1365"/>
      <c r="DB124" s="1365"/>
      <c r="DC124" s="1365"/>
      <c r="DD124" s="1365"/>
      <c r="DE124" s="1365"/>
      <c r="DF124" s="1365"/>
      <c r="DG124" s="1365"/>
      <c r="DH124" s="1365"/>
      <c r="DI124" s="1365"/>
      <c r="DJ124" s="1365"/>
      <c r="DK124" s="1365"/>
      <c r="DL124" s="1365"/>
      <c r="DM124" s="1365"/>
      <c r="DN124" s="1365"/>
      <c r="DO124" s="1365"/>
      <c r="DP124" s="1365"/>
      <c r="DQ124" s="1365"/>
      <c r="DR124" s="1365"/>
      <c r="DS124" s="1365"/>
      <c r="DT124" s="1365"/>
    </row>
    <row r="125" spans="1:124">
      <c r="A125" s="1118">
        <f t="shared" ca="1" si="10"/>
        <v>3</v>
      </c>
      <c r="B125" s="1890">
        <f t="shared" si="21"/>
        <v>0</v>
      </c>
      <c r="C125" s="2160">
        <f t="shared" si="35"/>
        <v>0</v>
      </c>
      <c r="D125" s="2161">
        <f t="shared" si="36"/>
        <v>0</v>
      </c>
      <c r="E125" s="2162">
        <f t="shared" si="22"/>
        <v>0</v>
      </c>
      <c r="F125" s="2162">
        <f t="shared" si="47"/>
        <v>0</v>
      </c>
      <c r="G125" s="2162">
        <f t="shared" si="48"/>
        <v>0</v>
      </c>
      <c r="H125" s="2162">
        <f t="shared" si="37"/>
        <v>0</v>
      </c>
      <c r="I125" s="2162">
        <f t="shared" si="45"/>
        <v>0</v>
      </c>
      <c r="J125" s="2162">
        <f t="shared" si="12"/>
        <v>0</v>
      </c>
      <c r="K125" s="2162">
        <f t="shared" si="13"/>
        <v>0</v>
      </c>
      <c r="L125" s="2162">
        <f t="shared" si="25"/>
        <v>0</v>
      </c>
      <c r="M125" s="2162">
        <f t="shared" si="14"/>
        <v>0</v>
      </c>
      <c r="N125" s="2162">
        <f t="shared" si="26"/>
        <v>0</v>
      </c>
      <c r="O125" s="2164">
        <f>IF(BC2=0,0,N48)</f>
        <v>0</v>
      </c>
      <c r="AG125" s="1756"/>
      <c r="AH125" s="1756"/>
      <c r="AI125" s="1756"/>
      <c r="AJ125" s="1989">
        <f t="shared" si="27"/>
        <v>12</v>
      </c>
      <c r="AK125" s="1900">
        <f t="shared" si="28"/>
        <v>0</v>
      </c>
      <c r="AL125" s="1907"/>
      <c r="AM125" s="1907"/>
      <c r="AN125" s="1901">
        <f t="shared" si="38"/>
        <v>0</v>
      </c>
      <c r="AO125" s="1906">
        <f t="shared" ca="1" si="29"/>
        <v>0</v>
      </c>
      <c r="AU125" s="1903">
        <f t="shared" si="39"/>
        <v>0</v>
      </c>
      <c r="AV125" s="1904">
        <f t="shared" si="30"/>
        <v>0</v>
      </c>
      <c r="AW125" s="1904">
        <f t="shared" si="31"/>
        <v>0</v>
      </c>
      <c r="AX125" s="1904"/>
      <c r="AY125" s="1904"/>
      <c r="AZ125" s="1904"/>
      <c r="BA125" s="1904"/>
      <c r="BB125" s="1897">
        <f t="shared" si="32"/>
        <v>0</v>
      </c>
      <c r="BC125" s="1897">
        <f t="shared" si="15"/>
        <v>0</v>
      </c>
      <c r="BD125" s="1898" t="e">
        <f>HLOOKUP($BD$63,anticipaplus,61,0)</f>
        <v>#N/A</v>
      </c>
      <c r="BE125" s="1899"/>
      <c r="BF125" s="1899"/>
      <c r="BG125" s="1360">
        <f t="shared" si="33"/>
        <v>0</v>
      </c>
      <c r="BH125" s="1361">
        <f t="shared" si="42"/>
        <v>60</v>
      </c>
      <c r="BI125" s="1362">
        <f t="shared" si="34"/>
        <v>0</v>
      </c>
      <c r="BJ125" s="1362">
        <f t="shared" si="16"/>
        <v>0</v>
      </c>
      <c r="BK125" s="1362">
        <f t="shared" si="40"/>
        <v>0</v>
      </c>
      <c r="BL125" s="1363">
        <f t="shared" si="17"/>
        <v>1000000</v>
      </c>
      <c r="BM125" s="1899"/>
      <c r="BN125" s="1361">
        <f t="shared" si="43"/>
        <v>60</v>
      </c>
      <c r="BO125" s="1362">
        <f t="shared" si="18"/>
        <v>0</v>
      </c>
      <c r="BP125" s="1362">
        <f t="shared" si="19"/>
        <v>8543.4723045346618</v>
      </c>
      <c r="BQ125" s="1362">
        <f t="shared" si="51"/>
        <v>8543.4723045346618</v>
      </c>
      <c r="BR125" s="1363">
        <f t="shared" si="20"/>
        <v>487391.66172792204</v>
      </c>
      <c r="BT125" s="1414"/>
      <c r="BX125" s="1364"/>
      <c r="BY125" s="1364"/>
      <c r="BZ125" s="1364"/>
      <c r="CA125" s="1364"/>
      <c r="CB125" s="1364"/>
      <c r="CC125" s="1365"/>
      <c r="CD125" s="1365"/>
      <c r="CE125" s="1365"/>
      <c r="CF125" s="1365"/>
      <c r="CG125" s="1365"/>
      <c r="CH125" s="1366"/>
      <c r="CI125" s="1366"/>
      <c r="CJ125" s="1366"/>
      <c r="CK125" s="1366"/>
      <c r="CL125" s="1365"/>
      <c r="CM125" s="1366"/>
      <c r="CN125" s="1366"/>
      <c r="CO125" s="1366"/>
      <c r="CP125" s="1366"/>
      <c r="CQ125" s="1366"/>
      <c r="CR125" s="1366"/>
      <c r="CS125" s="1365"/>
      <c r="CT125" s="1365"/>
      <c r="CU125" s="1365"/>
      <c r="CV125" s="1365"/>
      <c r="CW125" s="1365"/>
      <c r="CX125" s="1365"/>
      <c r="CY125" s="1365"/>
      <c r="CZ125" s="1365"/>
      <c r="DA125" s="1365"/>
      <c r="DB125" s="1365"/>
      <c r="DC125" s="1365"/>
      <c r="DD125" s="1365"/>
      <c r="DE125" s="1365"/>
      <c r="DF125" s="1365"/>
      <c r="DG125" s="1365"/>
      <c r="DH125" s="1365"/>
      <c r="DI125" s="1365"/>
      <c r="DJ125" s="1365"/>
      <c r="DK125" s="1365"/>
      <c r="DL125" s="1365"/>
      <c r="DM125" s="1365"/>
      <c r="DN125" s="1365"/>
      <c r="DO125" s="1365"/>
      <c r="DP125" s="1365"/>
      <c r="DQ125" s="1365"/>
      <c r="DR125" s="1365"/>
      <c r="DS125" s="1365"/>
      <c r="DT125" s="1365"/>
    </row>
    <row r="126" spans="1:124">
      <c r="A126" s="1118">
        <f t="shared" ca="1" si="10"/>
        <v>4</v>
      </c>
      <c r="B126" s="1890">
        <f t="shared" si="21"/>
        <v>0</v>
      </c>
      <c r="C126" s="2160">
        <f t="shared" si="35"/>
        <v>0</v>
      </c>
      <c r="D126" s="2161">
        <f t="shared" si="36"/>
        <v>0</v>
      </c>
      <c r="E126" s="2162">
        <f t="shared" si="22"/>
        <v>0</v>
      </c>
      <c r="F126" s="2162">
        <f t="shared" si="47"/>
        <v>0</v>
      </c>
      <c r="G126" s="2162">
        <f t="shared" si="48"/>
        <v>0</v>
      </c>
      <c r="H126" s="2162">
        <f t="shared" si="37"/>
        <v>0</v>
      </c>
      <c r="I126" s="2162">
        <f t="shared" si="45"/>
        <v>0</v>
      </c>
      <c r="J126" s="2162">
        <f t="shared" si="12"/>
        <v>0</v>
      </c>
      <c r="K126" s="2162">
        <f t="shared" si="13"/>
        <v>0</v>
      </c>
      <c r="L126" s="2162">
        <f t="shared" si="25"/>
        <v>0</v>
      </c>
      <c r="M126" s="2162">
        <f t="shared" si="14"/>
        <v>0</v>
      </c>
      <c r="N126" s="2162">
        <f t="shared" si="26"/>
        <v>0</v>
      </c>
      <c r="O126" s="2163"/>
      <c r="P126" s="1913"/>
      <c r="Q126" s="1913"/>
      <c r="R126" s="1913"/>
      <c r="S126" s="1913"/>
      <c r="T126" s="1913"/>
      <c r="U126" s="1913"/>
      <c r="V126" s="1913"/>
      <c r="W126" s="1913"/>
      <c r="X126" s="1913"/>
      <c r="Y126" s="1913"/>
      <c r="Z126" s="1913"/>
      <c r="AA126" s="1913"/>
      <c r="AB126" s="1913"/>
      <c r="AC126" s="1913"/>
      <c r="AD126" s="1913"/>
      <c r="AE126" s="1913"/>
      <c r="AF126" s="1913"/>
      <c r="AG126" s="1756"/>
      <c r="AH126" s="1756"/>
      <c r="AI126" s="1756"/>
      <c r="AJ126" s="1989">
        <f t="shared" si="27"/>
        <v>1</v>
      </c>
      <c r="AK126" s="1900">
        <f t="shared" si="28"/>
        <v>0</v>
      </c>
      <c r="AL126" s="1907"/>
      <c r="AM126" s="1907"/>
      <c r="AN126" s="1901">
        <f t="shared" si="38"/>
        <v>0</v>
      </c>
      <c r="AO126" s="1906">
        <f t="shared" ca="1" si="29"/>
        <v>0</v>
      </c>
      <c r="AT126" s="1913"/>
      <c r="AU126" s="1903">
        <f t="shared" si="39"/>
        <v>0</v>
      </c>
      <c r="AV126" s="1904">
        <f t="shared" si="30"/>
        <v>0</v>
      </c>
      <c r="AW126" s="1904">
        <f t="shared" si="31"/>
        <v>0</v>
      </c>
      <c r="AX126" s="1904"/>
      <c r="AY126" s="1904"/>
      <c r="AZ126" s="1904"/>
      <c r="BA126" s="1904"/>
      <c r="BB126" s="1897">
        <f t="shared" si="32"/>
        <v>0</v>
      </c>
      <c r="BC126" s="1897">
        <f t="shared" si="15"/>
        <v>0</v>
      </c>
      <c r="BD126" s="1898" t="e">
        <f>HLOOKUP($BD$63,anticipaplus,62,0)</f>
        <v>#N/A</v>
      </c>
      <c r="BE126" s="1899"/>
      <c r="BF126" s="1899"/>
      <c r="BG126" s="1360">
        <f t="shared" si="33"/>
        <v>0</v>
      </c>
      <c r="BH126" s="1377">
        <f t="shared" si="42"/>
        <v>61</v>
      </c>
      <c r="BI126" s="1378">
        <f t="shared" si="34"/>
        <v>0</v>
      </c>
      <c r="BJ126" s="1378">
        <f t="shared" si="16"/>
        <v>0</v>
      </c>
      <c r="BK126" s="1378">
        <f>MIN(BL125+BI126,BK125*(1+$BI$61))</f>
        <v>0</v>
      </c>
      <c r="BL126" s="1363">
        <f t="shared" si="17"/>
        <v>1000000</v>
      </c>
      <c r="BM126" s="1899"/>
      <c r="BN126" s="1379">
        <f t="shared" si="43"/>
        <v>61</v>
      </c>
      <c r="BO126" s="1380">
        <f t="shared" si="18"/>
        <v>0</v>
      </c>
      <c r="BP126" s="1380">
        <f t="shared" si="19"/>
        <v>8543.4723045346618</v>
      </c>
      <c r="BQ126" s="1380">
        <f>MIN(BR125+BO126,BQ125*(1+$BO$61))</f>
        <v>8543.4723045346618</v>
      </c>
      <c r="BR126" s="1363">
        <f t="shared" si="20"/>
        <v>478848.1894233874</v>
      </c>
      <c r="BT126" s="1414"/>
      <c r="BX126" s="1364"/>
      <c r="BY126" s="1364"/>
      <c r="BZ126" s="1364"/>
      <c r="CA126" s="1364"/>
      <c r="CB126" s="1364"/>
      <c r="CC126" s="1365"/>
      <c r="CD126" s="1365"/>
      <c r="CE126" s="1365"/>
      <c r="CF126" s="1365"/>
      <c r="CG126" s="1365"/>
      <c r="CH126" s="1366"/>
      <c r="CI126" s="1366"/>
      <c r="CJ126" s="1366"/>
      <c r="CK126" s="1366"/>
      <c r="CL126" s="1365"/>
      <c r="CM126" s="1366"/>
      <c r="CN126" s="1366"/>
      <c r="CO126" s="1366"/>
      <c r="CP126" s="1366"/>
      <c r="CQ126" s="1366"/>
      <c r="CR126" s="1366"/>
      <c r="CS126" s="1365"/>
      <c r="CT126" s="1365"/>
      <c r="CU126" s="1365"/>
      <c r="CV126" s="1365"/>
      <c r="CW126" s="1365"/>
      <c r="CX126" s="1365"/>
      <c r="CY126" s="1365"/>
      <c r="CZ126" s="1365"/>
      <c r="DA126" s="1365"/>
      <c r="DB126" s="1365"/>
      <c r="DC126" s="1365"/>
      <c r="DD126" s="1365"/>
      <c r="DE126" s="1365"/>
      <c r="DF126" s="1365"/>
      <c r="DG126" s="1365"/>
      <c r="DH126" s="1365"/>
      <c r="DI126" s="1365"/>
      <c r="DJ126" s="1365"/>
      <c r="DK126" s="1365"/>
      <c r="DL126" s="1365"/>
      <c r="DM126" s="1365"/>
      <c r="DN126" s="1365"/>
      <c r="DO126" s="1365"/>
      <c r="DP126" s="1365"/>
      <c r="DQ126" s="1365"/>
      <c r="DR126" s="1365"/>
      <c r="DS126" s="1365"/>
      <c r="DT126" s="1365"/>
    </row>
    <row r="127" spans="1:124">
      <c r="A127" s="1118">
        <f t="shared" ca="1" si="10"/>
        <v>5</v>
      </c>
      <c r="B127" s="1890">
        <f t="shared" si="21"/>
        <v>0</v>
      </c>
      <c r="C127" s="2160">
        <f t="shared" si="35"/>
        <v>0</v>
      </c>
      <c r="D127" s="2161">
        <f t="shared" si="36"/>
        <v>0</v>
      </c>
      <c r="E127" s="2162">
        <f t="shared" si="22"/>
        <v>0</v>
      </c>
      <c r="F127" s="2162">
        <f t="shared" si="47"/>
        <v>0</v>
      </c>
      <c r="G127" s="2162">
        <f t="shared" si="48"/>
        <v>0</v>
      </c>
      <c r="H127" s="2162">
        <f t="shared" si="37"/>
        <v>0</v>
      </c>
      <c r="I127" s="2162">
        <f t="shared" si="45"/>
        <v>0</v>
      </c>
      <c r="J127" s="2162">
        <f t="shared" si="12"/>
        <v>0</v>
      </c>
      <c r="K127" s="2162">
        <f t="shared" si="13"/>
        <v>0</v>
      </c>
      <c r="L127" s="2162">
        <f t="shared" si="25"/>
        <v>0</v>
      </c>
      <c r="M127" s="2162">
        <f t="shared" si="14"/>
        <v>0</v>
      </c>
      <c r="N127" s="2162">
        <f t="shared" si="26"/>
        <v>0</v>
      </c>
      <c r="O127" s="2163"/>
      <c r="AG127" s="1756"/>
      <c r="AH127" s="1756"/>
      <c r="AI127" s="1756"/>
      <c r="AJ127" s="1989">
        <f t="shared" si="27"/>
        <v>2</v>
      </c>
      <c r="AK127" s="1900">
        <f t="shared" si="28"/>
        <v>0</v>
      </c>
      <c r="AL127" s="1907"/>
      <c r="AM127" s="1907"/>
      <c r="AN127" s="1901">
        <f t="shared" si="38"/>
        <v>0</v>
      </c>
      <c r="AO127" s="1906">
        <f t="shared" ca="1" si="29"/>
        <v>0</v>
      </c>
      <c r="AU127" s="1903">
        <f t="shared" si="39"/>
        <v>0</v>
      </c>
      <c r="AV127" s="1904">
        <f t="shared" si="30"/>
        <v>0</v>
      </c>
      <c r="AW127" s="1904">
        <f t="shared" si="31"/>
        <v>0</v>
      </c>
      <c r="AX127" s="1904"/>
      <c r="AY127" s="1904"/>
      <c r="AZ127" s="1904"/>
      <c r="BA127" s="1904"/>
      <c r="BB127" s="1897">
        <f t="shared" si="32"/>
        <v>0</v>
      </c>
      <c r="BC127" s="1897">
        <f t="shared" si="15"/>
        <v>0</v>
      </c>
      <c r="BD127" s="1898" t="e">
        <f>HLOOKUP($BD$63,anticipaplus,63,0)</f>
        <v>#N/A</v>
      </c>
      <c r="BE127" s="1899"/>
      <c r="BF127" s="1899"/>
      <c r="BG127" s="1360">
        <f t="shared" si="33"/>
        <v>0</v>
      </c>
      <c r="BH127" s="1361">
        <f t="shared" si="42"/>
        <v>62</v>
      </c>
      <c r="BI127" s="1362">
        <f t="shared" si="34"/>
        <v>0</v>
      </c>
      <c r="BJ127" s="1362">
        <f t="shared" si="16"/>
        <v>0</v>
      </c>
      <c r="BK127" s="1362">
        <f t="shared" si="40"/>
        <v>0</v>
      </c>
      <c r="BL127" s="1363">
        <f t="shared" si="17"/>
        <v>1000000</v>
      </c>
      <c r="BM127" s="1899"/>
      <c r="BN127" s="1361">
        <f t="shared" si="43"/>
        <v>62</v>
      </c>
      <c r="BO127" s="1362">
        <f t="shared" si="18"/>
        <v>0</v>
      </c>
      <c r="BP127" s="1362">
        <f t="shared" si="19"/>
        <v>8543.4723045346618</v>
      </c>
      <c r="BQ127" s="1362">
        <f t="shared" ref="BQ127:BQ137" si="52">MIN(BR126+BO127,BQ126)</f>
        <v>8543.4723045346618</v>
      </c>
      <c r="BR127" s="1363">
        <f t="shared" si="20"/>
        <v>470304.71711885277</v>
      </c>
      <c r="BT127" s="1414"/>
      <c r="BX127" s="1364"/>
      <c r="BY127" s="1364"/>
      <c r="BZ127" s="1364"/>
      <c r="CA127" s="1364"/>
      <c r="CB127" s="1364"/>
      <c r="CC127" s="1365"/>
      <c r="CD127" s="1365"/>
      <c r="CE127" s="1365"/>
      <c r="CF127" s="1365"/>
      <c r="CG127" s="1365"/>
      <c r="CH127" s="1366"/>
      <c r="CI127" s="1366"/>
      <c r="CJ127" s="1366"/>
      <c r="CK127" s="1366"/>
      <c r="CL127" s="1365"/>
      <c r="CM127" s="1366"/>
      <c r="CN127" s="1366"/>
      <c r="CO127" s="1366"/>
      <c r="CP127" s="1366"/>
      <c r="CQ127" s="1366"/>
      <c r="CR127" s="1366"/>
      <c r="CS127" s="1365"/>
      <c r="CT127" s="1365"/>
      <c r="CU127" s="1365"/>
      <c r="CV127" s="1365"/>
      <c r="CW127" s="1365"/>
      <c r="CX127" s="1365"/>
      <c r="CY127" s="1365"/>
      <c r="CZ127" s="1365"/>
      <c r="DA127" s="1365"/>
      <c r="DB127" s="1365"/>
      <c r="DC127" s="1365"/>
      <c r="DD127" s="1365"/>
      <c r="DE127" s="1365"/>
      <c r="DF127" s="1365"/>
      <c r="DG127" s="1365"/>
      <c r="DH127" s="1365"/>
      <c r="DI127" s="1365"/>
      <c r="DJ127" s="1365"/>
      <c r="DK127" s="1365"/>
      <c r="DL127" s="1365"/>
      <c r="DM127" s="1365"/>
      <c r="DN127" s="1365"/>
      <c r="DO127" s="1365"/>
      <c r="DP127" s="1365"/>
      <c r="DQ127" s="1365"/>
      <c r="DR127" s="1365"/>
      <c r="DS127" s="1365"/>
      <c r="DT127" s="1365"/>
    </row>
    <row r="128" spans="1:124">
      <c r="A128" s="1118">
        <f t="shared" ca="1" si="10"/>
        <v>6</v>
      </c>
      <c r="B128" s="1890">
        <f t="shared" si="21"/>
        <v>0</v>
      </c>
      <c r="C128" s="2160">
        <f t="shared" si="35"/>
        <v>0</v>
      </c>
      <c r="D128" s="2161">
        <f t="shared" si="36"/>
        <v>0</v>
      </c>
      <c r="E128" s="2162">
        <f t="shared" si="22"/>
        <v>0</v>
      </c>
      <c r="F128" s="2162">
        <f t="shared" si="47"/>
        <v>0</v>
      </c>
      <c r="G128" s="2162">
        <f t="shared" si="48"/>
        <v>0</v>
      </c>
      <c r="H128" s="2162">
        <f t="shared" si="37"/>
        <v>0</v>
      </c>
      <c r="I128" s="2162">
        <f t="shared" si="45"/>
        <v>0</v>
      </c>
      <c r="J128" s="2162">
        <f t="shared" si="12"/>
        <v>0</v>
      </c>
      <c r="K128" s="2162">
        <f t="shared" si="13"/>
        <v>0</v>
      </c>
      <c r="L128" s="2162">
        <f t="shared" si="25"/>
        <v>0</v>
      </c>
      <c r="M128" s="2162">
        <f t="shared" si="14"/>
        <v>0</v>
      </c>
      <c r="N128" s="2162">
        <f t="shared" si="26"/>
        <v>0</v>
      </c>
      <c r="O128" s="2163"/>
      <c r="AG128" s="1756"/>
      <c r="AH128" s="1756"/>
      <c r="AI128" s="1756"/>
      <c r="AJ128" s="1989">
        <f t="shared" si="27"/>
        <v>3</v>
      </c>
      <c r="AK128" s="1900">
        <f t="shared" si="28"/>
        <v>0</v>
      </c>
      <c r="AL128" s="1907"/>
      <c r="AM128" s="1907"/>
      <c r="AN128" s="1901">
        <f t="shared" si="38"/>
        <v>0</v>
      </c>
      <c r="AO128" s="1906">
        <f t="shared" ca="1" si="29"/>
        <v>0</v>
      </c>
      <c r="AU128" s="1903">
        <f t="shared" si="39"/>
        <v>0</v>
      </c>
      <c r="AV128" s="1904">
        <f t="shared" si="30"/>
        <v>0</v>
      </c>
      <c r="AW128" s="1904">
        <f t="shared" si="31"/>
        <v>0</v>
      </c>
      <c r="AX128" s="1904"/>
      <c r="AY128" s="1904"/>
      <c r="AZ128" s="1904"/>
      <c r="BA128" s="1904"/>
      <c r="BB128" s="1897">
        <f t="shared" si="32"/>
        <v>0</v>
      </c>
      <c r="BC128" s="1897">
        <f t="shared" si="15"/>
        <v>0</v>
      </c>
      <c r="BD128" s="1898" t="e">
        <f>HLOOKUP($BD$63,anticipaplus,64,0)</f>
        <v>#N/A</v>
      </c>
      <c r="BE128" s="1899"/>
      <c r="BF128" s="1899"/>
      <c r="BG128" s="1360">
        <f t="shared" si="33"/>
        <v>0</v>
      </c>
      <c r="BH128" s="1361">
        <f t="shared" si="42"/>
        <v>63</v>
      </c>
      <c r="BI128" s="1362">
        <f t="shared" si="34"/>
        <v>0</v>
      </c>
      <c r="BJ128" s="1362">
        <f t="shared" si="16"/>
        <v>0</v>
      </c>
      <c r="BK128" s="1362">
        <f t="shared" si="40"/>
        <v>0</v>
      </c>
      <c r="BL128" s="1363">
        <f t="shared" si="17"/>
        <v>1000000</v>
      </c>
      <c r="BM128" s="1899"/>
      <c r="BN128" s="1361">
        <f t="shared" si="43"/>
        <v>63</v>
      </c>
      <c r="BO128" s="1362">
        <f t="shared" si="18"/>
        <v>0</v>
      </c>
      <c r="BP128" s="1362">
        <f t="shared" si="19"/>
        <v>8543.4723045346618</v>
      </c>
      <c r="BQ128" s="1362">
        <f t="shared" si="52"/>
        <v>8543.4723045346618</v>
      </c>
      <c r="BR128" s="1363">
        <f t="shared" si="20"/>
        <v>461761.24481431814</v>
      </c>
      <c r="BT128" s="1414"/>
      <c r="BX128" s="1364"/>
      <c r="BY128" s="1364"/>
      <c r="BZ128" s="1364"/>
      <c r="CA128" s="1364"/>
      <c r="CB128" s="1364"/>
      <c r="CC128" s="1365"/>
      <c r="CD128" s="1365"/>
      <c r="CE128" s="1365"/>
      <c r="CF128" s="1365"/>
      <c r="CG128" s="1365"/>
      <c r="CH128" s="1366"/>
      <c r="CI128" s="1366"/>
      <c r="CJ128" s="1366"/>
      <c r="CK128" s="1366"/>
      <c r="CL128" s="1365"/>
      <c r="CM128" s="1366"/>
      <c r="CN128" s="1366"/>
      <c r="CO128" s="1366"/>
      <c r="CP128" s="1366"/>
      <c r="CQ128" s="1366"/>
      <c r="CR128" s="1366"/>
      <c r="CS128" s="1365"/>
      <c r="CT128" s="1365"/>
      <c r="CU128" s="1365"/>
      <c r="CV128" s="1365"/>
      <c r="CW128" s="1365"/>
      <c r="CX128" s="1365"/>
      <c r="CY128" s="1365"/>
      <c r="CZ128" s="1365"/>
      <c r="DA128" s="1365"/>
      <c r="DB128" s="1365"/>
      <c r="DC128" s="1365"/>
      <c r="DD128" s="1365"/>
      <c r="DE128" s="1365"/>
      <c r="DF128" s="1365"/>
      <c r="DG128" s="1365"/>
      <c r="DH128" s="1365"/>
      <c r="DI128" s="1365"/>
      <c r="DJ128" s="1365"/>
      <c r="DK128" s="1365"/>
      <c r="DL128" s="1365"/>
      <c r="DM128" s="1365"/>
      <c r="DN128" s="1365"/>
      <c r="DO128" s="1365"/>
      <c r="DP128" s="1365"/>
      <c r="DQ128" s="1365"/>
      <c r="DR128" s="1365"/>
      <c r="DS128" s="1365"/>
      <c r="DT128" s="1365"/>
    </row>
    <row r="129" spans="1:124">
      <c r="A129" s="1118">
        <f t="shared" ca="1" si="10"/>
        <v>7</v>
      </c>
      <c r="B129" s="1890">
        <f t="shared" si="21"/>
        <v>0</v>
      </c>
      <c r="C129" s="2160">
        <f t="shared" si="35"/>
        <v>0</v>
      </c>
      <c r="D129" s="2161">
        <f t="shared" si="36"/>
        <v>0</v>
      </c>
      <c r="E129" s="2162">
        <f t="shared" si="22"/>
        <v>0</v>
      </c>
      <c r="F129" s="2162">
        <f t="shared" si="47"/>
        <v>0</v>
      </c>
      <c r="G129" s="2162">
        <f t="shared" si="48"/>
        <v>0</v>
      </c>
      <c r="H129" s="2162">
        <f t="shared" si="37"/>
        <v>0</v>
      </c>
      <c r="I129" s="2162">
        <f t="shared" si="45"/>
        <v>0</v>
      </c>
      <c r="J129" s="2162">
        <f t="shared" si="12"/>
        <v>0</v>
      </c>
      <c r="K129" s="2162">
        <f t="shared" si="13"/>
        <v>0</v>
      </c>
      <c r="L129" s="2162">
        <f t="shared" si="25"/>
        <v>0</v>
      </c>
      <c r="M129" s="2162">
        <f t="shared" si="14"/>
        <v>0</v>
      </c>
      <c r="N129" s="2162">
        <f t="shared" si="26"/>
        <v>0</v>
      </c>
      <c r="O129" s="2163"/>
      <c r="AG129" s="1756"/>
      <c r="AH129" s="1756"/>
      <c r="AI129" s="1756"/>
      <c r="AJ129" s="1989">
        <f t="shared" si="27"/>
        <v>4</v>
      </c>
      <c r="AK129" s="1900">
        <f t="shared" si="28"/>
        <v>0</v>
      </c>
      <c r="AL129" s="1907"/>
      <c r="AM129" s="1907"/>
      <c r="AN129" s="1901">
        <f t="shared" si="38"/>
        <v>0</v>
      </c>
      <c r="AO129" s="1906">
        <f t="shared" ca="1" si="29"/>
        <v>0</v>
      </c>
      <c r="AU129" s="1903">
        <f t="shared" si="39"/>
        <v>0</v>
      </c>
      <c r="AV129" s="1904">
        <f t="shared" si="30"/>
        <v>0</v>
      </c>
      <c r="AW129" s="1904">
        <f t="shared" si="31"/>
        <v>0</v>
      </c>
      <c r="AX129" s="1904"/>
      <c r="AY129" s="1904"/>
      <c r="AZ129" s="1904"/>
      <c r="BA129" s="1904"/>
      <c r="BB129" s="1897">
        <f t="shared" si="32"/>
        <v>0</v>
      </c>
      <c r="BC129" s="1897">
        <f t="shared" si="15"/>
        <v>0</v>
      </c>
      <c r="BD129" s="1898" t="e">
        <f>HLOOKUP($BD$63,anticipaplus,65,0)</f>
        <v>#N/A</v>
      </c>
      <c r="BE129" s="1899"/>
      <c r="BF129" s="1899"/>
      <c r="BG129" s="1360">
        <f t="shared" si="33"/>
        <v>0</v>
      </c>
      <c r="BH129" s="1361">
        <f t="shared" si="42"/>
        <v>64</v>
      </c>
      <c r="BI129" s="1362">
        <f t="shared" si="34"/>
        <v>0</v>
      </c>
      <c r="BJ129" s="1362">
        <f t="shared" si="16"/>
        <v>0</v>
      </c>
      <c r="BK129" s="1362">
        <f t="shared" si="40"/>
        <v>0</v>
      </c>
      <c r="BL129" s="1363">
        <f t="shared" si="17"/>
        <v>1000000</v>
      </c>
      <c r="BM129" s="1899"/>
      <c r="BN129" s="1361">
        <f t="shared" si="43"/>
        <v>64</v>
      </c>
      <c r="BO129" s="1362">
        <f t="shared" si="18"/>
        <v>0</v>
      </c>
      <c r="BP129" s="1362">
        <f t="shared" si="19"/>
        <v>8543.4723045346618</v>
      </c>
      <c r="BQ129" s="1362">
        <f t="shared" si="52"/>
        <v>8543.4723045346618</v>
      </c>
      <c r="BR129" s="1363">
        <f t="shared" si="20"/>
        <v>453217.77250978351</v>
      </c>
      <c r="BT129" s="1414"/>
      <c r="BX129" s="1364"/>
      <c r="BY129" s="1364"/>
      <c r="BZ129" s="1364"/>
      <c r="CA129" s="1364"/>
      <c r="CB129" s="1364"/>
      <c r="CC129" s="1365"/>
      <c r="CD129" s="1365"/>
      <c r="CE129" s="1365"/>
      <c r="CF129" s="1365"/>
      <c r="CG129" s="1365"/>
      <c r="CH129" s="1366"/>
      <c r="CI129" s="1366"/>
      <c r="CJ129" s="1366"/>
      <c r="CK129" s="1366"/>
      <c r="CL129" s="1365"/>
      <c r="CM129" s="1366"/>
      <c r="CN129" s="1366"/>
      <c r="CO129" s="1366"/>
      <c r="CP129" s="1366"/>
      <c r="CQ129" s="1366"/>
      <c r="CR129" s="1366"/>
      <c r="CS129" s="1365"/>
      <c r="CT129" s="1365"/>
      <c r="CU129" s="1365"/>
      <c r="CV129" s="1365"/>
      <c r="CW129" s="1365"/>
      <c r="CX129" s="1365"/>
      <c r="CY129" s="1365"/>
      <c r="CZ129" s="1365"/>
      <c r="DA129" s="1365"/>
      <c r="DB129" s="1365"/>
      <c r="DC129" s="1365"/>
      <c r="DD129" s="1365"/>
      <c r="DE129" s="1365"/>
      <c r="DF129" s="1365"/>
      <c r="DG129" s="1365"/>
      <c r="DH129" s="1365"/>
      <c r="DI129" s="1365"/>
      <c r="DJ129" s="1365"/>
      <c r="DK129" s="1365"/>
      <c r="DL129" s="1365"/>
      <c r="DM129" s="1365"/>
      <c r="DN129" s="1365"/>
      <c r="DO129" s="1365"/>
      <c r="DP129" s="1365"/>
      <c r="DQ129" s="1365"/>
      <c r="DR129" s="1365"/>
      <c r="DS129" s="1365"/>
      <c r="DT129" s="1365"/>
    </row>
    <row r="130" spans="1:124">
      <c r="A130" s="1118">
        <f t="shared" ref="A130:A193" ca="1" si="53">IF(A129=12,1,A129+1)</f>
        <v>8</v>
      </c>
      <c r="B130" s="1890">
        <f t="shared" si="21"/>
        <v>0</v>
      </c>
      <c r="C130" s="2160">
        <f t="shared" si="35"/>
        <v>0</v>
      </c>
      <c r="D130" s="2161">
        <f t="shared" si="36"/>
        <v>0</v>
      </c>
      <c r="E130" s="2162">
        <f t="shared" si="22"/>
        <v>0</v>
      </c>
      <c r="F130" s="2162">
        <f t="shared" si="47"/>
        <v>0</v>
      </c>
      <c r="G130" s="2162">
        <f t="shared" si="48"/>
        <v>0</v>
      </c>
      <c r="H130" s="2162">
        <f t="shared" si="37"/>
        <v>0</v>
      </c>
      <c r="I130" s="2162">
        <f t="shared" si="45"/>
        <v>0</v>
      </c>
      <c r="J130" s="2162">
        <f t="shared" ref="J130:J193" si="54">IF(N129&lt;0.01,0,IF($F$10=$AK$7,0,$BD$2*1.16))</f>
        <v>0</v>
      </c>
      <c r="K130" s="2162">
        <f t="shared" ref="K130:K193" si="55">IF(N129&lt;0.01,0,IF($AS$2&gt;0,E130*$AS$3,0))</f>
        <v>0</v>
      </c>
      <c r="L130" s="2162">
        <f t="shared" si="25"/>
        <v>0</v>
      </c>
      <c r="M130" s="2162">
        <f t="shared" ref="M130:M193" si="56">IF($F$10=$AK$3,MIN(N129+E130+H130+I130+J130-L130,AO130),0)</f>
        <v>0</v>
      </c>
      <c r="N130" s="2162">
        <f t="shared" si="26"/>
        <v>0</v>
      </c>
      <c r="O130" s="2163"/>
      <c r="AG130" s="1756"/>
      <c r="AH130" s="1756"/>
      <c r="AI130" s="1756"/>
      <c r="AJ130" s="1989">
        <f t="shared" si="27"/>
        <v>5</v>
      </c>
      <c r="AK130" s="1900">
        <f t="shared" si="28"/>
        <v>0</v>
      </c>
      <c r="AL130" s="1907"/>
      <c r="AM130" s="1907"/>
      <c r="AN130" s="1901">
        <f t="shared" si="38"/>
        <v>0</v>
      </c>
      <c r="AO130" s="1906">
        <f t="shared" ca="1" si="29"/>
        <v>0</v>
      </c>
      <c r="AU130" s="1903">
        <f t="shared" si="39"/>
        <v>0</v>
      </c>
      <c r="AV130" s="1904">
        <f t="shared" si="30"/>
        <v>0</v>
      </c>
      <c r="AW130" s="1904">
        <f t="shared" si="31"/>
        <v>0</v>
      </c>
      <c r="AX130" s="1904"/>
      <c r="AY130" s="1904"/>
      <c r="AZ130" s="1904"/>
      <c r="BA130" s="1904"/>
      <c r="BB130" s="1897">
        <f t="shared" si="32"/>
        <v>0</v>
      </c>
      <c r="BC130" s="1897">
        <f t="shared" ref="BC130:BC193" si="57">IF(AND($AU$62=2,O129&lt;0.01),0,IF($AU$62=2,(N129*BD130)+E130,0))</f>
        <v>0</v>
      </c>
      <c r="BD130" s="1898" t="e">
        <f>HLOOKUP($BD$63,anticipaplus,66,0)</f>
        <v>#N/A</v>
      </c>
      <c r="BE130" s="1899"/>
      <c r="BF130" s="1899"/>
      <c r="BG130" s="1360">
        <f t="shared" si="33"/>
        <v>0</v>
      </c>
      <c r="BH130" s="1361">
        <f t="shared" si="42"/>
        <v>65</v>
      </c>
      <c r="BI130" s="1362">
        <f t="shared" si="34"/>
        <v>0</v>
      </c>
      <c r="BJ130" s="1362">
        <f t="shared" ref="BJ130:BJ193" si="58">BK130-BI130</f>
        <v>0</v>
      </c>
      <c r="BK130" s="1362">
        <f t="shared" si="40"/>
        <v>0</v>
      </c>
      <c r="BL130" s="1363">
        <f t="shared" ref="BL130:BL193" si="59">IF(BL129&lt;0.001,0,BL129-BJ130-BM131)</f>
        <v>1000000</v>
      </c>
      <c r="BM130" s="1899"/>
      <c r="BN130" s="1361">
        <f t="shared" si="43"/>
        <v>65</v>
      </c>
      <c r="BO130" s="1362">
        <f t="shared" ref="BO130:BO193" si="60">BR129*$BO$59*30.4166/360</f>
        <v>0</v>
      </c>
      <c r="BP130" s="1362">
        <f t="shared" ref="BP130:BP193" si="61">BQ130-BO130</f>
        <v>8543.4723045346618</v>
      </c>
      <c r="BQ130" s="1362">
        <f t="shared" si="52"/>
        <v>8543.4723045346618</v>
      </c>
      <c r="BR130" s="1363">
        <f t="shared" ref="BR130:BR193" si="62">IF(BR129&lt;0.001,0,BR129-BP130-BX131)</f>
        <v>444674.30020524887</v>
      </c>
      <c r="BT130" s="1414"/>
      <c r="BX130" s="1364"/>
      <c r="BY130" s="1364"/>
      <c r="BZ130" s="1364"/>
      <c r="CA130" s="1364"/>
      <c r="CB130" s="1364"/>
      <c r="CC130" s="1365"/>
      <c r="CD130" s="1365"/>
      <c r="CE130" s="1365"/>
      <c r="CF130" s="1365"/>
      <c r="CG130" s="1365"/>
      <c r="CH130" s="1366"/>
      <c r="CI130" s="1366"/>
      <c r="CJ130" s="1366"/>
      <c r="CK130" s="1366"/>
      <c r="CL130" s="1365"/>
      <c r="CM130" s="1366"/>
      <c r="CN130" s="1366"/>
      <c r="CO130" s="1366"/>
      <c r="CP130" s="1366"/>
      <c r="CQ130" s="1366"/>
      <c r="CR130" s="1366"/>
      <c r="CS130" s="1365"/>
      <c r="CT130" s="1365"/>
      <c r="CU130" s="1365"/>
      <c r="CV130" s="1365"/>
      <c r="CW130" s="1365"/>
      <c r="CX130" s="1365"/>
      <c r="CY130" s="1365"/>
      <c r="CZ130" s="1365"/>
      <c r="DA130" s="1365"/>
      <c r="DB130" s="1365"/>
      <c r="DC130" s="1365"/>
      <c r="DD130" s="1365"/>
      <c r="DE130" s="1365"/>
      <c r="DF130" s="1365"/>
      <c r="DG130" s="1365"/>
      <c r="DH130" s="1365"/>
      <c r="DI130" s="1365"/>
      <c r="DJ130" s="1365"/>
      <c r="DK130" s="1365"/>
      <c r="DL130" s="1365"/>
      <c r="DM130" s="1365"/>
      <c r="DN130" s="1365"/>
      <c r="DO130" s="1365"/>
      <c r="DP130" s="1365"/>
      <c r="DQ130" s="1365"/>
      <c r="DR130" s="1365"/>
      <c r="DS130" s="1365"/>
      <c r="DT130" s="1365"/>
    </row>
    <row r="131" spans="1:124">
      <c r="A131" s="1118">
        <f t="shared" ca="1" si="53"/>
        <v>9</v>
      </c>
      <c r="B131" s="1890">
        <f t="shared" ref="B131:B194" si="63">IF(N130&gt;0,B130-1,0)</f>
        <v>0</v>
      </c>
      <c r="C131" s="2160">
        <f t="shared" si="35"/>
        <v>0</v>
      </c>
      <c r="D131" s="2161">
        <f t="shared" si="36"/>
        <v>0</v>
      </c>
      <c r="E131" s="2162">
        <f t="shared" ref="E131:E194" si="64">IF(N130&lt;0.01,0,N130*D131*30.4166/360)</f>
        <v>0</v>
      </c>
      <c r="F131" s="2162">
        <f t="shared" si="47"/>
        <v>0</v>
      </c>
      <c r="G131" s="2162">
        <f t="shared" si="48"/>
        <v>0</v>
      </c>
      <c r="H131" s="2162">
        <f t="shared" si="37"/>
        <v>0</v>
      </c>
      <c r="I131" s="2162">
        <f t="shared" si="45"/>
        <v>0</v>
      </c>
      <c r="J131" s="2162">
        <f t="shared" si="54"/>
        <v>0</v>
      </c>
      <c r="K131" s="2162">
        <f t="shared" si="55"/>
        <v>0</v>
      </c>
      <c r="L131" s="2162">
        <f t="shared" ref="L131:L194" si="65">IF(N130&lt;0.01,0,G131+H131+I131+J131+K131)</f>
        <v>0</v>
      </c>
      <c r="M131" s="2162">
        <f t="shared" si="56"/>
        <v>0</v>
      </c>
      <c r="N131" s="2162">
        <f t="shared" ref="N131:N194" si="66">IF(N130&lt;0.001,0,+N130-F131-M131-O131)</f>
        <v>0</v>
      </c>
      <c r="O131" s="2163"/>
      <c r="AG131" s="1756"/>
      <c r="AH131" s="1756"/>
      <c r="AI131" s="1756"/>
      <c r="AJ131" s="1989">
        <f t="shared" ref="AJ131:AJ194" si="67">IF(AJ130=12,1,AJ130+1)</f>
        <v>6</v>
      </c>
      <c r="AK131" s="1900">
        <f t="shared" ref="AK131:AK194" si="68">IF(AJ131=1,$BT$2,0)</f>
        <v>0</v>
      </c>
      <c r="AL131" s="1907"/>
      <c r="AM131" s="1907"/>
      <c r="AN131" s="1901">
        <f t="shared" si="38"/>
        <v>0</v>
      </c>
      <c r="AO131" s="1906">
        <f t="shared" ref="AO131:AO194" ca="1" si="69">IF(MOD(A131,2)=0,AN131*0.05*2,0)</f>
        <v>0</v>
      </c>
      <c r="AU131" s="1903">
        <f t="shared" si="39"/>
        <v>0</v>
      </c>
      <c r="AV131" s="1904">
        <f t="shared" ref="AV131:AV194" si="70">IF(AND(OR($AW$62=1,$AW$62=3),O130&gt;0.1),AW131,0)</f>
        <v>0</v>
      </c>
      <c r="AW131" s="1904">
        <f t="shared" ref="AW131:AW194" si="71">IF(AND($AW$62=1,$AU$62=2),PMT((($D$66/360)*(365/12)),B130,-N130),0)</f>
        <v>0</v>
      </c>
      <c r="AX131" s="1904"/>
      <c r="AY131" s="1904"/>
      <c r="AZ131" s="1904"/>
      <c r="BA131" s="1904"/>
      <c r="BB131" s="1897">
        <f t="shared" ref="BB131:BB194" si="72">IF(AND(BC131&gt;0.01,$AU$62=2),BC131,0)</f>
        <v>0</v>
      </c>
      <c r="BC131" s="1897">
        <f t="shared" si="57"/>
        <v>0</v>
      </c>
      <c r="BD131" s="1898" t="e">
        <f>HLOOKUP($BD$63,anticipaplus,67,0)</f>
        <v>#N/A</v>
      </c>
      <c r="BE131" s="1899"/>
      <c r="BF131" s="1899"/>
      <c r="BG131" s="1360">
        <f t="shared" ref="BG131:BG194" si="73">BJ131/BL130</f>
        <v>0</v>
      </c>
      <c r="BH131" s="1361">
        <f t="shared" si="42"/>
        <v>66</v>
      </c>
      <c r="BI131" s="1362">
        <f t="shared" ref="BI131:BI194" si="74">BL130*$BI$59*30.4166/360</f>
        <v>0</v>
      </c>
      <c r="BJ131" s="1362">
        <f t="shared" si="58"/>
        <v>0</v>
      </c>
      <c r="BK131" s="1362">
        <f t="shared" si="40"/>
        <v>0</v>
      </c>
      <c r="BL131" s="1363">
        <f t="shared" si="59"/>
        <v>1000000</v>
      </c>
      <c r="BM131" s="1899"/>
      <c r="BN131" s="1361">
        <f t="shared" si="43"/>
        <v>66</v>
      </c>
      <c r="BO131" s="1362">
        <f t="shared" si="60"/>
        <v>0</v>
      </c>
      <c r="BP131" s="1362">
        <f t="shared" si="61"/>
        <v>8543.4723045346618</v>
      </c>
      <c r="BQ131" s="1362">
        <f t="shared" si="52"/>
        <v>8543.4723045346618</v>
      </c>
      <c r="BR131" s="1363">
        <f t="shared" si="62"/>
        <v>436130.82790071424</v>
      </c>
      <c r="BT131" s="1414"/>
      <c r="BX131" s="1364"/>
      <c r="BY131" s="1364"/>
      <c r="BZ131" s="1364"/>
      <c r="CA131" s="1364"/>
      <c r="CB131" s="1364"/>
      <c r="CC131" s="1365"/>
      <c r="CD131" s="1365"/>
      <c r="CE131" s="1365"/>
      <c r="CF131" s="1365"/>
      <c r="CG131" s="1365"/>
      <c r="CH131" s="1366"/>
      <c r="CI131" s="1366"/>
      <c r="CJ131" s="1366"/>
      <c r="CK131" s="1366"/>
      <c r="CL131" s="1365"/>
      <c r="CM131" s="1366"/>
      <c r="CN131" s="1366"/>
      <c r="CO131" s="1366"/>
      <c r="CP131" s="1366"/>
      <c r="CQ131" s="1366"/>
      <c r="CR131" s="1366"/>
      <c r="CS131" s="1365"/>
      <c r="CT131" s="1365"/>
      <c r="CU131" s="1365"/>
      <c r="CV131" s="1365"/>
      <c r="CW131" s="1365"/>
      <c r="CX131" s="1365"/>
      <c r="CY131" s="1365"/>
      <c r="CZ131" s="1365"/>
      <c r="DA131" s="1365"/>
      <c r="DB131" s="1365"/>
      <c r="DC131" s="1365"/>
      <c r="DD131" s="1365"/>
      <c r="DE131" s="1365"/>
      <c r="DF131" s="1365"/>
      <c r="DG131" s="1365"/>
      <c r="DH131" s="1365"/>
      <c r="DI131" s="1365"/>
      <c r="DJ131" s="1365"/>
      <c r="DK131" s="1365"/>
      <c r="DL131" s="1365"/>
      <c r="DM131" s="1365"/>
      <c r="DN131" s="1365"/>
      <c r="DO131" s="1365"/>
      <c r="DP131" s="1365"/>
      <c r="DQ131" s="1365"/>
      <c r="DR131" s="1365"/>
      <c r="DS131" s="1365"/>
      <c r="DT131" s="1365"/>
    </row>
    <row r="132" spans="1:124">
      <c r="A132" s="1118">
        <f t="shared" ca="1" si="53"/>
        <v>10</v>
      </c>
      <c r="B132" s="1890">
        <f t="shared" si="63"/>
        <v>0</v>
      </c>
      <c r="C132" s="2160">
        <f t="shared" ref="C132:C195" si="75">IF(N131&lt;0.01,0,C131+1)</f>
        <v>0</v>
      </c>
      <c r="D132" s="2161">
        <f t="shared" ref="D132:D195" si="76">IF(N131&lt;0.01,0,D131)</f>
        <v>0</v>
      </c>
      <c r="E132" s="2162">
        <f t="shared" si="64"/>
        <v>0</v>
      </c>
      <c r="F132" s="2162">
        <f t="shared" si="47"/>
        <v>0</v>
      </c>
      <c r="G132" s="2162">
        <f t="shared" si="48"/>
        <v>0</v>
      </c>
      <c r="H132" s="2162">
        <f t="shared" ref="H132:H195" si="77">IF(N131&lt;0.01,0,IF($F$22=$AN$4,0,IF($F$22=$AN$3,N131*$I$22/1000,N131*VLOOKUP($G$21,$AP$2:$AQ$5,2,0))))</f>
        <v>0</v>
      </c>
      <c r="I132" s="2162">
        <f t="shared" si="45"/>
        <v>0</v>
      </c>
      <c r="J132" s="2162">
        <f t="shared" si="54"/>
        <v>0</v>
      </c>
      <c r="K132" s="2162">
        <f t="shared" si="55"/>
        <v>0</v>
      </c>
      <c r="L132" s="2162">
        <f t="shared" si="65"/>
        <v>0</v>
      </c>
      <c r="M132" s="2162">
        <f t="shared" si="56"/>
        <v>0</v>
      </c>
      <c r="N132" s="2162">
        <f t="shared" si="66"/>
        <v>0</v>
      </c>
      <c r="O132" s="2163"/>
      <c r="AG132" s="1756"/>
      <c r="AH132" s="1756"/>
      <c r="AI132" s="1756"/>
      <c r="AJ132" s="1989">
        <f t="shared" si="67"/>
        <v>7</v>
      </c>
      <c r="AK132" s="1900">
        <f t="shared" si="68"/>
        <v>0</v>
      </c>
      <c r="AL132" s="1907"/>
      <c r="AM132" s="1907"/>
      <c r="AN132" s="1901">
        <f t="shared" ref="AN132:AN195" si="78">AN131</f>
        <v>0</v>
      </c>
      <c r="AO132" s="1906">
        <f t="shared" ca="1" si="69"/>
        <v>0</v>
      </c>
      <c r="AU132" s="1903">
        <f t="shared" ref="AU132:AU195" si="79">IF(AV132&gt;1,AV132,IF(BB132&gt;1,BB132,0))</f>
        <v>0</v>
      </c>
      <c r="AV132" s="1904">
        <f t="shared" si="70"/>
        <v>0</v>
      </c>
      <c r="AW132" s="1904">
        <f t="shared" si="71"/>
        <v>0</v>
      </c>
      <c r="AX132" s="1904"/>
      <c r="AY132" s="1904"/>
      <c r="AZ132" s="1904"/>
      <c r="BA132" s="1904"/>
      <c r="BB132" s="1897">
        <f t="shared" si="72"/>
        <v>0</v>
      </c>
      <c r="BC132" s="1897">
        <f t="shared" si="57"/>
        <v>0</v>
      </c>
      <c r="BD132" s="1898" t="e">
        <f>HLOOKUP($BD$63,anticipaplus,68,0)</f>
        <v>#N/A</v>
      </c>
      <c r="BE132" s="1899"/>
      <c r="BF132" s="1899"/>
      <c r="BG132" s="1360">
        <f t="shared" si="73"/>
        <v>0</v>
      </c>
      <c r="BH132" s="1361">
        <f t="shared" si="42"/>
        <v>67</v>
      </c>
      <c r="BI132" s="1362">
        <f t="shared" si="74"/>
        <v>0</v>
      </c>
      <c r="BJ132" s="1362">
        <f t="shared" si="58"/>
        <v>0</v>
      </c>
      <c r="BK132" s="1362">
        <f t="shared" ref="BK132:BK195" si="80">MIN(BL131+BI132,BK131)</f>
        <v>0</v>
      </c>
      <c r="BL132" s="1363">
        <f t="shared" si="59"/>
        <v>1000000</v>
      </c>
      <c r="BM132" s="1899"/>
      <c r="BN132" s="1361">
        <f t="shared" si="43"/>
        <v>67</v>
      </c>
      <c r="BO132" s="1362">
        <f t="shared" si="60"/>
        <v>0</v>
      </c>
      <c r="BP132" s="1362">
        <f t="shared" si="61"/>
        <v>8543.4723045346618</v>
      </c>
      <c r="BQ132" s="1362">
        <f t="shared" si="52"/>
        <v>8543.4723045346618</v>
      </c>
      <c r="BR132" s="1363">
        <f t="shared" si="62"/>
        <v>427587.35559617961</v>
      </c>
      <c r="BT132" s="1414"/>
      <c r="BX132" s="1364"/>
      <c r="BY132" s="1364"/>
      <c r="BZ132" s="1364"/>
      <c r="CA132" s="1364"/>
      <c r="CB132" s="1364"/>
      <c r="CC132" s="1365"/>
      <c r="CD132" s="1365"/>
      <c r="CE132" s="1365"/>
      <c r="CF132" s="1365"/>
      <c r="CG132" s="1365"/>
      <c r="CH132" s="1366"/>
      <c r="CI132" s="1366"/>
      <c r="CJ132" s="1366"/>
      <c r="CK132" s="1366"/>
      <c r="CL132" s="1365"/>
      <c r="CM132" s="1366"/>
      <c r="CN132" s="1366"/>
      <c r="CO132" s="1366"/>
      <c r="CP132" s="1366"/>
      <c r="CQ132" s="1366"/>
      <c r="CR132" s="1366"/>
      <c r="CS132" s="1365"/>
      <c r="CT132" s="1365"/>
      <c r="CU132" s="1365"/>
      <c r="CV132" s="1365"/>
      <c r="CW132" s="1365"/>
      <c r="CX132" s="1365"/>
      <c r="CY132" s="1365"/>
      <c r="CZ132" s="1365"/>
      <c r="DA132" s="1365"/>
      <c r="DB132" s="1365"/>
      <c r="DC132" s="1365"/>
      <c r="DD132" s="1365"/>
      <c r="DE132" s="1365"/>
      <c r="DF132" s="1365"/>
      <c r="DG132" s="1365"/>
      <c r="DH132" s="1365"/>
      <c r="DI132" s="1365"/>
      <c r="DJ132" s="1365"/>
      <c r="DK132" s="1365"/>
      <c r="DL132" s="1365"/>
      <c r="DM132" s="1365"/>
      <c r="DN132" s="1365"/>
      <c r="DO132" s="1365"/>
      <c r="DP132" s="1365"/>
      <c r="DQ132" s="1365"/>
      <c r="DR132" s="1365"/>
      <c r="DS132" s="1365"/>
      <c r="DT132" s="1365"/>
    </row>
    <row r="133" spans="1:124">
      <c r="A133" s="1118">
        <f t="shared" ca="1" si="53"/>
        <v>11</v>
      </c>
      <c r="B133" s="1890">
        <f t="shared" si="63"/>
        <v>0</v>
      </c>
      <c r="C133" s="2160">
        <f t="shared" si="75"/>
        <v>0</v>
      </c>
      <c r="D133" s="2161">
        <f t="shared" si="76"/>
        <v>0</v>
      </c>
      <c r="E133" s="2162">
        <f t="shared" si="64"/>
        <v>0</v>
      </c>
      <c r="F133" s="2162">
        <f t="shared" si="47"/>
        <v>0</v>
      </c>
      <c r="G133" s="2162">
        <f t="shared" si="48"/>
        <v>0</v>
      </c>
      <c r="H133" s="2162">
        <f t="shared" si="77"/>
        <v>0</v>
      </c>
      <c r="I133" s="2162">
        <f t="shared" si="45"/>
        <v>0</v>
      </c>
      <c r="J133" s="2162">
        <f t="shared" si="54"/>
        <v>0</v>
      </c>
      <c r="K133" s="2162">
        <f t="shared" si="55"/>
        <v>0</v>
      </c>
      <c r="L133" s="2162">
        <f t="shared" si="65"/>
        <v>0</v>
      </c>
      <c r="M133" s="2162">
        <f t="shared" si="56"/>
        <v>0</v>
      </c>
      <c r="N133" s="2162">
        <f t="shared" si="66"/>
        <v>0</v>
      </c>
      <c r="O133" s="2163"/>
      <c r="AG133" s="1756"/>
      <c r="AH133" s="1756"/>
      <c r="AI133" s="1756"/>
      <c r="AJ133" s="1989">
        <f t="shared" si="67"/>
        <v>8</v>
      </c>
      <c r="AK133" s="1900">
        <f t="shared" si="68"/>
        <v>0</v>
      </c>
      <c r="AL133" s="1907"/>
      <c r="AM133" s="1907"/>
      <c r="AN133" s="1901">
        <f t="shared" si="78"/>
        <v>0</v>
      </c>
      <c r="AO133" s="1906">
        <f t="shared" ca="1" si="69"/>
        <v>0</v>
      </c>
      <c r="AU133" s="1903">
        <f t="shared" si="79"/>
        <v>0</v>
      </c>
      <c r="AV133" s="1904">
        <f t="shared" si="70"/>
        <v>0</v>
      </c>
      <c r="AW133" s="1904">
        <f t="shared" si="71"/>
        <v>0</v>
      </c>
      <c r="AX133" s="1904"/>
      <c r="AY133" s="1904"/>
      <c r="AZ133" s="1904"/>
      <c r="BA133" s="1904"/>
      <c r="BB133" s="1897">
        <f t="shared" si="72"/>
        <v>0</v>
      </c>
      <c r="BC133" s="1897">
        <f t="shared" si="57"/>
        <v>0</v>
      </c>
      <c r="BD133" s="1898" t="e">
        <f>HLOOKUP($BD$63,anticipaplus,69,0)</f>
        <v>#N/A</v>
      </c>
      <c r="BE133" s="1899"/>
      <c r="BF133" s="1899"/>
      <c r="BG133" s="1360">
        <f t="shared" si="73"/>
        <v>0</v>
      </c>
      <c r="BH133" s="1361">
        <f t="shared" ref="BH133:BH196" si="81">IF(BL132&lt;=0,"",BH132+1)</f>
        <v>68</v>
      </c>
      <c r="BI133" s="1362">
        <f t="shared" si="74"/>
        <v>0</v>
      </c>
      <c r="BJ133" s="1362">
        <f t="shared" si="58"/>
        <v>0</v>
      </c>
      <c r="BK133" s="1362">
        <f t="shared" si="80"/>
        <v>0</v>
      </c>
      <c r="BL133" s="1363">
        <f t="shared" si="59"/>
        <v>1000000</v>
      </c>
      <c r="BM133" s="1899"/>
      <c r="BN133" s="1361">
        <f t="shared" ref="BN133:BN196" si="82">IF(BR132&lt;=0,"",BN132+1)</f>
        <v>68</v>
      </c>
      <c r="BO133" s="1362">
        <f t="shared" si="60"/>
        <v>0</v>
      </c>
      <c r="BP133" s="1362">
        <f t="shared" si="61"/>
        <v>8543.4723045346618</v>
      </c>
      <c r="BQ133" s="1362">
        <f t="shared" si="52"/>
        <v>8543.4723045346618</v>
      </c>
      <c r="BR133" s="1363">
        <f t="shared" si="62"/>
        <v>419043.88329164498</v>
      </c>
      <c r="BT133" s="1414"/>
      <c r="BX133" s="1364"/>
      <c r="BY133" s="1364"/>
      <c r="BZ133" s="1364"/>
      <c r="CA133" s="1364"/>
      <c r="CB133" s="1364"/>
      <c r="CC133" s="1365"/>
      <c r="CD133" s="1365"/>
      <c r="CE133" s="1365"/>
      <c r="CF133" s="1365"/>
      <c r="CG133" s="1365"/>
      <c r="CH133" s="1366"/>
      <c r="CI133" s="1366"/>
      <c r="CJ133" s="1366"/>
      <c r="CK133" s="1366"/>
      <c r="CL133" s="1365"/>
      <c r="CM133" s="1366"/>
      <c r="CN133" s="1366"/>
      <c r="CO133" s="1366"/>
      <c r="CP133" s="1366"/>
      <c r="CQ133" s="1366"/>
      <c r="CR133" s="1366"/>
      <c r="CS133" s="1365"/>
      <c r="CT133" s="1365"/>
      <c r="CU133" s="1365"/>
      <c r="CV133" s="1365"/>
      <c r="CW133" s="1365"/>
      <c r="CX133" s="1365"/>
      <c r="CY133" s="1365"/>
      <c r="CZ133" s="1365"/>
      <c r="DA133" s="1365"/>
      <c r="DB133" s="1365"/>
      <c r="DC133" s="1365"/>
      <c r="DD133" s="1365"/>
      <c r="DE133" s="1365"/>
      <c r="DF133" s="1365"/>
      <c r="DG133" s="1365"/>
      <c r="DH133" s="1365"/>
      <c r="DI133" s="1365"/>
      <c r="DJ133" s="1365"/>
      <c r="DK133" s="1365"/>
      <c r="DL133" s="1365"/>
      <c r="DM133" s="1365"/>
      <c r="DN133" s="1365"/>
      <c r="DO133" s="1365"/>
      <c r="DP133" s="1365"/>
      <c r="DQ133" s="1365"/>
      <c r="DR133" s="1365"/>
      <c r="DS133" s="1365"/>
      <c r="DT133" s="1365"/>
    </row>
    <row r="134" spans="1:124">
      <c r="A134" s="1118">
        <f t="shared" ca="1" si="53"/>
        <v>12</v>
      </c>
      <c r="B134" s="1890">
        <f t="shared" si="63"/>
        <v>0</v>
      </c>
      <c r="C134" s="2160">
        <f t="shared" si="75"/>
        <v>0</v>
      </c>
      <c r="D134" s="2161">
        <f t="shared" si="76"/>
        <v>0</v>
      </c>
      <c r="E134" s="2162">
        <f t="shared" si="64"/>
        <v>0</v>
      </c>
      <c r="F134" s="2162">
        <f t="shared" si="47"/>
        <v>0</v>
      </c>
      <c r="G134" s="2162">
        <f t="shared" si="48"/>
        <v>0</v>
      </c>
      <c r="H134" s="2162">
        <f t="shared" si="77"/>
        <v>0</v>
      </c>
      <c r="I134" s="2162">
        <f t="shared" si="45"/>
        <v>0</v>
      </c>
      <c r="J134" s="2162">
        <f t="shared" si="54"/>
        <v>0</v>
      </c>
      <c r="K134" s="2162">
        <f t="shared" si="55"/>
        <v>0</v>
      </c>
      <c r="L134" s="2162">
        <f t="shared" si="65"/>
        <v>0</v>
      </c>
      <c r="M134" s="2162">
        <f t="shared" si="56"/>
        <v>0</v>
      </c>
      <c r="N134" s="2162">
        <f t="shared" si="66"/>
        <v>0</v>
      </c>
      <c r="O134" s="2163"/>
      <c r="AG134" s="1756"/>
      <c r="AH134" s="1756"/>
      <c r="AI134" s="1756"/>
      <c r="AJ134" s="1989">
        <f t="shared" si="67"/>
        <v>9</v>
      </c>
      <c r="AK134" s="1900">
        <f t="shared" si="68"/>
        <v>0</v>
      </c>
      <c r="AL134" s="1907"/>
      <c r="AM134" s="1907"/>
      <c r="AN134" s="1901">
        <f t="shared" si="78"/>
        <v>0</v>
      </c>
      <c r="AO134" s="1906">
        <f t="shared" ca="1" si="69"/>
        <v>0</v>
      </c>
      <c r="AU134" s="1903">
        <f t="shared" si="79"/>
        <v>0</v>
      </c>
      <c r="AV134" s="1904">
        <f t="shared" si="70"/>
        <v>0</v>
      </c>
      <c r="AW134" s="1904">
        <f t="shared" si="71"/>
        <v>0</v>
      </c>
      <c r="AX134" s="1904"/>
      <c r="AY134" s="1904"/>
      <c r="AZ134" s="1904"/>
      <c r="BA134" s="1904"/>
      <c r="BB134" s="1897">
        <f t="shared" si="72"/>
        <v>0</v>
      </c>
      <c r="BC134" s="1897">
        <f t="shared" si="57"/>
        <v>0</v>
      </c>
      <c r="BD134" s="1898" t="e">
        <f>HLOOKUP($BD$63,anticipaplus,70,0)</f>
        <v>#N/A</v>
      </c>
      <c r="BE134" s="1899"/>
      <c r="BF134" s="1899"/>
      <c r="BG134" s="1360">
        <f t="shared" si="73"/>
        <v>0</v>
      </c>
      <c r="BH134" s="1361">
        <f t="shared" si="81"/>
        <v>69</v>
      </c>
      <c r="BI134" s="1362">
        <f t="shared" si="74"/>
        <v>0</v>
      </c>
      <c r="BJ134" s="1362">
        <f t="shared" si="58"/>
        <v>0</v>
      </c>
      <c r="BK134" s="1362">
        <f t="shared" si="80"/>
        <v>0</v>
      </c>
      <c r="BL134" s="1363">
        <f t="shared" si="59"/>
        <v>1000000</v>
      </c>
      <c r="BM134" s="1899"/>
      <c r="BN134" s="1361">
        <f t="shared" si="82"/>
        <v>69</v>
      </c>
      <c r="BO134" s="1362">
        <f t="shared" si="60"/>
        <v>0</v>
      </c>
      <c r="BP134" s="1362">
        <f t="shared" si="61"/>
        <v>8543.4723045346618</v>
      </c>
      <c r="BQ134" s="1362">
        <f t="shared" si="52"/>
        <v>8543.4723045346618</v>
      </c>
      <c r="BR134" s="1363">
        <f t="shared" si="62"/>
        <v>410500.41098711034</v>
      </c>
      <c r="BT134" s="1414"/>
      <c r="BX134" s="1364"/>
      <c r="BY134" s="1364"/>
      <c r="BZ134" s="1364"/>
      <c r="CA134" s="1364"/>
      <c r="CB134" s="1364"/>
      <c r="CC134" s="1365"/>
      <c r="CD134" s="1365"/>
      <c r="CE134" s="1365"/>
      <c r="CF134" s="1365"/>
      <c r="CG134" s="1365"/>
      <c r="CH134" s="1366"/>
      <c r="CI134" s="1366"/>
      <c r="CJ134" s="1366"/>
      <c r="CK134" s="1366"/>
      <c r="CL134" s="1365"/>
      <c r="CM134" s="1366"/>
      <c r="CN134" s="1366"/>
      <c r="CO134" s="1366"/>
      <c r="CP134" s="1366"/>
      <c r="CQ134" s="1366"/>
      <c r="CR134" s="1366"/>
      <c r="CS134" s="1365"/>
      <c r="CT134" s="1365"/>
      <c r="CU134" s="1365"/>
      <c r="CV134" s="1365"/>
      <c r="CW134" s="1365"/>
      <c r="CX134" s="1365"/>
      <c r="CY134" s="1365"/>
      <c r="CZ134" s="1365"/>
      <c r="DA134" s="1365"/>
      <c r="DB134" s="1365"/>
      <c r="DC134" s="1365"/>
      <c r="DD134" s="1365"/>
      <c r="DE134" s="1365"/>
      <c r="DF134" s="1365"/>
      <c r="DG134" s="1365"/>
      <c r="DH134" s="1365"/>
      <c r="DI134" s="1365"/>
      <c r="DJ134" s="1365"/>
      <c r="DK134" s="1365"/>
      <c r="DL134" s="1365"/>
      <c r="DM134" s="1365"/>
      <c r="DN134" s="1365"/>
      <c r="DO134" s="1365"/>
      <c r="DP134" s="1365"/>
      <c r="DQ134" s="1365"/>
      <c r="DR134" s="1365"/>
      <c r="DS134" s="1365"/>
      <c r="DT134" s="1365"/>
    </row>
    <row r="135" spans="1:124">
      <c r="A135" s="1118">
        <f t="shared" ca="1" si="53"/>
        <v>1</v>
      </c>
      <c r="B135" s="1890">
        <f t="shared" si="63"/>
        <v>0</v>
      </c>
      <c r="C135" s="2160">
        <f t="shared" si="75"/>
        <v>0</v>
      </c>
      <c r="D135" s="2161">
        <f t="shared" si="76"/>
        <v>0</v>
      </c>
      <c r="E135" s="2162">
        <f t="shared" si="64"/>
        <v>0</v>
      </c>
      <c r="F135" s="2162">
        <f t="shared" si="47"/>
        <v>0</v>
      </c>
      <c r="G135" s="2162">
        <f t="shared" si="48"/>
        <v>0</v>
      </c>
      <c r="H135" s="2162">
        <f t="shared" si="77"/>
        <v>0</v>
      </c>
      <c r="I135" s="2162">
        <f t="shared" si="45"/>
        <v>0</v>
      </c>
      <c r="J135" s="2162">
        <f t="shared" si="54"/>
        <v>0</v>
      </c>
      <c r="K135" s="2162">
        <f t="shared" si="55"/>
        <v>0</v>
      </c>
      <c r="L135" s="2162">
        <f t="shared" si="65"/>
        <v>0</v>
      </c>
      <c r="M135" s="2162">
        <f t="shared" si="56"/>
        <v>0</v>
      </c>
      <c r="N135" s="2162">
        <f t="shared" si="66"/>
        <v>0</v>
      </c>
      <c r="O135" s="2163"/>
      <c r="AG135" s="1756"/>
      <c r="AH135" s="1756"/>
      <c r="AI135" s="1756"/>
      <c r="AJ135" s="1989">
        <f t="shared" si="67"/>
        <v>10</v>
      </c>
      <c r="AK135" s="1900">
        <f t="shared" si="68"/>
        <v>0</v>
      </c>
      <c r="AL135" s="1907"/>
      <c r="AM135" s="1907"/>
      <c r="AN135" s="1901">
        <f t="shared" si="78"/>
        <v>0</v>
      </c>
      <c r="AO135" s="1906">
        <f t="shared" ca="1" si="69"/>
        <v>0</v>
      </c>
      <c r="AU135" s="1903">
        <f t="shared" si="79"/>
        <v>0</v>
      </c>
      <c r="AV135" s="1904">
        <f t="shared" si="70"/>
        <v>0</v>
      </c>
      <c r="AW135" s="1904">
        <f t="shared" si="71"/>
        <v>0</v>
      </c>
      <c r="AX135" s="1904"/>
      <c r="AY135" s="1904"/>
      <c r="AZ135" s="1904"/>
      <c r="BA135" s="1904"/>
      <c r="BB135" s="1897">
        <f t="shared" si="72"/>
        <v>0</v>
      </c>
      <c r="BC135" s="1897">
        <f t="shared" si="57"/>
        <v>0</v>
      </c>
      <c r="BD135" s="1898" t="e">
        <f>HLOOKUP($BD$63,anticipaplus,71,0)</f>
        <v>#N/A</v>
      </c>
      <c r="BE135" s="1899"/>
      <c r="BF135" s="1899"/>
      <c r="BG135" s="1360">
        <f t="shared" si="73"/>
        <v>0</v>
      </c>
      <c r="BH135" s="1361">
        <f t="shared" si="81"/>
        <v>70</v>
      </c>
      <c r="BI135" s="1362">
        <f t="shared" si="74"/>
        <v>0</v>
      </c>
      <c r="BJ135" s="1362">
        <f t="shared" si="58"/>
        <v>0</v>
      </c>
      <c r="BK135" s="1362">
        <f t="shared" si="80"/>
        <v>0</v>
      </c>
      <c r="BL135" s="1363">
        <f t="shared" si="59"/>
        <v>1000000</v>
      </c>
      <c r="BM135" s="1899"/>
      <c r="BN135" s="1361">
        <f t="shared" si="82"/>
        <v>70</v>
      </c>
      <c r="BO135" s="1362">
        <f t="shared" si="60"/>
        <v>0</v>
      </c>
      <c r="BP135" s="1362">
        <f t="shared" si="61"/>
        <v>8543.4723045346618</v>
      </c>
      <c r="BQ135" s="1362">
        <f t="shared" si="52"/>
        <v>8543.4723045346618</v>
      </c>
      <c r="BR135" s="1363">
        <f t="shared" si="62"/>
        <v>401956.93868257571</v>
      </c>
      <c r="BT135" s="1414"/>
      <c r="BX135" s="1364"/>
      <c r="BY135" s="1364"/>
      <c r="BZ135" s="1364"/>
      <c r="CA135" s="1364"/>
      <c r="CB135" s="1364"/>
      <c r="CC135" s="1365"/>
      <c r="CD135" s="1365"/>
      <c r="CE135" s="1365"/>
      <c r="CF135" s="1365"/>
      <c r="CG135" s="1365"/>
      <c r="CH135" s="1366"/>
      <c r="CI135" s="1366"/>
      <c r="CJ135" s="1366"/>
      <c r="CK135" s="1366"/>
      <c r="CL135" s="1365"/>
      <c r="CM135" s="1366"/>
      <c r="CN135" s="1366"/>
      <c r="CO135" s="1366"/>
      <c r="CP135" s="1366"/>
      <c r="CQ135" s="1366"/>
      <c r="CR135" s="1366"/>
      <c r="CS135" s="1365"/>
      <c r="CT135" s="1365"/>
      <c r="CU135" s="1365"/>
      <c r="CV135" s="1365"/>
      <c r="CW135" s="1365"/>
      <c r="CX135" s="1365"/>
      <c r="CY135" s="1365"/>
      <c r="CZ135" s="1365"/>
      <c r="DA135" s="1365"/>
      <c r="DB135" s="1365"/>
      <c r="DC135" s="1365"/>
      <c r="DD135" s="1365"/>
      <c r="DE135" s="1365"/>
      <c r="DF135" s="1365"/>
      <c r="DG135" s="1365"/>
      <c r="DH135" s="1365"/>
      <c r="DI135" s="1365"/>
      <c r="DJ135" s="1365"/>
      <c r="DK135" s="1365"/>
      <c r="DL135" s="1365"/>
      <c r="DM135" s="1365"/>
      <c r="DN135" s="1365"/>
      <c r="DO135" s="1365"/>
      <c r="DP135" s="1365"/>
      <c r="DQ135" s="1365"/>
      <c r="DR135" s="1365"/>
      <c r="DS135" s="1365"/>
      <c r="DT135" s="1365"/>
    </row>
    <row r="136" spans="1:124">
      <c r="A136" s="1118">
        <f t="shared" ca="1" si="53"/>
        <v>2</v>
      </c>
      <c r="B136" s="1890">
        <f t="shared" si="63"/>
        <v>0</v>
      </c>
      <c r="C136" s="2160">
        <f t="shared" si="75"/>
        <v>0</v>
      </c>
      <c r="D136" s="2161">
        <f t="shared" si="76"/>
        <v>0</v>
      </c>
      <c r="E136" s="2162">
        <f t="shared" si="64"/>
        <v>0</v>
      </c>
      <c r="F136" s="2162">
        <f t="shared" si="47"/>
        <v>0</v>
      </c>
      <c r="G136" s="2162">
        <f t="shared" si="48"/>
        <v>0</v>
      </c>
      <c r="H136" s="2162">
        <f t="shared" si="77"/>
        <v>0</v>
      </c>
      <c r="I136" s="2162">
        <f t="shared" si="45"/>
        <v>0</v>
      </c>
      <c r="J136" s="2162">
        <f t="shared" si="54"/>
        <v>0</v>
      </c>
      <c r="K136" s="2162">
        <f t="shared" si="55"/>
        <v>0</v>
      </c>
      <c r="L136" s="2162">
        <f t="shared" si="65"/>
        <v>0</v>
      </c>
      <c r="M136" s="2162">
        <f t="shared" si="56"/>
        <v>0</v>
      </c>
      <c r="N136" s="2162">
        <f t="shared" si="66"/>
        <v>0</v>
      </c>
      <c r="O136" s="2163"/>
      <c r="AG136" s="1756"/>
      <c r="AH136" s="1756"/>
      <c r="AI136" s="1756"/>
      <c r="AJ136" s="1989">
        <f t="shared" si="67"/>
        <v>11</v>
      </c>
      <c r="AK136" s="1900">
        <f t="shared" si="68"/>
        <v>0</v>
      </c>
      <c r="AL136" s="1907"/>
      <c r="AM136" s="1907"/>
      <c r="AN136" s="1901">
        <f t="shared" si="78"/>
        <v>0</v>
      </c>
      <c r="AO136" s="1906">
        <f t="shared" ca="1" si="69"/>
        <v>0</v>
      </c>
      <c r="AU136" s="1903">
        <f t="shared" si="79"/>
        <v>0</v>
      </c>
      <c r="AV136" s="1904">
        <f t="shared" si="70"/>
        <v>0</v>
      </c>
      <c r="AW136" s="1904">
        <f t="shared" si="71"/>
        <v>0</v>
      </c>
      <c r="AX136" s="1904"/>
      <c r="AY136" s="1904"/>
      <c r="AZ136" s="1904"/>
      <c r="BA136" s="1904"/>
      <c r="BB136" s="1897">
        <f t="shared" si="72"/>
        <v>0</v>
      </c>
      <c r="BC136" s="1897">
        <f t="shared" si="57"/>
        <v>0</v>
      </c>
      <c r="BD136" s="1898" t="e">
        <f>HLOOKUP($BD$63,anticipaplus,72,0)</f>
        <v>#N/A</v>
      </c>
      <c r="BE136" s="1899"/>
      <c r="BF136" s="1899"/>
      <c r="BG136" s="1360">
        <f t="shared" si="73"/>
        <v>0</v>
      </c>
      <c r="BH136" s="1361">
        <f t="shared" si="81"/>
        <v>71</v>
      </c>
      <c r="BI136" s="1362">
        <f t="shared" si="74"/>
        <v>0</v>
      </c>
      <c r="BJ136" s="1362">
        <f t="shared" si="58"/>
        <v>0</v>
      </c>
      <c r="BK136" s="1362">
        <f t="shared" si="80"/>
        <v>0</v>
      </c>
      <c r="BL136" s="1363">
        <f t="shared" si="59"/>
        <v>1000000</v>
      </c>
      <c r="BM136" s="1899"/>
      <c r="BN136" s="1361">
        <f t="shared" si="82"/>
        <v>71</v>
      </c>
      <c r="BO136" s="1362">
        <f t="shared" si="60"/>
        <v>0</v>
      </c>
      <c r="BP136" s="1362">
        <f t="shared" si="61"/>
        <v>8543.4723045346618</v>
      </c>
      <c r="BQ136" s="1362">
        <f t="shared" si="52"/>
        <v>8543.4723045346618</v>
      </c>
      <c r="BR136" s="1363">
        <f t="shared" si="62"/>
        <v>393413.46637804108</v>
      </c>
      <c r="BT136" s="1414"/>
      <c r="BX136" s="1364"/>
      <c r="BY136" s="1364"/>
      <c r="BZ136" s="1364"/>
      <c r="CA136" s="1364"/>
      <c r="CB136" s="1364"/>
      <c r="CC136" s="1365"/>
      <c r="CD136" s="1365"/>
      <c r="CE136" s="1365"/>
      <c r="CF136" s="1365"/>
      <c r="CG136" s="1365"/>
      <c r="CH136" s="1366"/>
      <c r="CI136" s="1366"/>
      <c r="CJ136" s="1366"/>
      <c r="CK136" s="1366"/>
      <c r="CL136" s="1365"/>
      <c r="CM136" s="1366"/>
      <c r="CN136" s="1366"/>
      <c r="CO136" s="1366"/>
      <c r="CP136" s="1366"/>
      <c r="CQ136" s="1366"/>
      <c r="CR136" s="1366"/>
      <c r="CS136" s="1365"/>
      <c r="CT136" s="1365"/>
      <c r="CU136" s="1365"/>
      <c r="CV136" s="1365"/>
      <c r="CW136" s="1365"/>
      <c r="CX136" s="1365"/>
      <c r="CY136" s="1365"/>
      <c r="CZ136" s="1365"/>
      <c r="DA136" s="1365"/>
      <c r="DB136" s="1365"/>
      <c r="DC136" s="1365"/>
      <c r="DD136" s="1365"/>
      <c r="DE136" s="1365"/>
      <c r="DF136" s="1365"/>
      <c r="DG136" s="1365"/>
      <c r="DH136" s="1365"/>
      <c r="DI136" s="1365"/>
      <c r="DJ136" s="1365"/>
      <c r="DK136" s="1365"/>
      <c r="DL136" s="1365"/>
      <c r="DM136" s="1365"/>
      <c r="DN136" s="1365"/>
      <c r="DO136" s="1365"/>
      <c r="DP136" s="1365"/>
      <c r="DQ136" s="1365"/>
      <c r="DR136" s="1365"/>
      <c r="DS136" s="1365"/>
      <c r="DT136" s="1365"/>
    </row>
    <row r="137" spans="1:124">
      <c r="A137" s="1118">
        <f t="shared" ca="1" si="53"/>
        <v>3</v>
      </c>
      <c r="B137" s="1890">
        <f t="shared" si="63"/>
        <v>0</v>
      </c>
      <c r="C137" s="2160">
        <f t="shared" si="75"/>
        <v>0</v>
      </c>
      <c r="D137" s="2161">
        <f t="shared" si="76"/>
        <v>0</v>
      </c>
      <c r="E137" s="2162">
        <f t="shared" si="64"/>
        <v>0</v>
      </c>
      <c r="F137" s="2162">
        <f t="shared" si="47"/>
        <v>0</v>
      </c>
      <c r="G137" s="2162">
        <f t="shared" si="48"/>
        <v>0</v>
      </c>
      <c r="H137" s="2162">
        <f t="shared" si="77"/>
        <v>0</v>
      </c>
      <c r="I137" s="2162">
        <f t="shared" si="45"/>
        <v>0</v>
      </c>
      <c r="J137" s="2162">
        <f t="shared" si="54"/>
        <v>0</v>
      </c>
      <c r="K137" s="2162">
        <f t="shared" si="55"/>
        <v>0</v>
      </c>
      <c r="L137" s="2162">
        <f t="shared" si="65"/>
        <v>0</v>
      </c>
      <c r="M137" s="2162">
        <f t="shared" si="56"/>
        <v>0</v>
      </c>
      <c r="N137" s="2162">
        <f t="shared" si="66"/>
        <v>0</v>
      </c>
      <c r="O137" s="2163"/>
      <c r="AG137" s="1756"/>
      <c r="AH137" s="1756"/>
      <c r="AI137" s="1756"/>
      <c r="AJ137" s="1989">
        <f t="shared" si="67"/>
        <v>12</v>
      </c>
      <c r="AK137" s="1900">
        <f t="shared" si="68"/>
        <v>0</v>
      </c>
      <c r="AL137" s="1907"/>
      <c r="AM137" s="1907"/>
      <c r="AN137" s="1901">
        <f t="shared" si="78"/>
        <v>0</v>
      </c>
      <c r="AO137" s="1906">
        <f t="shared" ca="1" si="69"/>
        <v>0</v>
      </c>
      <c r="AU137" s="1903">
        <f t="shared" si="79"/>
        <v>0</v>
      </c>
      <c r="AV137" s="1904">
        <f t="shared" si="70"/>
        <v>0</v>
      </c>
      <c r="AW137" s="1904">
        <f t="shared" si="71"/>
        <v>0</v>
      </c>
      <c r="AX137" s="1904"/>
      <c r="AY137" s="1904"/>
      <c r="AZ137" s="1904"/>
      <c r="BA137" s="1904"/>
      <c r="BB137" s="1897">
        <f t="shared" si="72"/>
        <v>0</v>
      </c>
      <c r="BC137" s="1897">
        <f t="shared" si="57"/>
        <v>0</v>
      </c>
      <c r="BD137" s="1898" t="e">
        <f>HLOOKUP($BD$63,anticipaplus,73,0)</f>
        <v>#N/A</v>
      </c>
      <c r="BE137" s="1899"/>
      <c r="BF137" s="1899"/>
      <c r="BG137" s="1360">
        <f t="shared" si="73"/>
        <v>0</v>
      </c>
      <c r="BH137" s="1361">
        <f t="shared" si="81"/>
        <v>72</v>
      </c>
      <c r="BI137" s="1362">
        <f t="shared" si="74"/>
        <v>0</v>
      </c>
      <c r="BJ137" s="1362">
        <f t="shared" si="58"/>
        <v>0</v>
      </c>
      <c r="BK137" s="1362">
        <f t="shared" si="80"/>
        <v>0</v>
      </c>
      <c r="BL137" s="1363">
        <f t="shared" si="59"/>
        <v>1000000</v>
      </c>
      <c r="BM137" s="1899"/>
      <c r="BN137" s="1361">
        <f t="shared" si="82"/>
        <v>72</v>
      </c>
      <c r="BO137" s="1362">
        <f t="shared" si="60"/>
        <v>0</v>
      </c>
      <c r="BP137" s="1362">
        <f t="shared" si="61"/>
        <v>8543.4723045346618</v>
      </c>
      <c r="BQ137" s="1362">
        <f t="shared" si="52"/>
        <v>8543.4723045346618</v>
      </c>
      <c r="BR137" s="1363">
        <f t="shared" si="62"/>
        <v>384869.99407350644</v>
      </c>
      <c r="BT137" s="1414"/>
      <c r="BX137" s="1364"/>
      <c r="BY137" s="1364"/>
      <c r="BZ137" s="1364"/>
      <c r="CA137" s="1364"/>
      <c r="CB137" s="1364"/>
      <c r="CC137" s="1365"/>
      <c r="CD137" s="1365"/>
      <c r="CE137" s="1365"/>
      <c r="CF137" s="1365"/>
      <c r="CG137" s="1365"/>
      <c r="CH137" s="1366"/>
      <c r="CI137" s="1366"/>
      <c r="CJ137" s="1366"/>
      <c r="CK137" s="1366"/>
      <c r="CL137" s="1365"/>
      <c r="CM137" s="1366"/>
      <c r="CN137" s="1366"/>
      <c r="CO137" s="1366"/>
      <c r="CP137" s="1366"/>
      <c r="CQ137" s="1366"/>
      <c r="CR137" s="1366"/>
      <c r="CS137" s="1365"/>
      <c r="CT137" s="1365"/>
      <c r="CU137" s="1365"/>
      <c r="CV137" s="1365"/>
      <c r="CW137" s="1365"/>
      <c r="CX137" s="1365"/>
      <c r="CY137" s="1365"/>
      <c r="CZ137" s="1365"/>
      <c r="DA137" s="1365"/>
      <c r="DB137" s="1365"/>
      <c r="DC137" s="1365"/>
      <c r="DD137" s="1365"/>
      <c r="DE137" s="1365"/>
      <c r="DF137" s="1365"/>
      <c r="DG137" s="1365"/>
      <c r="DH137" s="1365"/>
      <c r="DI137" s="1365"/>
      <c r="DJ137" s="1365"/>
      <c r="DK137" s="1365"/>
      <c r="DL137" s="1365"/>
      <c r="DM137" s="1365"/>
      <c r="DN137" s="1365"/>
      <c r="DO137" s="1365"/>
      <c r="DP137" s="1365"/>
      <c r="DQ137" s="1365"/>
      <c r="DR137" s="1365"/>
      <c r="DS137" s="1365"/>
      <c r="DT137" s="1365"/>
    </row>
    <row r="138" spans="1:124">
      <c r="A138" s="1118">
        <f t="shared" ca="1" si="53"/>
        <v>4</v>
      </c>
      <c r="B138" s="1890">
        <f t="shared" si="63"/>
        <v>0</v>
      </c>
      <c r="C138" s="2160">
        <f t="shared" si="75"/>
        <v>0</v>
      </c>
      <c r="D138" s="2161">
        <f t="shared" si="76"/>
        <v>0</v>
      </c>
      <c r="E138" s="2162">
        <f t="shared" si="64"/>
        <v>0</v>
      </c>
      <c r="F138" s="2162">
        <f t="shared" si="47"/>
        <v>0</v>
      </c>
      <c r="G138" s="2162">
        <f t="shared" si="48"/>
        <v>0</v>
      </c>
      <c r="H138" s="2162">
        <f t="shared" si="77"/>
        <v>0</v>
      </c>
      <c r="I138" s="2162">
        <f t="shared" si="45"/>
        <v>0</v>
      </c>
      <c r="J138" s="2162">
        <f t="shared" si="54"/>
        <v>0</v>
      </c>
      <c r="K138" s="2162">
        <f t="shared" si="55"/>
        <v>0</v>
      </c>
      <c r="L138" s="2162">
        <f t="shared" si="65"/>
        <v>0</v>
      </c>
      <c r="M138" s="2162">
        <f t="shared" si="56"/>
        <v>0</v>
      </c>
      <c r="N138" s="2162">
        <f t="shared" si="66"/>
        <v>0</v>
      </c>
      <c r="O138" s="2163"/>
      <c r="AG138" s="1756"/>
      <c r="AH138" s="1756"/>
      <c r="AI138" s="1756"/>
      <c r="AJ138" s="1989">
        <f t="shared" si="67"/>
        <v>1</v>
      </c>
      <c r="AK138" s="1900">
        <f t="shared" si="68"/>
        <v>0</v>
      </c>
      <c r="AL138" s="1907"/>
      <c r="AM138" s="1907"/>
      <c r="AN138" s="1901">
        <f t="shared" si="78"/>
        <v>0</v>
      </c>
      <c r="AO138" s="1906">
        <f t="shared" ca="1" si="69"/>
        <v>0</v>
      </c>
      <c r="AU138" s="1903">
        <f t="shared" si="79"/>
        <v>0</v>
      </c>
      <c r="AV138" s="1904">
        <f t="shared" si="70"/>
        <v>0</v>
      </c>
      <c r="AW138" s="1904">
        <f t="shared" si="71"/>
        <v>0</v>
      </c>
      <c r="AX138" s="1904"/>
      <c r="AY138" s="1904"/>
      <c r="AZ138" s="1904"/>
      <c r="BA138" s="1904"/>
      <c r="BB138" s="1897">
        <f t="shared" si="72"/>
        <v>0</v>
      </c>
      <c r="BC138" s="1897">
        <f t="shared" si="57"/>
        <v>0</v>
      </c>
      <c r="BD138" s="1898" t="e">
        <f>HLOOKUP($BD$63,anticipaplus,74,0)</f>
        <v>#N/A</v>
      </c>
      <c r="BE138" s="1899"/>
      <c r="BF138" s="1899"/>
      <c r="BG138" s="1360">
        <f t="shared" si="73"/>
        <v>0</v>
      </c>
      <c r="BH138" s="1377">
        <f t="shared" si="81"/>
        <v>73</v>
      </c>
      <c r="BI138" s="1378">
        <f t="shared" si="74"/>
        <v>0</v>
      </c>
      <c r="BJ138" s="1378">
        <f t="shared" si="58"/>
        <v>0</v>
      </c>
      <c r="BK138" s="1378">
        <f>MIN(BL137+BI138,BK137*(1+$BI$61))</f>
        <v>0</v>
      </c>
      <c r="BL138" s="1363">
        <f t="shared" si="59"/>
        <v>1000000</v>
      </c>
      <c r="BM138" s="1899"/>
      <c r="BN138" s="1379">
        <f t="shared" si="82"/>
        <v>73</v>
      </c>
      <c r="BO138" s="1380">
        <f t="shared" si="60"/>
        <v>0</v>
      </c>
      <c r="BP138" s="1380">
        <f t="shared" si="61"/>
        <v>8543.4723045346618</v>
      </c>
      <c r="BQ138" s="1380">
        <f>MIN(BR137+BO138,BQ137*(1+$BO$61))</f>
        <v>8543.4723045346618</v>
      </c>
      <c r="BR138" s="1363">
        <f t="shared" si="62"/>
        <v>376326.52176897181</v>
      </c>
      <c r="BT138" s="1414"/>
      <c r="BX138" s="1364"/>
      <c r="BY138" s="1364"/>
      <c r="BZ138" s="1364"/>
      <c r="CA138" s="1364"/>
      <c r="CB138" s="1364"/>
      <c r="CC138" s="1365"/>
      <c r="CD138" s="1365"/>
      <c r="CE138" s="1365"/>
      <c r="CF138" s="1365"/>
      <c r="CG138" s="1365"/>
      <c r="CH138" s="1366"/>
      <c r="CI138" s="1366"/>
      <c r="CJ138" s="1366"/>
      <c r="CK138" s="1366"/>
      <c r="CL138" s="1365"/>
      <c r="CM138" s="1366"/>
      <c r="CN138" s="1366"/>
      <c r="CO138" s="1366"/>
      <c r="CP138" s="1366"/>
      <c r="CQ138" s="1366"/>
      <c r="CR138" s="1366"/>
      <c r="CS138" s="1365"/>
      <c r="CT138" s="1365"/>
      <c r="CU138" s="1365"/>
      <c r="CV138" s="1365"/>
      <c r="CW138" s="1365"/>
      <c r="CX138" s="1365"/>
      <c r="CY138" s="1365"/>
      <c r="CZ138" s="1365"/>
      <c r="DA138" s="1365"/>
      <c r="DB138" s="1365"/>
      <c r="DC138" s="1365"/>
      <c r="DD138" s="1365"/>
      <c r="DE138" s="1365"/>
      <c r="DF138" s="1365"/>
      <c r="DG138" s="1365"/>
      <c r="DH138" s="1365"/>
      <c r="DI138" s="1365"/>
      <c r="DJ138" s="1365"/>
      <c r="DK138" s="1365"/>
      <c r="DL138" s="1365"/>
      <c r="DM138" s="1365"/>
      <c r="DN138" s="1365"/>
      <c r="DO138" s="1365"/>
      <c r="DP138" s="1365"/>
      <c r="DQ138" s="1365"/>
      <c r="DR138" s="1365"/>
      <c r="DS138" s="1365"/>
      <c r="DT138" s="1365"/>
    </row>
    <row r="139" spans="1:124">
      <c r="A139" s="1118">
        <f t="shared" ca="1" si="53"/>
        <v>5</v>
      </c>
      <c r="B139" s="1890">
        <f t="shared" si="63"/>
        <v>0</v>
      </c>
      <c r="C139" s="2160">
        <f t="shared" si="75"/>
        <v>0</v>
      </c>
      <c r="D139" s="2161">
        <f t="shared" si="76"/>
        <v>0</v>
      </c>
      <c r="E139" s="2162">
        <f t="shared" si="64"/>
        <v>0</v>
      </c>
      <c r="F139" s="2162">
        <f t="shared" si="47"/>
        <v>0</v>
      </c>
      <c r="G139" s="2162">
        <f t="shared" si="48"/>
        <v>0</v>
      </c>
      <c r="H139" s="2162">
        <f t="shared" si="77"/>
        <v>0</v>
      </c>
      <c r="I139" s="2162">
        <f t="shared" si="45"/>
        <v>0</v>
      </c>
      <c r="J139" s="2162">
        <f t="shared" si="54"/>
        <v>0</v>
      </c>
      <c r="K139" s="2162">
        <f t="shared" si="55"/>
        <v>0</v>
      </c>
      <c r="L139" s="2162">
        <f t="shared" si="65"/>
        <v>0</v>
      </c>
      <c r="M139" s="2162">
        <f t="shared" si="56"/>
        <v>0</v>
      </c>
      <c r="N139" s="2162">
        <f t="shared" si="66"/>
        <v>0</v>
      </c>
      <c r="O139" s="2163"/>
      <c r="AG139" s="1756"/>
      <c r="AH139" s="1756"/>
      <c r="AI139" s="1756"/>
      <c r="AJ139" s="1989">
        <f t="shared" si="67"/>
        <v>2</v>
      </c>
      <c r="AK139" s="1900">
        <f t="shared" si="68"/>
        <v>0</v>
      </c>
      <c r="AL139" s="1907"/>
      <c r="AM139" s="1907"/>
      <c r="AN139" s="1901">
        <f t="shared" si="78"/>
        <v>0</v>
      </c>
      <c r="AO139" s="1906">
        <f t="shared" ca="1" si="69"/>
        <v>0</v>
      </c>
      <c r="AU139" s="1903">
        <f t="shared" si="79"/>
        <v>0</v>
      </c>
      <c r="AV139" s="1904">
        <f t="shared" si="70"/>
        <v>0</v>
      </c>
      <c r="AW139" s="1904">
        <f t="shared" si="71"/>
        <v>0</v>
      </c>
      <c r="AX139" s="1904"/>
      <c r="AY139" s="1904"/>
      <c r="AZ139" s="1904"/>
      <c r="BA139" s="1904"/>
      <c r="BB139" s="1897">
        <f t="shared" si="72"/>
        <v>0</v>
      </c>
      <c r="BC139" s="1897">
        <f t="shared" si="57"/>
        <v>0</v>
      </c>
      <c r="BD139" s="1898" t="e">
        <f>HLOOKUP($BD$63,anticipaplus,75,0)</f>
        <v>#N/A</v>
      </c>
      <c r="BE139" s="1899"/>
      <c r="BF139" s="1899"/>
      <c r="BG139" s="1360">
        <f t="shared" si="73"/>
        <v>0</v>
      </c>
      <c r="BH139" s="1361">
        <f t="shared" si="81"/>
        <v>74</v>
      </c>
      <c r="BI139" s="1362">
        <f t="shared" si="74"/>
        <v>0</v>
      </c>
      <c r="BJ139" s="1362">
        <f t="shared" si="58"/>
        <v>0</v>
      </c>
      <c r="BK139" s="1362">
        <f t="shared" si="80"/>
        <v>0</v>
      </c>
      <c r="BL139" s="1363">
        <f t="shared" si="59"/>
        <v>1000000</v>
      </c>
      <c r="BM139" s="1899"/>
      <c r="BN139" s="1361">
        <f t="shared" si="82"/>
        <v>74</v>
      </c>
      <c r="BO139" s="1362">
        <f t="shared" si="60"/>
        <v>0</v>
      </c>
      <c r="BP139" s="1362">
        <f t="shared" si="61"/>
        <v>8543.4723045346618</v>
      </c>
      <c r="BQ139" s="1362">
        <f t="shared" ref="BQ139:BQ149" si="83">MIN(BR138+BO139,BQ138)</f>
        <v>8543.4723045346618</v>
      </c>
      <c r="BR139" s="1363">
        <f t="shared" si="62"/>
        <v>367783.04946443718</v>
      </c>
      <c r="BT139" s="1414"/>
      <c r="BX139" s="1364"/>
      <c r="BY139" s="1364"/>
      <c r="BZ139" s="1364"/>
      <c r="CA139" s="1364"/>
      <c r="CB139" s="1364"/>
      <c r="CC139" s="1365"/>
      <c r="CD139" s="1365"/>
      <c r="CE139" s="1365"/>
      <c r="CF139" s="1365"/>
      <c r="CG139" s="1365"/>
      <c r="CH139" s="1366"/>
      <c r="CI139" s="1366"/>
      <c r="CJ139" s="1366"/>
      <c r="CK139" s="1366"/>
      <c r="CL139" s="1365"/>
      <c r="CM139" s="1366"/>
      <c r="CN139" s="1366"/>
      <c r="CO139" s="1366"/>
      <c r="CP139" s="1366"/>
      <c r="CQ139" s="1366"/>
      <c r="CR139" s="1366"/>
      <c r="CS139" s="1365"/>
      <c r="CT139" s="1365"/>
      <c r="CU139" s="1365"/>
      <c r="CV139" s="1365"/>
      <c r="CW139" s="1365"/>
      <c r="CX139" s="1365"/>
      <c r="CY139" s="1365"/>
      <c r="CZ139" s="1365"/>
      <c r="DA139" s="1365"/>
      <c r="DB139" s="1365"/>
      <c r="DC139" s="1365"/>
      <c r="DD139" s="1365"/>
      <c r="DE139" s="1365"/>
      <c r="DF139" s="1365"/>
      <c r="DG139" s="1365"/>
      <c r="DH139" s="1365"/>
      <c r="DI139" s="1365"/>
      <c r="DJ139" s="1365"/>
      <c r="DK139" s="1365"/>
      <c r="DL139" s="1365"/>
      <c r="DM139" s="1365"/>
      <c r="DN139" s="1365"/>
      <c r="DO139" s="1365"/>
      <c r="DP139" s="1365"/>
      <c r="DQ139" s="1365"/>
      <c r="DR139" s="1365"/>
      <c r="DS139" s="1365"/>
      <c r="DT139" s="1365"/>
    </row>
    <row r="140" spans="1:124">
      <c r="A140" s="1118">
        <f t="shared" ca="1" si="53"/>
        <v>6</v>
      </c>
      <c r="B140" s="1890">
        <f t="shared" si="63"/>
        <v>0</v>
      </c>
      <c r="C140" s="2160">
        <f t="shared" si="75"/>
        <v>0</v>
      </c>
      <c r="D140" s="2161">
        <f t="shared" si="76"/>
        <v>0</v>
      </c>
      <c r="E140" s="2162">
        <f t="shared" si="64"/>
        <v>0</v>
      </c>
      <c r="F140" s="2162">
        <f t="shared" si="47"/>
        <v>0</v>
      </c>
      <c r="G140" s="2162">
        <f t="shared" si="48"/>
        <v>0</v>
      </c>
      <c r="H140" s="2162">
        <f t="shared" si="77"/>
        <v>0</v>
      </c>
      <c r="I140" s="2162">
        <f t="shared" si="45"/>
        <v>0</v>
      </c>
      <c r="J140" s="2162">
        <f t="shared" si="54"/>
        <v>0</v>
      </c>
      <c r="K140" s="2162">
        <f t="shared" si="55"/>
        <v>0</v>
      </c>
      <c r="L140" s="2162">
        <f t="shared" si="65"/>
        <v>0</v>
      </c>
      <c r="M140" s="2162">
        <f t="shared" si="56"/>
        <v>0</v>
      </c>
      <c r="N140" s="2162">
        <f t="shared" si="66"/>
        <v>0</v>
      </c>
      <c r="O140" s="2163"/>
      <c r="AG140" s="1756"/>
      <c r="AH140" s="1756"/>
      <c r="AI140" s="1756"/>
      <c r="AJ140" s="1989">
        <f t="shared" si="67"/>
        <v>3</v>
      </c>
      <c r="AK140" s="1900">
        <f t="shared" si="68"/>
        <v>0</v>
      </c>
      <c r="AL140" s="1907"/>
      <c r="AM140" s="1907"/>
      <c r="AN140" s="1901">
        <f t="shared" si="78"/>
        <v>0</v>
      </c>
      <c r="AO140" s="1906">
        <f t="shared" ca="1" si="69"/>
        <v>0</v>
      </c>
      <c r="AU140" s="1903">
        <f t="shared" si="79"/>
        <v>0</v>
      </c>
      <c r="AV140" s="1904">
        <f t="shared" si="70"/>
        <v>0</v>
      </c>
      <c r="AW140" s="1904">
        <f t="shared" si="71"/>
        <v>0</v>
      </c>
      <c r="AX140" s="1904"/>
      <c r="AY140" s="1904"/>
      <c r="AZ140" s="1904"/>
      <c r="BA140" s="1904"/>
      <c r="BB140" s="1897">
        <f t="shared" si="72"/>
        <v>0</v>
      </c>
      <c r="BC140" s="1897">
        <f t="shared" si="57"/>
        <v>0</v>
      </c>
      <c r="BD140" s="1898" t="e">
        <f>HLOOKUP($BD$63,anticipaplus,76,0)</f>
        <v>#N/A</v>
      </c>
      <c r="BE140" s="1899"/>
      <c r="BF140" s="1899"/>
      <c r="BG140" s="1360">
        <f t="shared" si="73"/>
        <v>0</v>
      </c>
      <c r="BH140" s="1361">
        <f t="shared" si="81"/>
        <v>75</v>
      </c>
      <c r="BI140" s="1362">
        <f t="shared" si="74"/>
        <v>0</v>
      </c>
      <c r="BJ140" s="1362">
        <f t="shared" si="58"/>
        <v>0</v>
      </c>
      <c r="BK140" s="1362">
        <f t="shared" si="80"/>
        <v>0</v>
      </c>
      <c r="BL140" s="1363">
        <f t="shared" si="59"/>
        <v>1000000</v>
      </c>
      <c r="BM140" s="1899"/>
      <c r="BN140" s="1361">
        <f t="shared" si="82"/>
        <v>75</v>
      </c>
      <c r="BO140" s="1362">
        <f t="shared" si="60"/>
        <v>0</v>
      </c>
      <c r="BP140" s="1362">
        <f t="shared" si="61"/>
        <v>8543.4723045346618</v>
      </c>
      <c r="BQ140" s="1362">
        <f t="shared" si="83"/>
        <v>8543.4723045346618</v>
      </c>
      <c r="BR140" s="1363">
        <f t="shared" si="62"/>
        <v>359239.57715990255</v>
      </c>
      <c r="BT140" s="1414"/>
      <c r="BX140" s="1364"/>
      <c r="BY140" s="1364"/>
      <c r="BZ140" s="1364"/>
      <c r="CA140" s="1364"/>
      <c r="CB140" s="1364"/>
      <c r="CC140" s="1365"/>
      <c r="CD140" s="1365"/>
      <c r="CE140" s="1365"/>
      <c r="CF140" s="1365"/>
      <c r="CG140" s="1365"/>
      <c r="CH140" s="1366"/>
      <c r="CI140" s="1366"/>
      <c r="CJ140" s="1366"/>
      <c r="CK140" s="1366"/>
      <c r="CL140" s="1365"/>
      <c r="CM140" s="1366"/>
      <c r="CN140" s="1366"/>
      <c r="CO140" s="1366"/>
      <c r="CP140" s="1366"/>
      <c r="CQ140" s="1366"/>
      <c r="CR140" s="1366"/>
      <c r="CS140" s="1365"/>
      <c r="CT140" s="1365"/>
      <c r="CU140" s="1365"/>
      <c r="CV140" s="1365"/>
      <c r="CW140" s="1365"/>
      <c r="CX140" s="1365"/>
      <c r="CY140" s="1365"/>
      <c r="CZ140" s="1365"/>
      <c r="DA140" s="1365"/>
      <c r="DB140" s="1365"/>
      <c r="DC140" s="1365"/>
      <c r="DD140" s="1365"/>
      <c r="DE140" s="1365"/>
      <c r="DF140" s="1365"/>
      <c r="DG140" s="1365"/>
      <c r="DH140" s="1365"/>
      <c r="DI140" s="1365"/>
      <c r="DJ140" s="1365"/>
      <c r="DK140" s="1365"/>
      <c r="DL140" s="1365"/>
      <c r="DM140" s="1365"/>
      <c r="DN140" s="1365"/>
      <c r="DO140" s="1365"/>
      <c r="DP140" s="1365"/>
      <c r="DQ140" s="1365"/>
      <c r="DR140" s="1365"/>
      <c r="DS140" s="1365"/>
      <c r="DT140" s="1365"/>
    </row>
    <row r="141" spans="1:124">
      <c r="A141" s="1118">
        <f t="shared" ca="1" si="53"/>
        <v>7</v>
      </c>
      <c r="B141" s="1890">
        <f t="shared" si="63"/>
        <v>0</v>
      </c>
      <c r="C141" s="2160">
        <f t="shared" si="75"/>
        <v>0</v>
      </c>
      <c r="D141" s="2161">
        <f t="shared" si="76"/>
        <v>0</v>
      </c>
      <c r="E141" s="2162">
        <f t="shared" si="64"/>
        <v>0</v>
      </c>
      <c r="F141" s="2162">
        <f t="shared" si="47"/>
        <v>0</v>
      </c>
      <c r="G141" s="2162">
        <f t="shared" si="48"/>
        <v>0</v>
      </c>
      <c r="H141" s="2162">
        <f t="shared" si="77"/>
        <v>0</v>
      </c>
      <c r="I141" s="2162">
        <f t="shared" si="45"/>
        <v>0</v>
      </c>
      <c r="J141" s="2162">
        <f t="shared" si="54"/>
        <v>0</v>
      </c>
      <c r="K141" s="2162">
        <f t="shared" si="55"/>
        <v>0</v>
      </c>
      <c r="L141" s="2162">
        <f t="shared" si="65"/>
        <v>0</v>
      </c>
      <c r="M141" s="2162">
        <f t="shared" si="56"/>
        <v>0</v>
      </c>
      <c r="N141" s="2162">
        <f t="shared" si="66"/>
        <v>0</v>
      </c>
      <c r="O141" s="2163"/>
      <c r="AG141" s="1756"/>
      <c r="AH141" s="1756"/>
      <c r="AI141" s="1756"/>
      <c r="AJ141" s="1989">
        <f t="shared" si="67"/>
        <v>4</v>
      </c>
      <c r="AK141" s="1900">
        <f t="shared" si="68"/>
        <v>0</v>
      </c>
      <c r="AL141" s="1907"/>
      <c r="AM141" s="1907"/>
      <c r="AN141" s="1901">
        <f t="shared" si="78"/>
        <v>0</v>
      </c>
      <c r="AO141" s="1906">
        <f t="shared" ca="1" si="69"/>
        <v>0</v>
      </c>
      <c r="AU141" s="1903">
        <f t="shared" si="79"/>
        <v>0</v>
      </c>
      <c r="AV141" s="1904">
        <f t="shared" si="70"/>
        <v>0</v>
      </c>
      <c r="AW141" s="1904">
        <f t="shared" si="71"/>
        <v>0</v>
      </c>
      <c r="AX141" s="1904"/>
      <c r="AY141" s="1904"/>
      <c r="AZ141" s="1904"/>
      <c r="BA141" s="1904"/>
      <c r="BB141" s="1897">
        <f t="shared" si="72"/>
        <v>0</v>
      </c>
      <c r="BC141" s="1897">
        <f t="shared" si="57"/>
        <v>0</v>
      </c>
      <c r="BD141" s="1898" t="e">
        <f>HLOOKUP($BD$63,anticipaplus,77,0)</f>
        <v>#N/A</v>
      </c>
      <c r="BE141" s="1899"/>
      <c r="BF141" s="1899"/>
      <c r="BG141" s="1360">
        <f t="shared" si="73"/>
        <v>0</v>
      </c>
      <c r="BH141" s="1361">
        <f t="shared" si="81"/>
        <v>76</v>
      </c>
      <c r="BI141" s="1362">
        <f t="shared" si="74"/>
        <v>0</v>
      </c>
      <c r="BJ141" s="1362">
        <f t="shared" si="58"/>
        <v>0</v>
      </c>
      <c r="BK141" s="1362">
        <f t="shared" si="80"/>
        <v>0</v>
      </c>
      <c r="BL141" s="1363">
        <f t="shared" si="59"/>
        <v>1000000</v>
      </c>
      <c r="BM141" s="1899"/>
      <c r="BN141" s="1361">
        <f t="shared" si="82"/>
        <v>76</v>
      </c>
      <c r="BO141" s="1362">
        <f t="shared" si="60"/>
        <v>0</v>
      </c>
      <c r="BP141" s="1362">
        <f t="shared" si="61"/>
        <v>8543.4723045346618</v>
      </c>
      <c r="BQ141" s="1362">
        <f t="shared" si="83"/>
        <v>8543.4723045346618</v>
      </c>
      <c r="BR141" s="1363">
        <f t="shared" si="62"/>
        <v>350696.10485536791</v>
      </c>
      <c r="BT141" s="1414"/>
      <c r="BX141" s="1364"/>
      <c r="BY141" s="1364"/>
      <c r="BZ141" s="1364"/>
      <c r="CA141" s="1364"/>
      <c r="CB141" s="1364"/>
      <c r="CC141" s="1365"/>
      <c r="CD141" s="1365"/>
      <c r="CE141" s="1365"/>
      <c r="CF141" s="1365"/>
      <c r="CG141" s="1365"/>
      <c r="CH141" s="1366"/>
      <c r="CI141" s="1366"/>
      <c r="CJ141" s="1366"/>
      <c r="CK141" s="1366"/>
      <c r="CL141" s="1365"/>
      <c r="CM141" s="1366"/>
      <c r="CN141" s="1366"/>
      <c r="CO141" s="1366"/>
      <c r="CP141" s="1366"/>
      <c r="CQ141" s="1366"/>
      <c r="CR141" s="1366"/>
      <c r="CS141" s="1365"/>
      <c r="CT141" s="1365"/>
      <c r="CU141" s="1365"/>
      <c r="CV141" s="1365"/>
      <c r="CW141" s="1365"/>
      <c r="CX141" s="1365"/>
      <c r="CY141" s="1365"/>
      <c r="CZ141" s="1365"/>
      <c r="DA141" s="1365"/>
      <c r="DB141" s="1365"/>
      <c r="DC141" s="1365"/>
      <c r="DD141" s="1365"/>
      <c r="DE141" s="1365"/>
      <c r="DF141" s="1365"/>
      <c r="DG141" s="1365"/>
      <c r="DH141" s="1365"/>
      <c r="DI141" s="1365"/>
      <c r="DJ141" s="1365"/>
      <c r="DK141" s="1365"/>
      <c r="DL141" s="1365"/>
      <c r="DM141" s="1365"/>
      <c r="DN141" s="1365"/>
      <c r="DO141" s="1365"/>
      <c r="DP141" s="1365"/>
      <c r="DQ141" s="1365"/>
      <c r="DR141" s="1365"/>
      <c r="DS141" s="1365"/>
      <c r="DT141" s="1365"/>
    </row>
    <row r="142" spans="1:124">
      <c r="A142" s="1118">
        <f t="shared" ca="1" si="53"/>
        <v>8</v>
      </c>
      <c r="B142" s="1890">
        <f t="shared" si="63"/>
        <v>0</v>
      </c>
      <c r="C142" s="2160">
        <f t="shared" si="75"/>
        <v>0</v>
      </c>
      <c r="D142" s="2161">
        <f t="shared" si="76"/>
        <v>0</v>
      </c>
      <c r="E142" s="2162">
        <f t="shared" si="64"/>
        <v>0</v>
      </c>
      <c r="F142" s="2162">
        <f t="shared" si="47"/>
        <v>0</v>
      </c>
      <c r="G142" s="2162">
        <f t="shared" si="48"/>
        <v>0</v>
      </c>
      <c r="H142" s="2162">
        <f t="shared" si="77"/>
        <v>0</v>
      </c>
      <c r="I142" s="2162">
        <f t="shared" ref="I142:I205" si="84">IF(N141&lt;0.01,0,IF($F$24=$AO$3,0,IF(OR($F$10=$AK$7,$F$10=$AK$13),0,$G$13*$AR$2)))</f>
        <v>0</v>
      </c>
      <c r="J142" s="2162">
        <f t="shared" si="54"/>
        <v>0</v>
      </c>
      <c r="K142" s="2162">
        <f t="shared" si="55"/>
        <v>0</v>
      </c>
      <c r="L142" s="2162">
        <f t="shared" si="65"/>
        <v>0</v>
      </c>
      <c r="M142" s="2162">
        <f t="shared" si="56"/>
        <v>0</v>
      </c>
      <c r="N142" s="2162">
        <f t="shared" si="66"/>
        <v>0</v>
      </c>
      <c r="O142" s="2163"/>
      <c r="AG142" s="1756"/>
      <c r="AH142" s="1756"/>
      <c r="AI142" s="1756"/>
      <c r="AJ142" s="1989">
        <f t="shared" si="67"/>
        <v>5</v>
      </c>
      <c r="AK142" s="1900">
        <f t="shared" si="68"/>
        <v>0</v>
      </c>
      <c r="AL142" s="1907"/>
      <c r="AM142" s="1907"/>
      <c r="AN142" s="1901">
        <f t="shared" si="78"/>
        <v>0</v>
      </c>
      <c r="AO142" s="1906">
        <f t="shared" ca="1" si="69"/>
        <v>0</v>
      </c>
      <c r="AU142" s="1903">
        <f t="shared" si="79"/>
        <v>0</v>
      </c>
      <c r="AV142" s="1904">
        <f t="shared" si="70"/>
        <v>0</v>
      </c>
      <c r="AW142" s="1904">
        <f t="shared" si="71"/>
        <v>0</v>
      </c>
      <c r="AX142" s="1904"/>
      <c r="AY142" s="1904"/>
      <c r="AZ142" s="1904"/>
      <c r="BA142" s="1904"/>
      <c r="BB142" s="1897">
        <f t="shared" si="72"/>
        <v>0</v>
      </c>
      <c r="BC142" s="1897">
        <f t="shared" si="57"/>
        <v>0</v>
      </c>
      <c r="BD142" s="1898" t="e">
        <f>HLOOKUP($BD$63,anticipaplus,78,0)</f>
        <v>#N/A</v>
      </c>
      <c r="BE142" s="1899"/>
      <c r="BF142" s="1899"/>
      <c r="BG142" s="1360">
        <f t="shared" si="73"/>
        <v>0</v>
      </c>
      <c r="BH142" s="1361">
        <f t="shared" si="81"/>
        <v>77</v>
      </c>
      <c r="BI142" s="1362">
        <f t="shared" si="74"/>
        <v>0</v>
      </c>
      <c r="BJ142" s="1362">
        <f t="shared" si="58"/>
        <v>0</v>
      </c>
      <c r="BK142" s="1362">
        <f t="shared" si="80"/>
        <v>0</v>
      </c>
      <c r="BL142" s="1363">
        <f t="shared" si="59"/>
        <v>1000000</v>
      </c>
      <c r="BM142" s="1899"/>
      <c r="BN142" s="1361">
        <f t="shared" si="82"/>
        <v>77</v>
      </c>
      <c r="BO142" s="1362">
        <f t="shared" si="60"/>
        <v>0</v>
      </c>
      <c r="BP142" s="1362">
        <f t="shared" si="61"/>
        <v>8543.4723045346618</v>
      </c>
      <c r="BQ142" s="1362">
        <f t="shared" si="83"/>
        <v>8543.4723045346618</v>
      </c>
      <c r="BR142" s="1363">
        <f t="shared" si="62"/>
        <v>342152.63255083328</v>
      </c>
      <c r="BT142" s="1414"/>
      <c r="BX142" s="1364"/>
      <c r="BY142" s="1364"/>
      <c r="BZ142" s="1364"/>
      <c r="CA142" s="1364"/>
      <c r="CB142" s="1364"/>
      <c r="CC142" s="1365"/>
      <c r="CD142" s="1365"/>
      <c r="CE142" s="1365"/>
      <c r="CF142" s="1365"/>
      <c r="CG142" s="1365"/>
      <c r="CH142" s="1366"/>
      <c r="CI142" s="1366"/>
      <c r="CJ142" s="1366"/>
      <c r="CK142" s="1366"/>
      <c r="CL142" s="1365"/>
      <c r="CM142" s="1366"/>
      <c r="CN142" s="1366"/>
      <c r="CO142" s="1366"/>
      <c r="CP142" s="1366"/>
      <c r="CQ142" s="1366"/>
      <c r="CR142" s="1366"/>
      <c r="CS142" s="1365"/>
      <c r="CT142" s="1365"/>
      <c r="CU142" s="1365"/>
      <c r="CV142" s="1365"/>
      <c r="CW142" s="1365"/>
      <c r="CX142" s="1365"/>
      <c r="CY142" s="1365"/>
      <c r="CZ142" s="1365"/>
      <c r="DA142" s="1365"/>
      <c r="DB142" s="1365"/>
      <c r="DC142" s="1365"/>
      <c r="DD142" s="1365"/>
      <c r="DE142" s="1365"/>
      <c r="DF142" s="1365"/>
      <c r="DG142" s="1365"/>
      <c r="DH142" s="1365"/>
      <c r="DI142" s="1365"/>
      <c r="DJ142" s="1365"/>
      <c r="DK142" s="1365"/>
      <c r="DL142" s="1365"/>
      <c r="DM142" s="1365"/>
      <c r="DN142" s="1365"/>
      <c r="DO142" s="1365"/>
      <c r="DP142" s="1365"/>
      <c r="DQ142" s="1365"/>
      <c r="DR142" s="1365"/>
      <c r="DS142" s="1365"/>
      <c r="DT142" s="1365"/>
    </row>
    <row r="143" spans="1:124">
      <c r="A143" s="1118">
        <f t="shared" ca="1" si="53"/>
        <v>9</v>
      </c>
      <c r="B143" s="1890">
        <f t="shared" si="63"/>
        <v>0</v>
      </c>
      <c r="C143" s="2160">
        <f t="shared" si="75"/>
        <v>0</v>
      </c>
      <c r="D143" s="2161">
        <f t="shared" si="76"/>
        <v>0</v>
      </c>
      <c r="E143" s="2162">
        <f t="shared" si="64"/>
        <v>0</v>
      </c>
      <c r="F143" s="2162">
        <f t="shared" si="47"/>
        <v>0</v>
      </c>
      <c r="G143" s="2162">
        <f t="shared" si="48"/>
        <v>0</v>
      </c>
      <c r="H143" s="2162">
        <f t="shared" si="77"/>
        <v>0</v>
      </c>
      <c r="I143" s="2162">
        <f t="shared" si="84"/>
        <v>0</v>
      </c>
      <c r="J143" s="2162">
        <f t="shared" si="54"/>
        <v>0</v>
      </c>
      <c r="K143" s="2162">
        <f t="shared" si="55"/>
        <v>0</v>
      </c>
      <c r="L143" s="2162">
        <f t="shared" si="65"/>
        <v>0</v>
      </c>
      <c r="M143" s="2162">
        <f t="shared" si="56"/>
        <v>0</v>
      </c>
      <c r="N143" s="2162">
        <f t="shared" si="66"/>
        <v>0</v>
      </c>
      <c r="O143" s="2163"/>
      <c r="AG143" s="1756"/>
      <c r="AH143" s="1756"/>
      <c r="AI143" s="1756"/>
      <c r="AJ143" s="1989">
        <f t="shared" si="67"/>
        <v>6</v>
      </c>
      <c r="AK143" s="1900">
        <f t="shared" si="68"/>
        <v>0</v>
      </c>
      <c r="AL143" s="1907"/>
      <c r="AM143" s="1907"/>
      <c r="AN143" s="1901">
        <f t="shared" si="78"/>
        <v>0</v>
      </c>
      <c r="AO143" s="1906">
        <f t="shared" ca="1" si="69"/>
        <v>0</v>
      </c>
      <c r="AU143" s="1903">
        <f t="shared" si="79"/>
        <v>0</v>
      </c>
      <c r="AV143" s="1904">
        <f t="shared" si="70"/>
        <v>0</v>
      </c>
      <c r="AW143" s="1904">
        <f t="shared" si="71"/>
        <v>0</v>
      </c>
      <c r="AX143" s="1904"/>
      <c r="AY143" s="1904"/>
      <c r="AZ143" s="1904"/>
      <c r="BA143" s="1904"/>
      <c r="BB143" s="1897">
        <f t="shared" si="72"/>
        <v>0</v>
      </c>
      <c r="BC143" s="1897">
        <f t="shared" si="57"/>
        <v>0</v>
      </c>
      <c r="BD143" s="1898" t="e">
        <f>HLOOKUP($BD$63,anticipaplus,79,0)</f>
        <v>#N/A</v>
      </c>
      <c r="BE143" s="1899"/>
      <c r="BF143" s="1899"/>
      <c r="BG143" s="1360">
        <f t="shared" si="73"/>
        <v>0</v>
      </c>
      <c r="BH143" s="1361">
        <f t="shared" si="81"/>
        <v>78</v>
      </c>
      <c r="BI143" s="1362">
        <f t="shared" si="74"/>
        <v>0</v>
      </c>
      <c r="BJ143" s="1362">
        <f t="shared" si="58"/>
        <v>0</v>
      </c>
      <c r="BK143" s="1362">
        <f t="shared" si="80"/>
        <v>0</v>
      </c>
      <c r="BL143" s="1363">
        <f t="shared" si="59"/>
        <v>1000000</v>
      </c>
      <c r="BM143" s="1899"/>
      <c r="BN143" s="1361">
        <f t="shared" si="82"/>
        <v>78</v>
      </c>
      <c r="BO143" s="1362">
        <f t="shared" si="60"/>
        <v>0</v>
      </c>
      <c r="BP143" s="1362">
        <f t="shared" si="61"/>
        <v>8543.4723045346618</v>
      </c>
      <c r="BQ143" s="1362">
        <f t="shared" si="83"/>
        <v>8543.4723045346618</v>
      </c>
      <c r="BR143" s="1363">
        <f t="shared" si="62"/>
        <v>333609.16024629865</v>
      </c>
      <c r="BT143" s="1414"/>
      <c r="BX143" s="1364"/>
      <c r="BY143" s="1364"/>
      <c r="BZ143" s="1364"/>
      <c r="CA143" s="1364"/>
      <c r="CB143" s="1364"/>
      <c r="CC143" s="1365"/>
      <c r="CD143" s="1365"/>
      <c r="CE143" s="1365"/>
      <c r="CF143" s="1365"/>
      <c r="CG143" s="1365"/>
      <c r="CH143" s="1366"/>
      <c r="CI143" s="1366"/>
      <c r="CJ143" s="1366"/>
      <c r="CK143" s="1366"/>
      <c r="CL143" s="1365"/>
      <c r="CM143" s="1366"/>
      <c r="CN143" s="1366"/>
      <c r="CO143" s="1366"/>
      <c r="CP143" s="1366"/>
      <c r="CQ143" s="1366"/>
      <c r="CR143" s="1366"/>
      <c r="CS143" s="1365"/>
      <c r="CT143" s="1365"/>
      <c r="CU143" s="1365"/>
      <c r="CV143" s="1365"/>
      <c r="CW143" s="1365"/>
      <c r="CX143" s="1365"/>
      <c r="CY143" s="1365"/>
      <c r="CZ143" s="1365"/>
      <c r="DA143" s="1365"/>
      <c r="DB143" s="1365"/>
      <c r="DC143" s="1365"/>
      <c r="DD143" s="1365"/>
      <c r="DE143" s="1365"/>
      <c r="DF143" s="1365"/>
      <c r="DG143" s="1365"/>
      <c r="DH143" s="1365"/>
      <c r="DI143" s="1365"/>
      <c r="DJ143" s="1365"/>
      <c r="DK143" s="1365"/>
      <c r="DL143" s="1365"/>
      <c r="DM143" s="1365"/>
      <c r="DN143" s="1365"/>
      <c r="DO143" s="1365"/>
      <c r="DP143" s="1365"/>
      <c r="DQ143" s="1365"/>
      <c r="DR143" s="1365"/>
      <c r="DS143" s="1365"/>
      <c r="DT143" s="1365"/>
    </row>
    <row r="144" spans="1:124">
      <c r="A144" s="1118">
        <f t="shared" ca="1" si="53"/>
        <v>10</v>
      </c>
      <c r="B144" s="1890">
        <f t="shared" si="63"/>
        <v>0</v>
      </c>
      <c r="C144" s="2160">
        <f t="shared" si="75"/>
        <v>0</v>
      </c>
      <c r="D144" s="2161">
        <f t="shared" si="76"/>
        <v>0</v>
      </c>
      <c r="E144" s="2162">
        <f t="shared" si="64"/>
        <v>0</v>
      </c>
      <c r="F144" s="2162">
        <f t="shared" si="47"/>
        <v>0</v>
      </c>
      <c r="G144" s="2162">
        <f t="shared" si="48"/>
        <v>0</v>
      </c>
      <c r="H144" s="2162">
        <f t="shared" si="77"/>
        <v>0</v>
      </c>
      <c r="I144" s="2162">
        <f t="shared" si="84"/>
        <v>0</v>
      </c>
      <c r="J144" s="2162">
        <f t="shared" si="54"/>
        <v>0</v>
      </c>
      <c r="K144" s="2162">
        <f t="shared" si="55"/>
        <v>0</v>
      </c>
      <c r="L144" s="2162">
        <f t="shared" si="65"/>
        <v>0</v>
      </c>
      <c r="M144" s="2162">
        <f t="shared" si="56"/>
        <v>0</v>
      </c>
      <c r="N144" s="2162">
        <f t="shared" si="66"/>
        <v>0</v>
      </c>
      <c r="O144" s="2163"/>
      <c r="AG144" s="1756"/>
      <c r="AH144" s="1756"/>
      <c r="AI144" s="1756"/>
      <c r="AJ144" s="1989">
        <f t="shared" si="67"/>
        <v>7</v>
      </c>
      <c r="AK144" s="1900">
        <f t="shared" si="68"/>
        <v>0</v>
      </c>
      <c r="AL144" s="1907"/>
      <c r="AM144" s="1907"/>
      <c r="AN144" s="1901">
        <f t="shared" si="78"/>
        <v>0</v>
      </c>
      <c r="AO144" s="1906">
        <f t="shared" ca="1" si="69"/>
        <v>0</v>
      </c>
      <c r="AU144" s="1903">
        <f t="shared" si="79"/>
        <v>0</v>
      </c>
      <c r="AV144" s="1904">
        <f t="shared" si="70"/>
        <v>0</v>
      </c>
      <c r="AW144" s="1904">
        <f t="shared" si="71"/>
        <v>0</v>
      </c>
      <c r="AX144" s="1904"/>
      <c r="AY144" s="1904"/>
      <c r="AZ144" s="1904"/>
      <c r="BA144" s="1904"/>
      <c r="BB144" s="1897">
        <f t="shared" si="72"/>
        <v>0</v>
      </c>
      <c r="BC144" s="1897">
        <f t="shared" si="57"/>
        <v>0</v>
      </c>
      <c r="BD144" s="1898" t="e">
        <f>HLOOKUP($BD$63,anticipaplus,80,0)</f>
        <v>#N/A</v>
      </c>
      <c r="BE144" s="1899"/>
      <c r="BF144" s="1899"/>
      <c r="BG144" s="1360">
        <f t="shared" si="73"/>
        <v>0</v>
      </c>
      <c r="BH144" s="1361">
        <f t="shared" si="81"/>
        <v>79</v>
      </c>
      <c r="BI144" s="1362">
        <f t="shared" si="74"/>
        <v>0</v>
      </c>
      <c r="BJ144" s="1362">
        <f t="shared" si="58"/>
        <v>0</v>
      </c>
      <c r="BK144" s="1362">
        <f t="shared" si="80"/>
        <v>0</v>
      </c>
      <c r="BL144" s="1363">
        <f t="shared" si="59"/>
        <v>1000000</v>
      </c>
      <c r="BM144" s="1899"/>
      <c r="BN144" s="1361">
        <f t="shared" si="82"/>
        <v>79</v>
      </c>
      <c r="BO144" s="1362">
        <f t="shared" si="60"/>
        <v>0</v>
      </c>
      <c r="BP144" s="1362">
        <f t="shared" si="61"/>
        <v>8543.4723045346618</v>
      </c>
      <c r="BQ144" s="1362">
        <f t="shared" si="83"/>
        <v>8543.4723045346618</v>
      </c>
      <c r="BR144" s="1363">
        <f t="shared" si="62"/>
        <v>325065.68794176402</v>
      </c>
      <c r="BT144" s="1414"/>
      <c r="BX144" s="1364"/>
      <c r="BY144" s="1364"/>
      <c r="BZ144" s="1364"/>
      <c r="CA144" s="1364"/>
      <c r="CB144" s="1364"/>
      <c r="CC144" s="1365"/>
      <c r="CD144" s="1365"/>
      <c r="CE144" s="1365"/>
      <c r="CF144" s="1365"/>
      <c r="CG144" s="1365"/>
      <c r="CH144" s="1366"/>
      <c r="CI144" s="1366"/>
      <c r="CJ144" s="1366"/>
      <c r="CK144" s="1366"/>
      <c r="CL144" s="1365"/>
      <c r="CM144" s="1366"/>
      <c r="CN144" s="1366"/>
      <c r="CO144" s="1366"/>
      <c r="CP144" s="1366"/>
      <c r="CQ144" s="1366"/>
      <c r="CR144" s="1366"/>
      <c r="CS144" s="1365"/>
      <c r="CT144" s="1365"/>
      <c r="CU144" s="1365"/>
      <c r="CV144" s="1365"/>
      <c r="CW144" s="1365"/>
      <c r="CX144" s="1365"/>
      <c r="CY144" s="1365"/>
      <c r="CZ144" s="1365"/>
      <c r="DA144" s="1365"/>
      <c r="DB144" s="1365"/>
      <c r="DC144" s="1365"/>
      <c r="DD144" s="1365"/>
      <c r="DE144" s="1365"/>
      <c r="DF144" s="1365"/>
      <c r="DG144" s="1365"/>
      <c r="DH144" s="1365"/>
      <c r="DI144" s="1365"/>
      <c r="DJ144" s="1365"/>
      <c r="DK144" s="1365"/>
      <c r="DL144" s="1365"/>
      <c r="DM144" s="1365"/>
      <c r="DN144" s="1365"/>
      <c r="DO144" s="1365"/>
      <c r="DP144" s="1365"/>
      <c r="DQ144" s="1365"/>
      <c r="DR144" s="1365"/>
      <c r="DS144" s="1365"/>
      <c r="DT144" s="1365"/>
    </row>
    <row r="145" spans="1:124">
      <c r="A145" s="1118">
        <f t="shared" ca="1" si="53"/>
        <v>11</v>
      </c>
      <c r="B145" s="1890">
        <f t="shared" si="63"/>
        <v>0</v>
      </c>
      <c r="C145" s="2160">
        <f t="shared" si="75"/>
        <v>0</v>
      </c>
      <c r="D145" s="2161">
        <f t="shared" si="76"/>
        <v>0</v>
      </c>
      <c r="E145" s="2162">
        <f t="shared" si="64"/>
        <v>0</v>
      </c>
      <c r="F145" s="2162">
        <f t="shared" si="47"/>
        <v>0</v>
      </c>
      <c r="G145" s="2162">
        <f t="shared" si="48"/>
        <v>0</v>
      </c>
      <c r="H145" s="2162">
        <f t="shared" si="77"/>
        <v>0</v>
      </c>
      <c r="I145" s="2162">
        <f t="shared" si="84"/>
        <v>0</v>
      </c>
      <c r="J145" s="2162">
        <f t="shared" si="54"/>
        <v>0</v>
      </c>
      <c r="K145" s="2162">
        <f t="shared" si="55"/>
        <v>0</v>
      </c>
      <c r="L145" s="2162">
        <f t="shared" si="65"/>
        <v>0</v>
      </c>
      <c r="M145" s="2162">
        <f t="shared" si="56"/>
        <v>0</v>
      </c>
      <c r="N145" s="2162">
        <f t="shared" si="66"/>
        <v>0</v>
      </c>
      <c r="O145" s="2163"/>
      <c r="AG145" s="1756"/>
      <c r="AH145" s="1756"/>
      <c r="AI145" s="1756"/>
      <c r="AJ145" s="1989">
        <f t="shared" si="67"/>
        <v>8</v>
      </c>
      <c r="AK145" s="1900">
        <f t="shared" si="68"/>
        <v>0</v>
      </c>
      <c r="AL145" s="1907"/>
      <c r="AM145" s="1907"/>
      <c r="AN145" s="1901">
        <f t="shared" si="78"/>
        <v>0</v>
      </c>
      <c r="AO145" s="1906">
        <f t="shared" ca="1" si="69"/>
        <v>0</v>
      </c>
      <c r="AU145" s="1903">
        <f t="shared" si="79"/>
        <v>0</v>
      </c>
      <c r="AV145" s="1904">
        <f t="shared" si="70"/>
        <v>0</v>
      </c>
      <c r="AW145" s="1904">
        <f t="shared" si="71"/>
        <v>0</v>
      </c>
      <c r="AX145" s="1904"/>
      <c r="AY145" s="1904"/>
      <c r="AZ145" s="1904"/>
      <c r="BA145" s="1904"/>
      <c r="BB145" s="1897">
        <f t="shared" si="72"/>
        <v>0</v>
      </c>
      <c r="BC145" s="1897">
        <f t="shared" si="57"/>
        <v>0</v>
      </c>
      <c r="BD145" s="1898" t="e">
        <f>HLOOKUP($BD$63,anticipaplus,81,0)</f>
        <v>#N/A</v>
      </c>
      <c r="BE145" s="1899"/>
      <c r="BF145" s="1899"/>
      <c r="BG145" s="1360">
        <f t="shared" si="73"/>
        <v>0</v>
      </c>
      <c r="BH145" s="1361">
        <f t="shared" si="81"/>
        <v>80</v>
      </c>
      <c r="BI145" s="1362">
        <f t="shared" si="74"/>
        <v>0</v>
      </c>
      <c r="BJ145" s="1362">
        <f t="shared" si="58"/>
        <v>0</v>
      </c>
      <c r="BK145" s="1362">
        <f t="shared" si="80"/>
        <v>0</v>
      </c>
      <c r="BL145" s="1363">
        <f t="shared" si="59"/>
        <v>1000000</v>
      </c>
      <c r="BM145" s="1899"/>
      <c r="BN145" s="1361">
        <f t="shared" si="82"/>
        <v>80</v>
      </c>
      <c r="BO145" s="1362">
        <f t="shared" si="60"/>
        <v>0</v>
      </c>
      <c r="BP145" s="1362">
        <f t="shared" si="61"/>
        <v>8543.4723045346618</v>
      </c>
      <c r="BQ145" s="1362">
        <f t="shared" si="83"/>
        <v>8543.4723045346618</v>
      </c>
      <c r="BR145" s="1363">
        <f t="shared" si="62"/>
        <v>316522.21563722938</v>
      </c>
      <c r="BT145" s="1414"/>
      <c r="BX145" s="1364"/>
      <c r="BY145" s="1364"/>
      <c r="BZ145" s="1364"/>
      <c r="CA145" s="1364"/>
      <c r="CB145" s="1364"/>
      <c r="CC145" s="1365"/>
      <c r="CD145" s="1365"/>
      <c r="CE145" s="1365"/>
      <c r="CF145" s="1365"/>
      <c r="CG145" s="1365"/>
      <c r="CH145" s="1366"/>
      <c r="CI145" s="1366"/>
      <c r="CJ145" s="1366"/>
      <c r="CK145" s="1366"/>
      <c r="CL145" s="1365"/>
      <c r="CM145" s="1366"/>
      <c r="CN145" s="1366"/>
      <c r="CO145" s="1366"/>
      <c r="CP145" s="1366"/>
      <c r="CQ145" s="1366"/>
      <c r="CR145" s="1366"/>
      <c r="CS145" s="1365"/>
      <c r="CT145" s="1365"/>
      <c r="CU145" s="1365"/>
      <c r="CV145" s="1365"/>
      <c r="CW145" s="1365"/>
      <c r="CX145" s="1365"/>
      <c r="CY145" s="1365"/>
      <c r="CZ145" s="1365"/>
      <c r="DA145" s="1365"/>
      <c r="DB145" s="1365"/>
      <c r="DC145" s="1365"/>
      <c r="DD145" s="1365"/>
      <c r="DE145" s="1365"/>
      <c r="DF145" s="1365"/>
      <c r="DG145" s="1365"/>
      <c r="DH145" s="1365"/>
      <c r="DI145" s="1365"/>
      <c r="DJ145" s="1365"/>
      <c r="DK145" s="1365"/>
      <c r="DL145" s="1365"/>
      <c r="DM145" s="1365"/>
      <c r="DN145" s="1365"/>
      <c r="DO145" s="1365"/>
      <c r="DP145" s="1365"/>
      <c r="DQ145" s="1365"/>
      <c r="DR145" s="1365"/>
      <c r="DS145" s="1365"/>
      <c r="DT145" s="1365"/>
    </row>
    <row r="146" spans="1:124">
      <c r="A146" s="1118">
        <f t="shared" ca="1" si="53"/>
        <v>12</v>
      </c>
      <c r="B146" s="1890">
        <f t="shared" si="63"/>
        <v>0</v>
      </c>
      <c r="C146" s="2160">
        <f t="shared" si="75"/>
        <v>0</v>
      </c>
      <c r="D146" s="2161">
        <f t="shared" si="76"/>
        <v>0</v>
      </c>
      <c r="E146" s="2162">
        <f t="shared" si="64"/>
        <v>0</v>
      </c>
      <c r="F146" s="2162">
        <f t="shared" si="47"/>
        <v>0</v>
      </c>
      <c r="G146" s="2162">
        <f t="shared" si="48"/>
        <v>0</v>
      </c>
      <c r="H146" s="2162">
        <f t="shared" si="77"/>
        <v>0</v>
      </c>
      <c r="I146" s="2162">
        <f t="shared" si="84"/>
        <v>0</v>
      </c>
      <c r="J146" s="2162">
        <f t="shared" si="54"/>
        <v>0</v>
      </c>
      <c r="K146" s="2162">
        <f t="shared" si="55"/>
        <v>0</v>
      </c>
      <c r="L146" s="2162">
        <f t="shared" si="65"/>
        <v>0</v>
      </c>
      <c r="M146" s="2162">
        <f t="shared" si="56"/>
        <v>0</v>
      </c>
      <c r="N146" s="2162">
        <f t="shared" si="66"/>
        <v>0</v>
      </c>
      <c r="O146" s="2163"/>
      <c r="AG146" s="1756"/>
      <c r="AH146" s="1756"/>
      <c r="AI146" s="1756"/>
      <c r="AJ146" s="1989">
        <f t="shared" si="67"/>
        <v>9</v>
      </c>
      <c r="AK146" s="1900">
        <f t="shared" si="68"/>
        <v>0</v>
      </c>
      <c r="AL146" s="1907"/>
      <c r="AM146" s="1907"/>
      <c r="AN146" s="1901">
        <f t="shared" si="78"/>
        <v>0</v>
      </c>
      <c r="AO146" s="1906">
        <f t="shared" ca="1" si="69"/>
        <v>0</v>
      </c>
      <c r="AU146" s="1903">
        <f t="shared" si="79"/>
        <v>0</v>
      </c>
      <c r="AV146" s="1904">
        <f t="shared" si="70"/>
        <v>0</v>
      </c>
      <c r="AW146" s="1904">
        <f t="shared" si="71"/>
        <v>0</v>
      </c>
      <c r="AX146" s="1904"/>
      <c r="AY146" s="1904"/>
      <c r="AZ146" s="1904"/>
      <c r="BA146" s="1904"/>
      <c r="BB146" s="1897">
        <f t="shared" si="72"/>
        <v>0</v>
      </c>
      <c r="BC146" s="1897">
        <f t="shared" si="57"/>
        <v>0</v>
      </c>
      <c r="BD146" s="1898" t="e">
        <f>HLOOKUP($BD$63,anticipaplus,82,0)</f>
        <v>#N/A</v>
      </c>
      <c r="BE146" s="1899"/>
      <c r="BF146" s="1899"/>
      <c r="BG146" s="1360">
        <f t="shared" si="73"/>
        <v>0</v>
      </c>
      <c r="BH146" s="1361">
        <f t="shared" si="81"/>
        <v>81</v>
      </c>
      <c r="BI146" s="1362">
        <f t="shared" si="74"/>
        <v>0</v>
      </c>
      <c r="BJ146" s="1362">
        <f t="shared" si="58"/>
        <v>0</v>
      </c>
      <c r="BK146" s="1362">
        <f t="shared" si="80"/>
        <v>0</v>
      </c>
      <c r="BL146" s="1363">
        <f t="shared" si="59"/>
        <v>1000000</v>
      </c>
      <c r="BM146" s="1899"/>
      <c r="BN146" s="1361">
        <f t="shared" si="82"/>
        <v>81</v>
      </c>
      <c r="BO146" s="1362">
        <f t="shared" si="60"/>
        <v>0</v>
      </c>
      <c r="BP146" s="1362">
        <f t="shared" si="61"/>
        <v>8543.4723045346618</v>
      </c>
      <c r="BQ146" s="1362">
        <f t="shared" si="83"/>
        <v>8543.4723045346618</v>
      </c>
      <c r="BR146" s="1363">
        <f t="shared" si="62"/>
        <v>307978.74333269475</v>
      </c>
      <c r="BT146" s="1414"/>
      <c r="BX146" s="1364"/>
      <c r="BY146" s="1364"/>
      <c r="BZ146" s="1364"/>
      <c r="CA146" s="1364"/>
      <c r="CB146" s="1364"/>
      <c r="CC146" s="1365"/>
      <c r="CD146" s="1365"/>
      <c r="CE146" s="1365"/>
      <c r="CF146" s="1365"/>
      <c r="CG146" s="1365"/>
      <c r="CH146" s="1366"/>
      <c r="CI146" s="1366"/>
      <c r="CJ146" s="1366"/>
      <c r="CK146" s="1366"/>
      <c r="CL146" s="1365"/>
      <c r="CM146" s="1366"/>
      <c r="CN146" s="1366"/>
      <c r="CO146" s="1366"/>
      <c r="CP146" s="1366"/>
      <c r="CQ146" s="1366"/>
      <c r="CR146" s="1366"/>
      <c r="CS146" s="1365"/>
      <c r="CT146" s="1365"/>
      <c r="CU146" s="1365"/>
      <c r="CV146" s="1365"/>
      <c r="CW146" s="1365"/>
      <c r="CX146" s="1365"/>
      <c r="CY146" s="1365"/>
      <c r="CZ146" s="1365"/>
      <c r="DA146" s="1365"/>
      <c r="DB146" s="1365"/>
      <c r="DC146" s="1365"/>
      <c r="DD146" s="1365"/>
      <c r="DE146" s="1365"/>
      <c r="DF146" s="1365"/>
      <c r="DG146" s="1365"/>
      <c r="DH146" s="1365"/>
      <c r="DI146" s="1365"/>
      <c r="DJ146" s="1365"/>
      <c r="DK146" s="1365"/>
      <c r="DL146" s="1365"/>
      <c r="DM146" s="1365"/>
      <c r="DN146" s="1365"/>
      <c r="DO146" s="1365"/>
      <c r="DP146" s="1365"/>
      <c r="DQ146" s="1365"/>
      <c r="DR146" s="1365"/>
      <c r="DS146" s="1365"/>
      <c r="DT146" s="1365"/>
    </row>
    <row r="147" spans="1:124">
      <c r="A147" s="1118">
        <f t="shared" ca="1" si="53"/>
        <v>1</v>
      </c>
      <c r="B147" s="1890">
        <f t="shared" si="63"/>
        <v>0</v>
      </c>
      <c r="C147" s="2160">
        <f t="shared" si="75"/>
        <v>0</v>
      </c>
      <c r="D147" s="2161">
        <f t="shared" si="76"/>
        <v>0</v>
      </c>
      <c r="E147" s="2162">
        <f t="shared" si="64"/>
        <v>0</v>
      </c>
      <c r="F147" s="2162">
        <f t="shared" si="47"/>
        <v>0</v>
      </c>
      <c r="G147" s="2162">
        <f t="shared" si="48"/>
        <v>0</v>
      </c>
      <c r="H147" s="2162">
        <f t="shared" si="77"/>
        <v>0</v>
      </c>
      <c r="I147" s="2162">
        <f t="shared" si="84"/>
        <v>0</v>
      </c>
      <c r="J147" s="2162">
        <f t="shared" si="54"/>
        <v>0</v>
      </c>
      <c r="K147" s="2162">
        <f t="shared" si="55"/>
        <v>0</v>
      </c>
      <c r="L147" s="2162">
        <f t="shared" si="65"/>
        <v>0</v>
      </c>
      <c r="M147" s="2162">
        <f t="shared" si="56"/>
        <v>0</v>
      </c>
      <c r="N147" s="2162">
        <f t="shared" si="66"/>
        <v>0</v>
      </c>
      <c r="O147" s="2163"/>
      <c r="AG147" s="1756"/>
      <c r="AH147" s="1756"/>
      <c r="AI147" s="1756"/>
      <c r="AJ147" s="1989">
        <f t="shared" si="67"/>
        <v>10</v>
      </c>
      <c r="AK147" s="1900">
        <f t="shared" si="68"/>
        <v>0</v>
      </c>
      <c r="AL147" s="1907"/>
      <c r="AM147" s="1907"/>
      <c r="AN147" s="1901">
        <f t="shared" si="78"/>
        <v>0</v>
      </c>
      <c r="AO147" s="1906">
        <f t="shared" ca="1" si="69"/>
        <v>0</v>
      </c>
      <c r="AU147" s="1903">
        <f t="shared" si="79"/>
        <v>0</v>
      </c>
      <c r="AV147" s="1904">
        <f t="shared" si="70"/>
        <v>0</v>
      </c>
      <c r="AW147" s="1904">
        <f t="shared" si="71"/>
        <v>0</v>
      </c>
      <c r="AX147" s="1904"/>
      <c r="AY147" s="1904"/>
      <c r="AZ147" s="1904"/>
      <c r="BA147" s="1904"/>
      <c r="BB147" s="1897">
        <f t="shared" si="72"/>
        <v>0</v>
      </c>
      <c r="BC147" s="1897">
        <f t="shared" si="57"/>
        <v>0</v>
      </c>
      <c r="BD147" s="1898" t="e">
        <f>HLOOKUP($BD$63,anticipaplus,83,0)</f>
        <v>#N/A</v>
      </c>
      <c r="BE147" s="1899"/>
      <c r="BF147" s="1899"/>
      <c r="BG147" s="1360">
        <f t="shared" si="73"/>
        <v>0</v>
      </c>
      <c r="BH147" s="1361">
        <f t="shared" si="81"/>
        <v>82</v>
      </c>
      <c r="BI147" s="1362">
        <f t="shared" si="74"/>
        <v>0</v>
      </c>
      <c r="BJ147" s="1362">
        <f t="shared" si="58"/>
        <v>0</v>
      </c>
      <c r="BK147" s="1362">
        <f t="shared" si="80"/>
        <v>0</v>
      </c>
      <c r="BL147" s="1363">
        <f t="shared" si="59"/>
        <v>1000000</v>
      </c>
      <c r="BM147" s="1899"/>
      <c r="BN147" s="1361">
        <f t="shared" si="82"/>
        <v>82</v>
      </c>
      <c r="BO147" s="1362">
        <f t="shared" si="60"/>
        <v>0</v>
      </c>
      <c r="BP147" s="1362">
        <f t="shared" si="61"/>
        <v>8543.4723045346618</v>
      </c>
      <c r="BQ147" s="1362">
        <f t="shared" si="83"/>
        <v>8543.4723045346618</v>
      </c>
      <c r="BR147" s="1363">
        <f t="shared" si="62"/>
        <v>299435.27102816012</v>
      </c>
      <c r="BT147" s="1414"/>
      <c r="BX147" s="1364"/>
      <c r="BY147" s="1364"/>
      <c r="BZ147" s="1364"/>
      <c r="CA147" s="1364"/>
      <c r="CB147" s="1364"/>
      <c r="CC147" s="1365"/>
      <c r="CD147" s="1365"/>
      <c r="CE147" s="1365"/>
      <c r="CF147" s="1365"/>
      <c r="CG147" s="1365"/>
      <c r="CH147" s="1366"/>
      <c r="CI147" s="1366"/>
      <c r="CJ147" s="1366"/>
      <c r="CK147" s="1366"/>
      <c r="CL147" s="1365"/>
      <c r="CM147" s="1366"/>
      <c r="CN147" s="1366"/>
      <c r="CO147" s="1366"/>
      <c r="CP147" s="1366"/>
      <c r="CQ147" s="1366"/>
      <c r="CR147" s="1366"/>
      <c r="CS147" s="1365"/>
      <c r="CT147" s="1365"/>
      <c r="CU147" s="1365"/>
      <c r="CV147" s="1365"/>
      <c r="CW147" s="1365"/>
      <c r="CX147" s="1365"/>
      <c r="CY147" s="1365"/>
      <c r="CZ147" s="1365"/>
      <c r="DA147" s="1365"/>
      <c r="DB147" s="1365"/>
      <c r="DC147" s="1365"/>
      <c r="DD147" s="1365"/>
      <c r="DE147" s="1365"/>
      <c r="DF147" s="1365"/>
      <c r="DG147" s="1365"/>
      <c r="DH147" s="1365"/>
      <c r="DI147" s="1365"/>
      <c r="DJ147" s="1365"/>
      <c r="DK147" s="1365"/>
      <c r="DL147" s="1365"/>
      <c r="DM147" s="1365"/>
      <c r="DN147" s="1365"/>
      <c r="DO147" s="1365"/>
      <c r="DP147" s="1365"/>
      <c r="DQ147" s="1365"/>
      <c r="DR147" s="1365"/>
      <c r="DS147" s="1365"/>
      <c r="DT147" s="1365"/>
    </row>
    <row r="148" spans="1:124">
      <c r="A148" s="1118">
        <f t="shared" ca="1" si="53"/>
        <v>2</v>
      </c>
      <c r="B148" s="1890">
        <f t="shared" si="63"/>
        <v>0</v>
      </c>
      <c r="C148" s="2160">
        <f t="shared" si="75"/>
        <v>0</v>
      </c>
      <c r="D148" s="2161">
        <f t="shared" si="76"/>
        <v>0</v>
      </c>
      <c r="E148" s="2162">
        <f t="shared" si="64"/>
        <v>0</v>
      </c>
      <c r="F148" s="2162">
        <f t="shared" ref="F148:F211" si="85">IF(N147&lt;0.01,0,MIN(N147,G148-E148))</f>
        <v>0</v>
      </c>
      <c r="G148" s="2162">
        <f t="shared" si="48"/>
        <v>0</v>
      </c>
      <c r="H148" s="2162">
        <f t="shared" si="77"/>
        <v>0</v>
      </c>
      <c r="I148" s="2162">
        <f t="shared" si="84"/>
        <v>0</v>
      </c>
      <c r="J148" s="2162">
        <f t="shared" si="54"/>
        <v>0</v>
      </c>
      <c r="K148" s="2162">
        <f t="shared" si="55"/>
        <v>0</v>
      </c>
      <c r="L148" s="2162">
        <f t="shared" si="65"/>
        <v>0</v>
      </c>
      <c r="M148" s="2162">
        <f t="shared" si="56"/>
        <v>0</v>
      </c>
      <c r="N148" s="2162">
        <f t="shared" si="66"/>
        <v>0</v>
      </c>
      <c r="O148" s="2163"/>
      <c r="AG148" s="1756"/>
      <c r="AH148" s="1756"/>
      <c r="AI148" s="1756"/>
      <c r="AJ148" s="1989">
        <f t="shared" si="67"/>
        <v>11</v>
      </c>
      <c r="AK148" s="1900">
        <f t="shared" si="68"/>
        <v>0</v>
      </c>
      <c r="AL148" s="1907"/>
      <c r="AM148" s="1907"/>
      <c r="AN148" s="1901">
        <f t="shared" si="78"/>
        <v>0</v>
      </c>
      <c r="AO148" s="1906">
        <f t="shared" ca="1" si="69"/>
        <v>0</v>
      </c>
      <c r="AU148" s="1903">
        <f t="shared" si="79"/>
        <v>0</v>
      </c>
      <c r="AV148" s="1904">
        <f t="shared" si="70"/>
        <v>0</v>
      </c>
      <c r="AW148" s="1904">
        <f t="shared" si="71"/>
        <v>0</v>
      </c>
      <c r="AX148" s="1904"/>
      <c r="AY148" s="1904"/>
      <c r="AZ148" s="1904"/>
      <c r="BA148" s="1904"/>
      <c r="BB148" s="1897">
        <f t="shared" si="72"/>
        <v>0</v>
      </c>
      <c r="BC148" s="1897">
        <f t="shared" si="57"/>
        <v>0</v>
      </c>
      <c r="BD148" s="1898" t="e">
        <f>HLOOKUP($BD$63,anticipaplus,84,0)</f>
        <v>#N/A</v>
      </c>
      <c r="BE148" s="1899"/>
      <c r="BF148" s="1899"/>
      <c r="BG148" s="1360">
        <f t="shared" si="73"/>
        <v>0</v>
      </c>
      <c r="BH148" s="1361">
        <f t="shared" si="81"/>
        <v>83</v>
      </c>
      <c r="BI148" s="1362">
        <f t="shared" si="74"/>
        <v>0</v>
      </c>
      <c r="BJ148" s="1362">
        <f t="shared" si="58"/>
        <v>0</v>
      </c>
      <c r="BK148" s="1362">
        <f t="shared" si="80"/>
        <v>0</v>
      </c>
      <c r="BL148" s="1363">
        <f t="shared" si="59"/>
        <v>1000000</v>
      </c>
      <c r="BM148" s="1899"/>
      <c r="BN148" s="1361">
        <f t="shared" si="82"/>
        <v>83</v>
      </c>
      <c r="BO148" s="1362">
        <f t="shared" si="60"/>
        <v>0</v>
      </c>
      <c r="BP148" s="1362">
        <f t="shared" si="61"/>
        <v>8543.4723045346618</v>
      </c>
      <c r="BQ148" s="1362">
        <f t="shared" si="83"/>
        <v>8543.4723045346618</v>
      </c>
      <c r="BR148" s="1363">
        <f t="shared" si="62"/>
        <v>290891.79872362548</v>
      </c>
      <c r="BT148" s="1414"/>
      <c r="BX148" s="1364"/>
      <c r="BY148" s="1364"/>
      <c r="BZ148" s="1364"/>
      <c r="CA148" s="1364"/>
      <c r="CB148" s="1364"/>
      <c r="CC148" s="1365"/>
      <c r="CD148" s="1365"/>
      <c r="CE148" s="1365"/>
      <c r="CF148" s="1365"/>
      <c r="CG148" s="1365"/>
      <c r="CH148" s="1366"/>
      <c r="CI148" s="1366"/>
      <c r="CJ148" s="1366"/>
      <c r="CK148" s="1366"/>
      <c r="CL148" s="1365"/>
      <c r="CM148" s="1366"/>
      <c r="CN148" s="1366"/>
      <c r="CO148" s="1366"/>
      <c r="CP148" s="1366"/>
      <c r="CQ148" s="1366"/>
      <c r="CR148" s="1366"/>
      <c r="CS148" s="1365"/>
      <c r="CT148" s="1365"/>
      <c r="CU148" s="1365"/>
      <c r="CV148" s="1365"/>
      <c r="CW148" s="1365"/>
      <c r="CX148" s="1365"/>
      <c r="CY148" s="1365"/>
      <c r="CZ148" s="1365"/>
      <c r="DA148" s="1365"/>
      <c r="DB148" s="1365"/>
      <c r="DC148" s="1365"/>
      <c r="DD148" s="1365"/>
      <c r="DE148" s="1365"/>
      <c r="DF148" s="1365"/>
      <c r="DG148" s="1365"/>
      <c r="DH148" s="1365"/>
      <c r="DI148" s="1365"/>
      <c r="DJ148" s="1365"/>
      <c r="DK148" s="1365"/>
      <c r="DL148" s="1365"/>
      <c r="DM148" s="1365"/>
      <c r="DN148" s="1365"/>
      <c r="DO148" s="1365"/>
      <c r="DP148" s="1365"/>
      <c r="DQ148" s="1365"/>
      <c r="DR148" s="1365"/>
      <c r="DS148" s="1365"/>
      <c r="DT148" s="1365"/>
    </row>
    <row r="149" spans="1:124">
      <c r="A149" s="1118">
        <f t="shared" ca="1" si="53"/>
        <v>3</v>
      </c>
      <c r="B149" s="1890">
        <f t="shared" si="63"/>
        <v>0</v>
      </c>
      <c r="C149" s="2160">
        <f t="shared" si="75"/>
        <v>0</v>
      </c>
      <c r="D149" s="2161">
        <f t="shared" si="76"/>
        <v>0</v>
      </c>
      <c r="E149" s="2162">
        <f t="shared" si="64"/>
        <v>0</v>
      </c>
      <c r="F149" s="2162">
        <f t="shared" si="85"/>
        <v>0</v>
      </c>
      <c r="G149" s="2162">
        <f t="shared" ref="G149:G212" si="86">IF(N148&lt;0.01,0,MIN(N148+E149,IF(AU149&gt;0,AU149,G148*(1+AK149))))</f>
        <v>0</v>
      </c>
      <c r="H149" s="2162">
        <f t="shared" si="77"/>
        <v>0</v>
      </c>
      <c r="I149" s="2162">
        <f t="shared" si="84"/>
        <v>0</v>
      </c>
      <c r="J149" s="2162">
        <f t="shared" si="54"/>
        <v>0</v>
      </c>
      <c r="K149" s="2162">
        <f t="shared" si="55"/>
        <v>0</v>
      </c>
      <c r="L149" s="2162">
        <f t="shared" si="65"/>
        <v>0</v>
      </c>
      <c r="M149" s="2162">
        <f t="shared" si="56"/>
        <v>0</v>
      </c>
      <c r="N149" s="2162">
        <f t="shared" si="66"/>
        <v>0</v>
      </c>
      <c r="O149" s="2163"/>
      <c r="AG149" s="1756"/>
      <c r="AH149" s="1756"/>
      <c r="AI149" s="1756"/>
      <c r="AJ149" s="1989">
        <f t="shared" si="67"/>
        <v>12</v>
      </c>
      <c r="AK149" s="1900">
        <f t="shared" si="68"/>
        <v>0</v>
      </c>
      <c r="AL149" s="1907"/>
      <c r="AM149" s="1907"/>
      <c r="AN149" s="1901">
        <f t="shared" si="78"/>
        <v>0</v>
      </c>
      <c r="AO149" s="1906">
        <f t="shared" ca="1" si="69"/>
        <v>0</v>
      </c>
      <c r="AU149" s="1903">
        <f t="shared" si="79"/>
        <v>0</v>
      </c>
      <c r="AV149" s="1904">
        <f t="shared" si="70"/>
        <v>0</v>
      </c>
      <c r="AW149" s="1904">
        <f t="shared" si="71"/>
        <v>0</v>
      </c>
      <c r="AX149" s="1904"/>
      <c r="AY149" s="1904"/>
      <c r="AZ149" s="1904"/>
      <c r="BA149" s="1904"/>
      <c r="BB149" s="1897">
        <f t="shared" si="72"/>
        <v>0</v>
      </c>
      <c r="BC149" s="1897">
        <f t="shared" si="57"/>
        <v>0</v>
      </c>
      <c r="BD149" s="1898" t="e">
        <f>HLOOKUP($BD$63,anticipaplus,85,0)</f>
        <v>#N/A</v>
      </c>
      <c r="BE149" s="1899"/>
      <c r="BF149" s="1899"/>
      <c r="BG149" s="1360">
        <f t="shared" si="73"/>
        <v>0</v>
      </c>
      <c r="BH149" s="1361">
        <f t="shared" si="81"/>
        <v>84</v>
      </c>
      <c r="BI149" s="1362">
        <f t="shared" si="74"/>
        <v>0</v>
      </c>
      <c r="BJ149" s="1362">
        <f t="shared" si="58"/>
        <v>0</v>
      </c>
      <c r="BK149" s="1362">
        <f t="shared" si="80"/>
        <v>0</v>
      </c>
      <c r="BL149" s="1363">
        <f t="shared" si="59"/>
        <v>1000000</v>
      </c>
      <c r="BM149" s="1899"/>
      <c r="BN149" s="1361">
        <f t="shared" si="82"/>
        <v>84</v>
      </c>
      <c r="BO149" s="1362">
        <f t="shared" si="60"/>
        <v>0</v>
      </c>
      <c r="BP149" s="1362">
        <f t="shared" si="61"/>
        <v>8543.4723045346618</v>
      </c>
      <c r="BQ149" s="1362">
        <f t="shared" si="83"/>
        <v>8543.4723045346618</v>
      </c>
      <c r="BR149" s="1363">
        <f t="shared" si="62"/>
        <v>282348.32641909085</v>
      </c>
      <c r="BT149" s="1414"/>
      <c r="BX149" s="1364"/>
      <c r="BY149" s="1364"/>
      <c r="BZ149" s="1364"/>
      <c r="CA149" s="1364"/>
      <c r="CB149" s="1364"/>
      <c r="CC149" s="1365"/>
      <c r="CD149" s="1365"/>
      <c r="CE149" s="1365"/>
      <c r="CF149" s="1365"/>
      <c r="CG149" s="1365"/>
      <c r="CH149" s="1366"/>
      <c r="CI149" s="1366"/>
      <c r="CJ149" s="1366"/>
      <c r="CK149" s="1366"/>
      <c r="CL149" s="1365"/>
      <c r="CM149" s="1366"/>
      <c r="CN149" s="1366"/>
      <c r="CO149" s="1366"/>
      <c r="CP149" s="1366"/>
      <c r="CQ149" s="1366"/>
      <c r="CR149" s="1366"/>
      <c r="CS149" s="1365"/>
      <c r="CT149" s="1365"/>
      <c r="CU149" s="1365"/>
      <c r="CV149" s="1365"/>
      <c r="CW149" s="1365"/>
      <c r="CX149" s="1365"/>
      <c r="CY149" s="1365"/>
      <c r="CZ149" s="1365"/>
      <c r="DA149" s="1365"/>
      <c r="DB149" s="1365"/>
      <c r="DC149" s="1365"/>
      <c r="DD149" s="1365"/>
      <c r="DE149" s="1365"/>
      <c r="DF149" s="1365"/>
      <c r="DG149" s="1365"/>
      <c r="DH149" s="1365"/>
      <c r="DI149" s="1365"/>
      <c r="DJ149" s="1365"/>
      <c r="DK149" s="1365"/>
      <c r="DL149" s="1365"/>
      <c r="DM149" s="1365"/>
      <c r="DN149" s="1365"/>
      <c r="DO149" s="1365"/>
      <c r="DP149" s="1365"/>
      <c r="DQ149" s="1365"/>
      <c r="DR149" s="1365"/>
      <c r="DS149" s="1365"/>
      <c r="DT149" s="1365"/>
    </row>
    <row r="150" spans="1:124">
      <c r="A150" s="1118">
        <f t="shared" ca="1" si="53"/>
        <v>4</v>
      </c>
      <c r="B150" s="1890">
        <f t="shared" si="63"/>
        <v>0</v>
      </c>
      <c r="C150" s="2160">
        <f t="shared" si="75"/>
        <v>0</v>
      </c>
      <c r="D150" s="2161">
        <f t="shared" si="76"/>
        <v>0</v>
      </c>
      <c r="E150" s="2162">
        <f t="shared" si="64"/>
        <v>0</v>
      </c>
      <c r="F150" s="2162">
        <f t="shared" si="85"/>
        <v>0</v>
      </c>
      <c r="G150" s="2162">
        <f t="shared" si="86"/>
        <v>0</v>
      </c>
      <c r="H150" s="2162">
        <f t="shared" si="77"/>
        <v>0</v>
      </c>
      <c r="I150" s="2162">
        <f t="shared" si="84"/>
        <v>0</v>
      </c>
      <c r="J150" s="2162">
        <f t="shared" si="54"/>
        <v>0</v>
      </c>
      <c r="K150" s="2162">
        <f t="shared" si="55"/>
        <v>0</v>
      </c>
      <c r="L150" s="2162">
        <f t="shared" si="65"/>
        <v>0</v>
      </c>
      <c r="M150" s="2162">
        <f t="shared" si="56"/>
        <v>0</v>
      </c>
      <c r="N150" s="2162">
        <f t="shared" si="66"/>
        <v>0</v>
      </c>
      <c r="O150" s="2163"/>
      <c r="AG150" s="1756"/>
      <c r="AH150" s="1756"/>
      <c r="AI150" s="1756"/>
      <c r="AJ150" s="1989">
        <f t="shared" si="67"/>
        <v>1</v>
      </c>
      <c r="AK150" s="1900">
        <f t="shared" si="68"/>
        <v>0</v>
      </c>
      <c r="AL150" s="1907"/>
      <c r="AM150" s="1907"/>
      <c r="AN150" s="1901">
        <f t="shared" si="78"/>
        <v>0</v>
      </c>
      <c r="AO150" s="1906">
        <f t="shared" ca="1" si="69"/>
        <v>0</v>
      </c>
      <c r="AU150" s="1903">
        <f t="shared" si="79"/>
        <v>0</v>
      </c>
      <c r="AV150" s="1904">
        <f t="shared" si="70"/>
        <v>0</v>
      </c>
      <c r="AW150" s="1904">
        <f t="shared" si="71"/>
        <v>0</v>
      </c>
      <c r="AX150" s="1904"/>
      <c r="AY150" s="1904"/>
      <c r="AZ150" s="1904"/>
      <c r="BA150" s="1904"/>
      <c r="BB150" s="1897">
        <f t="shared" si="72"/>
        <v>0</v>
      </c>
      <c r="BC150" s="1897">
        <f t="shared" si="57"/>
        <v>0</v>
      </c>
      <c r="BD150" s="1898" t="e">
        <f>HLOOKUP($BD$63,anticipaplus,86,0)</f>
        <v>#N/A</v>
      </c>
      <c r="BE150" s="1899"/>
      <c r="BF150" s="1899"/>
      <c r="BG150" s="1360">
        <f t="shared" si="73"/>
        <v>0</v>
      </c>
      <c r="BH150" s="1377">
        <f t="shared" si="81"/>
        <v>85</v>
      </c>
      <c r="BI150" s="1378">
        <f t="shared" si="74"/>
        <v>0</v>
      </c>
      <c r="BJ150" s="1378">
        <f t="shared" si="58"/>
        <v>0</v>
      </c>
      <c r="BK150" s="1378">
        <f>MIN(BL149+BI150,BK149*(1+$BI$61))</f>
        <v>0</v>
      </c>
      <c r="BL150" s="1363">
        <f t="shared" si="59"/>
        <v>1000000</v>
      </c>
      <c r="BM150" s="1899"/>
      <c r="BN150" s="1379">
        <f t="shared" si="82"/>
        <v>85</v>
      </c>
      <c r="BO150" s="1380">
        <f t="shared" si="60"/>
        <v>0</v>
      </c>
      <c r="BP150" s="1380">
        <f t="shared" si="61"/>
        <v>8543.4723045346618</v>
      </c>
      <c r="BQ150" s="1380">
        <f>MIN(BR149+BO150,BQ149*(1+$BO$61))</f>
        <v>8543.4723045346618</v>
      </c>
      <c r="BR150" s="1363">
        <f t="shared" si="62"/>
        <v>273804.85411455622</v>
      </c>
      <c r="BT150" s="1414"/>
      <c r="BX150" s="1364"/>
      <c r="BY150" s="1364"/>
      <c r="BZ150" s="1364"/>
      <c r="CA150" s="1364"/>
      <c r="CB150" s="1364"/>
      <c r="CC150" s="1365"/>
      <c r="CD150" s="1365"/>
      <c r="CE150" s="1365"/>
      <c r="CF150" s="1365"/>
      <c r="CG150" s="1365"/>
      <c r="CH150" s="1366"/>
      <c r="CI150" s="1366"/>
      <c r="CJ150" s="1366"/>
      <c r="CK150" s="1366"/>
      <c r="CL150" s="1365"/>
      <c r="CM150" s="1366"/>
      <c r="CN150" s="1366"/>
      <c r="CO150" s="1366"/>
      <c r="CP150" s="1366"/>
      <c r="CQ150" s="1366"/>
      <c r="CR150" s="1366"/>
      <c r="CS150" s="1365"/>
      <c r="CT150" s="1365"/>
      <c r="CU150" s="1365"/>
      <c r="CV150" s="1365"/>
      <c r="CW150" s="1365"/>
      <c r="CX150" s="1365"/>
      <c r="CY150" s="1365"/>
      <c r="CZ150" s="1365"/>
      <c r="DA150" s="1365"/>
      <c r="DB150" s="1365"/>
      <c r="DC150" s="1365"/>
      <c r="DD150" s="1365"/>
      <c r="DE150" s="1365"/>
      <c r="DF150" s="1365"/>
      <c r="DG150" s="1365"/>
      <c r="DH150" s="1365"/>
      <c r="DI150" s="1365"/>
      <c r="DJ150" s="1365"/>
      <c r="DK150" s="1365"/>
      <c r="DL150" s="1365"/>
      <c r="DM150" s="1365"/>
      <c r="DN150" s="1365"/>
      <c r="DO150" s="1365"/>
      <c r="DP150" s="1365"/>
      <c r="DQ150" s="1365"/>
      <c r="DR150" s="1365"/>
      <c r="DS150" s="1365"/>
      <c r="DT150" s="1365"/>
    </row>
    <row r="151" spans="1:124">
      <c r="A151" s="1118">
        <f t="shared" ca="1" si="53"/>
        <v>5</v>
      </c>
      <c r="B151" s="1890">
        <f t="shared" si="63"/>
        <v>0</v>
      </c>
      <c r="C151" s="2160">
        <f t="shared" si="75"/>
        <v>0</v>
      </c>
      <c r="D151" s="2161">
        <f t="shared" si="76"/>
        <v>0</v>
      </c>
      <c r="E151" s="2162">
        <f t="shared" si="64"/>
        <v>0</v>
      </c>
      <c r="F151" s="2162">
        <f t="shared" si="85"/>
        <v>0</v>
      </c>
      <c r="G151" s="2162">
        <f t="shared" si="86"/>
        <v>0</v>
      </c>
      <c r="H151" s="2162">
        <f t="shared" si="77"/>
        <v>0</v>
      </c>
      <c r="I151" s="2162">
        <f t="shared" si="84"/>
        <v>0</v>
      </c>
      <c r="J151" s="2162">
        <f t="shared" si="54"/>
        <v>0</v>
      </c>
      <c r="K151" s="2162">
        <f t="shared" si="55"/>
        <v>0</v>
      </c>
      <c r="L151" s="2162">
        <f t="shared" si="65"/>
        <v>0</v>
      </c>
      <c r="M151" s="2162">
        <f t="shared" si="56"/>
        <v>0</v>
      </c>
      <c r="N151" s="2162">
        <f t="shared" si="66"/>
        <v>0</v>
      </c>
      <c r="O151" s="2163"/>
      <c r="AG151" s="1756"/>
      <c r="AH151" s="1756"/>
      <c r="AI151" s="1756"/>
      <c r="AJ151" s="1989">
        <f t="shared" si="67"/>
        <v>2</v>
      </c>
      <c r="AK151" s="1900">
        <f t="shared" si="68"/>
        <v>0</v>
      </c>
      <c r="AL151" s="1907"/>
      <c r="AM151" s="1907"/>
      <c r="AN151" s="1901">
        <f t="shared" si="78"/>
        <v>0</v>
      </c>
      <c r="AO151" s="1906">
        <f t="shared" ca="1" si="69"/>
        <v>0</v>
      </c>
      <c r="AU151" s="1903">
        <f t="shared" si="79"/>
        <v>0</v>
      </c>
      <c r="AV151" s="1904">
        <f t="shared" si="70"/>
        <v>0</v>
      </c>
      <c r="AW151" s="1904">
        <f t="shared" si="71"/>
        <v>0</v>
      </c>
      <c r="AX151" s="1904"/>
      <c r="AY151" s="1904"/>
      <c r="AZ151" s="1904"/>
      <c r="BA151" s="1904"/>
      <c r="BB151" s="1897">
        <f t="shared" si="72"/>
        <v>0</v>
      </c>
      <c r="BC151" s="1897">
        <f t="shared" si="57"/>
        <v>0</v>
      </c>
      <c r="BD151" s="1898" t="e">
        <f>HLOOKUP($BD$63,anticipaplus,87,0)</f>
        <v>#N/A</v>
      </c>
      <c r="BE151" s="1899"/>
      <c r="BF151" s="1899"/>
      <c r="BG151" s="1360">
        <f t="shared" si="73"/>
        <v>0</v>
      </c>
      <c r="BH151" s="1361">
        <f t="shared" si="81"/>
        <v>86</v>
      </c>
      <c r="BI151" s="1362">
        <f t="shared" si="74"/>
        <v>0</v>
      </c>
      <c r="BJ151" s="1362">
        <f t="shared" si="58"/>
        <v>0</v>
      </c>
      <c r="BK151" s="1362">
        <f t="shared" si="80"/>
        <v>0</v>
      </c>
      <c r="BL151" s="1363">
        <f t="shared" si="59"/>
        <v>1000000</v>
      </c>
      <c r="BM151" s="1899"/>
      <c r="BN151" s="1361">
        <f t="shared" si="82"/>
        <v>86</v>
      </c>
      <c r="BO151" s="1362">
        <f t="shared" si="60"/>
        <v>0</v>
      </c>
      <c r="BP151" s="1362">
        <f t="shared" si="61"/>
        <v>8543.4723045346618</v>
      </c>
      <c r="BQ151" s="1362">
        <f t="shared" ref="BQ151:BQ161" si="87">MIN(BR150+BO151,BQ150)</f>
        <v>8543.4723045346618</v>
      </c>
      <c r="BR151" s="1363">
        <f t="shared" si="62"/>
        <v>265261.38181002159</v>
      </c>
      <c r="BT151" s="1414"/>
      <c r="BX151" s="1364"/>
      <c r="BY151" s="1364"/>
      <c r="BZ151" s="1364"/>
      <c r="CA151" s="1364"/>
      <c r="CB151" s="1364"/>
      <c r="CC151" s="1365"/>
      <c r="CD151" s="1365"/>
      <c r="CE151" s="1365"/>
      <c r="CF151" s="1365"/>
      <c r="CG151" s="1365"/>
      <c r="CH151" s="1366"/>
      <c r="CI151" s="1366"/>
      <c r="CJ151" s="1366"/>
      <c r="CK151" s="1366"/>
      <c r="CL151" s="1365"/>
      <c r="CM151" s="1366"/>
      <c r="CN151" s="1366"/>
      <c r="CO151" s="1366"/>
      <c r="CP151" s="1366"/>
      <c r="CQ151" s="1366"/>
      <c r="CR151" s="1366"/>
      <c r="CS151" s="1365"/>
      <c r="CT151" s="1365"/>
      <c r="CU151" s="1365"/>
      <c r="CV151" s="1365"/>
      <c r="CW151" s="1365"/>
      <c r="CX151" s="1365"/>
      <c r="CY151" s="1365"/>
      <c r="CZ151" s="1365"/>
      <c r="DA151" s="1365"/>
      <c r="DB151" s="1365"/>
      <c r="DC151" s="1365"/>
      <c r="DD151" s="1365"/>
      <c r="DE151" s="1365"/>
      <c r="DF151" s="1365"/>
      <c r="DG151" s="1365"/>
      <c r="DH151" s="1365"/>
      <c r="DI151" s="1365"/>
      <c r="DJ151" s="1365"/>
      <c r="DK151" s="1365"/>
      <c r="DL151" s="1365"/>
      <c r="DM151" s="1365"/>
      <c r="DN151" s="1365"/>
      <c r="DO151" s="1365"/>
      <c r="DP151" s="1365"/>
      <c r="DQ151" s="1365"/>
      <c r="DR151" s="1365"/>
      <c r="DS151" s="1365"/>
      <c r="DT151" s="1365"/>
    </row>
    <row r="152" spans="1:124">
      <c r="A152" s="1118">
        <f t="shared" ca="1" si="53"/>
        <v>6</v>
      </c>
      <c r="B152" s="1890">
        <f t="shared" si="63"/>
        <v>0</v>
      </c>
      <c r="C152" s="2160">
        <f t="shared" si="75"/>
        <v>0</v>
      </c>
      <c r="D152" s="2161">
        <f t="shared" si="76"/>
        <v>0</v>
      </c>
      <c r="E152" s="2162">
        <f t="shared" si="64"/>
        <v>0</v>
      </c>
      <c r="F152" s="2162">
        <f t="shared" si="85"/>
        <v>0</v>
      </c>
      <c r="G152" s="2162">
        <f t="shared" si="86"/>
        <v>0</v>
      </c>
      <c r="H152" s="2162">
        <f t="shared" si="77"/>
        <v>0</v>
      </c>
      <c r="I152" s="2162">
        <f t="shared" si="84"/>
        <v>0</v>
      </c>
      <c r="J152" s="2162">
        <f t="shared" si="54"/>
        <v>0</v>
      </c>
      <c r="K152" s="2162">
        <f t="shared" si="55"/>
        <v>0</v>
      </c>
      <c r="L152" s="2162">
        <f t="shared" si="65"/>
        <v>0</v>
      </c>
      <c r="M152" s="2162">
        <f t="shared" si="56"/>
        <v>0</v>
      </c>
      <c r="N152" s="2162">
        <f t="shared" si="66"/>
        <v>0</v>
      </c>
      <c r="O152" s="2163"/>
      <c r="AG152" s="1756"/>
      <c r="AH152" s="1756"/>
      <c r="AI152" s="1756"/>
      <c r="AJ152" s="1989">
        <f t="shared" si="67"/>
        <v>3</v>
      </c>
      <c r="AK152" s="1900">
        <f t="shared" si="68"/>
        <v>0</v>
      </c>
      <c r="AL152" s="1907"/>
      <c r="AM152" s="1907"/>
      <c r="AN152" s="1901">
        <f t="shared" si="78"/>
        <v>0</v>
      </c>
      <c r="AO152" s="1906">
        <f t="shared" ca="1" si="69"/>
        <v>0</v>
      </c>
      <c r="AU152" s="1903">
        <f t="shared" si="79"/>
        <v>0</v>
      </c>
      <c r="AV152" s="1904">
        <f t="shared" si="70"/>
        <v>0</v>
      </c>
      <c r="AW152" s="1904">
        <f t="shared" si="71"/>
        <v>0</v>
      </c>
      <c r="AX152" s="1904"/>
      <c r="AY152" s="1904"/>
      <c r="AZ152" s="1904"/>
      <c r="BA152" s="1904"/>
      <c r="BB152" s="1897">
        <f t="shared" si="72"/>
        <v>0</v>
      </c>
      <c r="BC152" s="1897">
        <f t="shared" si="57"/>
        <v>0</v>
      </c>
      <c r="BD152" s="1898" t="e">
        <f>HLOOKUP($BD$63,anticipaplus,88,0)</f>
        <v>#N/A</v>
      </c>
      <c r="BE152" s="1899"/>
      <c r="BF152" s="1899"/>
      <c r="BG152" s="1360">
        <f t="shared" si="73"/>
        <v>0</v>
      </c>
      <c r="BH152" s="1361">
        <f t="shared" si="81"/>
        <v>87</v>
      </c>
      <c r="BI152" s="1362">
        <f t="shared" si="74"/>
        <v>0</v>
      </c>
      <c r="BJ152" s="1362">
        <f t="shared" si="58"/>
        <v>0</v>
      </c>
      <c r="BK152" s="1362">
        <f t="shared" si="80"/>
        <v>0</v>
      </c>
      <c r="BL152" s="1363">
        <f t="shared" si="59"/>
        <v>1000000</v>
      </c>
      <c r="BM152" s="1899"/>
      <c r="BN152" s="1361">
        <f t="shared" si="82"/>
        <v>87</v>
      </c>
      <c r="BO152" s="1362">
        <f t="shared" si="60"/>
        <v>0</v>
      </c>
      <c r="BP152" s="1362">
        <f t="shared" si="61"/>
        <v>8543.4723045346618</v>
      </c>
      <c r="BQ152" s="1362">
        <f t="shared" si="87"/>
        <v>8543.4723045346618</v>
      </c>
      <c r="BR152" s="1363">
        <f t="shared" si="62"/>
        <v>256717.90950548692</v>
      </c>
      <c r="BT152" s="1414"/>
      <c r="BX152" s="1364"/>
      <c r="BY152" s="1364"/>
      <c r="BZ152" s="1364"/>
      <c r="CA152" s="1364"/>
      <c r="CB152" s="1364"/>
      <c r="CC152" s="1365"/>
      <c r="CD152" s="1365"/>
      <c r="CE152" s="1365"/>
      <c r="CF152" s="1365"/>
      <c r="CG152" s="1365"/>
      <c r="CH152" s="1366"/>
      <c r="CI152" s="1366"/>
      <c r="CJ152" s="1366"/>
      <c r="CK152" s="1366"/>
      <c r="CL152" s="1365"/>
      <c r="CM152" s="1366"/>
      <c r="CN152" s="1366"/>
      <c r="CO152" s="1366"/>
      <c r="CP152" s="1366"/>
      <c r="CQ152" s="1366"/>
      <c r="CR152" s="1366"/>
      <c r="CS152" s="1365"/>
      <c r="CT152" s="1365"/>
      <c r="CU152" s="1365"/>
      <c r="CV152" s="1365"/>
      <c r="CW152" s="1365"/>
      <c r="CX152" s="1365"/>
      <c r="CY152" s="1365"/>
      <c r="CZ152" s="1365"/>
      <c r="DA152" s="1365"/>
      <c r="DB152" s="1365"/>
      <c r="DC152" s="1365"/>
      <c r="DD152" s="1365"/>
      <c r="DE152" s="1365"/>
      <c r="DF152" s="1365"/>
      <c r="DG152" s="1365"/>
      <c r="DH152" s="1365"/>
      <c r="DI152" s="1365"/>
      <c r="DJ152" s="1365"/>
      <c r="DK152" s="1365"/>
      <c r="DL152" s="1365"/>
      <c r="DM152" s="1365"/>
      <c r="DN152" s="1365"/>
      <c r="DO152" s="1365"/>
      <c r="DP152" s="1365"/>
      <c r="DQ152" s="1365"/>
      <c r="DR152" s="1365"/>
      <c r="DS152" s="1365"/>
      <c r="DT152" s="1365"/>
    </row>
    <row r="153" spans="1:124">
      <c r="A153" s="1118">
        <f t="shared" ca="1" si="53"/>
        <v>7</v>
      </c>
      <c r="B153" s="1890">
        <f t="shared" si="63"/>
        <v>0</v>
      </c>
      <c r="C153" s="2160">
        <f t="shared" si="75"/>
        <v>0</v>
      </c>
      <c r="D153" s="2161">
        <f t="shared" si="76"/>
        <v>0</v>
      </c>
      <c r="E153" s="2162">
        <f t="shared" si="64"/>
        <v>0</v>
      </c>
      <c r="F153" s="2162">
        <f t="shared" si="85"/>
        <v>0</v>
      </c>
      <c r="G153" s="2162">
        <f t="shared" si="86"/>
        <v>0</v>
      </c>
      <c r="H153" s="2162">
        <f t="shared" si="77"/>
        <v>0</v>
      </c>
      <c r="I153" s="2162">
        <f t="shared" si="84"/>
        <v>0</v>
      </c>
      <c r="J153" s="2162">
        <f t="shared" si="54"/>
        <v>0</v>
      </c>
      <c r="K153" s="2162">
        <f t="shared" si="55"/>
        <v>0</v>
      </c>
      <c r="L153" s="2162">
        <f t="shared" si="65"/>
        <v>0</v>
      </c>
      <c r="M153" s="2162">
        <f t="shared" si="56"/>
        <v>0</v>
      </c>
      <c r="N153" s="2162">
        <f t="shared" si="66"/>
        <v>0</v>
      </c>
      <c r="O153" s="2163"/>
      <c r="AG153" s="1756"/>
      <c r="AH153" s="1756"/>
      <c r="AI153" s="1756"/>
      <c r="AJ153" s="1989">
        <f t="shared" si="67"/>
        <v>4</v>
      </c>
      <c r="AK153" s="1900">
        <f t="shared" si="68"/>
        <v>0</v>
      </c>
      <c r="AL153" s="1907"/>
      <c r="AM153" s="1907"/>
      <c r="AN153" s="1901">
        <f t="shared" si="78"/>
        <v>0</v>
      </c>
      <c r="AO153" s="1906">
        <f t="shared" ca="1" si="69"/>
        <v>0</v>
      </c>
      <c r="AU153" s="1903">
        <f t="shared" si="79"/>
        <v>0</v>
      </c>
      <c r="AV153" s="1904">
        <f t="shared" si="70"/>
        <v>0</v>
      </c>
      <c r="AW153" s="1904">
        <f t="shared" si="71"/>
        <v>0</v>
      </c>
      <c r="AX153" s="1904"/>
      <c r="AY153" s="1904"/>
      <c r="AZ153" s="1904"/>
      <c r="BA153" s="1904"/>
      <c r="BB153" s="1897">
        <f t="shared" si="72"/>
        <v>0</v>
      </c>
      <c r="BC153" s="1897">
        <f t="shared" si="57"/>
        <v>0</v>
      </c>
      <c r="BD153" s="1898" t="e">
        <f>HLOOKUP($BD$63,anticipaplus,89,0)</f>
        <v>#N/A</v>
      </c>
      <c r="BE153" s="1899"/>
      <c r="BF153" s="1899"/>
      <c r="BG153" s="1360">
        <f t="shared" si="73"/>
        <v>0</v>
      </c>
      <c r="BH153" s="1361">
        <f t="shared" si="81"/>
        <v>88</v>
      </c>
      <c r="BI153" s="1362">
        <f t="shared" si="74"/>
        <v>0</v>
      </c>
      <c r="BJ153" s="1362">
        <f t="shared" si="58"/>
        <v>0</v>
      </c>
      <c r="BK153" s="1362">
        <f t="shared" si="80"/>
        <v>0</v>
      </c>
      <c r="BL153" s="1363">
        <f t="shared" si="59"/>
        <v>1000000</v>
      </c>
      <c r="BM153" s="1899"/>
      <c r="BN153" s="1361">
        <f t="shared" si="82"/>
        <v>88</v>
      </c>
      <c r="BO153" s="1362">
        <f t="shared" si="60"/>
        <v>0</v>
      </c>
      <c r="BP153" s="1362">
        <f t="shared" si="61"/>
        <v>8543.4723045346618</v>
      </c>
      <c r="BQ153" s="1362">
        <f t="shared" si="87"/>
        <v>8543.4723045346618</v>
      </c>
      <c r="BR153" s="1363">
        <f t="shared" si="62"/>
        <v>248174.43720095226</v>
      </c>
      <c r="BT153" s="1414"/>
      <c r="BX153" s="1364"/>
      <c r="BY153" s="1364"/>
      <c r="BZ153" s="1364"/>
      <c r="CA153" s="1364"/>
      <c r="CB153" s="1364"/>
      <c r="CC153" s="1365"/>
      <c r="CD153" s="1365"/>
      <c r="CE153" s="1365"/>
      <c r="CF153" s="1365"/>
      <c r="CG153" s="1365"/>
      <c r="CH153" s="1366"/>
      <c r="CI153" s="1366"/>
      <c r="CJ153" s="1366"/>
      <c r="CK153" s="1366"/>
      <c r="CL153" s="1365"/>
      <c r="CM153" s="1366"/>
      <c r="CN153" s="1366"/>
      <c r="CO153" s="1366"/>
      <c r="CP153" s="1366"/>
      <c r="CQ153" s="1366"/>
      <c r="CR153" s="1366"/>
      <c r="CS153" s="1365"/>
      <c r="CT153" s="1365"/>
      <c r="CU153" s="1365"/>
      <c r="CV153" s="1365"/>
      <c r="CW153" s="1365"/>
      <c r="CX153" s="1365"/>
      <c r="CY153" s="1365"/>
      <c r="CZ153" s="1365"/>
      <c r="DA153" s="1365"/>
      <c r="DB153" s="1365"/>
      <c r="DC153" s="1365"/>
      <c r="DD153" s="1365"/>
      <c r="DE153" s="1365"/>
      <c r="DF153" s="1365"/>
      <c r="DG153" s="1365"/>
      <c r="DH153" s="1365"/>
      <c r="DI153" s="1365"/>
      <c r="DJ153" s="1365"/>
      <c r="DK153" s="1365"/>
      <c r="DL153" s="1365"/>
      <c r="DM153" s="1365"/>
      <c r="DN153" s="1365"/>
      <c r="DO153" s="1365"/>
      <c r="DP153" s="1365"/>
      <c r="DQ153" s="1365"/>
      <c r="DR153" s="1365"/>
      <c r="DS153" s="1365"/>
      <c r="DT153" s="1365"/>
    </row>
    <row r="154" spans="1:124">
      <c r="A154" s="1118">
        <f t="shared" ca="1" si="53"/>
        <v>8</v>
      </c>
      <c r="B154" s="1890">
        <f t="shared" si="63"/>
        <v>0</v>
      </c>
      <c r="C154" s="2160">
        <f t="shared" si="75"/>
        <v>0</v>
      </c>
      <c r="D154" s="2161">
        <f t="shared" si="76"/>
        <v>0</v>
      </c>
      <c r="E154" s="2162">
        <f t="shared" si="64"/>
        <v>0</v>
      </c>
      <c r="F154" s="2162">
        <f t="shared" si="85"/>
        <v>0</v>
      </c>
      <c r="G154" s="2162">
        <f t="shared" si="86"/>
        <v>0</v>
      </c>
      <c r="H154" s="2162">
        <f t="shared" si="77"/>
        <v>0</v>
      </c>
      <c r="I154" s="2162">
        <f t="shared" si="84"/>
        <v>0</v>
      </c>
      <c r="J154" s="2162">
        <f t="shared" si="54"/>
        <v>0</v>
      </c>
      <c r="K154" s="2162">
        <f t="shared" si="55"/>
        <v>0</v>
      </c>
      <c r="L154" s="2162">
        <f t="shared" si="65"/>
        <v>0</v>
      </c>
      <c r="M154" s="2162">
        <f t="shared" si="56"/>
        <v>0</v>
      </c>
      <c r="N154" s="2162">
        <f t="shared" si="66"/>
        <v>0</v>
      </c>
      <c r="O154" s="2163"/>
      <c r="AG154" s="1756"/>
      <c r="AH154" s="1756"/>
      <c r="AI154" s="1756"/>
      <c r="AJ154" s="1989">
        <f t="shared" si="67"/>
        <v>5</v>
      </c>
      <c r="AK154" s="1900">
        <f t="shared" si="68"/>
        <v>0</v>
      </c>
      <c r="AL154" s="1907"/>
      <c r="AM154" s="1907"/>
      <c r="AN154" s="1901">
        <f t="shared" si="78"/>
        <v>0</v>
      </c>
      <c r="AO154" s="1906">
        <f t="shared" ca="1" si="69"/>
        <v>0</v>
      </c>
      <c r="AU154" s="1903">
        <f t="shared" si="79"/>
        <v>0</v>
      </c>
      <c r="AV154" s="1904">
        <f t="shared" si="70"/>
        <v>0</v>
      </c>
      <c r="AW154" s="1904">
        <f t="shared" si="71"/>
        <v>0</v>
      </c>
      <c r="AX154" s="1904"/>
      <c r="AY154" s="1904"/>
      <c r="AZ154" s="1904"/>
      <c r="BA154" s="1904"/>
      <c r="BB154" s="1897">
        <f t="shared" si="72"/>
        <v>0</v>
      </c>
      <c r="BC154" s="1897">
        <f t="shared" si="57"/>
        <v>0</v>
      </c>
      <c r="BD154" s="1898" t="e">
        <f>HLOOKUP($BD$63,anticipaplus,90,0)</f>
        <v>#N/A</v>
      </c>
      <c r="BE154" s="1899"/>
      <c r="BF154" s="1899"/>
      <c r="BG154" s="1360">
        <f t="shared" si="73"/>
        <v>0</v>
      </c>
      <c r="BH154" s="1361">
        <f t="shared" si="81"/>
        <v>89</v>
      </c>
      <c r="BI154" s="1362">
        <f t="shared" si="74"/>
        <v>0</v>
      </c>
      <c r="BJ154" s="1362">
        <f t="shared" si="58"/>
        <v>0</v>
      </c>
      <c r="BK154" s="1362">
        <f t="shared" si="80"/>
        <v>0</v>
      </c>
      <c r="BL154" s="1363">
        <f t="shared" si="59"/>
        <v>1000000</v>
      </c>
      <c r="BM154" s="1899"/>
      <c r="BN154" s="1361">
        <f t="shared" si="82"/>
        <v>89</v>
      </c>
      <c r="BO154" s="1362">
        <f t="shared" si="60"/>
        <v>0</v>
      </c>
      <c r="BP154" s="1362">
        <f t="shared" si="61"/>
        <v>8543.4723045346618</v>
      </c>
      <c r="BQ154" s="1362">
        <f t="shared" si="87"/>
        <v>8543.4723045346618</v>
      </c>
      <c r="BR154" s="1363">
        <f t="shared" si="62"/>
        <v>239630.9648964176</v>
      </c>
      <c r="BT154" s="1414"/>
      <c r="BX154" s="1364"/>
      <c r="BY154" s="1364"/>
      <c r="BZ154" s="1364"/>
      <c r="CA154" s="1364"/>
      <c r="CB154" s="1364"/>
      <c r="CC154" s="1365"/>
      <c r="CD154" s="1365"/>
      <c r="CE154" s="1365"/>
      <c r="CF154" s="1365"/>
      <c r="CG154" s="1365"/>
      <c r="CH154" s="1366"/>
      <c r="CI154" s="1366"/>
      <c r="CJ154" s="1366"/>
      <c r="CK154" s="1366"/>
      <c r="CL154" s="1365"/>
      <c r="CM154" s="1366"/>
      <c r="CN154" s="1366"/>
      <c r="CO154" s="1366"/>
      <c r="CP154" s="1366"/>
      <c r="CQ154" s="1366"/>
      <c r="CR154" s="1366"/>
      <c r="CS154" s="1365"/>
      <c r="CT154" s="1365"/>
      <c r="CU154" s="1365"/>
      <c r="CV154" s="1365"/>
      <c r="CW154" s="1365"/>
      <c r="CX154" s="1365"/>
      <c r="CY154" s="1365"/>
      <c r="CZ154" s="1365"/>
      <c r="DA154" s="1365"/>
      <c r="DB154" s="1365"/>
      <c r="DC154" s="1365"/>
      <c r="DD154" s="1365"/>
      <c r="DE154" s="1365"/>
      <c r="DF154" s="1365"/>
      <c r="DG154" s="1365"/>
      <c r="DH154" s="1365"/>
      <c r="DI154" s="1365"/>
      <c r="DJ154" s="1365"/>
      <c r="DK154" s="1365"/>
      <c r="DL154" s="1365"/>
      <c r="DM154" s="1365"/>
      <c r="DN154" s="1365"/>
      <c r="DO154" s="1365"/>
      <c r="DP154" s="1365"/>
      <c r="DQ154" s="1365"/>
      <c r="DR154" s="1365"/>
      <c r="DS154" s="1365"/>
      <c r="DT154" s="1365"/>
    </row>
    <row r="155" spans="1:124">
      <c r="A155" s="1118">
        <f t="shared" ca="1" si="53"/>
        <v>9</v>
      </c>
      <c r="B155" s="1890">
        <f t="shared" si="63"/>
        <v>0</v>
      </c>
      <c r="C155" s="2160">
        <f t="shared" si="75"/>
        <v>0</v>
      </c>
      <c r="D155" s="2161">
        <f t="shared" si="76"/>
        <v>0</v>
      </c>
      <c r="E155" s="2162">
        <f t="shared" si="64"/>
        <v>0</v>
      </c>
      <c r="F155" s="2162">
        <f t="shared" si="85"/>
        <v>0</v>
      </c>
      <c r="G155" s="2162">
        <f t="shared" si="86"/>
        <v>0</v>
      </c>
      <c r="H155" s="2162">
        <f t="shared" si="77"/>
        <v>0</v>
      </c>
      <c r="I155" s="2162">
        <f t="shared" si="84"/>
        <v>0</v>
      </c>
      <c r="J155" s="2162">
        <f t="shared" si="54"/>
        <v>0</v>
      </c>
      <c r="K155" s="2162">
        <f t="shared" si="55"/>
        <v>0</v>
      </c>
      <c r="L155" s="2162">
        <f t="shared" si="65"/>
        <v>0</v>
      </c>
      <c r="M155" s="2162">
        <f t="shared" si="56"/>
        <v>0</v>
      </c>
      <c r="N155" s="2162">
        <f t="shared" si="66"/>
        <v>0</v>
      </c>
      <c r="O155" s="2163"/>
      <c r="AG155" s="1756"/>
      <c r="AH155" s="1756"/>
      <c r="AI155" s="1756"/>
      <c r="AJ155" s="1989">
        <f t="shared" si="67"/>
        <v>6</v>
      </c>
      <c r="AK155" s="1900">
        <f t="shared" si="68"/>
        <v>0</v>
      </c>
      <c r="AL155" s="1907"/>
      <c r="AM155" s="1907"/>
      <c r="AN155" s="1901">
        <f t="shared" si="78"/>
        <v>0</v>
      </c>
      <c r="AO155" s="1906">
        <f t="shared" ca="1" si="69"/>
        <v>0</v>
      </c>
      <c r="AU155" s="1903">
        <f t="shared" si="79"/>
        <v>0</v>
      </c>
      <c r="AV155" s="1904">
        <f t="shared" si="70"/>
        <v>0</v>
      </c>
      <c r="AW155" s="1904">
        <f t="shared" si="71"/>
        <v>0</v>
      </c>
      <c r="AX155" s="1904"/>
      <c r="AY155" s="1904"/>
      <c r="AZ155" s="1904"/>
      <c r="BA155" s="1904"/>
      <c r="BB155" s="1897">
        <f t="shared" si="72"/>
        <v>0</v>
      </c>
      <c r="BC155" s="1897">
        <f t="shared" si="57"/>
        <v>0</v>
      </c>
      <c r="BD155" s="1898" t="e">
        <f>HLOOKUP($BD$63,anticipaplus,91,0)</f>
        <v>#N/A</v>
      </c>
      <c r="BE155" s="1899"/>
      <c r="BF155" s="1899"/>
      <c r="BG155" s="1360">
        <f t="shared" si="73"/>
        <v>0</v>
      </c>
      <c r="BH155" s="1361">
        <f t="shared" si="81"/>
        <v>90</v>
      </c>
      <c r="BI155" s="1362">
        <f t="shared" si="74"/>
        <v>0</v>
      </c>
      <c r="BJ155" s="1362">
        <f t="shared" si="58"/>
        <v>0</v>
      </c>
      <c r="BK155" s="1362">
        <f t="shared" si="80"/>
        <v>0</v>
      </c>
      <c r="BL155" s="1363">
        <f t="shared" si="59"/>
        <v>1000000</v>
      </c>
      <c r="BM155" s="1899"/>
      <c r="BN155" s="1361">
        <f t="shared" si="82"/>
        <v>90</v>
      </c>
      <c r="BO155" s="1362">
        <f t="shared" si="60"/>
        <v>0</v>
      </c>
      <c r="BP155" s="1362">
        <f t="shared" si="61"/>
        <v>8543.4723045346618</v>
      </c>
      <c r="BQ155" s="1362">
        <f t="shared" si="87"/>
        <v>8543.4723045346618</v>
      </c>
      <c r="BR155" s="1363">
        <f t="shared" si="62"/>
        <v>231087.49259188294</v>
      </c>
      <c r="BT155" s="1414"/>
      <c r="BX155" s="1364"/>
      <c r="BY155" s="1364"/>
      <c r="BZ155" s="1364"/>
      <c r="CA155" s="1364"/>
      <c r="CB155" s="1364"/>
      <c r="CC155" s="1365"/>
      <c r="CD155" s="1365"/>
      <c r="CE155" s="1365"/>
      <c r="CF155" s="1365"/>
      <c r="CG155" s="1365"/>
      <c r="CH155" s="1366"/>
      <c r="CI155" s="1366"/>
      <c r="CJ155" s="1366"/>
      <c r="CK155" s="1366"/>
      <c r="CL155" s="1365"/>
      <c r="CM155" s="1366"/>
      <c r="CN155" s="1366"/>
      <c r="CO155" s="1366"/>
      <c r="CP155" s="1366"/>
      <c r="CQ155" s="1366"/>
      <c r="CR155" s="1366"/>
      <c r="CS155" s="1365"/>
      <c r="CT155" s="1365"/>
      <c r="CU155" s="1365"/>
      <c r="CV155" s="1365"/>
      <c r="CW155" s="1365"/>
      <c r="CX155" s="1365"/>
      <c r="CY155" s="1365"/>
      <c r="CZ155" s="1365"/>
      <c r="DA155" s="1365"/>
      <c r="DB155" s="1365"/>
      <c r="DC155" s="1365"/>
      <c r="DD155" s="1365"/>
      <c r="DE155" s="1365"/>
      <c r="DF155" s="1365"/>
      <c r="DG155" s="1365"/>
      <c r="DH155" s="1365"/>
      <c r="DI155" s="1365"/>
      <c r="DJ155" s="1365"/>
      <c r="DK155" s="1365"/>
      <c r="DL155" s="1365"/>
      <c r="DM155" s="1365"/>
      <c r="DN155" s="1365"/>
      <c r="DO155" s="1365"/>
      <c r="DP155" s="1365"/>
      <c r="DQ155" s="1365"/>
      <c r="DR155" s="1365"/>
      <c r="DS155" s="1365"/>
      <c r="DT155" s="1365"/>
    </row>
    <row r="156" spans="1:124">
      <c r="A156" s="1118">
        <f t="shared" ca="1" si="53"/>
        <v>10</v>
      </c>
      <c r="B156" s="1890">
        <f t="shared" si="63"/>
        <v>0</v>
      </c>
      <c r="C156" s="2160">
        <f t="shared" si="75"/>
        <v>0</v>
      </c>
      <c r="D156" s="2161">
        <f t="shared" si="76"/>
        <v>0</v>
      </c>
      <c r="E156" s="2162">
        <f t="shared" si="64"/>
        <v>0</v>
      </c>
      <c r="F156" s="2162">
        <f t="shared" si="85"/>
        <v>0</v>
      </c>
      <c r="G156" s="2162">
        <f t="shared" si="86"/>
        <v>0</v>
      </c>
      <c r="H156" s="2162">
        <f t="shared" si="77"/>
        <v>0</v>
      </c>
      <c r="I156" s="2162">
        <f t="shared" si="84"/>
        <v>0</v>
      </c>
      <c r="J156" s="2162">
        <f t="shared" si="54"/>
        <v>0</v>
      </c>
      <c r="K156" s="2162">
        <f t="shared" si="55"/>
        <v>0</v>
      </c>
      <c r="L156" s="2162">
        <f t="shared" si="65"/>
        <v>0</v>
      </c>
      <c r="M156" s="2162">
        <f t="shared" si="56"/>
        <v>0</v>
      </c>
      <c r="N156" s="2162">
        <f t="shared" si="66"/>
        <v>0</v>
      </c>
      <c r="O156" s="2163"/>
      <c r="AG156" s="1756"/>
      <c r="AH156" s="1756"/>
      <c r="AI156" s="1756"/>
      <c r="AJ156" s="1989">
        <f t="shared" si="67"/>
        <v>7</v>
      </c>
      <c r="AK156" s="1900">
        <f t="shared" si="68"/>
        <v>0</v>
      </c>
      <c r="AL156" s="1907"/>
      <c r="AM156" s="1907"/>
      <c r="AN156" s="1901">
        <f t="shared" si="78"/>
        <v>0</v>
      </c>
      <c r="AO156" s="1906">
        <f t="shared" ca="1" si="69"/>
        <v>0</v>
      </c>
      <c r="AU156" s="1903">
        <f t="shared" si="79"/>
        <v>0</v>
      </c>
      <c r="AV156" s="1904">
        <f t="shared" si="70"/>
        <v>0</v>
      </c>
      <c r="AW156" s="1904">
        <f t="shared" si="71"/>
        <v>0</v>
      </c>
      <c r="AX156" s="1904"/>
      <c r="AY156" s="1904"/>
      <c r="AZ156" s="1904"/>
      <c r="BA156" s="1904"/>
      <c r="BB156" s="1897">
        <f t="shared" si="72"/>
        <v>0</v>
      </c>
      <c r="BC156" s="1897">
        <f t="shared" si="57"/>
        <v>0</v>
      </c>
      <c r="BD156" s="1898" t="e">
        <f>HLOOKUP($BD$63,anticipaplus,92,0)</f>
        <v>#N/A</v>
      </c>
      <c r="BE156" s="1899"/>
      <c r="BF156" s="1899"/>
      <c r="BG156" s="1360">
        <f t="shared" si="73"/>
        <v>0</v>
      </c>
      <c r="BH156" s="1361">
        <f t="shared" si="81"/>
        <v>91</v>
      </c>
      <c r="BI156" s="1362">
        <f t="shared" si="74"/>
        <v>0</v>
      </c>
      <c r="BJ156" s="1362">
        <f t="shared" si="58"/>
        <v>0</v>
      </c>
      <c r="BK156" s="1362">
        <f t="shared" si="80"/>
        <v>0</v>
      </c>
      <c r="BL156" s="1363">
        <f t="shared" si="59"/>
        <v>1000000</v>
      </c>
      <c r="BM156" s="1899"/>
      <c r="BN156" s="1361">
        <f t="shared" si="82"/>
        <v>91</v>
      </c>
      <c r="BO156" s="1362">
        <f t="shared" si="60"/>
        <v>0</v>
      </c>
      <c r="BP156" s="1362">
        <f t="shared" si="61"/>
        <v>8543.4723045346618</v>
      </c>
      <c r="BQ156" s="1362">
        <f t="shared" si="87"/>
        <v>8543.4723045346618</v>
      </c>
      <c r="BR156" s="1363">
        <f t="shared" si="62"/>
        <v>222544.02028734828</v>
      </c>
      <c r="BT156" s="1414"/>
      <c r="BX156" s="1364"/>
      <c r="BY156" s="1364"/>
      <c r="BZ156" s="1364"/>
      <c r="CA156" s="1364"/>
      <c r="CB156" s="1364"/>
      <c r="CC156" s="1365"/>
      <c r="CD156" s="1365"/>
      <c r="CE156" s="1365"/>
      <c r="CF156" s="1365"/>
      <c r="CG156" s="1365"/>
      <c r="CH156" s="1366"/>
      <c r="CI156" s="1366"/>
      <c r="CJ156" s="1366"/>
      <c r="CK156" s="1366"/>
      <c r="CL156" s="1365"/>
      <c r="CM156" s="1366"/>
      <c r="CN156" s="1366"/>
      <c r="CO156" s="1366"/>
      <c r="CP156" s="1366"/>
      <c r="CQ156" s="1366"/>
      <c r="CR156" s="1366"/>
      <c r="CS156" s="1365"/>
      <c r="CT156" s="1365"/>
      <c r="CU156" s="1365"/>
      <c r="CV156" s="1365"/>
      <c r="CW156" s="1365"/>
      <c r="CX156" s="1365"/>
      <c r="CY156" s="1365"/>
      <c r="CZ156" s="1365"/>
      <c r="DA156" s="1365"/>
      <c r="DB156" s="1365"/>
      <c r="DC156" s="1365"/>
      <c r="DD156" s="1365"/>
      <c r="DE156" s="1365"/>
      <c r="DF156" s="1365"/>
      <c r="DG156" s="1365"/>
      <c r="DH156" s="1365"/>
      <c r="DI156" s="1365"/>
      <c r="DJ156" s="1365"/>
      <c r="DK156" s="1365"/>
      <c r="DL156" s="1365"/>
      <c r="DM156" s="1365"/>
      <c r="DN156" s="1365"/>
      <c r="DO156" s="1365"/>
      <c r="DP156" s="1365"/>
      <c r="DQ156" s="1365"/>
      <c r="DR156" s="1365"/>
      <c r="DS156" s="1365"/>
      <c r="DT156" s="1365"/>
    </row>
    <row r="157" spans="1:124">
      <c r="A157" s="1118">
        <f t="shared" ca="1" si="53"/>
        <v>11</v>
      </c>
      <c r="B157" s="1890">
        <f t="shared" si="63"/>
        <v>0</v>
      </c>
      <c r="C157" s="2160">
        <f t="shared" si="75"/>
        <v>0</v>
      </c>
      <c r="D157" s="2161">
        <f t="shared" si="76"/>
        <v>0</v>
      </c>
      <c r="E157" s="2162">
        <f t="shared" si="64"/>
        <v>0</v>
      </c>
      <c r="F157" s="2162">
        <f t="shared" si="85"/>
        <v>0</v>
      </c>
      <c r="G157" s="2162">
        <f t="shared" si="86"/>
        <v>0</v>
      </c>
      <c r="H157" s="2162">
        <f t="shared" si="77"/>
        <v>0</v>
      </c>
      <c r="I157" s="2162">
        <f t="shared" si="84"/>
        <v>0</v>
      </c>
      <c r="J157" s="2162">
        <f t="shared" si="54"/>
        <v>0</v>
      </c>
      <c r="K157" s="2162">
        <f t="shared" si="55"/>
        <v>0</v>
      </c>
      <c r="L157" s="2162">
        <f t="shared" si="65"/>
        <v>0</v>
      </c>
      <c r="M157" s="2162">
        <f t="shared" si="56"/>
        <v>0</v>
      </c>
      <c r="N157" s="2162">
        <f t="shared" si="66"/>
        <v>0</v>
      </c>
      <c r="O157" s="2163"/>
      <c r="AG157" s="1756"/>
      <c r="AH157" s="1756"/>
      <c r="AI157" s="1756"/>
      <c r="AJ157" s="1989">
        <f t="shared" si="67"/>
        <v>8</v>
      </c>
      <c r="AK157" s="1900">
        <f t="shared" si="68"/>
        <v>0</v>
      </c>
      <c r="AL157" s="1907"/>
      <c r="AM157" s="1907"/>
      <c r="AN157" s="1901">
        <f t="shared" si="78"/>
        <v>0</v>
      </c>
      <c r="AO157" s="1906">
        <f t="shared" ca="1" si="69"/>
        <v>0</v>
      </c>
      <c r="AU157" s="1903">
        <f t="shared" si="79"/>
        <v>0</v>
      </c>
      <c r="AV157" s="1904">
        <f t="shared" si="70"/>
        <v>0</v>
      </c>
      <c r="AW157" s="1904">
        <f t="shared" si="71"/>
        <v>0</v>
      </c>
      <c r="AX157" s="1904"/>
      <c r="AY157" s="1904"/>
      <c r="AZ157" s="1904"/>
      <c r="BA157" s="1904"/>
      <c r="BB157" s="1897">
        <f t="shared" si="72"/>
        <v>0</v>
      </c>
      <c r="BC157" s="1897">
        <f t="shared" si="57"/>
        <v>0</v>
      </c>
      <c r="BD157" s="1898" t="e">
        <f>HLOOKUP($BD$63,anticipaplus,93,0)</f>
        <v>#N/A</v>
      </c>
      <c r="BE157" s="1899"/>
      <c r="BF157" s="1899"/>
      <c r="BG157" s="1360">
        <f t="shared" si="73"/>
        <v>0</v>
      </c>
      <c r="BH157" s="1361">
        <f t="shared" si="81"/>
        <v>92</v>
      </c>
      <c r="BI157" s="1362">
        <f t="shared" si="74"/>
        <v>0</v>
      </c>
      <c r="BJ157" s="1362">
        <f t="shared" si="58"/>
        <v>0</v>
      </c>
      <c r="BK157" s="1362">
        <f t="shared" si="80"/>
        <v>0</v>
      </c>
      <c r="BL157" s="1363">
        <f t="shared" si="59"/>
        <v>1000000</v>
      </c>
      <c r="BM157" s="1899"/>
      <c r="BN157" s="1361">
        <f t="shared" si="82"/>
        <v>92</v>
      </c>
      <c r="BO157" s="1362">
        <f t="shared" si="60"/>
        <v>0</v>
      </c>
      <c r="BP157" s="1362">
        <f t="shared" si="61"/>
        <v>8543.4723045346618</v>
      </c>
      <c r="BQ157" s="1362">
        <f t="shared" si="87"/>
        <v>8543.4723045346618</v>
      </c>
      <c r="BR157" s="1363">
        <f t="shared" si="62"/>
        <v>214000.54798281362</v>
      </c>
      <c r="BT157" s="1414"/>
      <c r="BX157" s="1364"/>
      <c r="BY157" s="1364"/>
      <c r="BZ157" s="1364"/>
      <c r="CA157" s="1364"/>
      <c r="CB157" s="1364"/>
      <c r="CC157" s="1365"/>
      <c r="CD157" s="1365"/>
      <c r="CE157" s="1365"/>
      <c r="CF157" s="1365"/>
      <c r="CG157" s="1365"/>
      <c r="CH157" s="1366"/>
      <c r="CI157" s="1366"/>
      <c r="CJ157" s="1366"/>
      <c r="CK157" s="1366"/>
      <c r="CL157" s="1365"/>
      <c r="CM157" s="1366"/>
      <c r="CN157" s="1366"/>
      <c r="CO157" s="1366"/>
      <c r="CP157" s="1366"/>
      <c r="CQ157" s="1366"/>
      <c r="CR157" s="1366"/>
      <c r="CS157" s="1365"/>
      <c r="CT157" s="1365"/>
      <c r="CU157" s="1365"/>
      <c r="CV157" s="1365"/>
      <c r="CW157" s="1365"/>
      <c r="CX157" s="1365"/>
      <c r="CY157" s="1365"/>
      <c r="CZ157" s="1365"/>
      <c r="DA157" s="1365"/>
      <c r="DB157" s="1365"/>
      <c r="DC157" s="1365"/>
      <c r="DD157" s="1365"/>
      <c r="DE157" s="1365"/>
      <c r="DF157" s="1365"/>
      <c r="DG157" s="1365"/>
      <c r="DH157" s="1365"/>
      <c r="DI157" s="1365"/>
      <c r="DJ157" s="1365"/>
      <c r="DK157" s="1365"/>
      <c r="DL157" s="1365"/>
      <c r="DM157" s="1365"/>
      <c r="DN157" s="1365"/>
      <c r="DO157" s="1365"/>
      <c r="DP157" s="1365"/>
      <c r="DQ157" s="1365"/>
      <c r="DR157" s="1365"/>
      <c r="DS157" s="1365"/>
      <c r="DT157" s="1365"/>
    </row>
    <row r="158" spans="1:124">
      <c r="A158" s="1118">
        <f t="shared" ca="1" si="53"/>
        <v>12</v>
      </c>
      <c r="B158" s="1890">
        <f t="shared" si="63"/>
        <v>0</v>
      </c>
      <c r="C158" s="2160">
        <f t="shared" si="75"/>
        <v>0</v>
      </c>
      <c r="D158" s="2161">
        <f t="shared" si="76"/>
        <v>0</v>
      </c>
      <c r="E158" s="2162">
        <f t="shared" si="64"/>
        <v>0</v>
      </c>
      <c r="F158" s="2162">
        <f t="shared" si="85"/>
        <v>0</v>
      </c>
      <c r="G158" s="2162">
        <f t="shared" si="86"/>
        <v>0</v>
      </c>
      <c r="H158" s="2162">
        <f t="shared" si="77"/>
        <v>0</v>
      </c>
      <c r="I158" s="2162">
        <f t="shared" si="84"/>
        <v>0</v>
      </c>
      <c r="J158" s="2162">
        <f t="shared" si="54"/>
        <v>0</v>
      </c>
      <c r="K158" s="2162">
        <f t="shared" si="55"/>
        <v>0</v>
      </c>
      <c r="L158" s="2162">
        <f t="shared" si="65"/>
        <v>0</v>
      </c>
      <c r="M158" s="2162">
        <f t="shared" si="56"/>
        <v>0</v>
      </c>
      <c r="N158" s="2162">
        <f t="shared" si="66"/>
        <v>0</v>
      </c>
      <c r="O158" s="2163"/>
      <c r="AG158" s="1756"/>
      <c r="AH158" s="1756"/>
      <c r="AI158" s="1756"/>
      <c r="AJ158" s="1989">
        <f t="shared" si="67"/>
        <v>9</v>
      </c>
      <c r="AK158" s="1900">
        <f t="shared" si="68"/>
        <v>0</v>
      </c>
      <c r="AL158" s="1907"/>
      <c r="AM158" s="1907"/>
      <c r="AN158" s="1901">
        <f t="shared" si="78"/>
        <v>0</v>
      </c>
      <c r="AO158" s="1906">
        <f t="shared" ca="1" si="69"/>
        <v>0</v>
      </c>
      <c r="AU158" s="1903">
        <f t="shared" si="79"/>
        <v>0</v>
      </c>
      <c r="AV158" s="1904">
        <f t="shared" si="70"/>
        <v>0</v>
      </c>
      <c r="AW158" s="1904">
        <f t="shared" si="71"/>
        <v>0</v>
      </c>
      <c r="AX158" s="1904"/>
      <c r="AY158" s="1904"/>
      <c r="AZ158" s="1904"/>
      <c r="BA158" s="1904"/>
      <c r="BB158" s="1897">
        <f t="shared" si="72"/>
        <v>0</v>
      </c>
      <c r="BC158" s="1897">
        <f t="shared" si="57"/>
        <v>0</v>
      </c>
      <c r="BD158" s="1898" t="e">
        <f>HLOOKUP($BD$63,anticipaplus,94,0)</f>
        <v>#N/A</v>
      </c>
      <c r="BE158" s="1899"/>
      <c r="BF158" s="1899"/>
      <c r="BG158" s="1360">
        <f t="shared" si="73"/>
        <v>0</v>
      </c>
      <c r="BH158" s="1361">
        <f t="shared" si="81"/>
        <v>93</v>
      </c>
      <c r="BI158" s="1362">
        <f t="shared" si="74"/>
        <v>0</v>
      </c>
      <c r="BJ158" s="1362">
        <f t="shared" si="58"/>
        <v>0</v>
      </c>
      <c r="BK158" s="1362">
        <f t="shared" si="80"/>
        <v>0</v>
      </c>
      <c r="BL158" s="1363">
        <f t="shared" si="59"/>
        <v>1000000</v>
      </c>
      <c r="BM158" s="1899"/>
      <c r="BN158" s="1361">
        <f t="shared" si="82"/>
        <v>93</v>
      </c>
      <c r="BO158" s="1362">
        <f t="shared" si="60"/>
        <v>0</v>
      </c>
      <c r="BP158" s="1362">
        <f t="shared" si="61"/>
        <v>8543.4723045346618</v>
      </c>
      <c r="BQ158" s="1362">
        <f t="shared" si="87"/>
        <v>8543.4723045346618</v>
      </c>
      <c r="BR158" s="1363">
        <f t="shared" si="62"/>
        <v>205457.07567827895</v>
      </c>
      <c r="BT158" s="1414"/>
      <c r="BX158" s="1364"/>
      <c r="BY158" s="1364"/>
      <c r="BZ158" s="1364"/>
      <c r="CA158" s="1364"/>
      <c r="CB158" s="1364"/>
      <c r="CC158" s="1365"/>
      <c r="CD158" s="1365"/>
      <c r="CE158" s="1365"/>
      <c r="CF158" s="1365"/>
      <c r="CG158" s="1365"/>
      <c r="CH158" s="1366"/>
      <c r="CI158" s="1366"/>
      <c r="CJ158" s="1366"/>
      <c r="CK158" s="1366"/>
      <c r="CL158" s="1365"/>
      <c r="CM158" s="1366"/>
      <c r="CN158" s="1366"/>
      <c r="CO158" s="1366"/>
      <c r="CP158" s="1366"/>
      <c r="CQ158" s="1366"/>
      <c r="CR158" s="1366"/>
      <c r="CS158" s="1365"/>
      <c r="CT158" s="1365"/>
      <c r="CU158" s="1365"/>
      <c r="CV158" s="1365"/>
      <c r="CW158" s="1365"/>
      <c r="CX158" s="1365"/>
      <c r="CY158" s="1365"/>
      <c r="CZ158" s="1365"/>
      <c r="DA158" s="1365"/>
      <c r="DB158" s="1365"/>
      <c r="DC158" s="1365"/>
      <c r="DD158" s="1365"/>
      <c r="DE158" s="1365"/>
      <c r="DF158" s="1365"/>
      <c r="DG158" s="1365"/>
      <c r="DH158" s="1365"/>
      <c r="DI158" s="1365"/>
      <c r="DJ158" s="1365"/>
      <c r="DK158" s="1365"/>
      <c r="DL158" s="1365"/>
      <c r="DM158" s="1365"/>
      <c r="DN158" s="1365"/>
      <c r="DO158" s="1365"/>
      <c r="DP158" s="1365"/>
      <c r="DQ158" s="1365"/>
      <c r="DR158" s="1365"/>
      <c r="DS158" s="1365"/>
      <c r="DT158" s="1365"/>
    </row>
    <row r="159" spans="1:124">
      <c r="A159" s="1118">
        <f t="shared" ca="1" si="53"/>
        <v>1</v>
      </c>
      <c r="B159" s="1890">
        <f t="shared" si="63"/>
        <v>0</v>
      </c>
      <c r="C159" s="2160">
        <f t="shared" si="75"/>
        <v>0</v>
      </c>
      <c r="D159" s="2161">
        <f t="shared" si="76"/>
        <v>0</v>
      </c>
      <c r="E159" s="2162">
        <f t="shared" si="64"/>
        <v>0</v>
      </c>
      <c r="F159" s="2162">
        <f t="shared" si="85"/>
        <v>0</v>
      </c>
      <c r="G159" s="2162">
        <f t="shared" si="86"/>
        <v>0</v>
      </c>
      <c r="H159" s="2162">
        <f t="shared" si="77"/>
        <v>0</v>
      </c>
      <c r="I159" s="2162">
        <f t="shared" si="84"/>
        <v>0</v>
      </c>
      <c r="J159" s="2162">
        <f t="shared" si="54"/>
        <v>0</v>
      </c>
      <c r="K159" s="2162">
        <f t="shared" si="55"/>
        <v>0</v>
      </c>
      <c r="L159" s="2162">
        <f t="shared" si="65"/>
        <v>0</v>
      </c>
      <c r="M159" s="2162">
        <f t="shared" si="56"/>
        <v>0</v>
      </c>
      <c r="N159" s="2162">
        <f t="shared" si="66"/>
        <v>0</v>
      </c>
      <c r="O159" s="2163"/>
      <c r="AG159" s="1756"/>
      <c r="AH159" s="1756"/>
      <c r="AI159" s="1756"/>
      <c r="AJ159" s="1989">
        <f t="shared" si="67"/>
        <v>10</v>
      </c>
      <c r="AK159" s="1900">
        <f t="shared" si="68"/>
        <v>0</v>
      </c>
      <c r="AL159" s="1907"/>
      <c r="AM159" s="1907"/>
      <c r="AN159" s="1901">
        <f t="shared" si="78"/>
        <v>0</v>
      </c>
      <c r="AO159" s="1906">
        <f t="shared" ca="1" si="69"/>
        <v>0</v>
      </c>
      <c r="AU159" s="1903">
        <f t="shared" si="79"/>
        <v>0</v>
      </c>
      <c r="AV159" s="1904">
        <f t="shared" si="70"/>
        <v>0</v>
      </c>
      <c r="AW159" s="1904">
        <f t="shared" si="71"/>
        <v>0</v>
      </c>
      <c r="AX159" s="1904"/>
      <c r="AY159" s="1904"/>
      <c r="AZ159" s="1904"/>
      <c r="BA159" s="1904"/>
      <c r="BB159" s="1897">
        <f t="shared" si="72"/>
        <v>0</v>
      </c>
      <c r="BC159" s="1897">
        <f t="shared" si="57"/>
        <v>0</v>
      </c>
      <c r="BD159" s="1898" t="e">
        <f>HLOOKUP($BD$63,anticipaplus,95,0)</f>
        <v>#N/A</v>
      </c>
      <c r="BE159" s="1899"/>
      <c r="BF159" s="1899"/>
      <c r="BG159" s="1360">
        <f t="shared" si="73"/>
        <v>0</v>
      </c>
      <c r="BH159" s="1361">
        <f t="shared" si="81"/>
        <v>94</v>
      </c>
      <c r="BI159" s="1362">
        <f t="shared" si="74"/>
        <v>0</v>
      </c>
      <c r="BJ159" s="1362">
        <f t="shared" si="58"/>
        <v>0</v>
      </c>
      <c r="BK159" s="1362">
        <f t="shared" si="80"/>
        <v>0</v>
      </c>
      <c r="BL159" s="1363">
        <f t="shared" si="59"/>
        <v>1000000</v>
      </c>
      <c r="BM159" s="1899"/>
      <c r="BN159" s="1361">
        <f t="shared" si="82"/>
        <v>94</v>
      </c>
      <c r="BO159" s="1362">
        <f t="shared" si="60"/>
        <v>0</v>
      </c>
      <c r="BP159" s="1362">
        <f t="shared" si="61"/>
        <v>8543.4723045346618</v>
      </c>
      <c r="BQ159" s="1362">
        <f t="shared" si="87"/>
        <v>8543.4723045346618</v>
      </c>
      <c r="BR159" s="1363">
        <f t="shared" si="62"/>
        <v>196913.60337374429</v>
      </c>
      <c r="BT159" s="1414"/>
      <c r="BX159" s="1364"/>
      <c r="BY159" s="1364"/>
      <c r="BZ159" s="1364"/>
      <c r="CA159" s="1364"/>
      <c r="CB159" s="1364"/>
      <c r="CC159" s="1365"/>
      <c r="CD159" s="1365"/>
      <c r="CE159" s="1365"/>
      <c r="CF159" s="1365"/>
      <c r="CG159" s="1365"/>
      <c r="CH159" s="1366"/>
      <c r="CI159" s="1366"/>
      <c r="CJ159" s="1366"/>
      <c r="CK159" s="1366"/>
      <c r="CL159" s="1365"/>
      <c r="CM159" s="1366"/>
      <c r="CN159" s="1366"/>
      <c r="CO159" s="1366"/>
      <c r="CP159" s="1366"/>
      <c r="CQ159" s="1366"/>
      <c r="CR159" s="1366"/>
      <c r="CS159" s="1365"/>
      <c r="CT159" s="1365"/>
      <c r="CU159" s="1365"/>
      <c r="CV159" s="1365"/>
      <c r="CW159" s="1365"/>
      <c r="CX159" s="1365"/>
      <c r="CY159" s="1365"/>
      <c r="CZ159" s="1365"/>
      <c r="DA159" s="1365"/>
      <c r="DB159" s="1365"/>
      <c r="DC159" s="1365"/>
      <c r="DD159" s="1365"/>
      <c r="DE159" s="1365"/>
      <c r="DF159" s="1365"/>
      <c r="DG159" s="1365"/>
      <c r="DH159" s="1365"/>
      <c r="DI159" s="1365"/>
      <c r="DJ159" s="1365"/>
      <c r="DK159" s="1365"/>
      <c r="DL159" s="1365"/>
      <c r="DM159" s="1365"/>
      <c r="DN159" s="1365"/>
      <c r="DO159" s="1365"/>
      <c r="DP159" s="1365"/>
      <c r="DQ159" s="1365"/>
      <c r="DR159" s="1365"/>
      <c r="DS159" s="1365"/>
      <c r="DT159" s="1365"/>
    </row>
    <row r="160" spans="1:124">
      <c r="A160" s="1118">
        <f t="shared" ca="1" si="53"/>
        <v>2</v>
      </c>
      <c r="B160" s="1890">
        <f t="shared" si="63"/>
        <v>0</v>
      </c>
      <c r="C160" s="2160">
        <f t="shared" si="75"/>
        <v>0</v>
      </c>
      <c r="D160" s="2161">
        <f t="shared" si="76"/>
        <v>0</v>
      </c>
      <c r="E160" s="2162">
        <f t="shared" si="64"/>
        <v>0</v>
      </c>
      <c r="F160" s="2162">
        <f t="shared" si="85"/>
        <v>0</v>
      </c>
      <c r="G160" s="2162">
        <f t="shared" si="86"/>
        <v>0</v>
      </c>
      <c r="H160" s="2162">
        <f t="shared" si="77"/>
        <v>0</v>
      </c>
      <c r="I160" s="2162">
        <f t="shared" si="84"/>
        <v>0</v>
      </c>
      <c r="J160" s="2162">
        <f t="shared" si="54"/>
        <v>0</v>
      </c>
      <c r="K160" s="2162">
        <f t="shared" si="55"/>
        <v>0</v>
      </c>
      <c r="L160" s="2162">
        <f t="shared" si="65"/>
        <v>0</v>
      </c>
      <c r="M160" s="2162">
        <f t="shared" si="56"/>
        <v>0</v>
      </c>
      <c r="N160" s="2162">
        <f t="shared" si="66"/>
        <v>0</v>
      </c>
      <c r="O160" s="2163"/>
      <c r="AG160" s="1756"/>
      <c r="AH160" s="1756"/>
      <c r="AI160" s="1756"/>
      <c r="AJ160" s="1989">
        <f t="shared" si="67"/>
        <v>11</v>
      </c>
      <c r="AK160" s="1900">
        <f t="shared" si="68"/>
        <v>0</v>
      </c>
      <c r="AL160" s="1907"/>
      <c r="AM160" s="1907"/>
      <c r="AN160" s="1901">
        <f t="shared" si="78"/>
        <v>0</v>
      </c>
      <c r="AO160" s="1906">
        <f t="shared" ca="1" si="69"/>
        <v>0</v>
      </c>
      <c r="AU160" s="1903">
        <f t="shared" si="79"/>
        <v>0</v>
      </c>
      <c r="AV160" s="1904">
        <f t="shared" si="70"/>
        <v>0</v>
      </c>
      <c r="AW160" s="1904">
        <f t="shared" si="71"/>
        <v>0</v>
      </c>
      <c r="AX160" s="1904"/>
      <c r="AY160" s="1904"/>
      <c r="AZ160" s="1904"/>
      <c r="BA160" s="1904"/>
      <c r="BB160" s="1897">
        <f t="shared" si="72"/>
        <v>0</v>
      </c>
      <c r="BC160" s="1897">
        <f t="shared" si="57"/>
        <v>0</v>
      </c>
      <c r="BD160" s="1898" t="e">
        <f>HLOOKUP($BD$63,anticipaplus,96,0)</f>
        <v>#N/A</v>
      </c>
      <c r="BE160" s="1899"/>
      <c r="BF160" s="1899"/>
      <c r="BG160" s="1360">
        <f t="shared" si="73"/>
        <v>0</v>
      </c>
      <c r="BH160" s="1361">
        <f t="shared" si="81"/>
        <v>95</v>
      </c>
      <c r="BI160" s="1362">
        <f t="shared" si="74"/>
        <v>0</v>
      </c>
      <c r="BJ160" s="1362">
        <f t="shared" si="58"/>
        <v>0</v>
      </c>
      <c r="BK160" s="1362">
        <f t="shared" si="80"/>
        <v>0</v>
      </c>
      <c r="BL160" s="1363">
        <f t="shared" si="59"/>
        <v>1000000</v>
      </c>
      <c r="BM160" s="1899"/>
      <c r="BN160" s="1361">
        <f t="shared" si="82"/>
        <v>95</v>
      </c>
      <c r="BO160" s="1362">
        <f t="shared" si="60"/>
        <v>0</v>
      </c>
      <c r="BP160" s="1362">
        <f t="shared" si="61"/>
        <v>8543.4723045346618</v>
      </c>
      <c r="BQ160" s="1362">
        <f t="shared" si="87"/>
        <v>8543.4723045346618</v>
      </c>
      <c r="BR160" s="1363">
        <f t="shared" si="62"/>
        <v>188370.13106920963</v>
      </c>
      <c r="BT160" s="1414"/>
      <c r="BX160" s="1364"/>
      <c r="BY160" s="1364"/>
      <c r="BZ160" s="1364"/>
      <c r="CA160" s="1364"/>
      <c r="CB160" s="1364"/>
      <c r="CC160" s="1365"/>
      <c r="CD160" s="1365"/>
      <c r="CE160" s="1365"/>
      <c r="CF160" s="1365"/>
      <c r="CG160" s="1365"/>
      <c r="CH160" s="1366"/>
      <c r="CI160" s="1366"/>
      <c r="CJ160" s="1366"/>
      <c r="CK160" s="1366"/>
      <c r="CL160" s="1365"/>
      <c r="CM160" s="1366"/>
      <c r="CN160" s="1366"/>
      <c r="CO160" s="1366"/>
      <c r="CP160" s="1366"/>
      <c r="CQ160" s="1366"/>
      <c r="CR160" s="1366"/>
      <c r="CS160" s="1365"/>
      <c r="CT160" s="1365"/>
      <c r="CU160" s="1365"/>
      <c r="CV160" s="1365"/>
      <c r="CW160" s="1365"/>
      <c r="CX160" s="1365"/>
      <c r="CY160" s="1365"/>
      <c r="CZ160" s="1365"/>
      <c r="DA160" s="1365"/>
      <c r="DB160" s="1365"/>
      <c r="DC160" s="1365"/>
      <c r="DD160" s="1365"/>
      <c r="DE160" s="1365"/>
      <c r="DF160" s="1365"/>
      <c r="DG160" s="1365"/>
      <c r="DH160" s="1365"/>
      <c r="DI160" s="1365"/>
      <c r="DJ160" s="1365"/>
      <c r="DK160" s="1365"/>
      <c r="DL160" s="1365"/>
      <c r="DM160" s="1365"/>
      <c r="DN160" s="1365"/>
      <c r="DO160" s="1365"/>
      <c r="DP160" s="1365"/>
      <c r="DQ160" s="1365"/>
      <c r="DR160" s="1365"/>
      <c r="DS160" s="1365"/>
      <c r="DT160" s="1365"/>
    </row>
    <row r="161" spans="1:124">
      <c r="A161" s="1118">
        <f t="shared" ca="1" si="53"/>
        <v>3</v>
      </c>
      <c r="B161" s="1890">
        <f t="shared" si="63"/>
        <v>0</v>
      </c>
      <c r="C161" s="2160">
        <f t="shared" si="75"/>
        <v>0</v>
      </c>
      <c r="D161" s="2161">
        <f t="shared" si="76"/>
        <v>0</v>
      </c>
      <c r="E161" s="2162">
        <f t="shared" si="64"/>
        <v>0</v>
      </c>
      <c r="F161" s="2162">
        <f t="shared" si="85"/>
        <v>0</v>
      </c>
      <c r="G161" s="2162">
        <f t="shared" si="86"/>
        <v>0</v>
      </c>
      <c r="H161" s="2162">
        <f t="shared" si="77"/>
        <v>0</v>
      </c>
      <c r="I161" s="2162">
        <f t="shared" si="84"/>
        <v>0</v>
      </c>
      <c r="J161" s="2162">
        <f t="shared" si="54"/>
        <v>0</v>
      </c>
      <c r="K161" s="2162">
        <f t="shared" si="55"/>
        <v>0</v>
      </c>
      <c r="L161" s="2162">
        <f t="shared" si="65"/>
        <v>0</v>
      </c>
      <c r="M161" s="2162">
        <f t="shared" si="56"/>
        <v>0</v>
      </c>
      <c r="N161" s="2162">
        <f t="shared" si="66"/>
        <v>0</v>
      </c>
      <c r="O161" s="2163"/>
      <c r="AG161" s="1756"/>
      <c r="AH161" s="1756"/>
      <c r="AI161" s="1756"/>
      <c r="AJ161" s="1989">
        <f t="shared" si="67"/>
        <v>12</v>
      </c>
      <c r="AK161" s="1900">
        <f t="shared" si="68"/>
        <v>0</v>
      </c>
      <c r="AL161" s="1907"/>
      <c r="AM161" s="1907"/>
      <c r="AN161" s="1901">
        <f t="shared" si="78"/>
        <v>0</v>
      </c>
      <c r="AO161" s="1906">
        <f t="shared" ca="1" si="69"/>
        <v>0</v>
      </c>
      <c r="AU161" s="1903">
        <f t="shared" si="79"/>
        <v>0</v>
      </c>
      <c r="AV161" s="1904">
        <f t="shared" si="70"/>
        <v>0</v>
      </c>
      <c r="AW161" s="1904">
        <f t="shared" si="71"/>
        <v>0</v>
      </c>
      <c r="AX161" s="1904"/>
      <c r="AY161" s="1904"/>
      <c r="AZ161" s="1904"/>
      <c r="BA161" s="1904"/>
      <c r="BB161" s="1897">
        <f t="shared" si="72"/>
        <v>0</v>
      </c>
      <c r="BC161" s="1897">
        <f t="shared" si="57"/>
        <v>0</v>
      </c>
      <c r="BD161" s="1898" t="e">
        <f>HLOOKUP($BD$63,anticipaplus,97,0)</f>
        <v>#N/A</v>
      </c>
      <c r="BE161" s="1899"/>
      <c r="BF161" s="1899"/>
      <c r="BG161" s="1360">
        <f t="shared" si="73"/>
        <v>0</v>
      </c>
      <c r="BH161" s="1361">
        <f t="shared" si="81"/>
        <v>96</v>
      </c>
      <c r="BI161" s="1362">
        <f t="shared" si="74"/>
        <v>0</v>
      </c>
      <c r="BJ161" s="1362">
        <f t="shared" si="58"/>
        <v>0</v>
      </c>
      <c r="BK161" s="1362">
        <f t="shared" si="80"/>
        <v>0</v>
      </c>
      <c r="BL161" s="1363">
        <f t="shared" si="59"/>
        <v>1000000</v>
      </c>
      <c r="BM161" s="1899"/>
      <c r="BN161" s="1361">
        <f t="shared" si="82"/>
        <v>96</v>
      </c>
      <c r="BO161" s="1362">
        <f t="shared" si="60"/>
        <v>0</v>
      </c>
      <c r="BP161" s="1362">
        <f t="shared" si="61"/>
        <v>8543.4723045346618</v>
      </c>
      <c r="BQ161" s="1362">
        <f t="shared" si="87"/>
        <v>8543.4723045346618</v>
      </c>
      <c r="BR161" s="1363">
        <f t="shared" si="62"/>
        <v>179826.65876467497</v>
      </c>
      <c r="BT161" s="1414"/>
      <c r="BX161" s="1364"/>
      <c r="BY161" s="1364"/>
      <c r="BZ161" s="1364"/>
      <c r="CA161" s="1364"/>
      <c r="CB161" s="1364"/>
      <c r="CC161" s="1365"/>
      <c r="CD161" s="1365"/>
      <c r="CE161" s="1365"/>
      <c r="CF161" s="1365"/>
      <c r="CG161" s="1365"/>
      <c r="CH161" s="1366"/>
      <c r="CI161" s="1366"/>
      <c r="CJ161" s="1366"/>
      <c r="CK161" s="1366"/>
      <c r="CL161" s="1365"/>
      <c r="CM161" s="1366"/>
      <c r="CN161" s="1366"/>
      <c r="CO161" s="1366"/>
      <c r="CP161" s="1366"/>
      <c r="CQ161" s="1366"/>
      <c r="CR161" s="1366"/>
      <c r="CS161" s="1365"/>
      <c r="CT161" s="1365"/>
      <c r="CU161" s="1365"/>
      <c r="CV161" s="1365"/>
      <c r="CW161" s="1365"/>
      <c r="CX161" s="1365"/>
      <c r="CY161" s="1365"/>
      <c r="CZ161" s="1365"/>
      <c r="DA161" s="1365"/>
      <c r="DB161" s="1365"/>
      <c r="DC161" s="1365"/>
      <c r="DD161" s="1365"/>
      <c r="DE161" s="1365"/>
      <c r="DF161" s="1365"/>
      <c r="DG161" s="1365"/>
      <c r="DH161" s="1365"/>
      <c r="DI161" s="1365"/>
      <c r="DJ161" s="1365"/>
      <c r="DK161" s="1365"/>
      <c r="DL161" s="1365"/>
      <c r="DM161" s="1365"/>
      <c r="DN161" s="1365"/>
      <c r="DO161" s="1365"/>
      <c r="DP161" s="1365"/>
      <c r="DQ161" s="1365"/>
      <c r="DR161" s="1365"/>
      <c r="DS161" s="1365"/>
      <c r="DT161" s="1365"/>
    </row>
    <row r="162" spans="1:124">
      <c r="A162" s="1118">
        <f t="shared" ca="1" si="53"/>
        <v>4</v>
      </c>
      <c r="B162" s="1890">
        <f t="shared" si="63"/>
        <v>0</v>
      </c>
      <c r="C162" s="2160">
        <f t="shared" si="75"/>
        <v>0</v>
      </c>
      <c r="D162" s="2161">
        <f t="shared" si="76"/>
        <v>0</v>
      </c>
      <c r="E162" s="2162">
        <f t="shared" si="64"/>
        <v>0</v>
      </c>
      <c r="F162" s="2162">
        <f t="shared" si="85"/>
        <v>0</v>
      </c>
      <c r="G162" s="2162">
        <f t="shared" si="86"/>
        <v>0</v>
      </c>
      <c r="H162" s="2162">
        <f t="shared" si="77"/>
        <v>0</v>
      </c>
      <c r="I162" s="2162">
        <f t="shared" si="84"/>
        <v>0</v>
      </c>
      <c r="J162" s="2162">
        <f t="shared" si="54"/>
        <v>0</v>
      </c>
      <c r="K162" s="2162">
        <f t="shared" si="55"/>
        <v>0</v>
      </c>
      <c r="L162" s="2162">
        <f t="shared" si="65"/>
        <v>0</v>
      </c>
      <c r="M162" s="2162">
        <f t="shared" si="56"/>
        <v>0</v>
      </c>
      <c r="N162" s="2162">
        <f t="shared" si="66"/>
        <v>0</v>
      </c>
      <c r="O162" s="2163"/>
      <c r="AG162" s="1756"/>
      <c r="AH162" s="1756"/>
      <c r="AI162" s="1756"/>
      <c r="AJ162" s="1989">
        <f t="shared" si="67"/>
        <v>1</v>
      </c>
      <c r="AK162" s="1900">
        <f t="shared" si="68"/>
        <v>0</v>
      </c>
      <c r="AL162" s="1907"/>
      <c r="AM162" s="1907"/>
      <c r="AN162" s="1901">
        <f t="shared" si="78"/>
        <v>0</v>
      </c>
      <c r="AO162" s="1906">
        <f t="shared" ca="1" si="69"/>
        <v>0</v>
      </c>
      <c r="AU162" s="1903">
        <f t="shared" si="79"/>
        <v>0</v>
      </c>
      <c r="AV162" s="1904">
        <f t="shared" si="70"/>
        <v>0</v>
      </c>
      <c r="AW162" s="1904">
        <f t="shared" si="71"/>
        <v>0</v>
      </c>
      <c r="AX162" s="1904"/>
      <c r="AY162" s="1904"/>
      <c r="AZ162" s="1904"/>
      <c r="BA162" s="1904"/>
      <c r="BB162" s="1897">
        <f t="shared" si="72"/>
        <v>0</v>
      </c>
      <c r="BC162" s="1897">
        <f t="shared" si="57"/>
        <v>0</v>
      </c>
      <c r="BD162" s="1898" t="e">
        <f>HLOOKUP($BD$63,anticipaplus,98,0)</f>
        <v>#N/A</v>
      </c>
      <c r="BE162" s="1899"/>
      <c r="BF162" s="1899"/>
      <c r="BG162" s="1360">
        <f t="shared" si="73"/>
        <v>0</v>
      </c>
      <c r="BH162" s="1377">
        <f t="shared" si="81"/>
        <v>97</v>
      </c>
      <c r="BI162" s="1378">
        <f t="shared" si="74"/>
        <v>0</v>
      </c>
      <c r="BJ162" s="1378">
        <f t="shared" si="58"/>
        <v>0</v>
      </c>
      <c r="BK162" s="1378">
        <f>MIN(BL161+BI162,BK161*(1+$BI$61))</f>
        <v>0</v>
      </c>
      <c r="BL162" s="1363">
        <f t="shared" si="59"/>
        <v>1000000</v>
      </c>
      <c r="BM162" s="1899"/>
      <c r="BN162" s="1379">
        <f t="shared" si="82"/>
        <v>97</v>
      </c>
      <c r="BO162" s="1380">
        <f t="shared" si="60"/>
        <v>0</v>
      </c>
      <c r="BP162" s="1380">
        <f t="shared" si="61"/>
        <v>8543.4723045346618</v>
      </c>
      <c r="BQ162" s="1380">
        <f>MIN(BR161+BO162,BQ161*(1+$BO$61))</f>
        <v>8543.4723045346618</v>
      </c>
      <c r="BR162" s="1363">
        <f t="shared" si="62"/>
        <v>171283.18646014031</v>
      </c>
      <c r="BT162" s="1414"/>
      <c r="BX162" s="1364"/>
      <c r="BY162" s="1364"/>
      <c r="BZ162" s="1364"/>
      <c r="CA162" s="1364"/>
      <c r="CB162" s="1364"/>
      <c r="CC162" s="1365"/>
      <c r="CD162" s="1365"/>
      <c r="CE162" s="1365"/>
      <c r="CF162" s="1365"/>
      <c r="CG162" s="1365"/>
      <c r="CH162" s="1366"/>
      <c r="CI162" s="1366"/>
      <c r="CJ162" s="1366"/>
      <c r="CK162" s="1366"/>
      <c r="CL162" s="1365"/>
      <c r="CM162" s="1366"/>
      <c r="CN162" s="1366"/>
      <c r="CO162" s="1366"/>
      <c r="CP162" s="1366"/>
      <c r="CQ162" s="1366"/>
      <c r="CR162" s="1366"/>
      <c r="CS162" s="1365"/>
      <c r="CT162" s="1365"/>
      <c r="CU162" s="1365"/>
      <c r="CV162" s="1365"/>
      <c r="CW162" s="1365"/>
      <c r="CX162" s="1365"/>
      <c r="CY162" s="1365"/>
      <c r="CZ162" s="1365"/>
      <c r="DA162" s="1365"/>
      <c r="DB162" s="1365"/>
      <c r="DC162" s="1365"/>
      <c r="DD162" s="1365"/>
      <c r="DE162" s="1365"/>
      <c r="DF162" s="1365"/>
      <c r="DG162" s="1365"/>
      <c r="DH162" s="1365"/>
      <c r="DI162" s="1365"/>
      <c r="DJ162" s="1365"/>
      <c r="DK162" s="1365"/>
      <c r="DL162" s="1365"/>
      <c r="DM162" s="1365"/>
      <c r="DN162" s="1365"/>
      <c r="DO162" s="1365"/>
      <c r="DP162" s="1365"/>
      <c r="DQ162" s="1365"/>
      <c r="DR162" s="1365"/>
      <c r="DS162" s="1365"/>
      <c r="DT162" s="1365"/>
    </row>
    <row r="163" spans="1:124">
      <c r="A163" s="1118">
        <f t="shared" ca="1" si="53"/>
        <v>5</v>
      </c>
      <c r="B163" s="1890">
        <f t="shared" si="63"/>
        <v>0</v>
      </c>
      <c r="C163" s="2160">
        <f t="shared" si="75"/>
        <v>0</v>
      </c>
      <c r="D163" s="2161">
        <f t="shared" si="76"/>
        <v>0</v>
      </c>
      <c r="E163" s="2162">
        <f t="shared" si="64"/>
        <v>0</v>
      </c>
      <c r="F163" s="2162">
        <f t="shared" si="85"/>
        <v>0</v>
      </c>
      <c r="G163" s="2162">
        <f t="shared" si="86"/>
        <v>0</v>
      </c>
      <c r="H163" s="2162">
        <f t="shared" si="77"/>
        <v>0</v>
      </c>
      <c r="I163" s="2162">
        <f t="shared" si="84"/>
        <v>0</v>
      </c>
      <c r="J163" s="2162">
        <f t="shared" si="54"/>
        <v>0</v>
      </c>
      <c r="K163" s="2162">
        <f t="shared" si="55"/>
        <v>0</v>
      </c>
      <c r="L163" s="2162">
        <f t="shared" si="65"/>
        <v>0</v>
      </c>
      <c r="M163" s="2162">
        <f t="shared" si="56"/>
        <v>0</v>
      </c>
      <c r="N163" s="2162">
        <f t="shared" si="66"/>
        <v>0</v>
      </c>
      <c r="O163" s="2163"/>
      <c r="AG163" s="1756"/>
      <c r="AH163" s="1756"/>
      <c r="AI163" s="1756"/>
      <c r="AJ163" s="1989">
        <f t="shared" si="67"/>
        <v>2</v>
      </c>
      <c r="AK163" s="1900">
        <f t="shared" si="68"/>
        <v>0</v>
      </c>
      <c r="AL163" s="1907"/>
      <c r="AM163" s="1907"/>
      <c r="AN163" s="1901">
        <f t="shared" si="78"/>
        <v>0</v>
      </c>
      <c r="AO163" s="1906">
        <f t="shared" ca="1" si="69"/>
        <v>0</v>
      </c>
      <c r="AU163" s="1903">
        <f t="shared" si="79"/>
        <v>0</v>
      </c>
      <c r="AV163" s="1904">
        <f t="shared" si="70"/>
        <v>0</v>
      </c>
      <c r="AW163" s="1904">
        <f t="shared" si="71"/>
        <v>0</v>
      </c>
      <c r="AX163" s="1904"/>
      <c r="AY163" s="1904"/>
      <c r="AZ163" s="1904"/>
      <c r="BA163" s="1904"/>
      <c r="BB163" s="1897">
        <f t="shared" si="72"/>
        <v>0</v>
      </c>
      <c r="BC163" s="1897">
        <f t="shared" si="57"/>
        <v>0</v>
      </c>
      <c r="BD163" s="1898" t="e">
        <f>HLOOKUP($BD$63,anticipaplus,99,0)</f>
        <v>#N/A</v>
      </c>
      <c r="BE163" s="1899"/>
      <c r="BF163" s="1899"/>
      <c r="BG163" s="1360">
        <f t="shared" si="73"/>
        <v>0</v>
      </c>
      <c r="BH163" s="1361">
        <f t="shared" si="81"/>
        <v>98</v>
      </c>
      <c r="BI163" s="1362">
        <f t="shared" si="74"/>
        <v>0</v>
      </c>
      <c r="BJ163" s="1362">
        <f t="shared" si="58"/>
        <v>0</v>
      </c>
      <c r="BK163" s="1362">
        <f t="shared" si="80"/>
        <v>0</v>
      </c>
      <c r="BL163" s="1363">
        <f t="shared" si="59"/>
        <v>1000000</v>
      </c>
      <c r="BM163" s="1899"/>
      <c r="BN163" s="1361">
        <f t="shared" si="82"/>
        <v>98</v>
      </c>
      <c r="BO163" s="1362">
        <f t="shared" si="60"/>
        <v>0</v>
      </c>
      <c r="BP163" s="1362">
        <f t="shared" si="61"/>
        <v>8543.4723045346618</v>
      </c>
      <c r="BQ163" s="1362">
        <f t="shared" ref="BQ163:BQ173" si="88">MIN(BR162+BO163,BQ162)</f>
        <v>8543.4723045346618</v>
      </c>
      <c r="BR163" s="1363">
        <f t="shared" si="62"/>
        <v>162739.71415560564</v>
      </c>
      <c r="BT163" s="1414"/>
      <c r="BX163" s="1364"/>
      <c r="BY163" s="1364"/>
      <c r="BZ163" s="1364"/>
      <c r="CA163" s="1364"/>
      <c r="CB163" s="1364"/>
      <c r="CC163" s="1365"/>
      <c r="CD163" s="1365"/>
      <c r="CE163" s="1365"/>
      <c r="CF163" s="1365"/>
      <c r="CG163" s="1365"/>
      <c r="CH163" s="1366"/>
      <c r="CI163" s="1366"/>
      <c r="CJ163" s="1366"/>
      <c r="CK163" s="1366"/>
      <c r="CL163" s="1365"/>
      <c r="CM163" s="1366"/>
      <c r="CN163" s="1366"/>
      <c r="CO163" s="1366"/>
      <c r="CP163" s="1366"/>
      <c r="CQ163" s="1366"/>
      <c r="CR163" s="1366"/>
      <c r="CS163" s="1365"/>
      <c r="CT163" s="1365"/>
      <c r="CU163" s="1365"/>
      <c r="CV163" s="1365"/>
      <c r="CW163" s="1365"/>
      <c r="CX163" s="1365"/>
      <c r="CY163" s="1365"/>
      <c r="CZ163" s="1365"/>
      <c r="DA163" s="1365"/>
      <c r="DB163" s="1365"/>
      <c r="DC163" s="1365"/>
      <c r="DD163" s="1365"/>
      <c r="DE163" s="1365"/>
      <c r="DF163" s="1365"/>
      <c r="DG163" s="1365"/>
      <c r="DH163" s="1365"/>
      <c r="DI163" s="1365"/>
      <c r="DJ163" s="1365"/>
      <c r="DK163" s="1365"/>
      <c r="DL163" s="1365"/>
      <c r="DM163" s="1365"/>
      <c r="DN163" s="1365"/>
      <c r="DO163" s="1365"/>
      <c r="DP163" s="1365"/>
      <c r="DQ163" s="1365"/>
      <c r="DR163" s="1365"/>
      <c r="DS163" s="1365"/>
      <c r="DT163" s="1365"/>
    </row>
    <row r="164" spans="1:124">
      <c r="A164" s="1118">
        <f t="shared" ca="1" si="53"/>
        <v>6</v>
      </c>
      <c r="B164" s="1890">
        <f t="shared" si="63"/>
        <v>0</v>
      </c>
      <c r="C164" s="2160">
        <f t="shared" si="75"/>
        <v>0</v>
      </c>
      <c r="D164" s="2161">
        <f t="shared" si="76"/>
        <v>0</v>
      </c>
      <c r="E164" s="2162">
        <f t="shared" si="64"/>
        <v>0</v>
      </c>
      <c r="F164" s="2162">
        <f t="shared" si="85"/>
        <v>0</v>
      </c>
      <c r="G164" s="2162">
        <f t="shared" si="86"/>
        <v>0</v>
      </c>
      <c r="H164" s="2162">
        <f t="shared" si="77"/>
        <v>0</v>
      </c>
      <c r="I164" s="2162">
        <f t="shared" si="84"/>
        <v>0</v>
      </c>
      <c r="J164" s="2162">
        <f t="shared" si="54"/>
        <v>0</v>
      </c>
      <c r="K164" s="2162">
        <f t="shared" si="55"/>
        <v>0</v>
      </c>
      <c r="L164" s="2162">
        <f t="shared" si="65"/>
        <v>0</v>
      </c>
      <c r="M164" s="2162">
        <f t="shared" si="56"/>
        <v>0</v>
      </c>
      <c r="N164" s="2162">
        <f t="shared" si="66"/>
        <v>0</v>
      </c>
      <c r="O164" s="2163"/>
      <c r="AG164" s="1756"/>
      <c r="AH164" s="1756"/>
      <c r="AI164" s="1756"/>
      <c r="AJ164" s="1989">
        <f t="shared" si="67"/>
        <v>3</v>
      </c>
      <c r="AK164" s="1900">
        <f t="shared" si="68"/>
        <v>0</v>
      </c>
      <c r="AL164" s="1907"/>
      <c r="AM164" s="1907"/>
      <c r="AN164" s="1901">
        <f t="shared" si="78"/>
        <v>0</v>
      </c>
      <c r="AO164" s="1906">
        <f t="shared" ca="1" si="69"/>
        <v>0</v>
      </c>
      <c r="AU164" s="1903">
        <f t="shared" si="79"/>
        <v>0</v>
      </c>
      <c r="AV164" s="1904">
        <f t="shared" si="70"/>
        <v>0</v>
      </c>
      <c r="AW164" s="1904">
        <f t="shared" si="71"/>
        <v>0</v>
      </c>
      <c r="AX164" s="1904"/>
      <c r="AY164" s="1904"/>
      <c r="AZ164" s="1904"/>
      <c r="BA164" s="1904"/>
      <c r="BB164" s="1897">
        <f t="shared" si="72"/>
        <v>0</v>
      </c>
      <c r="BC164" s="1897">
        <f t="shared" si="57"/>
        <v>0</v>
      </c>
      <c r="BD164" s="1898" t="e">
        <f>HLOOKUP($BD$63,anticipaplus,100,0)</f>
        <v>#N/A</v>
      </c>
      <c r="BE164" s="1899"/>
      <c r="BF164" s="1899"/>
      <c r="BG164" s="1360">
        <f t="shared" si="73"/>
        <v>0</v>
      </c>
      <c r="BH164" s="1361">
        <f t="shared" si="81"/>
        <v>99</v>
      </c>
      <c r="BI164" s="1362">
        <f t="shared" si="74"/>
        <v>0</v>
      </c>
      <c r="BJ164" s="1362">
        <f t="shared" si="58"/>
        <v>0</v>
      </c>
      <c r="BK164" s="1362">
        <f t="shared" si="80"/>
        <v>0</v>
      </c>
      <c r="BL164" s="1363">
        <f t="shared" si="59"/>
        <v>1000000</v>
      </c>
      <c r="BM164" s="1899"/>
      <c r="BN164" s="1361">
        <f t="shared" si="82"/>
        <v>99</v>
      </c>
      <c r="BO164" s="1362">
        <f t="shared" si="60"/>
        <v>0</v>
      </c>
      <c r="BP164" s="1362">
        <f t="shared" si="61"/>
        <v>8543.4723045346618</v>
      </c>
      <c r="BQ164" s="1362">
        <f t="shared" si="88"/>
        <v>8543.4723045346618</v>
      </c>
      <c r="BR164" s="1363">
        <f t="shared" si="62"/>
        <v>154196.24185107098</v>
      </c>
      <c r="BT164" s="1414"/>
      <c r="BX164" s="1364"/>
      <c r="BY164" s="1364"/>
      <c r="BZ164" s="1364"/>
      <c r="CA164" s="1364"/>
      <c r="CB164" s="1364"/>
      <c r="CC164" s="1365"/>
      <c r="CD164" s="1365"/>
      <c r="CE164" s="1365"/>
      <c r="CF164" s="1365"/>
      <c r="CG164" s="1365"/>
      <c r="CH164" s="1366"/>
      <c r="CI164" s="1366"/>
      <c r="CJ164" s="1366"/>
      <c r="CK164" s="1366"/>
      <c r="CL164" s="1365"/>
      <c r="CM164" s="1366"/>
      <c r="CN164" s="1366"/>
      <c r="CO164" s="1366"/>
      <c r="CP164" s="1366"/>
      <c r="CQ164" s="1366"/>
      <c r="CR164" s="1366"/>
      <c r="CS164" s="1365"/>
      <c r="CT164" s="1365"/>
      <c r="CU164" s="1365"/>
      <c r="CV164" s="1365"/>
      <c r="CW164" s="1365"/>
      <c r="CX164" s="1365"/>
      <c r="CY164" s="1365"/>
      <c r="CZ164" s="1365"/>
      <c r="DA164" s="1365"/>
      <c r="DB164" s="1365"/>
      <c r="DC164" s="1365"/>
      <c r="DD164" s="1365"/>
      <c r="DE164" s="1365"/>
      <c r="DF164" s="1365"/>
      <c r="DG164" s="1365"/>
      <c r="DH164" s="1365"/>
      <c r="DI164" s="1365"/>
      <c r="DJ164" s="1365"/>
      <c r="DK164" s="1365"/>
      <c r="DL164" s="1365"/>
      <c r="DM164" s="1365"/>
      <c r="DN164" s="1365"/>
      <c r="DO164" s="1365"/>
      <c r="DP164" s="1365"/>
      <c r="DQ164" s="1365"/>
      <c r="DR164" s="1365"/>
      <c r="DS164" s="1365"/>
      <c r="DT164" s="1365"/>
    </row>
    <row r="165" spans="1:124">
      <c r="A165" s="1118">
        <f t="shared" ca="1" si="53"/>
        <v>7</v>
      </c>
      <c r="B165" s="1890">
        <f t="shared" si="63"/>
        <v>0</v>
      </c>
      <c r="C165" s="2160">
        <f t="shared" si="75"/>
        <v>0</v>
      </c>
      <c r="D165" s="2161">
        <f t="shared" si="76"/>
        <v>0</v>
      </c>
      <c r="E165" s="2162">
        <f t="shared" si="64"/>
        <v>0</v>
      </c>
      <c r="F165" s="2162">
        <f t="shared" si="85"/>
        <v>0</v>
      </c>
      <c r="G165" s="2162">
        <f t="shared" si="86"/>
        <v>0</v>
      </c>
      <c r="H165" s="2162">
        <f t="shared" si="77"/>
        <v>0</v>
      </c>
      <c r="I165" s="2162">
        <f t="shared" si="84"/>
        <v>0</v>
      </c>
      <c r="J165" s="2162">
        <f t="shared" si="54"/>
        <v>0</v>
      </c>
      <c r="K165" s="2162">
        <f t="shared" si="55"/>
        <v>0</v>
      </c>
      <c r="L165" s="2162">
        <f t="shared" si="65"/>
        <v>0</v>
      </c>
      <c r="M165" s="2162">
        <f t="shared" si="56"/>
        <v>0</v>
      </c>
      <c r="N165" s="2162">
        <f t="shared" si="66"/>
        <v>0</v>
      </c>
      <c r="O165" s="2163"/>
      <c r="AG165" s="1756"/>
      <c r="AH165" s="1756"/>
      <c r="AI165" s="1756"/>
      <c r="AJ165" s="1989">
        <f t="shared" si="67"/>
        <v>4</v>
      </c>
      <c r="AK165" s="1900">
        <f t="shared" si="68"/>
        <v>0</v>
      </c>
      <c r="AL165" s="1907"/>
      <c r="AM165" s="1907"/>
      <c r="AN165" s="1901">
        <f t="shared" si="78"/>
        <v>0</v>
      </c>
      <c r="AO165" s="1906">
        <f t="shared" ca="1" si="69"/>
        <v>0</v>
      </c>
      <c r="AU165" s="1903">
        <f t="shared" si="79"/>
        <v>0</v>
      </c>
      <c r="AV165" s="1904">
        <f t="shared" si="70"/>
        <v>0</v>
      </c>
      <c r="AW165" s="1904">
        <f t="shared" si="71"/>
        <v>0</v>
      </c>
      <c r="AX165" s="1904"/>
      <c r="AY165" s="1904"/>
      <c r="AZ165" s="1904"/>
      <c r="BA165" s="1904"/>
      <c r="BB165" s="1897">
        <f t="shared" si="72"/>
        <v>0</v>
      </c>
      <c r="BC165" s="1897">
        <f t="shared" si="57"/>
        <v>0</v>
      </c>
      <c r="BD165" s="1898" t="e">
        <f>HLOOKUP($BD$63,anticipaplus,101,0)</f>
        <v>#N/A</v>
      </c>
      <c r="BE165" s="1899"/>
      <c r="BF165" s="1899"/>
      <c r="BG165" s="1360">
        <f t="shared" si="73"/>
        <v>0</v>
      </c>
      <c r="BH165" s="1361">
        <f t="shared" si="81"/>
        <v>100</v>
      </c>
      <c r="BI165" s="1362">
        <f t="shared" si="74"/>
        <v>0</v>
      </c>
      <c r="BJ165" s="1362">
        <f t="shared" si="58"/>
        <v>0</v>
      </c>
      <c r="BK165" s="1362">
        <f t="shared" si="80"/>
        <v>0</v>
      </c>
      <c r="BL165" s="1363">
        <f t="shared" si="59"/>
        <v>1000000</v>
      </c>
      <c r="BM165" s="1899"/>
      <c r="BN165" s="1361">
        <f t="shared" si="82"/>
        <v>100</v>
      </c>
      <c r="BO165" s="1362">
        <f t="shared" si="60"/>
        <v>0</v>
      </c>
      <c r="BP165" s="1362">
        <f t="shared" si="61"/>
        <v>8543.4723045346618</v>
      </c>
      <c r="BQ165" s="1362">
        <f t="shared" si="88"/>
        <v>8543.4723045346618</v>
      </c>
      <c r="BR165" s="1363">
        <f t="shared" si="62"/>
        <v>145652.76954653632</v>
      </c>
      <c r="BT165" s="1414"/>
      <c r="BX165" s="1364"/>
      <c r="BY165" s="1364"/>
      <c r="BZ165" s="1364"/>
      <c r="CA165" s="1364"/>
      <c r="CB165" s="1364"/>
      <c r="CC165" s="1365"/>
      <c r="CD165" s="1365"/>
      <c r="CE165" s="1365"/>
      <c r="CF165" s="1365"/>
      <c r="CG165" s="1365"/>
      <c r="CH165" s="1366"/>
      <c r="CI165" s="1366"/>
      <c r="CJ165" s="1366"/>
      <c r="CK165" s="1366"/>
      <c r="CL165" s="1365"/>
      <c r="CM165" s="1366"/>
      <c r="CN165" s="1366"/>
      <c r="CO165" s="1366"/>
      <c r="CP165" s="1366"/>
      <c r="CQ165" s="1366"/>
      <c r="CR165" s="1366"/>
      <c r="CS165" s="1365"/>
      <c r="CT165" s="1365"/>
      <c r="CU165" s="1365"/>
      <c r="CV165" s="1365"/>
      <c r="CW165" s="1365"/>
      <c r="CX165" s="1365"/>
      <c r="CY165" s="1365"/>
      <c r="CZ165" s="1365"/>
      <c r="DA165" s="1365"/>
      <c r="DB165" s="1365"/>
      <c r="DC165" s="1365"/>
      <c r="DD165" s="1365"/>
      <c r="DE165" s="1365"/>
      <c r="DF165" s="1365"/>
      <c r="DG165" s="1365"/>
      <c r="DH165" s="1365"/>
      <c r="DI165" s="1365"/>
      <c r="DJ165" s="1365"/>
      <c r="DK165" s="1365"/>
      <c r="DL165" s="1365"/>
      <c r="DM165" s="1365"/>
      <c r="DN165" s="1365"/>
      <c r="DO165" s="1365"/>
      <c r="DP165" s="1365"/>
      <c r="DQ165" s="1365"/>
      <c r="DR165" s="1365"/>
      <c r="DS165" s="1365"/>
      <c r="DT165" s="1365"/>
    </row>
    <row r="166" spans="1:124">
      <c r="A166" s="1118">
        <f t="shared" ca="1" si="53"/>
        <v>8</v>
      </c>
      <c r="B166" s="1890">
        <f t="shared" si="63"/>
        <v>0</v>
      </c>
      <c r="C166" s="2160">
        <f t="shared" si="75"/>
        <v>0</v>
      </c>
      <c r="D166" s="2161">
        <f t="shared" si="76"/>
        <v>0</v>
      </c>
      <c r="E166" s="2162">
        <f t="shared" si="64"/>
        <v>0</v>
      </c>
      <c r="F166" s="2162">
        <f t="shared" si="85"/>
        <v>0</v>
      </c>
      <c r="G166" s="2162">
        <f t="shared" si="86"/>
        <v>0</v>
      </c>
      <c r="H166" s="2162">
        <f t="shared" si="77"/>
        <v>0</v>
      </c>
      <c r="I166" s="2162">
        <f t="shared" si="84"/>
        <v>0</v>
      </c>
      <c r="J166" s="2162">
        <f t="shared" si="54"/>
        <v>0</v>
      </c>
      <c r="K166" s="2162">
        <f t="shared" si="55"/>
        <v>0</v>
      </c>
      <c r="L166" s="2162">
        <f t="shared" si="65"/>
        <v>0</v>
      </c>
      <c r="M166" s="2162">
        <f t="shared" si="56"/>
        <v>0</v>
      </c>
      <c r="N166" s="2162">
        <f t="shared" si="66"/>
        <v>0</v>
      </c>
      <c r="O166" s="2163"/>
      <c r="AG166" s="1756"/>
      <c r="AH166" s="1756"/>
      <c r="AI166" s="1756"/>
      <c r="AJ166" s="1989">
        <f t="shared" si="67"/>
        <v>5</v>
      </c>
      <c r="AK166" s="1900">
        <f t="shared" si="68"/>
        <v>0</v>
      </c>
      <c r="AL166" s="1907"/>
      <c r="AM166" s="1907"/>
      <c r="AN166" s="1901">
        <f t="shared" si="78"/>
        <v>0</v>
      </c>
      <c r="AO166" s="1906">
        <f t="shared" ca="1" si="69"/>
        <v>0</v>
      </c>
      <c r="AU166" s="1903">
        <f t="shared" si="79"/>
        <v>0</v>
      </c>
      <c r="AV166" s="1904">
        <f t="shared" si="70"/>
        <v>0</v>
      </c>
      <c r="AW166" s="1904">
        <f t="shared" si="71"/>
        <v>0</v>
      </c>
      <c r="AX166" s="1904"/>
      <c r="AY166" s="1904"/>
      <c r="AZ166" s="1904"/>
      <c r="BA166" s="1904"/>
      <c r="BB166" s="1897">
        <f t="shared" si="72"/>
        <v>0</v>
      </c>
      <c r="BC166" s="1897">
        <f t="shared" si="57"/>
        <v>0</v>
      </c>
      <c r="BD166" s="1898" t="e">
        <f>HLOOKUP($BD$63,anticipaplus,102,0)</f>
        <v>#N/A</v>
      </c>
      <c r="BE166" s="1899"/>
      <c r="BF166" s="1899"/>
      <c r="BG166" s="1360">
        <f t="shared" si="73"/>
        <v>0</v>
      </c>
      <c r="BH166" s="1361">
        <f t="shared" si="81"/>
        <v>101</v>
      </c>
      <c r="BI166" s="1362">
        <f t="shared" si="74"/>
        <v>0</v>
      </c>
      <c r="BJ166" s="1362">
        <f t="shared" si="58"/>
        <v>0</v>
      </c>
      <c r="BK166" s="1362">
        <f t="shared" si="80"/>
        <v>0</v>
      </c>
      <c r="BL166" s="1363">
        <f t="shared" si="59"/>
        <v>1000000</v>
      </c>
      <c r="BM166" s="1899"/>
      <c r="BN166" s="1361">
        <f t="shared" si="82"/>
        <v>101</v>
      </c>
      <c r="BO166" s="1362">
        <f t="shared" si="60"/>
        <v>0</v>
      </c>
      <c r="BP166" s="1362">
        <f t="shared" si="61"/>
        <v>8543.4723045346618</v>
      </c>
      <c r="BQ166" s="1362">
        <f t="shared" si="88"/>
        <v>8543.4723045346618</v>
      </c>
      <c r="BR166" s="1363">
        <f t="shared" si="62"/>
        <v>137109.29724200166</v>
      </c>
      <c r="BT166" s="1414"/>
      <c r="BX166" s="1364"/>
      <c r="BY166" s="1364"/>
      <c r="BZ166" s="1364"/>
      <c r="CA166" s="1364"/>
      <c r="CB166" s="1364"/>
      <c r="CC166" s="1365"/>
      <c r="CD166" s="1365"/>
      <c r="CE166" s="1365"/>
      <c r="CF166" s="1365"/>
      <c r="CG166" s="1365"/>
      <c r="CH166" s="1366"/>
      <c r="CI166" s="1366"/>
      <c r="CJ166" s="1366"/>
      <c r="CK166" s="1366"/>
      <c r="CL166" s="1365"/>
      <c r="CM166" s="1366"/>
      <c r="CN166" s="1366"/>
      <c r="CO166" s="1366"/>
      <c r="CP166" s="1366"/>
      <c r="CQ166" s="1366"/>
      <c r="CR166" s="1366"/>
      <c r="CS166" s="1365"/>
      <c r="CT166" s="1365"/>
      <c r="CU166" s="1365"/>
      <c r="CV166" s="1365"/>
      <c r="CW166" s="1365"/>
      <c r="CX166" s="1365"/>
      <c r="CY166" s="1365"/>
      <c r="CZ166" s="1365"/>
      <c r="DA166" s="1365"/>
      <c r="DB166" s="1365"/>
      <c r="DC166" s="1365"/>
      <c r="DD166" s="1365"/>
      <c r="DE166" s="1365"/>
      <c r="DF166" s="1365"/>
      <c r="DG166" s="1365"/>
      <c r="DH166" s="1365"/>
      <c r="DI166" s="1365"/>
      <c r="DJ166" s="1365"/>
      <c r="DK166" s="1365"/>
      <c r="DL166" s="1365"/>
      <c r="DM166" s="1365"/>
      <c r="DN166" s="1365"/>
      <c r="DO166" s="1365"/>
      <c r="DP166" s="1365"/>
      <c r="DQ166" s="1365"/>
      <c r="DR166" s="1365"/>
      <c r="DS166" s="1365"/>
      <c r="DT166" s="1365"/>
    </row>
    <row r="167" spans="1:124">
      <c r="A167" s="1118">
        <f t="shared" ca="1" si="53"/>
        <v>9</v>
      </c>
      <c r="B167" s="1890">
        <f t="shared" si="63"/>
        <v>0</v>
      </c>
      <c r="C167" s="2160">
        <f t="shared" si="75"/>
        <v>0</v>
      </c>
      <c r="D167" s="2161">
        <f t="shared" si="76"/>
        <v>0</v>
      </c>
      <c r="E167" s="2162">
        <f t="shared" si="64"/>
        <v>0</v>
      </c>
      <c r="F167" s="2162">
        <f t="shared" si="85"/>
        <v>0</v>
      </c>
      <c r="G167" s="2162">
        <f t="shared" si="86"/>
        <v>0</v>
      </c>
      <c r="H167" s="2162">
        <f t="shared" si="77"/>
        <v>0</v>
      </c>
      <c r="I167" s="2162">
        <f t="shared" si="84"/>
        <v>0</v>
      </c>
      <c r="J167" s="2162">
        <f t="shared" si="54"/>
        <v>0</v>
      </c>
      <c r="K167" s="2162">
        <f t="shared" si="55"/>
        <v>0</v>
      </c>
      <c r="L167" s="2162">
        <f t="shared" si="65"/>
        <v>0</v>
      </c>
      <c r="M167" s="2162">
        <f t="shared" si="56"/>
        <v>0</v>
      </c>
      <c r="N167" s="2162">
        <f t="shared" si="66"/>
        <v>0</v>
      </c>
      <c r="O167" s="2163"/>
      <c r="AG167" s="1756"/>
      <c r="AH167" s="1756"/>
      <c r="AI167" s="1756"/>
      <c r="AJ167" s="1989">
        <f t="shared" si="67"/>
        <v>6</v>
      </c>
      <c r="AK167" s="1900">
        <f t="shared" si="68"/>
        <v>0</v>
      </c>
      <c r="AL167" s="1907"/>
      <c r="AM167" s="1907"/>
      <c r="AN167" s="1901">
        <f t="shared" si="78"/>
        <v>0</v>
      </c>
      <c r="AO167" s="1906">
        <f t="shared" ca="1" si="69"/>
        <v>0</v>
      </c>
      <c r="AU167" s="1903">
        <f t="shared" si="79"/>
        <v>0</v>
      </c>
      <c r="AV167" s="1904">
        <f t="shared" si="70"/>
        <v>0</v>
      </c>
      <c r="AW167" s="1904">
        <f t="shared" si="71"/>
        <v>0</v>
      </c>
      <c r="AX167" s="1904"/>
      <c r="AY167" s="1904"/>
      <c r="AZ167" s="1904"/>
      <c r="BA167" s="1904"/>
      <c r="BB167" s="1897">
        <f t="shared" si="72"/>
        <v>0</v>
      </c>
      <c r="BC167" s="1897">
        <f t="shared" si="57"/>
        <v>0</v>
      </c>
      <c r="BD167" s="1898" t="e">
        <f>HLOOKUP($BD$63,anticipaplus,103,0)</f>
        <v>#N/A</v>
      </c>
      <c r="BE167" s="1899"/>
      <c r="BF167" s="1899"/>
      <c r="BG167" s="1360">
        <f t="shared" si="73"/>
        <v>0</v>
      </c>
      <c r="BH167" s="1361">
        <f t="shared" si="81"/>
        <v>102</v>
      </c>
      <c r="BI167" s="1362">
        <f t="shared" si="74"/>
        <v>0</v>
      </c>
      <c r="BJ167" s="1362">
        <f t="shared" si="58"/>
        <v>0</v>
      </c>
      <c r="BK167" s="1362">
        <f t="shared" si="80"/>
        <v>0</v>
      </c>
      <c r="BL167" s="1363">
        <f t="shared" si="59"/>
        <v>1000000</v>
      </c>
      <c r="BM167" s="1899"/>
      <c r="BN167" s="1361">
        <f t="shared" si="82"/>
        <v>102</v>
      </c>
      <c r="BO167" s="1362">
        <f t="shared" si="60"/>
        <v>0</v>
      </c>
      <c r="BP167" s="1362">
        <f t="shared" si="61"/>
        <v>8543.4723045346618</v>
      </c>
      <c r="BQ167" s="1362">
        <f t="shared" si="88"/>
        <v>8543.4723045346618</v>
      </c>
      <c r="BR167" s="1363">
        <f t="shared" si="62"/>
        <v>128565.824937467</v>
      </c>
      <c r="BT167" s="1414"/>
      <c r="BX167" s="1364"/>
      <c r="BY167" s="1364"/>
      <c r="BZ167" s="1364"/>
      <c r="CA167" s="1364"/>
      <c r="CB167" s="1364"/>
      <c r="CC167" s="1365"/>
      <c r="CD167" s="1365"/>
      <c r="CE167" s="1365"/>
      <c r="CF167" s="1365"/>
      <c r="CG167" s="1365"/>
      <c r="CH167" s="1366"/>
      <c r="CI167" s="1366"/>
      <c r="CJ167" s="1366"/>
      <c r="CK167" s="1366"/>
      <c r="CL167" s="1365"/>
      <c r="CM167" s="1366"/>
      <c r="CN167" s="1366"/>
      <c r="CO167" s="1366"/>
      <c r="CP167" s="1366"/>
      <c r="CQ167" s="1366"/>
      <c r="CR167" s="1366"/>
      <c r="CS167" s="1365"/>
      <c r="CT167" s="1365"/>
      <c r="CU167" s="1365"/>
      <c r="CV167" s="1365"/>
      <c r="CW167" s="1365"/>
      <c r="CX167" s="1365"/>
      <c r="CY167" s="1365"/>
      <c r="CZ167" s="1365"/>
      <c r="DA167" s="1365"/>
      <c r="DB167" s="1365"/>
      <c r="DC167" s="1365"/>
      <c r="DD167" s="1365"/>
      <c r="DE167" s="1365"/>
      <c r="DF167" s="1365"/>
      <c r="DG167" s="1365"/>
      <c r="DH167" s="1365"/>
      <c r="DI167" s="1365"/>
      <c r="DJ167" s="1365"/>
      <c r="DK167" s="1365"/>
      <c r="DL167" s="1365"/>
      <c r="DM167" s="1365"/>
      <c r="DN167" s="1365"/>
      <c r="DO167" s="1365"/>
      <c r="DP167" s="1365"/>
      <c r="DQ167" s="1365"/>
      <c r="DR167" s="1365"/>
      <c r="DS167" s="1365"/>
      <c r="DT167" s="1365"/>
    </row>
    <row r="168" spans="1:124">
      <c r="A168" s="1118">
        <f t="shared" ca="1" si="53"/>
        <v>10</v>
      </c>
      <c r="B168" s="1890">
        <f t="shared" si="63"/>
        <v>0</v>
      </c>
      <c r="C168" s="2160">
        <f t="shared" si="75"/>
        <v>0</v>
      </c>
      <c r="D168" s="2161">
        <f t="shared" si="76"/>
        <v>0</v>
      </c>
      <c r="E168" s="2162">
        <f t="shared" si="64"/>
        <v>0</v>
      </c>
      <c r="F168" s="2162">
        <f t="shared" si="85"/>
        <v>0</v>
      </c>
      <c r="G168" s="2162">
        <f t="shared" si="86"/>
        <v>0</v>
      </c>
      <c r="H168" s="2162">
        <f t="shared" si="77"/>
        <v>0</v>
      </c>
      <c r="I168" s="2162">
        <f t="shared" si="84"/>
        <v>0</v>
      </c>
      <c r="J168" s="2162">
        <f t="shared" si="54"/>
        <v>0</v>
      </c>
      <c r="K168" s="2162">
        <f t="shared" si="55"/>
        <v>0</v>
      </c>
      <c r="L168" s="2162">
        <f t="shared" si="65"/>
        <v>0</v>
      </c>
      <c r="M168" s="2162">
        <f t="shared" si="56"/>
        <v>0</v>
      </c>
      <c r="N168" s="2162">
        <f t="shared" si="66"/>
        <v>0</v>
      </c>
      <c r="O168" s="2163"/>
      <c r="AG168" s="1756"/>
      <c r="AH168" s="1756"/>
      <c r="AI168" s="1756"/>
      <c r="AJ168" s="1989">
        <f t="shared" si="67"/>
        <v>7</v>
      </c>
      <c r="AK168" s="1900">
        <f t="shared" si="68"/>
        <v>0</v>
      </c>
      <c r="AL168" s="1907"/>
      <c r="AM168" s="1907"/>
      <c r="AN168" s="1901">
        <f t="shared" si="78"/>
        <v>0</v>
      </c>
      <c r="AO168" s="1906">
        <f t="shared" ca="1" si="69"/>
        <v>0</v>
      </c>
      <c r="AU168" s="1903">
        <f t="shared" si="79"/>
        <v>0</v>
      </c>
      <c r="AV168" s="1904">
        <f t="shared" si="70"/>
        <v>0</v>
      </c>
      <c r="AW168" s="1904">
        <f t="shared" si="71"/>
        <v>0</v>
      </c>
      <c r="AX168" s="1904"/>
      <c r="AY168" s="1904"/>
      <c r="AZ168" s="1904"/>
      <c r="BA168" s="1904"/>
      <c r="BB168" s="1897">
        <f t="shared" si="72"/>
        <v>0</v>
      </c>
      <c r="BC168" s="1897">
        <f t="shared" si="57"/>
        <v>0</v>
      </c>
      <c r="BD168" s="1898" t="e">
        <f>HLOOKUP($BD$63,anticipaplus,104,0)</f>
        <v>#N/A</v>
      </c>
      <c r="BE168" s="1899"/>
      <c r="BF168" s="1899"/>
      <c r="BG168" s="1360">
        <f t="shared" si="73"/>
        <v>0</v>
      </c>
      <c r="BH168" s="1361">
        <f t="shared" si="81"/>
        <v>103</v>
      </c>
      <c r="BI168" s="1362">
        <f t="shared" si="74"/>
        <v>0</v>
      </c>
      <c r="BJ168" s="1362">
        <f t="shared" si="58"/>
        <v>0</v>
      </c>
      <c r="BK168" s="1362">
        <f t="shared" si="80"/>
        <v>0</v>
      </c>
      <c r="BL168" s="1363">
        <f t="shared" si="59"/>
        <v>1000000</v>
      </c>
      <c r="BM168" s="1899"/>
      <c r="BN168" s="1361">
        <f t="shared" si="82"/>
        <v>103</v>
      </c>
      <c r="BO168" s="1362">
        <f t="shared" si="60"/>
        <v>0</v>
      </c>
      <c r="BP168" s="1362">
        <f t="shared" si="61"/>
        <v>8543.4723045346618</v>
      </c>
      <c r="BQ168" s="1362">
        <f t="shared" si="88"/>
        <v>8543.4723045346618</v>
      </c>
      <c r="BR168" s="1363">
        <f t="shared" si="62"/>
        <v>120022.35263293234</v>
      </c>
      <c r="BT168" s="1414"/>
      <c r="BX168" s="1364"/>
      <c r="BY168" s="1364"/>
      <c r="BZ168" s="1364"/>
      <c r="CA168" s="1364"/>
      <c r="CB168" s="1364"/>
      <c r="CC168" s="1365"/>
      <c r="CD168" s="1365"/>
      <c r="CE168" s="1365"/>
      <c r="CF168" s="1365"/>
      <c r="CG168" s="1365"/>
      <c r="CH168" s="1366"/>
      <c r="CI168" s="1366"/>
      <c r="CJ168" s="1366"/>
      <c r="CK168" s="1366"/>
      <c r="CL168" s="1365"/>
      <c r="CM168" s="1366"/>
      <c r="CN168" s="1366"/>
      <c r="CO168" s="1366"/>
      <c r="CP168" s="1366"/>
      <c r="CQ168" s="1366"/>
      <c r="CR168" s="1366"/>
      <c r="CS168" s="1365"/>
      <c r="CT168" s="1365"/>
      <c r="CU168" s="1365"/>
      <c r="CV168" s="1365"/>
      <c r="CW168" s="1365"/>
      <c r="CX168" s="1365"/>
      <c r="CY168" s="1365"/>
      <c r="CZ168" s="1365"/>
      <c r="DA168" s="1365"/>
      <c r="DB168" s="1365"/>
      <c r="DC168" s="1365"/>
      <c r="DD168" s="1365"/>
      <c r="DE168" s="1365"/>
      <c r="DF168" s="1365"/>
      <c r="DG168" s="1365"/>
      <c r="DH168" s="1365"/>
      <c r="DI168" s="1365"/>
      <c r="DJ168" s="1365"/>
      <c r="DK168" s="1365"/>
      <c r="DL168" s="1365"/>
      <c r="DM168" s="1365"/>
      <c r="DN168" s="1365"/>
      <c r="DO168" s="1365"/>
      <c r="DP168" s="1365"/>
      <c r="DQ168" s="1365"/>
      <c r="DR168" s="1365"/>
      <c r="DS168" s="1365"/>
      <c r="DT168" s="1365"/>
    </row>
    <row r="169" spans="1:124">
      <c r="A169" s="1118">
        <f t="shared" ca="1" si="53"/>
        <v>11</v>
      </c>
      <c r="B169" s="1890">
        <f t="shared" si="63"/>
        <v>0</v>
      </c>
      <c r="C169" s="2160">
        <f t="shared" si="75"/>
        <v>0</v>
      </c>
      <c r="D169" s="2161">
        <f t="shared" si="76"/>
        <v>0</v>
      </c>
      <c r="E169" s="2162">
        <f t="shared" si="64"/>
        <v>0</v>
      </c>
      <c r="F169" s="2162">
        <f t="shared" si="85"/>
        <v>0</v>
      </c>
      <c r="G169" s="2162">
        <f t="shared" si="86"/>
        <v>0</v>
      </c>
      <c r="H169" s="2162">
        <f t="shared" si="77"/>
        <v>0</v>
      </c>
      <c r="I169" s="2162">
        <f t="shared" si="84"/>
        <v>0</v>
      </c>
      <c r="J169" s="2162">
        <f t="shared" si="54"/>
        <v>0</v>
      </c>
      <c r="K169" s="2162">
        <f t="shared" si="55"/>
        <v>0</v>
      </c>
      <c r="L169" s="2162">
        <f t="shared" si="65"/>
        <v>0</v>
      </c>
      <c r="M169" s="2162">
        <f t="shared" si="56"/>
        <v>0</v>
      </c>
      <c r="N169" s="2162">
        <f t="shared" si="66"/>
        <v>0</v>
      </c>
      <c r="O169" s="2163"/>
      <c r="AG169" s="1756"/>
      <c r="AH169" s="1756"/>
      <c r="AI169" s="1756"/>
      <c r="AJ169" s="1989">
        <f t="shared" si="67"/>
        <v>8</v>
      </c>
      <c r="AK169" s="1900">
        <f t="shared" si="68"/>
        <v>0</v>
      </c>
      <c r="AL169" s="1907"/>
      <c r="AM169" s="1907"/>
      <c r="AN169" s="1901">
        <f t="shared" si="78"/>
        <v>0</v>
      </c>
      <c r="AO169" s="1906">
        <f t="shared" ca="1" si="69"/>
        <v>0</v>
      </c>
      <c r="AU169" s="1903">
        <f t="shared" si="79"/>
        <v>0</v>
      </c>
      <c r="AV169" s="1904">
        <f t="shared" si="70"/>
        <v>0</v>
      </c>
      <c r="AW169" s="1904">
        <f t="shared" si="71"/>
        <v>0</v>
      </c>
      <c r="AX169" s="1904"/>
      <c r="AY169" s="1904"/>
      <c r="AZ169" s="1904"/>
      <c r="BA169" s="1904"/>
      <c r="BB169" s="1897">
        <f t="shared" si="72"/>
        <v>0</v>
      </c>
      <c r="BC169" s="1897">
        <f t="shared" si="57"/>
        <v>0</v>
      </c>
      <c r="BD169" s="1898" t="e">
        <f>HLOOKUP($BD$63,anticipaplus,105,0)</f>
        <v>#N/A</v>
      </c>
      <c r="BE169" s="1899"/>
      <c r="BF169" s="1899"/>
      <c r="BG169" s="1360">
        <f t="shared" si="73"/>
        <v>0</v>
      </c>
      <c r="BH169" s="1361">
        <f t="shared" si="81"/>
        <v>104</v>
      </c>
      <c r="BI169" s="1362">
        <f t="shared" si="74"/>
        <v>0</v>
      </c>
      <c r="BJ169" s="1362">
        <f t="shared" si="58"/>
        <v>0</v>
      </c>
      <c r="BK169" s="1362">
        <f t="shared" si="80"/>
        <v>0</v>
      </c>
      <c r="BL169" s="1363">
        <f t="shared" si="59"/>
        <v>1000000</v>
      </c>
      <c r="BM169" s="1899"/>
      <c r="BN169" s="1361">
        <f t="shared" si="82"/>
        <v>104</v>
      </c>
      <c r="BO169" s="1362">
        <f t="shared" si="60"/>
        <v>0</v>
      </c>
      <c r="BP169" s="1362">
        <f t="shared" si="61"/>
        <v>8543.4723045346618</v>
      </c>
      <c r="BQ169" s="1362">
        <f t="shared" si="88"/>
        <v>8543.4723045346618</v>
      </c>
      <c r="BR169" s="1363">
        <f t="shared" si="62"/>
        <v>111478.88032839767</v>
      </c>
      <c r="BT169" s="1414"/>
      <c r="BX169" s="1364"/>
      <c r="BY169" s="1364"/>
      <c r="BZ169" s="1364"/>
      <c r="CA169" s="1364"/>
      <c r="CB169" s="1364"/>
      <c r="CC169" s="1365"/>
      <c r="CD169" s="1365"/>
      <c r="CE169" s="1365"/>
      <c r="CF169" s="1365"/>
      <c r="CG169" s="1365"/>
      <c r="CH169" s="1366"/>
      <c r="CI169" s="1366"/>
      <c r="CJ169" s="1366"/>
      <c r="CK169" s="1366"/>
      <c r="CL169" s="1365"/>
      <c r="CM169" s="1366"/>
      <c r="CN169" s="1366"/>
      <c r="CO169" s="1366"/>
      <c r="CP169" s="1366"/>
      <c r="CQ169" s="1366"/>
      <c r="CR169" s="1366"/>
      <c r="CS169" s="1365"/>
      <c r="CT169" s="1365"/>
      <c r="CU169" s="1365"/>
      <c r="CV169" s="1365"/>
      <c r="CW169" s="1365"/>
      <c r="CX169" s="1365"/>
      <c r="CY169" s="1365"/>
      <c r="CZ169" s="1365"/>
      <c r="DA169" s="1365"/>
      <c r="DB169" s="1365"/>
      <c r="DC169" s="1365"/>
      <c r="DD169" s="1365"/>
      <c r="DE169" s="1365"/>
      <c r="DF169" s="1365"/>
      <c r="DG169" s="1365"/>
      <c r="DH169" s="1365"/>
      <c r="DI169" s="1365"/>
      <c r="DJ169" s="1365"/>
      <c r="DK169" s="1365"/>
      <c r="DL169" s="1365"/>
      <c r="DM169" s="1365"/>
      <c r="DN169" s="1365"/>
      <c r="DO169" s="1365"/>
      <c r="DP169" s="1365"/>
      <c r="DQ169" s="1365"/>
      <c r="DR169" s="1365"/>
      <c r="DS169" s="1365"/>
      <c r="DT169" s="1365"/>
    </row>
    <row r="170" spans="1:124">
      <c r="A170" s="1118">
        <f t="shared" ca="1" si="53"/>
        <v>12</v>
      </c>
      <c r="B170" s="1890">
        <f t="shared" si="63"/>
        <v>0</v>
      </c>
      <c r="C170" s="2160">
        <f t="shared" si="75"/>
        <v>0</v>
      </c>
      <c r="D170" s="2161">
        <f t="shared" si="76"/>
        <v>0</v>
      </c>
      <c r="E170" s="2162">
        <f t="shared" si="64"/>
        <v>0</v>
      </c>
      <c r="F170" s="2162">
        <f t="shared" si="85"/>
        <v>0</v>
      </c>
      <c r="G170" s="2162">
        <f t="shared" si="86"/>
        <v>0</v>
      </c>
      <c r="H170" s="2162">
        <f t="shared" si="77"/>
        <v>0</v>
      </c>
      <c r="I170" s="2162">
        <f t="shared" si="84"/>
        <v>0</v>
      </c>
      <c r="J170" s="2162">
        <f t="shared" si="54"/>
        <v>0</v>
      </c>
      <c r="K170" s="2162">
        <f t="shared" si="55"/>
        <v>0</v>
      </c>
      <c r="L170" s="2162">
        <f t="shared" si="65"/>
        <v>0</v>
      </c>
      <c r="M170" s="2162">
        <f t="shared" si="56"/>
        <v>0</v>
      </c>
      <c r="N170" s="2162">
        <f t="shared" si="66"/>
        <v>0</v>
      </c>
      <c r="O170" s="2163"/>
      <c r="AG170" s="1756"/>
      <c r="AH170" s="1756"/>
      <c r="AI170" s="1756"/>
      <c r="AJ170" s="1989">
        <f t="shared" si="67"/>
        <v>9</v>
      </c>
      <c r="AK170" s="1900">
        <f t="shared" si="68"/>
        <v>0</v>
      </c>
      <c r="AL170" s="1907"/>
      <c r="AM170" s="1907"/>
      <c r="AN170" s="1901">
        <f t="shared" si="78"/>
        <v>0</v>
      </c>
      <c r="AO170" s="1906">
        <f t="shared" ca="1" si="69"/>
        <v>0</v>
      </c>
      <c r="AU170" s="1903">
        <f t="shared" si="79"/>
        <v>0</v>
      </c>
      <c r="AV170" s="1904">
        <f t="shared" si="70"/>
        <v>0</v>
      </c>
      <c r="AW170" s="1904">
        <f t="shared" si="71"/>
        <v>0</v>
      </c>
      <c r="AX170" s="1904"/>
      <c r="AY170" s="1904"/>
      <c r="AZ170" s="1904"/>
      <c r="BA170" s="1904"/>
      <c r="BB170" s="1897">
        <f t="shared" si="72"/>
        <v>0</v>
      </c>
      <c r="BC170" s="1897">
        <f t="shared" si="57"/>
        <v>0</v>
      </c>
      <c r="BD170" s="1898" t="e">
        <f>HLOOKUP($BD$63,anticipaplus,106,0)</f>
        <v>#N/A</v>
      </c>
      <c r="BE170" s="1899"/>
      <c r="BF170" s="1899"/>
      <c r="BG170" s="1360">
        <f t="shared" si="73"/>
        <v>0</v>
      </c>
      <c r="BH170" s="1361">
        <f t="shared" si="81"/>
        <v>105</v>
      </c>
      <c r="BI170" s="1362">
        <f t="shared" si="74"/>
        <v>0</v>
      </c>
      <c r="BJ170" s="1362">
        <f t="shared" si="58"/>
        <v>0</v>
      </c>
      <c r="BK170" s="1362">
        <f t="shared" si="80"/>
        <v>0</v>
      </c>
      <c r="BL170" s="1363">
        <f t="shared" si="59"/>
        <v>1000000</v>
      </c>
      <c r="BM170" s="1899"/>
      <c r="BN170" s="1361">
        <f t="shared" si="82"/>
        <v>105</v>
      </c>
      <c r="BO170" s="1362">
        <f t="shared" si="60"/>
        <v>0</v>
      </c>
      <c r="BP170" s="1362">
        <f t="shared" si="61"/>
        <v>8543.4723045346618</v>
      </c>
      <c r="BQ170" s="1362">
        <f t="shared" si="88"/>
        <v>8543.4723045346618</v>
      </c>
      <c r="BR170" s="1363">
        <f t="shared" si="62"/>
        <v>102935.40802386301</v>
      </c>
      <c r="BT170" s="1414"/>
      <c r="BX170" s="1364"/>
      <c r="BY170" s="1364"/>
      <c r="BZ170" s="1364"/>
      <c r="CA170" s="1364"/>
      <c r="CB170" s="1364"/>
      <c r="CC170" s="1365"/>
      <c r="CD170" s="1365"/>
      <c r="CE170" s="1365"/>
      <c r="CF170" s="1365"/>
      <c r="CG170" s="1365"/>
      <c r="CH170" s="1366"/>
      <c r="CI170" s="1366"/>
      <c r="CJ170" s="1366"/>
      <c r="CK170" s="1366"/>
      <c r="CL170" s="1365"/>
      <c r="CM170" s="1366"/>
      <c r="CN170" s="1366"/>
      <c r="CO170" s="1366"/>
      <c r="CP170" s="1366"/>
      <c r="CQ170" s="1366"/>
      <c r="CR170" s="1366"/>
      <c r="CS170" s="1365"/>
      <c r="CT170" s="1365"/>
      <c r="CU170" s="1365"/>
      <c r="CV170" s="1365"/>
      <c r="CW170" s="1365"/>
      <c r="CX170" s="1365"/>
      <c r="CY170" s="1365"/>
      <c r="CZ170" s="1365"/>
      <c r="DA170" s="1365"/>
      <c r="DB170" s="1365"/>
      <c r="DC170" s="1365"/>
      <c r="DD170" s="1365"/>
      <c r="DE170" s="1365"/>
      <c r="DF170" s="1365"/>
      <c r="DG170" s="1365"/>
      <c r="DH170" s="1365"/>
      <c r="DI170" s="1365"/>
      <c r="DJ170" s="1365"/>
      <c r="DK170" s="1365"/>
      <c r="DL170" s="1365"/>
      <c r="DM170" s="1365"/>
      <c r="DN170" s="1365"/>
      <c r="DO170" s="1365"/>
      <c r="DP170" s="1365"/>
      <c r="DQ170" s="1365"/>
      <c r="DR170" s="1365"/>
      <c r="DS170" s="1365"/>
      <c r="DT170" s="1365"/>
    </row>
    <row r="171" spans="1:124">
      <c r="A171" s="1118">
        <f t="shared" ca="1" si="53"/>
        <v>1</v>
      </c>
      <c r="B171" s="1890">
        <f t="shared" si="63"/>
        <v>0</v>
      </c>
      <c r="C171" s="2160">
        <f t="shared" si="75"/>
        <v>0</v>
      </c>
      <c r="D171" s="2161">
        <f t="shared" si="76"/>
        <v>0</v>
      </c>
      <c r="E171" s="2162">
        <f t="shared" si="64"/>
        <v>0</v>
      </c>
      <c r="F171" s="2162">
        <f t="shared" si="85"/>
        <v>0</v>
      </c>
      <c r="G171" s="2162">
        <f t="shared" si="86"/>
        <v>0</v>
      </c>
      <c r="H171" s="2162">
        <f t="shared" si="77"/>
        <v>0</v>
      </c>
      <c r="I171" s="2162">
        <f t="shared" si="84"/>
        <v>0</v>
      </c>
      <c r="J171" s="2162">
        <f t="shared" si="54"/>
        <v>0</v>
      </c>
      <c r="K171" s="2162">
        <f t="shared" si="55"/>
        <v>0</v>
      </c>
      <c r="L171" s="2162">
        <f t="shared" si="65"/>
        <v>0</v>
      </c>
      <c r="M171" s="2162">
        <f t="shared" si="56"/>
        <v>0</v>
      </c>
      <c r="N171" s="2162">
        <f t="shared" si="66"/>
        <v>0</v>
      </c>
      <c r="O171" s="2163"/>
      <c r="AG171" s="1756"/>
      <c r="AH171" s="1756"/>
      <c r="AI171" s="1756"/>
      <c r="AJ171" s="1989">
        <f t="shared" si="67"/>
        <v>10</v>
      </c>
      <c r="AK171" s="1900">
        <f t="shared" si="68"/>
        <v>0</v>
      </c>
      <c r="AL171" s="1907"/>
      <c r="AM171" s="1907"/>
      <c r="AN171" s="1901">
        <f t="shared" si="78"/>
        <v>0</v>
      </c>
      <c r="AO171" s="1906">
        <f t="shared" ca="1" si="69"/>
        <v>0</v>
      </c>
      <c r="AU171" s="1903">
        <f t="shared" si="79"/>
        <v>0</v>
      </c>
      <c r="AV171" s="1904">
        <f t="shared" si="70"/>
        <v>0</v>
      </c>
      <c r="AW171" s="1904">
        <f t="shared" si="71"/>
        <v>0</v>
      </c>
      <c r="AX171" s="1904"/>
      <c r="AY171" s="1904"/>
      <c r="AZ171" s="1904"/>
      <c r="BA171" s="1904"/>
      <c r="BB171" s="1897">
        <f t="shared" si="72"/>
        <v>0</v>
      </c>
      <c r="BC171" s="1897">
        <f t="shared" si="57"/>
        <v>0</v>
      </c>
      <c r="BD171" s="1898" t="e">
        <f>HLOOKUP($BD$63,anticipaplus,107,0)</f>
        <v>#N/A</v>
      </c>
      <c r="BE171" s="1899"/>
      <c r="BF171" s="1899"/>
      <c r="BG171" s="1360">
        <f t="shared" si="73"/>
        <v>0</v>
      </c>
      <c r="BH171" s="1361">
        <f t="shared" si="81"/>
        <v>106</v>
      </c>
      <c r="BI171" s="1362">
        <f t="shared" si="74"/>
        <v>0</v>
      </c>
      <c r="BJ171" s="1362">
        <f t="shared" si="58"/>
        <v>0</v>
      </c>
      <c r="BK171" s="1362">
        <f t="shared" si="80"/>
        <v>0</v>
      </c>
      <c r="BL171" s="1363">
        <f t="shared" si="59"/>
        <v>1000000</v>
      </c>
      <c r="BM171" s="1899"/>
      <c r="BN171" s="1361">
        <f t="shared" si="82"/>
        <v>106</v>
      </c>
      <c r="BO171" s="1362">
        <f t="shared" si="60"/>
        <v>0</v>
      </c>
      <c r="BP171" s="1362">
        <f t="shared" si="61"/>
        <v>8543.4723045346618</v>
      </c>
      <c r="BQ171" s="1362">
        <f t="shared" si="88"/>
        <v>8543.4723045346618</v>
      </c>
      <c r="BR171" s="1363">
        <f t="shared" si="62"/>
        <v>94391.93571932835</v>
      </c>
      <c r="BT171" s="1414"/>
      <c r="BX171" s="1364"/>
      <c r="BY171" s="1364"/>
      <c r="BZ171" s="1364"/>
      <c r="CA171" s="1364"/>
      <c r="CB171" s="1364"/>
      <c r="CC171" s="1365"/>
      <c r="CD171" s="1365"/>
      <c r="CE171" s="1365"/>
      <c r="CF171" s="1365"/>
      <c r="CG171" s="1365"/>
      <c r="CH171" s="1366"/>
      <c r="CI171" s="1366"/>
      <c r="CJ171" s="1366"/>
      <c r="CK171" s="1366"/>
      <c r="CL171" s="1365"/>
      <c r="CM171" s="1366"/>
      <c r="CN171" s="1366"/>
      <c r="CO171" s="1366"/>
      <c r="CP171" s="1366"/>
      <c r="CQ171" s="1366"/>
      <c r="CR171" s="1366"/>
      <c r="CS171" s="1365"/>
      <c r="CT171" s="1365"/>
      <c r="CU171" s="1365"/>
      <c r="CV171" s="1365"/>
      <c r="CW171" s="1365"/>
      <c r="CX171" s="1365"/>
      <c r="CY171" s="1365"/>
      <c r="CZ171" s="1365"/>
      <c r="DA171" s="1365"/>
      <c r="DB171" s="1365"/>
      <c r="DC171" s="1365"/>
      <c r="DD171" s="1365"/>
      <c r="DE171" s="1365"/>
      <c r="DF171" s="1365"/>
      <c r="DG171" s="1365"/>
      <c r="DH171" s="1365"/>
      <c r="DI171" s="1365"/>
      <c r="DJ171" s="1365"/>
      <c r="DK171" s="1365"/>
      <c r="DL171" s="1365"/>
      <c r="DM171" s="1365"/>
      <c r="DN171" s="1365"/>
      <c r="DO171" s="1365"/>
      <c r="DP171" s="1365"/>
      <c r="DQ171" s="1365"/>
      <c r="DR171" s="1365"/>
      <c r="DS171" s="1365"/>
      <c r="DT171" s="1365"/>
    </row>
    <row r="172" spans="1:124">
      <c r="A172" s="1118">
        <f t="shared" ca="1" si="53"/>
        <v>2</v>
      </c>
      <c r="B172" s="1890">
        <f t="shared" si="63"/>
        <v>0</v>
      </c>
      <c r="C172" s="2160">
        <f t="shared" si="75"/>
        <v>0</v>
      </c>
      <c r="D172" s="2161">
        <f t="shared" si="76"/>
        <v>0</v>
      </c>
      <c r="E172" s="2162">
        <f t="shared" si="64"/>
        <v>0</v>
      </c>
      <c r="F172" s="2162">
        <f t="shared" si="85"/>
        <v>0</v>
      </c>
      <c r="G172" s="2162">
        <f t="shared" si="86"/>
        <v>0</v>
      </c>
      <c r="H172" s="2162">
        <f t="shared" si="77"/>
        <v>0</v>
      </c>
      <c r="I172" s="2162">
        <f t="shared" si="84"/>
        <v>0</v>
      </c>
      <c r="J172" s="2162">
        <f t="shared" si="54"/>
        <v>0</v>
      </c>
      <c r="K172" s="2162">
        <f t="shared" si="55"/>
        <v>0</v>
      </c>
      <c r="L172" s="2162">
        <f t="shared" si="65"/>
        <v>0</v>
      </c>
      <c r="M172" s="2162">
        <f t="shared" si="56"/>
        <v>0</v>
      </c>
      <c r="N172" s="2162">
        <f t="shared" si="66"/>
        <v>0</v>
      </c>
      <c r="O172" s="2163"/>
      <c r="AG172" s="1756"/>
      <c r="AH172" s="1756"/>
      <c r="AI172" s="1756"/>
      <c r="AJ172" s="1989">
        <f t="shared" si="67"/>
        <v>11</v>
      </c>
      <c r="AK172" s="1900">
        <f t="shared" si="68"/>
        <v>0</v>
      </c>
      <c r="AL172" s="1907"/>
      <c r="AM172" s="1907"/>
      <c r="AN172" s="1901">
        <f t="shared" si="78"/>
        <v>0</v>
      </c>
      <c r="AO172" s="1906">
        <f t="shared" ca="1" si="69"/>
        <v>0</v>
      </c>
      <c r="AU172" s="1903">
        <f t="shared" si="79"/>
        <v>0</v>
      </c>
      <c r="AV172" s="1904">
        <f t="shared" si="70"/>
        <v>0</v>
      </c>
      <c r="AW172" s="1904">
        <f t="shared" si="71"/>
        <v>0</v>
      </c>
      <c r="AX172" s="1904"/>
      <c r="AY172" s="1904"/>
      <c r="AZ172" s="1904"/>
      <c r="BA172" s="1904"/>
      <c r="BB172" s="1897">
        <f t="shared" si="72"/>
        <v>0</v>
      </c>
      <c r="BC172" s="1897">
        <f t="shared" si="57"/>
        <v>0</v>
      </c>
      <c r="BD172" s="1898" t="e">
        <f>HLOOKUP($BD$63,anticipaplus,108,0)</f>
        <v>#N/A</v>
      </c>
      <c r="BE172" s="1899"/>
      <c r="BF172" s="1899"/>
      <c r="BG172" s="1360">
        <f t="shared" si="73"/>
        <v>0</v>
      </c>
      <c r="BH172" s="1361">
        <f t="shared" si="81"/>
        <v>107</v>
      </c>
      <c r="BI172" s="1362">
        <f t="shared" si="74"/>
        <v>0</v>
      </c>
      <c r="BJ172" s="1362">
        <f t="shared" si="58"/>
        <v>0</v>
      </c>
      <c r="BK172" s="1362">
        <f t="shared" si="80"/>
        <v>0</v>
      </c>
      <c r="BL172" s="1363">
        <f t="shared" si="59"/>
        <v>1000000</v>
      </c>
      <c r="BM172" s="1899"/>
      <c r="BN172" s="1361">
        <f t="shared" si="82"/>
        <v>107</v>
      </c>
      <c r="BO172" s="1362">
        <f t="shared" si="60"/>
        <v>0</v>
      </c>
      <c r="BP172" s="1362">
        <f t="shared" si="61"/>
        <v>8543.4723045346618</v>
      </c>
      <c r="BQ172" s="1362">
        <f t="shared" si="88"/>
        <v>8543.4723045346618</v>
      </c>
      <c r="BR172" s="1363">
        <f t="shared" si="62"/>
        <v>85848.463414793689</v>
      </c>
      <c r="BT172" s="1414"/>
      <c r="BX172" s="1364"/>
      <c r="BY172" s="1364"/>
      <c r="BZ172" s="1364"/>
      <c r="CA172" s="1364"/>
      <c r="CB172" s="1364"/>
      <c r="CC172" s="1365"/>
      <c r="CD172" s="1365"/>
      <c r="CE172" s="1365"/>
      <c r="CF172" s="1365"/>
      <c r="CG172" s="1365"/>
      <c r="CH172" s="1366"/>
      <c r="CI172" s="1366"/>
      <c r="CJ172" s="1366"/>
      <c r="CK172" s="1366"/>
      <c r="CL172" s="1365"/>
      <c r="CM172" s="1366"/>
      <c r="CN172" s="1366"/>
      <c r="CO172" s="1366"/>
      <c r="CP172" s="1366"/>
      <c r="CQ172" s="1366"/>
      <c r="CR172" s="1366"/>
      <c r="CS172" s="1365"/>
      <c r="CT172" s="1365"/>
      <c r="CU172" s="1365"/>
      <c r="CV172" s="1365"/>
      <c r="CW172" s="1365"/>
      <c r="CX172" s="1365"/>
      <c r="CY172" s="1365"/>
      <c r="CZ172" s="1365"/>
      <c r="DA172" s="1365"/>
      <c r="DB172" s="1365"/>
      <c r="DC172" s="1365"/>
      <c r="DD172" s="1365"/>
      <c r="DE172" s="1365"/>
      <c r="DF172" s="1365"/>
      <c r="DG172" s="1365"/>
      <c r="DH172" s="1365"/>
      <c r="DI172" s="1365"/>
      <c r="DJ172" s="1365"/>
      <c r="DK172" s="1365"/>
      <c r="DL172" s="1365"/>
      <c r="DM172" s="1365"/>
      <c r="DN172" s="1365"/>
      <c r="DO172" s="1365"/>
      <c r="DP172" s="1365"/>
      <c r="DQ172" s="1365"/>
      <c r="DR172" s="1365"/>
      <c r="DS172" s="1365"/>
      <c r="DT172" s="1365"/>
    </row>
    <row r="173" spans="1:124">
      <c r="A173" s="1118">
        <f t="shared" ca="1" si="53"/>
        <v>3</v>
      </c>
      <c r="B173" s="1890">
        <f t="shared" si="63"/>
        <v>0</v>
      </c>
      <c r="C173" s="2160">
        <f t="shared" si="75"/>
        <v>0</v>
      </c>
      <c r="D173" s="2161">
        <f t="shared" si="76"/>
        <v>0</v>
      </c>
      <c r="E173" s="2162">
        <f t="shared" si="64"/>
        <v>0</v>
      </c>
      <c r="F173" s="2162">
        <f t="shared" si="85"/>
        <v>0</v>
      </c>
      <c r="G173" s="2162">
        <f t="shared" si="86"/>
        <v>0</v>
      </c>
      <c r="H173" s="2162">
        <f t="shared" si="77"/>
        <v>0</v>
      </c>
      <c r="I173" s="2162">
        <f t="shared" si="84"/>
        <v>0</v>
      </c>
      <c r="J173" s="2162">
        <f t="shared" si="54"/>
        <v>0</v>
      </c>
      <c r="K173" s="2162">
        <f t="shared" si="55"/>
        <v>0</v>
      </c>
      <c r="L173" s="2162">
        <f t="shared" si="65"/>
        <v>0</v>
      </c>
      <c r="M173" s="2162">
        <f t="shared" si="56"/>
        <v>0</v>
      </c>
      <c r="N173" s="2162">
        <f t="shared" si="66"/>
        <v>0</v>
      </c>
      <c r="O173" s="2163"/>
      <c r="AG173" s="1756"/>
      <c r="AH173" s="1756"/>
      <c r="AI173" s="1756"/>
      <c r="AJ173" s="1989">
        <f t="shared" si="67"/>
        <v>12</v>
      </c>
      <c r="AK173" s="1900">
        <f t="shared" si="68"/>
        <v>0</v>
      </c>
      <c r="AL173" s="1907"/>
      <c r="AM173" s="1907"/>
      <c r="AN173" s="1901">
        <f t="shared" si="78"/>
        <v>0</v>
      </c>
      <c r="AO173" s="1906">
        <f t="shared" ca="1" si="69"/>
        <v>0</v>
      </c>
      <c r="AU173" s="1903">
        <f t="shared" si="79"/>
        <v>0</v>
      </c>
      <c r="AV173" s="1904">
        <f t="shared" si="70"/>
        <v>0</v>
      </c>
      <c r="AW173" s="1904">
        <f t="shared" si="71"/>
        <v>0</v>
      </c>
      <c r="AX173" s="1904"/>
      <c r="AY173" s="1904"/>
      <c r="AZ173" s="1904"/>
      <c r="BA173" s="1904"/>
      <c r="BB173" s="1897">
        <f t="shared" si="72"/>
        <v>0</v>
      </c>
      <c r="BC173" s="1897">
        <f t="shared" si="57"/>
        <v>0</v>
      </c>
      <c r="BD173" s="1898" t="e">
        <f>HLOOKUP($BD$63,anticipaplus,109,0)</f>
        <v>#N/A</v>
      </c>
      <c r="BE173" s="1899"/>
      <c r="BF173" s="1899"/>
      <c r="BG173" s="1360">
        <f t="shared" si="73"/>
        <v>0</v>
      </c>
      <c r="BH173" s="1361">
        <f t="shared" si="81"/>
        <v>108</v>
      </c>
      <c r="BI173" s="1362">
        <f t="shared" si="74"/>
        <v>0</v>
      </c>
      <c r="BJ173" s="1362">
        <f t="shared" si="58"/>
        <v>0</v>
      </c>
      <c r="BK173" s="1362">
        <f t="shared" si="80"/>
        <v>0</v>
      </c>
      <c r="BL173" s="1363">
        <f t="shared" si="59"/>
        <v>1000000</v>
      </c>
      <c r="BM173" s="1899"/>
      <c r="BN173" s="1361">
        <f t="shared" si="82"/>
        <v>108</v>
      </c>
      <c r="BO173" s="1362">
        <f t="shared" si="60"/>
        <v>0</v>
      </c>
      <c r="BP173" s="1362">
        <f t="shared" si="61"/>
        <v>8543.4723045346618</v>
      </c>
      <c r="BQ173" s="1362">
        <f t="shared" si="88"/>
        <v>8543.4723045346618</v>
      </c>
      <c r="BR173" s="1363">
        <f t="shared" si="62"/>
        <v>77304.991110259027</v>
      </c>
      <c r="BT173" s="1414"/>
      <c r="BX173" s="1364"/>
      <c r="BY173" s="1364"/>
      <c r="BZ173" s="1364"/>
      <c r="CA173" s="1364"/>
      <c r="CB173" s="1364"/>
      <c r="CC173" s="1365"/>
      <c r="CD173" s="1365"/>
      <c r="CE173" s="1365"/>
      <c r="CF173" s="1365"/>
      <c r="CG173" s="1365"/>
      <c r="CH173" s="1366"/>
      <c r="CI173" s="1366"/>
      <c r="CJ173" s="1366"/>
      <c r="CK173" s="1366"/>
      <c r="CL173" s="1365"/>
      <c r="CM173" s="1366"/>
      <c r="CN173" s="1366"/>
      <c r="CO173" s="1366"/>
      <c r="CP173" s="1366"/>
      <c r="CQ173" s="1366"/>
      <c r="CR173" s="1366"/>
      <c r="CS173" s="1365"/>
      <c r="CT173" s="1365"/>
      <c r="CU173" s="1365"/>
      <c r="CV173" s="1365"/>
      <c r="CW173" s="1365"/>
      <c r="CX173" s="1365"/>
      <c r="CY173" s="1365"/>
      <c r="CZ173" s="1365"/>
      <c r="DA173" s="1365"/>
      <c r="DB173" s="1365"/>
      <c r="DC173" s="1365"/>
      <c r="DD173" s="1365"/>
      <c r="DE173" s="1365"/>
      <c r="DF173" s="1365"/>
      <c r="DG173" s="1365"/>
      <c r="DH173" s="1365"/>
      <c r="DI173" s="1365"/>
      <c r="DJ173" s="1365"/>
      <c r="DK173" s="1365"/>
      <c r="DL173" s="1365"/>
      <c r="DM173" s="1365"/>
      <c r="DN173" s="1365"/>
      <c r="DO173" s="1365"/>
      <c r="DP173" s="1365"/>
      <c r="DQ173" s="1365"/>
      <c r="DR173" s="1365"/>
      <c r="DS173" s="1365"/>
      <c r="DT173" s="1365"/>
    </row>
    <row r="174" spans="1:124">
      <c r="A174" s="1118">
        <f t="shared" ca="1" si="53"/>
        <v>4</v>
      </c>
      <c r="B174" s="1890">
        <f t="shared" si="63"/>
        <v>0</v>
      </c>
      <c r="C174" s="2160">
        <f t="shared" si="75"/>
        <v>0</v>
      </c>
      <c r="D174" s="2161">
        <f t="shared" si="76"/>
        <v>0</v>
      </c>
      <c r="E174" s="2162">
        <f t="shared" si="64"/>
        <v>0</v>
      </c>
      <c r="F174" s="2162">
        <f t="shared" si="85"/>
        <v>0</v>
      </c>
      <c r="G174" s="2162">
        <f t="shared" si="86"/>
        <v>0</v>
      </c>
      <c r="H174" s="2162">
        <f t="shared" si="77"/>
        <v>0</v>
      </c>
      <c r="I174" s="2162">
        <f t="shared" si="84"/>
        <v>0</v>
      </c>
      <c r="J174" s="2162">
        <f t="shared" si="54"/>
        <v>0</v>
      </c>
      <c r="K174" s="2162">
        <f t="shared" si="55"/>
        <v>0</v>
      </c>
      <c r="L174" s="2162">
        <f t="shared" si="65"/>
        <v>0</v>
      </c>
      <c r="M174" s="2162">
        <f t="shared" si="56"/>
        <v>0</v>
      </c>
      <c r="N174" s="2162">
        <f t="shared" si="66"/>
        <v>0</v>
      </c>
      <c r="O174" s="2163"/>
      <c r="AG174" s="1756"/>
      <c r="AH174" s="1756"/>
      <c r="AI174" s="1756"/>
      <c r="AJ174" s="1989">
        <f t="shared" si="67"/>
        <v>1</v>
      </c>
      <c r="AK174" s="1900">
        <f t="shared" si="68"/>
        <v>0</v>
      </c>
      <c r="AL174" s="1907"/>
      <c r="AM174" s="1907"/>
      <c r="AN174" s="1901">
        <f t="shared" si="78"/>
        <v>0</v>
      </c>
      <c r="AO174" s="1906">
        <f t="shared" ca="1" si="69"/>
        <v>0</v>
      </c>
      <c r="AU174" s="1903">
        <f t="shared" si="79"/>
        <v>0</v>
      </c>
      <c r="AV174" s="1904">
        <f t="shared" si="70"/>
        <v>0</v>
      </c>
      <c r="AW174" s="1904">
        <f t="shared" si="71"/>
        <v>0</v>
      </c>
      <c r="AX174" s="1904"/>
      <c r="AY174" s="1904"/>
      <c r="AZ174" s="1904"/>
      <c r="BA174" s="1904"/>
      <c r="BB174" s="1897">
        <f t="shared" si="72"/>
        <v>0</v>
      </c>
      <c r="BC174" s="1897">
        <f t="shared" si="57"/>
        <v>0</v>
      </c>
      <c r="BD174" s="1898" t="e">
        <f>HLOOKUP($BD$63,anticipaplus,110,0)</f>
        <v>#N/A</v>
      </c>
      <c r="BE174" s="1899"/>
      <c r="BF174" s="1899"/>
      <c r="BG174" s="1360">
        <f t="shared" si="73"/>
        <v>0</v>
      </c>
      <c r="BH174" s="1377">
        <f t="shared" si="81"/>
        <v>109</v>
      </c>
      <c r="BI174" s="1378">
        <f t="shared" si="74"/>
        <v>0</v>
      </c>
      <c r="BJ174" s="1378">
        <f t="shared" si="58"/>
        <v>0</v>
      </c>
      <c r="BK174" s="1378">
        <f>MIN(BL173+BI174,BK173*(1+$BI$61))</f>
        <v>0</v>
      </c>
      <c r="BL174" s="1363">
        <f t="shared" si="59"/>
        <v>1000000</v>
      </c>
      <c r="BM174" s="1899"/>
      <c r="BN174" s="1379">
        <f t="shared" si="82"/>
        <v>109</v>
      </c>
      <c r="BO174" s="1380">
        <f t="shared" si="60"/>
        <v>0</v>
      </c>
      <c r="BP174" s="1380">
        <f t="shared" si="61"/>
        <v>8543.4723045346618</v>
      </c>
      <c r="BQ174" s="1380">
        <f>MIN(BR173+BO174,BQ173*(1+$BO$61))</f>
        <v>8543.4723045346618</v>
      </c>
      <c r="BR174" s="1363">
        <f t="shared" si="62"/>
        <v>68761.518805724365</v>
      </c>
      <c r="BT174" s="1414"/>
      <c r="BX174" s="1364"/>
      <c r="BY174" s="1364"/>
      <c r="BZ174" s="1364"/>
      <c r="CA174" s="1364"/>
      <c r="CB174" s="1364"/>
      <c r="CC174" s="1365"/>
      <c r="CD174" s="1365"/>
      <c r="CE174" s="1365"/>
      <c r="CF174" s="1365"/>
      <c r="CG174" s="1365"/>
      <c r="CH174" s="1366"/>
      <c r="CI174" s="1366"/>
      <c r="CJ174" s="1366"/>
      <c r="CK174" s="1366"/>
      <c r="CL174" s="1365"/>
      <c r="CM174" s="1366"/>
      <c r="CN174" s="1366"/>
      <c r="CO174" s="1366"/>
      <c r="CP174" s="1366"/>
      <c r="CQ174" s="1366"/>
      <c r="CR174" s="1366"/>
      <c r="CS174" s="1365"/>
      <c r="CT174" s="1365"/>
      <c r="CU174" s="1365"/>
      <c r="CV174" s="1365"/>
      <c r="CW174" s="1365"/>
      <c r="CX174" s="1365"/>
      <c r="CY174" s="1365"/>
      <c r="CZ174" s="1365"/>
      <c r="DA174" s="1365"/>
      <c r="DB174" s="1365"/>
      <c r="DC174" s="1365"/>
      <c r="DD174" s="1365"/>
      <c r="DE174" s="1365"/>
      <c r="DF174" s="1365"/>
      <c r="DG174" s="1365"/>
      <c r="DH174" s="1365"/>
      <c r="DI174" s="1365"/>
      <c r="DJ174" s="1365"/>
      <c r="DK174" s="1365"/>
      <c r="DL174" s="1365"/>
      <c r="DM174" s="1365"/>
      <c r="DN174" s="1365"/>
      <c r="DO174" s="1365"/>
      <c r="DP174" s="1365"/>
      <c r="DQ174" s="1365"/>
      <c r="DR174" s="1365"/>
      <c r="DS174" s="1365"/>
      <c r="DT174" s="1365"/>
    </row>
    <row r="175" spans="1:124">
      <c r="A175" s="1118">
        <f t="shared" ca="1" si="53"/>
        <v>5</v>
      </c>
      <c r="B175" s="1890">
        <f t="shared" si="63"/>
        <v>0</v>
      </c>
      <c r="C175" s="2160">
        <f t="shared" si="75"/>
        <v>0</v>
      </c>
      <c r="D175" s="2161">
        <f t="shared" si="76"/>
        <v>0</v>
      </c>
      <c r="E175" s="2162">
        <f t="shared" si="64"/>
        <v>0</v>
      </c>
      <c r="F175" s="2162">
        <f t="shared" si="85"/>
        <v>0</v>
      </c>
      <c r="G175" s="2162">
        <f t="shared" si="86"/>
        <v>0</v>
      </c>
      <c r="H175" s="2162">
        <f t="shared" si="77"/>
        <v>0</v>
      </c>
      <c r="I175" s="2162">
        <f t="shared" si="84"/>
        <v>0</v>
      </c>
      <c r="J175" s="2162">
        <f t="shared" si="54"/>
        <v>0</v>
      </c>
      <c r="K175" s="2162">
        <f t="shared" si="55"/>
        <v>0</v>
      </c>
      <c r="L175" s="2162">
        <f t="shared" si="65"/>
        <v>0</v>
      </c>
      <c r="M175" s="2162">
        <f t="shared" si="56"/>
        <v>0</v>
      </c>
      <c r="N175" s="2162">
        <f t="shared" si="66"/>
        <v>0</v>
      </c>
      <c r="O175" s="2163"/>
      <c r="AG175" s="1756"/>
      <c r="AH175" s="1756"/>
      <c r="AI175" s="1756"/>
      <c r="AJ175" s="1989">
        <f t="shared" si="67"/>
        <v>2</v>
      </c>
      <c r="AK175" s="1900">
        <f t="shared" si="68"/>
        <v>0</v>
      </c>
      <c r="AL175" s="1907"/>
      <c r="AM175" s="1907"/>
      <c r="AN175" s="1901">
        <f t="shared" si="78"/>
        <v>0</v>
      </c>
      <c r="AO175" s="1906">
        <f t="shared" ca="1" si="69"/>
        <v>0</v>
      </c>
      <c r="AU175" s="1903">
        <f t="shared" si="79"/>
        <v>0</v>
      </c>
      <c r="AV175" s="1904">
        <f t="shared" si="70"/>
        <v>0</v>
      </c>
      <c r="AW175" s="1904">
        <f t="shared" si="71"/>
        <v>0</v>
      </c>
      <c r="AX175" s="1904"/>
      <c r="AY175" s="1904"/>
      <c r="AZ175" s="1904"/>
      <c r="BA175" s="1904"/>
      <c r="BB175" s="1897">
        <f t="shared" si="72"/>
        <v>0</v>
      </c>
      <c r="BC175" s="1897">
        <f t="shared" si="57"/>
        <v>0</v>
      </c>
      <c r="BD175" s="1898" t="e">
        <f>HLOOKUP($BD$63,anticipaplus,111,0)</f>
        <v>#N/A</v>
      </c>
      <c r="BE175" s="1899"/>
      <c r="BF175" s="1899"/>
      <c r="BG175" s="1360">
        <f t="shared" si="73"/>
        <v>0</v>
      </c>
      <c r="BH175" s="1361">
        <f t="shared" si="81"/>
        <v>110</v>
      </c>
      <c r="BI175" s="1362">
        <f t="shared" si="74"/>
        <v>0</v>
      </c>
      <c r="BJ175" s="1362">
        <f t="shared" si="58"/>
        <v>0</v>
      </c>
      <c r="BK175" s="1362">
        <f t="shared" si="80"/>
        <v>0</v>
      </c>
      <c r="BL175" s="1363">
        <f t="shared" si="59"/>
        <v>1000000</v>
      </c>
      <c r="BM175" s="1899"/>
      <c r="BN175" s="1361">
        <f t="shared" si="82"/>
        <v>110</v>
      </c>
      <c r="BO175" s="1362">
        <f t="shared" si="60"/>
        <v>0</v>
      </c>
      <c r="BP175" s="1362">
        <f t="shared" si="61"/>
        <v>8543.4723045346618</v>
      </c>
      <c r="BQ175" s="1362">
        <f t="shared" ref="BQ175:BQ185" si="89">MIN(BR174+BO175,BQ174)</f>
        <v>8543.4723045346618</v>
      </c>
      <c r="BR175" s="1363">
        <f t="shared" si="62"/>
        <v>60218.046501189703</v>
      </c>
      <c r="BT175" s="1414"/>
      <c r="BX175" s="1364"/>
      <c r="BY175" s="1364"/>
      <c r="BZ175" s="1364"/>
      <c r="CA175" s="1364"/>
      <c r="CB175" s="1364"/>
      <c r="CC175" s="1365"/>
      <c r="CD175" s="1365"/>
      <c r="CE175" s="1365"/>
      <c r="CF175" s="1365"/>
      <c r="CG175" s="1365"/>
      <c r="CH175" s="1366"/>
      <c r="CI175" s="1366"/>
      <c r="CJ175" s="1366"/>
      <c r="CK175" s="1366"/>
      <c r="CL175" s="1365"/>
      <c r="CM175" s="1366"/>
      <c r="CN175" s="1366"/>
      <c r="CO175" s="1366"/>
      <c r="CP175" s="1366"/>
      <c r="CQ175" s="1366"/>
      <c r="CR175" s="1366"/>
      <c r="CS175" s="1365"/>
      <c r="CT175" s="1365"/>
      <c r="CU175" s="1365"/>
      <c r="CV175" s="1365"/>
      <c r="CW175" s="1365"/>
      <c r="CX175" s="1365"/>
      <c r="CY175" s="1365"/>
      <c r="CZ175" s="1365"/>
      <c r="DA175" s="1365"/>
      <c r="DB175" s="1365"/>
      <c r="DC175" s="1365"/>
      <c r="DD175" s="1365"/>
      <c r="DE175" s="1365"/>
      <c r="DF175" s="1365"/>
      <c r="DG175" s="1365"/>
      <c r="DH175" s="1365"/>
      <c r="DI175" s="1365"/>
      <c r="DJ175" s="1365"/>
      <c r="DK175" s="1365"/>
      <c r="DL175" s="1365"/>
      <c r="DM175" s="1365"/>
      <c r="DN175" s="1365"/>
      <c r="DO175" s="1365"/>
      <c r="DP175" s="1365"/>
      <c r="DQ175" s="1365"/>
      <c r="DR175" s="1365"/>
      <c r="DS175" s="1365"/>
      <c r="DT175" s="1365"/>
    </row>
    <row r="176" spans="1:124">
      <c r="A176" s="1118">
        <f t="shared" ca="1" si="53"/>
        <v>6</v>
      </c>
      <c r="B176" s="1890">
        <f t="shared" si="63"/>
        <v>0</v>
      </c>
      <c r="C176" s="2160">
        <f t="shared" si="75"/>
        <v>0</v>
      </c>
      <c r="D176" s="2161">
        <f t="shared" si="76"/>
        <v>0</v>
      </c>
      <c r="E176" s="2162">
        <f t="shared" si="64"/>
        <v>0</v>
      </c>
      <c r="F176" s="2162">
        <f t="shared" si="85"/>
        <v>0</v>
      </c>
      <c r="G176" s="2162">
        <f t="shared" si="86"/>
        <v>0</v>
      </c>
      <c r="H176" s="2162">
        <f t="shared" si="77"/>
        <v>0</v>
      </c>
      <c r="I176" s="2162">
        <f t="shared" si="84"/>
        <v>0</v>
      </c>
      <c r="J176" s="2162">
        <f t="shared" si="54"/>
        <v>0</v>
      </c>
      <c r="K176" s="2162">
        <f t="shared" si="55"/>
        <v>0</v>
      </c>
      <c r="L176" s="2162">
        <f t="shared" si="65"/>
        <v>0</v>
      </c>
      <c r="M176" s="2162">
        <f t="shared" si="56"/>
        <v>0</v>
      </c>
      <c r="N176" s="2162">
        <f t="shared" si="66"/>
        <v>0</v>
      </c>
      <c r="O176" s="2163"/>
      <c r="AG176" s="1756"/>
      <c r="AH176" s="1756"/>
      <c r="AI176" s="1756"/>
      <c r="AJ176" s="1989">
        <f t="shared" si="67"/>
        <v>3</v>
      </c>
      <c r="AK176" s="1900">
        <f t="shared" si="68"/>
        <v>0</v>
      </c>
      <c r="AL176" s="1907"/>
      <c r="AM176" s="1907"/>
      <c r="AN176" s="1901">
        <f t="shared" si="78"/>
        <v>0</v>
      </c>
      <c r="AO176" s="1906">
        <f t="shared" ca="1" si="69"/>
        <v>0</v>
      </c>
      <c r="AU176" s="1903">
        <f t="shared" si="79"/>
        <v>0</v>
      </c>
      <c r="AV176" s="1904">
        <f t="shared" si="70"/>
        <v>0</v>
      </c>
      <c r="AW176" s="1904">
        <f t="shared" si="71"/>
        <v>0</v>
      </c>
      <c r="AX176" s="1904"/>
      <c r="AY176" s="1904"/>
      <c r="AZ176" s="1904"/>
      <c r="BA176" s="1904"/>
      <c r="BB176" s="1897">
        <f t="shared" si="72"/>
        <v>0</v>
      </c>
      <c r="BC176" s="1897">
        <f t="shared" si="57"/>
        <v>0</v>
      </c>
      <c r="BD176" s="1898" t="e">
        <f>HLOOKUP($BD$63,anticipaplus,112,0)</f>
        <v>#N/A</v>
      </c>
      <c r="BE176" s="1899"/>
      <c r="BF176" s="1899"/>
      <c r="BG176" s="1360">
        <f t="shared" si="73"/>
        <v>0</v>
      </c>
      <c r="BH176" s="1361">
        <f t="shared" si="81"/>
        <v>111</v>
      </c>
      <c r="BI176" s="1362">
        <f t="shared" si="74"/>
        <v>0</v>
      </c>
      <c r="BJ176" s="1362">
        <f t="shared" si="58"/>
        <v>0</v>
      </c>
      <c r="BK176" s="1362">
        <f t="shared" si="80"/>
        <v>0</v>
      </c>
      <c r="BL176" s="1363">
        <f t="shared" si="59"/>
        <v>1000000</v>
      </c>
      <c r="BM176" s="1899"/>
      <c r="BN176" s="1361">
        <f t="shared" si="82"/>
        <v>111</v>
      </c>
      <c r="BO176" s="1362">
        <f t="shared" si="60"/>
        <v>0</v>
      </c>
      <c r="BP176" s="1362">
        <f t="shared" si="61"/>
        <v>8543.4723045346618</v>
      </c>
      <c r="BQ176" s="1362">
        <f t="shared" si="89"/>
        <v>8543.4723045346618</v>
      </c>
      <c r="BR176" s="1363">
        <f t="shared" si="62"/>
        <v>51674.574196655041</v>
      </c>
      <c r="BT176" s="1414"/>
      <c r="BX176" s="1364"/>
      <c r="BY176" s="1364"/>
      <c r="BZ176" s="1364"/>
      <c r="CA176" s="1364"/>
      <c r="CB176" s="1364"/>
      <c r="CC176" s="1365"/>
      <c r="CD176" s="1365"/>
      <c r="CE176" s="1365"/>
      <c r="CF176" s="1365"/>
      <c r="CG176" s="1365"/>
      <c r="CH176" s="1366"/>
      <c r="CI176" s="1366"/>
      <c r="CJ176" s="1366"/>
      <c r="CK176" s="1366"/>
      <c r="CL176" s="1365"/>
      <c r="CM176" s="1366"/>
      <c r="CN176" s="1366"/>
      <c r="CO176" s="1366"/>
      <c r="CP176" s="1366"/>
      <c r="CQ176" s="1366"/>
      <c r="CR176" s="1366"/>
      <c r="CS176" s="1365"/>
      <c r="CT176" s="1365"/>
      <c r="CU176" s="1365"/>
      <c r="CV176" s="1365"/>
      <c r="CW176" s="1365"/>
      <c r="CX176" s="1365"/>
      <c r="CY176" s="1365"/>
      <c r="CZ176" s="1365"/>
      <c r="DA176" s="1365"/>
      <c r="DB176" s="1365"/>
      <c r="DC176" s="1365"/>
      <c r="DD176" s="1365"/>
      <c r="DE176" s="1365"/>
      <c r="DF176" s="1365"/>
      <c r="DG176" s="1365"/>
      <c r="DH176" s="1365"/>
      <c r="DI176" s="1365"/>
      <c r="DJ176" s="1365"/>
      <c r="DK176" s="1365"/>
      <c r="DL176" s="1365"/>
      <c r="DM176" s="1365"/>
      <c r="DN176" s="1365"/>
      <c r="DO176" s="1365"/>
      <c r="DP176" s="1365"/>
      <c r="DQ176" s="1365"/>
      <c r="DR176" s="1365"/>
      <c r="DS176" s="1365"/>
      <c r="DT176" s="1365"/>
    </row>
    <row r="177" spans="1:124">
      <c r="A177" s="1118">
        <f t="shared" ca="1" si="53"/>
        <v>7</v>
      </c>
      <c r="B177" s="1890">
        <f t="shared" si="63"/>
        <v>0</v>
      </c>
      <c r="C177" s="2160">
        <f t="shared" si="75"/>
        <v>0</v>
      </c>
      <c r="D177" s="2161">
        <f t="shared" si="76"/>
        <v>0</v>
      </c>
      <c r="E177" s="2162">
        <f t="shared" si="64"/>
        <v>0</v>
      </c>
      <c r="F177" s="2162">
        <f t="shared" si="85"/>
        <v>0</v>
      </c>
      <c r="G177" s="2162">
        <f t="shared" si="86"/>
        <v>0</v>
      </c>
      <c r="H177" s="2162">
        <f t="shared" si="77"/>
        <v>0</v>
      </c>
      <c r="I177" s="2162">
        <f t="shared" si="84"/>
        <v>0</v>
      </c>
      <c r="J177" s="2162">
        <f t="shared" si="54"/>
        <v>0</v>
      </c>
      <c r="K177" s="2162">
        <f t="shared" si="55"/>
        <v>0</v>
      </c>
      <c r="L177" s="2162">
        <f t="shared" si="65"/>
        <v>0</v>
      </c>
      <c r="M177" s="2162">
        <f t="shared" si="56"/>
        <v>0</v>
      </c>
      <c r="N177" s="2162">
        <f t="shared" si="66"/>
        <v>0</v>
      </c>
      <c r="O177" s="2163"/>
      <c r="AG177" s="1756"/>
      <c r="AH177" s="1756"/>
      <c r="AI177" s="1756"/>
      <c r="AJ177" s="1989">
        <f t="shared" si="67"/>
        <v>4</v>
      </c>
      <c r="AK177" s="1900">
        <f t="shared" si="68"/>
        <v>0</v>
      </c>
      <c r="AL177" s="1907"/>
      <c r="AM177" s="1907"/>
      <c r="AN177" s="1901">
        <f t="shared" si="78"/>
        <v>0</v>
      </c>
      <c r="AO177" s="1906">
        <f t="shared" ca="1" si="69"/>
        <v>0</v>
      </c>
      <c r="AU177" s="1903">
        <f t="shared" si="79"/>
        <v>0</v>
      </c>
      <c r="AV177" s="1904">
        <f t="shared" si="70"/>
        <v>0</v>
      </c>
      <c r="AW177" s="1904">
        <f t="shared" si="71"/>
        <v>0</v>
      </c>
      <c r="AX177" s="1904"/>
      <c r="AY177" s="1904"/>
      <c r="AZ177" s="1904"/>
      <c r="BA177" s="1904"/>
      <c r="BB177" s="1897">
        <f t="shared" si="72"/>
        <v>0</v>
      </c>
      <c r="BC177" s="1897">
        <f t="shared" si="57"/>
        <v>0</v>
      </c>
      <c r="BD177" s="1898" t="e">
        <f>HLOOKUP($BD$63,anticipaplus,113,0)</f>
        <v>#N/A</v>
      </c>
      <c r="BE177" s="1899"/>
      <c r="BF177" s="1899"/>
      <c r="BG177" s="1360">
        <f t="shared" si="73"/>
        <v>0</v>
      </c>
      <c r="BH177" s="1361">
        <f t="shared" si="81"/>
        <v>112</v>
      </c>
      <c r="BI177" s="1362">
        <f t="shared" si="74"/>
        <v>0</v>
      </c>
      <c r="BJ177" s="1362">
        <f t="shared" si="58"/>
        <v>0</v>
      </c>
      <c r="BK177" s="1362">
        <f t="shared" si="80"/>
        <v>0</v>
      </c>
      <c r="BL177" s="1363">
        <f t="shared" si="59"/>
        <v>1000000</v>
      </c>
      <c r="BM177" s="1899"/>
      <c r="BN177" s="1361">
        <f t="shared" si="82"/>
        <v>112</v>
      </c>
      <c r="BO177" s="1362">
        <f t="shared" si="60"/>
        <v>0</v>
      </c>
      <c r="BP177" s="1362">
        <f t="shared" si="61"/>
        <v>8543.4723045346618</v>
      </c>
      <c r="BQ177" s="1362">
        <f t="shared" si="89"/>
        <v>8543.4723045346618</v>
      </c>
      <c r="BR177" s="1363">
        <f t="shared" si="62"/>
        <v>43131.101892120379</v>
      </c>
      <c r="BT177" s="1414"/>
      <c r="BX177" s="1364"/>
      <c r="BY177" s="1364"/>
      <c r="BZ177" s="1364"/>
      <c r="CA177" s="1364"/>
      <c r="CB177" s="1364"/>
      <c r="CC177" s="1365"/>
      <c r="CD177" s="1365"/>
      <c r="CE177" s="1365"/>
      <c r="CF177" s="1365"/>
      <c r="CG177" s="1365"/>
      <c r="CH177" s="1366"/>
      <c r="CI177" s="1366"/>
      <c r="CJ177" s="1366"/>
      <c r="CK177" s="1366"/>
      <c r="CL177" s="1365"/>
      <c r="CM177" s="1366"/>
      <c r="CN177" s="1366"/>
      <c r="CO177" s="1366"/>
      <c r="CP177" s="1366"/>
      <c r="CQ177" s="1366"/>
      <c r="CR177" s="1366"/>
      <c r="CS177" s="1365"/>
      <c r="CT177" s="1365"/>
      <c r="CU177" s="1365"/>
      <c r="CV177" s="1365"/>
      <c r="CW177" s="1365"/>
      <c r="CX177" s="1365"/>
      <c r="CY177" s="1365"/>
      <c r="CZ177" s="1365"/>
      <c r="DA177" s="1365"/>
      <c r="DB177" s="1365"/>
      <c r="DC177" s="1365"/>
      <c r="DD177" s="1365"/>
      <c r="DE177" s="1365"/>
      <c r="DF177" s="1365"/>
      <c r="DG177" s="1365"/>
      <c r="DH177" s="1365"/>
      <c r="DI177" s="1365"/>
      <c r="DJ177" s="1365"/>
      <c r="DK177" s="1365"/>
      <c r="DL177" s="1365"/>
      <c r="DM177" s="1365"/>
      <c r="DN177" s="1365"/>
      <c r="DO177" s="1365"/>
      <c r="DP177" s="1365"/>
      <c r="DQ177" s="1365"/>
      <c r="DR177" s="1365"/>
      <c r="DS177" s="1365"/>
      <c r="DT177" s="1365"/>
    </row>
    <row r="178" spans="1:124">
      <c r="A178" s="1118">
        <f t="shared" ca="1" si="53"/>
        <v>8</v>
      </c>
      <c r="B178" s="1890">
        <f t="shared" si="63"/>
        <v>0</v>
      </c>
      <c r="C178" s="2160">
        <f t="shared" si="75"/>
        <v>0</v>
      </c>
      <c r="D178" s="2161">
        <f t="shared" si="76"/>
        <v>0</v>
      </c>
      <c r="E178" s="2162">
        <f t="shared" si="64"/>
        <v>0</v>
      </c>
      <c r="F178" s="2162">
        <f t="shared" si="85"/>
        <v>0</v>
      </c>
      <c r="G178" s="2162">
        <f t="shared" si="86"/>
        <v>0</v>
      </c>
      <c r="H178" s="2162">
        <f t="shared" si="77"/>
        <v>0</v>
      </c>
      <c r="I178" s="2162">
        <f t="shared" si="84"/>
        <v>0</v>
      </c>
      <c r="J178" s="2162">
        <f t="shared" si="54"/>
        <v>0</v>
      </c>
      <c r="K178" s="2162">
        <f t="shared" si="55"/>
        <v>0</v>
      </c>
      <c r="L178" s="2162">
        <f t="shared" si="65"/>
        <v>0</v>
      </c>
      <c r="M178" s="2162">
        <f t="shared" si="56"/>
        <v>0</v>
      </c>
      <c r="N178" s="2162">
        <f t="shared" si="66"/>
        <v>0</v>
      </c>
      <c r="O178" s="2163"/>
      <c r="AG178" s="1756"/>
      <c r="AH178" s="1756"/>
      <c r="AI178" s="1756"/>
      <c r="AJ178" s="1989">
        <f t="shared" si="67"/>
        <v>5</v>
      </c>
      <c r="AK178" s="1900">
        <f t="shared" si="68"/>
        <v>0</v>
      </c>
      <c r="AL178" s="1907"/>
      <c r="AM178" s="1907"/>
      <c r="AN178" s="1901">
        <f t="shared" si="78"/>
        <v>0</v>
      </c>
      <c r="AO178" s="1906">
        <f t="shared" ca="1" si="69"/>
        <v>0</v>
      </c>
      <c r="AU178" s="1903">
        <f t="shared" si="79"/>
        <v>0</v>
      </c>
      <c r="AV178" s="1904">
        <f t="shared" si="70"/>
        <v>0</v>
      </c>
      <c r="AW178" s="1904">
        <f t="shared" si="71"/>
        <v>0</v>
      </c>
      <c r="AX178" s="1904"/>
      <c r="AY178" s="1904"/>
      <c r="AZ178" s="1904"/>
      <c r="BA178" s="1904"/>
      <c r="BB178" s="1897">
        <f t="shared" si="72"/>
        <v>0</v>
      </c>
      <c r="BC178" s="1897">
        <f t="shared" si="57"/>
        <v>0</v>
      </c>
      <c r="BD178" s="1898" t="e">
        <f>HLOOKUP($BD$63,anticipaplus,114,0)</f>
        <v>#N/A</v>
      </c>
      <c r="BE178" s="1899"/>
      <c r="BF178" s="1899"/>
      <c r="BG178" s="1360">
        <f t="shared" si="73"/>
        <v>0</v>
      </c>
      <c r="BH178" s="1361">
        <f t="shared" si="81"/>
        <v>113</v>
      </c>
      <c r="BI178" s="1362">
        <f t="shared" si="74"/>
        <v>0</v>
      </c>
      <c r="BJ178" s="1362">
        <f t="shared" si="58"/>
        <v>0</v>
      </c>
      <c r="BK178" s="1362">
        <f t="shared" si="80"/>
        <v>0</v>
      </c>
      <c r="BL178" s="1363">
        <f t="shared" si="59"/>
        <v>1000000</v>
      </c>
      <c r="BM178" s="1899"/>
      <c r="BN178" s="1361">
        <f t="shared" si="82"/>
        <v>113</v>
      </c>
      <c r="BO178" s="1362">
        <f t="shared" si="60"/>
        <v>0</v>
      </c>
      <c r="BP178" s="1362">
        <f t="shared" si="61"/>
        <v>8543.4723045346618</v>
      </c>
      <c r="BQ178" s="1362">
        <f t="shared" si="89"/>
        <v>8543.4723045346618</v>
      </c>
      <c r="BR178" s="1363">
        <f t="shared" si="62"/>
        <v>34587.629587585718</v>
      </c>
      <c r="BT178" s="1414"/>
      <c r="BX178" s="1364"/>
      <c r="BY178" s="1364"/>
      <c r="BZ178" s="1364"/>
      <c r="CA178" s="1364"/>
      <c r="CB178" s="1364"/>
      <c r="CC178" s="1365"/>
      <c r="CD178" s="1365"/>
      <c r="CE178" s="1365"/>
      <c r="CF178" s="1365"/>
      <c r="CG178" s="1365"/>
      <c r="CH178" s="1366"/>
      <c r="CI178" s="1366"/>
      <c r="CJ178" s="1366"/>
      <c r="CK178" s="1366"/>
      <c r="CL178" s="1365"/>
      <c r="CM178" s="1366"/>
      <c r="CN178" s="1366"/>
      <c r="CO178" s="1366"/>
      <c r="CP178" s="1366"/>
      <c r="CQ178" s="1366"/>
      <c r="CR178" s="1366"/>
      <c r="CS178" s="1365"/>
      <c r="CT178" s="1365"/>
      <c r="CU178" s="1365"/>
      <c r="CV178" s="1365"/>
      <c r="CW178" s="1365"/>
      <c r="CX178" s="1365"/>
      <c r="CY178" s="1365"/>
      <c r="CZ178" s="1365"/>
      <c r="DA178" s="1365"/>
      <c r="DB178" s="1365"/>
      <c r="DC178" s="1365"/>
      <c r="DD178" s="1365"/>
      <c r="DE178" s="1365"/>
      <c r="DF178" s="1365"/>
      <c r="DG178" s="1365"/>
      <c r="DH178" s="1365"/>
      <c r="DI178" s="1365"/>
      <c r="DJ178" s="1365"/>
      <c r="DK178" s="1365"/>
      <c r="DL178" s="1365"/>
      <c r="DM178" s="1365"/>
      <c r="DN178" s="1365"/>
      <c r="DO178" s="1365"/>
      <c r="DP178" s="1365"/>
      <c r="DQ178" s="1365"/>
      <c r="DR178" s="1365"/>
      <c r="DS178" s="1365"/>
      <c r="DT178" s="1365"/>
    </row>
    <row r="179" spans="1:124">
      <c r="A179" s="1118">
        <f t="shared" ca="1" si="53"/>
        <v>9</v>
      </c>
      <c r="B179" s="1890">
        <f t="shared" si="63"/>
        <v>0</v>
      </c>
      <c r="C179" s="2160">
        <f t="shared" si="75"/>
        <v>0</v>
      </c>
      <c r="D179" s="2161">
        <f t="shared" si="76"/>
        <v>0</v>
      </c>
      <c r="E179" s="2162">
        <f t="shared" si="64"/>
        <v>0</v>
      </c>
      <c r="F179" s="2162">
        <f t="shared" si="85"/>
        <v>0</v>
      </c>
      <c r="G179" s="2162">
        <f t="shared" si="86"/>
        <v>0</v>
      </c>
      <c r="H179" s="2162">
        <f t="shared" si="77"/>
        <v>0</v>
      </c>
      <c r="I179" s="2162">
        <f t="shared" si="84"/>
        <v>0</v>
      </c>
      <c r="J179" s="2162">
        <f t="shared" si="54"/>
        <v>0</v>
      </c>
      <c r="K179" s="2162">
        <f t="shared" si="55"/>
        <v>0</v>
      </c>
      <c r="L179" s="2162">
        <f t="shared" si="65"/>
        <v>0</v>
      </c>
      <c r="M179" s="2162">
        <f t="shared" si="56"/>
        <v>0</v>
      </c>
      <c r="N179" s="2162">
        <f t="shared" si="66"/>
        <v>0</v>
      </c>
      <c r="O179" s="2163"/>
      <c r="AG179" s="1756"/>
      <c r="AH179" s="1756"/>
      <c r="AI179" s="1756"/>
      <c r="AJ179" s="1989">
        <f t="shared" si="67"/>
        <v>6</v>
      </c>
      <c r="AK179" s="1900">
        <f t="shared" si="68"/>
        <v>0</v>
      </c>
      <c r="AL179" s="1907"/>
      <c r="AM179" s="1907"/>
      <c r="AN179" s="1901">
        <f t="shared" si="78"/>
        <v>0</v>
      </c>
      <c r="AO179" s="1906">
        <f t="shared" ca="1" si="69"/>
        <v>0</v>
      </c>
      <c r="AU179" s="1903">
        <f t="shared" si="79"/>
        <v>0</v>
      </c>
      <c r="AV179" s="1904">
        <f t="shared" si="70"/>
        <v>0</v>
      </c>
      <c r="AW179" s="1904">
        <f t="shared" si="71"/>
        <v>0</v>
      </c>
      <c r="AX179" s="1904"/>
      <c r="AY179" s="1904"/>
      <c r="AZ179" s="1904"/>
      <c r="BA179" s="1904"/>
      <c r="BB179" s="1897">
        <f t="shared" si="72"/>
        <v>0</v>
      </c>
      <c r="BC179" s="1897">
        <f t="shared" si="57"/>
        <v>0</v>
      </c>
      <c r="BD179" s="1898" t="e">
        <f>HLOOKUP($BD$63,anticipaplus,115,0)</f>
        <v>#N/A</v>
      </c>
      <c r="BE179" s="1899"/>
      <c r="BF179" s="1899"/>
      <c r="BG179" s="1360">
        <f t="shared" si="73"/>
        <v>0</v>
      </c>
      <c r="BH179" s="1361">
        <f t="shared" si="81"/>
        <v>114</v>
      </c>
      <c r="BI179" s="1362">
        <f t="shared" si="74"/>
        <v>0</v>
      </c>
      <c r="BJ179" s="1362">
        <f t="shared" si="58"/>
        <v>0</v>
      </c>
      <c r="BK179" s="1362">
        <f t="shared" si="80"/>
        <v>0</v>
      </c>
      <c r="BL179" s="1363">
        <f t="shared" si="59"/>
        <v>1000000</v>
      </c>
      <c r="BM179" s="1899"/>
      <c r="BN179" s="1361">
        <f t="shared" si="82"/>
        <v>114</v>
      </c>
      <c r="BO179" s="1362">
        <f t="shared" si="60"/>
        <v>0</v>
      </c>
      <c r="BP179" s="1362">
        <f t="shared" si="61"/>
        <v>8543.4723045346618</v>
      </c>
      <c r="BQ179" s="1362">
        <f t="shared" si="89"/>
        <v>8543.4723045346618</v>
      </c>
      <c r="BR179" s="1363">
        <f t="shared" si="62"/>
        <v>26044.157283051056</v>
      </c>
      <c r="BT179" s="1414"/>
      <c r="BX179" s="1364"/>
      <c r="BY179" s="1364"/>
      <c r="BZ179" s="1364"/>
      <c r="CA179" s="1364"/>
      <c r="CB179" s="1364"/>
      <c r="CC179" s="1365"/>
      <c r="CD179" s="1365"/>
      <c r="CE179" s="1365"/>
      <c r="CF179" s="1365"/>
      <c r="CG179" s="1365"/>
      <c r="CH179" s="1366"/>
      <c r="CI179" s="1366"/>
      <c r="CJ179" s="1366"/>
      <c r="CK179" s="1366"/>
      <c r="CL179" s="1365"/>
      <c r="CM179" s="1366"/>
      <c r="CN179" s="1366"/>
      <c r="CO179" s="1366"/>
      <c r="CP179" s="1366"/>
      <c r="CQ179" s="1366"/>
      <c r="CR179" s="1366"/>
      <c r="CS179" s="1365"/>
      <c r="CT179" s="1365"/>
      <c r="CU179" s="1365"/>
      <c r="CV179" s="1365"/>
      <c r="CW179" s="1365"/>
      <c r="CX179" s="1365"/>
      <c r="CY179" s="1365"/>
      <c r="CZ179" s="1365"/>
      <c r="DA179" s="1365"/>
      <c r="DB179" s="1365"/>
      <c r="DC179" s="1365"/>
      <c r="DD179" s="1365"/>
      <c r="DE179" s="1365"/>
      <c r="DF179" s="1365"/>
      <c r="DG179" s="1365"/>
      <c r="DH179" s="1365"/>
      <c r="DI179" s="1365"/>
      <c r="DJ179" s="1365"/>
      <c r="DK179" s="1365"/>
      <c r="DL179" s="1365"/>
      <c r="DM179" s="1365"/>
      <c r="DN179" s="1365"/>
      <c r="DO179" s="1365"/>
      <c r="DP179" s="1365"/>
      <c r="DQ179" s="1365"/>
      <c r="DR179" s="1365"/>
      <c r="DS179" s="1365"/>
      <c r="DT179" s="1365"/>
    </row>
    <row r="180" spans="1:124">
      <c r="A180" s="1118">
        <f t="shared" ca="1" si="53"/>
        <v>10</v>
      </c>
      <c r="B180" s="1890">
        <f t="shared" si="63"/>
        <v>0</v>
      </c>
      <c r="C180" s="2160">
        <f t="shared" si="75"/>
        <v>0</v>
      </c>
      <c r="D180" s="2161">
        <f t="shared" si="76"/>
        <v>0</v>
      </c>
      <c r="E180" s="2162">
        <f t="shared" si="64"/>
        <v>0</v>
      </c>
      <c r="F180" s="2162">
        <f t="shared" si="85"/>
        <v>0</v>
      </c>
      <c r="G180" s="2162">
        <f t="shared" si="86"/>
        <v>0</v>
      </c>
      <c r="H180" s="2162">
        <f t="shared" si="77"/>
        <v>0</v>
      </c>
      <c r="I180" s="2162">
        <f t="shared" si="84"/>
        <v>0</v>
      </c>
      <c r="J180" s="2162">
        <f t="shared" si="54"/>
        <v>0</v>
      </c>
      <c r="K180" s="2162">
        <f t="shared" si="55"/>
        <v>0</v>
      </c>
      <c r="L180" s="2162">
        <f t="shared" si="65"/>
        <v>0</v>
      </c>
      <c r="M180" s="2162">
        <f t="shared" si="56"/>
        <v>0</v>
      </c>
      <c r="N180" s="2162">
        <f t="shared" si="66"/>
        <v>0</v>
      </c>
      <c r="O180" s="2163"/>
      <c r="AG180" s="1756"/>
      <c r="AH180" s="1756"/>
      <c r="AI180" s="1756"/>
      <c r="AJ180" s="1989">
        <f t="shared" si="67"/>
        <v>7</v>
      </c>
      <c r="AK180" s="1900">
        <f t="shared" si="68"/>
        <v>0</v>
      </c>
      <c r="AL180" s="1907"/>
      <c r="AM180" s="1907"/>
      <c r="AN180" s="1901">
        <f t="shared" si="78"/>
        <v>0</v>
      </c>
      <c r="AO180" s="1906">
        <f t="shared" ca="1" si="69"/>
        <v>0</v>
      </c>
      <c r="AU180" s="1903">
        <f t="shared" si="79"/>
        <v>0</v>
      </c>
      <c r="AV180" s="1904">
        <f t="shared" si="70"/>
        <v>0</v>
      </c>
      <c r="AW180" s="1904">
        <f t="shared" si="71"/>
        <v>0</v>
      </c>
      <c r="AX180" s="1904"/>
      <c r="AY180" s="1904"/>
      <c r="AZ180" s="1904"/>
      <c r="BA180" s="1904"/>
      <c r="BB180" s="1897">
        <f t="shared" si="72"/>
        <v>0</v>
      </c>
      <c r="BC180" s="1897">
        <f t="shared" si="57"/>
        <v>0</v>
      </c>
      <c r="BD180" s="1898" t="e">
        <f>HLOOKUP($BD$63,anticipaplus,116,0)</f>
        <v>#N/A</v>
      </c>
      <c r="BE180" s="1899"/>
      <c r="BF180" s="1899"/>
      <c r="BG180" s="1360">
        <f t="shared" si="73"/>
        <v>0</v>
      </c>
      <c r="BH180" s="1361">
        <f t="shared" si="81"/>
        <v>115</v>
      </c>
      <c r="BI180" s="1362">
        <f t="shared" si="74"/>
        <v>0</v>
      </c>
      <c r="BJ180" s="1362">
        <f t="shared" si="58"/>
        <v>0</v>
      </c>
      <c r="BK180" s="1362">
        <f t="shared" si="80"/>
        <v>0</v>
      </c>
      <c r="BL180" s="1363">
        <f t="shared" si="59"/>
        <v>1000000</v>
      </c>
      <c r="BM180" s="1899"/>
      <c r="BN180" s="1361">
        <f t="shared" si="82"/>
        <v>115</v>
      </c>
      <c r="BO180" s="1362">
        <f t="shared" si="60"/>
        <v>0</v>
      </c>
      <c r="BP180" s="1362">
        <f t="shared" si="61"/>
        <v>8543.4723045346618</v>
      </c>
      <c r="BQ180" s="1362">
        <f t="shared" si="89"/>
        <v>8543.4723045346618</v>
      </c>
      <c r="BR180" s="1363">
        <f t="shared" si="62"/>
        <v>17500.684978516394</v>
      </c>
      <c r="BT180" s="1414"/>
      <c r="BX180" s="1364"/>
      <c r="BY180" s="1364"/>
      <c r="BZ180" s="1364"/>
      <c r="CA180" s="1364"/>
      <c r="CB180" s="1364"/>
      <c r="CC180" s="1365"/>
      <c r="CD180" s="1365"/>
      <c r="CE180" s="1365"/>
      <c r="CF180" s="1365"/>
      <c r="CG180" s="1365"/>
      <c r="CH180" s="1366"/>
      <c r="CI180" s="1366"/>
      <c r="CJ180" s="1366"/>
      <c r="CK180" s="1366"/>
      <c r="CL180" s="1365"/>
      <c r="CM180" s="1366"/>
      <c r="CN180" s="1366"/>
      <c r="CO180" s="1366"/>
      <c r="CP180" s="1366"/>
      <c r="CQ180" s="1366"/>
      <c r="CR180" s="1366"/>
      <c r="CS180" s="1365"/>
      <c r="CT180" s="1365"/>
      <c r="CU180" s="1365"/>
      <c r="CV180" s="1365"/>
      <c r="CW180" s="1365"/>
      <c r="CX180" s="1365"/>
      <c r="CY180" s="1365"/>
      <c r="CZ180" s="1365"/>
      <c r="DA180" s="1365"/>
      <c r="DB180" s="1365"/>
      <c r="DC180" s="1365"/>
      <c r="DD180" s="1365"/>
      <c r="DE180" s="1365"/>
      <c r="DF180" s="1365"/>
      <c r="DG180" s="1365"/>
      <c r="DH180" s="1365"/>
      <c r="DI180" s="1365"/>
      <c r="DJ180" s="1365"/>
      <c r="DK180" s="1365"/>
      <c r="DL180" s="1365"/>
      <c r="DM180" s="1365"/>
      <c r="DN180" s="1365"/>
      <c r="DO180" s="1365"/>
      <c r="DP180" s="1365"/>
      <c r="DQ180" s="1365"/>
      <c r="DR180" s="1365"/>
      <c r="DS180" s="1365"/>
      <c r="DT180" s="1365"/>
    </row>
    <row r="181" spans="1:124">
      <c r="A181" s="1118">
        <f t="shared" ca="1" si="53"/>
        <v>11</v>
      </c>
      <c r="B181" s="1890">
        <f t="shared" si="63"/>
        <v>0</v>
      </c>
      <c r="C181" s="2160">
        <f t="shared" si="75"/>
        <v>0</v>
      </c>
      <c r="D181" s="2161">
        <f t="shared" si="76"/>
        <v>0</v>
      </c>
      <c r="E181" s="2162">
        <f t="shared" si="64"/>
        <v>0</v>
      </c>
      <c r="F181" s="2162">
        <f t="shared" si="85"/>
        <v>0</v>
      </c>
      <c r="G181" s="2162">
        <f t="shared" si="86"/>
        <v>0</v>
      </c>
      <c r="H181" s="2162">
        <f t="shared" si="77"/>
        <v>0</v>
      </c>
      <c r="I181" s="2162">
        <f t="shared" si="84"/>
        <v>0</v>
      </c>
      <c r="J181" s="2162">
        <f t="shared" si="54"/>
        <v>0</v>
      </c>
      <c r="K181" s="2162">
        <f t="shared" si="55"/>
        <v>0</v>
      </c>
      <c r="L181" s="2162">
        <f t="shared" si="65"/>
        <v>0</v>
      </c>
      <c r="M181" s="2162">
        <f t="shared" si="56"/>
        <v>0</v>
      </c>
      <c r="N181" s="2162">
        <f t="shared" si="66"/>
        <v>0</v>
      </c>
      <c r="O181" s="2163"/>
      <c r="AG181" s="1756"/>
      <c r="AH181" s="1756"/>
      <c r="AI181" s="1756"/>
      <c r="AJ181" s="1989">
        <f t="shared" si="67"/>
        <v>8</v>
      </c>
      <c r="AK181" s="1900">
        <f t="shared" si="68"/>
        <v>0</v>
      </c>
      <c r="AL181" s="1907"/>
      <c r="AM181" s="1907"/>
      <c r="AN181" s="1901">
        <f t="shared" si="78"/>
        <v>0</v>
      </c>
      <c r="AO181" s="1906">
        <f t="shared" ca="1" si="69"/>
        <v>0</v>
      </c>
      <c r="AU181" s="1903">
        <f t="shared" si="79"/>
        <v>0</v>
      </c>
      <c r="AV181" s="1904">
        <f t="shared" si="70"/>
        <v>0</v>
      </c>
      <c r="AW181" s="1904">
        <f t="shared" si="71"/>
        <v>0</v>
      </c>
      <c r="AX181" s="1904"/>
      <c r="AY181" s="1904"/>
      <c r="AZ181" s="1904"/>
      <c r="BA181" s="1904"/>
      <c r="BB181" s="1897">
        <f t="shared" si="72"/>
        <v>0</v>
      </c>
      <c r="BC181" s="1897">
        <f t="shared" si="57"/>
        <v>0</v>
      </c>
      <c r="BD181" s="1898" t="e">
        <f>HLOOKUP($BD$63,anticipaplus,117,0)</f>
        <v>#N/A</v>
      </c>
      <c r="BE181" s="1899"/>
      <c r="BF181" s="1899"/>
      <c r="BG181" s="1360">
        <f t="shared" si="73"/>
        <v>0</v>
      </c>
      <c r="BH181" s="1361">
        <f t="shared" si="81"/>
        <v>116</v>
      </c>
      <c r="BI181" s="1362">
        <f t="shared" si="74"/>
        <v>0</v>
      </c>
      <c r="BJ181" s="1362">
        <f t="shared" si="58"/>
        <v>0</v>
      </c>
      <c r="BK181" s="1362">
        <f t="shared" si="80"/>
        <v>0</v>
      </c>
      <c r="BL181" s="1363">
        <f t="shared" si="59"/>
        <v>1000000</v>
      </c>
      <c r="BM181" s="1899"/>
      <c r="BN181" s="1361">
        <f t="shared" si="82"/>
        <v>116</v>
      </c>
      <c r="BO181" s="1362">
        <f t="shared" si="60"/>
        <v>0</v>
      </c>
      <c r="BP181" s="1362">
        <f t="shared" si="61"/>
        <v>8543.4723045346618</v>
      </c>
      <c r="BQ181" s="1362">
        <f t="shared" si="89"/>
        <v>8543.4723045346618</v>
      </c>
      <c r="BR181" s="1363">
        <f t="shared" si="62"/>
        <v>8957.2126739817322</v>
      </c>
      <c r="BT181" s="1414"/>
      <c r="BX181" s="1364"/>
      <c r="BY181" s="1364"/>
      <c r="BZ181" s="1364"/>
      <c r="CA181" s="1364"/>
      <c r="CB181" s="1364"/>
      <c r="CC181" s="1365"/>
      <c r="CD181" s="1365"/>
      <c r="CE181" s="1365"/>
      <c r="CF181" s="1365"/>
      <c r="CG181" s="1365"/>
      <c r="CH181" s="1366"/>
      <c r="CI181" s="1366"/>
      <c r="CJ181" s="1366"/>
      <c r="CK181" s="1366"/>
      <c r="CL181" s="1365"/>
      <c r="CM181" s="1366"/>
      <c r="CN181" s="1366"/>
      <c r="CO181" s="1366"/>
      <c r="CP181" s="1366"/>
      <c r="CQ181" s="1366"/>
      <c r="CR181" s="1366"/>
      <c r="CS181" s="1365"/>
      <c r="CT181" s="1365"/>
      <c r="CU181" s="1365"/>
      <c r="CV181" s="1365"/>
      <c r="CW181" s="1365"/>
      <c r="CX181" s="1365"/>
      <c r="CY181" s="1365"/>
      <c r="CZ181" s="1365"/>
      <c r="DA181" s="1365"/>
      <c r="DB181" s="1365"/>
      <c r="DC181" s="1365"/>
      <c r="DD181" s="1365"/>
      <c r="DE181" s="1365"/>
      <c r="DF181" s="1365"/>
      <c r="DG181" s="1365"/>
      <c r="DH181" s="1365"/>
      <c r="DI181" s="1365"/>
      <c r="DJ181" s="1365"/>
      <c r="DK181" s="1365"/>
      <c r="DL181" s="1365"/>
      <c r="DM181" s="1365"/>
      <c r="DN181" s="1365"/>
      <c r="DO181" s="1365"/>
      <c r="DP181" s="1365"/>
      <c r="DQ181" s="1365"/>
      <c r="DR181" s="1365"/>
      <c r="DS181" s="1365"/>
      <c r="DT181" s="1365"/>
    </row>
    <row r="182" spans="1:124">
      <c r="A182" s="1118">
        <f t="shared" ca="1" si="53"/>
        <v>12</v>
      </c>
      <c r="B182" s="1890">
        <f t="shared" si="63"/>
        <v>0</v>
      </c>
      <c r="C182" s="2160">
        <f t="shared" si="75"/>
        <v>0</v>
      </c>
      <c r="D182" s="2161">
        <f t="shared" si="76"/>
        <v>0</v>
      </c>
      <c r="E182" s="2162">
        <f t="shared" si="64"/>
        <v>0</v>
      </c>
      <c r="F182" s="2162">
        <f t="shared" si="85"/>
        <v>0</v>
      </c>
      <c r="G182" s="2162">
        <f t="shared" si="86"/>
        <v>0</v>
      </c>
      <c r="H182" s="2162">
        <f t="shared" si="77"/>
        <v>0</v>
      </c>
      <c r="I182" s="2162">
        <f t="shared" si="84"/>
        <v>0</v>
      </c>
      <c r="J182" s="2162">
        <f t="shared" si="54"/>
        <v>0</v>
      </c>
      <c r="K182" s="2162">
        <f t="shared" si="55"/>
        <v>0</v>
      </c>
      <c r="L182" s="2162">
        <f t="shared" si="65"/>
        <v>0</v>
      </c>
      <c r="M182" s="2162">
        <f t="shared" si="56"/>
        <v>0</v>
      </c>
      <c r="N182" s="2162">
        <f t="shared" si="66"/>
        <v>0</v>
      </c>
      <c r="O182" s="2163"/>
      <c r="AG182" s="1756"/>
      <c r="AH182" s="1756"/>
      <c r="AI182" s="1756"/>
      <c r="AJ182" s="1989">
        <f t="shared" si="67"/>
        <v>9</v>
      </c>
      <c r="AK182" s="1900">
        <f t="shared" si="68"/>
        <v>0</v>
      </c>
      <c r="AL182" s="1907"/>
      <c r="AM182" s="1907"/>
      <c r="AN182" s="1901">
        <f t="shared" si="78"/>
        <v>0</v>
      </c>
      <c r="AO182" s="1906">
        <f t="shared" ca="1" si="69"/>
        <v>0</v>
      </c>
      <c r="AU182" s="1903">
        <f t="shared" si="79"/>
        <v>0</v>
      </c>
      <c r="AV182" s="1904">
        <f t="shared" si="70"/>
        <v>0</v>
      </c>
      <c r="AW182" s="1904">
        <f t="shared" si="71"/>
        <v>0</v>
      </c>
      <c r="AX182" s="1904"/>
      <c r="AY182" s="1904"/>
      <c r="AZ182" s="1904"/>
      <c r="BA182" s="1904"/>
      <c r="BB182" s="1897">
        <f t="shared" si="72"/>
        <v>0</v>
      </c>
      <c r="BC182" s="1897">
        <f t="shared" si="57"/>
        <v>0</v>
      </c>
      <c r="BD182" s="1898" t="e">
        <f>HLOOKUP($BD$63,anticipaplus,118,0)</f>
        <v>#N/A</v>
      </c>
      <c r="BE182" s="1899"/>
      <c r="BF182" s="1899"/>
      <c r="BG182" s="1360">
        <f t="shared" si="73"/>
        <v>0</v>
      </c>
      <c r="BH182" s="1361">
        <f t="shared" si="81"/>
        <v>117</v>
      </c>
      <c r="BI182" s="1362">
        <f t="shared" si="74"/>
        <v>0</v>
      </c>
      <c r="BJ182" s="1362">
        <f t="shared" si="58"/>
        <v>0</v>
      </c>
      <c r="BK182" s="1362">
        <f t="shared" si="80"/>
        <v>0</v>
      </c>
      <c r="BL182" s="1363">
        <f t="shared" si="59"/>
        <v>1000000</v>
      </c>
      <c r="BM182" s="1899"/>
      <c r="BN182" s="1361">
        <f t="shared" si="82"/>
        <v>117</v>
      </c>
      <c r="BO182" s="1362">
        <f t="shared" si="60"/>
        <v>0</v>
      </c>
      <c r="BP182" s="1362">
        <f t="shared" si="61"/>
        <v>8543.4723045346618</v>
      </c>
      <c r="BQ182" s="1362">
        <f t="shared" si="89"/>
        <v>8543.4723045346618</v>
      </c>
      <c r="BR182" s="1363">
        <f t="shared" si="62"/>
        <v>413.74036944707041</v>
      </c>
      <c r="BT182" s="1414"/>
      <c r="BX182" s="1364"/>
      <c r="BY182" s="1364"/>
      <c r="BZ182" s="1364"/>
      <c r="CA182" s="1364"/>
      <c r="CB182" s="1364"/>
      <c r="CC182" s="1365"/>
      <c r="CD182" s="1365"/>
      <c r="CE182" s="1365"/>
      <c r="CF182" s="1365"/>
      <c r="CG182" s="1365"/>
      <c r="CH182" s="1366"/>
      <c r="CI182" s="1366"/>
      <c r="CJ182" s="1366"/>
      <c r="CK182" s="1366"/>
      <c r="CL182" s="1365"/>
      <c r="CM182" s="1366"/>
      <c r="CN182" s="1366"/>
      <c r="CO182" s="1366"/>
      <c r="CP182" s="1366"/>
      <c r="CQ182" s="1366"/>
      <c r="CR182" s="1366"/>
      <c r="CS182" s="1365"/>
      <c r="CT182" s="1365"/>
      <c r="CU182" s="1365"/>
      <c r="CV182" s="1365"/>
      <c r="CW182" s="1365"/>
      <c r="CX182" s="1365"/>
      <c r="CY182" s="1365"/>
      <c r="CZ182" s="1365"/>
      <c r="DA182" s="1365"/>
      <c r="DB182" s="1365"/>
      <c r="DC182" s="1365"/>
      <c r="DD182" s="1365"/>
      <c r="DE182" s="1365"/>
      <c r="DF182" s="1365"/>
      <c r="DG182" s="1365"/>
      <c r="DH182" s="1365"/>
      <c r="DI182" s="1365"/>
      <c r="DJ182" s="1365"/>
      <c r="DK182" s="1365"/>
      <c r="DL182" s="1365"/>
      <c r="DM182" s="1365"/>
      <c r="DN182" s="1365"/>
      <c r="DO182" s="1365"/>
      <c r="DP182" s="1365"/>
      <c r="DQ182" s="1365"/>
      <c r="DR182" s="1365"/>
      <c r="DS182" s="1365"/>
      <c r="DT182" s="1365"/>
    </row>
    <row r="183" spans="1:124">
      <c r="A183" s="1118">
        <f t="shared" ca="1" si="53"/>
        <v>1</v>
      </c>
      <c r="B183" s="1890">
        <f t="shared" si="63"/>
        <v>0</v>
      </c>
      <c r="C183" s="2160">
        <f t="shared" si="75"/>
        <v>0</v>
      </c>
      <c r="D183" s="2161">
        <f t="shared" si="76"/>
        <v>0</v>
      </c>
      <c r="E183" s="2162">
        <f t="shared" si="64"/>
        <v>0</v>
      </c>
      <c r="F183" s="2162">
        <f t="shared" si="85"/>
        <v>0</v>
      </c>
      <c r="G183" s="2162">
        <f t="shared" si="86"/>
        <v>0</v>
      </c>
      <c r="H183" s="2162">
        <f t="shared" si="77"/>
        <v>0</v>
      </c>
      <c r="I183" s="2162">
        <f t="shared" si="84"/>
        <v>0</v>
      </c>
      <c r="J183" s="2162">
        <f t="shared" si="54"/>
        <v>0</v>
      </c>
      <c r="K183" s="2162">
        <f t="shared" si="55"/>
        <v>0</v>
      </c>
      <c r="L183" s="2162">
        <f t="shared" si="65"/>
        <v>0</v>
      </c>
      <c r="M183" s="2162">
        <f t="shared" si="56"/>
        <v>0</v>
      </c>
      <c r="N183" s="2162">
        <f t="shared" si="66"/>
        <v>0</v>
      </c>
      <c r="O183" s="2163"/>
      <c r="AG183" s="1756"/>
      <c r="AH183" s="1756"/>
      <c r="AI183" s="1756"/>
      <c r="AJ183" s="1989">
        <f t="shared" si="67"/>
        <v>10</v>
      </c>
      <c r="AK183" s="1900">
        <f t="shared" si="68"/>
        <v>0</v>
      </c>
      <c r="AL183" s="1907"/>
      <c r="AM183" s="1907"/>
      <c r="AN183" s="1901">
        <f t="shared" si="78"/>
        <v>0</v>
      </c>
      <c r="AO183" s="1906">
        <f t="shared" ca="1" si="69"/>
        <v>0</v>
      </c>
      <c r="AU183" s="1903">
        <f t="shared" si="79"/>
        <v>0</v>
      </c>
      <c r="AV183" s="1904">
        <f t="shared" si="70"/>
        <v>0</v>
      </c>
      <c r="AW183" s="1904">
        <f t="shared" si="71"/>
        <v>0</v>
      </c>
      <c r="AX183" s="1904"/>
      <c r="AY183" s="1904"/>
      <c r="AZ183" s="1904"/>
      <c r="BA183" s="1904"/>
      <c r="BB183" s="1897">
        <f t="shared" si="72"/>
        <v>0</v>
      </c>
      <c r="BC183" s="1897">
        <f t="shared" si="57"/>
        <v>0</v>
      </c>
      <c r="BD183" s="1898" t="e">
        <f>HLOOKUP($BD$63,anticipaplus,119,0)</f>
        <v>#N/A</v>
      </c>
      <c r="BE183" s="1899"/>
      <c r="BF183" s="1899"/>
      <c r="BG183" s="1360">
        <f t="shared" si="73"/>
        <v>0</v>
      </c>
      <c r="BH183" s="1361">
        <f t="shared" si="81"/>
        <v>118</v>
      </c>
      <c r="BI183" s="1362">
        <f t="shared" si="74"/>
        <v>0</v>
      </c>
      <c r="BJ183" s="1362">
        <f t="shared" si="58"/>
        <v>0</v>
      </c>
      <c r="BK183" s="1362">
        <f t="shared" si="80"/>
        <v>0</v>
      </c>
      <c r="BL183" s="1363">
        <f t="shared" si="59"/>
        <v>1000000</v>
      </c>
      <c r="BM183" s="1899"/>
      <c r="BN183" s="1361">
        <f t="shared" si="82"/>
        <v>118</v>
      </c>
      <c r="BO183" s="1362">
        <f t="shared" si="60"/>
        <v>0</v>
      </c>
      <c r="BP183" s="1362">
        <f t="shared" si="61"/>
        <v>413.74036944707041</v>
      </c>
      <c r="BQ183" s="1362">
        <f t="shared" si="89"/>
        <v>413.74036944707041</v>
      </c>
      <c r="BR183" s="1363">
        <f t="shared" si="62"/>
        <v>0</v>
      </c>
      <c r="BT183" s="1414"/>
      <c r="BX183" s="1364"/>
      <c r="BY183" s="1364"/>
      <c r="BZ183" s="1364"/>
      <c r="CA183" s="1364"/>
      <c r="CB183" s="1364"/>
      <c r="CC183" s="1365"/>
      <c r="CD183" s="1365"/>
      <c r="CE183" s="1365"/>
      <c r="CF183" s="1365"/>
      <c r="CG183" s="1365"/>
      <c r="CH183" s="1366"/>
      <c r="CI183" s="1366"/>
      <c r="CJ183" s="1366"/>
      <c r="CK183" s="1366"/>
      <c r="CL183" s="1365"/>
      <c r="CM183" s="1366"/>
      <c r="CN183" s="1366"/>
      <c r="CO183" s="1366"/>
      <c r="CP183" s="1366"/>
      <c r="CQ183" s="1366"/>
      <c r="CR183" s="1366"/>
      <c r="CS183" s="1365"/>
      <c r="CT183" s="1365"/>
      <c r="CU183" s="1365"/>
      <c r="CV183" s="1365"/>
      <c r="CW183" s="1365"/>
      <c r="CX183" s="1365"/>
      <c r="CY183" s="1365"/>
      <c r="CZ183" s="1365"/>
      <c r="DA183" s="1365"/>
      <c r="DB183" s="1365"/>
      <c r="DC183" s="1365"/>
      <c r="DD183" s="1365"/>
      <c r="DE183" s="1365"/>
      <c r="DF183" s="1365"/>
      <c r="DG183" s="1365"/>
      <c r="DH183" s="1365"/>
      <c r="DI183" s="1365"/>
      <c r="DJ183" s="1365"/>
      <c r="DK183" s="1365"/>
      <c r="DL183" s="1365"/>
      <c r="DM183" s="1365"/>
      <c r="DN183" s="1365"/>
      <c r="DO183" s="1365"/>
      <c r="DP183" s="1365"/>
      <c r="DQ183" s="1365"/>
      <c r="DR183" s="1365"/>
      <c r="DS183" s="1365"/>
      <c r="DT183" s="1365"/>
    </row>
    <row r="184" spans="1:124">
      <c r="A184" s="1118">
        <f t="shared" ca="1" si="53"/>
        <v>2</v>
      </c>
      <c r="B184" s="1890">
        <f t="shared" si="63"/>
        <v>0</v>
      </c>
      <c r="C184" s="2160">
        <f t="shared" si="75"/>
        <v>0</v>
      </c>
      <c r="D184" s="2161">
        <f t="shared" si="76"/>
        <v>0</v>
      </c>
      <c r="E184" s="2162">
        <f t="shared" si="64"/>
        <v>0</v>
      </c>
      <c r="F184" s="2162">
        <f t="shared" si="85"/>
        <v>0</v>
      </c>
      <c r="G184" s="2162">
        <f t="shared" si="86"/>
        <v>0</v>
      </c>
      <c r="H184" s="2162">
        <f t="shared" si="77"/>
        <v>0</v>
      </c>
      <c r="I184" s="2162">
        <f t="shared" si="84"/>
        <v>0</v>
      </c>
      <c r="J184" s="2162">
        <f t="shared" si="54"/>
        <v>0</v>
      </c>
      <c r="K184" s="2162">
        <f t="shared" si="55"/>
        <v>0</v>
      </c>
      <c r="L184" s="2162">
        <f t="shared" si="65"/>
        <v>0</v>
      </c>
      <c r="M184" s="2162">
        <f t="shared" si="56"/>
        <v>0</v>
      </c>
      <c r="N184" s="2162">
        <f t="shared" si="66"/>
        <v>0</v>
      </c>
      <c r="O184" s="2163"/>
      <c r="AG184" s="1756"/>
      <c r="AH184" s="1756"/>
      <c r="AI184" s="1756"/>
      <c r="AJ184" s="1989">
        <f t="shared" si="67"/>
        <v>11</v>
      </c>
      <c r="AK184" s="1900">
        <f t="shared" si="68"/>
        <v>0</v>
      </c>
      <c r="AL184" s="1907"/>
      <c r="AM184" s="1907"/>
      <c r="AN184" s="1901">
        <f t="shared" si="78"/>
        <v>0</v>
      </c>
      <c r="AO184" s="1906">
        <f t="shared" ca="1" si="69"/>
        <v>0</v>
      </c>
      <c r="AU184" s="1903">
        <f t="shared" si="79"/>
        <v>0</v>
      </c>
      <c r="AV184" s="1904">
        <f t="shared" si="70"/>
        <v>0</v>
      </c>
      <c r="AW184" s="1904">
        <f t="shared" si="71"/>
        <v>0</v>
      </c>
      <c r="AX184" s="1904"/>
      <c r="AY184" s="1904"/>
      <c r="AZ184" s="1904"/>
      <c r="BA184" s="1904"/>
      <c r="BB184" s="1897">
        <f t="shared" si="72"/>
        <v>0</v>
      </c>
      <c r="BC184" s="1897">
        <f t="shared" si="57"/>
        <v>0</v>
      </c>
      <c r="BD184" s="1898" t="e">
        <f>HLOOKUP($BD$63,anticipaplus,120,0)</f>
        <v>#N/A</v>
      </c>
      <c r="BE184" s="1899"/>
      <c r="BF184" s="1899"/>
      <c r="BG184" s="1360">
        <f t="shared" si="73"/>
        <v>0</v>
      </c>
      <c r="BH184" s="1361">
        <f t="shared" si="81"/>
        <v>119</v>
      </c>
      <c r="BI184" s="1362">
        <f t="shared" si="74"/>
        <v>0</v>
      </c>
      <c r="BJ184" s="1362">
        <f t="shared" si="58"/>
        <v>0</v>
      </c>
      <c r="BK184" s="1362">
        <f t="shared" si="80"/>
        <v>0</v>
      </c>
      <c r="BL184" s="1363">
        <f t="shared" si="59"/>
        <v>1000000</v>
      </c>
      <c r="BM184" s="1899"/>
      <c r="BN184" s="1361" t="str">
        <f t="shared" si="82"/>
        <v/>
      </c>
      <c r="BO184" s="1362">
        <f t="shared" si="60"/>
        <v>0</v>
      </c>
      <c r="BP184" s="1362">
        <f t="shared" si="61"/>
        <v>0</v>
      </c>
      <c r="BQ184" s="1362">
        <f t="shared" si="89"/>
        <v>0</v>
      </c>
      <c r="BR184" s="1363">
        <f t="shared" si="62"/>
        <v>0</v>
      </c>
      <c r="BT184" s="1414"/>
      <c r="BX184" s="1364"/>
      <c r="BY184" s="1364"/>
      <c r="BZ184" s="1364"/>
      <c r="CA184" s="1364"/>
      <c r="CB184" s="1364"/>
      <c r="CC184" s="1365"/>
      <c r="CD184" s="1365"/>
      <c r="CE184" s="1365"/>
      <c r="CF184" s="1365"/>
      <c r="CG184" s="1365"/>
      <c r="CH184" s="1366"/>
      <c r="CI184" s="1366"/>
      <c r="CJ184" s="1366"/>
      <c r="CK184" s="1366"/>
      <c r="CL184" s="1365"/>
      <c r="CM184" s="1366"/>
      <c r="CN184" s="1366"/>
      <c r="CO184" s="1366"/>
      <c r="CP184" s="1366"/>
      <c r="CQ184" s="1366"/>
      <c r="CR184" s="1366"/>
      <c r="CS184" s="1365"/>
      <c r="CT184" s="1365"/>
      <c r="CU184" s="1365"/>
      <c r="CV184" s="1365"/>
      <c r="CW184" s="1365"/>
      <c r="CX184" s="1365"/>
      <c r="CY184" s="1365"/>
      <c r="CZ184" s="1365"/>
      <c r="DA184" s="1365"/>
      <c r="DB184" s="1365"/>
      <c r="DC184" s="1365"/>
      <c r="DD184" s="1365"/>
      <c r="DE184" s="1365"/>
      <c r="DF184" s="1365"/>
      <c r="DG184" s="1365"/>
      <c r="DH184" s="1365"/>
      <c r="DI184" s="1365"/>
      <c r="DJ184" s="1365"/>
      <c r="DK184" s="1365"/>
      <c r="DL184" s="1365"/>
      <c r="DM184" s="1365"/>
      <c r="DN184" s="1365"/>
      <c r="DO184" s="1365"/>
      <c r="DP184" s="1365"/>
      <c r="DQ184" s="1365"/>
      <c r="DR184" s="1365"/>
      <c r="DS184" s="1365"/>
      <c r="DT184" s="1365"/>
    </row>
    <row r="185" spans="1:124">
      <c r="A185" s="1118">
        <f t="shared" ca="1" si="53"/>
        <v>3</v>
      </c>
      <c r="B185" s="1890">
        <f t="shared" si="63"/>
        <v>0</v>
      </c>
      <c r="C185" s="2160">
        <f t="shared" si="75"/>
        <v>0</v>
      </c>
      <c r="D185" s="2161">
        <f t="shared" si="76"/>
        <v>0</v>
      </c>
      <c r="E185" s="2162">
        <f t="shared" si="64"/>
        <v>0</v>
      </c>
      <c r="F185" s="2162">
        <f t="shared" si="85"/>
        <v>0</v>
      </c>
      <c r="G185" s="2162">
        <f t="shared" si="86"/>
        <v>0</v>
      </c>
      <c r="H185" s="2162">
        <f t="shared" si="77"/>
        <v>0</v>
      </c>
      <c r="I185" s="2162">
        <f t="shared" si="84"/>
        <v>0</v>
      </c>
      <c r="J185" s="2162">
        <f t="shared" si="54"/>
        <v>0</v>
      </c>
      <c r="K185" s="2162">
        <f t="shared" si="55"/>
        <v>0</v>
      </c>
      <c r="L185" s="2162">
        <f t="shared" si="65"/>
        <v>0</v>
      </c>
      <c r="M185" s="2162">
        <f t="shared" si="56"/>
        <v>0</v>
      </c>
      <c r="N185" s="2162">
        <f t="shared" si="66"/>
        <v>0</v>
      </c>
      <c r="O185" s="2163"/>
      <c r="AG185" s="1756"/>
      <c r="AH185" s="1756"/>
      <c r="AI185" s="1756"/>
      <c r="AJ185" s="1989">
        <f t="shared" si="67"/>
        <v>12</v>
      </c>
      <c r="AK185" s="1900">
        <f t="shared" si="68"/>
        <v>0</v>
      </c>
      <c r="AL185" s="1907"/>
      <c r="AM185" s="1907"/>
      <c r="AN185" s="1901">
        <f t="shared" si="78"/>
        <v>0</v>
      </c>
      <c r="AO185" s="1906">
        <f t="shared" ca="1" si="69"/>
        <v>0</v>
      </c>
      <c r="AU185" s="1903">
        <f t="shared" si="79"/>
        <v>0</v>
      </c>
      <c r="AV185" s="1904">
        <f t="shared" si="70"/>
        <v>0</v>
      </c>
      <c r="AW185" s="1904">
        <f t="shared" si="71"/>
        <v>0</v>
      </c>
      <c r="AX185" s="1904"/>
      <c r="AY185" s="1904"/>
      <c r="AZ185" s="1904"/>
      <c r="BA185" s="1904"/>
      <c r="BB185" s="1897">
        <f t="shared" si="72"/>
        <v>0</v>
      </c>
      <c r="BC185" s="1897">
        <f t="shared" si="57"/>
        <v>0</v>
      </c>
      <c r="BD185" s="1898" t="e">
        <f>HLOOKUP($BD$63,anticipaplus,121,0)</f>
        <v>#N/A</v>
      </c>
      <c r="BE185" s="1899"/>
      <c r="BF185" s="1899"/>
      <c r="BG185" s="1360">
        <f t="shared" si="73"/>
        <v>0</v>
      </c>
      <c r="BH185" s="1361">
        <f t="shared" si="81"/>
        <v>120</v>
      </c>
      <c r="BI185" s="1362">
        <f t="shared" si="74"/>
        <v>0</v>
      </c>
      <c r="BJ185" s="1362">
        <f t="shared" si="58"/>
        <v>0</v>
      </c>
      <c r="BK185" s="1362">
        <f t="shared" si="80"/>
        <v>0</v>
      </c>
      <c r="BL185" s="1363">
        <f t="shared" si="59"/>
        <v>1000000</v>
      </c>
      <c r="BM185" s="1899"/>
      <c r="BN185" s="1361" t="str">
        <f t="shared" si="82"/>
        <v/>
      </c>
      <c r="BO185" s="1362">
        <f t="shared" si="60"/>
        <v>0</v>
      </c>
      <c r="BP185" s="1362">
        <f t="shared" si="61"/>
        <v>0</v>
      </c>
      <c r="BQ185" s="1362">
        <f t="shared" si="89"/>
        <v>0</v>
      </c>
      <c r="BR185" s="1363">
        <f t="shared" si="62"/>
        <v>0</v>
      </c>
      <c r="BT185" s="1414"/>
      <c r="BX185" s="1364"/>
      <c r="BY185" s="1364"/>
      <c r="BZ185" s="1364"/>
      <c r="CA185" s="1364"/>
      <c r="CB185" s="1364"/>
      <c r="CC185" s="1365"/>
      <c r="CD185" s="1365"/>
      <c r="CE185" s="1365"/>
      <c r="CF185" s="1365"/>
      <c r="CG185" s="1365"/>
      <c r="CH185" s="1366"/>
      <c r="CI185" s="1366"/>
      <c r="CJ185" s="1366"/>
      <c r="CK185" s="1366"/>
      <c r="CL185" s="1365"/>
      <c r="CM185" s="1366"/>
      <c r="CN185" s="1366"/>
      <c r="CO185" s="1366"/>
      <c r="CP185" s="1366"/>
      <c r="CQ185" s="1366"/>
      <c r="CR185" s="1366"/>
      <c r="CS185" s="1365"/>
      <c r="CT185" s="1365"/>
      <c r="CU185" s="1365"/>
      <c r="CV185" s="1365"/>
      <c r="CW185" s="1365"/>
      <c r="CX185" s="1365"/>
      <c r="CY185" s="1365"/>
      <c r="CZ185" s="1365"/>
      <c r="DA185" s="1365"/>
      <c r="DB185" s="1365"/>
      <c r="DC185" s="1365"/>
      <c r="DD185" s="1365"/>
      <c r="DE185" s="1365"/>
      <c r="DF185" s="1365"/>
      <c r="DG185" s="1365"/>
      <c r="DH185" s="1365"/>
      <c r="DI185" s="1365"/>
      <c r="DJ185" s="1365"/>
      <c r="DK185" s="1365"/>
      <c r="DL185" s="1365"/>
      <c r="DM185" s="1365"/>
      <c r="DN185" s="1365"/>
      <c r="DO185" s="1365"/>
      <c r="DP185" s="1365"/>
      <c r="DQ185" s="1365"/>
      <c r="DR185" s="1365"/>
      <c r="DS185" s="1365"/>
      <c r="DT185" s="1365"/>
    </row>
    <row r="186" spans="1:124">
      <c r="A186" s="1118">
        <f t="shared" ca="1" si="53"/>
        <v>4</v>
      </c>
      <c r="B186" s="1890">
        <f t="shared" si="63"/>
        <v>0</v>
      </c>
      <c r="C186" s="2160">
        <f t="shared" si="75"/>
        <v>0</v>
      </c>
      <c r="D186" s="2161">
        <f t="shared" si="76"/>
        <v>0</v>
      </c>
      <c r="E186" s="2162">
        <f t="shared" si="64"/>
        <v>0</v>
      </c>
      <c r="F186" s="2162">
        <f t="shared" si="85"/>
        <v>0</v>
      </c>
      <c r="G186" s="2162">
        <f t="shared" si="86"/>
        <v>0</v>
      </c>
      <c r="H186" s="2162">
        <f t="shared" si="77"/>
        <v>0</v>
      </c>
      <c r="I186" s="2162">
        <f t="shared" si="84"/>
        <v>0</v>
      </c>
      <c r="J186" s="2162">
        <f t="shared" si="54"/>
        <v>0</v>
      </c>
      <c r="K186" s="2162">
        <f t="shared" si="55"/>
        <v>0</v>
      </c>
      <c r="L186" s="2162">
        <f t="shared" si="65"/>
        <v>0</v>
      </c>
      <c r="M186" s="2162">
        <f t="shared" si="56"/>
        <v>0</v>
      </c>
      <c r="N186" s="2162">
        <f t="shared" si="66"/>
        <v>0</v>
      </c>
      <c r="O186" s="2163"/>
      <c r="AG186" s="1756"/>
      <c r="AH186" s="1756"/>
      <c r="AI186" s="1756"/>
      <c r="AJ186" s="1989">
        <f t="shared" si="67"/>
        <v>1</v>
      </c>
      <c r="AK186" s="1900">
        <f t="shared" si="68"/>
        <v>0</v>
      </c>
      <c r="AL186" s="1907"/>
      <c r="AM186" s="1907"/>
      <c r="AN186" s="1901">
        <f t="shared" si="78"/>
        <v>0</v>
      </c>
      <c r="AO186" s="1906">
        <f t="shared" ca="1" si="69"/>
        <v>0</v>
      </c>
      <c r="AU186" s="1903">
        <f t="shared" si="79"/>
        <v>0</v>
      </c>
      <c r="AV186" s="1904">
        <f t="shared" si="70"/>
        <v>0</v>
      </c>
      <c r="AW186" s="1904">
        <f t="shared" si="71"/>
        <v>0</v>
      </c>
      <c r="AX186" s="1904"/>
      <c r="AY186" s="1904"/>
      <c r="AZ186" s="1904"/>
      <c r="BA186" s="1904"/>
      <c r="BB186" s="1897">
        <f t="shared" si="72"/>
        <v>0</v>
      </c>
      <c r="BC186" s="1897">
        <f t="shared" si="57"/>
        <v>0</v>
      </c>
      <c r="BD186" s="1898" t="e">
        <f>HLOOKUP($BD$63,anticipaplus,122,0)</f>
        <v>#N/A</v>
      </c>
      <c r="BE186" s="1899"/>
      <c r="BF186" s="1899"/>
      <c r="BG186" s="1360">
        <f t="shared" si="73"/>
        <v>0</v>
      </c>
      <c r="BH186" s="1377">
        <f t="shared" si="81"/>
        <v>121</v>
      </c>
      <c r="BI186" s="1378">
        <f t="shared" si="74"/>
        <v>0</v>
      </c>
      <c r="BJ186" s="1378">
        <f t="shared" si="58"/>
        <v>0</v>
      </c>
      <c r="BK186" s="1378">
        <f>MIN(BL185+BI186,BK185*(1+$BI$61))</f>
        <v>0</v>
      </c>
      <c r="BL186" s="1363">
        <f t="shared" si="59"/>
        <v>1000000</v>
      </c>
      <c r="BM186" s="1899"/>
      <c r="BN186" s="1379" t="str">
        <f t="shared" si="82"/>
        <v/>
      </c>
      <c r="BO186" s="1380">
        <f t="shared" si="60"/>
        <v>0</v>
      </c>
      <c r="BP186" s="1380">
        <f t="shared" si="61"/>
        <v>0</v>
      </c>
      <c r="BQ186" s="1380">
        <f>MIN(BR185+BO186,BQ185*(1+$BO$61))</f>
        <v>0</v>
      </c>
      <c r="BR186" s="1363">
        <f t="shared" si="62"/>
        <v>0</v>
      </c>
      <c r="BT186" s="1414"/>
      <c r="BX186" s="1364"/>
      <c r="BY186" s="1364"/>
      <c r="BZ186" s="1364"/>
      <c r="CA186" s="1364"/>
      <c r="CB186" s="1364"/>
      <c r="CC186" s="1365"/>
      <c r="CD186" s="1365"/>
      <c r="CE186" s="1365"/>
      <c r="CF186" s="1365"/>
      <c r="CG186" s="1365"/>
      <c r="CH186" s="1366"/>
      <c r="CI186" s="1366"/>
      <c r="CJ186" s="1366"/>
      <c r="CK186" s="1366"/>
      <c r="CL186" s="1365"/>
      <c r="CM186" s="1366"/>
      <c r="CN186" s="1366"/>
      <c r="CO186" s="1366"/>
      <c r="CP186" s="1366"/>
      <c r="CQ186" s="1366"/>
      <c r="CR186" s="1366"/>
      <c r="CS186" s="1365"/>
      <c r="CT186" s="1365"/>
      <c r="CU186" s="1365"/>
      <c r="CV186" s="1365"/>
      <c r="CW186" s="1365"/>
      <c r="CX186" s="1365"/>
      <c r="CY186" s="1365"/>
      <c r="CZ186" s="1365"/>
      <c r="DA186" s="1365"/>
      <c r="DB186" s="1365"/>
      <c r="DC186" s="1365"/>
      <c r="DD186" s="1365"/>
      <c r="DE186" s="1365"/>
      <c r="DF186" s="1365"/>
      <c r="DG186" s="1365"/>
      <c r="DH186" s="1365"/>
      <c r="DI186" s="1365"/>
      <c r="DJ186" s="1365"/>
      <c r="DK186" s="1365"/>
      <c r="DL186" s="1365"/>
      <c r="DM186" s="1365"/>
      <c r="DN186" s="1365"/>
      <c r="DO186" s="1365"/>
      <c r="DP186" s="1365"/>
      <c r="DQ186" s="1365"/>
      <c r="DR186" s="1365"/>
      <c r="DS186" s="1365"/>
      <c r="DT186" s="1365"/>
    </row>
    <row r="187" spans="1:124">
      <c r="A187" s="1118">
        <f t="shared" ca="1" si="53"/>
        <v>5</v>
      </c>
      <c r="B187" s="1890">
        <f t="shared" si="63"/>
        <v>0</v>
      </c>
      <c r="C187" s="2160">
        <f t="shared" si="75"/>
        <v>0</v>
      </c>
      <c r="D187" s="2161">
        <f t="shared" si="76"/>
        <v>0</v>
      </c>
      <c r="E187" s="2162">
        <f t="shared" si="64"/>
        <v>0</v>
      </c>
      <c r="F187" s="2162">
        <f t="shared" si="85"/>
        <v>0</v>
      </c>
      <c r="G187" s="2162">
        <f t="shared" si="86"/>
        <v>0</v>
      </c>
      <c r="H187" s="2162">
        <f t="shared" si="77"/>
        <v>0</v>
      </c>
      <c r="I187" s="2162">
        <f t="shared" si="84"/>
        <v>0</v>
      </c>
      <c r="J187" s="2162">
        <f t="shared" si="54"/>
        <v>0</v>
      </c>
      <c r="K187" s="2162">
        <f t="shared" si="55"/>
        <v>0</v>
      </c>
      <c r="L187" s="2162">
        <f t="shared" si="65"/>
        <v>0</v>
      </c>
      <c r="M187" s="2162">
        <f t="shared" si="56"/>
        <v>0</v>
      </c>
      <c r="N187" s="2162">
        <f t="shared" si="66"/>
        <v>0</v>
      </c>
      <c r="O187" s="2163"/>
      <c r="AG187" s="1756"/>
      <c r="AH187" s="1756"/>
      <c r="AI187" s="1756"/>
      <c r="AJ187" s="1989">
        <f t="shared" si="67"/>
        <v>2</v>
      </c>
      <c r="AK187" s="1900">
        <f t="shared" si="68"/>
        <v>0</v>
      </c>
      <c r="AL187" s="1907"/>
      <c r="AM187" s="1907"/>
      <c r="AN187" s="1901">
        <f t="shared" si="78"/>
        <v>0</v>
      </c>
      <c r="AO187" s="1906">
        <f t="shared" ca="1" si="69"/>
        <v>0</v>
      </c>
      <c r="AU187" s="1903">
        <f t="shared" si="79"/>
        <v>0</v>
      </c>
      <c r="AV187" s="1904">
        <f t="shared" si="70"/>
        <v>0</v>
      </c>
      <c r="AW187" s="1904">
        <f t="shared" si="71"/>
        <v>0</v>
      </c>
      <c r="AX187" s="1904"/>
      <c r="AY187" s="1904"/>
      <c r="AZ187" s="1904"/>
      <c r="BA187" s="1904"/>
      <c r="BB187" s="1897">
        <f t="shared" si="72"/>
        <v>0</v>
      </c>
      <c r="BC187" s="1897">
        <f t="shared" si="57"/>
        <v>0</v>
      </c>
      <c r="BD187" s="1898" t="e">
        <f>HLOOKUP($BD$63,anticipaplus,123,0)</f>
        <v>#N/A</v>
      </c>
      <c r="BE187" s="1899"/>
      <c r="BF187" s="1899"/>
      <c r="BG187" s="1360">
        <f t="shared" si="73"/>
        <v>0</v>
      </c>
      <c r="BH187" s="1361">
        <f t="shared" si="81"/>
        <v>122</v>
      </c>
      <c r="BI187" s="1362">
        <f t="shared" si="74"/>
        <v>0</v>
      </c>
      <c r="BJ187" s="1362">
        <f t="shared" si="58"/>
        <v>0</v>
      </c>
      <c r="BK187" s="1362">
        <f t="shared" si="80"/>
        <v>0</v>
      </c>
      <c r="BL187" s="1363">
        <f t="shared" si="59"/>
        <v>1000000</v>
      </c>
      <c r="BM187" s="1899"/>
      <c r="BN187" s="1361" t="str">
        <f t="shared" si="82"/>
        <v/>
      </c>
      <c r="BO187" s="1362">
        <f t="shared" si="60"/>
        <v>0</v>
      </c>
      <c r="BP187" s="1362">
        <f t="shared" si="61"/>
        <v>0</v>
      </c>
      <c r="BQ187" s="1362">
        <f t="shared" ref="BQ187:BQ197" si="90">MIN(BR186+BO187,BQ186)</f>
        <v>0</v>
      </c>
      <c r="BR187" s="1363">
        <f t="shared" si="62"/>
        <v>0</v>
      </c>
      <c r="BT187" s="1414"/>
      <c r="BX187" s="1364"/>
      <c r="BY187" s="1364"/>
      <c r="BZ187" s="1364"/>
      <c r="CA187" s="1364"/>
      <c r="CB187" s="1364"/>
      <c r="CC187" s="1365"/>
      <c r="CD187" s="1365"/>
      <c r="CE187" s="1365"/>
      <c r="CF187" s="1365"/>
      <c r="CG187" s="1365"/>
      <c r="CH187" s="1366"/>
      <c r="CI187" s="1366"/>
      <c r="CJ187" s="1366"/>
      <c r="CK187" s="1366"/>
      <c r="CL187" s="1365"/>
      <c r="CM187" s="1366"/>
      <c r="CN187" s="1366"/>
      <c r="CO187" s="1366"/>
      <c r="CP187" s="1366"/>
      <c r="CQ187" s="1366"/>
      <c r="CR187" s="1366"/>
      <c r="CS187" s="1365"/>
      <c r="CT187" s="1365"/>
      <c r="CU187" s="1365"/>
      <c r="CV187" s="1365"/>
      <c r="CW187" s="1365"/>
      <c r="CX187" s="1365"/>
      <c r="CY187" s="1365"/>
      <c r="CZ187" s="1365"/>
      <c r="DA187" s="1365"/>
      <c r="DB187" s="1365"/>
      <c r="DC187" s="1365"/>
      <c r="DD187" s="1365"/>
      <c r="DE187" s="1365"/>
      <c r="DF187" s="1365"/>
      <c r="DG187" s="1365"/>
      <c r="DH187" s="1365"/>
      <c r="DI187" s="1365"/>
      <c r="DJ187" s="1365"/>
      <c r="DK187" s="1365"/>
      <c r="DL187" s="1365"/>
      <c r="DM187" s="1365"/>
      <c r="DN187" s="1365"/>
      <c r="DO187" s="1365"/>
      <c r="DP187" s="1365"/>
      <c r="DQ187" s="1365"/>
      <c r="DR187" s="1365"/>
      <c r="DS187" s="1365"/>
      <c r="DT187" s="1365"/>
    </row>
    <row r="188" spans="1:124">
      <c r="A188" s="1118">
        <f t="shared" ca="1" si="53"/>
        <v>6</v>
      </c>
      <c r="B188" s="1890">
        <f t="shared" si="63"/>
        <v>0</v>
      </c>
      <c r="C188" s="2160">
        <f t="shared" si="75"/>
        <v>0</v>
      </c>
      <c r="D188" s="2161">
        <f t="shared" si="76"/>
        <v>0</v>
      </c>
      <c r="E188" s="2162">
        <f t="shared" si="64"/>
        <v>0</v>
      </c>
      <c r="F188" s="2162">
        <f t="shared" si="85"/>
        <v>0</v>
      </c>
      <c r="G188" s="2162">
        <f t="shared" si="86"/>
        <v>0</v>
      </c>
      <c r="H188" s="2162">
        <f t="shared" si="77"/>
        <v>0</v>
      </c>
      <c r="I188" s="2162">
        <f t="shared" si="84"/>
        <v>0</v>
      </c>
      <c r="J188" s="2162">
        <f t="shared" si="54"/>
        <v>0</v>
      </c>
      <c r="K188" s="2162">
        <f t="shared" si="55"/>
        <v>0</v>
      </c>
      <c r="L188" s="2162">
        <f t="shared" si="65"/>
        <v>0</v>
      </c>
      <c r="M188" s="2162">
        <f t="shared" si="56"/>
        <v>0</v>
      </c>
      <c r="N188" s="2162">
        <f t="shared" si="66"/>
        <v>0</v>
      </c>
      <c r="O188" s="2163"/>
      <c r="AG188" s="1756"/>
      <c r="AH188" s="1756"/>
      <c r="AI188" s="1756"/>
      <c r="AJ188" s="1989">
        <f t="shared" si="67"/>
        <v>3</v>
      </c>
      <c r="AK188" s="1900">
        <f t="shared" si="68"/>
        <v>0</v>
      </c>
      <c r="AL188" s="1907"/>
      <c r="AM188" s="1907"/>
      <c r="AN188" s="1901">
        <f t="shared" si="78"/>
        <v>0</v>
      </c>
      <c r="AO188" s="1906">
        <f t="shared" ca="1" si="69"/>
        <v>0</v>
      </c>
      <c r="AU188" s="1903">
        <f t="shared" si="79"/>
        <v>0</v>
      </c>
      <c r="AV188" s="1904">
        <f t="shared" si="70"/>
        <v>0</v>
      </c>
      <c r="AW188" s="1904">
        <f t="shared" si="71"/>
        <v>0</v>
      </c>
      <c r="AX188" s="1904"/>
      <c r="AY188" s="1904"/>
      <c r="AZ188" s="1904"/>
      <c r="BA188" s="1904"/>
      <c r="BB188" s="1897">
        <f t="shared" si="72"/>
        <v>0</v>
      </c>
      <c r="BC188" s="1897">
        <f t="shared" si="57"/>
        <v>0</v>
      </c>
      <c r="BD188" s="1898" t="e">
        <f>HLOOKUP($BD$63,anticipaplus,124,0)</f>
        <v>#N/A</v>
      </c>
      <c r="BE188" s="1899"/>
      <c r="BF188" s="1899"/>
      <c r="BG188" s="1360">
        <f t="shared" si="73"/>
        <v>0</v>
      </c>
      <c r="BH188" s="1361">
        <f t="shared" si="81"/>
        <v>123</v>
      </c>
      <c r="BI188" s="1362">
        <f t="shared" si="74"/>
        <v>0</v>
      </c>
      <c r="BJ188" s="1362">
        <f t="shared" si="58"/>
        <v>0</v>
      </c>
      <c r="BK188" s="1362">
        <f t="shared" si="80"/>
        <v>0</v>
      </c>
      <c r="BL188" s="1363">
        <f t="shared" si="59"/>
        <v>1000000</v>
      </c>
      <c r="BM188" s="1899"/>
      <c r="BN188" s="1361" t="str">
        <f t="shared" si="82"/>
        <v/>
      </c>
      <c r="BO188" s="1362">
        <f t="shared" si="60"/>
        <v>0</v>
      </c>
      <c r="BP188" s="1362">
        <f t="shared" si="61"/>
        <v>0</v>
      </c>
      <c r="BQ188" s="1362">
        <f t="shared" si="90"/>
        <v>0</v>
      </c>
      <c r="BR188" s="1363">
        <f t="shared" si="62"/>
        <v>0</v>
      </c>
      <c r="BT188" s="1414"/>
      <c r="BX188" s="1364"/>
      <c r="BY188" s="1364"/>
      <c r="BZ188" s="1364"/>
      <c r="CA188" s="1364"/>
      <c r="CB188" s="1364"/>
      <c r="CC188" s="1365"/>
      <c r="CD188" s="1365"/>
      <c r="CE188" s="1365"/>
      <c r="CF188" s="1365"/>
      <c r="CG188" s="1365"/>
      <c r="CH188" s="1366"/>
      <c r="CI188" s="1366"/>
      <c r="CJ188" s="1366"/>
      <c r="CK188" s="1366"/>
      <c r="CL188" s="1365"/>
      <c r="CM188" s="1366"/>
      <c r="CN188" s="1366"/>
      <c r="CO188" s="1366"/>
      <c r="CP188" s="1366"/>
      <c r="CQ188" s="1366"/>
      <c r="CR188" s="1366"/>
      <c r="CS188" s="1365"/>
      <c r="CT188" s="1365"/>
      <c r="CU188" s="1365"/>
      <c r="CV188" s="1365"/>
      <c r="CW188" s="1365"/>
      <c r="CX188" s="1365"/>
      <c r="CY188" s="1365"/>
      <c r="CZ188" s="1365"/>
      <c r="DA188" s="1365"/>
      <c r="DB188" s="1365"/>
      <c r="DC188" s="1365"/>
      <c r="DD188" s="1365"/>
      <c r="DE188" s="1365"/>
      <c r="DF188" s="1365"/>
      <c r="DG188" s="1365"/>
      <c r="DH188" s="1365"/>
      <c r="DI188" s="1365"/>
      <c r="DJ188" s="1365"/>
      <c r="DK188" s="1365"/>
      <c r="DL188" s="1365"/>
      <c r="DM188" s="1365"/>
      <c r="DN188" s="1365"/>
      <c r="DO188" s="1365"/>
      <c r="DP188" s="1365"/>
      <c r="DQ188" s="1365"/>
      <c r="DR188" s="1365"/>
      <c r="DS188" s="1365"/>
      <c r="DT188" s="1365"/>
    </row>
    <row r="189" spans="1:124">
      <c r="A189" s="1118">
        <f t="shared" ca="1" si="53"/>
        <v>7</v>
      </c>
      <c r="B189" s="1890">
        <f t="shared" si="63"/>
        <v>0</v>
      </c>
      <c r="C189" s="2160">
        <f t="shared" si="75"/>
        <v>0</v>
      </c>
      <c r="D189" s="2161">
        <f t="shared" si="76"/>
        <v>0</v>
      </c>
      <c r="E189" s="2162">
        <f t="shared" si="64"/>
        <v>0</v>
      </c>
      <c r="F189" s="2162">
        <f t="shared" si="85"/>
        <v>0</v>
      </c>
      <c r="G189" s="2162">
        <f t="shared" si="86"/>
        <v>0</v>
      </c>
      <c r="H189" s="2162">
        <f t="shared" si="77"/>
        <v>0</v>
      </c>
      <c r="I189" s="2162">
        <f t="shared" si="84"/>
        <v>0</v>
      </c>
      <c r="J189" s="2162">
        <f t="shared" si="54"/>
        <v>0</v>
      </c>
      <c r="K189" s="2162">
        <f t="shared" si="55"/>
        <v>0</v>
      </c>
      <c r="L189" s="2162">
        <f t="shared" si="65"/>
        <v>0</v>
      </c>
      <c r="M189" s="2162">
        <f t="shared" si="56"/>
        <v>0</v>
      </c>
      <c r="N189" s="2162">
        <f t="shared" si="66"/>
        <v>0</v>
      </c>
      <c r="O189" s="2163"/>
      <c r="AG189" s="1756"/>
      <c r="AH189" s="1756"/>
      <c r="AI189" s="1756"/>
      <c r="AJ189" s="1989">
        <f t="shared" si="67"/>
        <v>4</v>
      </c>
      <c r="AK189" s="1900">
        <f t="shared" si="68"/>
        <v>0</v>
      </c>
      <c r="AL189" s="1907"/>
      <c r="AM189" s="1907"/>
      <c r="AN189" s="1901">
        <f t="shared" si="78"/>
        <v>0</v>
      </c>
      <c r="AO189" s="1906">
        <f t="shared" ca="1" si="69"/>
        <v>0</v>
      </c>
      <c r="AU189" s="1903">
        <f t="shared" si="79"/>
        <v>0</v>
      </c>
      <c r="AV189" s="1904">
        <f t="shared" si="70"/>
        <v>0</v>
      </c>
      <c r="AW189" s="1904">
        <f t="shared" si="71"/>
        <v>0</v>
      </c>
      <c r="AX189" s="1904"/>
      <c r="AY189" s="1904"/>
      <c r="AZ189" s="1904"/>
      <c r="BA189" s="1904"/>
      <c r="BB189" s="1897">
        <f t="shared" si="72"/>
        <v>0</v>
      </c>
      <c r="BC189" s="1897">
        <f t="shared" si="57"/>
        <v>0</v>
      </c>
      <c r="BD189" s="1898" t="e">
        <f>HLOOKUP($BD$63,anticipaplus,125,0)</f>
        <v>#N/A</v>
      </c>
      <c r="BE189" s="1899"/>
      <c r="BF189" s="1899"/>
      <c r="BG189" s="1360">
        <f t="shared" si="73"/>
        <v>0</v>
      </c>
      <c r="BH189" s="1361">
        <f t="shared" si="81"/>
        <v>124</v>
      </c>
      <c r="BI189" s="1362">
        <f t="shared" si="74"/>
        <v>0</v>
      </c>
      <c r="BJ189" s="1362">
        <f t="shared" si="58"/>
        <v>0</v>
      </c>
      <c r="BK189" s="1362">
        <f t="shared" si="80"/>
        <v>0</v>
      </c>
      <c r="BL189" s="1363">
        <f t="shared" si="59"/>
        <v>1000000</v>
      </c>
      <c r="BM189" s="1899"/>
      <c r="BN189" s="1361" t="str">
        <f t="shared" si="82"/>
        <v/>
      </c>
      <c r="BO189" s="1362">
        <f t="shared" si="60"/>
        <v>0</v>
      </c>
      <c r="BP189" s="1362">
        <f t="shared" si="61"/>
        <v>0</v>
      </c>
      <c r="BQ189" s="1362">
        <f t="shared" si="90"/>
        <v>0</v>
      </c>
      <c r="BR189" s="1363">
        <f t="shared" si="62"/>
        <v>0</v>
      </c>
      <c r="BT189" s="1414"/>
      <c r="BX189" s="1364"/>
      <c r="BY189" s="1364"/>
      <c r="BZ189" s="1364"/>
      <c r="CA189" s="1364"/>
      <c r="CB189" s="1364"/>
      <c r="CC189" s="1365"/>
      <c r="CD189" s="1365"/>
      <c r="CE189" s="1365"/>
      <c r="CF189" s="1365"/>
      <c r="CG189" s="1365"/>
      <c r="CH189" s="1366"/>
      <c r="CI189" s="1366"/>
      <c r="CJ189" s="1366"/>
      <c r="CK189" s="1366"/>
      <c r="CL189" s="1365"/>
      <c r="CM189" s="1366"/>
      <c r="CN189" s="1366"/>
      <c r="CO189" s="1366"/>
      <c r="CP189" s="1366"/>
      <c r="CQ189" s="1366"/>
      <c r="CR189" s="1366"/>
      <c r="CS189" s="1365"/>
      <c r="CT189" s="1365"/>
      <c r="CU189" s="1365"/>
      <c r="CV189" s="1365"/>
      <c r="CW189" s="1365"/>
      <c r="CX189" s="1365"/>
      <c r="CY189" s="1365"/>
      <c r="CZ189" s="1365"/>
      <c r="DA189" s="1365"/>
      <c r="DB189" s="1365"/>
      <c r="DC189" s="1365"/>
      <c r="DD189" s="1365"/>
      <c r="DE189" s="1365"/>
      <c r="DF189" s="1365"/>
      <c r="DG189" s="1365"/>
      <c r="DH189" s="1365"/>
      <c r="DI189" s="1365"/>
      <c r="DJ189" s="1365"/>
      <c r="DK189" s="1365"/>
      <c r="DL189" s="1365"/>
      <c r="DM189" s="1365"/>
      <c r="DN189" s="1365"/>
      <c r="DO189" s="1365"/>
      <c r="DP189" s="1365"/>
      <c r="DQ189" s="1365"/>
      <c r="DR189" s="1365"/>
      <c r="DS189" s="1365"/>
      <c r="DT189" s="1365"/>
    </row>
    <row r="190" spans="1:124">
      <c r="A190" s="1118">
        <f t="shared" ca="1" si="53"/>
        <v>8</v>
      </c>
      <c r="B190" s="1890">
        <f t="shared" si="63"/>
        <v>0</v>
      </c>
      <c r="C190" s="2160">
        <f t="shared" si="75"/>
        <v>0</v>
      </c>
      <c r="D190" s="2161">
        <f t="shared" si="76"/>
        <v>0</v>
      </c>
      <c r="E190" s="2162">
        <f t="shared" si="64"/>
        <v>0</v>
      </c>
      <c r="F190" s="2162">
        <f t="shared" si="85"/>
        <v>0</v>
      </c>
      <c r="G190" s="2162">
        <f t="shared" si="86"/>
        <v>0</v>
      </c>
      <c r="H190" s="2162">
        <f t="shared" si="77"/>
        <v>0</v>
      </c>
      <c r="I190" s="2162">
        <f t="shared" si="84"/>
        <v>0</v>
      </c>
      <c r="J190" s="2162">
        <f t="shared" si="54"/>
        <v>0</v>
      </c>
      <c r="K190" s="2162">
        <f t="shared" si="55"/>
        <v>0</v>
      </c>
      <c r="L190" s="2162">
        <f t="shared" si="65"/>
        <v>0</v>
      </c>
      <c r="M190" s="2162">
        <f t="shared" si="56"/>
        <v>0</v>
      </c>
      <c r="N190" s="2162">
        <f t="shared" si="66"/>
        <v>0</v>
      </c>
      <c r="O190" s="2163"/>
      <c r="AG190" s="1756"/>
      <c r="AH190" s="1756"/>
      <c r="AI190" s="1756"/>
      <c r="AJ190" s="1989">
        <f t="shared" si="67"/>
        <v>5</v>
      </c>
      <c r="AK190" s="1900">
        <f t="shared" si="68"/>
        <v>0</v>
      </c>
      <c r="AL190" s="1907"/>
      <c r="AM190" s="1907"/>
      <c r="AN190" s="1901">
        <f t="shared" si="78"/>
        <v>0</v>
      </c>
      <c r="AO190" s="1906">
        <f t="shared" ca="1" si="69"/>
        <v>0</v>
      </c>
      <c r="AU190" s="1903">
        <f t="shared" si="79"/>
        <v>0</v>
      </c>
      <c r="AV190" s="1904">
        <f t="shared" si="70"/>
        <v>0</v>
      </c>
      <c r="AW190" s="1904">
        <f t="shared" si="71"/>
        <v>0</v>
      </c>
      <c r="AX190" s="1904"/>
      <c r="AY190" s="1904"/>
      <c r="AZ190" s="1904"/>
      <c r="BA190" s="1904"/>
      <c r="BB190" s="1897">
        <f t="shared" si="72"/>
        <v>0</v>
      </c>
      <c r="BC190" s="1897">
        <f t="shared" si="57"/>
        <v>0</v>
      </c>
      <c r="BD190" s="1898" t="e">
        <f>HLOOKUP($BD$63,anticipaplus,125,0)</f>
        <v>#N/A</v>
      </c>
      <c r="BE190" s="1899"/>
      <c r="BF190" s="1899"/>
      <c r="BG190" s="1360">
        <f t="shared" si="73"/>
        <v>0</v>
      </c>
      <c r="BH190" s="1361">
        <f t="shared" si="81"/>
        <v>125</v>
      </c>
      <c r="BI190" s="1362">
        <f t="shared" si="74"/>
        <v>0</v>
      </c>
      <c r="BJ190" s="1362">
        <f t="shared" si="58"/>
        <v>0</v>
      </c>
      <c r="BK190" s="1362">
        <f t="shared" si="80"/>
        <v>0</v>
      </c>
      <c r="BL190" s="1363">
        <f t="shared" si="59"/>
        <v>1000000</v>
      </c>
      <c r="BM190" s="1899"/>
      <c r="BN190" s="1361" t="str">
        <f t="shared" si="82"/>
        <v/>
      </c>
      <c r="BO190" s="1362">
        <f t="shared" si="60"/>
        <v>0</v>
      </c>
      <c r="BP190" s="1362">
        <f t="shared" si="61"/>
        <v>0</v>
      </c>
      <c r="BQ190" s="1362">
        <f t="shared" si="90"/>
        <v>0</v>
      </c>
      <c r="BR190" s="1363">
        <f t="shared" si="62"/>
        <v>0</v>
      </c>
      <c r="BT190" s="1414"/>
      <c r="BX190" s="1364"/>
      <c r="BY190" s="1364"/>
      <c r="BZ190" s="1364"/>
      <c r="CA190" s="1364"/>
      <c r="CB190" s="1364"/>
      <c r="CC190" s="1365"/>
      <c r="CD190" s="1365"/>
      <c r="CE190" s="1365"/>
      <c r="CF190" s="1365"/>
      <c r="CG190" s="1365"/>
      <c r="CH190" s="1366"/>
      <c r="CI190" s="1366"/>
      <c r="CJ190" s="1366"/>
      <c r="CK190" s="1366"/>
      <c r="CL190" s="1365"/>
      <c r="CM190" s="1366"/>
      <c r="CN190" s="1366"/>
      <c r="CO190" s="1366"/>
      <c r="CP190" s="1366"/>
      <c r="CQ190" s="1366"/>
      <c r="CR190" s="1366"/>
      <c r="CS190" s="1365"/>
      <c r="CT190" s="1365"/>
      <c r="CU190" s="1365"/>
      <c r="CV190" s="1365"/>
      <c r="CW190" s="1365"/>
      <c r="CX190" s="1365"/>
      <c r="CY190" s="1365"/>
      <c r="CZ190" s="1365"/>
      <c r="DA190" s="1365"/>
      <c r="DB190" s="1365"/>
      <c r="DC190" s="1365"/>
      <c r="DD190" s="1365"/>
      <c r="DE190" s="1365"/>
      <c r="DF190" s="1365"/>
      <c r="DG190" s="1365"/>
      <c r="DH190" s="1365"/>
      <c r="DI190" s="1365"/>
      <c r="DJ190" s="1365"/>
      <c r="DK190" s="1365"/>
      <c r="DL190" s="1365"/>
      <c r="DM190" s="1365"/>
      <c r="DN190" s="1365"/>
      <c r="DO190" s="1365"/>
      <c r="DP190" s="1365"/>
      <c r="DQ190" s="1365"/>
      <c r="DR190" s="1365"/>
      <c r="DS190" s="1365"/>
      <c r="DT190" s="1365"/>
    </row>
    <row r="191" spans="1:124">
      <c r="A191" s="1118">
        <f t="shared" ca="1" si="53"/>
        <v>9</v>
      </c>
      <c r="B191" s="1890">
        <f t="shared" si="63"/>
        <v>0</v>
      </c>
      <c r="C191" s="2160">
        <f t="shared" si="75"/>
        <v>0</v>
      </c>
      <c r="D191" s="2161">
        <f t="shared" si="76"/>
        <v>0</v>
      </c>
      <c r="E191" s="2162">
        <f t="shared" si="64"/>
        <v>0</v>
      </c>
      <c r="F191" s="2162">
        <f t="shared" si="85"/>
        <v>0</v>
      </c>
      <c r="G191" s="2162">
        <f t="shared" si="86"/>
        <v>0</v>
      </c>
      <c r="H191" s="2162">
        <f t="shared" si="77"/>
        <v>0</v>
      </c>
      <c r="I191" s="2162">
        <f t="shared" si="84"/>
        <v>0</v>
      </c>
      <c r="J191" s="2162">
        <f t="shared" si="54"/>
        <v>0</v>
      </c>
      <c r="K191" s="2162">
        <f t="shared" si="55"/>
        <v>0</v>
      </c>
      <c r="L191" s="2162">
        <f t="shared" si="65"/>
        <v>0</v>
      </c>
      <c r="M191" s="2162">
        <f t="shared" si="56"/>
        <v>0</v>
      </c>
      <c r="N191" s="2162">
        <f t="shared" si="66"/>
        <v>0</v>
      </c>
      <c r="O191" s="2163"/>
      <c r="AG191" s="1756"/>
      <c r="AH191" s="1756"/>
      <c r="AI191" s="1756"/>
      <c r="AJ191" s="1989">
        <f t="shared" si="67"/>
        <v>6</v>
      </c>
      <c r="AK191" s="1900">
        <f t="shared" si="68"/>
        <v>0</v>
      </c>
      <c r="AL191" s="1907"/>
      <c r="AM191" s="1907"/>
      <c r="AN191" s="1901">
        <f t="shared" si="78"/>
        <v>0</v>
      </c>
      <c r="AO191" s="1906">
        <f t="shared" ca="1" si="69"/>
        <v>0</v>
      </c>
      <c r="AU191" s="1903">
        <f t="shared" si="79"/>
        <v>0</v>
      </c>
      <c r="AV191" s="1904">
        <f t="shared" si="70"/>
        <v>0</v>
      </c>
      <c r="AW191" s="1904">
        <f t="shared" si="71"/>
        <v>0</v>
      </c>
      <c r="AX191" s="1904"/>
      <c r="AY191" s="1904"/>
      <c r="AZ191" s="1904"/>
      <c r="BA191" s="1904"/>
      <c r="BB191" s="1897">
        <f t="shared" si="72"/>
        <v>0</v>
      </c>
      <c r="BC191" s="1897">
        <f t="shared" si="57"/>
        <v>0</v>
      </c>
      <c r="BD191" s="1898" t="e">
        <f>HLOOKUP($BD$63,anticipaplus,127,0)</f>
        <v>#N/A</v>
      </c>
      <c r="BE191" s="1899"/>
      <c r="BF191" s="1899"/>
      <c r="BG191" s="1360">
        <f t="shared" si="73"/>
        <v>0</v>
      </c>
      <c r="BH191" s="1361">
        <f t="shared" si="81"/>
        <v>126</v>
      </c>
      <c r="BI191" s="1362">
        <f t="shared" si="74"/>
        <v>0</v>
      </c>
      <c r="BJ191" s="1362">
        <f t="shared" si="58"/>
        <v>0</v>
      </c>
      <c r="BK191" s="1362">
        <f t="shared" si="80"/>
        <v>0</v>
      </c>
      <c r="BL191" s="1363">
        <f t="shared" si="59"/>
        <v>1000000</v>
      </c>
      <c r="BM191" s="1899"/>
      <c r="BN191" s="1361" t="str">
        <f t="shared" si="82"/>
        <v/>
      </c>
      <c r="BO191" s="1362">
        <f t="shared" si="60"/>
        <v>0</v>
      </c>
      <c r="BP191" s="1362">
        <f t="shared" si="61"/>
        <v>0</v>
      </c>
      <c r="BQ191" s="1362">
        <f t="shared" si="90"/>
        <v>0</v>
      </c>
      <c r="BR191" s="1363">
        <f t="shared" si="62"/>
        <v>0</v>
      </c>
      <c r="BT191" s="1414"/>
      <c r="BX191" s="1364"/>
      <c r="BY191" s="1364"/>
      <c r="BZ191" s="1364"/>
      <c r="CA191" s="1364"/>
      <c r="CB191" s="1364"/>
      <c r="CC191" s="1365"/>
      <c r="CD191" s="1365"/>
      <c r="CE191" s="1365"/>
      <c r="CF191" s="1365"/>
      <c r="CG191" s="1365"/>
      <c r="CH191" s="1366"/>
      <c r="CI191" s="1366"/>
      <c r="CJ191" s="1366"/>
      <c r="CK191" s="1366"/>
      <c r="CL191" s="1365"/>
      <c r="CM191" s="1366"/>
      <c r="CN191" s="1366"/>
      <c r="CO191" s="1366"/>
      <c r="CP191" s="1366"/>
      <c r="CQ191" s="1366"/>
      <c r="CR191" s="1366"/>
      <c r="CS191" s="1365"/>
      <c r="CT191" s="1365"/>
      <c r="CU191" s="1365"/>
      <c r="CV191" s="1365"/>
      <c r="CW191" s="1365"/>
      <c r="CX191" s="1365"/>
      <c r="CY191" s="1365"/>
      <c r="CZ191" s="1365"/>
      <c r="DA191" s="1365"/>
      <c r="DB191" s="1365"/>
      <c r="DC191" s="1365"/>
      <c r="DD191" s="1365"/>
      <c r="DE191" s="1365"/>
      <c r="DF191" s="1365"/>
      <c r="DG191" s="1365"/>
      <c r="DH191" s="1365"/>
      <c r="DI191" s="1365"/>
      <c r="DJ191" s="1365"/>
      <c r="DK191" s="1365"/>
      <c r="DL191" s="1365"/>
      <c r="DM191" s="1365"/>
      <c r="DN191" s="1365"/>
      <c r="DO191" s="1365"/>
      <c r="DP191" s="1365"/>
      <c r="DQ191" s="1365"/>
      <c r="DR191" s="1365"/>
      <c r="DS191" s="1365"/>
      <c r="DT191" s="1365"/>
    </row>
    <row r="192" spans="1:124">
      <c r="A192" s="1118">
        <f t="shared" ca="1" si="53"/>
        <v>10</v>
      </c>
      <c r="B192" s="1890">
        <f t="shared" si="63"/>
        <v>0</v>
      </c>
      <c r="C192" s="2160">
        <f t="shared" si="75"/>
        <v>0</v>
      </c>
      <c r="D192" s="2161">
        <f t="shared" si="76"/>
        <v>0</v>
      </c>
      <c r="E192" s="2162">
        <f t="shared" si="64"/>
        <v>0</v>
      </c>
      <c r="F192" s="2162">
        <f t="shared" si="85"/>
        <v>0</v>
      </c>
      <c r="G192" s="2162">
        <f t="shared" si="86"/>
        <v>0</v>
      </c>
      <c r="H192" s="2162">
        <f t="shared" si="77"/>
        <v>0</v>
      </c>
      <c r="I192" s="2162">
        <f t="shared" si="84"/>
        <v>0</v>
      </c>
      <c r="J192" s="2162">
        <f t="shared" si="54"/>
        <v>0</v>
      </c>
      <c r="K192" s="2162">
        <f t="shared" si="55"/>
        <v>0</v>
      </c>
      <c r="L192" s="2162">
        <f t="shared" si="65"/>
        <v>0</v>
      </c>
      <c r="M192" s="2162">
        <f t="shared" si="56"/>
        <v>0</v>
      </c>
      <c r="N192" s="2162">
        <f t="shared" si="66"/>
        <v>0</v>
      </c>
      <c r="O192" s="2163"/>
      <c r="AG192" s="1756"/>
      <c r="AH192" s="1756"/>
      <c r="AI192" s="1756"/>
      <c r="AJ192" s="1989">
        <f t="shared" si="67"/>
        <v>7</v>
      </c>
      <c r="AK192" s="1900">
        <f t="shared" si="68"/>
        <v>0</v>
      </c>
      <c r="AL192" s="1907"/>
      <c r="AM192" s="1907"/>
      <c r="AN192" s="1901">
        <f t="shared" si="78"/>
        <v>0</v>
      </c>
      <c r="AO192" s="1906">
        <f t="shared" ca="1" si="69"/>
        <v>0</v>
      </c>
      <c r="AU192" s="1903">
        <f t="shared" si="79"/>
        <v>0</v>
      </c>
      <c r="AV192" s="1904">
        <f t="shared" si="70"/>
        <v>0</v>
      </c>
      <c r="AW192" s="1904">
        <f t="shared" si="71"/>
        <v>0</v>
      </c>
      <c r="AX192" s="1904"/>
      <c r="AY192" s="1904"/>
      <c r="AZ192" s="1904"/>
      <c r="BA192" s="1904"/>
      <c r="BB192" s="1897">
        <f t="shared" si="72"/>
        <v>0</v>
      </c>
      <c r="BC192" s="1897">
        <f t="shared" si="57"/>
        <v>0</v>
      </c>
      <c r="BD192" s="1898" t="e">
        <f>HLOOKUP($BD$63,anticipaplus,128,0)</f>
        <v>#N/A</v>
      </c>
      <c r="BE192" s="1899"/>
      <c r="BF192" s="1899"/>
      <c r="BG192" s="1360">
        <f t="shared" si="73"/>
        <v>0</v>
      </c>
      <c r="BH192" s="1361">
        <f t="shared" si="81"/>
        <v>127</v>
      </c>
      <c r="BI192" s="1362">
        <f t="shared" si="74"/>
        <v>0</v>
      </c>
      <c r="BJ192" s="1362">
        <f t="shared" si="58"/>
        <v>0</v>
      </c>
      <c r="BK192" s="1362">
        <f t="shared" si="80"/>
        <v>0</v>
      </c>
      <c r="BL192" s="1363">
        <f t="shared" si="59"/>
        <v>1000000</v>
      </c>
      <c r="BM192" s="1899"/>
      <c r="BN192" s="1361" t="str">
        <f t="shared" si="82"/>
        <v/>
      </c>
      <c r="BO192" s="1362">
        <f t="shared" si="60"/>
        <v>0</v>
      </c>
      <c r="BP192" s="1362">
        <f t="shared" si="61"/>
        <v>0</v>
      </c>
      <c r="BQ192" s="1362">
        <f t="shared" si="90"/>
        <v>0</v>
      </c>
      <c r="BR192" s="1363">
        <f t="shared" si="62"/>
        <v>0</v>
      </c>
      <c r="BT192" s="1414"/>
      <c r="BX192" s="1364"/>
      <c r="BY192" s="1364"/>
      <c r="BZ192" s="1364"/>
      <c r="CA192" s="1364"/>
      <c r="CB192" s="1364"/>
      <c r="CC192" s="1365"/>
      <c r="CD192" s="1365"/>
      <c r="CE192" s="1365"/>
      <c r="CF192" s="1365"/>
      <c r="CG192" s="1365"/>
      <c r="CH192" s="1366"/>
      <c r="CI192" s="1366"/>
      <c r="CJ192" s="1366"/>
      <c r="CK192" s="1366"/>
      <c r="CL192" s="1365"/>
      <c r="CM192" s="1366"/>
      <c r="CN192" s="1366"/>
      <c r="CO192" s="1366"/>
      <c r="CP192" s="1366"/>
      <c r="CQ192" s="1366"/>
      <c r="CR192" s="1366"/>
      <c r="CS192" s="1365"/>
      <c r="CT192" s="1365"/>
      <c r="CU192" s="1365"/>
      <c r="CV192" s="1365"/>
      <c r="CW192" s="1365"/>
      <c r="CX192" s="1365"/>
      <c r="CY192" s="1365"/>
      <c r="CZ192" s="1365"/>
      <c r="DA192" s="1365"/>
      <c r="DB192" s="1365"/>
      <c r="DC192" s="1365"/>
      <c r="DD192" s="1365"/>
      <c r="DE192" s="1365"/>
      <c r="DF192" s="1365"/>
      <c r="DG192" s="1365"/>
      <c r="DH192" s="1365"/>
      <c r="DI192" s="1365"/>
      <c r="DJ192" s="1365"/>
      <c r="DK192" s="1365"/>
      <c r="DL192" s="1365"/>
      <c r="DM192" s="1365"/>
      <c r="DN192" s="1365"/>
      <c r="DO192" s="1365"/>
      <c r="DP192" s="1365"/>
      <c r="DQ192" s="1365"/>
      <c r="DR192" s="1365"/>
      <c r="DS192" s="1365"/>
      <c r="DT192" s="1365"/>
    </row>
    <row r="193" spans="1:124">
      <c r="A193" s="1118">
        <f t="shared" ca="1" si="53"/>
        <v>11</v>
      </c>
      <c r="B193" s="1890">
        <f t="shared" si="63"/>
        <v>0</v>
      </c>
      <c r="C193" s="2160">
        <f t="shared" si="75"/>
        <v>0</v>
      </c>
      <c r="D193" s="2161">
        <f t="shared" si="76"/>
        <v>0</v>
      </c>
      <c r="E193" s="2162">
        <f t="shared" si="64"/>
        <v>0</v>
      </c>
      <c r="F193" s="2162">
        <f t="shared" si="85"/>
        <v>0</v>
      </c>
      <c r="G193" s="2162">
        <f t="shared" si="86"/>
        <v>0</v>
      </c>
      <c r="H193" s="2162">
        <f t="shared" si="77"/>
        <v>0</v>
      </c>
      <c r="I193" s="2162">
        <f t="shared" si="84"/>
        <v>0</v>
      </c>
      <c r="J193" s="2162">
        <f t="shared" si="54"/>
        <v>0</v>
      </c>
      <c r="K193" s="2162">
        <f t="shared" si="55"/>
        <v>0</v>
      </c>
      <c r="L193" s="2162">
        <f t="shared" si="65"/>
        <v>0</v>
      </c>
      <c r="M193" s="2162">
        <f t="shared" si="56"/>
        <v>0</v>
      </c>
      <c r="N193" s="2162">
        <f t="shared" si="66"/>
        <v>0</v>
      </c>
      <c r="O193" s="2163"/>
      <c r="AG193" s="1756"/>
      <c r="AH193" s="1756"/>
      <c r="AI193" s="1756"/>
      <c r="AJ193" s="1989">
        <f t="shared" si="67"/>
        <v>8</v>
      </c>
      <c r="AK193" s="1900">
        <f t="shared" si="68"/>
        <v>0</v>
      </c>
      <c r="AL193" s="1907"/>
      <c r="AM193" s="1907"/>
      <c r="AN193" s="1901">
        <f t="shared" si="78"/>
        <v>0</v>
      </c>
      <c r="AO193" s="1906">
        <f t="shared" ca="1" si="69"/>
        <v>0</v>
      </c>
      <c r="AU193" s="1903">
        <f t="shared" si="79"/>
        <v>0</v>
      </c>
      <c r="AV193" s="1904">
        <f t="shared" si="70"/>
        <v>0</v>
      </c>
      <c r="AW193" s="1904">
        <f t="shared" si="71"/>
        <v>0</v>
      </c>
      <c r="AX193" s="1904"/>
      <c r="AY193" s="1904"/>
      <c r="AZ193" s="1904"/>
      <c r="BA193" s="1904"/>
      <c r="BB193" s="1897">
        <f t="shared" si="72"/>
        <v>0</v>
      </c>
      <c r="BC193" s="1897">
        <f t="shared" si="57"/>
        <v>0</v>
      </c>
      <c r="BD193" s="1898" t="e">
        <f>HLOOKUP($BD$63,anticipaplus,129,0)</f>
        <v>#N/A</v>
      </c>
      <c r="BE193" s="1899"/>
      <c r="BF193" s="1899"/>
      <c r="BG193" s="1360">
        <f t="shared" si="73"/>
        <v>0</v>
      </c>
      <c r="BH193" s="1361">
        <f t="shared" si="81"/>
        <v>128</v>
      </c>
      <c r="BI193" s="1362">
        <f t="shared" si="74"/>
        <v>0</v>
      </c>
      <c r="BJ193" s="1362">
        <f t="shared" si="58"/>
        <v>0</v>
      </c>
      <c r="BK193" s="1362">
        <f t="shared" si="80"/>
        <v>0</v>
      </c>
      <c r="BL193" s="1363">
        <f t="shared" si="59"/>
        <v>1000000</v>
      </c>
      <c r="BM193" s="1899"/>
      <c r="BN193" s="1361" t="str">
        <f t="shared" si="82"/>
        <v/>
      </c>
      <c r="BO193" s="1362">
        <f t="shared" si="60"/>
        <v>0</v>
      </c>
      <c r="BP193" s="1362">
        <f t="shared" si="61"/>
        <v>0</v>
      </c>
      <c r="BQ193" s="1362">
        <f t="shared" si="90"/>
        <v>0</v>
      </c>
      <c r="BR193" s="1363">
        <f t="shared" si="62"/>
        <v>0</v>
      </c>
      <c r="BT193" s="1414"/>
      <c r="BX193" s="1364"/>
      <c r="BY193" s="1364"/>
      <c r="BZ193" s="1364"/>
      <c r="CA193" s="1364"/>
      <c r="CB193" s="1364"/>
      <c r="CC193" s="1365"/>
      <c r="CD193" s="1365"/>
      <c r="CE193" s="1365"/>
      <c r="CF193" s="1365"/>
      <c r="CG193" s="1365"/>
      <c r="CH193" s="1366"/>
      <c r="CI193" s="1366"/>
      <c r="CJ193" s="1366"/>
      <c r="CK193" s="1366"/>
      <c r="CL193" s="1365"/>
      <c r="CM193" s="1366"/>
      <c r="CN193" s="1366"/>
      <c r="CO193" s="1366"/>
      <c r="CP193" s="1366"/>
      <c r="CQ193" s="1366"/>
      <c r="CR193" s="1366"/>
      <c r="CS193" s="1365"/>
      <c r="CT193" s="1365"/>
      <c r="CU193" s="1365"/>
      <c r="CV193" s="1365"/>
      <c r="CW193" s="1365"/>
      <c r="CX193" s="1365"/>
      <c r="CY193" s="1365"/>
      <c r="CZ193" s="1365"/>
      <c r="DA193" s="1365"/>
      <c r="DB193" s="1365"/>
      <c r="DC193" s="1365"/>
      <c r="DD193" s="1365"/>
      <c r="DE193" s="1365"/>
      <c r="DF193" s="1365"/>
      <c r="DG193" s="1365"/>
      <c r="DH193" s="1365"/>
      <c r="DI193" s="1365"/>
      <c r="DJ193" s="1365"/>
      <c r="DK193" s="1365"/>
      <c r="DL193" s="1365"/>
      <c r="DM193" s="1365"/>
      <c r="DN193" s="1365"/>
      <c r="DO193" s="1365"/>
      <c r="DP193" s="1365"/>
      <c r="DQ193" s="1365"/>
      <c r="DR193" s="1365"/>
      <c r="DS193" s="1365"/>
      <c r="DT193" s="1365"/>
    </row>
    <row r="194" spans="1:124">
      <c r="A194" s="1118">
        <f t="shared" ref="A194:A257" ca="1" si="91">IF(A193=12,1,A193+1)</f>
        <v>12</v>
      </c>
      <c r="B194" s="1890">
        <f t="shared" si="63"/>
        <v>0</v>
      </c>
      <c r="C194" s="2160">
        <f t="shared" si="75"/>
        <v>0</v>
      </c>
      <c r="D194" s="2161">
        <f t="shared" si="76"/>
        <v>0</v>
      </c>
      <c r="E194" s="2162">
        <f t="shared" si="64"/>
        <v>0</v>
      </c>
      <c r="F194" s="2162">
        <f t="shared" si="85"/>
        <v>0</v>
      </c>
      <c r="G194" s="2162">
        <f t="shared" si="86"/>
        <v>0</v>
      </c>
      <c r="H194" s="2162">
        <f t="shared" si="77"/>
        <v>0</v>
      </c>
      <c r="I194" s="2162">
        <f t="shared" si="84"/>
        <v>0</v>
      </c>
      <c r="J194" s="2162">
        <f t="shared" ref="J194:J257" si="92">IF(N193&lt;0.01,0,IF($F$10=$AK$7,0,$BD$2*1.16))</f>
        <v>0</v>
      </c>
      <c r="K194" s="2162">
        <f t="shared" ref="K194:K257" si="93">IF(N193&lt;0.01,0,IF($AS$2&gt;0,E194*$AS$3,0))</f>
        <v>0</v>
      </c>
      <c r="L194" s="2162">
        <f t="shared" si="65"/>
        <v>0</v>
      </c>
      <c r="M194" s="2162">
        <f t="shared" ref="M194:M257" si="94">IF($F$10=$AK$3,MIN(N193+E194+H194+I194+J194-L194,AO194),0)</f>
        <v>0</v>
      </c>
      <c r="N194" s="2162">
        <f t="shared" si="66"/>
        <v>0</v>
      </c>
      <c r="O194" s="2163"/>
      <c r="AG194" s="1756"/>
      <c r="AH194" s="1756"/>
      <c r="AI194" s="1756"/>
      <c r="AJ194" s="1989">
        <f t="shared" si="67"/>
        <v>9</v>
      </c>
      <c r="AK194" s="1900">
        <f t="shared" si="68"/>
        <v>0</v>
      </c>
      <c r="AL194" s="1907"/>
      <c r="AM194" s="1907"/>
      <c r="AN194" s="1901">
        <f t="shared" si="78"/>
        <v>0</v>
      </c>
      <c r="AO194" s="1906">
        <f t="shared" ca="1" si="69"/>
        <v>0</v>
      </c>
      <c r="AU194" s="1903">
        <f t="shared" si="79"/>
        <v>0</v>
      </c>
      <c r="AV194" s="1904">
        <f t="shared" si="70"/>
        <v>0</v>
      </c>
      <c r="AW194" s="1904">
        <f t="shared" si="71"/>
        <v>0</v>
      </c>
      <c r="AX194" s="1904"/>
      <c r="AY194" s="1904"/>
      <c r="AZ194" s="1904"/>
      <c r="BA194" s="1904"/>
      <c r="BB194" s="1897">
        <f t="shared" si="72"/>
        <v>0</v>
      </c>
      <c r="BC194" s="1897">
        <f t="shared" ref="BC194:BC257" si="95">IF(AND($AU$62=2,O193&lt;0.01),0,IF($AU$62=2,(N193*BD194)+E194,0))</f>
        <v>0</v>
      </c>
      <c r="BD194" s="1898" t="e">
        <f>HLOOKUP($BD$63,anticipaplus,130,0)</f>
        <v>#N/A</v>
      </c>
      <c r="BE194" s="1899"/>
      <c r="BF194" s="1899"/>
      <c r="BG194" s="1360">
        <f t="shared" si="73"/>
        <v>0</v>
      </c>
      <c r="BH194" s="1361">
        <f t="shared" si="81"/>
        <v>129</v>
      </c>
      <c r="BI194" s="1362">
        <f t="shared" si="74"/>
        <v>0</v>
      </c>
      <c r="BJ194" s="1362">
        <f t="shared" ref="BJ194:BJ257" si="96">BK194-BI194</f>
        <v>0</v>
      </c>
      <c r="BK194" s="1362">
        <f t="shared" si="80"/>
        <v>0</v>
      </c>
      <c r="BL194" s="1363">
        <f t="shared" ref="BL194:BL257" si="97">IF(BL193&lt;0.001,0,BL193-BJ194-BM195)</f>
        <v>1000000</v>
      </c>
      <c r="BM194" s="1899"/>
      <c r="BN194" s="1361" t="str">
        <f t="shared" si="82"/>
        <v/>
      </c>
      <c r="BO194" s="1362">
        <f t="shared" ref="BO194:BO257" si="98">BR193*$BO$59*30.4166/360</f>
        <v>0</v>
      </c>
      <c r="BP194" s="1362">
        <f t="shared" ref="BP194:BP257" si="99">BQ194-BO194</f>
        <v>0</v>
      </c>
      <c r="BQ194" s="1362">
        <f t="shared" si="90"/>
        <v>0</v>
      </c>
      <c r="BR194" s="1363">
        <f t="shared" ref="BR194:BR257" si="100">IF(BR193&lt;0.001,0,BR193-BP194-BX195)</f>
        <v>0</v>
      </c>
      <c r="BT194" s="1414"/>
      <c r="BX194" s="1364"/>
      <c r="BY194" s="1364"/>
      <c r="BZ194" s="1364"/>
      <c r="CA194" s="1364"/>
      <c r="CB194" s="1364"/>
      <c r="CC194" s="1365"/>
      <c r="CD194" s="1365"/>
      <c r="CE194" s="1365"/>
      <c r="CF194" s="1365"/>
      <c r="CG194" s="1365"/>
      <c r="CH194" s="1366"/>
      <c r="CI194" s="1366"/>
      <c r="CJ194" s="1366"/>
      <c r="CK194" s="1366"/>
      <c r="CL194" s="1365"/>
      <c r="CM194" s="1366"/>
      <c r="CN194" s="1366"/>
      <c r="CO194" s="1366"/>
      <c r="CP194" s="1366"/>
      <c r="CQ194" s="1366"/>
      <c r="CR194" s="1366"/>
      <c r="CS194" s="1365"/>
      <c r="CT194" s="1365"/>
      <c r="CU194" s="1365"/>
      <c r="CV194" s="1365"/>
      <c r="CW194" s="1365"/>
      <c r="CX194" s="1365"/>
      <c r="CY194" s="1365"/>
      <c r="CZ194" s="1365"/>
      <c r="DA194" s="1365"/>
      <c r="DB194" s="1365"/>
      <c r="DC194" s="1365"/>
      <c r="DD194" s="1365"/>
      <c r="DE194" s="1365"/>
      <c r="DF194" s="1365"/>
      <c r="DG194" s="1365"/>
      <c r="DH194" s="1365"/>
      <c r="DI194" s="1365"/>
      <c r="DJ194" s="1365"/>
      <c r="DK194" s="1365"/>
      <c r="DL194" s="1365"/>
      <c r="DM194" s="1365"/>
      <c r="DN194" s="1365"/>
      <c r="DO194" s="1365"/>
      <c r="DP194" s="1365"/>
      <c r="DQ194" s="1365"/>
      <c r="DR194" s="1365"/>
      <c r="DS194" s="1365"/>
      <c r="DT194" s="1365"/>
    </row>
    <row r="195" spans="1:124">
      <c r="A195" s="1118">
        <f t="shared" ca="1" si="91"/>
        <v>1</v>
      </c>
      <c r="B195" s="1890">
        <f t="shared" ref="B195:B258" si="101">IF(N194&gt;0,B194-1,0)</f>
        <v>0</v>
      </c>
      <c r="C195" s="2160">
        <f t="shared" si="75"/>
        <v>0</v>
      </c>
      <c r="D195" s="2161">
        <f t="shared" si="76"/>
        <v>0</v>
      </c>
      <c r="E195" s="2162">
        <f t="shared" ref="E195:E258" si="102">IF(N194&lt;0.01,0,N194*D195*30.4166/360)</f>
        <v>0</v>
      </c>
      <c r="F195" s="2162">
        <f t="shared" si="85"/>
        <v>0</v>
      </c>
      <c r="G195" s="2162">
        <f t="shared" si="86"/>
        <v>0</v>
      </c>
      <c r="H195" s="2162">
        <f t="shared" si="77"/>
        <v>0</v>
      </c>
      <c r="I195" s="2162">
        <f t="shared" si="84"/>
        <v>0</v>
      </c>
      <c r="J195" s="2162">
        <f t="shared" si="92"/>
        <v>0</v>
      </c>
      <c r="K195" s="2162">
        <f t="shared" si="93"/>
        <v>0</v>
      </c>
      <c r="L195" s="2162">
        <f t="shared" ref="L195:L258" si="103">IF(N194&lt;0.01,0,G195+H195+I195+J195+K195)</f>
        <v>0</v>
      </c>
      <c r="M195" s="2162">
        <f t="shared" si="94"/>
        <v>0</v>
      </c>
      <c r="N195" s="2162">
        <f t="shared" ref="N195:N258" si="104">IF(N194&lt;0.001,0,+N194-F195-M195-O195)</f>
        <v>0</v>
      </c>
      <c r="O195" s="2163"/>
      <c r="AG195" s="1756"/>
      <c r="AH195" s="1756"/>
      <c r="AI195" s="1756"/>
      <c r="AJ195" s="1989">
        <f t="shared" ref="AJ195:AJ258" si="105">IF(AJ194=12,1,AJ194+1)</f>
        <v>10</v>
      </c>
      <c r="AK195" s="1900">
        <f t="shared" ref="AK195:AK258" si="106">IF(AJ195=1,$BT$2,0)</f>
        <v>0</v>
      </c>
      <c r="AL195" s="1907"/>
      <c r="AM195" s="1907"/>
      <c r="AN195" s="1901">
        <f t="shared" si="78"/>
        <v>0</v>
      </c>
      <c r="AO195" s="1906">
        <f t="shared" ref="AO195:AO258" ca="1" si="107">IF(MOD(A195,2)=0,AN195*0.05*2,0)</f>
        <v>0</v>
      </c>
      <c r="AU195" s="1903">
        <f t="shared" si="79"/>
        <v>0</v>
      </c>
      <c r="AV195" s="1904">
        <f t="shared" ref="AV195:AV258" si="108">IF(AND(OR($AW$62=1,$AW$62=3),O194&gt;0.1),AW195,0)</f>
        <v>0</v>
      </c>
      <c r="AW195" s="1904">
        <f t="shared" ref="AW195:AW258" si="109">IF(AND($AW$62=1,$AU$62=2),PMT((($D$66/360)*(365/12)),B194,-N194),0)</f>
        <v>0</v>
      </c>
      <c r="AX195" s="1904"/>
      <c r="AY195" s="1904"/>
      <c r="AZ195" s="1904"/>
      <c r="BA195" s="1904"/>
      <c r="BB195" s="1897">
        <f t="shared" ref="BB195:BB258" si="110">IF(AND(BC195&gt;0.01,$AU$62=2),BC195,0)</f>
        <v>0</v>
      </c>
      <c r="BC195" s="1897">
        <f t="shared" si="95"/>
        <v>0</v>
      </c>
      <c r="BD195" s="1898" t="e">
        <f>HLOOKUP($BD$63,anticipaplus,131,0)</f>
        <v>#N/A</v>
      </c>
      <c r="BE195" s="1899"/>
      <c r="BF195" s="1899"/>
      <c r="BG195" s="1360">
        <f t="shared" ref="BG195:BG258" si="111">BJ195/BL194</f>
        <v>0</v>
      </c>
      <c r="BH195" s="1361">
        <f t="shared" si="81"/>
        <v>130</v>
      </c>
      <c r="BI195" s="1362">
        <f t="shared" ref="BI195:BI258" si="112">BL194*$BI$59*30.4166/360</f>
        <v>0</v>
      </c>
      <c r="BJ195" s="1362">
        <f t="shared" si="96"/>
        <v>0</v>
      </c>
      <c r="BK195" s="1362">
        <f t="shared" si="80"/>
        <v>0</v>
      </c>
      <c r="BL195" s="1363">
        <f t="shared" si="97"/>
        <v>1000000</v>
      </c>
      <c r="BM195" s="1899"/>
      <c r="BN195" s="1361" t="str">
        <f t="shared" si="82"/>
        <v/>
      </c>
      <c r="BO195" s="1362">
        <f t="shared" si="98"/>
        <v>0</v>
      </c>
      <c r="BP195" s="1362">
        <f t="shared" si="99"/>
        <v>0</v>
      </c>
      <c r="BQ195" s="1362">
        <f t="shared" si="90"/>
        <v>0</v>
      </c>
      <c r="BR195" s="1363">
        <f t="shared" si="100"/>
        <v>0</v>
      </c>
      <c r="BT195" s="1414"/>
      <c r="BX195" s="1364"/>
      <c r="BY195" s="1364"/>
      <c r="BZ195" s="1364"/>
      <c r="CA195" s="1364"/>
      <c r="CB195" s="1364"/>
      <c r="CC195" s="1365"/>
      <c r="CD195" s="1365"/>
      <c r="CE195" s="1365"/>
      <c r="CF195" s="1365"/>
      <c r="CG195" s="1365"/>
      <c r="CH195" s="1366"/>
      <c r="CI195" s="1366"/>
      <c r="CJ195" s="1366"/>
      <c r="CK195" s="1366"/>
      <c r="CL195" s="1365"/>
      <c r="CM195" s="1366"/>
      <c r="CN195" s="1366"/>
      <c r="CO195" s="1366"/>
      <c r="CP195" s="1366"/>
      <c r="CQ195" s="1366"/>
      <c r="CR195" s="1366"/>
      <c r="CS195" s="1365"/>
      <c r="CT195" s="1365"/>
      <c r="CU195" s="1365"/>
      <c r="CV195" s="1365"/>
      <c r="CW195" s="1365"/>
      <c r="CX195" s="1365"/>
      <c r="CY195" s="1365"/>
      <c r="CZ195" s="1365"/>
      <c r="DA195" s="1365"/>
      <c r="DB195" s="1365"/>
      <c r="DC195" s="1365"/>
      <c r="DD195" s="1365"/>
      <c r="DE195" s="1365"/>
      <c r="DF195" s="1365"/>
      <c r="DG195" s="1365"/>
      <c r="DH195" s="1365"/>
      <c r="DI195" s="1365"/>
      <c r="DJ195" s="1365"/>
      <c r="DK195" s="1365"/>
      <c r="DL195" s="1365"/>
      <c r="DM195" s="1365"/>
      <c r="DN195" s="1365"/>
      <c r="DO195" s="1365"/>
      <c r="DP195" s="1365"/>
      <c r="DQ195" s="1365"/>
      <c r="DR195" s="1365"/>
      <c r="DS195" s="1365"/>
      <c r="DT195" s="1365"/>
    </row>
    <row r="196" spans="1:124">
      <c r="A196" s="1118">
        <f t="shared" ca="1" si="91"/>
        <v>2</v>
      </c>
      <c r="B196" s="1890">
        <f t="shared" si="101"/>
        <v>0</v>
      </c>
      <c r="C196" s="2160">
        <f t="shared" ref="C196:C259" si="113">IF(N195&lt;0.01,0,C195+1)</f>
        <v>0</v>
      </c>
      <c r="D196" s="2161">
        <f t="shared" ref="D196:D259" si="114">IF(N195&lt;0.01,0,D195)</f>
        <v>0</v>
      </c>
      <c r="E196" s="2162">
        <f t="shared" si="102"/>
        <v>0</v>
      </c>
      <c r="F196" s="2162">
        <f t="shared" si="85"/>
        <v>0</v>
      </c>
      <c r="G196" s="2162">
        <f t="shared" si="86"/>
        <v>0</v>
      </c>
      <c r="H196" s="2162">
        <f t="shared" ref="H196:H259" si="115">IF(N195&lt;0.01,0,IF($F$22=$AN$4,0,IF($F$22=$AN$3,N195*$I$22/1000,N195*VLOOKUP($G$21,$AP$2:$AQ$5,2,0))))</f>
        <v>0</v>
      </c>
      <c r="I196" s="2162">
        <f t="shared" si="84"/>
        <v>0</v>
      </c>
      <c r="J196" s="2162">
        <f t="shared" si="92"/>
        <v>0</v>
      </c>
      <c r="K196" s="2162">
        <f t="shared" si="93"/>
        <v>0</v>
      </c>
      <c r="L196" s="2162">
        <f t="shared" si="103"/>
        <v>0</v>
      </c>
      <c r="M196" s="2162">
        <f t="shared" si="94"/>
        <v>0</v>
      </c>
      <c r="N196" s="2162">
        <f t="shared" si="104"/>
        <v>0</v>
      </c>
      <c r="O196" s="2163"/>
      <c r="AG196" s="1756"/>
      <c r="AH196" s="1756"/>
      <c r="AI196" s="1756"/>
      <c r="AJ196" s="1989">
        <f t="shared" si="105"/>
        <v>11</v>
      </c>
      <c r="AK196" s="1900">
        <f t="shared" si="106"/>
        <v>0</v>
      </c>
      <c r="AL196" s="1907"/>
      <c r="AM196" s="1907"/>
      <c r="AN196" s="1901">
        <f t="shared" ref="AN196:AN259" si="116">AN195</f>
        <v>0</v>
      </c>
      <c r="AO196" s="1906">
        <f t="shared" ca="1" si="107"/>
        <v>0</v>
      </c>
      <c r="AU196" s="1903">
        <f t="shared" ref="AU196:AU259" si="117">IF(AV196&gt;1,AV196,IF(BB196&gt;1,BB196,0))</f>
        <v>0</v>
      </c>
      <c r="AV196" s="1904">
        <f t="shared" si="108"/>
        <v>0</v>
      </c>
      <c r="AW196" s="1904">
        <f t="shared" si="109"/>
        <v>0</v>
      </c>
      <c r="AX196" s="1904"/>
      <c r="AY196" s="1904"/>
      <c r="AZ196" s="1904"/>
      <c r="BA196" s="1904"/>
      <c r="BB196" s="1897">
        <f t="shared" si="110"/>
        <v>0</v>
      </c>
      <c r="BC196" s="1897">
        <f t="shared" si="95"/>
        <v>0</v>
      </c>
      <c r="BD196" s="1898" t="e">
        <f>HLOOKUP($BD$63,anticipaplus,132,0)</f>
        <v>#N/A</v>
      </c>
      <c r="BE196" s="1899"/>
      <c r="BF196" s="1899"/>
      <c r="BG196" s="1360">
        <f t="shared" si="111"/>
        <v>0</v>
      </c>
      <c r="BH196" s="1361">
        <f t="shared" si="81"/>
        <v>131</v>
      </c>
      <c r="BI196" s="1362">
        <f t="shared" si="112"/>
        <v>0</v>
      </c>
      <c r="BJ196" s="1362">
        <f t="shared" si="96"/>
        <v>0</v>
      </c>
      <c r="BK196" s="1362">
        <f t="shared" ref="BK196:BK259" si="118">MIN(BL195+BI196,BK195)</f>
        <v>0</v>
      </c>
      <c r="BL196" s="1363">
        <f t="shared" si="97"/>
        <v>1000000</v>
      </c>
      <c r="BM196" s="1899"/>
      <c r="BN196" s="1361" t="str">
        <f t="shared" si="82"/>
        <v/>
      </c>
      <c r="BO196" s="1362">
        <f t="shared" si="98"/>
        <v>0</v>
      </c>
      <c r="BP196" s="1362">
        <f t="shared" si="99"/>
        <v>0</v>
      </c>
      <c r="BQ196" s="1362">
        <f t="shared" si="90"/>
        <v>0</v>
      </c>
      <c r="BR196" s="1363">
        <f t="shared" si="100"/>
        <v>0</v>
      </c>
      <c r="BT196" s="1414"/>
      <c r="BX196" s="1364"/>
      <c r="BY196" s="1364"/>
      <c r="BZ196" s="1364"/>
      <c r="CA196" s="1364"/>
      <c r="CB196" s="1364"/>
      <c r="CC196" s="1365"/>
      <c r="CD196" s="1365"/>
      <c r="CE196" s="1365"/>
      <c r="CF196" s="1365"/>
      <c r="CG196" s="1365"/>
      <c r="CH196" s="1366"/>
      <c r="CI196" s="1366"/>
      <c r="CJ196" s="1366"/>
      <c r="CK196" s="1366"/>
      <c r="CL196" s="1365"/>
      <c r="CM196" s="1366"/>
      <c r="CN196" s="1366"/>
      <c r="CO196" s="1366"/>
      <c r="CP196" s="1366"/>
      <c r="CQ196" s="1366"/>
      <c r="CR196" s="1366"/>
      <c r="CS196" s="1365"/>
      <c r="CT196" s="1365"/>
      <c r="CU196" s="1365"/>
      <c r="CV196" s="1365"/>
      <c r="CW196" s="1365"/>
      <c r="CX196" s="1365"/>
      <c r="CY196" s="1365"/>
      <c r="CZ196" s="1365"/>
      <c r="DA196" s="1365"/>
      <c r="DB196" s="1365"/>
      <c r="DC196" s="1365"/>
      <c r="DD196" s="1365"/>
      <c r="DE196" s="1365"/>
      <c r="DF196" s="1365"/>
      <c r="DG196" s="1365"/>
      <c r="DH196" s="1365"/>
      <c r="DI196" s="1365"/>
      <c r="DJ196" s="1365"/>
      <c r="DK196" s="1365"/>
      <c r="DL196" s="1365"/>
      <c r="DM196" s="1365"/>
      <c r="DN196" s="1365"/>
      <c r="DO196" s="1365"/>
      <c r="DP196" s="1365"/>
      <c r="DQ196" s="1365"/>
      <c r="DR196" s="1365"/>
      <c r="DS196" s="1365"/>
      <c r="DT196" s="1365"/>
    </row>
    <row r="197" spans="1:124">
      <c r="A197" s="1118">
        <f t="shared" ca="1" si="91"/>
        <v>3</v>
      </c>
      <c r="B197" s="1890">
        <f t="shared" si="101"/>
        <v>0</v>
      </c>
      <c r="C197" s="2160">
        <f t="shared" si="113"/>
        <v>0</v>
      </c>
      <c r="D197" s="2161">
        <f t="shared" si="114"/>
        <v>0</v>
      </c>
      <c r="E197" s="2162">
        <f t="shared" si="102"/>
        <v>0</v>
      </c>
      <c r="F197" s="2162">
        <f t="shared" si="85"/>
        <v>0</v>
      </c>
      <c r="G197" s="2162">
        <f t="shared" si="86"/>
        <v>0</v>
      </c>
      <c r="H197" s="2162">
        <f t="shared" si="115"/>
        <v>0</v>
      </c>
      <c r="I197" s="2162">
        <f t="shared" si="84"/>
        <v>0</v>
      </c>
      <c r="J197" s="2162">
        <f t="shared" si="92"/>
        <v>0</v>
      </c>
      <c r="K197" s="2162">
        <f t="shared" si="93"/>
        <v>0</v>
      </c>
      <c r="L197" s="2162">
        <f t="shared" si="103"/>
        <v>0</v>
      </c>
      <c r="M197" s="2162">
        <f t="shared" si="94"/>
        <v>0</v>
      </c>
      <c r="N197" s="2162">
        <f t="shared" si="104"/>
        <v>0</v>
      </c>
      <c r="O197" s="2163"/>
      <c r="AG197" s="1756"/>
      <c r="AH197" s="1756"/>
      <c r="AI197" s="1756"/>
      <c r="AJ197" s="1989">
        <f t="shared" si="105"/>
        <v>12</v>
      </c>
      <c r="AK197" s="1900">
        <f t="shared" si="106"/>
        <v>0</v>
      </c>
      <c r="AL197" s="1907"/>
      <c r="AM197" s="1907"/>
      <c r="AN197" s="1901">
        <f t="shared" si="116"/>
        <v>0</v>
      </c>
      <c r="AO197" s="1906">
        <f t="shared" ca="1" si="107"/>
        <v>0</v>
      </c>
      <c r="AU197" s="1903">
        <f t="shared" si="117"/>
        <v>0</v>
      </c>
      <c r="AV197" s="1904">
        <f t="shared" si="108"/>
        <v>0</v>
      </c>
      <c r="AW197" s="1904">
        <f t="shared" si="109"/>
        <v>0</v>
      </c>
      <c r="AX197" s="1904"/>
      <c r="AY197" s="1904"/>
      <c r="AZ197" s="1904"/>
      <c r="BA197" s="1904"/>
      <c r="BB197" s="1897">
        <f t="shared" si="110"/>
        <v>0</v>
      </c>
      <c r="BC197" s="1897">
        <f t="shared" si="95"/>
        <v>0</v>
      </c>
      <c r="BD197" s="1898" t="e">
        <f>HLOOKUP($BD$63,anticipaplus,133,0)</f>
        <v>#N/A</v>
      </c>
      <c r="BE197" s="1899"/>
      <c r="BF197" s="1899"/>
      <c r="BG197" s="1360">
        <f t="shared" si="111"/>
        <v>0</v>
      </c>
      <c r="BH197" s="1361">
        <f t="shared" ref="BH197:BH260" si="119">IF(BL196&lt;=0,"",BH196+1)</f>
        <v>132</v>
      </c>
      <c r="BI197" s="1362">
        <f t="shared" si="112"/>
        <v>0</v>
      </c>
      <c r="BJ197" s="1362">
        <f t="shared" si="96"/>
        <v>0</v>
      </c>
      <c r="BK197" s="1362">
        <f t="shared" si="118"/>
        <v>0</v>
      </c>
      <c r="BL197" s="1363">
        <f t="shared" si="97"/>
        <v>1000000</v>
      </c>
      <c r="BM197" s="1899"/>
      <c r="BN197" s="1361" t="str">
        <f t="shared" ref="BN197:BN246" si="120">IF(BR196&lt;=0,"",BN196+1)</f>
        <v/>
      </c>
      <c r="BO197" s="1362">
        <f t="shared" si="98"/>
        <v>0</v>
      </c>
      <c r="BP197" s="1362">
        <f t="shared" si="99"/>
        <v>0</v>
      </c>
      <c r="BQ197" s="1362">
        <f t="shared" si="90"/>
        <v>0</v>
      </c>
      <c r="BR197" s="1363">
        <f t="shared" si="100"/>
        <v>0</v>
      </c>
      <c r="BT197" s="1414"/>
      <c r="BX197" s="1364"/>
      <c r="BY197" s="1364"/>
      <c r="BZ197" s="1364"/>
      <c r="CA197" s="1364"/>
      <c r="CB197" s="1364"/>
      <c r="CC197" s="1365"/>
      <c r="CD197" s="1365"/>
      <c r="CE197" s="1365"/>
      <c r="CF197" s="1365"/>
      <c r="CG197" s="1365"/>
      <c r="CH197" s="1366"/>
      <c r="CI197" s="1366"/>
      <c r="CJ197" s="1366"/>
      <c r="CK197" s="1366"/>
      <c r="CL197" s="1365"/>
      <c r="CM197" s="1366"/>
      <c r="CN197" s="1366"/>
      <c r="CO197" s="1366"/>
      <c r="CP197" s="1366"/>
      <c r="CQ197" s="1366"/>
      <c r="CR197" s="1366"/>
      <c r="CS197" s="1365"/>
      <c r="CT197" s="1365"/>
      <c r="CU197" s="1365"/>
      <c r="CV197" s="1365"/>
      <c r="CW197" s="1365"/>
      <c r="CX197" s="1365"/>
      <c r="CY197" s="1365"/>
      <c r="CZ197" s="1365"/>
      <c r="DA197" s="1365"/>
      <c r="DB197" s="1365"/>
      <c r="DC197" s="1365"/>
      <c r="DD197" s="1365"/>
      <c r="DE197" s="1365"/>
      <c r="DF197" s="1365"/>
      <c r="DG197" s="1365"/>
      <c r="DH197" s="1365"/>
      <c r="DI197" s="1365"/>
      <c r="DJ197" s="1365"/>
      <c r="DK197" s="1365"/>
      <c r="DL197" s="1365"/>
      <c r="DM197" s="1365"/>
      <c r="DN197" s="1365"/>
      <c r="DO197" s="1365"/>
      <c r="DP197" s="1365"/>
      <c r="DQ197" s="1365"/>
      <c r="DR197" s="1365"/>
      <c r="DS197" s="1365"/>
      <c r="DT197" s="1365"/>
    </row>
    <row r="198" spans="1:124">
      <c r="A198" s="1118">
        <f t="shared" ca="1" si="91"/>
        <v>4</v>
      </c>
      <c r="B198" s="1890">
        <f t="shared" si="101"/>
        <v>0</v>
      </c>
      <c r="C198" s="2160">
        <f t="shared" si="113"/>
        <v>0</v>
      </c>
      <c r="D198" s="2161">
        <f t="shared" si="114"/>
        <v>0</v>
      </c>
      <c r="E198" s="2162">
        <f t="shared" si="102"/>
        <v>0</v>
      </c>
      <c r="F198" s="2162">
        <f t="shared" si="85"/>
        <v>0</v>
      </c>
      <c r="G198" s="2162">
        <f t="shared" si="86"/>
        <v>0</v>
      </c>
      <c r="H198" s="2162">
        <f t="shared" si="115"/>
        <v>0</v>
      </c>
      <c r="I198" s="2162">
        <f t="shared" si="84"/>
        <v>0</v>
      </c>
      <c r="J198" s="2162">
        <f t="shared" si="92"/>
        <v>0</v>
      </c>
      <c r="K198" s="2162">
        <f t="shared" si="93"/>
        <v>0</v>
      </c>
      <c r="L198" s="2162">
        <f t="shared" si="103"/>
        <v>0</v>
      </c>
      <c r="M198" s="2162">
        <f t="shared" si="94"/>
        <v>0</v>
      </c>
      <c r="N198" s="2162">
        <f t="shared" si="104"/>
        <v>0</v>
      </c>
      <c r="O198" s="2163"/>
      <c r="AG198" s="1756"/>
      <c r="AH198" s="1756"/>
      <c r="AI198" s="1756"/>
      <c r="AJ198" s="1989">
        <f t="shared" si="105"/>
        <v>1</v>
      </c>
      <c r="AK198" s="1900">
        <f t="shared" si="106"/>
        <v>0</v>
      </c>
      <c r="AL198" s="1907"/>
      <c r="AM198" s="1907"/>
      <c r="AN198" s="1901">
        <f t="shared" si="116"/>
        <v>0</v>
      </c>
      <c r="AO198" s="1906">
        <f t="shared" ca="1" si="107"/>
        <v>0</v>
      </c>
      <c r="AU198" s="1903">
        <f t="shared" si="117"/>
        <v>0</v>
      </c>
      <c r="AV198" s="1904">
        <f t="shared" si="108"/>
        <v>0</v>
      </c>
      <c r="AW198" s="1904">
        <f t="shared" si="109"/>
        <v>0</v>
      </c>
      <c r="AX198" s="1904"/>
      <c r="AY198" s="1904"/>
      <c r="AZ198" s="1904"/>
      <c r="BA198" s="1904"/>
      <c r="BB198" s="1897">
        <f t="shared" si="110"/>
        <v>0</v>
      </c>
      <c r="BC198" s="1897">
        <f t="shared" si="95"/>
        <v>0</v>
      </c>
      <c r="BD198" s="1898" t="e">
        <f>HLOOKUP($BD$63,anticipaplus,134,0)</f>
        <v>#N/A</v>
      </c>
      <c r="BE198" s="1899"/>
      <c r="BF198" s="1899"/>
      <c r="BG198" s="1360">
        <f t="shared" si="111"/>
        <v>0</v>
      </c>
      <c r="BH198" s="1377">
        <f t="shared" si="119"/>
        <v>133</v>
      </c>
      <c r="BI198" s="1378">
        <f t="shared" si="112"/>
        <v>0</v>
      </c>
      <c r="BJ198" s="1378">
        <f t="shared" si="96"/>
        <v>0</v>
      </c>
      <c r="BK198" s="1378">
        <f>MIN(BL197+BI198,BK197*(1+$BI$61))</f>
        <v>0</v>
      </c>
      <c r="BL198" s="1363">
        <f t="shared" si="97"/>
        <v>1000000</v>
      </c>
      <c r="BM198" s="1899"/>
      <c r="BN198" s="1379" t="str">
        <f t="shared" si="120"/>
        <v/>
      </c>
      <c r="BO198" s="1380">
        <f t="shared" si="98"/>
        <v>0</v>
      </c>
      <c r="BP198" s="1380">
        <f t="shared" si="99"/>
        <v>0</v>
      </c>
      <c r="BQ198" s="1380">
        <f>MIN(BR197+BO198,BQ197*(1+$BO$61))</f>
        <v>0</v>
      </c>
      <c r="BR198" s="1363">
        <f t="shared" si="100"/>
        <v>0</v>
      </c>
      <c r="BT198" s="1414"/>
      <c r="BX198" s="1364"/>
      <c r="BY198" s="1364"/>
      <c r="BZ198" s="1364"/>
      <c r="CA198" s="1364"/>
      <c r="CB198" s="1364"/>
      <c r="CC198" s="1365"/>
      <c r="CD198" s="1365"/>
      <c r="CE198" s="1365"/>
      <c r="CF198" s="1365"/>
      <c r="CG198" s="1365"/>
      <c r="CH198" s="1366"/>
      <c r="CI198" s="1366"/>
      <c r="CJ198" s="1366"/>
      <c r="CK198" s="1366"/>
      <c r="CL198" s="1365"/>
      <c r="CM198" s="1366"/>
      <c r="CN198" s="1366"/>
      <c r="CO198" s="1366"/>
      <c r="CP198" s="1366"/>
      <c r="CQ198" s="1366"/>
      <c r="CR198" s="1366"/>
      <c r="CS198" s="1365"/>
      <c r="CT198" s="1365"/>
      <c r="CU198" s="1365"/>
      <c r="CV198" s="1365"/>
      <c r="CW198" s="1365"/>
      <c r="CX198" s="1365"/>
      <c r="CY198" s="1365"/>
      <c r="CZ198" s="1365"/>
      <c r="DA198" s="1365"/>
      <c r="DB198" s="1365"/>
      <c r="DC198" s="1365"/>
      <c r="DD198" s="1365"/>
      <c r="DE198" s="1365"/>
      <c r="DF198" s="1365"/>
      <c r="DG198" s="1365"/>
      <c r="DH198" s="1365"/>
      <c r="DI198" s="1365"/>
      <c r="DJ198" s="1365"/>
      <c r="DK198" s="1365"/>
      <c r="DL198" s="1365"/>
      <c r="DM198" s="1365"/>
      <c r="DN198" s="1365"/>
      <c r="DO198" s="1365"/>
      <c r="DP198" s="1365"/>
      <c r="DQ198" s="1365"/>
      <c r="DR198" s="1365"/>
      <c r="DS198" s="1365"/>
      <c r="DT198" s="1365"/>
    </row>
    <row r="199" spans="1:124">
      <c r="A199" s="1118">
        <f t="shared" ca="1" si="91"/>
        <v>5</v>
      </c>
      <c r="B199" s="1890">
        <f t="shared" si="101"/>
        <v>0</v>
      </c>
      <c r="C199" s="2160">
        <f t="shared" si="113"/>
        <v>0</v>
      </c>
      <c r="D199" s="2161">
        <f t="shared" si="114"/>
        <v>0</v>
      </c>
      <c r="E199" s="2162">
        <f t="shared" si="102"/>
        <v>0</v>
      </c>
      <c r="F199" s="2162">
        <f t="shared" si="85"/>
        <v>0</v>
      </c>
      <c r="G199" s="2162">
        <f t="shared" si="86"/>
        <v>0</v>
      </c>
      <c r="H199" s="2162">
        <f t="shared" si="115"/>
        <v>0</v>
      </c>
      <c r="I199" s="2162">
        <f t="shared" si="84"/>
        <v>0</v>
      </c>
      <c r="J199" s="2162">
        <f t="shared" si="92"/>
        <v>0</v>
      </c>
      <c r="K199" s="2162">
        <f t="shared" si="93"/>
        <v>0</v>
      </c>
      <c r="L199" s="2162">
        <f t="shared" si="103"/>
        <v>0</v>
      </c>
      <c r="M199" s="2162">
        <f t="shared" si="94"/>
        <v>0</v>
      </c>
      <c r="N199" s="2162">
        <f t="shared" si="104"/>
        <v>0</v>
      </c>
      <c r="O199" s="2163"/>
      <c r="AG199" s="1756"/>
      <c r="AH199" s="1756"/>
      <c r="AI199" s="1756"/>
      <c r="AJ199" s="1989">
        <f t="shared" si="105"/>
        <v>2</v>
      </c>
      <c r="AK199" s="1900">
        <f t="shared" si="106"/>
        <v>0</v>
      </c>
      <c r="AL199" s="1907"/>
      <c r="AM199" s="1907"/>
      <c r="AN199" s="1901">
        <f t="shared" si="116"/>
        <v>0</v>
      </c>
      <c r="AO199" s="1906">
        <f t="shared" ca="1" si="107"/>
        <v>0</v>
      </c>
      <c r="AU199" s="1903">
        <f t="shared" si="117"/>
        <v>0</v>
      </c>
      <c r="AV199" s="1904">
        <f t="shared" si="108"/>
        <v>0</v>
      </c>
      <c r="AW199" s="1904">
        <f t="shared" si="109"/>
        <v>0</v>
      </c>
      <c r="AX199" s="1904"/>
      <c r="AY199" s="1904"/>
      <c r="AZ199" s="1904"/>
      <c r="BA199" s="1904"/>
      <c r="BB199" s="1897">
        <f t="shared" si="110"/>
        <v>0</v>
      </c>
      <c r="BC199" s="1897">
        <f t="shared" si="95"/>
        <v>0</v>
      </c>
      <c r="BD199" s="1898" t="e">
        <f>HLOOKUP($BD$63,anticipaplus,135,0)</f>
        <v>#N/A</v>
      </c>
      <c r="BE199" s="1899"/>
      <c r="BF199" s="1899"/>
      <c r="BG199" s="1360">
        <f t="shared" si="111"/>
        <v>0</v>
      </c>
      <c r="BH199" s="1361">
        <f t="shared" si="119"/>
        <v>134</v>
      </c>
      <c r="BI199" s="1362">
        <f t="shared" si="112"/>
        <v>0</v>
      </c>
      <c r="BJ199" s="1362">
        <f t="shared" si="96"/>
        <v>0</v>
      </c>
      <c r="BK199" s="1362">
        <f t="shared" si="118"/>
        <v>0</v>
      </c>
      <c r="BL199" s="1363">
        <f t="shared" si="97"/>
        <v>1000000</v>
      </c>
      <c r="BM199" s="1899"/>
      <c r="BN199" s="1361" t="str">
        <f t="shared" si="120"/>
        <v/>
      </c>
      <c r="BO199" s="1362">
        <f t="shared" si="98"/>
        <v>0</v>
      </c>
      <c r="BP199" s="1362">
        <f t="shared" si="99"/>
        <v>0</v>
      </c>
      <c r="BQ199" s="1362">
        <f t="shared" ref="BQ199:BQ209" si="121">MIN(BR198+BO199,BQ198)</f>
        <v>0</v>
      </c>
      <c r="BR199" s="1363">
        <f t="shared" si="100"/>
        <v>0</v>
      </c>
      <c r="BT199" s="1414"/>
      <c r="BX199" s="1364"/>
      <c r="BY199" s="1364"/>
      <c r="BZ199" s="1364"/>
      <c r="CA199" s="1364"/>
      <c r="CB199" s="1364"/>
      <c r="CC199" s="1365"/>
      <c r="CD199" s="1365"/>
      <c r="CE199" s="1365"/>
      <c r="CF199" s="1365"/>
      <c r="CG199" s="1365"/>
      <c r="CH199" s="1366"/>
      <c r="CI199" s="1366"/>
      <c r="CJ199" s="1366"/>
      <c r="CK199" s="1366"/>
      <c r="CL199" s="1365"/>
      <c r="CM199" s="1366"/>
      <c r="CN199" s="1366"/>
      <c r="CO199" s="1366"/>
      <c r="CP199" s="1366"/>
      <c r="CQ199" s="1366"/>
      <c r="CR199" s="1366"/>
      <c r="CS199" s="1365"/>
      <c r="CT199" s="1365"/>
      <c r="CU199" s="1365"/>
      <c r="CV199" s="1365"/>
      <c r="CW199" s="1365"/>
      <c r="CX199" s="1365"/>
      <c r="CY199" s="1365"/>
      <c r="CZ199" s="1365"/>
      <c r="DA199" s="1365"/>
      <c r="DB199" s="1365"/>
      <c r="DC199" s="1365"/>
      <c r="DD199" s="1365"/>
      <c r="DE199" s="1365"/>
      <c r="DF199" s="1365"/>
      <c r="DG199" s="1365"/>
      <c r="DH199" s="1365"/>
      <c r="DI199" s="1365"/>
      <c r="DJ199" s="1365"/>
      <c r="DK199" s="1365"/>
      <c r="DL199" s="1365"/>
      <c r="DM199" s="1365"/>
      <c r="DN199" s="1365"/>
      <c r="DO199" s="1365"/>
      <c r="DP199" s="1365"/>
      <c r="DQ199" s="1365"/>
      <c r="DR199" s="1365"/>
      <c r="DS199" s="1365"/>
      <c r="DT199" s="1365"/>
    </row>
    <row r="200" spans="1:124">
      <c r="A200" s="1118">
        <f t="shared" ca="1" si="91"/>
        <v>6</v>
      </c>
      <c r="B200" s="1890">
        <f t="shared" si="101"/>
        <v>0</v>
      </c>
      <c r="C200" s="2160">
        <f t="shared" si="113"/>
        <v>0</v>
      </c>
      <c r="D200" s="2161">
        <f t="shared" si="114"/>
        <v>0</v>
      </c>
      <c r="E200" s="2162">
        <f t="shared" si="102"/>
        <v>0</v>
      </c>
      <c r="F200" s="2162">
        <f t="shared" si="85"/>
        <v>0</v>
      </c>
      <c r="G200" s="2162">
        <f t="shared" si="86"/>
        <v>0</v>
      </c>
      <c r="H200" s="2162">
        <f t="shared" si="115"/>
        <v>0</v>
      </c>
      <c r="I200" s="2162">
        <f t="shared" si="84"/>
        <v>0</v>
      </c>
      <c r="J200" s="2162">
        <f t="shared" si="92"/>
        <v>0</v>
      </c>
      <c r="K200" s="2162">
        <f t="shared" si="93"/>
        <v>0</v>
      </c>
      <c r="L200" s="2162">
        <f t="shared" si="103"/>
        <v>0</v>
      </c>
      <c r="M200" s="2162">
        <f t="shared" si="94"/>
        <v>0</v>
      </c>
      <c r="N200" s="2162">
        <f t="shared" si="104"/>
        <v>0</v>
      </c>
      <c r="O200" s="2163"/>
      <c r="AG200" s="1756"/>
      <c r="AH200" s="1756"/>
      <c r="AI200" s="1756"/>
      <c r="AJ200" s="1989">
        <f t="shared" si="105"/>
        <v>3</v>
      </c>
      <c r="AK200" s="1900">
        <f t="shared" si="106"/>
        <v>0</v>
      </c>
      <c r="AL200" s="1907"/>
      <c r="AM200" s="1907"/>
      <c r="AN200" s="1901">
        <f t="shared" si="116"/>
        <v>0</v>
      </c>
      <c r="AO200" s="1906">
        <f t="shared" ca="1" si="107"/>
        <v>0</v>
      </c>
      <c r="AU200" s="1903">
        <f t="shared" si="117"/>
        <v>0</v>
      </c>
      <c r="AV200" s="1904">
        <f t="shared" si="108"/>
        <v>0</v>
      </c>
      <c r="AW200" s="1904">
        <f t="shared" si="109"/>
        <v>0</v>
      </c>
      <c r="AX200" s="1904"/>
      <c r="AY200" s="1904"/>
      <c r="AZ200" s="1904"/>
      <c r="BA200" s="1904"/>
      <c r="BB200" s="1897">
        <f t="shared" si="110"/>
        <v>0</v>
      </c>
      <c r="BC200" s="1897">
        <f t="shared" si="95"/>
        <v>0</v>
      </c>
      <c r="BD200" s="1898" t="e">
        <f>HLOOKUP($BD$63,anticipaplus,136,0)</f>
        <v>#N/A</v>
      </c>
      <c r="BE200" s="1899"/>
      <c r="BF200" s="1899"/>
      <c r="BG200" s="1360">
        <f t="shared" si="111"/>
        <v>0</v>
      </c>
      <c r="BH200" s="1361">
        <f t="shared" si="119"/>
        <v>135</v>
      </c>
      <c r="BI200" s="1362">
        <f t="shared" si="112"/>
        <v>0</v>
      </c>
      <c r="BJ200" s="1362">
        <f t="shared" si="96"/>
        <v>0</v>
      </c>
      <c r="BK200" s="1362">
        <f t="shared" si="118"/>
        <v>0</v>
      </c>
      <c r="BL200" s="1363">
        <f t="shared" si="97"/>
        <v>1000000</v>
      </c>
      <c r="BM200" s="1899"/>
      <c r="BN200" s="1361" t="str">
        <f t="shared" si="120"/>
        <v/>
      </c>
      <c r="BO200" s="1362">
        <f t="shared" si="98"/>
        <v>0</v>
      </c>
      <c r="BP200" s="1362">
        <f t="shared" si="99"/>
        <v>0</v>
      </c>
      <c r="BQ200" s="1362">
        <f t="shared" si="121"/>
        <v>0</v>
      </c>
      <c r="BR200" s="1363">
        <f t="shared" si="100"/>
        <v>0</v>
      </c>
      <c r="BT200" s="1414"/>
      <c r="BX200" s="1364"/>
      <c r="BY200" s="1364"/>
      <c r="BZ200" s="1364"/>
      <c r="CA200" s="1364"/>
      <c r="CB200" s="1364"/>
      <c r="CC200" s="1365"/>
      <c r="CD200" s="1365"/>
      <c r="CE200" s="1365"/>
      <c r="CF200" s="1365"/>
      <c r="CG200" s="1365"/>
      <c r="CH200" s="1366"/>
      <c r="CI200" s="1366"/>
      <c r="CJ200" s="1366"/>
      <c r="CK200" s="1366"/>
      <c r="CL200" s="1365"/>
      <c r="CM200" s="1366"/>
      <c r="CN200" s="1366"/>
      <c r="CO200" s="1366"/>
      <c r="CP200" s="1366"/>
      <c r="CQ200" s="1366"/>
      <c r="CR200" s="1366"/>
      <c r="CS200" s="1365"/>
      <c r="CT200" s="1365"/>
      <c r="CU200" s="1365"/>
      <c r="CV200" s="1365"/>
      <c r="CW200" s="1365"/>
      <c r="CX200" s="1365"/>
      <c r="CY200" s="1365"/>
      <c r="CZ200" s="1365"/>
      <c r="DA200" s="1365"/>
      <c r="DB200" s="1365"/>
      <c r="DC200" s="1365"/>
      <c r="DD200" s="1365"/>
      <c r="DE200" s="1365"/>
      <c r="DF200" s="1365"/>
      <c r="DG200" s="1365"/>
      <c r="DH200" s="1365"/>
      <c r="DI200" s="1365"/>
      <c r="DJ200" s="1365"/>
      <c r="DK200" s="1365"/>
      <c r="DL200" s="1365"/>
      <c r="DM200" s="1365"/>
      <c r="DN200" s="1365"/>
      <c r="DO200" s="1365"/>
      <c r="DP200" s="1365"/>
      <c r="DQ200" s="1365"/>
      <c r="DR200" s="1365"/>
      <c r="DS200" s="1365"/>
      <c r="DT200" s="1365"/>
    </row>
    <row r="201" spans="1:124">
      <c r="A201" s="1118">
        <f t="shared" ca="1" si="91"/>
        <v>7</v>
      </c>
      <c r="B201" s="1890">
        <f t="shared" si="101"/>
        <v>0</v>
      </c>
      <c r="C201" s="2160">
        <f t="shared" si="113"/>
        <v>0</v>
      </c>
      <c r="D201" s="2161">
        <f t="shared" si="114"/>
        <v>0</v>
      </c>
      <c r="E201" s="2162">
        <f t="shared" si="102"/>
        <v>0</v>
      </c>
      <c r="F201" s="2162">
        <f t="shared" si="85"/>
        <v>0</v>
      </c>
      <c r="G201" s="2162">
        <f t="shared" si="86"/>
        <v>0</v>
      </c>
      <c r="H201" s="2162">
        <f t="shared" si="115"/>
        <v>0</v>
      </c>
      <c r="I201" s="2162">
        <f t="shared" si="84"/>
        <v>0</v>
      </c>
      <c r="J201" s="2162">
        <f t="shared" si="92"/>
        <v>0</v>
      </c>
      <c r="K201" s="2162">
        <f t="shared" si="93"/>
        <v>0</v>
      </c>
      <c r="L201" s="2162">
        <f t="shared" si="103"/>
        <v>0</v>
      </c>
      <c r="M201" s="2162">
        <f t="shared" si="94"/>
        <v>0</v>
      </c>
      <c r="N201" s="2162">
        <f t="shared" si="104"/>
        <v>0</v>
      </c>
      <c r="O201" s="2163"/>
      <c r="AG201" s="1756"/>
      <c r="AH201" s="1756"/>
      <c r="AI201" s="1756"/>
      <c r="AJ201" s="1989">
        <f t="shared" si="105"/>
        <v>4</v>
      </c>
      <c r="AK201" s="1900">
        <f t="shared" si="106"/>
        <v>0</v>
      </c>
      <c r="AL201" s="1907"/>
      <c r="AM201" s="1907"/>
      <c r="AN201" s="1901">
        <f t="shared" si="116"/>
        <v>0</v>
      </c>
      <c r="AO201" s="1906">
        <f t="shared" ca="1" si="107"/>
        <v>0</v>
      </c>
      <c r="AU201" s="1903">
        <f t="shared" si="117"/>
        <v>0</v>
      </c>
      <c r="AV201" s="1904">
        <f t="shared" si="108"/>
        <v>0</v>
      </c>
      <c r="AW201" s="1904">
        <f t="shared" si="109"/>
        <v>0</v>
      </c>
      <c r="AX201" s="1904"/>
      <c r="AY201" s="1904"/>
      <c r="AZ201" s="1904"/>
      <c r="BA201" s="1904"/>
      <c r="BB201" s="1897">
        <f t="shared" si="110"/>
        <v>0</v>
      </c>
      <c r="BC201" s="1897">
        <f t="shared" si="95"/>
        <v>0</v>
      </c>
      <c r="BD201" s="1898" t="e">
        <f>HLOOKUP($BD$63,anticipaplus,137,0)</f>
        <v>#N/A</v>
      </c>
      <c r="BE201" s="1899"/>
      <c r="BF201" s="1899"/>
      <c r="BG201" s="1360">
        <f t="shared" si="111"/>
        <v>0</v>
      </c>
      <c r="BH201" s="1361">
        <f t="shared" si="119"/>
        <v>136</v>
      </c>
      <c r="BI201" s="1362">
        <f t="shared" si="112"/>
        <v>0</v>
      </c>
      <c r="BJ201" s="1362">
        <f t="shared" si="96"/>
        <v>0</v>
      </c>
      <c r="BK201" s="1362">
        <f t="shared" si="118"/>
        <v>0</v>
      </c>
      <c r="BL201" s="1363">
        <f t="shared" si="97"/>
        <v>1000000</v>
      </c>
      <c r="BM201" s="1899"/>
      <c r="BN201" s="1361" t="str">
        <f t="shared" si="120"/>
        <v/>
      </c>
      <c r="BO201" s="1362">
        <f t="shared" si="98"/>
        <v>0</v>
      </c>
      <c r="BP201" s="1362">
        <f t="shared" si="99"/>
        <v>0</v>
      </c>
      <c r="BQ201" s="1362">
        <f t="shared" si="121"/>
        <v>0</v>
      </c>
      <c r="BR201" s="1363">
        <f t="shared" si="100"/>
        <v>0</v>
      </c>
      <c r="BT201" s="1414"/>
      <c r="BX201" s="1364"/>
      <c r="BY201" s="1364"/>
      <c r="BZ201" s="1364"/>
      <c r="CA201" s="1364"/>
      <c r="CB201" s="1364"/>
      <c r="CC201" s="1365"/>
      <c r="CD201" s="1365"/>
      <c r="CE201" s="1365"/>
      <c r="CF201" s="1365"/>
      <c r="CG201" s="1365"/>
      <c r="CH201" s="1366"/>
      <c r="CI201" s="1366"/>
      <c r="CJ201" s="1366"/>
      <c r="CK201" s="1366"/>
      <c r="CL201" s="1365"/>
      <c r="CM201" s="1366"/>
      <c r="CN201" s="1366"/>
      <c r="CO201" s="1366"/>
      <c r="CP201" s="1366"/>
      <c r="CQ201" s="1366"/>
      <c r="CR201" s="1366"/>
      <c r="CS201" s="1365"/>
      <c r="CT201" s="1365"/>
      <c r="CU201" s="1365"/>
      <c r="CV201" s="1365"/>
      <c r="CW201" s="1365"/>
      <c r="CX201" s="1365"/>
      <c r="CY201" s="1365"/>
      <c r="CZ201" s="1365"/>
      <c r="DA201" s="1365"/>
      <c r="DB201" s="1365"/>
      <c r="DC201" s="1365"/>
      <c r="DD201" s="1365"/>
      <c r="DE201" s="1365"/>
      <c r="DF201" s="1365"/>
      <c r="DG201" s="1365"/>
      <c r="DH201" s="1365"/>
      <c r="DI201" s="1365"/>
      <c r="DJ201" s="1365"/>
      <c r="DK201" s="1365"/>
      <c r="DL201" s="1365"/>
      <c r="DM201" s="1365"/>
      <c r="DN201" s="1365"/>
      <c r="DO201" s="1365"/>
      <c r="DP201" s="1365"/>
      <c r="DQ201" s="1365"/>
      <c r="DR201" s="1365"/>
      <c r="DS201" s="1365"/>
      <c r="DT201" s="1365"/>
    </row>
    <row r="202" spans="1:124">
      <c r="A202" s="1118">
        <f t="shared" ca="1" si="91"/>
        <v>8</v>
      </c>
      <c r="B202" s="1890">
        <f t="shared" si="101"/>
        <v>0</v>
      </c>
      <c r="C202" s="2160">
        <f t="shared" si="113"/>
        <v>0</v>
      </c>
      <c r="D202" s="2161">
        <f t="shared" si="114"/>
        <v>0</v>
      </c>
      <c r="E202" s="2162">
        <f t="shared" si="102"/>
        <v>0</v>
      </c>
      <c r="F202" s="2162">
        <f t="shared" si="85"/>
        <v>0</v>
      </c>
      <c r="G202" s="2162">
        <f t="shared" si="86"/>
        <v>0</v>
      </c>
      <c r="H202" s="2162">
        <f t="shared" si="115"/>
        <v>0</v>
      </c>
      <c r="I202" s="2162">
        <f t="shared" si="84"/>
        <v>0</v>
      </c>
      <c r="J202" s="2162">
        <f t="shared" si="92"/>
        <v>0</v>
      </c>
      <c r="K202" s="2162">
        <f t="shared" si="93"/>
        <v>0</v>
      </c>
      <c r="L202" s="2162">
        <f t="shared" si="103"/>
        <v>0</v>
      </c>
      <c r="M202" s="2162">
        <f t="shared" si="94"/>
        <v>0</v>
      </c>
      <c r="N202" s="2162">
        <f t="shared" si="104"/>
        <v>0</v>
      </c>
      <c r="O202" s="2163"/>
      <c r="AG202" s="1756"/>
      <c r="AH202" s="1756"/>
      <c r="AI202" s="1756"/>
      <c r="AJ202" s="1989">
        <f t="shared" si="105"/>
        <v>5</v>
      </c>
      <c r="AK202" s="1900">
        <f t="shared" si="106"/>
        <v>0</v>
      </c>
      <c r="AL202" s="1907"/>
      <c r="AM202" s="1907"/>
      <c r="AN202" s="1901">
        <f t="shared" si="116"/>
        <v>0</v>
      </c>
      <c r="AO202" s="1906">
        <f t="shared" ca="1" si="107"/>
        <v>0</v>
      </c>
      <c r="AU202" s="1903">
        <f t="shared" si="117"/>
        <v>0</v>
      </c>
      <c r="AV202" s="1904">
        <f t="shared" si="108"/>
        <v>0</v>
      </c>
      <c r="AW202" s="1904">
        <f t="shared" si="109"/>
        <v>0</v>
      </c>
      <c r="AX202" s="1904"/>
      <c r="AY202" s="1904"/>
      <c r="AZ202" s="1904"/>
      <c r="BA202" s="1904"/>
      <c r="BB202" s="1897">
        <f t="shared" si="110"/>
        <v>0</v>
      </c>
      <c r="BC202" s="1897">
        <f t="shared" si="95"/>
        <v>0</v>
      </c>
      <c r="BD202" s="1898" t="e">
        <f>HLOOKUP($BD$63,anticipaplus,138,0)</f>
        <v>#N/A</v>
      </c>
      <c r="BE202" s="1899"/>
      <c r="BF202" s="1899"/>
      <c r="BG202" s="1360">
        <f t="shared" si="111"/>
        <v>0</v>
      </c>
      <c r="BH202" s="1361">
        <f t="shared" si="119"/>
        <v>137</v>
      </c>
      <c r="BI202" s="1362">
        <f t="shared" si="112"/>
        <v>0</v>
      </c>
      <c r="BJ202" s="1362">
        <f t="shared" si="96"/>
        <v>0</v>
      </c>
      <c r="BK202" s="1362">
        <f t="shared" si="118"/>
        <v>0</v>
      </c>
      <c r="BL202" s="1363">
        <f t="shared" si="97"/>
        <v>1000000</v>
      </c>
      <c r="BM202" s="1899"/>
      <c r="BN202" s="1361" t="str">
        <f t="shared" si="120"/>
        <v/>
      </c>
      <c r="BO202" s="1362">
        <f t="shared" si="98"/>
        <v>0</v>
      </c>
      <c r="BP202" s="1362">
        <f t="shared" si="99"/>
        <v>0</v>
      </c>
      <c r="BQ202" s="1362">
        <f t="shared" si="121"/>
        <v>0</v>
      </c>
      <c r="BR202" s="1363">
        <f t="shared" si="100"/>
        <v>0</v>
      </c>
      <c r="BT202" s="1414"/>
      <c r="BX202" s="1364"/>
      <c r="BY202" s="1364"/>
      <c r="BZ202" s="1364"/>
      <c r="CA202" s="1364"/>
      <c r="CB202" s="1364"/>
      <c r="CC202" s="1365"/>
      <c r="CD202" s="1365"/>
      <c r="CE202" s="1365"/>
      <c r="CF202" s="1365"/>
      <c r="CG202" s="1365"/>
      <c r="CH202" s="1366"/>
      <c r="CI202" s="1366"/>
      <c r="CJ202" s="1366"/>
      <c r="CK202" s="1366"/>
      <c r="CL202" s="1365"/>
      <c r="CM202" s="1366"/>
      <c r="CN202" s="1366"/>
      <c r="CO202" s="1366"/>
      <c r="CP202" s="1366"/>
      <c r="CQ202" s="1366"/>
      <c r="CR202" s="1366"/>
      <c r="CS202" s="1365"/>
      <c r="CT202" s="1365"/>
      <c r="CU202" s="1365"/>
      <c r="CV202" s="1365"/>
      <c r="CW202" s="1365"/>
      <c r="CX202" s="1365"/>
      <c r="CY202" s="1365"/>
      <c r="CZ202" s="1365"/>
      <c r="DA202" s="1365"/>
      <c r="DB202" s="1365"/>
      <c r="DC202" s="1365"/>
      <c r="DD202" s="1365"/>
      <c r="DE202" s="1365"/>
      <c r="DF202" s="1365"/>
      <c r="DG202" s="1365"/>
      <c r="DH202" s="1365"/>
      <c r="DI202" s="1365"/>
      <c r="DJ202" s="1365"/>
      <c r="DK202" s="1365"/>
      <c r="DL202" s="1365"/>
      <c r="DM202" s="1365"/>
      <c r="DN202" s="1365"/>
      <c r="DO202" s="1365"/>
      <c r="DP202" s="1365"/>
      <c r="DQ202" s="1365"/>
      <c r="DR202" s="1365"/>
      <c r="DS202" s="1365"/>
      <c r="DT202" s="1365"/>
    </row>
    <row r="203" spans="1:124">
      <c r="A203" s="1118">
        <f t="shared" ca="1" si="91"/>
        <v>9</v>
      </c>
      <c r="B203" s="1890">
        <f t="shared" si="101"/>
        <v>0</v>
      </c>
      <c r="C203" s="2160">
        <f t="shared" si="113"/>
        <v>0</v>
      </c>
      <c r="D203" s="2161">
        <f t="shared" si="114"/>
        <v>0</v>
      </c>
      <c r="E203" s="2162">
        <f t="shared" si="102"/>
        <v>0</v>
      </c>
      <c r="F203" s="2162">
        <f t="shared" si="85"/>
        <v>0</v>
      </c>
      <c r="G203" s="2162">
        <f t="shared" si="86"/>
        <v>0</v>
      </c>
      <c r="H203" s="2162">
        <f t="shared" si="115"/>
        <v>0</v>
      </c>
      <c r="I203" s="2162">
        <f t="shared" si="84"/>
        <v>0</v>
      </c>
      <c r="J203" s="2162">
        <f t="shared" si="92"/>
        <v>0</v>
      </c>
      <c r="K203" s="2162">
        <f t="shared" si="93"/>
        <v>0</v>
      </c>
      <c r="L203" s="2162">
        <f t="shared" si="103"/>
        <v>0</v>
      </c>
      <c r="M203" s="2162">
        <f t="shared" si="94"/>
        <v>0</v>
      </c>
      <c r="N203" s="2162">
        <f t="shared" si="104"/>
        <v>0</v>
      </c>
      <c r="O203" s="2163"/>
      <c r="AG203" s="1756"/>
      <c r="AH203" s="1756"/>
      <c r="AI203" s="1756"/>
      <c r="AJ203" s="1989">
        <f t="shared" si="105"/>
        <v>6</v>
      </c>
      <c r="AK203" s="1900">
        <f t="shared" si="106"/>
        <v>0</v>
      </c>
      <c r="AL203" s="1907"/>
      <c r="AM203" s="1907"/>
      <c r="AN203" s="1901">
        <f t="shared" si="116"/>
        <v>0</v>
      </c>
      <c r="AO203" s="1906">
        <f t="shared" ca="1" si="107"/>
        <v>0</v>
      </c>
      <c r="AU203" s="1903">
        <f t="shared" si="117"/>
        <v>0</v>
      </c>
      <c r="AV203" s="1904">
        <f t="shared" si="108"/>
        <v>0</v>
      </c>
      <c r="AW203" s="1904">
        <f t="shared" si="109"/>
        <v>0</v>
      </c>
      <c r="AX203" s="1904"/>
      <c r="AY203" s="1904"/>
      <c r="AZ203" s="1904"/>
      <c r="BA203" s="1904"/>
      <c r="BB203" s="1897">
        <f t="shared" si="110"/>
        <v>0</v>
      </c>
      <c r="BC203" s="1897">
        <f t="shared" si="95"/>
        <v>0</v>
      </c>
      <c r="BD203" s="1898" t="e">
        <f>HLOOKUP($BD$63,anticipaplus,139,0)</f>
        <v>#N/A</v>
      </c>
      <c r="BE203" s="1899"/>
      <c r="BF203" s="1899"/>
      <c r="BG203" s="1360">
        <f t="shared" si="111"/>
        <v>0</v>
      </c>
      <c r="BH203" s="1361">
        <f t="shared" si="119"/>
        <v>138</v>
      </c>
      <c r="BI203" s="1362">
        <f t="shared" si="112"/>
        <v>0</v>
      </c>
      <c r="BJ203" s="1362">
        <f t="shared" si="96"/>
        <v>0</v>
      </c>
      <c r="BK203" s="1362">
        <f t="shared" si="118"/>
        <v>0</v>
      </c>
      <c r="BL203" s="1363">
        <f t="shared" si="97"/>
        <v>1000000</v>
      </c>
      <c r="BM203" s="1899"/>
      <c r="BN203" s="1361" t="str">
        <f t="shared" si="120"/>
        <v/>
      </c>
      <c r="BO203" s="1362">
        <f t="shared" si="98"/>
        <v>0</v>
      </c>
      <c r="BP203" s="1362">
        <f t="shared" si="99"/>
        <v>0</v>
      </c>
      <c r="BQ203" s="1362">
        <f t="shared" si="121"/>
        <v>0</v>
      </c>
      <c r="BR203" s="1363">
        <f t="shared" si="100"/>
        <v>0</v>
      </c>
      <c r="BT203" s="1414"/>
      <c r="BX203" s="1364"/>
      <c r="BY203" s="1364"/>
      <c r="BZ203" s="1364"/>
      <c r="CA203" s="1364"/>
      <c r="CB203" s="1364"/>
      <c r="CC203" s="1365"/>
      <c r="CD203" s="1365"/>
      <c r="CE203" s="1365"/>
      <c r="CF203" s="1365"/>
      <c r="CG203" s="1365"/>
      <c r="CH203" s="1366"/>
      <c r="CI203" s="1366"/>
      <c r="CJ203" s="1366"/>
      <c r="CK203" s="1366"/>
      <c r="CL203" s="1365"/>
      <c r="CM203" s="1366"/>
      <c r="CN203" s="1366"/>
      <c r="CO203" s="1366"/>
      <c r="CP203" s="1366"/>
      <c r="CQ203" s="1366"/>
      <c r="CR203" s="1366"/>
      <c r="CS203" s="1365"/>
      <c r="CT203" s="1365"/>
      <c r="CU203" s="1365"/>
      <c r="CV203" s="1365"/>
      <c r="CW203" s="1365"/>
      <c r="CX203" s="1365"/>
      <c r="CY203" s="1365"/>
      <c r="CZ203" s="1365"/>
      <c r="DA203" s="1365"/>
      <c r="DB203" s="1365"/>
      <c r="DC203" s="1365"/>
      <c r="DD203" s="1365"/>
      <c r="DE203" s="1365"/>
      <c r="DF203" s="1365"/>
      <c r="DG203" s="1365"/>
      <c r="DH203" s="1365"/>
      <c r="DI203" s="1365"/>
      <c r="DJ203" s="1365"/>
      <c r="DK203" s="1365"/>
      <c r="DL203" s="1365"/>
      <c r="DM203" s="1365"/>
      <c r="DN203" s="1365"/>
      <c r="DO203" s="1365"/>
      <c r="DP203" s="1365"/>
      <c r="DQ203" s="1365"/>
      <c r="DR203" s="1365"/>
      <c r="DS203" s="1365"/>
      <c r="DT203" s="1365"/>
    </row>
    <row r="204" spans="1:124">
      <c r="A204" s="1118">
        <f t="shared" ca="1" si="91"/>
        <v>10</v>
      </c>
      <c r="B204" s="1890">
        <f t="shared" si="101"/>
        <v>0</v>
      </c>
      <c r="C204" s="2160">
        <f t="shared" si="113"/>
        <v>0</v>
      </c>
      <c r="D204" s="2161">
        <f t="shared" si="114"/>
        <v>0</v>
      </c>
      <c r="E204" s="2162">
        <f t="shared" si="102"/>
        <v>0</v>
      </c>
      <c r="F204" s="2162">
        <f t="shared" si="85"/>
        <v>0</v>
      </c>
      <c r="G204" s="2162">
        <f t="shared" si="86"/>
        <v>0</v>
      </c>
      <c r="H204" s="2162">
        <f t="shared" si="115"/>
        <v>0</v>
      </c>
      <c r="I204" s="2162">
        <f t="shared" si="84"/>
        <v>0</v>
      </c>
      <c r="J204" s="2162">
        <f t="shared" si="92"/>
        <v>0</v>
      </c>
      <c r="K204" s="2162">
        <f t="shared" si="93"/>
        <v>0</v>
      </c>
      <c r="L204" s="2162">
        <f t="shared" si="103"/>
        <v>0</v>
      </c>
      <c r="M204" s="2162">
        <f t="shared" si="94"/>
        <v>0</v>
      </c>
      <c r="N204" s="2162">
        <f t="shared" si="104"/>
        <v>0</v>
      </c>
      <c r="O204" s="2163"/>
      <c r="AG204" s="1756"/>
      <c r="AH204" s="1756"/>
      <c r="AI204" s="1756"/>
      <c r="AJ204" s="1989">
        <f t="shared" si="105"/>
        <v>7</v>
      </c>
      <c r="AK204" s="1900">
        <f t="shared" si="106"/>
        <v>0</v>
      </c>
      <c r="AL204" s="1907"/>
      <c r="AM204" s="1907"/>
      <c r="AN204" s="1901">
        <f t="shared" si="116"/>
        <v>0</v>
      </c>
      <c r="AO204" s="1906">
        <f t="shared" ca="1" si="107"/>
        <v>0</v>
      </c>
      <c r="AU204" s="1903">
        <f t="shared" si="117"/>
        <v>0</v>
      </c>
      <c r="AV204" s="1904">
        <f t="shared" si="108"/>
        <v>0</v>
      </c>
      <c r="AW204" s="1904">
        <f t="shared" si="109"/>
        <v>0</v>
      </c>
      <c r="AX204" s="1904"/>
      <c r="AY204" s="1904"/>
      <c r="AZ204" s="1904"/>
      <c r="BA204" s="1904"/>
      <c r="BB204" s="1897">
        <f t="shared" si="110"/>
        <v>0</v>
      </c>
      <c r="BC204" s="1897">
        <f t="shared" si="95"/>
        <v>0</v>
      </c>
      <c r="BD204" s="1898" t="e">
        <f>HLOOKUP($BD$63,anticipaplus,140,0)</f>
        <v>#N/A</v>
      </c>
      <c r="BE204" s="1899"/>
      <c r="BF204" s="1899"/>
      <c r="BG204" s="1360">
        <f t="shared" si="111"/>
        <v>0</v>
      </c>
      <c r="BH204" s="1361">
        <f t="shared" si="119"/>
        <v>139</v>
      </c>
      <c r="BI204" s="1362">
        <f t="shared" si="112"/>
        <v>0</v>
      </c>
      <c r="BJ204" s="1362">
        <f t="shared" si="96"/>
        <v>0</v>
      </c>
      <c r="BK204" s="1362">
        <f t="shared" si="118"/>
        <v>0</v>
      </c>
      <c r="BL204" s="1363">
        <f t="shared" si="97"/>
        <v>1000000</v>
      </c>
      <c r="BM204" s="1899"/>
      <c r="BN204" s="1361" t="str">
        <f t="shared" si="120"/>
        <v/>
      </c>
      <c r="BO204" s="1362">
        <f t="shared" si="98"/>
        <v>0</v>
      </c>
      <c r="BP204" s="1362">
        <f t="shared" si="99"/>
        <v>0</v>
      </c>
      <c r="BQ204" s="1362">
        <f t="shared" si="121"/>
        <v>0</v>
      </c>
      <c r="BR204" s="1363">
        <f t="shared" si="100"/>
        <v>0</v>
      </c>
      <c r="BT204" s="1414"/>
      <c r="BX204" s="1364"/>
      <c r="BY204" s="1364"/>
      <c r="BZ204" s="1364"/>
      <c r="CA204" s="1364"/>
      <c r="CB204" s="1364"/>
      <c r="CC204" s="1365"/>
      <c r="CD204" s="1365"/>
      <c r="CE204" s="1365"/>
      <c r="CF204" s="1365"/>
      <c r="CG204" s="1365"/>
      <c r="CH204" s="1366"/>
      <c r="CI204" s="1366"/>
      <c r="CJ204" s="1366"/>
      <c r="CK204" s="1366"/>
      <c r="CL204" s="1365"/>
      <c r="CM204" s="1366"/>
      <c r="CN204" s="1366"/>
      <c r="CO204" s="1366"/>
      <c r="CP204" s="1366"/>
      <c r="CQ204" s="1366"/>
      <c r="CR204" s="1366"/>
      <c r="CS204" s="1365"/>
      <c r="CT204" s="1365"/>
      <c r="CU204" s="1365"/>
      <c r="CV204" s="1365"/>
      <c r="CW204" s="1365"/>
      <c r="CX204" s="1365"/>
      <c r="CY204" s="1365"/>
      <c r="CZ204" s="1365"/>
      <c r="DA204" s="1365"/>
      <c r="DB204" s="1365"/>
      <c r="DC204" s="1365"/>
      <c r="DD204" s="1365"/>
      <c r="DE204" s="1365"/>
      <c r="DF204" s="1365"/>
      <c r="DG204" s="1365"/>
      <c r="DH204" s="1365"/>
      <c r="DI204" s="1365"/>
      <c r="DJ204" s="1365"/>
      <c r="DK204" s="1365"/>
      <c r="DL204" s="1365"/>
      <c r="DM204" s="1365"/>
      <c r="DN204" s="1365"/>
      <c r="DO204" s="1365"/>
      <c r="DP204" s="1365"/>
      <c r="DQ204" s="1365"/>
      <c r="DR204" s="1365"/>
      <c r="DS204" s="1365"/>
      <c r="DT204" s="1365"/>
    </row>
    <row r="205" spans="1:124">
      <c r="A205" s="1118">
        <f t="shared" ca="1" si="91"/>
        <v>11</v>
      </c>
      <c r="B205" s="1890">
        <f t="shared" si="101"/>
        <v>0</v>
      </c>
      <c r="C205" s="2160">
        <f t="shared" si="113"/>
        <v>0</v>
      </c>
      <c r="D205" s="2161">
        <f t="shared" si="114"/>
        <v>0</v>
      </c>
      <c r="E205" s="2162">
        <f t="shared" si="102"/>
        <v>0</v>
      </c>
      <c r="F205" s="2162">
        <f t="shared" si="85"/>
        <v>0</v>
      </c>
      <c r="G205" s="2162">
        <f t="shared" si="86"/>
        <v>0</v>
      </c>
      <c r="H205" s="2162">
        <f t="shared" si="115"/>
        <v>0</v>
      </c>
      <c r="I205" s="2162">
        <f t="shared" si="84"/>
        <v>0</v>
      </c>
      <c r="J205" s="2162">
        <f t="shared" si="92"/>
        <v>0</v>
      </c>
      <c r="K205" s="2162">
        <f t="shared" si="93"/>
        <v>0</v>
      </c>
      <c r="L205" s="2162">
        <f t="shared" si="103"/>
        <v>0</v>
      </c>
      <c r="M205" s="2162">
        <f t="shared" si="94"/>
        <v>0</v>
      </c>
      <c r="N205" s="2162">
        <f t="shared" si="104"/>
        <v>0</v>
      </c>
      <c r="O205" s="2163"/>
      <c r="AG205" s="1756"/>
      <c r="AH205" s="1756"/>
      <c r="AI205" s="1756"/>
      <c r="AJ205" s="1989">
        <f t="shared" si="105"/>
        <v>8</v>
      </c>
      <c r="AK205" s="1900">
        <f t="shared" si="106"/>
        <v>0</v>
      </c>
      <c r="AL205" s="1907"/>
      <c r="AM205" s="1907"/>
      <c r="AN205" s="1901">
        <f t="shared" si="116"/>
        <v>0</v>
      </c>
      <c r="AO205" s="1906">
        <f t="shared" ca="1" si="107"/>
        <v>0</v>
      </c>
      <c r="AU205" s="1903">
        <f t="shared" si="117"/>
        <v>0</v>
      </c>
      <c r="AV205" s="1904">
        <f t="shared" si="108"/>
        <v>0</v>
      </c>
      <c r="AW205" s="1904">
        <f t="shared" si="109"/>
        <v>0</v>
      </c>
      <c r="AX205" s="1904"/>
      <c r="AY205" s="1904"/>
      <c r="AZ205" s="1904"/>
      <c r="BA205" s="1904"/>
      <c r="BB205" s="1897">
        <f t="shared" si="110"/>
        <v>0</v>
      </c>
      <c r="BC205" s="1897">
        <f t="shared" si="95"/>
        <v>0</v>
      </c>
      <c r="BD205" s="1898" t="e">
        <f>HLOOKUP($BD$63,anticipaplus,141,0)</f>
        <v>#N/A</v>
      </c>
      <c r="BE205" s="1899"/>
      <c r="BF205" s="1899"/>
      <c r="BG205" s="1360">
        <f t="shared" si="111"/>
        <v>0</v>
      </c>
      <c r="BH205" s="1361">
        <f t="shared" si="119"/>
        <v>140</v>
      </c>
      <c r="BI205" s="1362">
        <f t="shared" si="112"/>
        <v>0</v>
      </c>
      <c r="BJ205" s="1362">
        <f t="shared" si="96"/>
        <v>0</v>
      </c>
      <c r="BK205" s="1362">
        <f t="shared" si="118"/>
        <v>0</v>
      </c>
      <c r="BL205" s="1363">
        <f t="shared" si="97"/>
        <v>1000000</v>
      </c>
      <c r="BM205" s="1899"/>
      <c r="BN205" s="1361" t="str">
        <f t="shared" si="120"/>
        <v/>
      </c>
      <c r="BO205" s="1362">
        <f t="shared" si="98"/>
        <v>0</v>
      </c>
      <c r="BP205" s="1362">
        <f t="shared" si="99"/>
        <v>0</v>
      </c>
      <c r="BQ205" s="1362">
        <f t="shared" si="121"/>
        <v>0</v>
      </c>
      <c r="BR205" s="1363">
        <f t="shared" si="100"/>
        <v>0</v>
      </c>
      <c r="BT205" s="1414"/>
      <c r="BX205" s="1364"/>
      <c r="BY205" s="1364"/>
      <c r="BZ205" s="1364"/>
      <c r="CA205" s="1364"/>
      <c r="CB205" s="1364"/>
      <c r="CC205" s="1365"/>
      <c r="CD205" s="1365"/>
      <c r="CE205" s="1365"/>
      <c r="CF205" s="1365"/>
      <c r="CG205" s="1365"/>
      <c r="CH205" s="1366"/>
      <c r="CI205" s="1366"/>
      <c r="CJ205" s="1366"/>
      <c r="CK205" s="1366"/>
      <c r="CL205" s="1365"/>
      <c r="CM205" s="1366"/>
      <c r="CN205" s="1366"/>
      <c r="CO205" s="1366"/>
      <c r="CP205" s="1366"/>
      <c r="CQ205" s="1366"/>
      <c r="CR205" s="1366"/>
      <c r="CS205" s="1365"/>
      <c r="CT205" s="1365"/>
      <c r="CU205" s="1365"/>
      <c r="CV205" s="1365"/>
      <c r="CW205" s="1365"/>
      <c r="CX205" s="1365"/>
      <c r="CY205" s="1365"/>
      <c r="CZ205" s="1365"/>
      <c r="DA205" s="1365"/>
      <c r="DB205" s="1365"/>
      <c r="DC205" s="1365"/>
      <c r="DD205" s="1365"/>
      <c r="DE205" s="1365"/>
      <c r="DF205" s="1365"/>
      <c r="DG205" s="1365"/>
      <c r="DH205" s="1365"/>
      <c r="DI205" s="1365"/>
      <c r="DJ205" s="1365"/>
      <c r="DK205" s="1365"/>
      <c r="DL205" s="1365"/>
      <c r="DM205" s="1365"/>
      <c r="DN205" s="1365"/>
      <c r="DO205" s="1365"/>
      <c r="DP205" s="1365"/>
      <c r="DQ205" s="1365"/>
      <c r="DR205" s="1365"/>
      <c r="DS205" s="1365"/>
      <c r="DT205" s="1365"/>
    </row>
    <row r="206" spans="1:124">
      <c r="A206" s="1118">
        <f t="shared" ca="1" si="91"/>
        <v>12</v>
      </c>
      <c r="B206" s="1890">
        <f t="shared" si="101"/>
        <v>0</v>
      </c>
      <c r="C206" s="2160">
        <f t="shared" si="113"/>
        <v>0</v>
      </c>
      <c r="D206" s="2161">
        <f t="shared" si="114"/>
        <v>0</v>
      </c>
      <c r="E206" s="2162">
        <f t="shared" si="102"/>
        <v>0</v>
      </c>
      <c r="F206" s="2162">
        <f t="shared" si="85"/>
        <v>0</v>
      </c>
      <c r="G206" s="2162">
        <f t="shared" si="86"/>
        <v>0</v>
      </c>
      <c r="H206" s="2162">
        <f t="shared" si="115"/>
        <v>0</v>
      </c>
      <c r="I206" s="2162">
        <f t="shared" ref="I206:I269" si="122">IF(N205&lt;0.01,0,IF($F$24=$AO$3,0,IF(OR($F$10=$AK$7,$F$10=$AK$13),0,$G$13*$AR$2)))</f>
        <v>0</v>
      </c>
      <c r="J206" s="2162">
        <f t="shared" si="92"/>
        <v>0</v>
      </c>
      <c r="K206" s="2162">
        <f t="shared" si="93"/>
        <v>0</v>
      </c>
      <c r="L206" s="2162">
        <f t="shared" si="103"/>
        <v>0</v>
      </c>
      <c r="M206" s="2162">
        <f t="shared" si="94"/>
        <v>0</v>
      </c>
      <c r="N206" s="2162">
        <f t="shared" si="104"/>
        <v>0</v>
      </c>
      <c r="O206" s="2163"/>
      <c r="AG206" s="1756"/>
      <c r="AH206" s="1756"/>
      <c r="AI206" s="1756"/>
      <c r="AJ206" s="1989">
        <f t="shared" si="105"/>
        <v>9</v>
      </c>
      <c r="AK206" s="1900">
        <f t="shared" si="106"/>
        <v>0</v>
      </c>
      <c r="AL206" s="1907"/>
      <c r="AM206" s="1907"/>
      <c r="AN206" s="1901">
        <f t="shared" si="116"/>
        <v>0</v>
      </c>
      <c r="AO206" s="1906">
        <f t="shared" ca="1" si="107"/>
        <v>0</v>
      </c>
      <c r="AU206" s="1903">
        <f t="shared" si="117"/>
        <v>0</v>
      </c>
      <c r="AV206" s="1904">
        <f t="shared" si="108"/>
        <v>0</v>
      </c>
      <c r="AW206" s="1904">
        <f t="shared" si="109"/>
        <v>0</v>
      </c>
      <c r="AX206" s="1904"/>
      <c r="AY206" s="1904"/>
      <c r="AZ206" s="1904"/>
      <c r="BA206" s="1904"/>
      <c r="BB206" s="1897">
        <f t="shared" si="110"/>
        <v>0</v>
      </c>
      <c r="BC206" s="1897">
        <f t="shared" si="95"/>
        <v>0</v>
      </c>
      <c r="BD206" s="1898" t="e">
        <f>HLOOKUP($BD$63,anticipaplus,142,0)</f>
        <v>#N/A</v>
      </c>
      <c r="BE206" s="1899"/>
      <c r="BF206" s="1899"/>
      <c r="BG206" s="1360">
        <f t="shared" si="111"/>
        <v>0</v>
      </c>
      <c r="BH206" s="1361">
        <f t="shared" si="119"/>
        <v>141</v>
      </c>
      <c r="BI206" s="1362">
        <f t="shared" si="112"/>
        <v>0</v>
      </c>
      <c r="BJ206" s="1362">
        <f t="shared" si="96"/>
        <v>0</v>
      </c>
      <c r="BK206" s="1362">
        <f t="shared" si="118"/>
        <v>0</v>
      </c>
      <c r="BL206" s="1363">
        <f t="shared" si="97"/>
        <v>1000000</v>
      </c>
      <c r="BM206" s="1899"/>
      <c r="BN206" s="1361" t="str">
        <f t="shared" si="120"/>
        <v/>
      </c>
      <c r="BO206" s="1362">
        <f t="shared" si="98"/>
        <v>0</v>
      </c>
      <c r="BP206" s="1362">
        <f t="shared" si="99"/>
        <v>0</v>
      </c>
      <c r="BQ206" s="1362">
        <f t="shared" si="121"/>
        <v>0</v>
      </c>
      <c r="BR206" s="1363">
        <f t="shared" si="100"/>
        <v>0</v>
      </c>
      <c r="BT206" s="1414"/>
      <c r="BX206" s="1364"/>
      <c r="BY206" s="1364"/>
      <c r="BZ206" s="1364"/>
      <c r="CA206" s="1364"/>
      <c r="CB206" s="1364"/>
      <c r="CC206" s="1365"/>
      <c r="CD206" s="1365"/>
      <c r="CE206" s="1365"/>
      <c r="CF206" s="1365"/>
      <c r="CG206" s="1365"/>
      <c r="CH206" s="1366"/>
      <c r="CI206" s="1366"/>
      <c r="CJ206" s="1366"/>
      <c r="CK206" s="1366"/>
      <c r="CL206" s="1365"/>
      <c r="CM206" s="1366"/>
      <c r="CN206" s="1366"/>
      <c r="CO206" s="1366"/>
      <c r="CP206" s="1366"/>
      <c r="CQ206" s="1366"/>
      <c r="CR206" s="1366"/>
      <c r="CS206" s="1365"/>
      <c r="CT206" s="1365"/>
      <c r="CU206" s="1365"/>
      <c r="CV206" s="1365"/>
      <c r="CW206" s="1365"/>
      <c r="CX206" s="1365"/>
      <c r="CY206" s="1365"/>
      <c r="CZ206" s="1365"/>
      <c r="DA206" s="1365"/>
      <c r="DB206" s="1365"/>
      <c r="DC206" s="1365"/>
      <c r="DD206" s="1365"/>
      <c r="DE206" s="1365"/>
      <c r="DF206" s="1365"/>
      <c r="DG206" s="1365"/>
      <c r="DH206" s="1365"/>
      <c r="DI206" s="1365"/>
      <c r="DJ206" s="1365"/>
      <c r="DK206" s="1365"/>
      <c r="DL206" s="1365"/>
      <c r="DM206" s="1365"/>
      <c r="DN206" s="1365"/>
      <c r="DO206" s="1365"/>
      <c r="DP206" s="1365"/>
      <c r="DQ206" s="1365"/>
      <c r="DR206" s="1365"/>
      <c r="DS206" s="1365"/>
      <c r="DT206" s="1365"/>
    </row>
    <row r="207" spans="1:124">
      <c r="A207" s="1118">
        <f t="shared" ca="1" si="91"/>
        <v>1</v>
      </c>
      <c r="B207" s="1890">
        <f t="shared" si="101"/>
        <v>0</v>
      </c>
      <c r="C207" s="2160">
        <f t="shared" si="113"/>
        <v>0</v>
      </c>
      <c r="D207" s="2161">
        <f t="shared" si="114"/>
        <v>0</v>
      </c>
      <c r="E207" s="2162">
        <f t="shared" si="102"/>
        <v>0</v>
      </c>
      <c r="F207" s="2162">
        <f t="shared" si="85"/>
        <v>0</v>
      </c>
      <c r="G207" s="2162">
        <f t="shared" si="86"/>
        <v>0</v>
      </c>
      <c r="H207" s="2162">
        <f t="shared" si="115"/>
        <v>0</v>
      </c>
      <c r="I207" s="2162">
        <f t="shared" si="122"/>
        <v>0</v>
      </c>
      <c r="J207" s="2162">
        <f t="shared" si="92"/>
        <v>0</v>
      </c>
      <c r="K207" s="2162">
        <f t="shared" si="93"/>
        <v>0</v>
      </c>
      <c r="L207" s="2162">
        <f t="shared" si="103"/>
        <v>0</v>
      </c>
      <c r="M207" s="2162">
        <f t="shared" si="94"/>
        <v>0</v>
      </c>
      <c r="N207" s="2162">
        <f t="shared" si="104"/>
        <v>0</v>
      </c>
      <c r="O207" s="2163"/>
      <c r="AG207" s="1756"/>
      <c r="AH207" s="1756"/>
      <c r="AI207" s="1756"/>
      <c r="AJ207" s="1989">
        <f t="shared" si="105"/>
        <v>10</v>
      </c>
      <c r="AK207" s="1900">
        <f t="shared" si="106"/>
        <v>0</v>
      </c>
      <c r="AL207" s="1907"/>
      <c r="AM207" s="1907"/>
      <c r="AN207" s="1901">
        <f t="shared" si="116"/>
        <v>0</v>
      </c>
      <c r="AO207" s="1906">
        <f t="shared" ca="1" si="107"/>
        <v>0</v>
      </c>
      <c r="AU207" s="1903">
        <f t="shared" si="117"/>
        <v>0</v>
      </c>
      <c r="AV207" s="1904">
        <f t="shared" si="108"/>
        <v>0</v>
      </c>
      <c r="AW207" s="1904">
        <f t="shared" si="109"/>
        <v>0</v>
      </c>
      <c r="AX207" s="1904"/>
      <c r="AY207" s="1904"/>
      <c r="AZ207" s="1904"/>
      <c r="BA207" s="1904"/>
      <c r="BB207" s="1897">
        <f t="shared" si="110"/>
        <v>0</v>
      </c>
      <c r="BC207" s="1897">
        <f t="shared" si="95"/>
        <v>0</v>
      </c>
      <c r="BD207" s="1898" t="e">
        <f>HLOOKUP($BD$63,anticipaplus,143,0)</f>
        <v>#N/A</v>
      </c>
      <c r="BE207" s="1899"/>
      <c r="BF207" s="1899"/>
      <c r="BG207" s="1360">
        <f t="shared" si="111"/>
        <v>0</v>
      </c>
      <c r="BH207" s="1361">
        <f t="shared" si="119"/>
        <v>142</v>
      </c>
      <c r="BI207" s="1362">
        <f t="shared" si="112"/>
        <v>0</v>
      </c>
      <c r="BJ207" s="1362">
        <f t="shared" si="96"/>
        <v>0</v>
      </c>
      <c r="BK207" s="1362">
        <f t="shared" si="118"/>
        <v>0</v>
      </c>
      <c r="BL207" s="1363">
        <f t="shared" si="97"/>
        <v>1000000</v>
      </c>
      <c r="BM207" s="1899"/>
      <c r="BN207" s="1361" t="str">
        <f t="shared" si="120"/>
        <v/>
      </c>
      <c r="BO207" s="1362">
        <f t="shared" si="98"/>
        <v>0</v>
      </c>
      <c r="BP207" s="1362">
        <f t="shared" si="99"/>
        <v>0</v>
      </c>
      <c r="BQ207" s="1362">
        <f t="shared" si="121"/>
        <v>0</v>
      </c>
      <c r="BR207" s="1363">
        <f t="shared" si="100"/>
        <v>0</v>
      </c>
      <c r="BT207" s="1414"/>
      <c r="BX207" s="1364"/>
      <c r="BY207" s="1364"/>
      <c r="BZ207" s="1364"/>
      <c r="CA207" s="1364"/>
      <c r="CB207" s="1364"/>
      <c r="CC207" s="1365"/>
      <c r="CD207" s="1365"/>
      <c r="CE207" s="1365"/>
      <c r="CF207" s="1365"/>
      <c r="CG207" s="1365"/>
      <c r="CH207" s="1366"/>
      <c r="CI207" s="1366"/>
      <c r="CJ207" s="1366"/>
      <c r="CK207" s="1366"/>
      <c r="CL207" s="1365"/>
      <c r="CM207" s="1366"/>
      <c r="CN207" s="1366"/>
      <c r="CO207" s="1366"/>
      <c r="CP207" s="1366"/>
      <c r="CQ207" s="1366"/>
      <c r="CR207" s="1366"/>
      <c r="CS207" s="1365"/>
      <c r="CT207" s="1365"/>
      <c r="CU207" s="1365"/>
      <c r="CV207" s="1365"/>
      <c r="CW207" s="1365"/>
      <c r="CX207" s="1365"/>
      <c r="CY207" s="1365"/>
      <c r="CZ207" s="1365"/>
      <c r="DA207" s="1365"/>
      <c r="DB207" s="1365"/>
      <c r="DC207" s="1365"/>
      <c r="DD207" s="1365"/>
      <c r="DE207" s="1365"/>
      <c r="DF207" s="1365"/>
      <c r="DG207" s="1365"/>
      <c r="DH207" s="1365"/>
      <c r="DI207" s="1365"/>
      <c r="DJ207" s="1365"/>
      <c r="DK207" s="1365"/>
      <c r="DL207" s="1365"/>
      <c r="DM207" s="1365"/>
      <c r="DN207" s="1365"/>
      <c r="DO207" s="1365"/>
      <c r="DP207" s="1365"/>
      <c r="DQ207" s="1365"/>
      <c r="DR207" s="1365"/>
      <c r="DS207" s="1365"/>
      <c r="DT207" s="1365"/>
    </row>
    <row r="208" spans="1:124">
      <c r="A208" s="1118">
        <f t="shared" ca="1" si="91"/>
        <v>2</v>
      </c>
      <c r="B208" s="1890">
        <f t="shared" si="101"/>
        <v>0</v>
      </c>
      <c r="C208" s="2160">
        <f t="shared" si="113"/>
        <v>0</v>
      </c>
      <c r="D208" s="2161">
        <f t="shared" si="114"/>
        <v>0</v>
      </c>
      <c r="E208" s="2162">
        <f t="shared" si="102"/>
        <v>0</v>
      </c>
      <c r="F208" s="2162">
        <f t="shared" si="85"/>
        <v>0</v>
      </c>
      <c r="G208" s="2162">
        <f t="shared" si="86"/>
        <v>0</v>
      </c>
      <c r="H208" s="2162">
        <f t="shared" si="115"/>
        <v>0</v>
      </c>
      <c r="I208" s="2162">
        <f t="shared" si="122"/>
        <v>0</v>
      </c>
      <c r="J208" s="2162">
        <f t="shared" si="92"/>
        <v>0</v>
      </c>
      <c r="K208" s="2162">
        <f t="shared" si="93"/>
        <v>0</v>
      </c>
      <c r="L208" s="2162">
        <f t="shared" si="103"/>
        <v>0</v>
      </c>
      <c r="M208" s="2162">
        <f t="shared" si="94"/>
        <v>0</v>
      </c>
      <c r="N208" s="2162">
        <f t="shared" si="104"/>
        <v>0</v>
      </c>
      <c r="O208" s="2163"/>
      <c r="AG208" s="1756"/>
      <c r="AH208" s="1756"/>
      <c r="AI208" s="1756"/>
      <c r="AJ208" s="1989">
        <f t="shared" si="105"/>
        <v>11</v>
      </c>
      <c r="AK208" s="1900">
        <f t="shared" si="106"/>
        <v>0</v>
      </c>
      <c r="AL208" s="1907"/>
      <c r="AM208" s="1907"/>
      <c r="AN208" s="1901">
        <f t="shared" si="116"/>
        <v>0</v>
      </c>
      <c r="AO208" s="1906">
        <f t="shared" ca="1" si="107"/>
        <v>0</v>
      </c>
      <c r="AU208" s="1903">
        <f t="shared" si="117"/>
        <v>0</v>
      </c>
      <c r="AV208" s="1904">
        <f t="shared" si="108"/>
        <v>0</v>
      </c>
      <c r="AW208" s="1904">
        <f t="shared" si="109"/>
        <v>0</v>
      </c>
      <c r="AX208" s="1904"/>
      <c r="AY208" s="1904"/>
      <c r="AZ208" s="1904"/>
      <c r="BA208" s="1904"/>
      <c r="BB208" s="1897">
        <f t="shared" si="110"/>
        <v>0</v>
      </c>
      <c r="BC208" s="1897">
        <f t="shared" si="95"/>
        <v>0</v>
      </c>
      <c r="BD208" s="1898" t="e">
        <f>HLOOKUP($BD$63,anticipaplus,144,0)</f>
        <v>#N/A</v>
      </c>
      <c r="BE208" s="1899"/>
      <c r="BF208" s="1899"/>
      <c r="BG208" s="1360">
        <f t="shared" si="111"/>
        <v>0</v>
      </c>
      <c r="BH208" s="1361">
        <f t="shared" si="119"/>
        <v>143</v>
      </c>
      <c r="BI208" s="1362">
        <f t="shared" si="112"/>
        <v>0</v>
      </c>
      <c r="BJ208" s="1362">
        <f t="shared" si="96"/>
        <v>0</v>
      </c>
      <c r="BK208" s="1362">
        <f t="shared" si="118"/>
        <v>0</v>
      </c>
      <c r="BL208" s="1363">
        <f t="shared" si="97"/>
        <v>1000000</v>
      </c>
      <c r="BM208" s="1899"/>
      <c r="BN208" s="1361" t="str">
        <f t="shared" si="120"/>
        <v/>
      </c>
      <c r="BO208" s="1362">
        <f t="shared" si="98"/>
        <v>0</v>
      </c>
      <c r="BP208" s="1362">
        <f t="shared" si="99"/>
        <v>0</v>
      </c>
      <c r="BQ208" s="1362">
        <f t="shared" si="121"/>
        <v>0</v>
      </c>
      <c r="BR208" s="1363">
        <f t="shared" si="100"/>
        <v>0</v>
      </c>
      <c r="BT208" s="1414"/>
      <c r="BX208" s="1364"/>
      <c r="BY208" s="1364"/>
      <c r="BZ208" s="1364"/>
      <c r="CA208" s="1364"/>
      <c r="CB208" s="1364"/>
      <c r="CC208" s="1365"/>
      <c r="CD208" s="1365"/>
      <c r="CE208" s="1365"/>
      <c r="CF208" s="1365"/>
      <c r="CG208" s="1365"/>
      <c r="CH208" s="1366"/>
      <c r="CI208" s="1366"/>
      <c r="CJ208" s="1366"/>
      <c r="CK208" s="1366"/>
      <c r="CL208" s="1365"/>
      <c r="CM208" s="1366"/>
      <c r="CN208" s="1366"/>
      <c r="CO208" s="1366"/>
      <c r="CP208" s="1366"/>
      <c r="CQ208" s="1366"/>
      <c r="CR208" s="1366"/>
      <c r="CS208" s="1365"/>
      <c r="CT208" s="1365"/>
      <c r="CU208" s="1365"/>
      <c r="CV208" s="1365"/>
      <c r="CW208" s="1365"/>
      <c r="CX208" s="1365"/>
      <c r="CY208" s="1365"/>
      <c r="CZ208" s="1365"/>
      <c r="DA208" s="1365"/>
      <c r="DB208" s="1365"/>
      <c r="DC208" s="1365"/>
      <c r="DD208" s="1365"/>
      <c r="DE208" s="1365"/>
      <c r="DF208" s="1365"/>
      <c r="DG208" s="1365"/>
      <c r="DH208" s="1365"/>
      <c r="DI208" s="1365"/>
      <c r="DJ208" s="1365"/>
      <c r="DK208" s="1365"/>
      <c r="DL208" s="1365"/>
      <c r="DM208" s="1365"/>
      <c r="DN208" s="1365"/>
      <c r="DO208" s="1365"/>
      <c r="DP208" s="1365"/>
      <c r="DQ208" s="1365"/>
      <c r="DR208" s="1365"/>
      <c r="DS208" s="1365"/>
      <c r="DT208" s="1365"/>
    </row>
    <row r="209" spans="1:124">
      <c r="A209" s="1118">
        <f t="shared" ca="1" si="91"/>
        <v>3</v>
      </c>
      <c r="B209" s="1890">
        <f t="shared" si="101"/>
        <v>0</v>
      </c>
      <c r="C209" s="2160">
        <f t="shared" si="113"/>
        <v>0</v>
      </c>
      <c r="D209" s="2161">
        <f t="shared" si="114"/>
        <v>0</v>
      </c>
      <c r="E209" s="2162">
        <f t="shared" si="102"/>
        <v>0</v>
      </c>
      <c r="F209" s="2162">
        <f t="shared" si="85"/>
        <v>0</v>
      </c>
      <c r="G209" s="2162">
        <f t="shared" si="86"/>
        <v>0</v>
      </c>
      <c r="H209" s="2162">
        <f t="shared" si="115"/>
        <v>0</v>
      </c>
      <c r="I209" s="2162">
        <f t="shared" si="122"/>
        <v>0</v>
      </c>
      <c r="J209" s="2162">
        <f t="shared" si="92"/>
        <v>0</v>
      </c>
      <c r="K209" s="2162">
        <f t="shared" si="93"/>
        <v>0</v>
      </c>
      <c r="L209" s="2162">
        <f t="shared" si="103"/>
        <v>0</v>
      </c>
      <c r="M209" s="2162">
        <f t="shared" si="94"/>
        <v>0</v>
      </c>
      <c r="N209" s="2162">
        <f t="shared" si="104"/>
        <v>0</v>
      </c>
      <c r="O209" s="2163"/>
      <c r="AG209" s="1756"/>
      <c r="AH209" s="1756"/>
      <c r="AI209" s="1756"/>
      <c r="AJ209" s="1989">
        <f t="shared" si="105"/>
        <v>12</v>
      </c>
      <c r="AK209" s="1900">
        <f t="shared" si="106"/>
        <v>0</v>
      </c>
      <c r="AL209" s="1907"/>
      <c r="AM209" s="1907"/>
      <c r="AN209" s="1901">
        <f t="shared" si="116"/>
        <v>0</v>
      </c>
      <c r="AO209" s="1906">
        <f t="shared" ca="1" si="107"/>
        <v>0</v>
      </c>
      <c r="AU209" s="1903">
        <f t="shared" si="117"/>
        <v>0</v>
      </c>
      <c r="AV209" s="1904">
        <f t="shared" si="108"/>
        <v>0</v>
      </c>
      <c r="AW209" s="1904">
        <f t="shared" si="109"/>
        <v>0</v>
      </c>
      <c r="AX209" s="1904"/>
      <c r="AY209" s="1904"/>
      <c r="AZ209" s="1904"/>
      <c r="BA209" s="1904"/>
      <c r="BB209" s="1897">
        <f t="shared" si="110"/>
        <v>0</v>
      </c>
      <c r="BC209" s="1897">
        <f t="shared" si="95"/>
        <v>0</v>
      </c>
      <c r="BD209" s="1898" t="e">
        <f>HLOOKUP($BD$63,anticipaplus,145,0)</f>
        <v>#N/A</v>
      </c>
      <c r="BE209" s="1899"/>
      <c r="BF209" s="1899"/>
      <c r="BG209" s="1360">
        <f t="shared" si="111"/>
        <v>0</v>
      </c>
      <c r="BH209" s="1361">
        <f t="shared" si="119"/>
        <v>144</v>
      </c>
      <c r="BI209" s="1362">
        <f t="shared" si="112"/>
        <v>0</v>
      </c>
      <c r="BJ209" s="1362">
        <f t="shared" si="96"/>
        <v>0</v>
      </c>
      <c r="BK209" s="1362">
        <f t="shared" si="118"/>
        <v>0</v>
      </c>
      <c r="BL209" s="1363">
        <f t="shared" si="97"/>
        <v>1000000</v>
      </c>
      <c r="BM209" s="1899"/>
      <c r="BN209" s="1361" t="str">
        <f t="shared" si="120"/>
        <v/>
      </c>
      <c r="BO209" s="1362">
        <f t="shared" si="98"/>
        <v>0</v>
      </c>
      <c r="BP209" s="1362">
        <f t="shared" si="99"/>
        <v>0</v>
      </c>
      <c r="BQ209" s="1362">
        <f t="shared" si="121"/>
        <v>0</v>
      </c>
      <c r="BR209" s="1363">
        <f t="shared" si="100"/>
        <v>0</v>
      </c>
      <c r="BT209" s="1414"/>
      <c r="BX209" s="1364"/>
      <c r="BY209" s="1364"/>
      <c r="BZ209" s="1364"/>
      <c r="CA209" s="1364"/>
      <c r="CB209" s="1364"/>
      <c r="CC209" s="1365"/>
      <c r="CD209" s="1365"/>
      <c r="CE209" s="1365"/>
      <c r="CF209" s="1365"/>
      <c r="CG209" s="1365"/>
      <c r="CH209" s="1366"/>
      <c r="CI209" s="1366"/>
      <c r="CJ209" s="1366"/>
      <c r="CK209" s="1366"/>
      <c r="CL209" s="1365"/>
      <c r="CM209" s="1366"/>
      <c r="CN209" s="1366"/>
      <c r="CO209" s="1366"/>
      <c r="CP209" s="1366"/>
      <c r="CQ209" s="1366"/>
      <c r="CR209" s="1366"/>
      <c r="CS209" s="1365"/>
      <c r="CT209" s="1365"/>
      <c r="CU209" s="1365"/>
      <c r="CV209" s="1365"/>
      <c r="CW209" s="1365"/>
      <c r="CX209" s="1365"/>
      <c r="CY209" s="1365"/>
      <c r="CZ209" s="1365"/>
      <c r="DA209" s="1365"/>
      <c r="DB209" s="1365"/>
      <c r="DC209" s="1365"/>
      <c r="DD209" s="1365"/>
      <c r="DE209" s="1365"/>
      <c r="DF209" s="1365"/>
      <c r="DG209" s="1365"/>
      <c r="DH209" s="1365"/>
      <c r="DI209" s="1365"/>
      <c r="DJ209" s="1365"/>
      <c r="DK209" s="1365"/>
      <c r="DL209" s="1365"/>
      <c r="DM209" s="1365"/>
      <c r="DN209" s="1365"/>
      <c r="DO209" s="1365"/>
      <c r="DP209" s="1365"/>
      <c r="DQ209" s="1365"/>
      <c r="DR209" s="1365"/>
      <c r="DS209" s="1365"/>
      <c r="DT209" s="1365"/>
    </row>
    <row r="210" spans="1:124">
      <c r="A210" s="1118">
        <f t="shared" ca="1" si="91"/>
        <v>4</v>
      </c>
      <c r="B210" s="1890">
        <f t="shared" si="101"/>
        <v>0</v>
      </c>
      <c r="C210" s="2160">
        <f t="shared" si="113"/>
        <v>0</v>
      </c>
      <c r="D210" s="2161">
        <f t="shared" si="114"/>
        <v>0</v>
      </c>
      <c r="E210" s="2162">
        <f t="shared" si="102"/>
        <v>0</v>
      </c>
      <c r="F210" s="2162">
        <f t="shared" si="85"/>
        <v>0</v>
      </c>
      <c r="G210" s="2162">
        <f t="shared" si="86"/>
        <v>0</v>
      </c>
      <c r="H210" s="2162">
        <f t="shared" si="115"/>
        <v>0</v>
      </c>
      <c r="I210" s="2162">
        <f t="shared" si="122"/>
        <v>0</v>
      </c>
      <c r="J210" s="2162">
        <f t="shared" si="92"/>
        <v>0</v>
      </c>
      <c r="K210" s="2162">
        <f t="shared" si="93"/>
        <v>0</v>
      </c>
      <c r="L210" s="2162">
        <f t="shared" si="103"/>
        <v>0</v>
      </c>
      <c r="M210" s="2162">
        <f t="shared" si="94"/>
        <v>0</v>
      </c>
      <c r="N210" s="2162">
        <f t="shared" si="104"/>
        <v>0</v>
      </c>
      <c r="O210" s="2163"/>
      <c r="AG210" s="1756"/>
      <c r="AH210" s="1756"/>
      <c r="AI210" s="1756"/>
      <c r="AJ210" s="1989">
        <f t="shared" si="105"/>
        <v>1</v>
      </c>
      <c r="AK210" s="1900">
        <f t="shared" si="106"/>
        <v>0</v>
      </c>
      <c r="AL210" s="1907"/>
      <c r="AM210" s="1907"/>
      <c r="AN210" s="1901">
        <f t="shared" si="116"/>
        <v>0</v>
      </c>
      <c r="AO210" s="1906">
        <f t="shared" ca="1" si="107"/>
        <v>0</v>
      </c>
      <c r="AU210" s="1903">
        <f t="shared" si="117"/>
        <v>0</v>
      </c>
      <c r="AV210" s="1904">
        <f t="shared" si="108"/>
        <v>0</v>
      </c>
      <c r="AW210" s="1904">
        <f t="shared" si="109"/>
        <v>0</v>
      </c>
      <c r="AX210" s="1904"/>
      <c r="AY210" s="1904"/>
      <c r="AZ210" s="1904"/>
      <c r="BA210" s="1904"/>
      <c r="BB210" s="1897">
        <f t="shared" si="110"/>
        <v>0</v>
      </c>
      <c r="BC210" s="1897">
        <f t="shared" si="95"/>
        <v>0</v>
      </c>
      <c r="BD210" s="1898" t="e">
        <f>HLOOKUP($BD$63,anticipaplus,146,0)</f>
        <v>#N/A</v>
      </c>
      <c r="BE210" s="1899"/>
      <c r="BF210" s="1899"/>
      <c r="BG210" s="1360">
        <f t="shared" si="111"/>
        <v>0</v>
      </c>
      <c r="BH210" s="1377">
        <f t="shared" si="119"/>
        <v>145</v>
      </c>
      <c r="BI210" s="1378">
        <f t="shared" si="112"/>
        <v>0</v>
      </c>
      <c r="BJ210" s="1378">
        <f t="shared" si="96"/>
        <v>0</v>
      </c>
      <c r="BK210" s="1378">
        <f>MIN(BL209+BI210,BK209*(1+$BI$61))</f>
        <v>0</v>
      </c>
      <c r="BL210" s="1363">
        <f t="shared" si="97"/>
        <v>1000000</v>
      </c>
      <c r="BM210" s="1899"/>
      <c r="BN210" s="1379" t="str">
        <f t="shared" si="120"/>
        <v/>
      </c>
      <c r="BO210" s="1380">
        <f t="shared" si="98"/>
        <v>0</v>
      </c>
      <c r="BP210" s="1380">
        <f t="shared" si="99"/>
        <v>0</v>
      </c>
      <c r="BQ210" s="1380">
        <f>MIN(BR209+BO210,BQ209*(1+$BO$61))</f>
        <v>0</v>
      </c>
      <c r="BR210" s="1363">
        <f t="shared" si="100"/>
        <v>0</v>
      </c>
      <c r="BT210" s="1414"/>
      <c r="BX210" s="1364"/>
      <c r="BY210" s="1364"/>
      <c r="BZ210" s="1364"/>
      <c r="CA210" s="1364"/>
      <c r="CB210" s="1364"/>
      <c r="CC210" s="1365"/>
      <c r="CD210" s="1365"/>
      <c r="CE210" s="1365"/>
      <c r="CF210" s="1365"/>
      <c r="CG210" s="1365"/>
      <c r="CH210" s="1366"/>
      <c r="CI210" s="1366"/>
      <c r="CJ210" s="1366"/>
      <c r="CK210" s="1366"/>
      <c r="CL210" s="1365"/>
      <c r="CM210" s="1366"/>
      <c r="CN210" s="1366"/>
      <c r="CO210" s="1366"/>
      <c r="CP210" s="1366"/>
      <c r="CQ210" s="1366"/>
      <c r="CR210" s="1366"/>
      <c r="CS210" s="1365"/>
      <c r="CT210" s="1365"/>
      <c r="CU210" s="1365"/>
      <c r="CV210" s="1365"/>
      <c r="CW210" s="1365"/>
      <c r="CX210" s="1365"/>
      <c r="CY210" s="1365"/>
      <c r="CZ210" s="1365"/>
      <c r="DA210" s="1365"/>
      <c r="DB210" s="1365"/>
      <c r="DC210" s="1365"/>
      <c r="DD210" s="1365"/>
      <c r="DE210" s="1365"/>
      <c r="DF210" s="1365"/>
      <c r="DG210" s="1365"/>
      <c r="DH210" s="1365"/>
      <c r="DI210" s="1365"/>
      <c r="DJ210" s="1365"/>
      <c r="DK210" s="1365"/>
      <c r="DL210" s="1365"/>
      <c r="DM210" s="1365"/>
      <c r="DN210" s="1365"/>
      <c r="DO210" s="1365"/>
      <c r="DP210" s="1365"/>
      <c r="DQ210" s="1365"/>
      <c r="DR210" s="1365"/>
      <c r="DS210" s="1365"/>
      <c r="DT210" s="1365"/>
    </row>
    <row r="211" spans="1:124">
      <c r="A211" s="1118">
        <f t="shared" ca="1" si="91"/>
        <v>5</v>
      </c>
      <c r="B211" s="1890">
        <f t="shared" si="101"/>
        <v>0</v>
      </c>
      <c r="C211" s="2160">
        <f t="shared" si="113"/>
        <v>0</v>
      </c>
      <c r="D211" s="2161">
        <f t="shared" si="114"/>
        <v>0</v>
      </c>
      <c r="E211" s="2162">
        <f t="shared" si="102"/>
        <v>0</v>
      </c>
      <c r="F211" s="2162">
        <f t="shared" si="85"/>
        <v>0</v>
      </c>
      <c r="G211" s="2162">
        <f t="shared" si="86"/>
        <v>0</v>
      </c>
      <c r="H211" s="2162">
        <f t="shared" si="115"/>
        <v>0</v>
      </c>
      <c r="I211" s="2162">
        <f t="shared" si="122"/>
        <v>0</v>
      </c>
      <c r="J211" s="2162">
        <f t="shared" si="92"/>
        <v>0</v>
      </c>
      <c r="K211" s="2162">
        <f t="shared" si="93"/>
        <v>0</v>
      </c>
      <c r="L211" s="2162">
        <f t="shared" si="103"/>
        <v>0</v>
      </c>
      <c r="M211" s="2162">
        <f t="shared" si="94"/>
        <v>0</v>
      </c>
      <c r="N211" s="2162">
        <f t="shared" si="104"/>
        <v>0</v>
      </c>
      <c r="O211" s="2163"/>
      <c r="AG211" s="1756"/>
      <c r="AH211" s="1756"/>
      <c r="AI211" s="1756"/>
      <c r="AJ211" s="1989">
        <f t="shared" si="105"/>
        <v>2</v>
      </c>
      <c r="AK211" s="1900">
        <f t="shared" si="106"/>
        <v>0</v>
      </c>
      <c r="AL211" s="1907"/>
      <c r="AM211" s="1907"/>
      <c r="AN211" s="1901">
        <f t="shared" si="116"/>
        <v>0</v>
      </c>
      <c r="AO211" s="1906">
        <f t="shared" ca="1" si="107"/>
        <v>0</v>
      </c>
      <c r="AU211" s="1903">
        <f t="shared" si="117"/>
        <v>0</v>
      </c>
      <c r="AV211" s="1904">
        <f t="shared" si="108"/>
        <v>0</v>
      </c>
      <c r="AW211" s="1904">
        <f t="shared" si="109"/>
        <v>0</v>
      </c>
      <c r="AX211" s="1904"/>
      <c r="AY211" s="1904"/>
      <c r="AZ211" s="1904"/>
      <c r="BA211" s="1904"/>
      <c r="BB211" s="1897">
        <f t="shared" si="110"/>
        <v>0</v>
      </c>
      <c r="BC211" s="1897">
        <f t="shared" si="95"/>
        <v>0</v>
      </c>
      <c r="BD211" s="1898" t="e">
        <f>HLOOKUP($BD$63,anticipaplus,147,0)</f>
        <v>#N/A</v>
      </c>
      <c r="BE211" s="1899"/>
      <c r="BF211" s="1899"/>
      <c r="BG211" s="1360">
        <f t="shared" si="111"/>
        <v>0</v>
      </c>
      <c r="BH211" s="1361">
        <f t="shared" si="119"/>
        <v>146</v>
      </c>
      <c r="BI211" s="1362">
        <f t="shared" si="112"/>
        <v>0</v>
      </c>
      <c r="BJ211" s="1362">
        <f t="shared" si="96"/>
        <v>0</v>
      </c>
      <c r="BK211" s="1362">
        <f t="shared" si="118"/>
        <v>0</v>
      </c>
      <c r="BL211" s="1363">
        <f t="shared" si="97"/>
        <v>1000000</v>
      </c>
      <c r="BM211" s="1899"/>
      <c r="BN211" s="1361" t="str">
        <f t="shared" si="120"/>
        <v/>
      </c>
      <c r="BO211" s="1362">
        <f t="shared" si="98"/>
        <v>0</v>
      </c>
      <c r="BP211" s="1362">
        <f t="shared" si="99"/>
        <v>0</v>
      </c>
      <c r="BQ211" s="1362">
        <f t="shared" ref="BQ211:BQ221" si="123">MIN(BR210+BO211,BQ210)</f>
        <v>0</v>
      </c>
      <c r="BR211" s="1363">
        <f t="shared" si="100"/>
        <v>0</v>
      </c>
      <c r="BT211" s="1414"/>
      <c r="BX211" s="1364"/>
      <c r="BY211" s="1364"/>
      <c r="BZ211" s="1364"/>
      <c r="CA211" s="1364"/>
      <c r="CB211" s="1364"/>
      <c r="CC211" s="1365"/>
      <c r="CD211" s="1365"/>
      <c r="CE211" s="1365"/>
      <c r="CF211" s="1365"/>
      <c r="CG211" s="1365"/>
      <c r="CH211" s="1366"/>
      <c r="CI211" s="1366"/>
      <c r="CJ211" s="1366"/>
      <c r="CK211" s="1366"/>
      <c r="CL211" s="1365"/>
      <c r="CM211" s="1366"/>
      <c r="CN211" s="1366"/>
      <c r="CO211" s="1366"/>
      <c r="CP211" s="1366"/>
      <c r="CQ211" s="1366"/>
      <c r="CR211" s="1366"/>
      <c r="CS211" s="1365"/>
      <c r="CT211" s="1365"/>
      <c r="CU211" s="1365"/>
      <c r="CV211" s="1365"/>
      <c r="CW211" s="1365"/>
      <c r="CX211" s="1365"/>
      <c r="CY211" s="1365"/>
      <c r="CZ211" s="1365"/>
      <c r="DA211" s="1365"/>
      <c r="DB211" s="1365"/>
      <c r="DC211" s="1365"/>
      <c r="DD211" s="1365"/>
      <c r="DE211" s="1365"/>
      <c r="DF211" s="1365"/>
      <c r="DG211" s="1365"/>
      <c r="DH211" s="1365"/>
      <c r="DI211" s="1365"/>
      <c r="DJ211" s="1365"/>
      <c r="DK211" s="1365"/>
      <c r="DL211" s="1365"/>
      <c r="DM211" s="1365"/>
      <c r="DN211" s="1365"/>
      <c r="DO211" s="1365"/>
      <c r="DP211" s="1365"/>
      <c r="DQ211" s="1365"/>
      <c r="DR211" s="1365"/>
      <c r="DS211" s="1365"/>
      <c r="DT211" s="1365"/>
    </row>
    <row r="212" spans="1:124">
      <c r="A212" s="1118">
        <f t="shared" ca="1" si="91"/>
        <v>6</v>
      </c>
      <c r="B212" s="1890">
        <f t="shared" si="101"/>
        <v>0</v>
      </c>
      <c r="C212" s="2160">
        <f t="shared" si="113"/>
        <v>0</v>
      </c>
      <c r="D212" s="2161">
        <f t="shared" si="114"/>
        <v>0</v>
      </c>
      <c r="E212" s="2162">
        <f t="shared" si="102"/>
        <v>0</v>
      </c>
      <c r="F212" s="2162">
        <f t="shared" ref="F212:F275" si="124">IF(N211&lt;0.01,0,MIN(N211,G212-E212))</f>
        <v>0</v>
      </c>
      <c r="G212" s="2162">
        <f t="shared" si="86"/>
        <v>0</v>
      </c>
      <c r="H212" s="2162">
        <f t="shared" si="115"/>
        <v>0</v>
      </c>
      <c r="I212" s="2162">
        <f t="shared" si="122"/>
        <v>0</v>
      </c>
      <c r="J212" s="2162">
        <f t="shared" si="92"/>
        <v>0</v>
      </c>
      <c r="K212" s="2162">
        <f t="shared" si="93"/>
        <v>0</v>
      </c>
      <c r="L212" s="2162">
        <f t="shared" si="103"/>
        <v>0</v>
      </c>
      <c r="M212" s="2162">
        <f t="shared" si="94"/>
        <v>0</v>
      </c>
      <c r="N212" s="2162">
        <f t="shared" si="104"/>
        <v>0</v>
      </c>
      <c r="O212" s="2163"/>
      <c r="AG212" s="1756"/>
      <c r="AH212" s="1756"/>
      <c r="AI212" s="1756"/>
      <c r="AJ212" s="1989">
        <f t="shared" si="105"/>
        <v>3</v>
      </c>
      <c r="AK212" s="1900">
        <f t="shared" si="106"/>
        <v>0</v>
      </c>
      <c r="AL212" s="1907"/>
      <c r="AM212" s="1907"/>
      <c r="AN212" s="1901">
        <f t="shared" si="116"/>
        <v>0</v>
      </c>
      <c r="AO212" s="1906">
        <f t="shared" ca="1" si="107"/>
        <v>0</v>
      </c>
      <c r="AU212" s="1903">
        <f t="shared" si="117"/>
        <v>0</v>
      </c>
      <c r="AV212" s="1904">
        <f t="shared" si="108"/>
        <v>0</v>
      </c>
      <c r="AW212" s="1904">
        <f t="shared" si="109"/>
        <v>0</v>
      </c>
      <c r="AX212" s="1904"/>
      <c r="AY212" s="1904"/>
      <c r="AZ212" s="1904"/>
      <c r="BA212" s="1904"/>
      <c r="BB212" s="1897">
        <f t="shared" si="110"/>
        <v>0</v>
      </c>
      <c r="BC212" s="1897">
        <f t="shared" si="95"/>
        <v>0</v>
      </c>
      <c r="BD212" s="1898" t="e">
        <f>HLOOKUP($BD$63,anticipaplus,148,0)</f>
        <v>#N/A</v>
      </c>
      <c r="BE212" s="1899"/>
      <c r="BF212" s="1899"/>
      <c r="BG212" s="1360">
        <f t="shared" si="111"/>
        <v>0</v>
      </c>
      <c r="BH212" s="1361">
        <f t="shared" si="119"/>
        <v>147</v>
      </c>
      <c r="BI212" s="1362">
        <f t="shared" si="112"/>
        <v>0</v>
      </c>
      <c r="BJ212" s="1362">
        <f t="shared" si="96"/>
        <v>0</v>
      </c>
      <c r="BK212" s="1362">
        <f t="shared" si="118"/>
        <v>0</v>
      </c>
      <c r="BL212" s="1363">
        <f t="shared" si="97"/>
        <v>1000000</v>
      </c>
      <c r="BM212" s="1899"/>
      <c r="BN212" s="1361" t="str">
        <f t="shared" si="120"/>
        <v/>
      </c>
      <c r="BO212" s="1362">
        <f t="shared" si="98"/>
        <v>0</v>
      </c>
      <c r="BP212" s="1362">
        <f t="shared" si="99"/>
        <v>0</v>
      </c>
      <c r="BQ212" s="1362">
        <f t="shared" si="123"/>
        <v>0</v>
      </c>
      <c r="BR212" s="1363">
        <f t="shared" si="100"/>
        <v>0</v>
      </c>
      <c r="BT212" s="1414"/>
      <c r="BX212" s="1364"/>
      <c r="BY212" s="1364"/>
      <c r="BZ212" s="1364"/>
      <c r="CA212" s="1364"/>
      <c r="CB212" s="1364"/>
      <c r="CC212" s="1365"/>
      <c r="CD212" s="1365"/>
      <c r="CE212" s="1365"/>
      <c r="CF212" s="1365"/>
      <c r="CG212" s="1365"/>
      <c r="CH212" s="1366"/>
      <c r="CI212" s="1366"/>
      <c r="CJ212" s="1366"/>
      <c r="CK212" s="1366"/>
      <c r="CL212" s="1365"/>
      <c r="CM212" s="1366"/>
      <c r="CN212" s="1366"/>
      <c r="CO212" s="1366"/>
      <c r="CP212" s="1366"/>
      <c r="CQ212" s="1366"/>
      <c r="CR212" s="1366"/>
      <c r="CS212" s="1365"/>
      <c r="CT212" s="1365"/>
      <c r="CU212" s="1365"/>
      <c r="CV212" s="1365"/>
      <c r="CW212" s="1365"/>
      <c r="CX212" s="1365"/>
      <c r="CY212" s="1365"/>
      <c r="CZ212" s="1365"/>
      <c r="DA212" s="1365"/>
      <c r="DB212" s="1365"/>
      <c r="DC212" s="1365"/>
      <c r="DD212" s="1365"/>
      <c r="DE212" s="1365"/>
      <c r="DF212" s="1365"/>
      <c r="DG212" s="1365"/>
      <c r="DH212" s="1365"/>
      <c r="DI212" s="1365"/>
      <c r="DJ212" s="1365"/>
      <c r="DK212" s="1365"/>
      <c r="DL212" s="1365"/>
      <c r="DM212" s="1365"/>
      <c r="DN212" s="1365"/>
      <c r="DO212" s="1365"/>
      <c r="DP212" s="1365"/>
      <c r="DQ212" s="1365"/>
      <c r="DR212" s="1365"/>
      <c r="DS212" s="1365"/>
      <c r="DT212" s="1365"/>
    </row>
    <row r="213" spans="1:124">
      <c r="A213" s="1118">
        <f t="shared" ca="1" si="91"/>
        <v>7</v>
      </c>
      <c r="B213" s="1890">
        <f t="shared" si="101"/>
        <v>0</v>
      </c>
      <c r="C213" s="2160">
        <f t="shared" si="113"/>
        <v>0</v>
      </c>
      <c r="D213" s="2161">
        <f t="shared" si="114"/>
        <v>0</v>
      </c>
      <c r="E213" s="2162">
        <f t="shared" si="102"/>
        <v>0</v>
      </c>
      <c r="F213" s="2162">
        <f t="shared" si="124"/>
        <v>0</v>
      </c>
      <c r="G213" s="2162">
        <f t="shared" ref="G213:G276" si="125">IF(N212&lt;0.01,0,MIN(N212+E213,IF(AU213&gt;0,AU213,G212*(1+AK213))))</f>
        <v>0</v>
      </c>
      <c r="H213" s="2162">
        <f t="shared" si="115"/>
        <v>0</v>
      </c>
      <c r="I213" s="2162">
        <f t="shared" si="122"/>
        <v>0</v>
      </c>
      <c r="J213" s="2162">
        <f t="shared" si="92"/>
        <v>0</v>
      </c>
      <c r="K213" s="2162">
        <f t="shared" si="93"/>
        <v>0</v>
      </c>
      <c r="L213" s="2162">
        <f t="shared" si="103"/>
        <v>0</v>
      </c>
      <c r="M213" s="2162">
        <f t="shared" si="94"/>
        <v>0</v>
      </c>
      <c r="N213" s="2162">
        <f t="shared" si="104"/>
        <v>0</v>
      </c>
      <c r="O213" s="2163"/>
      <c r="AG213" s="1756"/>
      <c r="AH213" s="1756"/>
      <c r="AI213" s="1756"/>
      <c r="AJ213" s="1989">
        <f t="shared" si="105"/>
        <v>4</v>
      </c>
      <c r="AK213" s="1900">
        <f t="shared" si="106"/>
        <v>0</v>
      </c>
      <c r="AL213" s="1907"/>
      <c r="AM213" s="1907"/>
      <c r="AN213" s="1901">
        <f t="shared" si="116"/>
        <v>0</v>
      </c>
      <c r="AO213" s="1906">
        <f t="shared" ca="1" si="107"/>
        <v>0</v>
      </c>
      <c r="AU213" s="1903">
        <f t="shared" si="117"/>
        <v>0</v>
      </c>
      <c r="AV213" s="1904">
        <f t="shared" si="108"/>
        <v>0</v>
      </c>
      <c r="AW213" s="1904">
        <f t="shared" si="109"/>
        <v>0</v>
      </c>
      <c r="AX213" s="1904"/>
      <c r="AY213" s="1904"/>
      <c r="AZ213" s="1904"/>
      <c r="BA213" s="1904"/>
      <c r="BB213" s="1897">
        <f t="shared" si="110"/>
        <v>0</v>
      </c>
      <c r="BC213" s="1897">
        <f t="shared" si="95"/>
        <v>0</v>
      </c>
      <c r="BD213" s="1898" t="e">
        <f>HLOOKUP($BD$63,anticipaplus,149,0)</f>
        <v>#N/A</v>
      </c>
      <c r="BE213" s="1899"/>
      <c r="BF213" s="1899"/>
      <c r="BG213" s="1360">
        <f t="shared" si="111"/>
        <v>0</v>
      </c>
      <c r="BH213" s="1361">
        <f t="shared" si="119"/>
        <v>148</v>
      </c>
      <c r="BI213" s="1362">
        <f t="shared" si="112"/>
        <v>0</v>
      </c>
      <c r="BJ213" s="1362">
        <f t="shared" si="96"/>
        <v>0</v>
      </c>
      <c r="BK213" s="1362">
        <f t="shared" si="118"/>
        <v>0</v>
      </c>
      <c r="BL213" s="1363">
        <f t="shared" si="97"/>
        <v>1000000</v>
      </c>
      <c r="BM213" s="1899"/>
      <c r="BN213" s="1361" t="str">
        <f t="shared" si="120"/>
        <v/>
      </c>
      <c r="BO213" s="1362">
        <f t="shared" si="98"/>
        <v>0</v>
      </c>
      <c r="BP213" s="1362">
        <f t="shared" si="99"/>
        <v>0</v>
      </c>
      <c r="BQ213" s="1362">
        <f t="shared" si="123"/>
        <v>0</v>
      </c>
      <c r="BR213" s="1363">
        <f t="shared" si="100"/>
        <v>0</v>
      </c>
      <c r="BT213" s="1414"/>
      <c r="BX213" s="1364"/>
      <c r="BY213" s="1364"/>
      <c r="BZ213" s="1364"/>
      <c r="CA213" s="1364"/>
      <c r="CB213" s="1364"/>
      <c r="CC213" s="1365"/>
      <c r="CD213" s="1365"/>
      <c r="CE213" s="1365"/>
      <c r="CF213" s="1365"/>
      <c r="CG213" s="1365"/>
      <c r="CH213" s="1366"/>
      <c r="CI213" s="1366"/>
      <c r="CJ213" s="1366"/>
      <c r="CK213" s="1366"/>
      <c r="CL213" s="1365"/>
      <c r="CM213" s="1366"/>
      <c r="CN213" s="1366"/>
      <c r="CO213" s="1366"/>
      <c r="CP213" s="1366"/>
      <c r="CQ213" s="1366"/>
      <c r="CR213" s="1366"/>
      <c r="CS213" s="1365"/>
      <c r="CT213" s="1365"/>
      <c r="CU213" s="1365"/>
      <c r="CV213" s="1365"/>
      <c r="CW213" s="1365"/>
      <c r="CX213" s="1365"/>
      <c r="CY213" s="1365"/>
      <c r="CZ213" s="1365"/>
      <c r="DA213" s="1365"/>
      <c r="DB213" s="1365"/>
      <c r="DC213" s="1365"/>
      <c r="DD213" s="1365"/>
      <c r="DE213" s="1365"/>
      <c r="DF213" s="1365"/>
      <c r="DG213" s="1365"/>
      <c r="DH213" s="1365"/>
      <c r="DI213" s="1365"/>
      <c r="DJ213" s="1365"/>
      <c r="DK213" s="1365"/>
      <c r="DL213" s="1365"/>
      <c r="DM213" s="1365"/>
      <c r="DN213" s="1365"/>
      <c r="DO213" s="1365"/>
      <c r="DP213" s="1365"/>
      <c r="DQ213" s="1365"/>
      <c r="DR213" s="1365"/>
      <c r="DS213" s="1365"/>
      <c r="DT213" s="1365"/>
    </row>
    <row r="214" spans="1:124">
      <c r="A214" s="1118">
        <f t="shared" ca="1" si="91"/>
        <v>8</v>
      </c>
      <c r="B214" s="1890">
        <f t="shared" si="101"/>
        <v>0</v>
      </c>
      <c r="C214" s="2160">
        <f t="shared" si="113"/>
        <v>0</v>
      </c>
      <c r="D214" s="2161">
        <f t="shared" si="114"/>
        <v>0</v>
      </c>
      <c r="E214" s="2162">
        <f t="shared" si="102"/>
        <v>0</v>
      </c>
      <c r="F214" s="2162">
        <f t="shared" si="124"/>
        <v>0</v>
      </c>
      <c r="G214" s="2162">
        <f t="shared" si="125"/>
        <v>0</v>
      </c>
      <c r="H214" s="2162">
        <f t="shared" si="115"/>
        <v>0</v>
      </c>
      <c r="I214" s="2162">
        <f t="shared" si="122"/>
        <v>0</v>
      </c>
      <c r="J214" s="2162">
        <f t="shared" si="92"/>
        <v>0</v>
      </c>
      <c r="K214" s="2162">
        <f t="shared" si="93"/>
        <v>0</v>
      </c>
      <c r="L214" s="2162">
        <f t="shared" si="103"/>
        <v>0</v>
      </c>
      <c r="M214" s="2162">
        <f t="shared" si="94"/>
        <v>0</v>
      </c>
      <c r="N214" s="2162">
        <f t="shared" si="104"/>
        <v>0</v>
      </c>
      <c r="O214" s="2163"/>
      <c r="AG214" s="1756"/>
      <c r="AH214" s="1756"/>
      <c r="AI214" s="1756"/>
      <c r="AJ214" s="1989">
        <f t="shared" si="105"/>
        <v>5</v>
      </c>
      <c r="AK214" s="1900">
        <f t="shared" si="106"/>
        <v>0</v>
      </c>
      <c r="AL214" s="1907"/>
      <c r="AM214" s="1907"/>
      <c r="AN214" s="1901">
        <f t="shared" si="116"/>
        <v>0</v>
      </c>
      <c r="AO214" s="1906">
        <f t="shared" ca="1" si="107"/>
        <v>0</v>
      </c>
      <c r="AU214" s="1903">
        <f t="shared" si="117"/>
        <v>0</v>
      </c>
      <c r="AV214" s="1904">
        <f t="shared" si="108"/>
        <v>0</v>
      </c>
      <c r="AW214" s="1904">
        <f t="shared" si="109"/>
        <v>0</v>
      </c>
      <c r="AX214" s="1904"/>
      <c r="AY214" s="1904"/>
      <c r="AZ214" s="1904"/>
      <c r="BA214" s="1904"/>
      <c r="BB214" s="1897">
        <f t="shared" si="110"/>
        <v>0</v>
      </c>
      <c r="BC214" s="1897">
        <f t="shared" si="95"/>
        <v>0</v>
      </c>
      <c r="BD214" s="1898" t="e">
        <f>HLOOKUP($BD$63,anticipaplus,150,0)</f>
        <v>#N/A</v>
      </c>
      <c r="BE214" s="1899"/>
      <c r="BF214" s="1899"/>
      <c r="BG214" s="1360">
        <f t="shared" si="111"/>
        <v>0</v>
      </c>
      <c r="BH214" s="1361">
        <f t="shared" si="119"/>
        <v>149</v>
      </c>
      <c r="BI214" s="1362">
        <f t="shared" si="112"/>
        <v>0</v>
      </c>
      <c r="BJ214" s="1362">
        <f t="shared" si="96"/>
        <v>0</v>
      </c>
      <c r="BK214" s="1362">
        <f t="shared" si="118"/>
        <v>0</v>
      </c>
      <c r="BL214" s="1363">
        <f t="shared" si="97"/>
        <v>1000000</v>
      </c>
      <c r="BM214" s="1899"/>
      <c r="BN214" s="1361" t="str">
        <f t="shared" si="120"/>
        <v/>
      </c>
      <c r="BO214" s="1362">
        <f t="shared" si="98"/>
        <v>0</v>
      </c>
      <c r="BP214" s="1362">
        <f t="shared" si="99"/>
        <v>0</v>
      </c>
      <c r="BQ214" s="1362">
        <f t="shared" si="123"/>
        <v>0</v>
      </c>
      <c r="BR214" s="1363">
        <f t="shared" si="100"/>
        <v>0</v>
      </c>
      <c r="BT214" s="1414"/>
      <c r="BX214" s="1364"/>
      <c r="BY214" s="1364"/>
      <c r="BZ214" s="1364"/>
      <c r="CA214" s="1364"/>
      <c r="CB214" s="1364"/>
      <c r="CC214" s="1365"/>
      <c r="CD214" s="1365"/>
      <c r="CE214" s="1365"/>
      <c r="CF214" s="1365"/>
      <c r="CG214" s="1365"/>
      <c r="CH214" s="1366"/>
      <c r="CI214" s="1366"/>
      <c r="CJ214" s="1366"/>
      <c r="CK214" s="1366"/>
      <c r="CL214" s="1365"/>
      <c r="CM214" s="1366"/>
      <c r="CN214" s="1366"/>
      <c r="CO214" s="1366"/>
      <c r="CP214" s="1366"/>
      <c r="CQ214" s="1366"/>
      <c r="CR214" s="1366"/>
      <c r="CS214" s="1365"/>
      <c r="CT214" s="1365"/>
      <c r="CU214" s="1365"/>
      <c r="CV214" s="1365"/>
      <c r="CW214" s="1365"/>
      <c r="CX214" s="1365"/>
      <c r="CY214" s="1365"/>
      <c r="CZ214" s="1365"/>
      <c r="DA214" s="1365"/>
      <c r="DB214" s="1365"/>
      <c r="DC214" s="1365"/>
      <c r="DD214" s="1365"/>
      <c r="DE214" s="1365"/>
      <c r="DF214" s="1365"/>
      <c r="DG214" s="1365"/>
      <c r="DH214" s="1365"/>
      <c r="DI214" s="1365"/>
      <c r="DJ214" s="1365"/>
      <c r="DK214" s="1365"/>
      <c r="DL214" s="1365"/>
      <c r="DM214" s="1365"/>
      <c r="DN214" s="1365"/>
      <c r="DO214" s="1365"/>
      <c r="DP214" s="1365"/>
      <c r="DQ214" s="1365"/>
      <c r="DR214" s="1365"/>
      <c r="DS214" s="1365"/>
      <c r="DT214" s="1365"/>
    </row>
    <row r="215" spans="1:124">
      <c r="A215" s="1118">
        <f t="shared" ca="1" si="91"/>
        <v>9</v>
      </c>
      <c r="B215" s="1890">
        <f t="shared" si="101"/>
        <v>0</v>
      </c>
      <c r="C215" s="2160">
        <f t="shared" si="113"/>
        <v>0</v>
      </c>
      <c r="D215" s="2161">
        <f t="shared" si="114"/>
        <v>0</v>
      </c>
      <c r="E215" s="2162">
        <f t="shared" si="102"/>
        <v>0</v>
      </c>
      <c r="F215" s="2162">
        <f t="shared" si="124"/>
        <v>0</v>
      </c>
      <c r="G215" s="2162">
        <f t="shared" si="125"/>
        <v>0</v>
      </c>
      <c r="H215" s="2162">
        <f t="shared" si="115"/>
        <v>0</v>
      </c>
      <c r="I215" s="2162">
        <f t="shared" si="122"/>
        <v>0</v>
      </c>
      <c r="J215" s="2162">
        <f t="shared" si="92"/>
        <v>0</v>
      </c>
      <c r="K215" s="2162">
        <f t="shared" si="93"/>
        <v>0</v>
      </c>
      <c r="L215" s="2162">
        <f t="shared" si="103"/>
        <v>0</v>
      </c>
      <c r="M215" s="2162">
        <f t="shared" si="94"/>
        <v>0</v>
      </c>
      <c r="N215" s="2162">
        <f t="shared" si="104"/>
        <v>0</v>
      </c>
      <c r="O215" s="2163"/>
      <c r="AG215" s="1756"/>
      <c r="AH215" s="1756"/>
      <c r="AI215" s="1756"/>
      <c r="AJ215" s="1989">
        <f t="shared" si="105"/>
        <v>6</v>
      </c>
      <c r="AK215" s="1900">
        <f t="shared" si="106"/>
        <v>0</v>
      </c>
      <c r="AL215" s="1907"/>
      <c r="AM215" s="1907"/>
      <c r="AN215" s="1901">
        <f t="shared" si="116"/>
        <v>0</v>
      </c>
      <c r="AO215" s="1906">
        <f t="shared" ca="1" si="107"/>
        <v>0</v>
      </c>
      <c r="AU215" s="1903">
        <f t="shared" si="117"/>
        <v>0</v>
      </c>
      <c r="AV215" s="1904">
        <f t="shared" si="108"/>
        <v>0</v>
      </c>
      <c r="AW215" s="1904">
        <f t="shared" si="109"/>
        <v>0</v>
      </c>
      <c r="AX215" s="1904"/>
      <c r="AY215" s="1904"/>
      <c r="AZ215" s="1904"/>
      <c r="BA215" s="1904"/>
      <c r="BB215" s="1897">
        <f t="shared" si="110"/>
        <v>0</v>
      </c>
      <c r="BC215" s="1897">
        <f t="shared" si="95"/>
        <v>0</v>
      </c>
      <c r="BD215" s="1898" t="e">
        <f>HLOOKUP($BD$63,anticipaplus,151,0)</f>
        <v>#N/A</v>
      </c>
      <c r="BE215" s="1899"/>
      <c r="BF215" s="1899"/>
      <c r="BG215" s="1360">
        <f t="shared" si="111"/>
        <v>0</v>
      </c>
      <c r="BH215" s="1361">
        <f t="shared" si="119"/>
        <v>150</v>
      </c>
      <c r="BI215" s="1362">
        <f t="shared" si="112"/>
        <v>0</v>
      </c>
      <c r="BJ215" s="1362">
        <f t="shared" si="96"/>
        <v>0</v>
      </c>
      <c r="BK215" s="1362">
        <f t="shared" si="118"/>
        <v>0</v>
      </c>
      <c r="BL215" s="1363">
        <f t="shared" si="97"/>
        <v>1000000</v>
      </c>
      <c r="BM215" s="1899"/>
      <c r="BN215" s="1361" t="str">
        <f t="shared" si="120"/>
        <v/>
      </c>
      <c r="BO215" s="1362">
        <f t="shared" si="98"/>
        <v>0</v>
      </c>
      <c r="BP215" s="1362">
        <f t="shared" si="99"/>
        <v>0</v>
      </c>
      <c r="BQ215" s="1362">
        <f t="shared" si="123"/>
        <v>0</v>
      </c>
      <c r="BR215" s="1363">
        <f t="shared" si="100"/>
        <v>0</v>
      </c>
      <c r="BT215" s="1414"/>
      <c r="BX215" s="1364"/>
      <c r="BY215" s="1364"/>
      <c r="BZ215" s="1364"/>
      <c r="CA215" s="1364"/>
      <c r="CB215" s="1364"/>
      <c r="CC215" s="1365"/>
      <c r="CD215" s="1365"/>
      <c r="CE215" s="1365"/>
      <c r="CF215" s="1365"/>
      <c r="CG215" s="1365"/>
      <c r="CH215" s="1366"/>
      <c r="CI215" s="1366"/>
      <c r="CJ215" s="1366"/>
      <c r="CK215" s="1366"/>
      <c r="CL215" s="1365"/>
      <c r="CM215" s="1366"/>
      <c r="CN215" s="1366"/>
      <c r="CO215" s="1366"/>
      <c r="CP215" s="1366"/>
      <c r="CQ215" s="1366"/>
      <c r="CR215" s="1366"/>
      <c r="CS215" s="1365"/>
      <c r="CT215" s="1365"/>
      <c r="CU215" s="1365"/>
      <c r="CV215" s="1365"/>
      <c r="CW215" s="1365"/>
      <c r="CX215" s="1365"/>
      <c r="CY215" s="1365"/>
      <c r="CZ215" s="1365"/>
      <c r="DA215" s="1365"/>
      <c r="DB215" s="1365"/>
      <c r="DC215" s="1365"/>
      <c r="DD215" s="1365"/>
      <c r="DE215" s="1365"/>
      <c r="DF215" s="1365"/>
      <c r="DG215" s="1365"/>
      <c r="DH215" s="1365"/>
      <c r="DI215" s="1365"/>
      <c r="DJ215" s="1365"/>
      <c r="DK215" s="1365"/>
      <c r="DL215" s="1365"/>
      <c r="DM215" s="1365"/>
      <c r="DN215" s="1365"/>
      <c r="DO215" s="1365"/>
      <c r="DP215" s="1365"/>
      <c r="DQ215" s="1365"/>
      <c r="DR215" s="1365"/>
      <c r="DS215" s="1365"/>
      <c r="DT215" s="1365"/>
    </row>
    <row r="216" spans="1:124">
      <c r="A216" s="1118">
        <f t="shared" ca="1" si="91"/>
        <v>10</v>
      </c>
      <c r="B216" s="1890">
        <f t="shared" si="101"/>
        <v>0</v>
      </c>
      <c r="C216" s="2160">
        <f t="shared" si="113"/>
        <v>0</v>
      </c>
      <c r="D216" s="2161">
        <f t="shared" si="114"/>
        <v>0</v>
      </c>
      <c r="E216" s="2162">
        <f t="shared" si="102"/>
        <v>0</v>
      </c>
      <c r="F216" s="2162">
        <f t="shared" si="124"/>
        <v>0</v>
      </c>
      <c r="G216" s="2162">
        <f t="shared" si="125"/>
        <v>0</v>
      </c>
      <c r="H216" s="2162">
        <f t="shared" si="115"/>
        <v>0</v>
      </c>
      <c r="I216" s="2162">
        <f t="shared" si="122"/>
        <v>0</v>
      </c>
      <c r="J216" s="2162">
        <f t="shared" si="92"/>
        <v>0</v>
      </c>
      <c r="K216" s="2162">
        <f t="shared" si="93"/>
        <v>0</v>
      </c>
      <c r="L216" s="2162">
        <f t="shared" si="103"/>
        <v>0</v>
      </c>
      <c r="M216" s="2162">
        <f t="shared" si="94"/>
        <v>0</v>
      </c>
      <c r="N216" s="2162">
        <f t="shared" si="104"/>
        <v>0</v>
      </c>
      <c r="O216" s="2163"/>
      <c r="AG216" s="1756"/>
      <c r="AH216" s="1756"/>
      <c r="AI216" s="1756"/>
      <c r="AJ216" s="1989">
        <f t="shared" si="105"/>
        <v>7</v>
      </c>
      <c r="AK216" s="1900">
        <f t="shared" si="106"/>
        <v>0</v>
      </c>
      <c r="AL216" s="1907"/>
      <c r="AM216" s="1907"/>
      <c r="AN216" s="1901">
        <f t="shared" si="116"/>
        <v>0</v>
      </c>
      <c r="AO216" s="1906">
        <f t="shared" ca="1" si="107"/>
        <v>0</v>
      </c>
      <c r="AU216" s="1903">
        <f t="shared" si="117"/>
        <v>0</v>
      </c>
      <c r="AV216" s="1904">
        <f t="shared" si="108"/>
        <v>0</v>
      </c>
      <c r="AW216" s="1904">
        <f t="shared" si="109"/>
        <v>0</v>
      </c>
      <c r="AX216" s="1904"/>
      <c r="AY216" s="1904"/>
      <c r="AZ216" s="1904"/>
      <c r="BA216" s="1904"/>
      <c r="BB216" s="1897">
        <f t="shared" si="110"/>
        <v>0</v>
      </c>
      <c r="BC216" s="1897">
        <f t="shared" si="95"/>
        <v>0</v>
      </c>
      <c r="BD216" s="1898" t="e">
        <f>HLOOKUP($BD$63,anticipaplus,152,0)</f>
        <v>#N/A</v>
      </c>
      <c r="BE216" s="1899"/>
      <c r="BF216" s="1899"/>
      <c r="BG216" s="1360">
        <f t="shared" si="111"/>
        <v>0</v>
      </c>
      <c r="BH216" s="1361">
        <f t="shared" si="119"/>
        <v>151</v>
      </c>
      <c r="BI216" s="1362">
        <f t="shared" si="112"/>
        <v>0</v>
      </c>
      <c r="BJ216" s="1362">
        <f t="shared" si="96"/>
        <v>0</v>
      </c>
      <c r="BK216" s="1362">
        <f t="shared" si="118"/>
        <v>0</v>
      </c>
      <c r="BL216" s="1363">
        <f t="shared" si="97"/>
        <v>1000000</v>
      </c>
      <c r="BM216" s="1899"/>
      <c r="BN216" s="1361" t="str">
        <f t="shared" si="120"/>
        <v/>
      </c>
      <c r="BO216" s="1362">
        <f t="shared" si="98"/>
        <v>0</v>
      </c>
      <c r="BP216" s="1362">
        <f t="shared" si="99"/>
        <v>0</v>
      </c>
      <c r="BQ216" s="1362">
        <f t="shared" si="123"/>
        <v>0</v>
      </c>
      <c r="BR216" s="1363">
        <f t="shared" si="100"/>
        <v>0</v>
      </c>
      <c r="BT216" s="1414"/>
      <c r="BX216" s="1364"/>
      <c r="BY216" s="1364"/>
      <c r="BZ216" s="1364"/>
      <c r="CA216" s="1364"/>
      <c r="CB216" s="1364"/>
      <c r="CC216" s="1365"/>
      <c r="CD216" s="1365"/>
      <c r="CE216" s="1365"/>
      <c r="CF216" s="1365"/>
      <c r="CG216" s="1365"/>
      <c r="CH216" s="1366"/>
      <c r="CI216" s="1366"/>
      <c r="CJ216" s="1366"/>
      <c r="CK216" s="1366"/>
      <c r="CL216" s="1365"/>
      <c r="CM216" s="1366"/>
      <c r="CN216" s="1366"/>
      <c r="CO216" s="1366"/>
      <c r="CP216" s="1366"/>
      <c r="CQ216" s="1366"/>
      <c r="CR216" s="1366"/>
      <c r="CS216" s="1365"/>
      <c r="CT216" s="1365"/>
      <c r="CU216" s="1365"/>
      <c r="CV216" s="1365"/>
      <c r="CW216" s="1365"/>
      <c r="CX216" s="1365"/>
      <c r="CY216" s="1365"/>
      <c r="CZ216" s="1365"/>
      <c r="DA216" s="1365"/>
      <c r="DB216" s="1365"/>
      <c r="DC216" s="1365"/>
      <c r="DD216" s="1365"/>
      <c r="DE216" s="1365"/>
      <c r="DF216" s="1365"/>
      <c r="DG216" s="1365"/>
      <c r="DH216" s="1365"/>
      <c r="DI216" s="1365"/>
      <c r="DJ216" s="1365"/>
      <c r="DK216" s="1365"/>
      <c r="DL216" s="1365"/>
      <c r="DM216" s="1365"/>
      <c r="DN216" s="1365"/>
      <c r="DO216" s="1365"/>
      <c r="DP216" s="1365"/>
      <c r="DQ216" s="1365"/>
      <c r="DR216" s="1365"/>
      <c r="DS216" s="1365"/>
      <c r="DT216" s="1365"/>
    </row>
    <row r="217" spans="1:124">
      <c r="A217" s="1118">
        <f t="shared" ca="1" si="91"/>
        <v>11</v>
      </c>
      <c r="B217" s="1890">
        <f t="shared" si="101"/>
        <v>0</v>
      </c>
      <c r="C217" s="2160">
        <f t="shared" si="113"/>
        <v>0</v>
      </c>
      <c r="D217" s="2161">
        <f t="shared" si="114"/>
        <v>0</v>
      </c>
      <c r="E217" s="2162">
        <f t="shared" si="102"/>
        <v>0</v>
      </c>
      <c r="F217" s="2162">
        <f t="shared" si="124"/>
        <v>0</v>
      </c>
      <c r="G217" s="2162">
        <f t="shared" si="125"/>
        <v>0</v>
      </c>
      <c r="H217" s="2162">
        <f t="shared" si="115"/>
        <v>0</v>
      </c>
      <c r="I217" s="2162">
        <f t="shared" si="122"/>
        <v>0</v>
      </c>
      <c r="J217" s="2162">
        <f t="shared" si="92"/>
        <v>0</v>
      </c>
      <c r="K217" s="2162">
        <f t="shared" si="93"/>
        <v>0</v>
      </c>
      <c r="L217" s="2162">
        <f t="shared" si="103"/>
        <v>0</v>
      </c>
      <c r="M217" s="2162">
        <f t="shared" si="94"/>
        <v>0</v>
      </c>
      <c r="N217" s="2162">
        <f t="shared" si="104"/>
        <v>0</v>
      </c>
      <c r="O217" s="2163"/>
      <c r="AG217" s="1756"/>
      <c r="AH217" s="1756"/>
      <c r="AI217" s="1756"/>
      <c r="AJ217" s="1989">
        <f t="shared" si="105"/>
        <v>8</v>
      </c>
      <c r="AK217" s="1900">
        <f t="shared" si="106"/>
        <v>0</v>
      </c>
      <c r="AL217" s="1907"/>
      <c r="AM217" s="1907"/>
      <c r="AN217" s="1901">
        <f t="shared" si="116"/>
        <v>0</v>
      </c>
      <c r="AO217" s="1906">
        <f t="shared" ca="1" si="107"/>
        <v>0</v>
      </c>
      <c r="AU217" s="1903">
        <f t="shared" si="117"/>
        <v>0</v>
      </c>
      <c r="AV217" s="1904">
        <f t="shared" si="108"/>
        <v>0</v>
      </c>
      <c r="AW217" s="1904">
        <f t="shared" si="109"/>
        <v>0</v>
      </c>
      <c r="AX217" s="1904"/>
      <c r="AY217" s="1904"/>
      <c r="AZ217" s="1904"/>
      <c r="BA217" s="1904"/>
      <c r="BB217" s="1897">
        <f t="shared" si="110"/>
        <v>0</v>
      </c>
      <c r="BC217" s="1897">
        <f t="shared" si="95"/>
        <v>0</v>
      </c>
      <c r="BD217" s="1898" t="e">
        <f>HLOOKUP($BD$63,anticipaplus,153,0)</f>
        <v>#N/A</v>
      </c>
      <c r="BE217" s="1899"/>
      <c r="BF217" s="1899"/>
      <c r="BG217" s="1360">
        <f t="shared" si="111"/>
        <v>0</v>
      </c>
      <c r="BH217" s="1361">
        <f t="shared" si="119"/>
        <v>152</v>
      </c>
      <c r="BI217" s="1362">
        <f t="shared" si="112"/>
        <v>0</v>
      </c>
      <c r="BJ217" s="1362">
        <f t="shared" si="96"/>
        <v>0</v>
      </c>
      <c r="BK217" s="1362">
        <f t="shared" si="118"/>
        <v>0</v>
      </c>
      <c r="BL217" s="1363">
        <f t="shared" si="97"/>
        <v>1000000</v>
      </c>
      <c r="BM217" s="1899"/>
      <c r="BN217" s="1361" t="str">
        <f t="shared" si="120"/>
        <v/>
      </c>
      <c r="BO217" s="1362">
        <f t="shared" si="98"/>
        <v>0</v>
      </c>
      <c r="BP217" s="1362">
        <f t="shared" si="99"/>
        <v>0</v>
      </c>
      <c r="BQ217" s="1362">
        <f t="shared" si="123"/>
        <v>0</v>
      </c>
      <c r="BR217" s="1363">
        <f t="shared" si="100"/>
        <v>0</v>
      </c>
      <c r="BT217" s="1414"/>
      <c r="BX217" s="1364"/>
      <c r="BY217" s="1364"/>
      <c r="BZ217" s="1364"/>
      <c r="CA217" s="1364"/>
      <c r="CB217" s="1364"/>
      <c r="CC217" s="1365"/>
      <c r="CD217" s="1365"/>
      <c r="CE217" s="1365"/>
      <c r="CF217" s="1365"/>
      <c r="CG217" s="1365"/>
      <c r="CH217" s="1366"/>
      <c r="CI217" s="1366"/>
      <c r="CJ217" s="1366"/>
      <c r="CK217" s="1366"/>
      <c r="CL217" s="1365"/>
      <c r="CM217" s="1366"/>
      <c r="CN217" s="1366"/>
      <c r="CO217" s="1366"/>
      <c r="CP217" s="1366"/>
      <c r="CQ217" s="1366"/>
      <c r="CR217" s="1366"/>
      <c r="CS217" s="1365"/>
      <c r="CT217" s="1365"/>
      <c r="CU217" s="1365"/>
      <c r="CV217" s="1365"/>
      <c r="CW217" s="1365"/>
      <c r="CX217" s="1365"/>
      <c r="CY217" s="1365"/>
      <c r="CZ217" s="1365"/>
      <c r="DA217" s="1365"/>
      <c r="DB217" s="1365"/>
      <c r="DC217" s="1365"/>
      <c r="DD217" s="1365"/>
      <c r="DE217" s="1365"/>
      <c r="DF217" s="1365"/>
      <c r="DG217" s="1365"/>
      <c r="DH217" s="1365"/>
      <c r="DI217" s="1365"/>
      <c r="DJ217" s="1365"/>
      <c r="DK217" s="1365"/>
      <c r="DL217" s="1365"/>
      <c r="DM217" s="1365"/>
      <c r="DN217" s="1365"/>
      <c r="DO217" s="1365"/>
      <c r="DP217" s="1365"/>
      <c r="DQ217" s="1365"/>
      <c r="DR217" s="1365"/>
      <c r="DS217" s="1365"/>
      <c r="DT217" s="1365"/>
    </row>
    <row r="218" spans="1:124">
      <c r="A218" s="1118">
        <f t="shared" ca="1" si="91"/>
        <v>12</v>
      </c>
      <c r="B218" s="1890">
        <f t="shared" si="101"/>
        <v>0</v>
      </c>
      <c r="C218" s="2160">
        <f t="shared" si="113"/>
        <v>0</v>
      </c>
      <c r="D218" s="2161">
        <f t="shared" si="114"/>
        <v>0</v>
      </c>
      <c r="E218" s="2162">
        <f t="shared" si="102"/>
        <v>0</v>
      </c>
      <c r="F218" s="2162">
        <f t="shared" si="124"/>
        <v>0</v>
      </c>
      <c r="G218" s="2162">
        <f t="shared" si="125"/>
        <v>0</v>
      </c>
      <c r="H218" s="2162">
        <f t="shared" si="115"/>
        <v>0</v>
      </c>
      <c r="I218" s="2162">
        <f t="shared" si="122"/>
        <v>0</v>
      </c>
      <c r="J218" s="2162">
        <f t="shared" si="92"/>
        <v>0</v>
      </c>
      <c r="K218" s="2162">
        <f t="shared" si="93"/>
        <v>0</v>
      </c>
      <c r="L218" s="2162">
        <f t="shared" si="103"/>
        <v>0</v>
      </c>
      <c r="M218" s="2162">
        <f t="shared" si="94"/>
        <v>0</v>
      </c>
      <c r="N218" s="2162">
        <f t="shared" si="104"/>
        <v>0</v>
      </c>
      <c r="O218" s="2163"/>
      <c r="AG218" s="1756"/>
      <c r="AH218" s="1756"/>
      <c r="AI218" s="1756"/>
      <c r="AJ218" s="1989">
        <f t="shared" si="105"/>
        <v>9</v>
      </c>
      <c r="AK218" s="1900">
        <f t="shared" si="106"/>
        <v>0</v>
      </c>
      <c r="AL218" s="1907"/>
      <c r="AM218" s="1907"/>
      <c r="AN218" s="1901">
        <f t="shared" si="116"/>
        <v>0</v>
      </c>
      <c r="AO218" s="1906">
        <f t="shared" ca="1" si="107"/>
        <v>0</v>
      </c>
      <c r="AU218" s="1903">
        <f t="shared" si="117"/>
        <v>0</v>
      </c>
      <c r="AV218" s="1904">
        <f t="shared" si="108"/>
        <v>0</v>
      </c>
      <c r="AW218" s="1904">
        <f t="shared" si="109"/>
        <v>0</v>
      </c>
      <c r="AX218" s="1904"/>
      <c r="AY218" s="1904"/>
      <c r="AZ218" s="1904"/>
      <c r="BA218" s="1904"/>
      <c r="BB218" s="1897">
        <f t="shared" si="110"/>
        <v>0</v>
      </c>
      <c r="BC218" s="1897">
        <f t="shared" si="95"/>
        <v>0</v>
      </c>
      <c r="BD218" s="1898" t="e">
        <f>HLOOKUP($BD$63,anticipaplus,154,0)</f>
        <v>#N/A</v>
      </c>
      <c r="BE218" s="1899"/>
      <c r="BF218" s="1899"/>
      <c r="BG218" s="1360">
        <f t="shared" si="111"/>
        <v>0</v>
      </c>
      <c r="BH218" s="1361">
        <f t="shared" si="119"/>
        <v>153</v>
      </c>
      <c r="BI218" s="1362">
        <f t="shared" si="112"/>
        <v>0</v>
      </c>
      <c r="BJ218" s="1362">
        <f t="shared" si="96"/>
        <v>0</v>
      </c>
      <c r="BK218" s="1362">
        <f t="shared" si="118"/>
        <v>0</v>
      </c>
      <c r="BL218" s="1363">
        <f t="shared" si="97"/>
        <v>1000000</v>
      </c>
      <c r="BM218" s="1899"/>
      <c r="BN218" s="1361" t="str">
        <f t="shared" si="120"/>
        <v/>
      </c>
      <c r="BO218" s="1362">
        <f t="shared" si="98"/>
        <v>0</v>
      </c>
      <c r="BP218" s="1362">
        <f t="shared" si="99"/>
        <v>0</v>
      </c>
      <c r="BQ218" s="1362">
        <f t="shared" si="123"/>
        <v>0</v>
      </c>
      <c r="BR218" s="1363">
        <f t="shared" si="100"/>
        <v>0</v>
      </c>
      <c r="BT218" s="1414"/>
      <c r="BX218" s="1364"/>
      <c r="BY218" s="1364"/>
      <c r="BZ218" s="1364"/>
      <c r="CA218" s="1364"/>
      <c r="CB218" s="1364"/>
      <c r="CC218" s="1365"/>
      <c r="CD218" s="1365"/>
      <c r="CE218" s="1365"/>
      <c r="CF218" s="1365"/>
      <c r="CG218" s="1365"/>
      <c r="CH218" s="1366"/>
      <c r="CI218" s="1366"/>
      <c r="CJ218" s="1366"/>
      <c r="CK218" s="1366"/>
      <c r="CL218" s="1365"/>
      <c r="CM218" s="1366"/>
      <c r="CN218" s="1366"/>
      <c r="CO218" s="1366"/>
      <c r="CP218" s="1366"/>
      <c r="CQ218" s="1366"/>
      <c r="CR218" s="1366"/>
      <c r="CS218" s="1365"/>
      <c r="CT218" s="1365"/>
      <c r="CU218" s="1365"/>
      <c r="CV218" s="1365"/>
      <c r="CW218" s="1365"/>
      <c r="CX218" s="1365"/>
      <c r="CY218" s="1365"/>
      <c r="CZ218" s="1365"/>
      <c r="DA218" s="1365"/>
      <c r="DB218" s="1365"/>
      <c r="DC218" s="1365"/>
      <c r="DD218" s="1365"/>
      <c r="DE218" s="1365"/>
      <c r="DF218" s="1365"/>
      <c r="DG218" s="1365"/>
      <c r="DH218" s="1365"/>
      <c r="DI218" s="1365"/>
      <c r="DJ218" s="1365"/>
      <c r="DK218" s="1365"/>
      <c r="DL218" s="1365"/>
      <c r="DM218" s="1365"/>
      <c r="DN218" s="1365"/>
      <c r="DO218" s="1365"/>
      <c r="DP218" s="1365"/>
      <c r="DQ218" s="1365"/>
      <c r="DR218" s="1365"/>
      <c r="DS218" s="1365"/>
      <c r="DT218" s="1365"/>
    </row>
    <row r="219" spans="1:124">
      <c r="A219" s="1118">
        <f t="shared" ca="1" si="91"/>
        <v>1</v>
      </c>
      <c r="B219" s="1890">
        <f t="shared" si="101"/>
        <v>0</v>
      </c>
      <c r="C219" s="2160">
        <f t="shared" si="113"/>
        <v>0</v>
      </c>
      <c r="D219" s="2161">
        <f t="shared" si="114"/>
        <v>0</v>
      </c>
      <c r="E219" s="2162">
        <f t="shared" si="102"/>
        <v>0</v>
      </c>
      <c r="F219" s="2162">
        <f t="shared" si="124"/>
        <v>0</v>
      </c>
      <c r="G219" s="2162">
        <f t="shared" si="125"/>
        <v>0</v>
      </c>
      <c r="H219" s="2162">
        <f t="shared" si="115"/>
        <v>0</v>
      </c>
      <c r="I219" s="2162">
        <f t="shared" si="122"/>
        <v>0</v>
      </c>
      <c r="J219" s="2162">
        <f t="shared" si="92"/>
        <v>0</v>
      </c>
      <c r="K219" s="2162">
        <f t="shared" si="93"/>
        <v>0</v>
      </c>
      <c r="L219" s="2162">
        <f t="shared" si="103"/>
        <v>0</v>
      </c>
      <c r="M219" s="2162">
        <f t="shared" si="94"/>
        <v>0</v>
      </c>
      <c r="N219" s="2162">
        <f t="shared" si="104"/>
        <v>0</v>
      </c>
      <c r="O219" s="2163"/>
      <c r="AG219" s="1756"/>
      <c r="AH219" s="1756"/>
      <c r="AI219" s="1756"/>
      <c r="AJ219" s="1989">
        <f t="shared" si="105"/>
        <v>10</v>
      </c>
      <c r="AK219" s="1900">
        <f t="shared" si="106"/>
        <v>0</v>
      </c>
      <c r="AL219" s="1907"/>
      <c r="AM219" s="1907"/>
      <c r="AN219" s="1901">
        <f t="shared" si="116"/>
        <v>0</v>
      </c>
      <c r="AO219" s="1906">
        <f t="shared" ca="1" si="107"/>
        <v>0</v>
      </c>
      <c r="AU219" s="1903">
        <f t="shared" si="117"/>
        <v>0</v>
      </c>
      <c r="AV219" s="1904">
        <f t="shared" si="108"/>
        <v>0</v>
      </c>
      <c r="AW219" s="1904">
        <f t="shared" si="109"/>
        <v>0</v>
      </c>
      <c r="AX219" s="1904"/>
      <c r="AY219" s="1904"/>
      <c r="AZ219" s="1904"/>
      <c r="BA219" s="1904"/>
      <c r="BB219" s="1897">
        <f t="shared" si="110"/>
        <v>0</v>
      </c>
      <c r="BC219" s="1897">
        <f t="shared" si="95"/>
        <v>0</v>
      </c>
      <c r="BD219" s="1898" t="e">
        <f>HLOOKUP($BD$63,anticipaplus,155,0)</f>
        <v>#N/A</v>
      </c>
      <c r="BE219" s="1899"/>
      <c r="BF219" s="1899"/>
      <c r="BG219" s="1360">
        <f t="shared" si="111"/>
        <v>0</v>
      </c>
      <c r="BH219" s="1361">
        <f t="shared" si="119"/>
        <v>154</v>
      </c>
      <c r="BI219" s="1362">
        <f t="shared" si="112"/>
        <v>0</v>
      </c>
      <c r="BJ219" s="1362">
        <f t="shared" si="96"/>
        <v>0</v>
      </c>
      <c r="BK219" s="1362">
        <f t="shared" si="118"/>
        <v>0</v>
      </c>
      <c r="BL219" s="1363">
        <f t="shared" si="97"/>
        <v>1000000</v>
      </c>
      <c r="BM219" s="1899"/>
      <c r="BN219" s="1361" t="str">
        <f t="shared" si="120"/>
        <v/>
      </c>
      <c r="BO219" s="1362">
        <f t="shared" si="98"/>
        <v>0</v>
      </c>
      <c r="BP219" s="1362">
        <f t="shared" si="99"/>
        <v>0</v>
      </c>
      <c r="BQ219" s="1362">
        <f t="shared" si="123"/>
        <v>0</v>
      </c>
      <c r="BR219" s="1363">
        <f t="shared" si="100"/>
        <v>0</v>
      </c>
      <c r="BT219" s="1414"/>
      <c r="BX219" s="1364"/>
      <c r="BY219" s="1364"/>
      <c r="BZ219" s="1364"/>
      <c r="CA219" s="1364"/>
      <c r="CB219" s="1364"/>
      <c r="CC219" s="1365"/>
      <c r="CD219" s="1365"/>
      <c r="CE219" s="1365"/>
      <c r="CF219" s="1365"/>
      <c r="CG219" s="1365"/>
      <c r="CH219" s="1366"/>
      <c r="CI219" s="1366"/>
      <c r="CJ219" s="1366"/>
      <c r="CK219" s="1366"/>
      <c r="CL219" s="1365"/>
      <c r="CM219" s="1366"/>
      <c r="CN219" s="1366"/>
      <c r="CO219" s="1366"/>
      <c r="CP219" s="1366"/>
      <c r="CQ219" s="1366"/>
      <c r="CR219" s="1366"/>
      <c r="CS219" s="1365"/>
      <c r="CT219" s="1365"/>
      <c r="CU219" s="1365"/>
      <c r="CV219" s="1365"/>
      <c r="CW219" s="1365"/>
      <c r="CX219" s="1365"/>
      <c r="CY219" s="1365"/>
      <c r="CZ219" s="1365"/>
      <c r="DA219" s="1365"/>
      <c r="DB219" s="1365"/>
      <c r="DC219" s="1365"/>
      <c r="DD219" s="1365"/>
      <c r="DE219" s="1365"/>
      <c r="DF219" s="1365"/>
      <c r="DG219" s="1365"/>
      <c r="DH219" s="1365"/>
      <c r="DI219" s="1365"/>
      <c r="DJ219" s="1365"/>
      <c r="DK219" s="1365"/>
      <c r="DL219" s="1365"/>
      <c r="DM219" s="1365"/>
      <c r="DN219" s="1365"/>
      <c r="DO219" s="1365"/>
      <c r="DP219" s="1365"/>
      <c r="DQ219" s="1365"/>
      <c r="DR219" s="1365"/>
      <c r="DS219" s="1365"/>
      <c r="DT219" s="1365"/>
    </row>
    <row r="220" spans="1:124">
      <c r="A220" s="1118">
        <f t="shared" ca="1" si="91"/>
        <v>2</v>
      </c>
      <c r="B220" s="1890">
        <f t="shared" si="101"/>
        <v>0</v>
      </c>
      <c r="C220" s="2160">
        <f t="shared" si="113"/>
        <v>0</v>
      </c>
      <c r="D220" s="2161">
        <f t="shared" si="114"/>
        <v>0</v>
      </c>
      <c r="E220" s="2162">
        <f t="shared" si="102"/>
        <v>0</v>
      </c>
      <c r="F220" s="2162">
        <f t="shared" si="124"/>
        <v>0</v>
      </c>
      <c r="G220" s="2162">
        <f t="shared" si="125"/>
        <v>0</v>
      </c>
      <c r="H220" s="2162">
        <f t="shared" si="115"/>
        <v>0</v>
      </c>
      <c r="I220" s="2162">
        <f t="shared" si="122"/>
        <v>0</v>
      </c>
      <c r="J220" s="2162">
        <f t="shared" si="92"/>
        <v>0</v>
      </c>
      <c r="K220" s="2162">
        <f t="shared" si="93"/>
        <v>0</v>
      </c>
      <c r="L220" s="2162">
        <f t="shared" si="103"/>
        <v>0</v>
      </c>
      <c r="M220" s="2162">
        <f t="shared" si="94"/>
        <v>0</v>
      </c>
      <c r="N220" s="2162">
        <f t="shared" si="104"/>
        <v>0</v>
      </c>
      <c r="O220" s="2163"/>
      <c r="AG220" s="1756"/>
      <c r="AH220" s="1756"/>
      <c r="AI220" s="1756"/>
      <c r="AJ220" s="1989">
        <f t="shared" si="105"/>
        <v>11</v>
      </c>
      <c r="AK220" s="1900">
        <f t="shared" si="106"/>
        <v>0</v>
      </c>
      <c r="AL220" s="1907"/>
      <c r="AM220" s="1907"/>
      <c r="AN220" s="1901">
        <f t="shared" si="116"/>
        <v>0</v>
      </c>
      <c r="AO220" s="1906">
        <f t="shared" ca="1" si="107"/>
        <v>0</v>
      </c>
      <c r="AU220" s="1903">
        <f t="shared" si="117"/>
        <v>0</v>
      </c>
      <c r="AV220" s="1904">
        <f t="shared" si="108"/>
        <v>0</v>
      </c>
      <c r="AW220" s="1904">
        <f t="shared" si="109"/>
        <v>0</v>
      </c>
      <c r="AX220" s="1904"/>
      <c r="AY220" s="1904"/>
      <c r="AZ220" s="1904"/>
      <c r="BA220" s="1904"/>
      <c r="BB220" s="1897">
        <f t="shared" si="110"/>
        <v>0</v>
      </c>
      <c r="BC220" s="1897">
        <f t="shared" si="95"/>
        <v>0</v>
      </c>
      <c r="BD220" s="1898" t="e">
        <f>HLOOKUP($BD$63,anticipaplus,156,0)</f>
        <v>#N/A</v>
      </c>
      <c r="BE220" s="1899"/>
      <c r="BF220" s="1899"/>
      <c r="BG220" s="1360">
        <f t="shared" si="111"/>
        <v>0</v>
      </c>
      <c r="BH220" s="1361">
        <f t="shared" si="119"/>
        <v>155</v>
      </c>
      <c r="BI220" s="1362">
        <f t="shared" si="112"/>
        <v>0</v>
      </c>
      <c r="BJ220" s="1362">
        <f t="shared" si="96"/>
        <v>0</v>
      </c>
      <c r="BK220" s="1362">
        <f t="shared" si="118"/>
        <v>0</v>
      </c>
      <c r="BL220" s="1363">
        <f t="shared" si="97"/>
        <v>1000000</v>
      </c>
      <c r="BM220" s="1899"/>
      <c r="BN220" s="1361" t="str">
        <f t="shared" si="120"/>
        <v/>
      </c>
      <c r="BO220" s="1362">
        <f t="shared" si="98"/>
        <v>0</v>
      </c>
      <c r="BP220" s="1362">
        <f t="shared" si="99"/>
        <v>0</v>
      </c>
      <c r="BQ220" s="1362">
        <f t="shared" si="123"/>
        <v>0</v>
      </c>
      <c r="BR220" s="1363">
        <f t="shared" si="100"/>
        <v>0</v>
      </c>
      <c r="BT220" s="1414"/>
      <c r="BX220" s="1364"/>
      <c r="BY220" s="1364"/>
      <c r="BZ220" s="1364"/>
      <c r="CA220" s="1364"/>
      <c r="CB220" s="1364"/>
      <c r="CC220" s="1365"/>
      <c r="CD220" s="1365"/>
      <c r="CE220" s="1365"/>
      <c r="CF220" s="1365"/>
      <c r="CG220" s="1365"/>
      <c r="CH220" s="1366"/>
      <c r="CI220" s="1366"/>
      <c r="CJ220" s="1366"/>
      <c r="CK220" s="1366"/>
      <c r="CL220" s="1365"/>
      <c r="CM220" s="1366"/>
      <c r="CN220" s="1366"/>
      <c r="CO220" s="1366"/>
      <c r="CP220" s="1366"/>
      <c r="CQ220" s="1366"/>
      <c r="CR220" s="1366"/>
      <c r="CS220" s="1365"/>
      <c r="CT220" s="1365"/>
      <c r="CU220" s="1365"/>
      <c r="CV220" s="1365"/>
      <c r="CW220" s="1365"/>
      <c r="CX220" s="1365"/>
      <c r="CY220" s="1365"/>
      <c r="CZ220" s="1365"/>
      <c r="DA220" s="1365"/>
      <c r="DB220" s="1365"/>
      <c r="DC220" s="1365"/>
      <c r="DD220" s="1365"/>
      <c r="DE220" s="1365"/>
      <c r="DF220" s="1365"/>
      <c r="DG220" s="1365"/>
      <c r="DH220" s="1365"/>
      <c r="DI220" s="1365"/>
      <c r="DJ220" s="1365"/>
      <c r="DK220" s="1365"/>
      <c r="DL220" s="1365"/>
      <c r="DM220" s="1365"/>
      <c r="DN220" s="1365"/>
      <c r="DO220" s="1365"/>
      <c r="DP220" s="1365"/>
      <c r="DQ220" s="1365"/>
      <c r="DR220" s="1365"/>
      <c r="DS220" s="1365"/>
      <c r="DT220" s="1365"/>
    </row>
    <row r="221" spans="1:124">
      <c r="A221" s="1118">
        <f t="shared" ca="1" si="91"/>
        <v>3</v>
      </c>
      <c r="B221" s="1890">
        <f t="shared" si="101"/>
        <v>0</v>
      </c>
      <c r="C221" s="2160">
        <f t="shared" si="113"/>
        <v>0</v>
      </c>
      <c r="D221" s="2161">
        <f t="shared" si="114"/>
        <v>0</v>
      </c>
      <c r="E221" s="2162">
        <f t="shared" si="102"/>
        <v>0</v>
      </c>
      <c r="F221" s="2162">
        <f t="shared" si="124"/>
        <v>0</v>
      </c>
      <c r="G221" s="2162">
        <f t="shared" si="125"/>
        <v>0</v>
      </c>
      <c r="H221" s="2162">
        <f t="shared" si="115"/>
        <v>0</v>
      </c>
      <c r="I221" s="2162">
        <f t="shared" si="122"/>
        <v>0</v>
      </c>
      <c r="J221" s="2162">
        <f t="shared" si="92"/>
        <v>0</v>
      </c>
      <c r="K221" s="2162">
        <f t="shared" si="93"/>
        <v>0</v>
      </c>
      <c r="L221" s="2162">
        <f t="shared" si="103"/>
        <v>0</v>
      </c>
      <c r="M221" s="2162">
        <f t="shared" si="94"/>
        <v>0</v>
      </c>
      <c r="N221" s="2162">
        <f t="shared" si="104"/>
        <v>0</v>
      </c>
      <c r="O221" s="2163"/>
      <c r="AG221" s="1756"/>
      <c r="AH221" s="1756"/>
      <c r="AI221" s="1756"/>
      <c r="AJ221" s="1989">
        <f t="shared" si="105"/>
        <v>12</v>
      </c>
      <c r="AK221" s="1900">
        <f t="shared" si="106"/>
        <v>0</v>
      </c>
      <c r="AL221" s="1907"/>
      <c r="AM221" s="1907"/>
      <c r="AN221" s="1901">
        <f t="shared" si="116"/>
        <v>0</v>
      </c>
      <c r="AO221" s="1906">
        <f t="shared" ca="1" si="107"/>
        <v>0</v>
      </c>
      <c r="AU221" s="1903">
        <f t="shared" si="117"/>
        <v>0</v>
      </c>
      <c r="AV221" s="1904">
        <f t="shared" si="108"/>
        <v>0</v>
      </c>
      <c r="AW221" s="1904">
        <f t="shared" si="109"/>
        <v>0</v>
      </c>
      <c r="AX221" s="1904"/>
      <c r="AY221" s="1904"/>
      <c r="AZ221" s="1904"/>
      <c r="BA221" s="1904"/>
      <c r="BB221" s="1897">
        <f t="shared" si="110"/>
        <v>0</v>
      </c>
      <c r="BC221" s="1897">
        <f t="shared" si="95"/>
        <v>0</v>
      </c>
      <c r="BD221" s="1898" t="e">
        <f>HLOOKUP($BD$63,anticipaplus,157,0)</f>
        <v>#N/A</v>
      </c>
      <c r="BE221" s="1899"/>
      <c r="BF221" s="1899"/>
      <c r="BG221" s="1360">
        <f t="shared" si="111"/>
        <v>0</v>
      </c>
      <c r="BH221" s="1361">
        <f t="shared" si="119"/>
        <v>156</v>
      </c>
      <c r="BI221" s="1362">
        <f t="shared" si="112"/>
        <v>0</v>
      </c>
      <c r="BJ221" s="1362">
        <f t="shared" si="96"/>
        <v>0</v>
      </c>
      <c r="BK221" s="1362">
        <f t="shared" si="118"/>
        <v>0</v>
      </c>
      <c r="BL221" s="1363">
        <f t="shared" si="97"/>
        <v>1000000</v>
      </c>
      <c r="BM221" s="1899"/>
      <c r="BN221" s="1361" t="str">
        <f t="shared" si="120"/>
        <v/>
      </c>
      <c r="BO221" s="1362">
        <f t="shared" si="98"/>
        <v>0</v>
      </c>
      <c r="BP221" s="1362">
        <f t="shared" si="99"/>
        <v>0</v>
      </c>
      <c r="BQ221" s="1362">
        <f t="shared" si="123"/>
        <v>0</v>
      </c>
      <c r="BR221" s="1363">
        <f t="shared" si="100"/>
        <v>0</v>
      </c>
      <c r="BT221" s="1414"/>
      <c r="BX221" s="1364"/>
      <c r="BY221" s="1364"/>
      <c r="BZ221" s="1364"/>
      <c r="CA221" s="1364"/>
      <c r="CB221" s="1364"/>
      <c r="CC221" s="1365"/>
      <c r="CD221" s="1365"/>
      <c r="CE221" s="1365"/>
      <c r="CF221" s="1365"/>
      <c r="CG221" s="1365"/>
      <c r="CH221" s="1366"/>
      <c r="CI221" s="1366"/>
      <c r="CJ221" s="1366"/>
      <c r="CK221" s="1366"/>
      <c r="CL221" s="1365"/>
      <c r="CM221" s="1366"/>
      <c r="CN221" s="1366"/>
      <c r="CO221" s="1366"/>
      <c r="CP221" s="1366"/>
      <c r="CQ221" s="1366"/>
      <c r="CR221" s="1366"/>
      <c r="CS221" s="1365"/>
      <c r="CT221" s="1365"/>
      <c r="CU221" s="1365"/>
      <c r="CV221" s="1365"/>
      <c r="CW221" s="1365"/>
      <c r="CX221" s="1365"/>
      <c r="CY221" s="1365"/>
      <c r="CZ221" s="1365"/>
      <c r="DA221" s="1365"/>
      <c r="DB221" s="1365"/>
      <c r="DC221" s="1365"/>
      <c r="DD221" s="1365"/>
      <c r="DE221" s="1365"/>
      <c r="DF221" s="1365"/>
      <c r="DG221" s="1365"/>
      <c r="DH221" s="1365"/>
      <c r="DI221" s="1365"/>
      <c r="DJ221" s="1365"/>
      <c r="DK221" s="1365"/>
      <c r="DL221" s="1365"/>
      <c r="DM221" s="1365"/>
      <c r="DN221" s="1365"/>
      <c r="DO221" s="1365"/>
      <c r="DP221" s="1365"/>
      <c r="DQ221" s="1365"/>
      <c r="DR221" s="1365"/>
      <c r="DS221" s="1365"/>
      <c r="DT221" s="1365"/>
    </row>
    <row r="222" spans="1:124">
      <c r="A222" s="1118">
        <f t="shared" ca="1" si="91"/>
        <v>4</v>
      </c>
      <c r="B222" s="1890">
        <f t="shared" si="101"/>
        <v>0</v>
      </c>
      <c r="C222" s="2160">
        <f t="shared" si="113"/>
        <v>0</v>
      </c>
      <c r="D222" s="2161">
        <f t="shared" si="114"/>
        <v>0</v>
      </c>
      <c r="E222" s="2162">
        <f t="shared" si="102"/>
        <v>0</v>
      </c>
      <c r="F222" s="2162">
        <f t="shared" si="124"/>
        <v>0</v>
      </c>
      <c r="G222" s="2162">
        <f t="shared" si="125"/>
        <v>0</v>
      </c>
      <c r="H222" s="2162">
        <f t="shared" si="115"/>
        <v>0</v>
      </c>
      <c r="I222" s="2162">
        <f t="shared" si="122"/>
        <v>0</v>
      </c>
      <c r="J222" s="2162">
        <f t="shared" si="92"/>
        <v>0</v>
      </c>
      <c r="K222" s="2162">
        <f t="shared" si="93"/>
        <v>0</v>
      </c>
      <c r="L222" s="2162">
        <f t="shared" si="103"/>
        <v>0</v>
      </c>
      <c r="M222" s="2162">
        <f t="shared" si="94"/>
        <v>0</v>
      </c>
      <c r="N222" s="2162">
        <f t="shared" si="104"/>
        <v>0</v>
      </c>
      <c r="O222" s="2163"/>
      <c r="AG222" s="1756"/>
      <c r="AH222" s="1756"/>
      <c r="AI222" s="1756"/>
      <c r="AJ222" s="1989">
        <f t="shared" si="105"/>
        <v>1</v>
      </c>
      <c r="AK222" s="1900">
        <f t="shared" si="106"/>
        <v>0</v>
      </c>
      <c r="AL222" s="1907"/>
      <c r="AM222" s="1907"/>
      <c r="AN222" s="1901">
        <f t="shared" si="116"/>
        <v>0</v>
      </c>
      <c r="AO222" s="1906">
        <f t="shared" ca="1" si="107"/>
        <v>0</v>
      </c>
      <c r="AU222" s="1903">
        <f t="shared" si="117"/>
        <v>0</v>
      </c>
      <c r="AV222" s="1904">
        <f t="shared" si="108"/>
        <v>0</v>
      </c>
      <c r="AW222" s="1904">
        <f t="shared" si="109"/>
        <v>0</v>
      </c>
      <c r="AX222" s="1904"/>
      <c r="AY222" s="1904"/>
      <c r="AZ222" s="1904"/>
      <c r="BA222" s="1904"/>
      <c r="BB222" s="1897">
        <f t="shared" si="110"/>
        <v>0</v>
      </c>
      <c r="BC222" s="1897">
        <f t="shared" si="95"/>
        <v>0</v>
      </c>
      <c r="BD222" s="1898" t="e">
        <f>HLOOKUP($BD$63,anticipaplus,158,0)</f>
        <v>#N/A</v>
      </c>
      <c r="BE222" s="1899"/>
      <c r="BF222" s="1899"/>
      <c r="BG222" s="1360">
        <f t="shared" si="111"/>
        <v>0</v>
      </c>
      <c r="BH222" s="1377">
        <f t="shared" si="119"/>
        <v>157</v>
      </c>
      <c r="BI222" s="1378">
        <f t="shared" si="112"/>
        <v>0</v>
      </c>
      <c r="BJ222" s="1378">
        <f t="shared" si="96"/>
        <v>0</v>
      </c>
      <c r="BK222" s="1378">
        <f>MIN(BL221+BI222,BK221*(1+$BI$61))</f>
        <v>0</v>
      </c>
      <c r="BL222" s="1363">
        <f t="shared" si="97"/>
        <v>1000000</v>
      </c>
      <c r="BM222" s="1899"/>
      <c r="BN222" s="1379" t="str">
        <f t="shared" si="120"/>
        <v/>
      </c>
      <c r="BO222" s="1380">
        <f t="shared" si="98"/>
        <v>0</v>
      </c>
      <c r="BP222" s="1380">
        <f t="shared" si="99"/>
        <v>0</v>
      </c>
      <c r="BQ222" s="1380">
        <f>MIN(BR221+BO222,BQ221*(1+$BO$61))</f>
        <v>0</v>
      </c>
      <c r="BR222" s="1363">
        <f t="shared" si="100"/>
        <v>0</v>
      </c>
      <c r="BT222" s="1414"/>
      <c r="BX222" s="1364"/>
      <c r="BY222" s="1364"/>
      <c r="BZ222" s="1364"/>
      <c r="CA222" s="1364"/>
      <c r="CB222" s="1364"/>
      <c r="CC222" s="1365"/>
      <c r="CD222" s="1365"/>
      <c r="CE222" s="1365"/>
      <c r="CF222" s="1365"/>
      <c r="CG222" s="1365"/>
      <c r="CH222" s="1366"/>
      <c r="CI222" s="1366"/>
      <c r="CJ222" s="1366"/>
      <c r="CK222" s="1366"/>
      <c r="CL222" s="1365"/>
      <c r="CM222" s="1366"/>
      <c r="CN222" s="1366"/>
      <c r="CO222" s="1366"/>
      <c r="CP222" s="1366"/>
      <c r="CQ222" s="1366"/>
      <c r="CR222" s="1366"/>
      <c r="CS222" s="1365"/>
      <c r="CT222" s="1365"/>
      <c r="CU222" s="1365"/>
      <c r="CV222" s="1365"/>
      <c r="CW222" s="1365"/>
      <c r="CX222" s="1365"/>
      <c r="CY222" s="1365"/>
      <c r="CZ222" s="1365"/>
      <c r="DA222" s="1365"/>
      <c r="DB222" s="1365"/>
      <c r="DC222" s="1365"/>
      <c r="DD222" s="1365"/>
      <c r="DE222" s="1365"/>
      <c r="DF222" s="1365"/>
      <c r="DG222" s="1365"/>
      <c r="DH222" s="1365"/>
      <c r="DI222" s="1365"/>
      <c r="DJ222" s="1365"/>
      <c r="DK222" s="1365"/>
      <c r="DL222" s="1365"/>
      <c r="DM222" s="1365"/>
      <c r="DN222" s="1365"/>
      <c r="DO222" s="1365"/>
      <c r="DP222" s="1365"/>
      <c r="DQ222" s="1365"/>
      <c r="DR222" s="1365"/>
      <c r="DS222" s="1365"/>
      <c r="DT222" s="1365"/>
    </row>
    <row r="223" spans="1:124">
      <c r="A223" s="1118">
        <f t="shared" ca="1" si="91"/>
        <v>5</v>
      </c>
      <c r="B223" s="1890">
        <f t="shared" si="101"/>
        <v>0</v>
      </c>
      <c r="C223" s="2160">
        <f t="shared" si="113"/>
        <v>0</v>
      </c>
      <c r="D223" s="2161">
        <f t="shared" si="114"/>
        <v>0</v>
      </c>
      <c r="E223" s="2162">
        <f t="shared" si="102"/>
        <v>0</v>
      </c>
      <c r="F223" s="2162">
        <f t="shared" si="124"/>
        <v>0</v>
      </c>
      <c r="G223" s="2162">
        <f t="shared" si="125"/>
        <v>0</v>
      </c>
      <c r="H223" s="2162">
        <f t="shared" si="115"/>
        <v>0</v>
      </c>
      <c r="I223" s="2162">
        <f t="shared" si="122"/>
        <v>0</v>
      </c>
      <c r="J223" s="2162">
        <f t="shared" si="92"/>
        <v>0</v>
      </c>
      <c r="K223" s="2162">
        <f t="shared" si="93"/>
        <v>0</v>
      </c>
      <c r="L223" s="2162">
        <f t="shared" si="103"/>
        <v>0</v>
      </c>
      <c r="M223" s="2162">
        <f t="shared" si="94"/>
        <v>0</v>
      </c>
      <c r="N223" s="2162">
        <f t="shared" si="104"/>
        <v>0</v>
      </c>
      <c r="O223" s="2163"/>
      <c r="AG223" s="1756"/>
      <c r="AH223" s="1756"/>
      <c r="AI223" s="1756"/>
      <c r="AJ223" s="1989">
        <f t="shared" si="105"/>
        <v>2</v>
      </c>
      <c r="AK223" s="1900">
        <f t="shared" si="106"/>
        <v>0</v>
      </c>
      <c r="AL223" s="1907"/>
      <c r="AM223" s="1907"/>
      <c r="AN223" s="1901">
        <f t="shared" si="116"/>
        <v>0</v>
      </c>
      <c r="AO223" s="1906">
        <f t="shared" ca="1" si="107"/>
        <v>0</v>
      </c>
      <c r="AU223" s="1903">
        <f t="shared" si="117"/>
        <v>0</v>
      </c>
      <c r="AV223" s="1904">
        <f t="shared" si="108"/>
        <v>0</v>
      </c>
      <c r="AW223" s="1904">
        <f t="shared" si="109"/>
        <v>0</v>
      </c>
      <c r="AX223" s="1904"/>
      <c r="AY223" s="1904"/>
      <c r="AZ223" s="1904"/>
      <c r="BA223" s="1904"/>
      <c r="BB223" s="1897">
        <f t="shared" si="110"/>
        <v>0</v>
      </c>
      <c r="BC223" s="1897">
        <f t="shared" si="95"/>
        <v>0</v>
      </c>
      <c r="BD223" s="1898" t="e">
        <f>HLOOKUP($BD$63,anticipaplus,159,0)</f>
        <v>#N/A</v>
      </c>
      <c r="BE223" s="1899"/>
      <c r="BF223" s="1899"/>
      <c r="BG223" s="1360">
        <f t="shared" si="111"/>
        <v>0</v>
      </c>
      <c r="BH223" s="1361">
        <f t="shared" si="119"/>
        <v>158</v>
      </c>
      <c r="BI223" s="1362">
        <f t="shared" si="112"/>
        <v>0</v>
      </c>
      <c r="BJ223" s="1362">
        <f t="shared" si="96"/>
        <v>0</v>
      </c>
      <c r="BK223" s="1362">
        <f t="shared" si="118"/>
        <v>0</v>
      </c>
      <c r="BL223" s="1363">
        <f t="shared" si="97"/>
        <v>1000000</v>
      </c>
      <c r="BM223" s="1899"/>
      <c r="BN223" s="1361" t="str">
        <f t="shared" si="120"/>
        <v/>
      </c>
      <c r="BO223" s="1362">
        <f t="shared" si="98"/>
        <v>0</v>
      </c>
      <c r="BP223" s="1362">
        <f t="shared" si="99"/>
        <v>0</v>
      </c>
      <c r="BQ223" s="1362">
        <f t="shared" ref="BQ223:BQ233" si="126">MIN(BR222+BO223,BQ222)</f>
        <v>0</v>
      </c>
      <c r="BR223" s="1363">
        <f t="shared" si="100"/>
        <v>0</v>
      </c>
      <c r="BT223" s="1414"/>
      <c r="BX223" s="1364"/>
      <c r="BY223" s="1364"/>
      <c r="BZ223" s="1364"/>
      <c r="CA223" s="1364"/>
      <c r="CB223" s="1364"/>
      <c r="CC223" s="1365"/>
      <c r="CD223" s="1365"/>
      <c r="CE223" s="1365"/>
      <c r="CF223" s="1365"/>
      <c r="CG223" s="1365"/>
      <c r="CH223" s="1366"/>
      <c r="CI223" s="1366"/>
      <c r="CJ223" s="1366"/>
      <c r="CK223" s="1366"/>
      <c r="CL223" s="1365"/>
      <c r="CM223" s="1366"/>
      <c r="CN223" s="1366"/>
      <c r="CO223" s="1366"/>
      <c r="CP223" s="1366"/>
      <c r="CQ223" s="1366"/>
      <c r="CR223" s="1366"/>
      <c r="CS223" s="1365"/>
      <c r="CT223" s="1365"/>
      <c r="CU223" s="1365"/>
      <c r="CV223" s="1365"/>
      <c r="CW223" s="1365"/>
      <c r="CX223" s="1365"/>
      <c r="CY223" s="1365"/>
      <c r="CZ223" s="1365"/>
      <c r="DA223" s="1365"/>
      <c r="DB223" s="1365"/>
      <c r="DC223" s="1365"/>
      <c r="DD223" s="1365"/>
      <c r="DE223" s="1365"/>
      <c r="DF223" s="1365"/>
      <c r="DG223" s="1365"/>
      <c r="DH223" s="1365"/>
      <c r="DI223" s="1365"/>
      <c r="DJ223" s="1365"/>
      <c r="DK223" s="1365"/>
      <c r="DL223" s="1365"/>
      <c r="DM223" s="1365"/>
      <c r="DN223" s="1365"/>
      <c r="DO223" s="1365"/>
      <c r="DP223" s="1365"/>
      <c r="DQ223" s="1365"/>
      <c r="DR223" s="1365"/>
      <c r="DS223" s="1365"/>
      <c r="DT223" s="1365"/>
    </row>
    <row r="224" spans="1:124">
      <c r="A224" s="1118">
        <f t="shared" ca="1" si="91"/>
        <v>6</v>
      </c>
      <c r="B224" s="1890">
        <f t="shared" si="101"/>
        <v>0</v>
      </c>
      <c r="C224" s="2160">
        <f t="shared" si="113"/>
        <v>0</v>
      </c>
      <c r="D224" s="2161">
        <f t="shared" si="114"/>
        <v>0</v>
      </c>
      <c r="E224" s="2162">
        <f t="shared" si="102"/>
        <v>0</v>
      </c>
      <c r="F224" s="2162">
        <f t="shared" si="124"/>
        <v>0</v>
      </c>
      <c r="G224" s="2162">
        <f t="shared" si="125"/>
        <v>0</v>
      </c>
      <c r="H224" s="2162">
        <f t="shared" si="115"/>
        <v>0</v>
      </c>
      <c r="I224" s="2162">
        <f t="shared" si="122"/>
        <v>0</v>
      </c>
      <c r="J224" s="2162">
        <f t="shared" si="92"/>
        <v>0</v>
      </c>
      <c r="K224" s="2162">
        <f t="shared" si="93"/>
        <v>0</v>
      </c>
      <c r="L224" s="2162">
        <f t="shared" si="103"/>
        <v>0</v>
      </c>
      <c r="M224" s="2162">
        <f t="shared" si="94"/>
        <v>0</v>
      </c>
      <c r="N224" s="2162">
        <f t="shared" si="104"/>
        <v>0</v>
      </c>
      <c r="O224" s="2163"/>
      <c r="AG224" s="1756"/>
      <c r="AH224" s="1756"/>
      <c r="AI224" s="1756"/>
      <c r="AJ224" s="1989">
        <f t="shared" si="105"/>
        <v>3</v>
      </c>
      <c r="AK224" s="1900">
        <f t="shared" si="106"/>
        <v>0</v>
      </c>
      <c r="AL224" s="1907"/>
      <c r="AM224" s="1907"/>
      <c r="AN224" s="1901">
        <f t="shared" si="116"/>
        <v>0</v>
      </c>
      <c r="AO224" s="1906">
        <f t="shared" ca="1" si="107"/>
        <v>0</v>
      </c>
      <c r="AU224" s="1903">
        <f t="shared" si="117"/>
        <v>0</v>
      </c>
      <c r="AV224" s="1904">
        <f t="shared" si="108"/>
        <v>0</v>
      </c>
      <c r="AW224" s="1904">
        <f t="shared" si="109"/>
        <v>0</v>
      </c>
      <c r="AX224" s="1904"/>
      <c r="AY224" s="1904"/>
      <c r="AZ224" s="1904"/>
      <c r="BA224" s="1904"/>
      <c r="BB224" s="1897">
        <f t="shared" si="110"/>
        <v>0</v>
      </c>
      <c r="BC224" s="1897">
        <f t="shared" si="95"/>
        <v>0</v>
      </c>
      <c r="BD224" s="1898" t="e">
        <f>HLOOKUP($BD$63,anticipaplus,160,0)</f>
        <v>#N/A</v>
      </c>
      <c r="BE224" s="1899"/>
      <c r="BF224" s="1899"/>
      <c r="BG224" s="1360">
        <f t="shared" si="111"/>
        <v>0</v>
      </c>
      <c r="BH224" s="1361">
        <f t="shared" si="119"/>
        <v>159</v>
      </c>
      <c r="BI224" s="1362">
        <f t="shared" si="112"/>
        <v>0</v>
      </c>
      <c r="BJ224" s="1362">
        <f t="shared" si="96"/>
        <v>0</v>
      </c>
      <c r="BK224" s="1362">
        <f t="shared" si="118"/>
        <v>0</v>
      </c>
      <c r="BL224" s="1363">
        <f t="shared" si="97"/>
        <v>1000000</v>
      </c>
      <c r="BM224" s="1899"/>
      <c r="BN224" s="1361" t="str">
        <f t="shared" si="120"/>
        <v/>
      </c>
      <c r="BO224" s="1362">
        <f t="shared" si="98"/>
        <v>0</v>
      </c>
      <c r="BP224" s="1362">
        <f t="shared" si="99"/>
        <v>0</v>
      </c>
      <c r="BQ224" s="1362">
        <f t="shared" si="126"/>
        <v>0</v>
      </c>
      <c r="BR224" s="1363">
        <f t="shared" si="100"/>
        <v>0</v>
      </c>
      <c r="BT224" s="1414"/>
      <c r="BX224" s="1364"/>
      <c r="BY224" s="1364"/>
      <c r="BZ224" s="1364"/>
      <c r="CA224" s="1364"/>
      <c r="CB224" s="1364"/>
      <c r="CC224" s="1365"/>
      <c r="CD224" s="1365"/>
      <c r="CE224" s="1365"/>
      <c r="CF224" s="1365"/>
      <c r="CG224" s="1365"/>
      <c r="CH224" s="1366"/>
      <c r="CI224" s="1366"/>
      <c r="CJ224" s="1366"/>
      <c r="CK224" s="1366"/>
      <c r="CL224" s="1365"/>
      <c r="CM224" s="1366"/>
      <c r="CN224" s="1366"/>
      <c r="CO224" s="1366"/>
      <c r="CP224" s="1366"/>
      <c r="CQ224" s="1366"/>
      <c r="CR224" s="1366"/>
      <c r="CS224" s="1365"/>
      <c r="CT224" s="1365"/>
      <c r="CU224" s="1365"/>
      <c r="CV224" s="1365"/>
      <c r="CW224" s="1365"/>
      <c r="CX224" s="1365"/>
      <c r="CY224" s="1365"/>
      <c r="CZ224" s="1365"/>
      <c r="DA224" s="1365"/>
      <c r="DB224" s="1365"/>
      <c r="DC224" s="1365"/>
      <c r="DD224" s="1365"/>
      <c r="DE224" s="1365"/>
      <c r="DF224" s="1365"/>
      <c r="DG224" s="1365"/>
      <c r="DH224" s="1365"/>
      <c r="DI224" s="1365"/>
      <c r="DJ224" s="1365"/>
      <c r="DK224" s="1365"/>
      <c r="DL224" s="1365"/>
      <c r="DM224" s="1365"/>
      <c r="DN224" s="1365"/>
      <c r="DO224" s="1365"/>
      <c r="DP224" s="1365"/>
      <c r="DQ224" s="1365"/>
      <c r="DR224" s="1365"/>
      <c r="DS224" s="1365"/>
      <c r="DT224" s="1365"/>
    </row>
    <row r="225" spans="1:124">
      <c r="A225" s="1118">
        <f t="shared" ca="1" si="91"/>
        <v>7</v>
      </c>
      <c r="B225" s="1890">
        <f t="shared" si="101"/>
        <v>0</v>
      </c>
      <c r="C225" s="2160">
        <f t="shared" si="113"/>
        <v>0</v>
      </c>
      <c r="D225" s="2161">
        <f t="shared" si="114"/>
        <v>0</v>
      </c>
      <c r="E225" s="2162">
        <f t="shared" si="102"/>
        <v>0</v>
      </c>
      <c r="F225" s="2162">
        <f t="shared" si="124"/>
        <v>0</v>
      </c>
      <c r="G225" s="2162">
        <f t="shared" si="125"/>
        <v>0</v>
      </c>
      <c r="H225" s="2162">
        <f t="shared" si="115"/>
        <v>0</v>
      </c>
      <c r="I225" s="2162">
        <f t="shared" si="122"/>
        <v>0</v>
      </c>
      <c r="J225" s="2162">
        <f t="shared" si="92"/>
        <v>0</v>
      </c>
      <c r="K225" s="2162">
        <f t="shared" si="93"/>
        <v>0</v>
      </c>
      <c r="L225" s="2162">
        <f t="shared" si="103"/>
        <v>0</v>
      </c>
      <c r="M225" s="2162">
        <f t="shared" si="94"/>
        <v>0</v>
      </c>
      <c r="N225" s="2162">
        <f t="shared" si="104"/>
        <v>0</v>
      </c>
      <c r="O225" s="2163"/>
      <c r="AG225" s="1756"/>
      <c r="AH225" s="1756"/>
      <c r="AI225" s="1756"/>
      <c r="AJ225" s="1989">
        <f t="shared" si="105"/>
        <v>4</v>
      </c>
      <c r="AK225" s="1900">
        <f t="shared" si="106"/>
        <v>0</v>
      </c>
      <c r="AL225" s="1907"/>
      <c r="AM225" s="1907"/>
      <c r="AN225" s="1901">
        <f t="shared" si="116"/>
        <v>0</v>
      </c>
      <c r="AO225" s="1906">
        <f t="shared" ca="1" si="107"/>
        <v>0</v>
      </c>
      <c r="AU225" s="1903">
        <f t="shared" si="117"/>
        <v>0</v>
      </c>
      <c r="AV225" s="1904">
        <f t="shared" si="108"/>
        <v>0</v>
      </c>
      <c r="AW225" s="1904">
        <f t="shared" si="109"/>
        <v>0</v>
      </c>
      <c r="AX225" s="1904"/>
      <c r="AY225" s="1904"/>
      <c r="AZ225" s="1904"/>
      <c r="BA225" s="1904"/>
      <c r="BB225" s="1897">
        <f t="shared" si="110"/>
        <v>0</v>
      </c>
      <c r="BC225" s="1897">
        <f t="shared" si="95"/>
        <v>0</v>
      </c>
      <c r="BD225" s="1898" t="e">
        <f>HLOOKUP($BD$63,anticipaplus,161,0)</f>
        <v>#N/A</v>
      </c>
      <c r="BE225" s="1899"/>
      <c r="BF225" s="1899"/>
      <c r="BG225" s="1360">
        <f t="shared" si="111"/>
        <v>0</v>
      </c>
      <c r="BH225" s="1361">
        <f t="shared" si="119"/>
        <v>160</v>
      </c>
      <c r="BI225" s="1362">
        <f t="shared" si="112"/>
        <v>0</v>
      </c>
      <c r="BJ225" s="1362">
        <f t="shared" si="96"/>
        <v>0</v>
      </c>
      <c r="BK225" s="1362">
        <f t="shared" si="118"/>
        <v>0</v>
      </c>
      <c r="BL225" s="1363">
        <f t="shared" si="97"/>
        <v>1000000</v>
      </c>
      <c r="BM225" s="1899"/>
      <c r="BN225" s="1361" t="str">
        <f t="shared" si="120"/>
        <v/>
      </c>
      <c r="BO225" s="1362">
        <f t="shared" si="98"/>
        <v>0</v>
      </c>
      <c r="BP225" s="1362">
        <f t="shared" si="99"/>
        <v>0</v>
      </c>
      <c r="BQ225" s="1362">
        <f t="shared" si="126"/>
        <v>0</v>
      </c>
      <c r="BR225" s="1363">
        <f t="shared" si="100"/>
        <v>0</v>
      </c>
      <c r="BT225" s="1414"/>
      <c r="BX225" s="1364"/>
      <c r="BY225" s="1364"/>
      <c r="BZ225" s="1364"/>
      <c r="CA225" s="1364"/>
      <c r="CB225" s="1364"/>
      <c r="CC225" s="1365"/>
      <c r="CD225" s="1365"/>
      <c r="CE225" s="1365"/>
      <c r="CF225" s="1365"/>
      <c r="CG225" s="1365"/>
      <c r="CH225" s="1366"/>
      <c r="CI225" s="1366"/>
      <c r="CJ225" s="1366"/>
      <c r="CK225" s="1366"/>
      <c r="CL225" s="1365"/>
      <c r="CM225" s="1366"/>
      <c r="CN225" s="1366"/>
      <c r="CO225" s="1366"/>
      <c r="CP225" s="1366"/>
      <c r="CQ225" s="1366"/>
      <c r="CR225" s="1366"/>
      <c r="CS225" s="1365"/>
      <c r="CT225" s="1365"/>
      <c r="CU225" s="1365"/>
      <c r="CV225" s="1365"/>
      <c r="CW225" s="1365"/>
      <c r="CX225" s="1365"/>
      <c r="CY225" s="1365"/>
      <c r="CZ225" s="1365"/>
      <c r="DA225" s="1365"/>
      <c r="DB225" s="1365"/>
      <c r="DC225" s="1365"/>
      <c r="DD225" s="1365"/>
      <c r="DE225" s="1365"/>
      <c r="DF225" s="1365"/>
      <c r="DG225" s="1365"/>
      <c r="DH225" s="1365"/>
      <c r="DI225" s="1365"/>
      <c r="DJ225" s="1365"/>
      <c r="DK225" s="1365"/>
      <c r="DL225" s="1365"/>
      <c r="DM225" s="1365"/>
      <c r="DN225" s="1365"/>
      <c r="DO225" s="1365"/>
      <c r="DP225" s="1365"/>
      <c r="DQ225" s="1365"/>
      <c r="DR225" s="1365"/>
      <c r="DS225" s="1365"/>
      <c r="DT225" s="1365"/>
    </row>
    <row r="226" spans="1:124">
      <c r="A226" s="1118">
        <f t="shared" ca="1" si="91"/>
        <v>8</v>
      </c>
      <c r="B226" s="1890">
        <f t="shared" si="101"/>
        <v>0</v>
      </c>
      <c r="C226" s="2160">
        <f t="shared" si="113"/>
        <v>0</v>
      </c>
      <c r="D226" s="2161">
        <f t="shared" si="114"/>
        <v>0</v>
      </c>
      <c r="E226" s="2162">
        <f t="shared" si="102"/>
        <v>0</v>
      </c>
      <c r="F226" s="2162">
        <f t="shared" si="124"/>
        <v>0</v>
      </c>
      <c r="G226" s="2162">
        <f t="shared" si="125"/>
        <v>0</v>
      </c>
      <c r="H226" s="2162">
        <f t="shared" si="115"/>
        <v>0</v>
      </c>
      <c r="I226" s="2162">
        <f t="shared" si="122"/>
        <v>0</v>
      </c>
      <c r="J226" s="2162">
        <f t="shared" si="92"/>
        <v>0</v>
      </c>
      <c r="K226" s="2162">
        <f t="shared" si="93"/>
        <v>0</v>
      </c>
      <c r="L226" s="2162">
        <f t="shared" si="103"/>
        <v>0</v>
      </c>
      <c r="M226" s="2162">
        <f t="shared" si="94"/>
        <v>0</v>
      </c>
      <c r="N226" s="2162">
        <f t="shared" si="104"/>
        <v>0</v>
      </c>
      <c r="O226" s="2163"/>
      <c r="AG226" s="1756"/>
      <c r="AH226" s="1756"/>
      <c r="AI226" s="1756"/>
      <c r="AJ226" s="1989">
        <f t="shared" si="105"/>
        <v>5</v>
      </c>
      <c r="AK226" s="1900">
        <f t="shared" si="106"/>
        <v>0</v>
      </c>
      <c r="AL226" s="1907"/>
      <c r="AM226" s="1907"/>
      <c r="AN226" s="1901">
        <f t="shared" si="116"/>
        <v>0</v>
      </c>
      <c r="AO226" s="1906">
        <f t="shared" ca="1" si="107"/>
        <v>0</v>
      </c>
      <c r="AU226" s="1903">
        <f t="shared" si="117"/>
        <v>0</v>
      </c>
      <c r="AV226" s="1904">
        <f t="shared" si="108"/>
        <v>0</v>
      </c>
      <c r="AW226" s="1904">
        <f t="shared" si="109"/>
        <v>0</v>
      </c>
      <c r="AX226" s="1904"/>
      <c r="AY226" s="1904"/>
      <c r="AZ226" s="1904"/>
      <c r="BA226" s="1904"/>
      <c r="BB226" s="1897">
        <f t="shared" si="110"/>
        <v>0</v>
      </c>
      <c r="BC226" s="1897">
        <f t="shared" si="95"/>
        <v>0</v>
      </c>
      <c r="BD226" s="1898" t="e">
        <f>HLOOKUP($BD$63,anticipaplus,162,0)</f>
        <v>#N/A</v>
      </c>
      <c r="BE226" s="1899"/>
      <c r="BF226" s="1899"/>
      <c r="BG226" s="1360">
        <f t="shared" si="111"/>
        <v>0</v>
      </c>
      <c r="BH226" s="1361">
        <f t="shared" si="119"/>
        <v>161</v>
      </c>
      <c r="BI226" s="1362">
        <f t="shared" si="112"/>
        <v>0</v>
      </c>
      <c r="BJ226" s="1362">
        <f t="shared" si="96"/>
        <v>0</v>
      </c>
      <c r="BK226" s="1362">
        <f t="shared" si="118"/>
        <v>0</v>
      </c>
      <c r="BL226" s="1363">
        <f t="shared" si="97"/>
        <v>1000000</v>
      </c>
      <c r="BM226" s="1899"/>
      <c r="BN226" s="1361" t="str">
        <f t="shared" si="120"/>
        <v/>
      </c>
      <c r="BO226" s="1362">
        <f t="shared" si="98"/>
        <v>0</v>
      </c>
      <c r="BP226" s="1362">
        <f t="shared" si="99"/>
        <v>0</v>
      </c>
      <c r="BQ226" s="1362">
        <f t="shared" si="126"/>
        <v>0</v>
      </c>
      <c r="BR226" s="1363">
        <f t="shared" si="100"/>
        <v>0</v>
      </c>
      <c r="BT226" s="1414"/>
      <c r="BX226" s="1364"/>
      <c r="BY226" s="1364"/>
      <c r="BZ226" s="1364"/>
      <c r="CA226" s="1364"/>
      <c r="CB226" s="1364"/>
      <c r="CC226" s="1365"/>
      <c r="CD226" s="1365"/>
      <c r="CE226" s="1365"/>
      <c r="CF226" s="1365"/>
      <c r="CG226" s="1365"/>
      <c r="CH226" s="1366"/>
      <c r="CI226" s="1366"/>
      <c r="CJ226" s="1366"/>
      <c r="CK226" s="1366"/>
      <c r="CL226" s="1365"/>
      <c r="CM226" s="1366"/>
      <c r="CN226" s="1366"/>
      <c r="CO226" s="1366"/>
      <c r="CP226" s="1366"/>
      <c r="CQ226" s="1366"/>
      <c r="CR226" s="1366"/>
      <c r="CS226" s="1365"/>
      <c r="CT226" s="1365"/>
      <c r="CU226" s="1365"/>
      <c r="CV226" s="1365"/>
      <c r="CW226" s="1365"/>
      <c r="CX226" s="1365"/>
      <c r="CY226" s="1365"/>
      <c r="CZ226" s="1365"/>
      <c r="DA226" s="1365"/>
      <c r="DB226" s="1365"/>
      <c r="DC226" s="1365"/>
      <c r="DD226" s="1365"/>
      <c r="DE226" s="1365"/>
      <c r="DF226" s="1365"/>
      <c r="DG226" s="1365"/>
      <c r="DH226" s="1365"/>
      <c r="DI226" s="1365"/>
      <c r="DJ226" s="1365"/>
      <c r="DK226" s="1365"/>
      <c r="DL226" s="1365"/>
      <c r="DM226" s="1365"/>
      <c r="DN226" s="1365"/>
      <c r="DO226" s="1365"/>
      <c r="DP226" s="1365"/>
      <c r="DQ226" s="1365"/>
      <c r="DR226" s="1365"/>
      <c r="DS226" s="1365"/>
      <c r="DT226" s="1365"/>
    </row>
    <row r="227" spans="1:124">
      <c r="A227" s="1118">
        <f t="shared" ca="1" si="91"/>
        <v>9</v>
      </c>
      <c r="B227" s="1890">
        <f t="shared" si="101"/>
        <v>0</v>
      </c>
      <c r="C227" s="2160">
        <f t="shared" si="113"/>
        <v>0</v>
      </c>
      <c r="D227" s="2161">
        <f t="shared" si="114"/>
        <v>0</v>
      </c>
      <c r="E227" s="2162">
        <f t="shared" si="102"/>
        <v>0</v>
      </c>
      <c r="F227" s="2162">
        <f t="shared" si="124"/>
        <v>0</v>
      </c>
      <c r="G227" s="2162">
        <f t="shared" si="125"/>
        <v>0</v>
      </c>
      <c r="H227" s="2162">
        <f t="shared" si="115"/>
        <v>0</v>
      </c>
      <c r="I227" s="2162">
        <f t="shared" si="122"/>
        <v>0</v>
      </c>
      <c r="J227" s="2162">
        <f t="shared" si="92"/>
        <v>0</v>
      </c>
      <c r="K227" s="2162">
        <f t="shared" si="93"/>
        <v>0</v>
      </c>
      <c r="L227" s="2162">
        <f t="shared" si="103"/>
        <v>0</v>
      </c>
      <c r="M227" s="2162">
        <f t="shared" si="94"/>
        <v>0</v>
      </c>
      <c r="N227" s="2162">
        <f t="shared" si="104"/>
        <v>0</v>
      </c>
      <c r="O227" s="2163"/>
      <c r="AG227" s="1756"/>
      <c r="AH227" s="1756"/>
      <c r="AI227" s="1756"/>
      <c r="AJ227" s="1989">
        <f t="shared" si="105"/>
        <v>6</v>
      </c>
      <c r="AK227" s="1900">
        <f t="shared" si="106"/>
        <v>0</v>
      </c>
      <c r="AL227" s="1907"/>
      <c r="AM227" s="1907"/>
      <c r="AN227" s="1901">
        <f t="shared" si="116"/>
        <v>0</v>
      </c>
      <c r="AO227" s="1906">
        <f t="shared" ca="1" si="107"/>
        <v>0</v>
      </c>
      <c r="AU227" s="1903">
        <f t="shared" si="117"/>
        <v>0</v>
      </c>
      <c r="AV227" s="1904">
        <f t="shared" si="108"/>
        <v>0</v>
      </c>
      <c r="AW227" s="1904">
        <f t="shared" si="109"/>
        <v>0</v>
      </c>
      <c r="AX227" s="1904"/>
      <c r="AY227" s="1904"/>
      <c r="AZ227" s="1904"/>
      <c r="BA227" s="1904"/>
      <c r="BB227" s="1897">
        <f t="shared" si="110"/>
        <v>0</v>
      </c>
      <c r="BC227" s="1897">
        <f t="shared" si="95"/>
        <v>0</v>
      </c>
      <c r="BD227" s="1898" t="e">
        <f>HLOOKUP($BD$63,anticipaplus,163,0)</f>
        <v>#N/A</v>
      </c>
      <c r="BE227" s="1899"/>
      <c r="BF227" s="1899"/>
      <c r="BG227" s="1360">
        <f t="shared" si="111"/>
        <v>0</v>
      </c>
      <c r="BH227" s="1361">
        <f t="shared" si="119"/>
        <v>162</v>
      </c>
      <c r="BI227" s="1362">
        <f t="shared" si="112"/>
        <v>0</v>
      </c>
      <c r="BJ227" s="1362">
        <f t="shared" si="96"/>
        <v>0</v>
      </c>
      <c r="BK227" s="1362">
        <f t="shared" si="118"/>
        <v>0</v>
      </c>
      <c r="BL227" s="1363">
        <f t="shared" si="97"/>
        <v>1000000</v>
      </c>
      <c r="BM227" s="1899"/>
      <c r="BN227" s="1361" t="str">
        <f t="shared" si="120"/>
        <v/>
      </c>
      <c r="BO227" s="1362">
        <f t="shared" si="98"/>
        <v>0</v>
      </c>
      <c r="BP227" s="1362">
        <f t="shared" si="99"/>
        <v>0</v>
      </c>
      <c r="BQ227" s="1362">
        <f t="shared" si="126"/>
        <v>0</v>
      </c>
      <c r="BR227" s="1363">
        <f t="shared" si="100"/>
        <v>0</v>
      </c>
      <c r="BT227" s="1414"/>
      <c r="BX227" s="1364"/>
      <c r="BY227" s="1364"/>
      <c r="BZ227" s="1364"/>
      <c r="CA227" s="1364"/>
      <c r="CB227" s="1364"/>
      <c r="CC227" s="1365"/>
      <c r="CD227" s="1365"/>
      <c r="CE227" s="1365"/>
      <c r="CF227" s="1365"/>
      <c r="CG227" s="1365"/>
      <c r="CH227" s="1366"/>
      <c r="CI227" s="1366"/>
      <c r="CJ227" s="1366"/>
      <c r="CK227" s="1366"/>
      <c r="CL227" s="1365"/>
      <c r="CM227" s="1366"/>
      <c r="CN227" s="1366"/>
      <c r="CO227" s="1366"/>
      <c r="CP227" s="1366"/>
      <c r="CQ227" s="1366"/>
      <c r="CR227" s="1366"/>
      <c r="CS227" s="1365"/>
      <c r="CT227" s="1365"/>
      <c r="CU227" s="1365"/>
      <c r="CV227" s="1365"/>
      <c r="CW227" s="1365"/>
      <c r="CX227" s="1365"/>
      <c r="CY227" s="1365"/>
      <c r="CZ227" s="1365"/>
      <c r="DA227" s="1365"/>
      <c r="DB227" s="1365"/>
      <c r="DC227" s="1365"/>
      <c r="DD227" s="1365"/>
      <c r="DE227" s="1365"/>
      <c r="DF227" s="1365"/>
      <c r="DG227" s="1365"/>
      <c r="DH227" s="1365"/>
      <c r="DI227" s="1365"/>
      <c r="DJ227" s="1365"/>
      <c r="DK227" s="1365"/>
      <c r="DL227" s="1365"/>
      <c r="DM227" s="1365"/>
      <c r="DN227" s="1365"/>
      <c r="DO227" s="1365"/>
      <c r="DP227" s="1365"/>
      <c r="DQ227" s="1365"/>
      <c r="DR227" s="1365"/>
      <c r="DS227" s="1365"/>
      <c r="DT227" s="1365"/>
    </row>
    <row r="228" spans="1:124">
      <c r="A228" s="1118">
        <f t="shared" ca="1" si="91"/>
        <v>10</v>
      </c>
      <c r="B228" s="1890">
        <f t="shared" si="101"/>
        <v>0</v>
      </c>
      <c r="C228" s="2160">
        <f t="shared" si="113"/>
        <v>0</v>
      </c>
      <c r="D228" s="2161">
        <f t="shared" si="114"/>
        <v>0</v>
      </c>
      <c r="E228" s="2162">
        <f t="shared" si="102"/>
        <v>0</v>
      </c>
      <c r="F228" s="2162">
        <f t="shared" si="124"/>
        <v>0</v>
      </c>
      <c r="G228" s="2162">
        <f t="shared" si="125"/>
        <v>0</v>
      </c>
      <c r="H228" s="2162">
        <f t="shared" si="115"/>
        <v>0</v>
      </c>
      <c r="I228" s="2162">
        <f t="shared" si="122"/>
        <v>0</v>
      </c>
      <c r="J228" s="2162">
        <f t="shared" si="92"/>
        <v>0</v>
      </c>
      <c r="K228" s="2162">
        <f t="shared" si="93"/>
        <v>0</v>
      </c>
      <c r="L228" s="2162">
        <f t="shared" si="103"/>
        <v>0</v>
      </c>
      <c r="M228" s="2162">
        <f t="shared" si="94"/>
        <v>0</v>
      </c>
      <c r="N228" s="2162">
        <f t="shared" si="104"/>
        <v>0</v>
      </c>
      <c r="O228" s="2163"/>
      <c r="AG228" s="1756"/>
      <c r="AH228" s="1756"/>
      <c r="AI228" s="1756"/>
      <c r="AJ228" s="1989">
        <f t="shared" si="105"/>
        <v>7</v>
      </c>
      <c r="AK228" s="1900">
        <f t="shared" si="106"/>
        <v>0</v>
      </c>
      <c r="AL228" s="1907"/>
      <c r="AM228" s="1907"/>
      <c r="AN228" s="1901">
        <f t="shared" si="116"/>
        <v>0</v>
      </c>
      <c r="AO228" s="1906">
        <f t="shared" ca="1" si="107"/>
        <v>0</v>
      </c>
      <c r="AU228" s="1903">
        <f t="shared" si="117"/>
        <v>0</v>
      </c>
      <c r="AV228" s="1904">
        <f t="shared" si="108"/>
        <v>0</v>
      </c>
      <c r="AW228" s="1904">
        <f t="shared" si="109"/>
        <v>0</v>
      </c>
      <c r="AX228" s="1904"/>
      <c r="AY228" s="1904"/>
      <c r="AZ228" s="1904"/>
      <c r="BA228" s="1904"/>
      <c r="BB228" s="1897">
        <f t="shared" si="110"/>
        <v>0</v>
      </c>
      <c r="BC228" s="1897">
        <f t="shared" si="95"/>
        <v>0</v>
      </c>
      <c r="BD228" s="1898" t="e">
        <f>HLOOKUP($BD$63,anticipaplus,164,0)</f>
        <v>#N/A</v>
      </c>
      <c r="BE228" s="1899"/>
      <c r="BF228" s="1899"/>
      <c r="BG228" s="1360">
        <f t="shared" si="111"/>
        <v>0</v>
      </c>
      <c r="BH228" s="1361">
        <f t="shared" si="119"/>
        <v>163</v>
      </c>
      <c r="BI228" s="1362">
        <f t="shared" si="112"/>
        <v>0</v>
      </c>
      <c r="BJ228" s="1362">
        <f t="shared" si="96"/>
        <v>0</v>
      </c>
      <c r="BK228" s="1362">
        <f t="shared" si="118"/>
        <v>0</v>
      </c>
      <c r="BL228" s="1363">
        <f t="shared" si="97"/>
        <v>1000000</v>
      </c>
      <c r="BM228" s="1899"/>
      <c r="BN228" s="1361" t="str">
        <f t="shared" si="120"/>
        <v/>
      </c>
      <c r="BO228" s="1362">
        <f t="shared" si="98"/>
        <v>0</v>
      </c>
      <c r="BP228" s="1362">
        <f t="shared" si="99"/>
        <v>0</v>
      </c>
      <c r="BQ228" s="1362">
        <f t="shared" si="126"/>
        <v>0</v>
      </c>
      <c r="BR228" s="1363">
        <f t="shared" si="100"/>
        <v>0</v>
      </c>
      <c r="BT228" s="1414"/>
      <c r="BX228" s="1364"/>
      <c r="BY228" s="1364"/>
      <c r="BZ228" s="1364"/>
      <c r="CA228" s="1364"/>
      <c r="CB228" s="1364"/>
      <c r="CC228" s="1365"/>
      <c r="CD228" s="1365"/>
      <c r="CE228" s="1365"/>
      <c r="CF228" s="1365"/>
      <c r="CG228" s="1365"/>
      <c r="CH228" s="1366"/>
      <c r="CI228" s="1366"/>
      <c r="CJ228" s="1366"/>
      <c r="CK228" s="1366"/>
      <c r="CL228" s="1365"/>
      <c r="CM228" s="1366"/>
      <c r="CN228" s="1366"/>
      <c r="CO228" s="1366"/>
      <c r="CP228" s="1366"/>
      <c r="CQ228" s="1366"/>
      <c r="CR228" s="1366"/>
      <c r="CS228" s="1365"/>
      <c r="CT228" s="1365"/>
      <c r="CU228" s="1365"/>
      <c r="CV228" s="1365"/>
      <c r="CW228" s="1365"/>
      <c r="CX228" s="1365"/>
      <c r="CY228" s="1365"/>
      <c r="CZ228" s="1365"/>
      <c r="DA228" s="1365"/>
      <c r="DB228" s="1365"/>
      <c r="DC228" s="1365"/>
      <c r="DD228" s="1365"/>
      <c r="DE228" s="1365"/>
      <c r="DF228" s="1365"/>
      <c r="DG228" s="1365"/>
      <c r="DH228" s="1365"/>
      <c r="DI228" s="1365"/>
      <c r="DJ228" s="1365"/>
      <c r="DK228" s="1365"/>
      <c r="DL228" s="1365"/>
      <c r="DM228" s="1365"/>
      <c r="DN228" s="1365"/>
      <c r="DO228" s="1365"/>
      <c r="DP228" s="1365"/>
      <c r="DQ228" s="1365"/>
      <c r="DR228" s="1365"/>
      <c r="DS228" s="1365"/>
      <c r="DT228" s="1365"/>
    </row>
    <row r="229" spans="1:124">
      <c r="A229" s="1118">
        <f t="shared" ca="1" si="91"/>
        <v>11</v>
      </c>
      <c r="B229" s="1890">
        <f t="shared" si="101"/>
        <v>0</v>
      </c>
      <c r="C229" s="2160">
        <f t="shared" si="113"/>
        <v>0</v>
      </c>
      <c r="D229" s="2161">
        <f t="shared" si="114"/>
        <v>0</v>
      </c>
      <c r="E229" s="2162">
        <f t="shared" si="102"/>
        <v>0</v>
      </c>
      <c r="F229" s="2162">
        <f t="shared" si="124"/>
        <v>0</v>
      </c>
      <c r="G229" s="2162">
        <f t="shared" si="125"/>
        <v>0</v>
      </c>
      <c r="H229" s="2162">
        <f t="shared" si="115"/>
        <v>0</v>
      </c>
      <c r="I229" s="2162">
        <f t="shared" si="122"/>
        <v>0</v>
      </c>
      <c r="J229" s="2162">
        <f t="shared" si="92"/>
        <v>0</v>
      </c>
      <c r="K229" s="2162">
        <f t="shared" si="93"/>
        <v>0</v>
      </c>
      <c r="L229" s="2162">
        <f t="shared" si="103"/>
        <v>0</v>
      </c>
      <c r="M229" s="2162">
        <f t="shared" si="94"/>
        <v>0</v>
      </c>
      <c r="N229" s="2162">
        <f t="shared" si="104"/>
        <v>0</v>
      </c>
      <c r="O229" s="2163"/>
      <c r="AG229" s="1756"/>
      <c r="AH229" s="1756"/>
      <c r="AI229" s="1756"/>
      <c r="AJ229" s="1989">
        <f t="shared" si="105"/>
        <v>8</v>
      </c>
      <c r="AK229" s="1900">
        <f t="shared" si="106"/>
        <v>0</v>
      </c>
      <c r="AL229" s="1907"/>
      <c r="AM229" s="1907"/>
      <c r="AN229" s="1901">
        <f t="shared" si="116"/>
        <v>0</v>
      </c>
      <c r="AO229" s="1906">
        <f t="shared" ca="1" si="107"/>
        <v>0</v>
      </c>
      <c r="AU229" s="1903">
        <f t="shared" si="117"/>
        <v>0</v>
      </c>
      <c r="AV229" s="1904">
        <f t="shared" si="108"/>
        <v>0</v>
      </c>
      <c r="AW229" s="1904">
        <f t="shared" si="109"/>
        <v>0</v>
      </c>
      <c r="AX229" s="1904"/>
      <c r="AY229" s="1904"/>
      <c r="AZ229" s="1904"/>
      <c r="BA229" s="1904"/>
      <c r="BB229" s="1897">
        <f t="shared" si="110"/>
        <v>0</v>
      </c>
      <c r="BC229" s="1897">
        <f t="shared" si="95"/>
        <v>0</v>
      </c>
      <c r="BD229" s="1898" t="e">
        <f>HLOOKUP($BD$63,anticipaplus,165,0)</f>
        <v>#N/A</v>
      </c>
      <c r="BE229" s="1899"/>
      <c r="BF229" s="1899"/>
      <c r="BG229" s="1360">
        <f t="shared" si="111"/>
        <v>0</v>
      </c>
      <c r="BH229" s="1361">
        <f t="shared" si="119"/>
        <v>164</v>
      </c>
      <c r="BI229" s="1362">
        <f t="shared" si="112"/>
        <v>0</v>
      </c>
      <c r="BJ229" s="1362">
        <f t="shared" si="96"/>
        <v>0</v>
      </c>
      <c r="BK229" s="1362">
        <f t="shared" si="118"/>
        <v>0</v>
      </c>
      <c r="BL229" s="1363">
        <f t="shared" si="97"/>
        <v>1000000</v>
      </c>
      <c r="BM229" s="1899"/>
      <c r="BN229" s="1361" t="str">
        <f t="shared" si="120"/>
        <v/>
      </c>
      <c r="BO229" s="1362">
        <f t="shared" si="98"/>
        <v>0</v>
      </c>
      <c r="BP229" s="1362">
        <f t="shared" si="99"/>
        <v>0</v>
      </c>
      <c r="BQ229" s="1362">
        <f t="shared" si="126"/>
        <v>0</v>
      </c>
      <c r="BR229" s="1363">
        <f t="shared" si="100"/>
        <v>0</v>
      </c>
      <c r="BT229" s="1414"/>
      <c r="BX229" s="1364"/>
      <c r="BY229" s="1364"/>
      <c r="BZ229" s="1364"/>
      <c r="CA229" s="1364"/>
      <c r="CB229" s="1364"/>
      <c r="CC229" s="1365"/>
      <c r="CD229" s="1365"/>
      <c r="CE229" s="1365"/>
      <c r="CF229" s="1365"/>
      <c r="CG229" s="1365"/>
      <c r="CH229" s="1366"/>
      <c r="CI229" s="1366"/>
      <c r="CJ229" s="1366"/>
      <c r="CK229" s="1366"/>
      <c r="CL229" s="1365"/>
      <c r="CM229" s="1366"/>
      <c r="CN229" s="1366"/>
      <c r="CO229" s="1366"/>
      <c r="CP229" s="1366"/>
      <c r="CQ229" s="1366"/>
      <c r="CR229" s="1366"/>
      <c r="CS229" s="1365"/>
      <c r="CT229" s="1365"/>
      <c r="CU229" s="1365"/>
      <c r="CV229" s="1365"/>
      <c r="CW229" s="1365"/>
      <c r="CX229" s="1365"/>
      <c r="CY229" s="1365"/>
      <c r="CZ229" s="1365"/>
      <c r="DA229" s="1365"/>
      <c r="DB229" s="1365"/>
      <c r="DC229" s="1365"/>
      <c r="DD229" s="1365"/>
      <c r="DE229" s="1365"/>
      <c r="DF229" s="1365"/>
      <c r="DG229" s="1365"/>
      <c r="DH229" s="1365"/>
      <c r="DI229" s="1365"/>
      <c r="DJ229" s="1365"/>
      <c r="DK229" s="1365"/>
      <c r="DL229" s="1365"/>
      <c r="DM229" s="1365"/>
      <c r="DN229" s="1365"/>
      <c r="DO229" s="1365"/>
      <c r="DP229" s="1365"/>
      <c r="DQ229" s="1365"/>
      <c r="DR229" s="1365"/>
      <c r="DS229" s="1365"/>
      <c r="DT229" s="1365"/>
    </row>
    <row r="230" spans="1:124">
      <c r="A230" s="1118">
        <f t="shared" ca="1" si="91"/>
        <v>12</v>
      </c>
      <c r="B230" s="1890">
        <f t="shared" si="101"/>
        <v>0</v>
      </c>
      <c r="C230" s="2160">
        <f t="shared" si="113"/>
        <v>0</v>
      </c>
      <c r="D230" s="2161">
        <f t="shared" si="114"/>
        <v>0</v>
      </c>
      <c r="E230" s="2162">
        <f t="shared" si="102"/>
        <v>0</v>
      </c>
      <c r="F230" s="2162">
        <f t="shared" si="124"/>
        <v>0</v>
      </c>
      <c r="G230" s="2162">
        <f t="shared" si="125"/>
        <v>0</v>
      </c>
      <c r="H230" s="2162">
        <f t="shared" si="115"/>
        <v>0</v>
      </c>
      <c r="I230" s="2162">
        <f t="shared" si="122"/>
        <v>0</v>
      </c>
      <c r="J230" s="2162">
        <f t="shared" si="92"/>
        <v>0</v>
      </c>
      <c r="K230" s="2162">
        <f t="shared" si="93"/>
        <v>0</v>
      </c>
      <c r="L230" s="2162">
        <f t="shared" si="103"/>
        <v>0</v>
      </c>
      <c r="M230" s="2162">
        <f t="shared" si="94"/>
        <v>0</v>
      </c>
      <c r="N230" s="2162">
        <f t="shared" si="104"/>
        <v>0</v>
      </c>
      <c r="O230" s="2163"/>
      <c r="AG230" s="1756"/>
      <c r="AH230" s="1756"/>
      <c r="AI230" s="1756"/>
      <c r="AJ230" s="1989">
        <f t="shared" si="105"/>
        <v>9</v>
      </c>
      <c r="AK230" s="1900">
        <f t="shared" si="106"/>
        <v>0</v>
      </c>
      <c r="AL230" s="1907"/>
      <c r="AM230" s="1907"/>
      <c r="AN230" s="1901">
        <f t="shared" si="116"/>
        <v>0</v>
      </c>
      <c r="AO230" s="1906">
        <f t="shared" ca="1" si="107"/>
        <v>0</v>
      </c>
      <c r="AU230" s="1903">
        <f t="shared" si="117"/>
        <v>0</v>
      </c>
      <c r="AV230" s="1904">
        <f t="shared" si="108"/>
        <v>0</v>
      </c>
      <c r="AW230" s="1904">
        <f t="shared" si="109"/>
        <v>0</v>
      </c>
      <c r="AX230" s="1904"/>
      <c r="AY230" s="1904"/>
      <c r="AZ230" s="1904"/>
      <c r="BA230" s="1904"/>
      <c r="BB230" s="1897">
        <f t="shared" si="110"/>
        <v>0</v>
      </c>
      <c r="BC230" s="1897">
        <f t="shared" si="95"/>
        <v>0</v>
      </c>
      <c r="BD230" s="1898" t="e">
        <f>HLOOKUP($BD$63,anticipaplus,166,0)</f>
        <v>#N/A</v>
      </c>
      <c r="BE230" s="1899"/>
      <c r="BF230" s="1899"/>
      <c r="BG230" s="1360">
        <f t="shared" si="111"/>
        <v>0</v>
      </c>
      <c r="BH230" s="1361">
        <f t="shared" si="119"/>
        <v>165</v>
      </c>
      <c r="BI230" s="1362">
        <f t="shared" si="112"/>
        <v>0</v>
      </c>
      <c r="BJ230" s="1362">
        <f t="shared" si="96"/>
        <v>0</v>
      </c>
      <c r="BK230" s="1362">
        <f t="shared" si="118"/>
        <v>0</v>
      </c>
      <c r="BL230" s="1363">
        <f t="shared" si="97"/>
        <v>1000000</v>
      </c>
      <c r="BM230" s="1899"/>
      <c r="BN230" s="1361" t="str">
        <f t="shared" si="120"/>
        <v/>
      </c>
      <c r="BO230" s="1362">
        <f t="shared" si="98"/>
        <v>0</v>
      </c>
      <c r="BP230" s="1362">
        <f t="shared" si="99"/>
        <v>0</v>
      </c>
      <c r="BQ230" s="1362">
        <f t="shared" si="126"/>
        <v>0</v>
      </c>
      <c r="BR230" s="1363">
        <f t="shared" si="100"/>
        <v>0</v>
      </c>
      <c r="BT230" s="1414"/>
      <c r="BX230" s="1364"/>
      <c r="BY230" s="1364"/>
      <c r="BZ230" s="1364"/>
      <c r="CA230" s="1364"/>
      <c r="CB230" s="1364"/>
      <c r="CC230" s="1365"/>
      <c r="CD230" s="1365"/>
      <c r="CE230" s="1365"/>
      <c r="CF230" s="1365"/>
      <c r="CG230" s="1365"/>
      <c r="CH230" s="1366"/>
      <c r="CI230" s="1366"/>
      <c r="CJ230" s="1366"/>
      <c r="CK230" s="1366"/>
      <c r="CL230" s="1365"/>
      <c r="CM230" s="1366"/>
      <c r="CN230" s="1366"/>
      <c r="CO230" s="1366"/>
      <c r="CP230" s="1366"/>
      <c r="CQ230" s="1366"/>
      <c r="CR230" s="1366"/>
      <c r="CS230" s="1365"/>
      <c r="CT230" s="1365"/>
      <c r="CU230" s="1365"/>
      <c r="CV230" s="1365"/>
      <c r="CW230" s="1365"/>
      <c r="CX230" s="1365"/>
      <c r="CY230" s="1365"/>
      <c r="CZ230" s="1365"/>
      <c r="DA230" s="1365"/>
      <c r="DB230" s="1365"/>
      <c r="DC230" s="1365"/>
      <c r="DD230" s="1365"/>
      <c r="DE230" s="1365"/>
      <c r="DF230" s="1365"/>
      <c r="DG230" s="1365"/>
      <c r="DH230" s="1365"/>
      <c r="DI230" s="1365"/>
      <c r="DJ230" s="1365"/>
      <c r="DK230" s="1365"/>
      <c r="DL230" s="1365"/>
      <c r="DM230" s="1365"/>
      <c r="DN230" s="1365"/>
      <c r="DO230" s="1365"/>
      <c r="DP230" s="1365"/>
      <c r="DQ230" s="1365"/>
      <c r="DR230" s="1365"/>
      <c r="DS230" s="1365"/>
      <c r="DT230" s="1365"/>
    </row>
    <row r="231" spans="1:124">
      <c r="A231" s="1118">
        <f t="shared" ca="1" si="91"/>
        <v>1</v>
      </c>
      <c r="B231" s="1890">
        <f t="shared" si="101"/>
        <v>0</v>
      </c>
      <c r="C231" s="2160">
        <f t="shared" si="113"/>
        <v>0</v>
      </c>
      <c r="D231" s="2161">
        <f t="shared" si="114"/>
        <v>0</v>
      </c>
      <c r="E231" s="2162">
        <f t="shared" si="102"/>
        <v>0</v>
      </c>
      <c r="F231" s="2162">
        <f t="shared" si="124"/>
        <v>0</v>
      </c>
      <c r="G231" s="2162">
        <f t="shared" si="125"/>
        <v>0</v>
      </c>
      <c r="H231" s="2162">
        <f t="shared" si="115"/>
        <v>0</v>
      </c>
      <c r="I231" s="2162">
        <f t="shared" si="122"/>
        <v>0</v>
      </c>
      <c r="J231" s="2162">
        <f t="shared" si="92"/>
        <v>0</v>
      </c>
      <c r="K231" s="2162">
        <f t="shared" si="93"/>
        <v>0</v>
      </c>
      <c r="L231" s="2162">
        <f t="shared" si="103"/>
        <v>0</v>
      </c>
      <c r="M231" s="2162">
        <f t="shared" si="94"/>
        <v>0</v>
      </c>
      <c r="N231" s="2162">
        <f t="shared" si="104"/>
        <v>0</v>
      </c>
      <c r="O231" s="2163"/>
      <c r="AG231" s="1756"/>
      <c r="AH231" s="1756"/>
      <c r="AI231" s="1756"/>
      <c r="AJ231" s="1989">
        <f t="shared" si="105"/>
        <v>10</v>
      </c>
      <c r="AK231" s="1900">
        <f t="shared" si="106"/>
        <v>0</v>
      </c>
      <c r="AL231" s="1907"/>
      <c r="AM231" s="1907"/>
      <c r="AN231" s="1901">
        <f t="shared" si="116"/>
        <v>0</v>
      </c>
      <c r="AO231" s="1906">
        <f t="shared" ca="1" si="107"/>
        <v>0</v>
      </c>
      <c r="AU231" s="1903">
        <f t="shared" si="117"/>
        <v>0</v>
      </c>
      <c r="AV231" s="1904">
        <f t="shared" si="108"/>
        <v>0</v>
      </c>
      <c r="AW231" s="1904">
        <f t="shared" si="109"/>
        <v>0</v>
      </c>
      <c r="AX231" s="1904"/>
      <c r="AY231" s="1904"/>
      <c r="AZ231" s="1904"/>
      <c r="BA231" s="1904"/>
      <c r="BB231" s="1897">
        <f t="shared" si="110"/>
        <v>0</v>
      </c>
      <c r="BC231" s="1897">
        <f t="shared" si="95"/>
        <v>0</v>
      </c>
      <c r="BD231" s="1898" t="e">
        <f>HLOOKUP($BD$63,anticipaplus,167,0)</f>
        <v>#N/A</v>
      </c>
      <c r="BE231" s="1899"/>
      <c r="BF231" s="1899"/>
      <c r="BG231" s="1360">
        <f t="shared" si="111"/>
        <v>0</v>
      </c>
      <c r="BH231" s="1361">
        <f t="shared" si="119"/>
        <v>166</v>
      </c>
      <c r="BI231" s="1362">
        <f t="shared" si="112"/>
        <v>0</v>
      </c>
      <c r="BJ231" s="1362">
        <f t="shared" si="96"/>
        <v>0</v>
      </c>
      <c r="BK231" s="1362">
        <f t="shared" si="118"/>
        <v>0</v>
      </c>
      <c r="BL231" s="1363">
        <f t="shared" si="97"/>
        <v>1000000</v>
      </c>
      <c r="BM231" s="1899"/>
      <c r="BN231" s="1361" t="str">
        <f t="shared" si="120"/>
        <v/>
      </c>
      <c r="BO231" s="1362">
        <f t="shared" si="98"/>
        <v>0</v>
      </c>
      <c r="BP231" s="1362">
        <f t="shared" si="99"/>
        <v>0</v>
      </c>
      <c r="BQ231" s="1362">
        <f t="shared" si="126"/>
        <v>0</v>
      </c>
      <c r="BR231" s="1363">
        <f t="shared" si="100"/>
        <v>0</v>
      </c>
      <c r="BT231" s="1414"/>
      <c r="BX231" s="1364"/>
      <c r="BY231" s="1364"/>
      <c r="BZ231" s="1364"/>
      <c r="CA231" s="1364"/>
      <c r="CB231" s="1364"/>
      <c r="CC231" s="1365"/>
      <c r="CD231" s="1365"/>
      <c r="CE231" s="1365"/>
      <c r="CF231" s="1365"/>
      <c r="CG231" s="1365"/>
      <c r="CH231" s="1366"/>
      <c r="CI231" s="1366"/>
      <c r="CJ231" s="1366"/>
      <c r="CK231" s="1366"/>
      <c r="CL231" s="1365"/>
      <c r="CM231" s="1366"/>
      <c r="CN231" s="1366"/>
      <c r="CO231" s="1366"/>
      <c r="CP231" s="1366"/>
      <c r="CQ231" s="1366"/>
      <c r="CR231" s="1366"/>
      <c r="CS231" s="1365"/>
      <c r="CT231" s="1365"/>
      <c r="CU231" s="1365"/>
      <c r="CV231" s="1365"/>
      <c r="CW231" s="1365"/>
      <c r="CX231" s="1365"/>
      <c r="CY231" s="1365"/>
      <c r="CZ231" s="1365"/>
      <c r="DA231" s="1365"/>
      <c r="DB231" s="1365"/>
      <c r="DC231" s="1365"/>
      <c r="DD231" s="1365"/>
      <c r="DE231" s="1365"/>
      <c r="DF231" s="1365"/>
      <c r="DG231" s="1365"/>
      <c r="DH231" s="1365"/>
      <c r="DI231" s="1365"/>
      <c r="DJ231" s="1365"/>
      <c r="DK231" s="1365"/>
      <c r="DL231" s="1365"/>
      <c r="DM231" s="1365"/>
      <c r="DN231" s="1365"/>
      <c r="DO231" s="1365"/>
      <c r="DP231" s="1365"/>
      <c r="DQ231" s="1365"/>
      <c r="DR231" s="1365"/>
      <c r="DS231" s="1365"/>
      <c r="DT231" s="1365"/>
    </row>
    <row r="232" spans="1:124">
      <c r="A232" s="1118">
        <f t="shared" ca="1" si="91"/>
        <v>2</v>
      </c>
      <c r="B232" s="1890">
        <f t="shared" si="101"/>
        <v>0</v>
      </c>
      <c r="C232" s="2160">
        <f t="shared" si="113"/>
        <v>0</v>
      </c>
      <c r="D232" s="2161">
        <f t="shared" si="114"/>
        <v>0</v>
      </c>
      <c r="E232" s="2162">
        <f t="shared" si="102"/>
        <v>0</v>
      </c>
      <c r="F232" s="2162">
        <f t="shared" si="124"/>
        <v>0</v>
      </c>
      <c r="G232" s="2162">
        <f t="shared" si="125"/>
        <v>0</v>
      </c>
      <c r="H232" s="2162">
        <f t="shared" si="115"/>
        <v>0</v>
      </c>
      <c r="I232" s="2162">
        <f t="shared" si="122"/>
        <v>0</v>
      </c>
      <c r="J232" s="2162">
        <f t="shared" si="92"/>
        <v>0</v>
      </c>
      <c r="K232" s="2162">
        <f t="shared" si="93"/>
        <v>0</v>
      </c>
      <c r="L232" s="2162">
        <f t="shared" si="103"/>
        <v>0</v>
      </c>
      <c r="M232" s="2162">
        <f t="shared" si="94"/>
        <v>0</v>
      </c>
      <c r="N232" s="2162">
        <f t="shared" si="104"/>
        <v>0</v>
      </c>
      <c r="O232" s="2163"/>
      <c r="AG232" s="1756"/>
      <c r="AH232" s="1756"/>
      <c r="AI232" s="1756"/>
      <c r="AJ232" s="1989">
        <f t="shared" si="105"/>
        <v>11</v>
      </c>
      <c r="AK232" s="1900">
        <f t="shared" si="106"/>
        <v>0</v>
      </c>
      <c r="AL232" s="1907"/>
      <c r="AM232" s="1907"/>
      <c r="AN232" s="1901">
        <f t="shared" si="116"/>
        <v>0</v>
      </c>
      <c r="AO232" s="1906">
        <f t="shared" ca="1" si="107"/>
        <v>0</v>
      </c>
      <c r="AU232" s="1903">
        <f t="shared" si="117"/>
        <v>0</v>
      </c>
      <c r="AV232" s="1904">
        <f t="shared" si="108"/>
        <v>0</v>
      </c>
      <c r="AW232" s="1904">
        <f t="shared" si="109"/>
        <v>0</v>
      </c>
      <c r="AX232" s="1904"/>
      <c r="AY232" s="1904"/>
      <c r="AZ232" s="1904"/>
      <c r="BA232" s="1904"/>
      <c r="BB232" s="1897">
        <f t="shared" si="110"/>
        <v>0</v>
      </c>
      <c r="BC232" s="1897">
        <f t="shared" si="95"/>
        <v>0</v>
      </c>
      <c r="BD232" s="1898" t="e">
        <f>HLOOKUP($BD$63,anticipaplus,168,0)</f>
        <v>#N/A</v>
      </c>
      <c r="BE232" s="1899"/>
      <c r="BF232" s="1899"/>
      <c r="BG232" s="1360">
        <f t="shared" si="111"/>
        <v>0</v>
      </c>
      <c r="BH232" s="1361">
        <f t="shared" si="119"/>
        <v>167</v>
      </c>
      <c r="BI232" s="1362">
        <f t="shared" si="112"/>
        <v>0</v>
      </c>
      <c r="BJ232" s="1362">
        <f t="shared" si="96"/>
        <v>0</v>
      </c>
      <c r="BK232" s="1362">
        <f t="shared" si="118"/>
        <v>0</v>
      </c>
      <c r="BL232" s="1363">
        <f t="shared" si="97"/>
        <v>1000000</v>
      </c>
      <c r="BM232" s="1899"/>
      <c r="BN232" s="1361" t="str">
        <f t="shared" si="120"/>
        <v/>
      </c>
      <c r="BO232" s="1362">
        <f t="shared" si="98"/>
        <v>0</v>
      </c>
      <c r="BP232" s="1362">
        <f t="shared" si="99"/>
        <v>0</v>
      </c>
      <c r="BQ232" s="1362">
        <f t="shared" si="126"/>
        <v>0</v>
      </c>
      <c r="BR232" s="1363">
        <f t="shared" si="100"/>
        <v>0</v>
      </c>
      <c r="BT232" s="1414"/>
      <c r="BX232" s="1364"/>
      <c r="BY232" s="1364"/>
      <c r="BZ232" s="1364"/>
      <c r="CA232" s="1364"/>
      <c r="CB232" s="1364"/>
      <c r="CC232" s="1365"/>
      <c r="CD232" s="1365"/>
      <c r="CE232" s="1365"/>
      <c r="CF232" s="1365"/>
      <c r="CG232" s="1365"/>
      <c r="CH232" s="1366"/>
      <c r="CI232" s="1366"/>
      <c r="CJ232" s="1366"/>
      <c r="CK232" s="1366"/>
      <c r="CL232" s="1365"/>
      <c r="CM232" s="1366"/>
      <c r="CN232" s="1366"/>
      <c r="CO232" s="1366"/>
      <c r="CP232" s="1366"/>
      <c r="CQ232" s="1366"/>
      <c r="CR232" s="1366"/>
      <c r="CS232" s="1365"/>
      <c r="CT232" s="1365"/>
      <c r="CU232" s="1365"/>
      <c r="CV232" s="1365"/>
      <c r="CW232" s="1365"/>
      <c r="CX232" s="1365"/>
      <c r="CY232" s="1365"/>
      <c r="CZ232" s="1365"/>
      <c r="DA232" s="1365"/>
      <c r="DB232" s="1365"/>
      <c r="DC232" s="1365"/>
      <c r="DD232" s="1365"/>
      <c r="DE232" s="1365"/>
      <c r="DF232" s="1365"/>
      <c r="DG232" s="1365"/>
      <c r="DH232" s="1365"/>
      <c r="DI232" s="1365"/>
      <c r="DJ232" s="1365"/>
      <c r="DK232" s="1365"/>
      <c r="DL232" s="1365"/>
      <c r="DM232" s="1365"/>
      <c r="DN232" s="1365"/>
      <c r="DO232" s="1365"/>
      <c r="DP232" s="1365"/>
      <c r="DQ232" s="1365"/>
      <c r="DR232" s="1365"/>
      <c r="DS232" s="1365"/>
      <c r="DT232" s="1365"/>
    </row>
    <row r="233" spans="1:124">
      <c r="A233" s="1118">
        <f t="shared" ca="1" si="91"/>
        <v>3</v>
      </c>
      <c r="B233" s="1890">
        <f t="shared" si="101"/>
        <v>0</v>
      </c>
      <c r="C233" s="2160">
        <f t="shared" si="113"/>
        <v>0</v>
      </c>
      <c r="D233" s="2161">
        <f t="shared" si="114"/>
        <v>0</v>
      </c>
      <c r="E233" s="2162">
        <f t="shared" si="102"/>
        <v>0</v>
      </c>
      <c r="F233" s="2162">
        <f t="shared" si="124"/>
        <v>0</v>
      </c>
      <c r="G233" s="2162">
        <f t="shared" si="125"/>
        <v>0</v>
      </c>
      <c r="H233" s="2162">
        <f t="shared" si="115"/>
        <v>0</v>
      </c>
      <c r="I233" s="2162">
        <f t="shared" si="122"/>
        <v>0</v>
      </c>
      <c r="J233" s="2162">
        <f t="shared" si="92"/>
        <v>0</v>
      </c>
      <c r="K233" s="2162">
        <f t="shared" si="93"/>
        <v>0</v>
      </c>
      <c r="L233" s="2162">
        <f t="shared" si="103"/>
        <v>0</v>
      </c>
      <c r="M233" s="2162">
        <f t="shared" si="94"/>
        <v>0</v>
      </c>
      <c r="N233" s="2162">
        <f t="shared" si="104"/>
        <v>0</v>
      </c>
      <c r="O233" s="2163"/>
      <c r="AG233" s="1756"/>
      <c r="AH233" s="1756"/>
      <c r="AI233" s="1756"/>
      <c r="AJ233" s="1989">
        <f t="shared" si="105"/>
        <v>12</v>
      </c>
      <c r="AK233" s="1900">
        <f t="shared" si="106"/>
        <v>0</v>
      </c>
      <c r="AL233" s="1907"/>
      <c r="AM233" s="1907"/>
      <c r="AN233" s="1901">
        <f t="shared" si="116"/>
        <v>0</v>
      </c>
      <c r="AO233" s="1906">
        <f t="shared" ca="1" si="107"/>
        <v>0</v>
      </c>
      <c r="AU233" s="1903">
        <f t="shared" si="117"/>
        <v>0</v>
      </c>
      <c r="AV233" s="1904">
        <f t="shared" si="108"/>
        <v>0</v>
      </c>
      <c r="AW233" s="1904">
        <f t="shared" si="109"/>
        <v>0</v>
      </c>
      <c r="AX233" s="1904"/>
      <c r="AY233" s="1904"/>
      <c r="AZ233" s="1904"/>
      <c r="BA233" s="1904"/>
      <c r="BB233" s="1897">
        <f t="shared" si="110"/>
        <v>0</v>
      </c>
      <c r="BC233" s="1897">
        <f t="shared" si="95"/>
        <v>0</v>
      </c>
      <c r="BD233" s="1898" t="e">
        <f>HLOOKUP($BD$63,anticipaplus,169,0)</f>
        <v>#N/A</v>
      </c>
      <c r="BE233" s="1899"/>
      <c r="BF233" s="1899"/>
      <c r="BG233" s="1360">
        <f t="shared" si="111"/>
        <v>0</v>
      </c>
      <c r="BH233" s="1361">
        <f t="shared" si="119"/>
        <v>168</v>
      </c>
      <c r="BI233" s="1362">
        <f t="shared" si="112"/>
        <v>0</v>
      </c>
      <c r="BJ233" s="1362">
        <f t="shared" si="96"/>
        <v>0</v>
      </c>
      <c r="BK233" s="1362">
        <f t="shared" si="118"/>
        <v>0</v>
      </c>
      <c r="BL233" s="1363">
        <f t="shared" si="97"/>
        <v>1000000</v>
      </c>
      <c r="BM233" s="1899"/>
      <c r="BN233" s="1361" t="str">
        <f t="shared" si="120"/>
        <v/>
      </c>
      <c r="BO233" s="1362">
        <f t="shared" si="98"/>
        <v>0</v>
      </c>
      <c r="BP233" s="1362">
        <f t="shared" si="99"/>
        <v>0</v>
      </c>
      <c r="BQ233" s="1362">
        <f t="shared" si="126"/>
        <v>0</v>
      </c>
      <c r="BR233" s="1363">
        <f t="shared" si="100"/>
        <v>0</v>
      </c>
      <c r="BT233" s="1414"/>
      <c r="BX233" s="1364"/>
      <c r="BY233" s="1364"/>
      <c r="BZ233" s="1364"/>
      <c r="CA233" s="1364"/>
      <c r="CB233" s="1364"/>
      <c r="CC233" s="1365"/>
      <c r="CD233" s="1365"/>
      <c r="CE233" s="1365"/>
      <c r="CF233" s="1365"/>
      <c r="CG233" s="1365"/>
      <c r="CH233" s="1366"/>
      <c r="CI233" s="1366"/>
      <c r="CJ233" s="1366"/>
      <c r="CK233" s="1366"/>
      <c r="CL233" s="1365"/>
      <c r="CM233" s="1366"/>
      <c r="CN233" s="1366"/>
      <c r="CO233" s="1366"/>
      <c r="CP233" s="1366"/>
      <c r="CQ233" s="1366"/>
      <c r="CR233" s="1366"/>
      <c r="CS233" s="1365"/>
      <c r="CT233" s="1365"/>
      <c r="CU233" s="1365"/>
      <c r="CV233" s="1365"/>
      <c r="CW233" s="1365"/>
      <c r="CX233" s="1365"/>
      <c r="CY233" s="1365"/>
      <c r="CZ233" s="1365"/>
      <c r="DA233" s="1365"/>
      <c r="DB233" s="1365"/>
      <c r="DC233" s="1365"/>
      <c r="DD233" s="1365"/>
      <c r="DE233" s="1365"/>
      <c r="DF233" s="1365"/>
      <c r="DG233" s="1365"/>
      <c r="DH233" s="1365"/>
      <c r="DI233" s="1365"/>
      <c r="DJ233" s="1365"/>
      <c r="DK233" s="1365"/>
      <c r="DL233" s="1365"/>
      <c r="DM233" s="1365"/>
      <c r="DN233" s="1365"/>
      <c r="DO233" s="1365"/>
      <c r="DP233" s="1365"/>
      <c r="DQ233" s="1365"/>
      <c r="DR233" s="1365"/>
      <c r="DS233" s="1365"/>
      <c r="DT233" s="1365"/>
    </row>
    <row r="234" spans="1:124">
      <c r="A234" s="1118">
        <f t="shared" ca="1" si="91"/>
        <v>4</v>
      </c>
      <c r="B234" s="1890">
        <f t="shared" si="101"/>
        <v>0</v>
      </c>
      <c r="C234" s="2160">
        <f t="shared" si="113"/>
        <v>0</v>
      </c>
      <c r="D234" s="2161">
        <f t="shared" si="114"/>
        <v>0</v>
      </c>
      <c r="E234" s="2162">
        <f t="shared" si="102"/>
        <v>0</v>
      </c>
      <c r="F234" s="2162">
        <f t="shared" si="124"/>
        <v>0</v>
      </c>
      <c r="G234" s="2162">
        <f t="shared" si="125"/>
        <v>0</v>
      </c>
      <c r="H234" s="2162">
        <f t="shared" si="115"/>
        <v>0</v>
      </c>
      <c r="I234" s="2162">
        <f t="shared" si="122"/>
        <v>0</v>
      </c>
      <c r="J234" s="2162">
        <f t="shared" si="92"/>
        <v>0</v>
      </c>
      <c r="K234" s="2162">
        <f t="shared" si="93"/>
        <v>0</v>
      </c>
      <c r="L234" s="2162">
        <f t="shared" si="103"/>
        <v>0</v>
      </c>
      <c r="M234" s="2162">
        <f t="shared" si="94"/>
        <v>0</v>
      </c>
      <c r="N234" s="2162">
        <f t="shared" si="104"/>
        <v>0</v>
      </c>
      <c r="O234" s="2163"/>
      <c r="AG234" s="1756"/>
      <c r="AH234" s="1756"/>
      <c r="AI234" s="1756"/>
      <c r="AJ234" s="1989">
        <f t="shared" si="105"/>
        <v>1</v>
      </c>
      <c r="AK234" s="1900">
        <f t="shared" si="106"/>
        <v>0</v>
      </c>
      <c r="AL234" s="1907"/>
      <c r="AM234" s="1907"/>
      <c r="AN234" s="1901">
        <f t="shared" si="116"/>
        <v>0</v>
      </c>
      <c r="AO234" s="1906">
        <f t="shared" ca="1" si="107"/>
        <v>0</v>
      </c>
      <c r="AU234" s="1903">
        <f t="shared" si="117"/>
        <v>0</v>
      </c>
      <c r="AV234" s="1904">
        <f t="shared" si="108"/>
        <v>0</v>
      </c>
      <c r="AW234" s="1904">
        <f t="shared" si="109"/>
        <v>0</v>
      </c>
      <c r="AX234" s="1904"/>
      <c r="AY234" s="1904"/>
      <c r="AZ234" s="1904"/>
      <c r="BA234" s="1904"/>
      <c r="BB234" s="1897">
        <f t="shared" si="110"/>
        <v>0</v>
      </c>
      <c r="BC234" s="1897">
        <f t="shared" si="95"/>
        <v>0</v>
      </c>
      <c r="BD234" s="1898" t="e">
        <f>HLOOKUP($BD$63,anticipaplus,170,0)</f>
        <v>#N/A</v>
      </c>
      <c r="BE234" s="1899"/>
      <c r="BF234" s="1899"/>
      <c r="BG234" s="1360">
        <f t="shared" si="111"/>
        <v>0</v>
      </c>
      <c r="BH234" s="1377">
        <f t="shared" si="119"/>
        <v>169</v>
      </c>
      <c r="BI234" s="1378">
        <f t="shared" si="112"/>
        <v>0</v>
      </c>
      <c r="BJ234" s="1378">
        <f t="shared" si="96"/>
        <v>0</v>
      </c>
      <c r="BK234" s="1378">
        <f>MIN(BL233+BI234,BK233*(1+$BI$61))</f>
        <v>0</v>
      </c>
      <c r="BL234" s="1363">
        <f t="shared" si="97"/>
        <v>1000000</v>
      </c>
      <c r="BM234" s="1899"/>
      <c r="BN234" s="1379" t="str">
        <f t="shared" si="120"/>
        <v/>
      </c>
      <c r="BO234" s="1380">
        <f t="shared" si="98"/>
        <v>0</v>
      </c>
      <c r="BP234" s="1380">
        <f t="shared" si="99"/>
        <v>0</v>
      </c>
      <c r="BQ234" s="1380">
        <f>MIN(BR233+BO234,BQ233*(1+$BO$61))</f>
        <v>0</v>
      </c>
      <c r="BR234" s="1363">
        <f t="shared" si="100"/>
        <v>0</v>
      </c>
      <c r="BT234" s="1414"/>
      <c r="BX234" s="1364"/>
      <c r="BY234" s="1364"/>
      <c r="BZ234" s="1364"/>
      <c r="CA234" s="1364"/>
      <c r="CB234" s="1364"/>
      <c r="CC234" s="1365"/>
      <c r="CD234" s="1365"/>
      <c r="CE234" s="1365"/>
      <c r="CF234" s="1365"/>
      <c r="CG234" s="1365"/>
      <c r="CH234" s="1366"/>
      <c r="CI234" s="1366"/>
      <c r="CJ234" s="1366"/>
      <c r="CK234" s="1366"/>
      <c r="CL234" s="1365"/>
      <c r="CM234" s="1366"/>
      <c r="CN234" s="1366"/>
      <c r="CO234" s="1366"/>
      <c r="CP234" s="1366"/>
      <c r="CQ234" s="1366"/>
      <c r="CR234" s="1366"/>
      <c r="CS234" s="1365"/>
      <c r="CT234" s="1365"/>
      <c r="CU234" s="1365"/>
      <c r="CV234" s="1365"/>
      <c r="CW234" s="1365"/>
      <c r="CX234" s="1365"/>
      <c r="CY234" s="1365"/>
      <c r="CZ234" s="1365"/>
      <c r="DA234" s="1365"/>
      <c r="DB234" s="1365"/>
      <c r="DC234" s="1365"/>
      <c r="DD234" s="1365"/>
      <c r="DE234" s="1365"/>
      <c r="DF234" s="1365"/>
      <c r="DG234" s="1365"/>
      <c r="DH234" s="1365"/>
      <c r="DI234" s="1365"/>
      <c r="DJ234" s="1365"/>
      <c r="DK234" s="1365"/>
      <c r="DL234" s="1365"/>
      <c r="DM234" s="1365"/>
      <c r="DN234" s="1365"/>
      <c r="DO234" s="1365"/>
      <c r="DP234" s="1365"/>
      <c r="DQ234" s="1365"/>
      <c r="DR234" s="1365"/>
      <c r="DS234" s="1365"/>
      <c r="DT234" s="1365"/>
    </row>
    <row r="235" spans="1:124">
      <c r="A235" s="1118">
        <f t="shared" ca="1" si="91"/>
        <v>5</v>
      </c>
      <c r="B235" s="1890">
        <f t="shared" si="101"/>
        <v>0</v>
      </c>
      <c r="C235" s="2160">
        <f t="shared" si="113"/>
        <v>0</v>
      </c>
      <c r="D235" s="2161">
        <f t="shared" si="114"/>
        <v>0</v>
      </c>
      <c r="E235" s="2162">
        <f t="shared" si="102"/>
        <v>0</v>
      </c>
      <c r="F235" s="2162">
        <f t="shared" si="124"/>
        <v>0</v>
      </c>
      <c r="G235" s="2162">
        <f t="shared" si="125"/>
        <v>0</v>
      </c>
      <c r="H235" s="2162">
        <f t="shared" si="115"/>
        <v>0</v>
      </c>
      <c r="I235" s="2162">
        <f t="shared" si="122"/>
        <v>0</v>
      </c>
      <c r="J235" s="2162">
        <f t="shared" si="92"/>
        <v>0</v>
      </c>
      <c r="K235" s="2162">
        <f t="shared" si="93"/>
        <v>0</v>
      </c>
      <c r="L235" s="2162">
        <f t="shared" si="103"/>
        <v>0</v>
      </c>
      <c r="M235" s="2162">
        <f t="shared" si="94"/>
        <v>0</v>
      </c>
      <c r="N235" s="2162">
        <f t="shared" si="104"/>
        <v>0</v>
      </c>
      <c r="O235" s="2163"/>
      <c r="AG235" s="1756"/>
      <c r="AH235" s="1756"/>
      <c r="AI235" s="1756"/>
      <c r="AJ235" s="1989">
        <f t="shared" si="105"/>
        <v>2</v>
      </c>
      <c r="AK235" s="1900">
        <f t="shared" si="106"/>
        <v>0</v>
      </c>
      <c r="AL235" s="1907"/>
      <c r="AM235" s="1907"/>
      <c r="AN235" s="1901">
        <f t="shared" si="116"/>
        <v>0</v>
      </c>
      <c r="AO235" s="1906">
        <f t="shared" ca="1" si="107"/>
        <v>0</v>
      </c>
      <c r="AU235" s="1903">
        <f t="shared" si="117"/>
        <v>0</v>
      </c>
      <c r="AV235" s="1904">
        <f t="shared" si="108"/>
        <v>0</v>
      </c>
      <c r="AW235" s="1904">
        <f t="shared" si="109"/>
        <v>0</v>
      </c>
      <c r="AX235" s="1904"/>
      <c r="AY235" s="1904"/>
      <c r="AZ235" s="1904"/>
      <c r="BA235" s="1904"/>
      <c r="BB235" s="1897">
        <f t="shared" si="110"/>
        <v>0</v>
      </c>
      <c r="BC235" s="1897">
        <f t="shared" si="95"/>
        <v>0</v>
      </c>
      <c r="BD235" s="1898" t="e">
        <f>HLOOKUP($BD$63,anticipaplus,171,0)</f>
        <v>#N/A</v>
      </c>
      <c r="BE235" s="1899"/>
      <c r="BF235" s="1899"/>
      <c r="BG235" s="1360">
        <f t="shared" si="111"/>
        <v>0</v>
      </c>
      <c r="BH235" s="1361">
        <f t="shared" si="119"/>
        <v>170</v>
      </c>
      <c r="BI235" s="1362">
        <f t="shared" si="112"/>
        <v>0</v>
      </c>
      <c r="BJ235" s="1362">
        <f t="shared" si="96"/>
        <v>0</v>
      </c>
      <c r="BK235" s="1362">
        <f t="shared" si="118"/>
        <v>0</v>
      </c>
      <c r="BL235" s="1363">
        <f t="shared" si="97"/>
        <v>1000000</v>
      </c>
      <c r="BM235" s="1899"/>
      <c r="BN235" s="1361" t="str">
        <f t="shared" si="120"/>
        <v/>
      </c>
      <c r="BO235" s="1362">
        <f t="shared" si="98"/>
        <v>0</v>
      </c>
      <c r="BP235" s="1362">
        <f t="shared" si="99"/>
        <v>0</v>
      </c>
      <c r="BQ235" s="1362">
        <f t="shared" ref="BQ235:BQ245" si="127">MIN(BR234+BO235,BQ234)</f>
        <v>0</v>
      </c>
      <c r="BR235" s="1363">
        <f t="shared" si="100"/>
        <v>0</v>
      </c>
      <c r="BT235" s="1414"/>
      <c r="BX235" s="1364"/>
      <c r="BY235" s="1364"/>
      <c r="BZ235" s="1364"/>
      <c r="CA235" s="1364"/>
      <c r="CB235" s="1364"/>
      <c r="CC235" s="1365"/>
      <c r="CD235" s="1365"/>
      <c r="CE235" s="1365"/>
      <c r="CF235" s="1365"/>
      <c r="CG235" s="1365"/>
      <c r="CH235" s="1366"/>
      <c r="CI235" s="1366"/>
      <c r="CJ235" s="1366"/>
      <c r="CK235" s="1366"/>
      <c r="CL235" s="1365"/>
      <c r="CM235" s="1366"/>
      <c r="CN235" s="1366"/>
      <c r="CO235" s="1366"/>
      <c r="CP235" s="1366"/>
      <c r="CQ235" s="1366"/>
      <c r="CR235" s="1366"/>
      <c r="CS235" s="1365"/>
      <c r="CT235" s="1365"/>
      <c r="CU235" s="1365"/>
      <c r="CV235" s="1365"/>
      <c r="CW235" s="1365"/>
      <c r="CX235" s="1365"/>
      <c r="CY235" s="1365"/>
      <c r="CZ235" s="1365"/>
      <c r="DA235" s="1365"/>
      <c r="DB235" s="1365"/>
      <c r="DC235" s="1365"/>
      <c r="DD235" s="1365"/>
      <c r="DE235" s="1365"/>
      <c r="DF235" s="1365"/>
      <c r="DG235" s="1365"/>
      <c r="DH235" s="1365"/>
      <c r="DI235" s="1365"/>
      <c r="DJ235" s="1365"/>
      <c r="DK235" s="1365"/>
      <c r="DL235" s="1365"/>
      <c r="DM235" s="1365"/>
      <c r="DN235" s="1365"/>
      <c r="DO235" s="1365"/>
      <c r="DP235" s="1365"/>
      <c r="DQ235" s="1365"/>
      <c r="DR235" s="1365"/>
      <c r="DS235" s="1365"/>
      <c r="DT235" s="1365"/>
    </row>
    <row r="236" spans="1:124">
      <c r="A236" s="1118">
        <f t="shared" ca="1" si="91"/>
        <v>6</v>
      </c>
      <c r="B236" s="1890">
        <f t="shared" si="101"/>
        <v>0</v>
      </c>
      <c r="C236" s="2160">
        <f t="shared" si="113"/>
        <v>0</v>
      </c>
      <c r="D236" s="2161">
        <f t="shared" si="114"/>
        <v>0</v>
      </c>
      <c r="E236" s="2162">
        <f t="shared" si="102"/>
        <v>0</v>
      </c>
      <c r="F236" s="2162">
        <f t="shared" si="124"/>
        <v>0</v>
      </c>
      <c r="G236" s="2162">
        <f t="shared" si="125"/>
        <v>0</v>
      </c>
      <c r="H236" s="2162">
        <f t="shared" si="115"/>
        <v>0</v>
      </c>
      <c r="I236" s="2162">
        <f t="shared" si="122"/>
        <v>0</v>
      </c>
      <c r="J236" s="2162">
        <f t="shared" si="92"/>
        <v>0</v>
      </c>
      <c r="K236" s="2162">
        <f t="shared" si="93"/>
        <v>0</v>
      </c>
      <c r="L236" s="2162">
        <f t="shared" si="103"/>
        <v>0</v>
      </c>
      <c r="M236" s="2162">
        <f t="shared" si="94"/>
        <v>0</v>
      </c>
      <c r="N236" s="2162">
        <f t="shared" si="104"/>
        <v>0</v>
      </c>
      <c r="O236" s="2163"/>
      <c r="AG236" s="1756"/>
      <c r="AH236" s="1756"/>
      <c r="AI236" s="1756"/>
      <c r="AJ236" s="1989">
        <f t="shared" si="105"/>
        <v>3</v>
      </c>
      <c r="AK236" s="1900">
        <f t="shared" si="106"/>
        <v>0</v>
      </c>
      <c r="AL236" s="1907"/>
      <c r="AM236" s="1907"/>
      <c r="AN236" s="1901">
        <f t="shared" si="116"/>
        <v>0</v>
      </c>
      <c r="AO236" s="1906">
        <f t="shared" ca="1" si="107"/>
        <v>0</v>
      </c>
      <c r="AU236" s="1903">
        <f t="shared" si="117"/>
        <v>0</v>
      </c>
      <c r="AV236" s="1904">
        <f t="shared" si="108"/>
        <v>0</v>
      </c>
      <c r="AW236" s="1904">
        <f t="shared" si="109"/>
        <v>0</v>
      </c>
      <c r="AX236" s="1904"/>
      <c r="AY236" s="1904"/>
      <c r="AZ236" s="1904"/>
      <c r="BA236" s="1904"/>
      <c r="BB236" s="1897">
        <f t="shared" si="110"/>
        <v>0</v>
      </c>
      <c r="BC236" s="1897">
        <f t="shared" si="95"/>
        <v>0</v>
      </c>
      <c r="BD236" s="1898" t="e">
        <f>HLOOKUP($BD$63,anticipaplus,172,0)</f>
        <v>#N/A</v>
      </c>
      <c r="BE236" s="1899"/>
      <c r="BF236" s="1899"/>
      <c r="BG236" s="1360">
        <f t="shared" si="111"/>
        <v>0</v>
      </c>
      <c r="BH236" s="1361">
        <f t="shared" si="119"/>
        <v>171</v>
      </c>
      <c r="BI236" s="1362">
        <f t="shared" si="112"/>
        <v>0</v>
      </c>
      <c r="BJ236" s="1362">
        <f t="shared" si="96"/>
        <v>0</v>
      </c>
      <c r="BK236" s="1362">
        <f t="shared" si="118"/>
        <v>0</v>
      </c>
      <c r="BL236" s="1363">
        <f t="shared" si="97"/>
        <v>1000000</v>
      </c>
      <c r="BM236" s="1899"/>
      <c r="BN236" s="1361" t="str">
        <f t="shared" si="120"/>
        <v/>
      </c>
      <c r="BO236" s="1362">
        <f t="shared" si="98"/>
        <v>0</v>
      </c>
      <c r="BP236" s="1362">
        <f t="shared" si="99"/>
        <v>0</v>
      </c>
      <c r="BQ236" s="1362">
        <f t="shared" si="127"/>
        <v>0</v>
      </c>
      <c r="BR236" s="1363">
        <f t="shared" si="100"/>
        <v>0</v>
      </c>
      <c r="BT236" s="1414"/>
      <c r="BX236" s="1364"/>
      <c r="BY236" s="1364"/>
      <c r="BZ236" s="1364"/>
      <c r="CA236" s="1364"/>
      <c r="CB236" s="1364"/>
      <c r="CC236" s="1365"/>
      <c r="CD236" s="1365"/>
      <c r="CE236" s="1365"/>
      <c r="CF236" s="1365"/>
      <c r="CG236" s="1365"/>
      <c r="CH236" s="1366"/>
      <c r="CI236" s="1366"/>
      <c r="CJ236" s="1366"/>
      <c r="CK236" s="1366"/>
      <c r="CL236" s="1365"/>
      <c r="CM236" s="1366"/>
      <c r="CN236" s="1366"/>
      <c r="CO236" s="1366"/>
      <c r="CP236" s="1366"/>
      <c r="CQ236" s="1366"/>
      <c r="CR236" s="1366"/>
      <c r="CS236" s="1365"/>
      <c r="CT236" s="1365"/>
      <c r="CU236" s="1365"/>
      <c r="CV236" s="1365"/>
      <c r="CW236" s="1365"/>
      <c r="CX236" s="1365"/>
      <c r="CY236" s="1365"/>
      <c r="CZ236" s="1365"/>
      <c r="DA236" s="1365"/>
      <c r="DB236" s="1365"/>
      <c r="DC236" s="1365"/>
      <c r="DD236" s="1365"/>
      <c r="DE236" s="1365"/>
      <c r="DF236" s="1365"/>
      <c r="DG236" s="1365"/>
      <c r="DH236" s="1365"/>
      <c r="DI236" s="1365"/>
      <c r="DJ236" s="1365"/>
      <c r="DK236" s="1365"/>
      <c r="DL236" s="1365"/>
      <c r="DM236" s="1365"/>
      <c r="DN236" s="1365"/>
      <c r="DO236" s="1365"/>
      <c r="DP236" s="1365"/>
      <c r="DQ236" s="1365"/>
      <c r="DR236" s="1365"/>
      <c r="DS236" s="1365"/>
      <c r="DT236" s="1365"/>
    </row>
    <row r="237" spans="1:124">
      <c r="A237" s="1118">
        <f t="shared" ca="1" si="91"/>
        <v>7</v>
      </c>
      <c r="B237" s="1890">
        <f t="shared" si="101"/>
        <v>0</v>
      </c>
      <c r="C237" s="2160">
        <f t="shared" si="113"/>
        <v>0</v>
      </c>
      <c r="D237" s="2161">
        <f t="shared" si="114"/>
        <v>0</v>
      </c>
      <c r="E237" s="2162">
        <f t="shared" si="102"/>
        <v>0</v>
      </c>
      <c r="F237" s="2162">
        <f t="shared" si="124"/>
        <v>0</v>
      </c>
      <c r="G237" s="2162">
        <f t="shared" si="125"/>
        <v>0</v>
      </c>
      <c r="H237" s="2162">
        <f t="shared" si="115"/>
        <v>0</v>
      </c>
      <c r="I237" s="2162">
        <f t="shared" si="122"/>
        <v>0</v>
      </c>
      <c r="J237" s="2162">
        <f t="shared" si="92"/>
        <v>0</v>
      </c>
      <c r="K237" s="2162">
        <f t="shared" si="93"/>
        <v>0</v>
      </c>
      <c r="L237" s="2162">
        <f t="shared" si="103"/>
        <v>0</v>
      </c>
      <c r="M237" s="2162">
        <f t="shared" si="94"/>
        <v>0</v>
      </c>
      <c r="N237" s="2162">
        <f t="shared" si="104"/>
        <v>0</v>
      </c>
      <c r="O237" s="2163"/>
      <c r="AG237" s="1756"/>
      <c r="AH237" s="1756"/>
      <c r="AI237" s="1756"/>
      <c r="AJ237" s="1989">
        <f t="shared" si="105"/>
        <v>4</v>
      </c>
      <c r="AK237" s="1900">
        <f t="shared" si="106"/>
        <v>0</v>
      </c>
      <c r="AL237" s="1907"/>
      <c r="AM237" s="1907"/>
      <c r="AN237" s="1901">
        <f t="shared" si="116"/>
        <v>0</v>
      </c>
      <c r="AO237" s="1906">
        <f t="shared" ca="1" si="107"/>
        <v>0</v>
      </c>
      <c r="AU237" s="1903">
        <f t="shared" si="117"/>
        <v>0</v>
      </c>
      <c r="AV237" s="1904">
        <f t="shared" si="108"/>
        <v>0</v>
      </c>
      <c r="AW237" s="1904">
        <f t="shared" si="109"/>
        <v>0</v>
      </c>
      <c r="AX237" s="1904"/>
      <c r="AY237" s="1904"/>
      <c r="AZ237" s="1904"/>
      <c r="BA237" s="1904"/>
      <c r="BB237" s="1897">
        <f t="shared" si="110"/>
        <v>0</v>
      </c>
      <c r="BC237" s="1897">
        <f t="shared" si="95"/>
        <v>0</v>
      </c>
      <c r="BD237" s="1898" t="e">
        <f>HLOOKUP($BD$63,anticipaplus,173,0)</f>
        <v>#N/A</v>
      </c>
      <c r="BE237" s="1899"/>
      <c r="BF237" s="1899"/>
      <c r="BG237" s="1360">
        <f t="shared" si="111"/>
        <v>0</v>
      </c>
      <c r="BH237" s="1361">
        <f t="shared" si="119"/>
        <v>172</v>
      </c>
      <c r="BI237" s="1362">
        <f t="shared" si="112"/>
        <v>0</v>
      </c>
      <c r="BJ237" s="1362">
        <f t="shared" si="96"/>
        <v>0</v>
      </c>
      <c r="BK237" s="1362">
        <f t="shared" si="118"/>
        <v>0</v>
      </c>
      <c r="BL237" s="1363">
        <f t="shared" si="97"/>
        <v>1000000</v>
      </c>
      <c r="BM237" s="1899"/>
      <c r="BN237" s="1361" t="str">
        <f t="shared" si="120"/>
        <v/>
      </c>
      <c r="BO237" s="1362">
        <f t="shared" si="98"/>
        <v>0</v>
      </c>
      <c r="BP237" s="1362">
        <f t="shared" si="99"/>
        <v>0</v>
      </c>
      <c r="BQ237" s="1362">
        <f t="shared" si="127"/>
        <v>0</v>
      </c>
      <c r="BR237" s="1363">
        <f t="shared" si="100"/>
        <v>0</v>
      </c>
      <c r="BT237" s="1414"/>
      <c r="BX237" s="1364"/>
      <c r="BY237" s="1364"/>
      <c r="BZ237" s="1364"/>
      <c r="CA237" s="1364"/>
      <c r="CB237" s="1364"/>
      <c r="CC237" s="1365"/>
      <c r="CD237" s="1365"/>
      <c r="CE237" s="1365"/>
      <c r="CF237" s="1365"/>
      <c r="CG237" s="1365"/>
      <c r="CH237" s="1366"/>
      <c r="CI237" s="1366"/>
      <c r="CJ237" s="1366"/>
      <c r="CK237" s="1366"/>
      <c r="CL237" s="1365"/>
      <c r="CM237" s="1366"/>
      <c r="CN237" s="1366"/>
      <c r="CO237" s="1366"/>
      <c r="CP237" s="1366"/>
      <c r="CQ237" s="1366"/>
      <c r="CR237" s="1366"/>
      <c r="CS237" s="1365"/>
      <c r="CT237" s="1365"/>
      <c r="CU237" s="1365"/>
      <c r="CV237" s="1365"/>
      <c r="CW237" s="1365"/>
      <c r="CX237" s="1365"/>
      <c r="CY237" s="1365"/>
      <c r="CZ237" s="1365"/>
      <c r="DA237" s="1365"/>
      <c r="DB237" s="1365"/>
      <c r="DC237" s="1365"/>
      <c r="DD237" s="1365"/>
      <c r="DE237" s="1365"/>
      <c r="DF237" s="1365"/>
      <c r="DG237" s="1365"/>
      <c r="DH237" s="1365"/>
      <c r="DI237" s="1365"/>
      <c r="DJ237" s="1365"/>
      <c r="DK237" s="1365"/>
      <c r="DL237" s="1365"/>
      <c r="DM237" s="1365"/>
      <c r="DN237" s="1365"/>
      <c r="DO237" s="1365"/>
      <c r="DP237" s="1365"/>
      <c r="DQ237" s="1365"/>
      <c r="DR237" s="1365"/>
      <c r="DS237" s="1365"/>
      <c r="DT237" s="1365"/>
    </row>
    <row r="238" spans="1:124">
      <c r="A238" s="1118">
        <f t="shared" ca="1" si="91"/>
        <v>8</v>
      </c>
      <c r="B238" s="1890">
        <f t="shared" si="101"/>
        <v>0</v>
      </c>
      <c r="C238" s="2160">
        <f t="shared" si="113"/>
        <v>0</v>
      </c>
      <c r="D238" s="2161">
        <f t="shared" si="114"/>
        <v>0</v>
      </c>
      <c r="E238" s="2162">
        <f t="shared" si="102"/>
        <v>0</v>
      </c>
      <c r="F238" s="2162">
        <f t="shared" si="124"/>
        <v>0</v>
      </c>
      <c r="G238" s="2162">
        <f t="shared" si="125"/>
        <v>0</v>
      </c>
      <c r="H238" s="2162">
        <f t="shared" si="115"/>
        <v>0</v>
      </c>
      <c r="I238" s="2162">
        <f t="shared" si="122"/>
        <v>0</v>
      </c>
      <c r="J238" s="2162">
        <f t="shared" si="92"/>
        <v>0</v>
      </c>
      <c r="K238" s="2162">
        <f t="shared" si="93"/>
        <v>0</v>
      </c>
      <c r="L238" s="2162">
        <f t="shared" si="103"/>
        <v>0</v>
      </c>
      <c r="M238" s="2162">
        <f t="shared" si="94"/>
        <v>0</v>
      </c>
      <c r="N238" s="2162">
        <f t="shared" si="104"/>
        <v>0</v>
      </c>
      <c r="O238" s="2163"/>
      <c r="AG238" s="1756"/>
      <c r="AH238" s="1756"/>
      <c r="AI238" s="1756"/>
      <c r="AJ238" s="1989">
        <f t="shared" si="105"/>
        <v>5</v>
      </c>
      <c r="AK238" s="1900">
        <f t="shared" si="106"/>
        <v>0</v>
      </c>
      <c r="AL238" s="1907"/>
      <c r="AM238" s="1907"/>
      <c r="AN238" s="1901">
        <f t="shared" si="116"/>
        <v>0</v>
      </c>
      <c r="AO238" s="1906">
        <f t="shared" ca="1" si="107"/>
        <v>0</v>
      </c>
      <c r="AU238" s="1903">
        <f t="shared" si="117"/>
        <v>0</v>
      </c>
      <c r="AV238" s="1904">
        <f t="shared" si="108"/>
        <v>0</v>
      </c>
      <c r="AW238" s="1904">
        <f t="shared" si="109"/>
        <v>0</v>
      </c>
      <c r="AX238" s="1904"/>
      <c r="AY238" s="1904"/>
      <c r="AZ238" s="1904"/>
      <c r="BA238" s="1904"/>
      <c r="BB238" s="1897">
        <f t="shared" si="110"/>
        <v>0</v>
      </c>
      <c r="BC238" s="1897">
        <f t="shared" si="95"/>
        <v>0</v>
      </c>
      <c r="BD238" s="1898" t="e">
        <f>HLOOKUP($BD$63,anticipaplus,174,0)</f>
        <v>#N/A</v>
      </c>
      <c r="BE238" s="1899"/>
      <c r="BF238" s="1899"/>
      <c r="BG238" s="1360">
        <f t="shared" si="111"/>
        <v>0</v>
      </c>
      <c r="BH238" s="1361">
        <f t="shared" si="119"/>
        <v>173</v>
      </c>
      <c r="BI238" s="1362">
        <f t="shared" si="112"/>
        <v>0</v>
      </c>
      <c r="BJ238" s="1362">
        <f t="shared" si="96"/>
        <v>0</v>
      </c>
      <c r="BK238" s="1362">
        <f t="shared" si="118"/>
        <v>0</v>
      </c>
      <c r="BL238" s="1363">
        <f t="shared" si="97"/>
        <v>1000000</v>
      </c>
      <c r="BM238" s="1899"/>
      <c r="BN238" s="1361" t="str">
        <f t="shared" si="120"/>
        <v/>
      </c>
      <c r="BO238" s="1362">
        <f t="shared" si="98"/>
        <v>0</v>
      </c>
      <c r="BP238" s="1362">
        <f t="shared" si="99"/>
        <v>0</v>
      </c>
      <c r="BQ238" s="1362">
        <f t="shared" si="127"/>
        <v>0</v>
      </c>
      <c r="BR238" s="1363">
        <f t="shared" si="100"/>
        <v>0</v>
      </c>
      <c r="BT238" s="1414"/>
      <c r="BX238" s="1364"/>
      <c r="BY238" s="1364"/>
      <c r="BZ238" s="1364"/>
      <c r="CA238" s="1364"/>
      <c r="CB238" s="1364"/>
      <c r="CC238" s="1365"/>
      <c r="CD238" s="1365"/>
      <c r="CE238" s="1365"/>
      <c r="CF238" s="1365"/>
      <c r="CG238" s="1365"/>
      <c r="CH238" s="1366"/>
      <c r="CI238" s="1366"/>
      <c r="CJ238" s="1366"/>
      <c r="CK238" s="1366"/>
      <c r="CL238" s="1365"/>
      <c r="CM238" s="1366"/>
      <c r="CN238" s="1366"/>
      <c r="CO238" s="1366"/>
      <c r="CP238" s="1366"/>
      <c r="CQ238" s="1366"/>
      <c r="CR238" s="1366"/>
      <c r="CS238" s="1365"/>
      <c r="CT238" s="1365"/>
      <c r="CU238" s="1365"/>
      <c r="CV238" s="1365"/>
      <c r="CW238" s="1365"/>
      <c r="CX238" s="1365"/>
      <c r="CY238" s="1365"/>
      <c r="CZ238" s="1365"/>
      <c r="DA238" s="1365"/>
      <c r="DB238" s="1365"/>
      <c r="DC238" s="1365"/>
      <c r="DD238" s="1365"/>
      <c r="DE238" s="1365"/>
      <c r="DF238" s="1365"/>
      <c r="DG238" s="1365"/>
      <c r="DH238" s="1365"/>
      <c r="DI238" s="1365"/>
      <c r="DJ238" s="1365"/>
      <c r="DK238" s="1365"/>
      <c r="DL238" s="1365"/>
      <c r="DM238" s="1365"/>
      <c r="DN238" s="1365"/>
      <c r="DO238" s="1365"/>
      <c r="DP238" s="1365"/>
      <c r="DQ238" s="1365"/>
      <c r="DR238" s="1365"/>
      <c r="DS238" s="1365"/>
      <c r="DT238" s="1365"/>
    </row>
    <row r="239" spans="1:124">
      <c r="A239" s="1118">
        <f t="shared" ca="1" si="91"/>
        <v>9</v>
      </c>
      <c r="B239" s="1890">
        <f t="shared" si="101"/>
        <v>0</v>
      </c>
      <c r="C239" s="2160">
        <f t="shared" si="113"/>
        <v>0</v>
      </c>
      <c r="D239" s="2161">
        <f t="shared" si="114"/>
        <v>0</v>
      </c>
      <c r="E239" s="2162">
        <f t="shared" si="102"/>
        <v>0</v>
      </c>
      <c r="F239" s="2162">
        <f t="shared" si="124"/>
        <v>0</v>
      </c>
      <c r="G239" s="2162">
        <f t="shared" si="125"/>
        <v>0</v>
      </c>
      <c r="H239" s="2162">
        <f t="shared" si="115"/>
        <v>0</v>
      </c>
      <c r="I239" s="2162">
        <f t="shared" si="122"/>
        <v>0</v>
      </c>
      <c r="J239" s="2162">
        <f t="shared" si="92"/>
        <v>0</v>
      </c>
      <c r="K239" s="2162">
        <f t="shared" si="93"/>
        <v>0</v>
      </c>
      <c r="L239" s="2162">
        <f t="shared" si="103"/>
        <v>0</v>
      </c>
      <c r="M239" s="2162">
        <f t="shared" si="94"/>
        <v>0</v>
      </c>
      <c r="N239" s="2162">
        <f t="shared" si="104"/>
        <v>0</v>
      </c>
      <c r="O239" s="2163"/>
      <c r="AG239" s="1756"/>
      <c r="AH239" s="1756"/>
      <c r="AI239" s="1756"/>
      <c r="AJ239" s="1989">
        <f t="shared" si="105"/>
        <v>6</v>
      </c>
      <c r="AK239" s="1900">
        <f t="shared" si="106"/>
        <v>0</v>
      </c>
      <c r="AL239" s="1907"/>
      <c r="AM239" s="1907"/>
      <c r="AN239" s="1901">
        <f t="shared" si="116"/>
        <v>0</v>
      </c>
      <c r="AO239" s="1906">
        <f t="shared" ca="1" si="107"/>
        <v>0</v>
      </c>
      <c r="AU239" s="1903">
        <f t="shared" si="117"/>
        <v>0</v>
      </c>
      <c r="AV239" s="1904">
        <f t="shared" si="108"/>
        <v>0</v>
      </c>
      <c r="AW239" s="1904">
        <f t="shared" si="109"/>
        <v>0</v>
      </c>
      <c r="AX239" s="1904"/>
      <c r="AY239" s="1904"/>
      <c r="AZ239" s="1904"/>
      <c r="BA239" s="1904"/>
      <c r="BB239" s="1897">
        <f t="shared" si="110"/>
        <v>0</v>
      </c>
      <c r="BC239" s="1897">
        <f t="shared" si="95"/>
        <v>0</v>
      </c>
      <c r="BD239" s="1898" t="e">
        <f>HLOOKUP($BD$63,anticipaplus,175,0)</f>
        <v>#N/A</v>
      </c>
      <c r="BE239" s="1899"/>
      <c r="BF239" s="1899"/>
      <c r="BG239" s="1360">
        <f t="shared" si="111"/>
        <v>0</v>
      </c>
      <c r="BH239" s="1361">
        <f t="shared" si="119"/>
        <v>174</v>
      </c>
      <c r="BI239" s="1362">
        <f t="shared" si="112"/>
        <v>0</v>
      </c>
      <c r="BJ239" s="1362">
        <f t="shared" si="96"/>
        <v>0</v>
      </c>
      <c r="BK239" s="1362">
        <f t="shared" si="118"/>
        <v>0</v>
      </c>
      <c r="BL239" s="1363">
        <f t="shared" si="97"/>
        <v>1000000</v>
      </c>
      <c r="BM239" s="1899"/>
      <c r="BN239" s="1361" t="str">
        <f t="shared" si="120"/>
        <v/>
      </c>
      <c r="BO239" s="1362">
        <f t="shared" si="98"/>
        <v>0</v>
      </c>
      <c r="BP239" s="1362">
        <f t="shared" si="99"/>
        <v>0</v>
      </c>
      <c r="BQ239" s="1362">
        <f t="shared" si="127"/>
        <v>0</v>
      </c>
      <c r="BR239" s="1363">
        <f t="shared" si="100"/>
        <v>0</v>
      </c>
      <c r="BT239" s="1414"/>
      <c r="BX239" s="1364"/>
      <c r="BY239" s="1364"/>
      <c r="BZ239" s="1364"/>
      <c r="CA239" s="1364"/>
      <c r="CB239" s="1364"/>
      <c r="CC239" s="1365"/>
      <c r="CD239" s="1365"/>
      <c r="CE239" s="1365"/>
      <c r="CF239" s="1365"/>
      <c r="CG239" s="1365"/>
      <c r="CH239" s="1366"/>
      <c r="CI239" s="1366"/>
      <c r="CJ239" s="1366"/>
      <c r="CK239" s="1366"/>
      <c r="CL239" s="1365"/>
      <c r="CM239" s="1366"/>
      <c r="CN239" s="1366"/>
      <c r="CO239" s="1366"/>
      <c r="CP239" s="1366"/>
      <c r="CQ239" s="1366"/>
      <c r="CR239" s="1366"/>
      <c r="CS239" s="1365"/>
      <c r="CT239" s="1365"/>
      <c r="CU239" s="1365"/>
      <c r="CV239" s="1365"/>
      <c r="CW239" s="1365"/>
      <c r="CX239" s="1365"/>
      <c r="CY239" s="1365"/>
      <c r="CZ239" s="1365"/>
      <c r="DA239" s="1365"/>
      <c r="DB239" s="1365"/>
      <c r="DC239" s="1365"/>
      <c r="DD239" s="1365"/>
      <c r="DE239" s="1365"/>
      <c r="DF239" s="1365"/>
      <c r="DG239" s="1365"/>
      <c r="DH239" s="1365"/>
      <c r="DI239" s="1365"/>
      <c r="DJ239" s="1365"/>
      <c r="DK239" s="1365"/>
      <c r="DL239" s="1365"/>
      <c r="DM239" s="1365"/>
      <c r="DN239" s="1365"/>
      <c r="DO239" s="1365"/>
      <c r="DP239" s="1365"/>
      <c r="DQ239" s="1365"/>
      <c r="DR239" s="1365"/>
      <c r="DS239" s="1365"/>
      <c r="DT239" s="1365"/>
    </row>
    <row r="240" spans="1:124">
      <c r="A240" s="1118">
        <f t="shared" ca="1" si="91"/>
        <v>10</v>
      </c>
      <c r="B240" s="1890">
        <f t="shared" si="101"/>
        <v>0</v>
      </c>
      <c r="C240" s="2160">
        <f t="shared" si="113"/>
        <v>0</v>
      </c>
      <c r="D240" s="2161">
        <f t="shared" si="114"/>
        <v>0</v>
      </c>
      <c r="E240" s="2162">
        <f t="shared" si="102"/>
        <v>0</v>
      </c>
      <c r="F240" s="2162">
        <f t="shared" si="124"/>
        <v>0</v>
      </c>
      <c r="G240" s="2162">
        <f t="shared" si="125"/>
        <v>0</v>
      </c>
      <c r="H240" s="2162">
        <f t="shared" si="115"/>
        <v>0</v>
      </c>
      <c r="I240" s="2162">
        <f t="shared" si="122"/>
        <v>0</v>
      </c>
      <c r="J240" s="2162">
        <f t="shared" si="92"/>
        <v>0</v>
      </c>
      <c r="K240" s="2162">
        <f t="shared" si="93"/>
        <v>0</v>
      </c>
      <c r="L240" s="2162">
        <f t="shared" si="103"/>
        <v>0</v>
      </c>
      <c r="M240" s="2162">
        <f t="shared" si="94"/>
        <v>0</v>
      </c>
      <c r="N240" s="2162">
        <f t="shared" si="104"/>
        <v>0</v>
      </c>
      <c r="O240" s="2163"/>
      <c r="AG240" s="1756"/>
      <c r="AH240" s="1756"/>
      <c r="AI240" s="1756"/>
      <c r="AJ240" s="1989">
        <f t="shared" si="105"/>
        <v>7</v>
      </c>
      <c r="AK240" s="1900">
        <f t="shared" si="106"/>
        <v>0</v>
      </c>
      <c r="AL240" s="1907"/>
      <c r="AM240" s="1907"/>
      <c r="AN240" s="1901">
        <f t="shared" si="116"/>
        <v>0</v>
      </c>
      <c r="AO240" s="1906">
        <f t="shared" ca="1" si="107"/>
        <v>0</v>
      </c>
      <c r="AU240" s="1903">
        <f t="shared" si="117"/>
        <v>0</v>
      </c>
      <c r="AV240" s="1904">
        <f t="shared" si="108"/>
        <v>0</v>
      </c>
      <c r="AW240" s="1904">
        <f t="shared" si="109"/>
        <v>0</v>
      </c>
      <c r="AX240" s="1904"/>
      <c r="AY240" s="1904"/>
      <c r="AZ240" s="1904"/>
      <c r="BA240" s="1904"/>
      <c r="BB240" s="1897">
        <f t="shared" si="110"/>
        <v>0</v>
      </c>
      <c r="BC240" s="1897">
        <f t="shared" si="95"/>
        <v>0</v>
      </c>
      <c r="BD240" s="1898" t="e">
        <f>HLOOKUP($BD$63,anticipaplus,176,0)</f>
        <v>#N/A</v>
      </c>
      <c r="BE240" s="1899"/>
      <c r="BF240" s="1899"/>
      <c r="BG240" s="1360">
        <f t="shared" si="111"/>
        <v>0</v>
      </c>
      <c r="BH240" s="1361">
        <f t="shared" si="119"/>
        <v>175</v>
      </c>
      <c r="BI240" s="1362">
        <f t="shared" si="112"/>
        <v>0</v>
      </c>
      <c r="BJ240" s="1362">
        <f t="shared" si="96"/>
        <v>0</v>
      </c>
      <c r="BK240" s="1362">
        <f t="shared" si="118"/>
        <v>0</v>
      </c>
      <c r="BL240" s="1363">
        <f t="shared" si="97"/>
        <v>1000000</v>
      </c>
      <c r="BM240" s="1899"/>
      <c r="BN240" s="1361" t="str">
        <f t="shared" si="120"/>
        <v/>
      </c>
      <c r="BO240" s="1362">
        <f t="shared" si="98"/>
        <v>0</v>
      </c>
      <c r="BP240" s="1362">
        <f t="shared" si="99"/>
        <v>0</v>
      </c>
      <c r="BQ240" s="1362">
        <f t="shared" si="127"/>
        <v>0</v>
      </c>
      <c r="BR240" s="1363">
        <f t="shared" si="100"/>
        <v>0</v>
      </c>
      <c r="BT240" s="1414"/>
      <c r="BX240" s="1364"/>
      <c r="BY240" s="1364"/>
      <c r="BZ240" s="1364"/>
      <c r="CA240" s="1364"/>
      <c r="CB240" s="1364"/>
      <c r="CC240" s="1365"/>
      <c r="CD240" s="1365"/>
      <c r="CE240" s="1365"/>
      <c r="CF240" s="1365"/>
      <c r="CG240" s="1365"/>
      <c r="CH240" s="1366"/>
      <c r="CI240" s="1366"/>
      <c r="CJ240" s="1366"/>
      <c r="CK240" s="1366"/>
      <c r="CL240" s="1365"/>
      <c r="CM240" s="1366"/>
      <c r="CN240" s="1366"/>
      <c r="CO240" s="1366"/>
      <c r="CP240" s="1366"/>
      <c r="CQ240" s="1366"/>
      <c r="CR240" s="1366"/>
      <c r="CS240" s="1365"/>
      <c r="CT240" s="1365"/>
      <c r="CU240" s="1365"/>
      <c r="CV240" s="1365"/>
      <c r="CW240" s="1365"/>
      <c r="CX240" s="1365"/>
      <c r="CY240" s="1365"/>
      <c r="CZ240" s="1365"/>
      <c r="DA240" s="1365"/>
      <c r="DB240" s="1365"/>
      <c r="DC240" s="1365"/>
      <c r="DD240" s="1365"/>
      <c r="DE240" s="1365"/>
      <c r="DF240" s="1365"/>
      <c r="DG240" s="1365"/>
      <c r="DH240" s="1365"/>
      <c r="DI240" s="1365"/>
      <c r="DJ240" s="1365"/>
      <c r="DK240" s="1365"/>
      <c r="DL240" s="1365"/>
      <c r="DM240" s="1365"/>
      <c r="DN240" s="1365"/>
      <c r="DO240" s="1365"/>
      <c r="DP240" s="1365"/>
      <c r="DQ240" s="1365"/>
      <c r="DR240" s="1365"/>
      <c r="DS240" s="1365"/>
      <c r="DT240" s="1365"/>
    </row>
    <row r="241" spans="1:124">
      <c r="A241" s="1118">
        <f t="shared" ca="1" si="91"/>
        <v>11</v>
      </c>
      <c r="B241" s="1890">
        <f t="shared" si="101"/>
        <v>0</v>
      </c>
      <c r="C241" s="2160">
        <f t="shared" si="113"/>
        <v>0</v>
      </c>
      <c r="D241" s="2161">
        <f t="shared" si="114"/>
        <v>0</v>
      </c>
      <c r="E241" s="2162">
        <f t="shared" si="102"/>
        <v>0</v>
      </c>
      <c r="F241" s="2162">
        <f t="shared" si="124"/>
        <v>0</v>
      </c>
      <c r="G241" s="2162">
        <f t="shared" si="125"/>
        <v>0</v>
      </c>
      <c r="H241" s="2162">
        <f t="shared" si="115"/>
        <v>0</v>
      </c>
      <c r="I241" s="2162">
        <f t="shared" si="122"/>
        <v>0</v>
      </c>
      <c r="J241" s="2162">
        <f t="shared" si="92"/>
        <v>0</v>
      </c>
      <c r="K241" s="2162">
        <f t="shared" si="93"/>
        <v>0</v>
      </c>
      <c r="L241" s="2162">
        <f t="shared" si="103"/>
        <v>0</v>
      </c>
      <c r="M241" s="2162">
        <f t="shared" si="94"/>
        <v>0</v>
      </c>
      <c r="N241" s="2162">
        <f t="shared" si="104"/>
        <v>0</v>
      </c>
      <c r="O241" s="2163"/>
      <c r="AG241" s="1756"/>
      <c r="AH241" s="1756"/>
      <c r="AI241" s="1756"/>
      <c r="AJ241" s="1989">
        <f t="shared" si="105"/>
        <v>8</v>
      </c>
      <c r="AK241" s="1900">
        <f t="shared" si="106"/>
        <v>0</v>
      </c>
      <c r="AL241" s="1907"/>
      <c r="AM241" s="1907"/>
      <c r="AN241" s="1901">
        <f t="shared" si="116"/>
        <v>0</v>
      </c>
      <c r="AO241" s="1906">
        <f t="shared" ca="1" si="107"/>
        <v>0</v>
      </c>
      <c r="AU241" s="1903">
        <f t="shared" si="117"/>
        <v>0</v>
      </c>
      <c r="AV241" s="1904">
        <f t="shared" si="108"/>
        <v>0</v>
      </c>
      <c r="AW241" s="1904">
        <f t="shared" si="109"/>
        <v>0</v>
      </c>
      <c r="AX241" s="1904"/>
      <c r="AY241" s="1904"/>
      <c r="AZ241" s="1904"/>
      <c r="BA241" s="1904"/>
      <c r="BB241" s="1897">
        <f t="shared" si="110"/>
        <v>0</v>
      </c>
      <c r="BC241" s="1897">
        <f t="shared" si="95"/>
        <v>0</v>
      </c>
      <c r="BD241" s="1898" t="e">
        <f>HLOOKUP($BD$63,anticipaplus,177,0)</f>
        <v>#N/A</v>
      </c>
      <c r="BE241" s="1899"/>
      <c r="BF241" s="1899"/>
      <c r="BG241" s="1360">
        <f t="shared" si="111"/>
        <v>0</v>
      </c>
      <c r="BH241" s="1361">
        <f t="shared" si="119"/>
        <v>176</v>
      </c>
      <c r="BI241" s="1362">
        <f t="shared" si="112"/>
        <v>0</v>
      </c>
      <c r="BJ241" s="1362">
        <f t="shared" si="96"/>
        <v>0</v>
      </c>
      <c r="BK241" s="1362">
        <f t="shared" si="118"/>
        <v>0</v>
      </c>
      <c r="BL241" s="1363">
        <f t="shared" si="97"/>
        <v>1000000</v>
      </c>
      <c r="BM241" s="1899"/>
      <c r="BN241" s="1361" t="str">
        <f t="shared" si="120"/>
        <v/>
      </c>
      <c r="BO241" s="1362">
        <f t="shared" si="98"/>
        <v>0</v>
      </c>
      <c r="BP241" s="1362">
        <f t="shared" si="99"/>
        <v>0</v>
      </c>
      <c r="BQ241" s="1362">
        <f t="shared" si="127"/>
        <v>0</v>
      </c>
      <c r="BR241" s="1363">
        <f t="shared" si="100"/>
        <v>0</v>
      </c>
      <c r="BT241" s="1414"/>
      <c r="BX241" s="1364"/>
      <c r="BY241" s="1364"/>
      <c r="BZ241" s="1364"/>
      <c r="CA241" s="1364"/>
      <c r="CB241" s="1364"/>
      <c r="CC241" s="1365"/>
      <c r="CD241" s="1365"/>
      <c r="CE241" s="1365"/>
      <c r="CF241" s="1365"/>
      <c r="CG241" s="1365"/>
      <c r="CH241" s="1366"/>
      <c r="CI241" s="1366"/>
      <c r="CJ241" s="1366"/>
      <c r="CK241" s="1366"/>
      <c r="CL241" s="1365"/>
      <c r="CM241" s="1366"/>
      <c r="CN241" s="1366"/>
      <c r="CO241" s="1366"/>
      <c r="CP241" s="1366"/>
      <c r="CQ241" s="1366"/>
      <c r="CR241" s="1366"/>
      <c r="CS241" s="1365"/>
      <c r="CT241" s="1365"/>
      <c r="CU241" s="1365"/>
      <c r="CV241" s="1365"/>
      <c r="CW241" s="1365"/>
      <c r="CX241" s="1365"/>
      <c r="CY241" s="1365"/>
      <c r="CZ241" s="1365"/>
      <c r="DA241" s="1365"/>
      <c r="DB241" s="1365"/>
      <c r="DC241" s="1365"/>
      <c r="DD241" s="1365"/>
      <c r="DE241" s="1365"/>
      <c r="DF241" s="1365"/>
      <c r="DG241" s="1365"/>
      <c r="DH241" s="1365"/>
      <c r="DI241" s="1365"/>
      <c r="DJ241" s="1365"/>
      <c r="DK241" s="1365"/>
      <c r="DL241" s="1365"/>
      <c r="DM241" s="1365"/>
      <c r="DN241" s="1365"/>
      <c r="DO241" s="1365"/>
      <c r="DP241" s="1365"/>
      <c r="DQ241" s="1365"/>
      <c r="DR241" s="1365"/>
      <c r="DS241" s="1365"/>
      <c r="DT241" s="1365"/>
    </row>
    <row r="242" spans="1:124">
      <c r="A242" s="1118">
        <f t="shared" ca="1" si="91"/>
        <v>12</v>
      </c>
      <c r="B242" s="1890">
        <f t="shared" si="101"/>
        <v>0</v>
      </c>
      <c r="C242" s="2160">
        <f t="shared" si="113"/>
        <v>0</v>
      </c>
      <c r="D242" s="2161">
        <f t="shared" si="114"/>
        <v>0</v>
      </c>
      <c r="E242" s="2162">
        <f t="shared" si="102"/>
        <v>0</v>
      </c>
      <c r="F242" s="2162">
        <f t="shared" si="124"/>
        <v>0</v>
      </c>
      <c r="G242" s="2162">
        <f t="shared" si="125"/>
        <v>0</v>
      </c>
      <c r="H242" s="2162">
        <f t="shared" si="115"/>
        <v>0</v>
      </c>
      <c r="I242" s="2162">
        <f t="shared" si="122"/>
        <v>0</v>
      </c>
      <c r="J242" s="2162">
        <f t="shared" si="92"/>
        <v>0</v>
      </c>
      <c r="K242" s="2162">
        <f t="shared" si="93"/>
        <v>0</v>
      </c>
      <c r="L242" s="2162">
        <f t="shared" si="103"/>
        <v>0</v>
      </c>
      <c r="M242" s="2162">
        <f t="shared" si="94"/>
        <v>0</v>
      </c>
      <c r="N242" s="2162">
        <f t="shared" si="104"/>
        <v>0</v>
      </c>
      <c r="O242" s="2163"/>
      <c r="AG242" s="1756"/>
      <c r="AH242" s="1756"/>
      <c r="AI242" s="1756"/>
      <c r="AJ242" s="1989">
        <f t="shared" si="105"/>
        <v>9</v>
      </c>
      <c r="AK242" s="1900">
        <f t="shared" si="106"/>
        <v>0</v>
      </c>
      <c r="AL242" s="1907"/>
      <c r="AM242" s="1907"/>
      <c r="AN242" s="1901">
        <f t="shared" si="116"/>
        <v>0</v>
      </c>
      <c r="AO242" s="1906">
        <f t="shared" ca="1" si="107"/>
        <v>0</v>
      </c>
      <c r="AU242" s="1903">
        <f t="shared" si="117"/>
        <v>0</v>
      </c>
      <c r="AV242" s="1904">
        <f t="shared" si="108"/>
        <v>0</v>
      </c>
      <c r="AW242" s="1904">
        <f t="shared" si="109"/>
        <v>0</v>
      </c>
      <c r="AX242" s="1904"/>
      <c r="AY242" s="1904"/>
      <c r="AZ242" s="1904"/>
      <c r="BA242" s="1904"/>
      <c r="BB242" s="1897">
        <f t="shared" si="110"/>
        <v>0</v>
      </c>
      <c r="BC242" s="1897">
        <f t="shared" si="95"/>
        <v>0</v>
      </c>
      <c r="BD242" s="1898" t="e">
        <f>HLOOKUP($BD$63,anticipaplus,178,0)</f>
        <v>#N/A</v>
      </c>
      <c r="BE242" s="1899"/>
      <c r="BF242" s="1899"/>
      <c r="BG242" s="1360">
        <f t="shared" si="111"/>
        <v>0</v>
      </c>
      <c r="BH242" s="1361">
        <f t="shared" si="119"/>
        <v>177</v>
      </c>
      <c r="BI242" s="1362">
        <f t="shared" si="112"/>
        <v>0</v>
      </c>
      <c r="BJ242" s="1362">
        <f t="shared" si="96"/>
        <v>0</v>
      </c>
      <c r="BK242" s="1362">
        <f t="shared" si="118"/>
        <v>0</v>
      </c>
      <c r="BL242" s="1363">
        <f t="shared" si="97"/>
        <v>1000000</v>
      </c>
      <c r="BM242" s="1899"/>
      <c r="BN242" s="1361" t="str">
        <f t="shared" si="120"/>
        <v/>
      </c>
      <c r="BO242" s="1362">
        <f t="shared" si="98"/>
        <v>0</v>
      </c>
      <c r="BP242" s="1362">
        <f t="shared" si="99"/>
        <v>0</v>
      </c>
      <c r="BQ242" s="1362">
        <f t="shared" si="127"/>
        <v>0</v>
      </c>
      <c r="BR242" s="1363">
        <f t="shared" si="100"/>
        <v>0</v>
      </c>
      <c r="BT242" s="1414"/>
      <c r="BX242" s="1364"/>
      <c r="BY242" s="1364"/>
      <c r="BZ242" s="1364"/>
      <c r="CA242" s="1364"/>
      <c r="CB242" s="1364"/>
      <c r="CC242" s="1365"/>
      <c r="CD242" s="1365"/>
      <c r="CE242" s="1365"/>
      <c r="CF242" s="1365"/>
      <c r="CG242" s="1365"/>
      <c r="CH242" s="1366"/>
      <c r="CI242" s="1366"/>
      <c r="CJ242" s="1366"/>
      <c r="CK242" s="1366"/>
      <c r="CL242" s="1365"/>
      <c r="CM242" s="1366"/>
      <c r="CN242" s="1366"/>
      <c r="CO242" s="1366"/>
      <c r="CP242" s="1366"/>
      <c r="CQ242" s="1366"/>
      <c r="CR242" s="1366"/>
      <c r="CS242" s="1365"/>
      <c r="CT242" s="1365"/>
      <c r="CU242" s="1365"/>
      <c r="CV242" s="1365"/>
      <c r="CW242" s="1365"/>
      <c r="CX242" s="1365"/>
      <c r="CY242" s="1365"/>
      <c r="CZ242" s="1365"/>
      <c r="DA242" s="1365"/>
      <c r="DB242" s="1365"/>
      <c r="DC242" s="1365"/>
      <c r="DD242" s="1365"/>
      <c r="DE242" s="1365"/>
      <c r="DF242" s="1365"/>
      <c r="DG242" s="1365"/>
      <c r="DH242" s="1365"/>
      <c r="DI242" s="1365"/>
      <c r="DJ242" s="1365"/>
      <c r="DK242" s="1365"/>
      <c r="DL242" s="1365"/>
      <c r="DM242" s="1365"/>
      <c r="DN242" s="1365"/>
      <c r="DO242" s="1365"/>
      <c r="DP242" s="1365"/>
      <c r="DQ242" s="1365"/>
      <c r="DR242" s="1365"/>
      <c r="DS242" s="1365"/>
      <c r="DT242" s="1365"/>
    </row>
    <row r="243" spans="1:124">
      <c r="A243" s="1118">
        <f t="shared" ca="1" si="91"/>
        <v>1</v>
      </c>
      <c r="B243" s="1890">
        <f t="shared" si="101"/>
        <v>0</v>
      </c>
      <c r="C243" s="2160">
        <f t="shared" si="113"/>
        <v>0</v>
      </c>
      <c r="D243" s="2161">
        <f t="shared" si="114"/>
        <v>0</v>
      </c>
      <c r="E243" s="2162">
        <f t="shared" si="102"/>
        <v>0</v>
      </c>
      <c r="F243" s="2162">
        <f t="shared" si="124"/>
        <v>0</v>
      </c>
      <c r="G243" s="2162">
        <f t="shared" si="125"/>
        <v>0</v>
      </c>
      <c r="H243" s="2162">
        <f t="shared" si="115"/>
        <v>0</v>
      </c>
      <c r="I243" s="2162">
        <f t="shared" si="122"/>
        <v>0</v>
      </c>
      <c r="J243" s="2162">
        <f t="shared" si="92"/>
        <v>0</v>
      </c>
      <c r="K243" s="2162">
        <f t="shared" si="93"/>
        <v>0</v>
      </c>
      <c r="L243" s="2162">
        <f t="shared" si="103"/>
        <v>0</v>
      </c>
      <c r="M243" s="2162">
        <f t="shared" si="94"/>
        <v>0</v>
      </c>
      <c r="N243" s="2162">
        <f t="shared" si="104"/>
        <v>0</v>
      </c>
      <c r="O243" s="2163"/>
      <c r="AG243" s="1756"/>
      <c r="AH243" s="1756"/>
      <c r="AI243" s="1756"/>
      <c r="AJ243" s="1989">
        <f t="shared" si="105"/>
        <v>10</v>
      </c>
      <c r="AK243" s="1900">
        <f t="shared" si="106"/>
        <v>0</v>
      </c>
      <c r="AL243" s="1907"/>
      <c r="AM243" s="1907"/>
      <c r="AN243" s="1901">
        <f t="shared" si="116"/>
        <v>0</v>
      </c>
      <c r="AO243" s="1906">
        <f t="shared" ca="1" si="107"/>
        <v>0</v>
      </c>
      <c r="AU243" s="1903">
        <f t="shared" si="117"/>
        <v>0</v>
      </c>
      <c r="AV243" s="1904">
        <f t="shared" si="108"/>
        <v>0</v>
      </c>
      <c r="AW243" s="1904">
        <f t="shared" si="109"/>
        <v>0</v>
      </c>
      <c r="AX243" s="1904"/>
      <c r="AY243" s="1904"/>
      <c r="AZ243" s="1904"/>
      <c r="BA243" s="1904"/>
      <c r="BB243" s="1897">
        <f t="shared" si="110"/>
        <v>0</v>
      </c>
      <c r="BC243" s="1897">
        <f t="shared" si="95"/>
        <v>0</v>
      </c>
      <c r="BD243" s="1898" t="e">
        <f>HLOOKUP($BD$63,anticipaplus,179,0)</f>
        <v>#N/A</v>
      </c>
      <c r="BE243" s="1899"/>
      <c r="BF243" s="1899"/>
      <c r="BG243" s="1360">
        <f t="shared" si="111"/>
        <v>0</v>
      </c>
      <c r="BH243" s="1361">
        <f t="shared" si="119"/>
        <v>178</v>
      </c>
      <c r="BI243" s="1362">
        <f t="shared" si="112"/>
        <v>0</v>
      </c>
      <c r="BJ243" s="1362">
        <f t="shared" si="96"/>
        <v>0</v>
      </c>
      <c r="BK243" s="1362">
        <f t="shared" si="118"/>
        <v>0</v>
      </c>
      <c r="BL243" s="1363">
        <f t="shared" si="97"/>
        <v>1000000</v>
      </c>
      <c r="BM243" s="1899"/>
      <c r="BN243" s="1361" t="str">
        <f t="shared" si="120"/>
        <v/>
      </c>
      <c r="BO243" s="1362">
        <f t="shared" si="98"/>
        <v>0</v>
      </c>
      <c r="BP243" s="1362">
        <f t="shared" si="99"/>
        <v>0</v>
      </c>
      <c r="BQ243" s="1362">
        <f t="shared" si="127"/>
        <v>0</v>
      </c>
      <c r="BR243" s="1363">
        <f t="shared" si="100"/>
        <v>0</v>
      </c>
      <c r="BT243" s="1414"/>
      <c r="BX243" s="1364"/>
      <c r="BY243" s="1364"/>
      <c r="BZ243" s="1364"/>
      <c r="CA243" s="1364"/>
      <c r="CB243" s="1364"/>
      <c r="CC243" s="1365"/>
      <c r="CD243" s="1365"/>
      <c r="CE243" s="1365"/>
      <c r="CF243" s="1365"/>
      <c r="CG243" s="1365"/>
      <c r="CH243" s="1366"/>
      <c r="CI243" s="1366"/>
      <c r="CJ243" s="1366"/>
      <c r="CK243" s="1366"/>
      <c r="CL243" s="1365"/>
      <c r="CM243" s="1366"/>
      <c r="CN243" s="1366"/>
      <c r="CO243" s="1366"/>
      <c r="CP243" s="1366"/>
      <c r="CQ243" s="1366"/>
      <c r="CR243" s="1366"/>
      <c r="CS243" s="1365"/>
      <c r="CT243" s="1365"/>
      <c r="CU243" s="1365"/>
      <c r="CV243" s="1365"/>
      <c r="CW243" s="1365"/>
      <c r="CX243" s="1365"/>
      <c r="CY243" s="1365"/>
      <c r="CZ243" s="1365"/>
      <c r="DA243" s="1365"/>
      <c r="DB243" s="1365"/>
      <c r="DC243" s="1365"/>
      <c r="DD243" s="1365"/>
      <c r="DE243" s="1365"/>
      <c r="DF243" s="1365"/>
      <c r="DG243" s="1365"/>
      <c r="DH243" s="1365"/>
      <c r="DI243" s="1365"/>
      <c r="DJ243" s="1365"/>
      <c r="DK243" s="1365"/>
      <c r="DL243" s="1365"/>
      <c r="DM243" s="1365"/>
      <c r="DN243" s="1365"/>
      <c r="DO243" s="1365"/>
      <c r="DP243" s="1365"/>
      <c r="DQ243" s="1365"/>
      <c r="DR243" s="1365"/>
      <c r="DS243" s="1365"/>
      <c r="DT243" s="1365"/>
    </row>
    <row r="244" spans="1:124">
      <c r="A244" s="1118">
        <f t="shared" ca="1" si="91"/>
        <v>2</v>
      </c>
      <c r="B244" s="1890">
        <f t="shared" si="101"/>
        <v>0</v>
      </c>
      <c r="C244" s="2160">
        <f t="shared" si="113"/>
        <v>0</v>
      </c>
      <c r="D244" s="2161">
        <f t="shared" si="114"/>
        <v>0</v>
      </c>
      <c r="E244" s="2162">
        <f t="shared" si="102"/>
        <v>0</v>
      </c>
      <c r="F244" s="2162">
        <f t="shared" si="124"/>
        <v>0</v>
      </c>
      <c r="G244" s="2162">
        <f t="shared" si="125"/>
        <v>0</v>
      </c>
      <c r="H244" s="2162">
        <f t="shared" si="115"/>
        <v>0</v>
      </c>
      <c r="I244" s="2162">
        <f t="shared" si="122"/>
        <v>0</v>
      </c>
      <c r="J244" s="2162">
        <f t="shared" si="92"/>
        <v>0</v>
      </c>
      <c r="K244" s="2162">
        <f t="shared" si="93"/>
        <v>0</v>
      </c>
      <c r="L244" s="2162">
        <f t="shared" si="103"/>
        <v>0</v>
      </c>
      <c r="M244" s="2162">
        <f t="shared" si="94"/>
        <v>0</v>
      </c>
      <c r="N244" s="2162">
        <f t="shared" si="104"/>
        <v>0</v>
      </c>
      <c r="O244" s="2163"/>
      <c r="AG244" s="1756"/>
      <c r="AH244" s="1756"/>
      <c r="AI244" s="1756"/>
      <c r="AJ244" s="1989">
        <f t="shared" si="105"/>
        <v>11</v>
      </c>
      <c r="AK244" s="1900">
        <f t="shared" si="106"/>
        <v>0</v>
      </c>
      <c r="AL244" s="1907"/>
      <c r="AM244" s="1907"/>
      <c r="AN244" s="1901">
        <f t="shared" si="116"/>
        <v>0</v>
      </c>
      <c r="AO244" s="1906">
        <f t="shared" ca="1" si="107"/>
        <v>0</v>
      </c>
      <c r="AU244" s="1903">
        <f t="shared" si="117"/>
        <v>0</v>
      </c>
      <c r="AV244" s="1904">
        <f t="shared" si="108"/>
        <v>0</v>
      </c>
      <c r="AW244" s="1904">
        <f t="shared" si="109"/>
        <v>0</v>
      </c>
      <c r="AX244" s="1904"/>
      <c r="AY244" s="1904"/>
      <c r="AZ244" s="1904"/>
      <c r="BA244" s="1904"/>
      <c r="BB244" s="1897">
        <f t="shared" si="110"/>
        <v>0</v>
      </c>
      <c r="BC244" s="1897">
        <f t="shared" si="95"/>
        <v>0</v>
      </c>
      <c r="BD244" s="1898" t="e">
        <f>HLOOKUP($BD$63,anticipaplus,180,0)</f>
        <v>#N/A</v>
      </c>
      <c r="BE244" s="1899"/>
      <c r="BF244" s="1899"/>
      <c r="BG244" s="1360">
        <f t="shared" si="111"/>
        <v>0</v>
      </c>
      <c r="BH244" s="1361">
        <f t="shared" si="119"/>
        <v>179</v>
      </c>
      <c r="BI244" s="1362">
        <f t="shared" si="112"/>
        <v>0</v>
      </c>
      <c r="BJ244" s="1362">
        <f t="shared" si="96"/>
        <v>0</v>
      </c>
      <c r="BK244" s="1362">
        <f t="shared" si="118"/>
        <v>0</v>
      </c>
      <c r="BL244" s="1363">
        <f t="shared" si="97"/>
        <v>1000000</v>
      </c>
      <c r="BM244" s="1899"/>
      <c r="BN244" s="1361" t="str">
        <f t="shared" si="120"/>
        <v/>
      </c>
      <c r="BO244" s="1362">
        <f t="shared" si="98"/>
        <v>0</v>
      </c>
      <c r="BP244" s="1362">
        <f t="shared" si="99"/>
        <v>0</v>
      </c>
      <c r="BQ244" s="1362">
        <f t="shared" si="127"/>
        <v>0</v>
      </c>
      <c r="BR244" s="1363">
        <f t="shared" si="100"/>
        <v>0</v>
      </c>
      <c r="BT244" s="1414"/>
      <c r="BX244" s="1364"/>
      <c r="BY244" s="1364"/>
      <c r="BZ244" s="1364"/>
      <c r="CA244" s="1364"/>
      <c r="CB244" s="1364"/>
      <c r="CC244" s="1365"/>
      <c r="CD244" s="1365"/>
      <c r="CE244" s="1365"/>
      <c r="CF244" s="1365"/>
      <c r="CG244" s="1365"/>
      <c r="CH244" s="1366"/>
      <c r="CI244" s="1366"/>
      <c r="CJ244" s="1366"/>
      <c r="CK244" s="1366"/>
      <c r="CL244" s="1365"/>
      <c r="CM244" s="1366"/>
      <c r="CN244" s="1366"/>
      <c r="CO244" s="1366"/>
      <c r="CP244" s="1366"/>
      <c r="CQ244" s="1366"/>
      <c r="CR244" s="1366"/>
      <c r="CS244" s="1365"/>
      <c r="CT244" s="1365"/>
      <c r="CU244" s="1365"/>
      <c r="CV244" s="1365"/>
      <c r="CW244" s="1365"/>
      <c r="CX244" s="1365"/>
      <c r="CY244" s="1365"/>
      <c r="CZ244" s="1365"/>
      <c r="DA244" s="1365"/>
      <c r="DB244" s="1365"/>
      <c r="DC244" s="1365"/>
      <c r="DD244" s="1365"/>
      <c r="DE244" s="1365"/>
      <c r="DF244" s="1365"/>
      <c r="DG244" s="1365"/>
      <c r="DH244" s="1365"/>
      <c r="DI244" s="1365"/>
      <c r="DJ244" s="1365"/>
      <c r="DK244" s="1365"/>
      <c r="DL244" s="1365"/>
      <c r="DM244" s="1365"/>
      <c r="DN244" s="1365"/>
      <c r="DO244" s="1365"/>
      <c r="DP244" s="1365"/>
      <c r="DQ244" s="1365"/>
      <c r="DR244" s="1365"/>
      <c r="DS244" s="1365"/>
      <c r="DT244" s="1365"/>
    </row>
    <row r="245" spans="1:124">
      <c r="A245" s="1118">
        <f t="shared" ca="1" si="91"/>
        <v>3</v>
      </c>
      <c r="B245" s="1890">
        <f t="shared" si="101"/>
        <v>0</v>
      </c>
      <c r="C245" s="2160">
        <f t="shared" si="113"/>
        <v>0</v>
      </c>
      <c r="D245" s="2161">
        <f t="shared" si="114"/>
        <v>0</v>
      </c>
      <c r="E245" s="2162">
        <f t="shared" si="102"/>
        <v>0</v>
      </c>
      <c r="F245" s="2162">
        <f t="shared" si="124"/>
        <v>0</v>
      </c>
      <c r="G245" s="2162">
        <f t="shared" si="125"/>
        <v>0</v>
      </c>
      <c r="H245" s="2162">
        <f t="shared" si="115"/>
        <v>0</v>
      </c>
      <c r="I245" s="2162">
        <f t="shared" si="122"/>
        <v>0</v>
      </c>
      <c r="J245" s="2162">
        <f t="shared" si="92"/>
        <v>0</v>
      </c>
      <c r="K245" s="2162">
        <f t="shared" si="93"/>
        <v>0</v>
      </c>
      <c r="L245" s="2162">
        <f t="shared" si="103"/>
        <v>0</v>
      </c>
      <c r="M245" s="2162">
        <f t="shared" si="94"/>
        <v>0</v>
      </c>
      <c r="N245" s="2162">
        <f t="shared" si="104"/>
        <v>0</v>
      </c>
      <c r="O245" s="2163"/>
      <c r="AG245" s="1756"/>
      <c r="AH245" s="1756"/>
      <c r="AI245" s="1756"/>
      <c r="AJ245" s="1989">
        <f t="shared" si="105"/>
        <v>12</v>
      </c>
      <c r="AK245" s="1900">
        <f t="shared" si="106"/>
        <v>0</v>
      </c>
      <c r="AL245" s="1907"/>
      <c r="AM245" s="1907"/>
      <c r="AN245" s="1901">
        <f t="shared" si="116"/>
        <v>0</v>
      </c>
      <c r="AO245" s="1906">
        <f t="shared" ca="1" si="107"/>
        <v>0</v>
      </c>
      <c r="AU245" s="1903">
        <f t="shared" si="117"/>
        <v>0</v>
      </c>
      <c r="AV245" s="1904">
        <f t="shared" si="108"/>
        <v>0</v>
      </c>
      <c r="AW245" s="1904">
        <f t="shared" si="109"/>
        <v>0</v>
      </c>
      <c r="AX245" s="1904"/>
      <c r="AY245" s="1904"/>
      <c r="AZ245" s="1904"/>
      <c r="BA245" s="1904"/>
      <c r="BB245" s="1897">
        <f t="shared" si="110"/>
        <v>0</v>
      </c>
      <c r="BC245" s="1897">
        <f t="shared" si="95"/>
        <v>0</v>
      </c>
      <c r="BD245" s="1898" t="e">
        <f>HLOOKUP($BD$63,anticipaplus,181,0)</f>
        <v>#N/A</v>
      </c>
      <c r="BE245" s="1899"/>
      <c r="BF245" s="1899"/>
      <c r="BG245" s="1360">
        <f t="shared" si="111"/>
        <v>0</v>
      </c>
      <c r="BH245" s="1361">
        <f t="shared" si="119"/>
        <v>180</v>
      </c>
      <c r="BI245" s="1362">
        <f t="shared" si="112"/>
        <v>0</v>
      </c>
      <c r="BJ245" s="1362">
        <f t="shared" si="96"/>
        <v>0</v>
      </c>
      <c r="BK245" s="1362">
        <f t="shared" si="118"/>
        <v>0</v>
      </c>
      <c r="BL245" s="1363">
        <f t="shared" si="97"/>
        <v>1000000</v>
      </c>
      <c r="BM245" s="1899"/>
      <c r="BN245" s="1361" t="str">
        <f t="shared" si="120"/>
        <v/>
      </c>
      <c r="BO245" s="1362">
        <f t="shared" si="98"/>
        <v>0</v>
      </c>
      <c r="BP245" s="1362">
        <f t="shared" si="99"/>
        <v>0</v>
      </c>
      <c r="BQ245" s="1362">
        <f t="shared" si="127"/>
        <v>0</v>
      </c>
      <c r="BR245" s="1363">
        <f t="shared" si="100"/>
        <v>0</v>
      </c>
      <c r="BT245" s="1414"/>
      <c r="BX245" s="1364"/>
      <c r="BY245" s="1364"/>
      <c r="BZ245" s="1364"/>
      <c r="CA245" s="1364"/>
      <c r="CB245" s="1364"/>
      <c r="CC245" s="1365"/>
      <c r="CD245" s="1365"/>
      <c r="CE245" s="1365"/>
      <c r="CF245" s="1365"/>
      <c r="CG245" s="1365"/>
      <c r="CH245" s="1366"/>
      <c r="CI245" s="1366"/>
      <c r="CJ245" s="1366"/>
      <c r="CK245" s="1366"/>
      <c r="CL245" s="1365"/>
      <c r="CM245" s="1366"/>
      <c r="CN245" s="1366"/>
      <c r="CO245" s="1366"/>
      <c r="CP245" s="1366"/>
      <c r="CQ245" s="1366"/>
      <c r="CR245" s="1366"/>
      <c r="CS245" s="1365"/>
      <c r="CT245" s="1365"/>
      <c r="CU245" s="1365"/>
      <c r="CV245" s="1365"/>
      <c r="CW245" s="1365"/>
      <c r="CX245" s="1365"/>
      <c r="CY245" s="1365"/>
      <c r="CZ245" s="1365"/>
      <c r="DA245" s="1365"/>
      <c r="DB245" s="1365"/>
      <c r="DC245" s="1365"/>
      <c r="DD245" s="1365"/>
      <c r="DE245" s="1365"/>
      <c r="DF245" s="1365"/>
      <c r="DG245" s="1365"/>
      <c r="DH245" s="1365"/>
      <c r="DI245" s="1365"/>
      <c r="DJ245" s="1365"/>
      <c r="DK245" s="1365"/>
      <c r="DL245" s="1365"/>
      <c r="DM245" s="1365"/>
      <c r="DN245" s="1365"/>
      <c r="DO245" s="1365"/>
      <c r="DP245" s="1365"/>
      <c r="DQ245" s="1365"/>
      <c r="DR245" s="1365"/>
      <c r="DS245" s="1365"/>
      <c r="DT245" s="1365"/>
    </row>
    <row r="246" spans="1:124">
      <c r="A246" s="1118">
        <f t="shared" ca="1" si="91"/>
        <v>4</v>
      </c>
      <c r="B246" s="1890">
        <f t="shared" si="101"/>
        <v>0</v>
      </c>
      <c r="C246" s="2160">
        <f t="shared" si="113"/>
        <v>0</v>
      </c>
      <c r="D246" s="2161">
        <f t="shared" si="114"/>
        <v>0</v>
      </c>
      <c r="E246" s="2162">
        <f t="shared" si="102"/>
        <v>0</v>
      </c>
      <c r="F246" s="2162">
        <f t="shared" si="124"/>
        <v>0</v>
      </c>
      <c r="G246" s="2162">
        <f t="shared" si="125"/>
        <v>0</v>
      </c>
      <c r="H246" s="2162">
        <f t="shared" si="115"/>
        <v>0</v>
      </c>
      <c r="I246" s="2162">
        <f t="shared" si="122"/>
        <v>0</v>
      </c>
      <c r="J246" s="2162">
        <f t="shared" si="92"/>
        <v>0</v>
      </c>
      <c r="K246" s="2162">
        <f t="shared" si="93"/>
        <v>0</v>
      </c>
      <c r="L246" s="2162">
        <f t="shared" si="103"/>
        <v>0</v>
      </c>
      <c r="M246" s="2162">
        <f t="shared" si="94"/>
        <v>0</v>
      </c>
      <c r="N246" s="2162">
        <f t="shared" si="104"/>
        <v>0</v>
      </c>
      <c r="O246" s="2163"/>
      <c r="AG246" s="1756"/>
      <c r="AH246" s="1756"/>
      <c r="AI246" s="1756"/>
      <c r="AJ246" s="1989">
        <f t="shared" si="105"/>
        <v>1</v>
      </c>
      <c r="AK246" s="1900">
        <f t="shared" si="106"/>
        <v>0</v>
      </c>
      <c r="AL246" s="1907"/>
      <c r="AM246" s="1907"/>
      <c r="AN246" s="1901">
        <f t="shared" si="116"/>
        <v>0</v>
      </c>
      <c r="AO246" s="1906">
        <f t="shared" ca="1" si="107"/>
        <v>0</v>
      </c>
      <c r="AU246" s="1903">
        <f t="shared" si="117"/>
        <v>0</v>
      </c>
      <c r="AV246" s="1904">
        <f t="shared" si="108"/>
        <v>0</v>
      </c>
      <c r="AW246" s="1904">
        <f t="shared" si="109"/>
        <v>0</v>
      </c>
      <c r="AX246" s="1904"/>
      <c r="AY246" s="1904"/>
      <c r="AZ246" s="1904"/>
      <c r="BA246" s="1904"/>
      <c r="BB246" s="1897">
        <f t="shared" si="110"/>
        <v>0</v>
      </c>
      <c r="BC246" s="1897">
        <f t="shared" si="95"/>
        <v>0</v>
      </c>
      <c r="BD246" s="1898" t="e">
        <f>HLOOKUP($BD$63,anticipaplus,182,0)</f>
        <v>#N/A</v>
      </c>
      <c r="BE246" s="1899"/>
      <c r="BF246" s="1899"/>
      <c r="BG246" s="1360">
        <f t="shared" si="111"/>
        <v>0</v>
      </c>
      <c r="BH246" s="1377">
        <f t="shared" si="119"/>
        <v>181</v>
      </c>
      <c r="BI246" s="1378">
        <f t="shared" si="112"/>
        <v>0</v>
      </c>
      <c r="BJ246" s="1378">
        <f t="shared" si="96"/>
        <v>0</v>
      </c>
      <c r="BK246" s="1378">
        <f>MIN(BL245+BI246,BK245*(1+$BI$61))</f>
        <v>0</v>
      </c>
      <c r="BL246" s="1363">
        <f t="shared" si="97"/>
        <v>1000000</v>
      </c>
      <c r="BM246" s="1899"/>
      <c r="BN246" s="1379" t="str">
        <f t="shared" si="120"/>
        <v/>
      </c>
      <c r="BO246" s="1380">
        <f t="shared" si="98"/>
        <v>0</v>
      </c>
      <c r="BP246" s="1380">
        <f t="shared" si="99"/>
        <v>0</v>
      </c>
      <c r="BQ246" s="1380">
        <f>MIN(BR245+BO246,BQ245*(1+$BO$61))</f>
        <v>0</v>
      </c>
      <c r="BR246" s="1363">
        <f t="shared" si="100"/>
        <v>0</v>
      </c>
      <c r="BT246" s="1414"/>
      <c r="CG246" s="1365"/>
      <c r="CH246" s="1366"/>
      <c r="CI246" s="1366"/>
      <c r="CJ246" s="1366"/>
      <c r="CK246" s="1366"/>
      <c r="CL246" s="1365"/>
      <c r="CM246" s="1366"/>
      <c r="CN246" s="1366"/>
      <c r="CO246" s="1366"/>
      <c r="CP246" s="1366"/>
      <c r="CQ246" s="1366"/>
      <c r="CR246" s="1366"/>
      <c r="CS246" s="1366"/>
      <c r="CT246" s="1366"/>
      <c r="CU246" s="1366"/>
      <c r="CV246" s="1366"/>
      <c r="CW246" s="1366"/>
      <c r="CX246" s="1366"/>
      <c r="CY246" s="1366"/>
      <c r="CZ246" s="1366"/>
      <c r="DA246" s="1366"/>
      <c r="DB246" s="1366"/>
      <c r="DC246" s="1366"/>
      <c r="DD246" s="1366"/>
      <c r="DE246" s="1366"/>
      <c r="DF246" s="1366"/>
      <c r="DG246" s="1365"/>
      <c r="DH246" s="1365"/>
      <c r="DI246" s="1365"/>
      <c r="DJ246" s="1365"/>
      <c r="DK246" s="1365"/>
      <c r="DL246" s="1365"/>
      <c r="DM246" s="1366"/>
      <c r="DN246" s="1366"/>
      <c r="DO246" s="1366"/>
      <c r="DP246" s="1366"/>
      <c r="DQ246" s="1366"/>
      <c r="DR246" s="1366"/>
      <c r="DS246" s="1366"/>
      <c r="DT246" s="1366"/>
    </row>
    <row r="247" spans="1:124">
      <c r="A247" s="1118">
        <f t="shared" ca="1" si="91"/>
        <v>5</v>
      </c>
      <c r="B247" s="1890">
        <f t="shared" si="101"/>
        <v>0</v>
      </c>
      <c r="C247" s="2160">
        <f t="shared" si="113"/>
        <v>0</v>
      </c>
      <c r="D247" s="2161">
        <f t="shared" si="114"/>
        <v>0</v>
      </c>
      <c r="E247" s="2162">
        <f t="shared" si="102"/>
        <v>0</v>
      </c>
      <c r="F247" s="2162">
        <f t="shared" si="124"/>
        <v>0</v>
      </c>
      <c r="G247" s="2162">
        <f t="shared" si="125"/>
        <v>0</v>
      </c>
      <c r="H247" s="2162">
        <f t="shared" si="115"/>
        <v>0</v>
      </c>
      <c r="I247" s="2162">
        <f t="shared" si="122"/>
        <v>0</v>
      </c>
      <c r="J247" s="2162">
        <f t="shared" si="92"/>
        <v>0</v>
      </c>
      <c r="K247" s="2162">
        <f t="shared" si="93"/>
        <v>0</v>
      </c>
      <c r="L247" s="2162">
        <f t="shared" si="103"/>
        <v>0</v>
      </c>
      <c r="M247" s="2162">
        <f t="shared" si="94"/>
        <v>0</v>
      </c>
      <c r="N247" s="2162">
        <f t="shared" si="104"/>
        <v>0</v>
      </c>
      <c r="O247" s="2163"/>
      <c r="AG247" s="1756"/>
      <c r="AH247" s="1756"/>
      <c r="AI247" s="1756"/>
      <c r="AJ247" s="1989">
        <f t="shared" si="105"/>
        <v>2</v>
      </c>
      <c r="AK247" s="1900">
        <f t="shared" si="106"/>
        <v>0</v>
      </c>
      <c r="AL247" s="1907"/>
      <c r="AM247" s="1907"/>
      <c r="AN247" s="1901">
        <f t="shared" si="116"/>
        <v>0</v>
      </c>
      <c r="AO247" s="1906">
        <f t="shared" ca="1" si="107"/>
        <v>0</v>
      </c>
      <c r="AU247" s="1903">
        <f t="shared" si="117"/>
        <v>0</v>
      </c>
      <c r="AV247" s="1904">
        <f t="shared" si="108"/>
        <v>0</v>
      </c>
      <c r="AW247" s="1904">
        <f t="shared" si="109"/>
        <v>0</v>
      </c>
      <c r="AX247" s="1904"/>
      <c r="AY247" s="1904"/>
      <c r="AZ247" s="1904"/>
      <c r="BA247" s="1904"/>
      <c r="BB247" s="1897">
        <f t="shared" si="110"/>
        <v>0</v>
      </c>
      <c r="BC247" s="1897">
        <f t="shared" si="95"/>
        <v>0</v>
      </c>
      <c r="BD247" s="1898" t="e">
        <f>HLOOKUP($BD$63,anticipaplus,183,0)</f>
        <v>#N/A</v>
      </c>
      <c r="BE247" s="1899"/>
      <c r="BF247" s="1899"/>
      <c r="BG247" s="1360">
        <f t="shared" si="111"/>
        <v>0</v>
      </c>
      <c r="BH247" s="1361">
        <f>IF(BL246&lt;=0,"",BH246+1)</f>
        <v>182</v>
      </c>
      <c r="BI247" s="1362">
        <f t="shared" si="112"/>
        <v>0</v>
      </c>
      <c r="BJ247" s="1362">
        <f t="shared" si="96"/>
        <v>0</v>
      </c>
      <c r="BK247" s="1362">
        <f t="shared" si="118"/>
        <v>0</v>
      </c>
      <c r="BL247" s="1363">
        <f t="shared" si="97"/>
        <v>1000000</v>
      </c>
      <c r="BM247" s="1899"/>
      <c r="BN247" s="1361" t="str">
        <f>IF(BR246&lt;=0,"",BN246+1)</f>
        <v/>
      </c>
      <c r="BO247" s="1362">
        <f t="shared" si="98"/>
        <v>0</v>
      </c>
      <c r="BP247" s="1362">
        <f t="shared" si="99"/>
        <v>0</v>
      </c>
      <c r="BQ247" s="1362">
        <f t="shared" ref="BQ247:BQ257" si="128">MIN(BR246+BO247,BQ246)</f>
        <v>0</v>
      </c>
      <c r="BR247" s="1363">
        <f t="shared" si="100"/>
        <v>0</v>
      </c>
      <c r="BT247" s="1414"/>
      <c r="CG247" s="1365"/>
      <c r="CH247" s="1366"/>
      <c r="CI247" s="1366"/>
      <c r="CJ247" s="1366"/>
      <c r="CK247" s="1366"/>
      <c r="CL247" s="1365"/>
      <c r="CM247" s="1366"/>
      <c r="CN247" s="1366"/>
      <c r="CO247" s="1366"/>
      <c r="CP247" s="1366"/>
      <c r="CQ247" s="1366"/>
      <c r="CR247" s="1366"/>
      <c r="CS247" s="1366"/>
      <c r="CT247" s="1366"/>
      <c r="CU247" s="1366"/>
      <c r="CV247" s="1366"/>
      <c r="CW247" s="1366"/>
      <c r="CX247" s="1366"/>
      <c r="CY247" s="1366"/>
      <c r="CZ247" s="1366"/>
      <c r="DA247" s="1366"/>
      <c r="DB247" s="1366"/>
      <c r="DC247" s="1366"/>
      <c r="DD247" s="1366"/>
      <c r="DE247" s="1366"/>
      <c r="DF247" s="1366"/>
      <c r="DG247" s="1365"/>
      <c r="DH247" s="1365"/>
      <c r="DI247" s="1365"/>
      <c r="DJ247" s="1365"/>
      <c r="DK247" s="1365"/>
      <c r="DL247" s="1365"/>
      <c r="DM247" s="1366"/>
      <c r="DN247" s="1366"/>
      <c r="DO247" s="1366"/>
      <c r="DP247" s="1366"/>
      <c r="DQ247" s="1366"/>
      <c r="DR247" s="1366"/>
      <c r="DS247" s="1366"/>
      <c r="DT247" s="1366"/>
    </row>
    <row r="248" spans="1:124">
      <c r="A248" s="1118">
        <f t="shared" ca="1" si="91"/>
        <v>6</v>
      </c>
      <c r="B248" s="1890">
        <f t="shared" si="101"/>
        <v>0</v>
      </c>
      <c r="C248" s="2160">
        <f t="shared" si="113"/>
        <v>0</v>
      </c>
      <c r="D248" s="2161">
        <f t="shared" si="114"/>
        <v>0</v>
      </c>
      <c r="E248" s="2162">
        <f t="shared" si="102"/>
        <v>0</v>
      </c>
      <c r="F248" s="2162">
        <f t="shared" si="124"/>
        <v>0</v>
      </c>
      <c r="G248" s="2162">
        <f t="shared" si="125"/>
        <v>0</v>
      </c>
      <c r="H248" s="2162">
        <f t="shared" si="115"/>
        <v>0</v>
      </c>
      <c r="I248" s="2162">
        <f t="shared" si="122"/>
        <v>0</v>
      </c>
      <c r="J248" s="2162">
        <f t="shared" si="92"/>
        <v>0</v>
      </c>
      <c r="K248" s="2162">
        <f t="shared" si="93"/>
        <v>0</v>
      </c>
      <c r="L248" s="2162">
        <f t="shared" si="103"/>
        <v>0</v>
      </c>
      <c r="M248" s="2162">
        <f t="shared" si="94"/>
        <v>0</v>
      </c>
      <c r="N248" s="2162">
        <f t="shared" si="104"/>
        <v>0</v>
      </c>
      <c r="O248" s="2163"/>
      <c r="AG248" s="1756"/>
      <c r="AH248" s="1756"/>
      <c r="AI248" s="1756"/>
      <c r="AJ248" s="1989">
        <f t="shared" si="105"/>
        <v>3</v>
      </c>
      <c r="AK248" s="1900">
        <f t="shared" si="106"/>
        <v>0</v>
      </c>
      <c r="AL248" s="1907"/>
      <c r="AM248" s="1907"/>
      <c r="AN248" s="1901">
        <f t="shared" si="116"/>
        <v>0</v>
      </c>
      <c r="AO248" s="1906">
        <f t="shared" ca="1" si="107"/>
        <v>0</v>
      </c>
      <c r="AU248" s="1903">
        <f t="shared" si="117"/>
        <v>0</v>
      </c>
      <c r="AV248" s="1904">
        <f t="shared" si="108"/>
        <v>0</v>
      </c>
      <c r="AW248" s="1904">
        <f t="shared" si="109"/>
        <v>0</v>
      </c>
      <c r="AX248" s="1904"/>
      <c r="AY248" s="1904"/>
      <c r="AZ248" s="1904"/>
      <c r="BA248" s="1904"/>
      <c r="BB248" s="1897">
        <f t="shared" si="110"/>
        <v>0</v>
      </c>
      <c r="BC248" s="1897">
        <f t="shared" si="95"/>
        <v>0</v>
      </c>
      <c r="BD248" s="1898" t="e">
        <f>HLOOKUP($BD$63,anticipaplus,184,0)</f>
        <v>#N/A</v>
      </c>
      <c r="BE248" s="1899"/>
      <c r="BF248" s="1899"/>
      <c r="BG248" s="1360">
        <f t="shared" si="111"/>
        <v>0</v>
      </c>
      <c r="BH248" s="1361">
        <f>IF(BL247&lt;=0,"",BH247+1)</f>
        <v>183</v>
      </c>
      <c r="BI248" s="1362">
        <f t="shared" si="112"/>
        <v>0</v>
      </c>
      <c r="BJ248" s="1362">
        <f t="shared" si="96"/>
        <v>0</v>
      </c>
      <c r="BK248" s="1362">
        <f t="shared" si="118"/>
        <v>0</v>
      </c>
      <c r="BL248" s="1363">
        <f t="shared" si="97"/>
        <v>1000000</v>
      </c>
      <c r="BM248" s="1899"/>
      <c r="BN248" s="1361" t="str">
        <f>IF(BR247&lt;=0,"",BN247+1)</f>
        <v/>
      </c>
      <c r="BO248" s="1362">
        <f t="shared" si="98"/>
        <v>0</v>
      </c>
      <c r="BP248" s="1362">
        <f t="shared" si="99"/>
        <v>0</v>
      </c>
      <c r="BQ248" s="1362">
        <f t="shared" si="128"/>
        <v>0</v>
      </c>
      <c r="BR248" s="1363">
        <f t="shared" si="100"/>
        <v>0</v>
      </c>
      <c r="BT248" s="1414"/>
      <c r="CG248" s="1365"/>
      <c r="CH248" s="1366"/>
      <c r="CI248" s="1366"/>
      <c r="CJ248" s="1366"/>
      <c r="CK248" s="1366"/>
      <c r="CL248" s="1365"/>
      <c r="CM248" s="1366"/>
      <c r="CN248" s="1366"/>
      <c r="CO248" s="1366"/>
      <c r="CP248" s="1366"/>
      <c r="CQ248" s="1366"/>
      <c r="CR248" s="1366"/>
      <c r="CS248" s="1366"/>
      <c r="CT248" s="1366"/>
      <c r="CU248" s="1366"/>
      <c r="CV248" s="1366"/>
      <c r="CW248" s="1366"/>
      <c r="CX248" s="1366"/>
      <c r="CY248" s="1366"/>
      <c r="CZ248" s="1366"/>
      <c r="DA248" s="1366"/>
      <c r="DB248" s="1366"/>
      <c r="DC248" s="1366"/>
      <c r="DD248" s="1366"/>
      <c r="DE248" s="1366"/>
      <c r="DF248" s="1366"/>
      <c r="DG248" s="1365"/>
      <c r="DH248" s="1365"/>
      <c r="DI248" s="1365"/>
      <c r="DJ248" s="1365"/>
      <c r="DK248" s="1365"/>
      <c r="DL248" s="1365"/>
      <c r="DM248" s="1366"/>
      <c r="DN248" s="1366"/>
      <c r="DO248" s="1366"/>
      <c r="DP248" s="1366"/>
      <c r="DQ248" s="1366"/>
      <c r="DR248" s="1366"/>
      <c r="DS248" s="1366"/>
      <c r="DT248" s="1366"/>
    </row>
    <row r="249" spans="1:124">
      <c r="A249" s="1118">
        <f t="shared" ca="1" si="91"/>
        <v>7</v>
      </c>
      <c r="B249" s="1890">
        <f t="shared" si="101"/>
        <v>0</v>
      </c>
      <c r="C249" s="2160">
        <f t="shared" si="113"/>
        <v>0</v>
      </c>
      <c r="D249" s="2161">
        <f t="shared" si="114"/>
        <v>0</v>
      </c>
      <c r="E249" s="2162">
        <f t="shared" si="102"/>
        <v>0</v>
      </c>
      <c r="F249" s="2162">
        <f t="shared" si="124"/>
        <v>0</v>
      </c>
      <c r="G249" s="2162">
        <f t="shared" si="125"/>
        <v>0</v>
      </c>
      <c r="H249" s="2162">
        <f t="shared" si="115"/>
        <v>0</v>
      </c>
      <c r="I249" s="2162">
        <f t="shared" si="122"/>
        <v>0</v>
      </c>
      <c r="J249" s="2162">
        <f t="shared" si="92"/>
        <v>0</v>
      </c>
      <c r="K249" s="2162">
        <f t="shared" si="93"/>
        <v>0</v>
      </c>
      <c r="L249" s="2162">
        <f t="shared" si="103"/>
        <v>0</v>
      </c>
      <c r="M249" s="2162">
        <f t="shared" si="94"/>
        <v>0</v>
      </c>
      <c r="N249" s="2162">
        <f t="shared" si="104"/>
        <v>0</v>
      </c>
      <c r="O249" s="2163"/>
      <c r="AG249" s="1756"/>
      <c r="AH249" s="1756"/>
      <c r="AI249" s="1756"/>
      <c r="AJ249" s="1989">
        <f t="shared" si="105"/>
        <v>4</v>
      </c>
      <c r="AK249" s="1900">
        <f t="shared" si="106"/>
        <v>0</v>
      </c>
      <c r="AL249" s="1907"/>
      <c r="AM249" s="1907"/>
      <c r="AN249" s="1901">
        <f t="shared" si="116"/>
        <v>0</v>
      </c>
      <c r="AO249" s="1906">
        <f t="shared" ca="1" si="107"/>
        <v>0</v>
      </c>
      <c r="AU249" s="1903">
        <f t="shared" si="117"/>
        <v>0</v>
      </c>
      <c r="AV249" s="1904">
        <f t="shared" si="108"/>
        <v>0</v>
      </c>
      <c r="AW249" s="1904">
        <f t="shared" si="109"/>
        <v>0</v>
      </c>
      <c r="AX249" s="1904"/>
      <c r="AY249" s="1904"/>
      <c r="AZ249" s="1904"/>
      <c r="BA249" s="1904"/>
      <c r="BB249" s="1897">
        <f t="shared" si="110"/>
        <v>0</v>
      </c>
      <c r="BC249" s="1897">
        <f t="shared" si="95"/>
        <v>0</v>
      </c>
      <c r="BD249" s="1898" t="e">
        <f>HLOOKUP($BD$63,anticipaplus,185,0)</f>
        <v>#N/A</v>
      </c>
      <c r="BE249" s="1899"/>
      <c r="BF249" s="1899"/>
      <c r="BG249" s="1360">
        <f t="shared" si="111"/>
        <v>0</v>
      </c>
      <c r="BH249" s="1361">
        <f t="shared" si="119"/>
        <v>184</v>
      </c>
      <c r="BI249" s="1362">
        <f t="shared" si="112"/>
        <v>0</v>
      </c>
      <c r="BJ249" s="1362">
        <f t="shared" si="96"/>
        <v>0</v>
      </c>
      <c r="BK249" s="1362">
        <f t="shared" si="118"/>
        <v>0</v>
      </c>
      <c r="BL249" s="1363">
        <f t="shared" si="97"/>
        <v>1000000</v>
      </c>
      <c r="BM249" s="1899"/>
      <c r="BN249" s="1361" t="str">
        <f t="shared" ref="BN249:BN305" si="129">IF(BR248&lt;=0,"",BN248+1)</f>
        <v/>
      </c>
      <c r="BO249" s="1362">
        <f t="shared" si="98"/>
        <v>0</v>
      </c>
      <c r="BP249" s="1362">
        <f t="shared" si="99"/>
        <v>0</v>
      </c>
      <c r="BQ249" s="1362">
        <f t="shared" si="128"/>
        <v>0</v>
      </c>
      <c r="BR249" s="1363">
        <f t="shared" si="100"/>
        <v>0</v>
      </c>
      <c r="BT249" s="1414"/>
      <c r="CG249" s="1365"/>
      <c r="CH249" s="1366"/>
      <c r="CI249" s="1366"/>
      <c r="CJ249" s="1366"/>
      <c r="CK249" s="1366"/>
      <c r="CL249" s="1365"/>
      <c r="CM249" s="1366"/>
      <c r="CN249" s="1366"/>
      <c r="CO249" s="1366"/>
      <c r="CP249" s="1366"/>
      <c r="CQ249" s="1366"/>
      <c r="CR249" s="1366"/>
      <c r="CS249" s="1366"/>
      <c r="CT249" s="1366"/>
      <c r="CU249" s="1366"/>
      <c r="CV249" s="1366"/>
      <c r="CW249" s="1366"/>
      <c r="CX249" s="1366"/>
      <c r="CY249" s="1366"/>
      <c r="CZ249" s="1366"/>
      <c r="DA249" s="1366"/>
      <c r="DB249" s="1366"/>
      <c r="DC249" s="1366"/>
      <c r="DD249" s="1366"/>
      <c r="DE249" s="1366"/>
      <c r="DF249" s="1366"/>
      <c r="DG249" s="1365"/>
      <c r="DH249" s="1365"/>
      <c r="DI249" s="1365"/>
      <c r="DJ249" s="1365"/>
      <c r="DK249" s="1365"/>
      <c r="DL249" s="1365"/>
      <c r="DM249" s="1366"/>
      <c r="DN249" s="1366"/>
      <c r="DO249" s="1366"/>
      <c r="DP249" s="1366"/>
      <c r="DQ249" s="1366"/>
      <c r="DR249" s="1366"/>
      <c r="DS249" s="1366"/>
      <c r="DT249" s="1366"/>
    </row>
    <row r="250" spans="1:124">
      <c r="A250" s="1118">
        <f t="shared" ca="1" si="91"/>
        <v>8</v>
      </c>
      <c r="B250" s="1890">
        <f t="shared" si="101"/>
        <v>0</v>
      </c>
      <c r="C250" s="2160">
        <f t="shared" si="113"/>
        <v>0</v>
      </c>
      <c r="D250" s="2161">
        <f t="shared" si="114"/>
        <v>0</v>
      </c>
      <c r="E250" s="2162">
        <f t="shared" si="102"/>
        <v>0</v>
      </c>
      <c r="F250" s="2162">
        <f t="shared" si="124"/>
        <v>0</v>
      </c>
      <c r="G250" s="2162">
        <f t="shared" si="125"/>
        <v>0</v>
      </c>
      <c r="H250" s="2162">
        <f t="shared" si="115"/>
        <v>0</v>
      </c>
      <c r="I250" s="2162">
        <f t="shared" si="122"/>
        <v>0</v>
      </c>
      <c r="J250" s="2162">
        <f t="shared" si="92"/>
        <v>0</v>
      </c>
      <c r="K250" s="2162">
        <f t="shared" si="93"/>
        <v>0</v>
      </c>
      <c r="L250" s="2162">
        <f t="shared" si="103"/>
        <v>0</v>
      </c>
      <c r="M250" s="2162">
        <f t="shared" si="94"/>
        <v>0</v>
      </c>
      <c r="N250" s="2162">
        <f t="shared" si="104"/>
        <v>0</v>
      </c>
      <c r="O250" s="2163"/>
      <c r="AG250" s="1756"/>
      <c r="AH250" s="1756"/>
      <c r="AI250" s="1756"/>
      <c r="AJ250" s="1989">
        <f t="shared" si="105"/>
        <v>5</v>
      </c>
      <c r="AK250" s="1900">
        <f t="shared" si="106"/>
        <v>0</v>
      </c>
      <c r="AL250" s="1907"/>
      <c r="AM250" s="1907"/>
      <c r="AN250" s="1901">
        <f t="shared" si="116"/>
        <v>0</v>
      </c>
      <c r="AO250" s="1906">
        <f t="shared" ca="1" si="107"/>
        <v>0</v>
      </c>
      <c r="AU250" s="1903">
        <f t="shared" si="117"/>
        <v>0</v>
      </c>
      <c r="AV250" s="1904">
        <f t="shared" si="108"/>
        <v>0</v>
      </c>
      <c r="AW250" s="1904">
        <f t="shared" si="109"/>
        <v>0</v>
      </c>
      <c r="AX250" s="1904"/>
      <c r="AY250" s="1904"/>
      <c r="AZ250" s="1904"/>
      <c r="BA250" s="1904"/>
      <c r="BB250" s="1897">
        <f t="shared" si="110"/>
        <v>0</v>
      </c>
      <c r="BC250" s="1897">
        <f t="shared" si="95"/>
        <v>0</v>
      </c>
      <c r="BD250" s="1898" t="e">
        <f>HLOOKUP($BD$63,anticipaplus,186,0)</f>
        <v>#N/A</v>
      </c>
      <c r="BE250" s="1899"/>
      <c r="BF250" s="1899"/>
      <c r="BG250" s="1360">
        <f t="shared" si="111"/>
        <v>0</v>
      </c>
      <c r="BH250" s="1361">
        <f t="shared" si="119"/>
        <v>185</v>
      </c>
      <c r="BI250" s="1362">
        <f t="shared" si="112"/>
        <v>0</v>
      </c>
      <c r="BJ250" s="1362">
        <f t="shared" si="96"/>
        <v>0</v>
      </c>
      <c r="BK250" s="1362">
        <f t="shared" si="118"/>
        <v>0</v>
      </c>
      <c r="BL250" s="1363">
        <f t="shared" si="97"/>
        <v>1000000</v>
      </c>
      <c r="BM250" s="1899"/>
      <c r="BN250" s="1361" t="str">
        <f t="shared" si="129"/>
        <v/>
      </c>
      <c r="BO250" s="1362">
        <f t="shared" si="98"/>
        <v>0</v>
      </c>
      <c r="BP250" s="1362">
        <f t="shared" si="99"/>
        <v>0</v>
      </c>
      <c r="BQ250" s="1362">
        <f t="shared" si="128"/>
        <v>0</v>
      </c>
      <c r="BR250" s="1363">
        <f t="shared" si="100"/>
        <v>0</v>
      </c>
      <c r="BT250" s="1414"/>
      <c r="CG250" s="1365"/>
      <c r="CH250" s="1366"/>
      <c r="CI250" s="1366"/>
      <c r="CJ250" s="1366"/>
      <c r="CK250" s="1366"/>
      <c r="CL250" s="1365"/>
      <c r="CM250" s="1366"/>
      <c r="CN250" s="1366"/>
      <c r="CO250" s="1366"/>
      <c r="CP250" s="1366"/>
      <c r="CQ250" s="1366"/>
      <c r="CR250" s="1366"/>
      <c r="CS250" s="1366"/>
      <c r="CT250" s="1366"/>
      <c r="CU250" s="1366"/>
      <c r="CV250" s="1366"/>
      <c r="CW250" s="1366"/>
      <c r="CX250" s="1366"/>
      <c r="CY250" s="1366"/>
      <c r="CZ250" s="1366"/>
      <c r="DA250" s="1366"/>
      <c r="DB250" s="1366"/>
      <c r="DC250" s="1366"/>
      <c r="DD250" s="1366"/>
      <c r="DE250" s="1366"/>
      <c r="DF250" s="1366"/>
      <c r="DG250" s="1365"/>
      <c r="DH250" s="1365"/>
      <c r="DI250" s="1365"/>
      <c r="DJ250" s="1365"/>
      <c r="DK250" s="1365"/>
      <c r="DL250" s="1365"/>
      <c r="DM250" s="1366"/>
      <c r="DN250" s="1366"/>
      <c r="DO250" s="1366"/>
      <c r="DP250" s="1366"/>
      <c r="DQ250" s="1366"/>
      <c r="DR250" s="1366"/>
      <c r="DS250" s="1366"/>
      <c r="DT250" s="1366"/>
    </row>
    <row r="251" spans="1:124">
      <c r="A251" s="1118">
        <f t="shared" ca="1" si="91"/>
        <v>9</v>
      </c>
      <c r="B251" s="1890">
        <f t="shared" si="101"/>
        <v>0</v>
      </c>
      <c r="C251" s="2160">
        <f t="shared" si="113"/>
        <v>0</v>
      </c>
      <c r="D251" s="2161">
        <f t="shared" si="114"/>
        <v>0</v>
      </c>
      <c r="E251" s="2162">
        <f t="shared" si="102"/>
        <v>0</v>
      </c>
      <c r="F251" s="2162">
        <f t="shared" si="124"/>
        <v>0</v>
      </c>
      <c r="G251" s="2162">
        <f t="shared" si="125"/>
        <v>0</v>
      </c>
      <c r="H251" s="2162">
        <f t="shared" si="115"/>
        <v>0</v>
      </c>
      <c r="I251" s="2162">
        <f t="shared" si="122"/>
        <v>0</v>
      </c>
      <c r="J251" s="2162">
        <f t="shared" si="92"/>
        <v>0</v>
      </c>
      <c r="K251" s="2162">
        <f t="shared" si="93"/>
        <v>0</v>
      </c>
      <c r="L251" s="2162">
        <f t="shared" si="103"/>
        <v>0</v>
      </c>
      <c r="M251" s="2162">
        <f t="shared" si="94"/>
        <v>0</v>
      </c>
      <c r="N251" s="2162">
        <f t="shared" si="104"/>
        <v>0</v>
      </c>
      <c r="O251" s="2163"/>
      <c r="AG251" s="1756"/>
      <c r="AH251" s="1756"/>
      <c r="AI251" s="1756"/>
      <c r="AJ251" s="1989">
        <f t="shared" si="105"/>
        <v>6</v>
      </c>
      <c r="AK251" s="1900">
        <f t="shared" si="106"/>
        <v>0</v>
      </c>
      <c r="AL251" s="1907"/>
      <c r="AM251" s="1907"/>
      <c r="AN251" s="1901">
        <f t="shared" si="116"/>
        <v>0</v>
      </c>
      <c r="AO251" s="1906">
        <f t="shared" ca="1" si="107"/>
        <v>0</v>
      </c>
      <c r="AU251" s="1903">
        <f t="shared" si="117"/>
        <v>0</v>
      </c>
      <c r="AV251" s="1904">
        <f t="shared" si="108"/>
        <v>0</v>
      </c>
      <c r="AW251" s="1904">
        <f t="shared" si="109"/>
        <v>0</v>
      </c>
      <c r="AX251" s="1904"/>
      <c r="AY251" s="1904"/>
      <c r="AZ251" s="1904"/>
      <c r="BA251" s="1904"/>
      <c r="BB251" s="1897">
        <f t="shared" si="110"/>
        <v>0</v>
      </c>
      <c r="BC251" s="1897">
        <f t="shared" si="95"/>
        <v>0</v>
      </c>
      <c r="BD251" s="1898" t="e">
        <f>HLOOKUP($BD$63,anticipaplus,187,0)</f>
        <v>#N/A</v>
      </c>
      <c r="BE251" s="1899"/>
      <c r="BF251" s="1899"/>
      <c r="BG251" s="1360">
        <f t="shared" si="111"/>
        <v>0</v>
      </c>
      <c r="BH251" s="1361">
        <f t="shared" si="119"/>
        <v>186</v>
      </c>
      <c r="BI251" s="1362">
        <f t="shared" si="112"/>
        <v>0</v>
      </c>
      <c r="BJ251" s="1362">
        <f t="shared" si="96"/>
        <v>0</v>
      </c>
      <c r="BK251" s="1362">
        <f t="shared" si="118"/>
        <v>0</v>
      </c>
      <c r="BL251" s="1363">
        <f t="shared" si="97"/>
        <v>1000000</v>
      </c>
      <c r="BM251" s="1899"/>
      <c r="BN251" s="1361" t="str">
        <f t="shared" si="129"/>
        <v/>
      </c>
      <c r="BO251" s="1362">
        <f t="shared" si="98"/>
        <v>0</v>
      </c>
      <c r="BP251" s="1362">
        <f t="shared" si="99"/>
        <v>0</v>
      </c>
      <c r="BQ251" s="1362">
        <f t="shared" si="128"/>
        <v>0</v>
      </c>
      <c r="BR251" s="1363">
        <f t="shared" si="100"/>
        <v>0</v>
      </c>
      <c r="BT251" s="1414"/>
      <c r="CG251" s="1365"/>
      <c r="CH251" s="1366"/>
      <c r="CI251" s="1366"/>
      <c r="CJ251" s="1366"/>
      <c r="CK251" s="1366"/>
      <c r="CL251" s="1365"/>
      <c r="CM251" s="1366"/>
      <c r="CN251" s="1366"/>
      <c r="CO251" s="1366"/>
      <c r="CP251" s="1366"/>
      <c r="CQ251" s="1366"/>
      <c r="CR251" s="1366"/>
      <c r="CS251" s="1366"/>
      <c r="CT251" s="1366"/>
      <c r="CU251" s="1366"/>
      <c r="CV251" s="1366"/>
      <c r="CW251" s="1366"/>
      <c r="CX251" s="1366"/>
      <c r="CY251" s="1366"/>
      <c r="CZ251" s="1366"/>
      <c r="DA251" s="1366"/>
      <c r="DB251" s="1366"/>
      <c r="DC251" s="1366"/>
      <c r="DD251" s="1366"/>
      <c r="DE251" s="1366"/>
      <c r="DF251" s="1366"/>
      <c r="DG251" s="1365"/>
      <c r="DH251" s="1365"/>
      <c r="DI251" s="1365"/>
      <c r="DJ251" s="1365"/>
      <c r="DK251" s="1365"/>
      <c r="DL251" s="1365"/>
      <c r="DM251" s="1366"/>
      <c r="DN251" s="1366"/>
      <c r="DO251" s="1366"/>
      <c r="DP251" s="1366"/>
      <c r="DQ251" s="1366"/>
      <c r="DR251" s="1366"/>
      <c r="DS251" s="1366"/>
      <c r="DT251" s="1366"/>
    </row>
    <row r="252" spans="1:124">
      <c r="A252" s="1118">
        <f t="shared" ca="1" si="91"/>
        <v>10</v>
      </c>
      <c r="B252" s="1890">
        <f t="shared" si="101"/>
        <v>0</v>
      </c>
      <c r="C252" s="2160">
        <f t="shared" si="113"/>
        <v>0</v>
      </c>
      <c r="D252" s="2161">
        <f t="shared" si="114"/>
        <v>0</v>
      </c>
      <c r="E252" s="2162">
        <f t="shared" si="102"/>
        <v>0</v>
      </c>
      <c r="F252" s="2162">
        <f t="shared" si="124"/>
        <v>0</v>
      </c>
      <c r="G252" s="2162">
        <f t="shared" si="125"/>
        <v>0</v>
      </c>
      <c r="H252" s="2162">
        <f t="shared" si="115"/>
        <v>0</v>
      </c>
      <c r="I252" s="2162">
        <f t="shared" si="122"/>
        <v>0</v>
      </c>
      <c r="J252" s="2162">
        <f t="shared" si="92"/>
        <v>0</v>
      </c>
      <c r="K252" s="2162">
        <f t="shared" si="93"/>
        <v>0</v>
      </c>
      <c r="L252" s="2162">
        <f t="shared" si="103"/>
        <v>0</v>
      </c>
      <c r="M252" s="2162">
        <f t="shared" si="94"/>
        <v>0</v>
      </c>
      <c r="N252" s="2162">
        <f t="shared" si="104"/>
        <v>0</v>
      </c>
      <c r="O252" s="2163"/>
      <c r="AG252" s="1756"/>
      <c r="AH252" s="1756"/>
      <c r="AI252" s="1756"/>
      <c r="AJ252" s="1989">
        <f t="shared" si="105"/>
        <v>7</v>
      </c>
      <c r="AK252" s="1900">
        <f t="shared" si="106"/>
        <v>0</v>
      </c>
      <c r="AL252" s="1907"/>
      <c r="AM252" s="1907"/>
      <c r="AN252" s="1901">
        <f t="shared" si="116"/>
        <v>0</v>
      </c>
      <c r="AO252" s="1906">
        <f t="shared" ca="1" si="107"/>
        <v>0</v>
      </c>
      <c r="AU252" s="1903">
        <f t="shared" si="117"/>
        <v>0</v>
      </c>
      <c r="AV252" s="1904">
        <f t="shared" si="108"/>
        <v>0</v>
      </c>
      <c r="AW252" s="1904">
        <f t="shared" si="109"/>
        <v>0</v>
      </c>
      <c r="AX252" s="1904"/>
      <c r="AY252" s="1904"/>
      <c r="AZ252" s="1904"/>
      <c r="BA252" s="1904"/>
      <c r="BB252" s="1897">
        <f t="shared" si="110"/>
        <v>0</v>
      </c>
      <c r="BC252" s="1897">
        <f t="shared" si="95"/>
        <v>0</v>
      </c>
      <c r="BD252" s="1898" t="e">
        <f>HLOOKUP($BD$63,anticipaplus,188,0)</f>
        <v>#N/A</v>
      </c>
      <c r="BE252" s="1899"/>
      <c r="BF252" s="1899"/>
      <c r="BG252" s="1360">
        <f t="shared" si="111"/>
        <v>0</v>
      </c>
      <c r="BH252" s="1361">
        <f t="shared" si="119"/>
        <v>187</v>
      </c>
      <c r="BI252" s="1362">
        <f t="shared" si="112"/>
        <v>0</v>
      </c>
      <c r="BJ252" s="1362">
        <f t="shared" si="96"/>
        <v>0</v>
      </c>
      <c r="BK252" s="1362">
        <f t="shared" si="118"/>
        <v>0</v>
      </c>
      <c r="BL252" s="1363">
        <f t="shared" si="97"/>
        <v>1000000</v>
      </c>
      <c r="BM252" s="1899"/>
      <c r="BN252" s="1361" t="str">
        <f t="shared" si="129"/>
        <v/>
      </c>
      <c r="BO252" s="1362">
        <f t="shared" si="98"/>
        <v>0</v>
      </c>
      <c r="BP252" s="1362">
        <f t="shared" si="99"/>
        <v>0</v>
      </c>
      <c r="BQ252" s="1362">
        <f t="shared" si="128"/>
        <v>0</v>
      </c>
      <c r="BR252" s="1363">
        <f t="shared" si="100"/>
        <v>0</v>
      </c>
      <c r="BT252" s="1414"/>
      <c r="CG252" s="1365"/>
      <c r="CH252" s="1366"/>
      <c r="CI252" s="1366"/>
      <c r="CJ252" s="1366"/>
      <c r="CK252" s="1366"/>
      <c r="CL252" s="1365"/>
      <c r="CM252" s="1366"/>
      <c r="CN252" s="1366"/>
      <c r="CO252" s="1366"/>
      <c r="CP252" s="1366"/>
      <c r="CQ252" s="1366"/>
      <c r="CR252" s="1366"/>
      <c r="CS252" s="1366"/>
      <c r="CT252" s="1366"/>
      <c r="CU252" s="1366"/>
      <c r="CV252" s="1366"/>
      <c r="CW252" s="1366"/>
      <c r="CX252" s="1366"/>
      <c r="CY252" s="1366"/>
      <c r="CZ252" s="1366"/>
      <c r="DA252" s="1366"/>
      <c r="DB252" s="1366"/>
      <c r="DC252" s="1366"/>
      <c r="DD252" s="1366"/>
      <c r="DE252" s="1366"/>
      <c r="DF252" s="1366"/>
      <c r="DG252" s="1365"/>
      <c r="DH252" s="1365"/>
      <c r="DI252" s="1365"/>
      <c r="DJ252" s="1365"/>
      <c r="DK252" s="1365"/>
      <c r="DL252" s="1365"/>
      <c r="DM252" s="1366"/>
      <c r="DN252" s="1366"/>
      <c r="DO252" s="1366"/>
      <c r="DP252" s="1366"/>
      <c r="DQ252" s="1366"/>
      <c r="DR252" s="1366"/>
      <c r="DS252" s="1366"/>
      <c r="DT252" s="1366"/>
    </row>
    <row r="253" spans="1:124">
      <c r="A253" s="1118">
        <f t="shared" ca="1" si="91"/>
        <v>11</v>
      </c>
      <c r="B253" s="1890">
        <f t="shared" si="101"/>
        <v>0</v>
      </c>
      <c r="C253" s="2160">
        <f t="shared" si="113"/>
        <v>0</v>
      </c>
      <c r="D253" s="2161">
        <f t="shared" si="114"/>
        <v>0</v>
      </c>
      <c r="E253" s="2162">
        <f t="shared" si="102"/>
        <v>0</v>
      </c>
      <c r="F253" s="2162">
        <f t="shared" si="124"/>
        <v>0</v>
      </c>
      <c r="G253" s="2162">
        <f t="shared" si="125"/>
        <v>0</v>
      </c>
      <c r="H253" s="2162">
        <f t="shared" si="115"/>
        <v>0</v>
      </c>
      <c r="I253" s="2162">
        <f t="shared" si="122"/>
        <v>0</v>
      </c>
      <c r="J253" s="2162">
        <f t="shared" si="92"/>
        <v>0</v>
      </c>
      <c r="K253" s="2162">
        <f t="shared" si="93"/>
        <v>0</v>
      </c>
      <c r="L253" s="2162">
        <f t="shared" si="103"/>
        <v>0</v>
      </c>
      <c r="M253" s="2162">
        <f t="shared" si="94"/>
        <v>0</v>
      </c>
      <c r="N253" s="2162">
        <f t="shared" si="104"/>
        <v>0</v>
      </c>
      <c r="O253" s="2163"/>
      <c r="AG253" s="1756"/>
      <c r="AH253" s="1756"/>
      <c r="AI253" s="1756"/>
      <c r="AJ253" s="1989">
        <f t="shared" si="105"/>
        <v>8</v>
      </c>
      <c r="AK253" s="1900">
        <f t="shared" si="106"/>
        <v>0</v>
      </c>
      <c r="AL253" s="1907"/>
      <c r="AM253" s="1907"/>
      <c r="AN253" s="1901">
        <f t="shared" si="116"/>
        <v>0</v>
      </c>
      <c r="AO253" s="1906">
        <f t="shared" ca="1" si="107"/>
        <v>0</v>
      </c>
      <c r="AU253" s="1903">
        <f t="shared" si="117"/>
        <v>0</v>
      </c>
      <c r="AV253" s="1904">
        <f t="shared" si="108"/>
        <v>0</v>
      </c>
      <c r="AW253" s="1904">
        <f t="shared" si="109"/>
        <v>0</v>
      </c>
      <c r="AX253" s="1904"/>
      <c r="AY253" s="1904"/>
      <c r="AZ253" s="1904"/>
      <c r="BA253" s="1904"/>
      <c r="BB253" s="1897">
        <f t="shared" si="110"/>
        <v>0</v>
      </c>
      <c r="BC253" s="1897">
        <f t="shared" si="95"/>
        <v>0</v>
      </c>
      <c r="BD253" s="1898" t="e">
        <f>HLOOKUP($BD$63,anticipaplus,189,0)</f>
        <v>#N/A</v>
      </c>
      <c r="BE253" s="1899"/>
      <c r="BF253" s="1899"/>
      <c r="BG253" s="1360">
        <f t="shared" si="111"/>
        <v>0</v>
      </c>
      <c r="BH253" s="1361">
        <f t="shared" si="119"/>
        <v>188</v>
      </c>
      <c r="BI253" s="1362">
        <f t="shared" si="112"/>
        <v>0</v>
      </c>
      <c r="BJ253" s="1362">
        <f t="shared" si="96"/>
        <v>0</v>
      </c>
      <c r="BK253" s="1362">
        <f t="shared" si="118"/>
        <v>0</v>
      </c>
      <c r="BL253" s="1363">
        <f t="shared" si="97"/>
        <v>1000000</v>
      </c>
      <c r="BM253" s="1899"/>
      <c r="BN253" s="1361" t="str">
        <f t="shared" si="129"/>
        <v/>
      </c>
      <c r="BO253" s="1362">
        <f t="shared" si="98"/>
        <v>0</v>
      </c>
      <c r="BP253" s="1362">
        <f t="shared" si="99"/>
        <v>0</v>
      </c>
      <c r="BQ253" s="1362">
        <f t="shared" si="128"/>
        <v>0</v>
      </c>
      <c r="BR253" s="1363">
        <f t="shared" si="100"/>
        <v>0</v>
      </c>
      <c r="BT253" s="1414"/>
      <c r="CG253" s="1365"/>
      <c r="CH253" s="1366"/>
      <c r="CI253" s="1366"/>
      <c r="CJ253" s="1366"/>
      <c r="CK253" s="1366"/>
      <c r="CL253" s="1365"/>
      <c r="CM253" s="1366"/>
      <c r="CN253" s="1366"/>
      <c r="CO253" s="1366"/>
      <c r="CP253" s="1366"/>
      <c r="CQ253" s="1366"/>
      <c r="CR253" s="1366"/>
      <c r="CS253" s="1366"/>
      <c r="CT253" s="1366"/>
      <c r="CU253" s="1366"/>
      <c r="CV253" s="1366"/>
      <c r="CW253" s="1366"/>
      <c r="CX253" s="1366"/>
      <c r="CY253" s="1366"/>
      <c r="CZ253" s="1366"/>
      <c r="DA253" s="1366"/>
      <c r="DB253" s="1366"/>
      <c r="DC253" s="1366"/>
      <c r="DD253" s="1366"/>
      <c r="DE253" s="1366"/>
      <c r="DF253" s="1366"/>
      <c r="DG253" s="1365"/>
      <c r="DH253" s="1365"/>
      <c r="DI253" s="1365"/>
      <c r="DJ253" s="1365"/>
      <c r="DK253" s="1365"/>
      <c r="DL253" s="1365"/>
      <c r="DM253" s="1366"/>
      <c r="DN253" s="1366"/>
      <c r="DO253" s="1366"/>
      <c r="DP253" s="1366"/>
      <c r="DQ253" s="1366"/>
      <c r="DR253" s="1366"/>
      <c r="DS253" s="1366"/>
      <c r="DT253" s="1366"/>
    </row>
    <row r="254" spans="1:124">
      <c r="A254" s="1118">
        <f t="shared" ca="1" si="91"/>
        <v>12</v>
      </c>
      <c r="B254" s="1890">
        <f t="shared" si="101"/>
        <v>0</v>
      </c>
      <c r="C254" s="2160">
        <f t="shared" si="113"/>
        <v>0</v>
      </c>
      <c r="D254" s="2161">
        <f t="shared" si="114"/>
        <v>0</v>
      </c>
      <c r="E254" s="2162">
        <f t="shared" si="102"/>
        <v>0</v>
      </c>
      <c r="F254" s="2162">
        <f t="shared" si="124"/>
        <v>0</v>
      </c>
      <c r="G254" s="2162">
        <f t="shared" si="125"/>
        <v>0</v>
      </c>
      <c r="H254" s="2162">
        <f t="shared" si="115"/>
        <v>0</v>
      </c>
      <c r="I254" s="2162">
        <f t="shared" si="122"/>
        <v>0</v>
      </c>
      <c r="J254" s="2162">
        <f t="shared" si="92"/>
        <v>0</v>
      </c>
      <c r="K254" s="2162">
        <f t="shared" si="93"/>
        <v>0</v>
      </c>
      <c r="L254" s="2162">
        <f t="shared" si="103"/>
        <v>0</v>
      </c>
      <c r="M254" s="2162">
        <f t="shared" si="94"/>
        <v>0</v>
      </c>
      <c r="N254" s="2162">
        <f t="shared" si="104"/>
        <v>0</v>
      </c>
      <c r="O254" s="2163"/>
      <c r="AG254" s="1756"/>
      <c r="AH254" s="1756"/>
      <c r="AI254" s="1756"/>
      <c r="AJ254" s="1989">
        <f t="shared" si="105"/>
        <v>9</v>
      </c>
      <c r="AK254" s="1900">
        <f t="shared" si="106"/>
        <v>0</v>
      </c>
      <c r="AL254" s="1907"/>
      <c r="AM254" s="1907"/>
      <c r="AN254" s="1901">
        <f t="shared" si="116"/>
        <v>0</v>
      </c>
      <c r="AO254" s="1906">
        <f t="shared" ca="1" si="107"/>
        <v>0</v>
      </c>
      <c r="AU254" s="1903">
        <f t="shared" si="117"/>
        <v>0</v>
      </c>
      <c r="AV254" s="1904">
        <f t="shared" si="108"/>
        <v>0</v>
      </c>
      <c r="AW254" s="1904">
        <f t="shared" si="109"/>
        <v>0</v>
      </c>
      <c r="AX254" s="1904"/>
      <c r="AY254" s="1904"/>
      <c r="AZ254" s="1904"/>
      <c r="BA254" s="1904"/>
      <c r="BB254" s="1897">
        <f t="shared" si="110"/>
        <v>0</v>
      </c>
      <c r="BC254" s="1897">
        <f t="shared" si="95"/>
        <v>0</v>
      </c>
      <c r="BD254" s="1898" t="e">
        <f>HLOOKUP($BD$63,anticipaplus,190,0)</f>
        <v>#N/A</v>
      </c>
      <c r="BE254" s="1899"/>
      <c r="BF254" s="1899"/>
      <c r="BG254" s="1360">
        <f t="shared" si="111"/>
        <v>0</v>
      </c>
      <c r="BH254" s="1361">
        <f t="shared" si="119"/>
        <v>189</v>
      </c>
      <c r="BI254" s="1362">
        <f t="shared" si="112"/>
        <v>0</v>
      </c>
      <c r="BJ254" s="1362">
        <f t="shared" si="96"/>
        <v>0</v>
      </c>
      <c r="BK254" s="1362">
        <f t="shared" si="118"/>
        <v>0</v>
      </c>
      <c r="BL254" s="1363">
        <f t="shared" si="97"/>
        <v>1000000</v>
      </c>
      <c r="BM254" s="1899"/>
      <c r="BN254" s="1361" t="str">
        <f t="shared" si="129"/>
        <v/>
      </c>
      <c r="BO254" s="1362">
        <f t="shared" si="98"/>
        <v>0</v>
      </c>
      <c r="BP254" s="1362">
        <f t="shared" si="99"/>
        <v>0</v>
      </c>
      <c r="BQ254" s="1362">
        <f t="shared" si="128"/>
        <v>0</v>
      </c>
      <c r="BR254" s="1363">
        <f t="shared" si="100"/>
        <v>0</v>
      </c>
      <c r="BT254" s="1414"/>
      <c r="CG254" s="1365"/>
      <c r="CH254" s="1366"/>
      <c r="CI254" s="1366"/>
      <c r="CJ254" s="1366"/>
      <c r="CK254" s="1366"/>
      <c r="CL254" s="1365"/>
      <c r="CM254" s="1366"/>
      <c r="CN254" s="1366"/>
      <c r="CO254" s="1366"/>
      <c r="CP254" s="1366"/>
      <c r="CQ254" s="1366"/>
      <c r="CR254" s="1366"/>
      <c r="CS254" s="1366"/>
      <c r="CT254" s="1366"/>
      <c r="CU254" s="1366"/>
      <c r="CV254" s="1366"/>
      <c r="CW254" s="1366"/>
      <c r="CX254" s="1366"/>
      <c r="CY254" s="1366"/>
      <c r="CZ254" s="1366"/>
      <c r="DA254" s="1366"/>
      <c r="DB254" s="1366"/>
      <c r="DC254" s="1366"/>
      <c r="DD254" s="1366"/>
      <c r="DE254" s="1366"/>
      <c r="DF254" s="1366"/>
      <c r="DG254" s="1365"/>
      <c r="DH254" s="1365"/>
      <c r="DI254" s="1365"/>
      <c r="DJ254" s="1365"/>
      <c r="DK254" s="1365"/>
      <c r="DL254" s="1365"/>
      <c r="DM254" s="1366"/>
      <c r="DN254" s="1366"/>
      <c r="DO254" s="1366"/>
      <c r="DP254" s="1366"/>
      <c r="DQ254" s="1366"/>
      <c r="DR254" s="1366"/>
      <c r="DS254" s="1366"/>
      <c r="DT254" s="1366"/>
    </row>
    <row r="255" spans="1:124">
      <c r="A255" s="1118">
        <f t="shared" ca="1" si="91"/>
        <v>1</v>
      </c>
      <c r="B255" s="1890">
        <f t="shared" si="101"/>
        <v>0</v>
      </c>
      <c r="C255" s="2160">
        <f t="shared" si="113"/>
        <v>0</v>
      </c>
      <c r="D255" s="2161">
        <f t="shared" si="114"/>
        <v>0</v>
      </c>
      <c r="E255" s="2162">
        <f t="shared" si="102"/>
        <v>0</v>
      </c>
      <c r="F255" s="2162">
        <f t="shared" si="124"/>
        <v>0</v>
      </c>
      <c r="G255" s="2162">
        <f t="shared" si="125"/>
        <v>0</v>
      </c>
      <c r="H255" s="2162">
        <f t="shared" si="115"/>
        <v>0</v>
      </c>
      <c r="I255" s="2162">
        <f t="shared" si="122"/>
        <v>0</v>
      </c>
      <c r="J255" s="2162">
        <f t="shared" si="92"/>
        <v>0</v>
      </c>
      <c r="K255" s="2162">
        <f t="shared" si="93"/>
        <v>0</v>
      </c>
      <c r="L255" s="2162">
        <f t="shared" si="103"/>
        <v>0</v>
      </c>
      <c r="M255" s="2162">
        <f t="shared" si="94"/>
        <v>0</v>
      </c>
      <c r="N255" s="2162">
        <f t="shared" si="104"/>
        <v>0</v>
      </c>
      <c r="O255" s="2163"/>
      <c r="AG255" s="1756"/>
      <c r="AH255" s="1756"/>
      <c r="AI255" s="1756"/>
      <c r="AJ255" s="1989">
        <f t="shared" si="105"/>
        <v>10</v>
      </c>
      <c r="AK255" s="1900">
        <f t="shared" si="106"/>
        <v>0</v>
      </c>
      <c r="AL255" s="1907"/>
      <c r="AM255" s="1907"/>
      <c r="AN255" s="1901">
        <f t="shared" si="116"/>
        <v>0</v>
      </c>
      <c r="AO255" s="1906">
        <f t="shared" ca="1" si="107"/>
        <v>0</v>
      </c>
      <c r="AU255" s="1903">
        <f t="shared" si="117"/>
        <v>0</v>
      </c>
      <c r="AV255" s="1904">
        <f t="shared" si="108"/>
        <v>0</v>
      </c>
      <c r="AW255" s="1904">
        <f t="shared" si="109"/>
        <v>0</v>
      </c>
      <c r="AX255" s="1904"/>
      <c r="AY255" s="1904"/>
      <c r="AZ255" s="1904"/>
      <c r="BA255" s="1904"/>
      <c r="BB255" s="1897">
        <f t="shared" si="110"/>
        <v>0</v>
      </c>
      <c r="BC255" s="1897">
        <f t="shared" si="95"/>
        <v>0</v>
      </c>
      <c r="BD255" s="1898" t="e">
        <f>HLOOKUP($BD$63,anticipaplus,191,0)</f>
        <v>#N/A</v>
      </c>
      <c r="BE255" s="1899"/>
      <c r="BF255" s="1899"/>
      <c r="BG255" s="1360">
        <f t="shared" si="111"/>
        <v>0</v>
      </c>
      <c r="BH255" s="1361">
        <f t="shared" si="119"/>
        <v>190</v>
      </c>
      <c r="BI255" s="1362">
        <f t="shared" si="112"/>
        <v>0</v>
      </c>
      <c r="BJ255" s="1362">
        <f t="shared" si="96"/>
        <v>0</v>
      </c>
      <c r="BK255" s="1362">
        <f t="shared" si="118"/>
        <v>0</v>
      </c>
      <c r="BL255" s="1363">
        <f t="shared" si="97"/>
        <v>1000000</v>
      </c>
      <c r="BM255" s="1899"/>
      <c r="BN255" s="1361" t="str">
        <f t="shared" si="129"/>
        <v/>
      </c>
      <c r="BO255" s="1362">
        <f t="shared" si="98"/>
        <v>0</v>
      </c>
      <c r="BP255" s="1362">
        <f t="shared" si="99"/>
        <v>0</v>
      </c>
      <c r="BQ255" s="1362">
        <f t="shared" si="128"/>
        <v>0</v>
      </c>
      <c r="BR255" s="1363">
        <f t="shared" si="100"/>
        <v>0</v>
      </c>
      <c r="BT255" s="1414"/>
      <c r="CG255" s="1365"/>
      <c r="CH255" s="1366"/>
      <c r="CI255" s="1366"/>
      <c r="CJ255" s="1366"/>
      <c r="CK255" s="1366"/>
      <c r="CL255" s="1365"/>
      <c r="CM255" s="1366"/>
      <c r="CN255" s="1366"/>
      <c r="CO255" s="1366"/>
      <c r="CP255" s="1366"/>
      <c r="CQ255" s="1366"/>
      <c r="CR255" s="1366"/>
      <c r="CS255" s="1366"/>
      <c r="CT255" s="1366"/>
      <c r="CU255" s="1366"/>
      <c r="CV255" s="1366"/>
      <c r="CW255" s="1366"/>
      <c r="CX255" s="1366"/>
      <c r="CY255" s="1366"/>
      <c r="CZ255" s="1366"/>
      <c r="DA255" s="1366"/>
      <c r="DB255" s="1366"/>
      <c r="DC255" s="1366"/>
      <c r="DD255" s="1366"/>
      <c r="DE255" s="1366"/>
      <c r="DF255" s="1366"/>
      <c r="DG255" s="1365"/>
      <c r="DH255" s="1365"/>
      <c r="DI255" s="1365"/>
      <c r="DJ255" s="1365"/>
      <c r="DK255" s="1365"/>
      <c r="DL255" s="1365"/>
      <c r="DM255" s="1366"/>
      <c r="DN255" s="1366"/>
      <c r="DO255" s="1366"/>
      <c r="DP255" s="1366"/>
      <c r="DQ255" s="1366"/>
      <c r="DR255" s="1366"/>
      <c r="DS255" s="1366"/>
      <c r="DT255" s="1366"/>
    </row>
    <row r="256" spans="1:124">
      <c r="A256" s="1118">
        <f t="shared" ca="1" si="91"/>
        <v>2</v>
      </c>
      <c r="B256" s="1890">
        <f t="shared" si="101"/>
        <v>0</v>
      </c>
      <c r="C256" s="2160">
        <f t="shared" si="113"/>
        <v>0</v>
      </c>
      <c r="D256" s="2161">
        <f t="shared" si="114"/>
        <v>0</v>
      </c>
      <c r="E256" s="2162">
        <f t="shared" si="102"/>
        <v>0</v>
      </c>
      <c r="F256" s="2162">
        <f t="shared" si="124"/>
        <v>0</v>
      </c>
      <c r="G256" s="2162">
        <f t="shared" si="125"/>
        <v>0</v>
      </c>
      <c r="H256" s="2162">
        <f t="shared" si="115"/>
        <v>0</v>
      </c>
      <c r="I256" s="2162">
        <f t="shared" si="122"/>
        <v>0</v>
      </c>
      <c r="J256" s="2162">
        <f t="shared" si="92"/>
        <v>0</v>
      </c>
      <c r="K256" s="2162">
        <f t="shared" si="93"/>
        <v>0</v>
      </c>
      <c r="L256" s="2162">
        <f t="shared" si="103"/>
        <v>0</v>
      </c>
      <c r="M256" s="2162">
        <f t="shared" si="94"/>
        <v>0</v>
      </c>
      <c r="N256" s="2162">
        <f t="shared" si="104"/>
        <v>0</v>
      </c>
      <c r="O256" s="2163"/>
      <c r="AG256" s="1756"/>
      <c r="AH256" s="1756"/>
      <c r="AI256" s="1756"/>
      <c r="AJ256" s="1989">
        <f t="shared" si="105"/>
        <v>11</v>
      </c>
      <c r="AK256" s="1900">
        <f t="shared" si="106"/>
        <v>0</v>
      </c>
      <c r="AL256" s="1907"/>
      <c r="AM256" s="1907"/>
      <c r="AN256" s="1901">
        <f t="shared" si="116"/>
        <v>0</v>
      </c>
      <c r="AO256" s="1906">
        <f t="shared" ca="1" si="107"/>
        <v>0</v>
      </c>
      <c r="AU256" s="1903">
        <f t="shared" si="117"/>
        <v>0</v>
      </c>
      <c r="AV256" s="1904">
        <f t="shared" si="108"/>
        <v>0</v>
      </c>
      <c r="AW256" s="1904">
        <f t="shared" si="109"/>
        <v>0</v>
      </c>
      <c r="AX256" s="1904"/>
      <c r="AY256" s="1904"/>
      <c r="AZ256" s="1904"/>
      <c r="BA256" s="1904"/>
      <c r="BB256" s="1897">
        <f t="shared" si="110"/>
        <v>0</v>
      </c>
      <c r="BC256" s="1897">
        <f t="shared" si="95"/>
        <v>0</v>
      </c>
      <c r="BD256" s="1898" t="e">
        <f>HLOOKUP($BD$63,anticipaplus,192,0)</f>
        <v>#N/A</v>
      </c>
      <c r="BE256" s="1899"/>
      <c r="BF256" s="1899"/>
      <c r="BG256" s="1360">
        <f t="shared" si="111"/>
        <v>0</v>
      </c>
      <c r="BH256" s="1361">
        <f t="shared" si="119"/>
        <v>191</v>
      </c>
      <c r="BI256" s="1362">
        <f t="shared" si="112"/>
        <v>0</v>
      </c>
      <c r="BJ256" s="1362">
        <f t="shared" si="96"/>
        <v>0</v>
      </c>
      <c r="BK256" s="1362">
        <f t="shared" si="118"/>
        <v>0</v>
      </c>
      <c r="BL256" s="1363">
        <f t="shared" si="97"/>
        <v>1000000</v>
      </c>
      <c r="BM256" s="1899"/>
      <c r="BN256" s="1361" t="str">
        <f t="shared" si="129"/>
        <v/>
      </c>
      <c r="BO256" s="1362">
        <f t="shared" si="98"/>
        <v>0</v>
      </c>
      <c r="BP256" s="1362">
        <f t="shared" si="99"/>
        <v>0</v>
      </c>
      <c r="BQ256" s="1362">
        <f t="shared" si="128"/>
        <v>0</v>
      </c>
      <c r="BR256" s="1363">
        <f t="shared" si="100"/>
        <v>0</v>
      </c>
      <c r="BT256" s="1414"/>
      <c r="CG256" s="1365"/>
      <c r="CH256" s="1366"/>
      <c r="CI256" s="1366"/>
      <c r="CJ256" s="1366"/>
      <c r="CK256" s="1366"/>
      <c r="CL256" s="1365"/>
      <c r="CM256" s="1366"/>
      <c r="CN256" s="1366"/>
      <c r="CO256" s="1366"/>
      <c r="CP256" s="1366"/>
      <c r="CQ256" s="1366"/>
      <c r="CR256" s="1366"/>
      <c r="CS256" s="1366"/>
      <c r="CT256" s="1366"/>
      <c r="CU256" s="1366"/>
      <c r="CV256" s="1366"/>
      <c r="CW256" s="1366"/>
      <c r="CX256" s="1366"/>
      <c r="CY256" s="1366"/>
      <c r="CZ256" s="1366"/>
      <c r="DA256" s="1366"/>
      <c r="DB256" s="1366"/>
      <c r="DC256" s="1366"/>
      <c r="DD256" s="1366"/>
      <c r="DE256" s="1366"/>
      <c r="DF256" s="1366"/>
      <c r="DG256" s="1365"/>
      <c r="DH256" s="1365"/>
      <c r="DI256" s="1365"/>
      <c r="DJ256" s="1365"/>
      <c r="DK256" s="1365"/>
      <c r="DL256" s="1365"/>
      <c r="DM256" s="1366"/>
      <c r="DN256" s="1366"/>
      <c r="DO256" s="1366"/>
      <c r="DP256" s="1366"/>
      <c r="DQ256" s="1366"/>
      <c r="DR256" s="1366"/>
      <c r="DS256" s="1366"/>
      <c r="DT256" s="1366"/>
    </row>
    <row r="257" spans="1:124">
      <c r="A257" s="1118">
        <f t="shared" ca="1" si="91"/>
        <v>3</v>
      </c>
      <c r="B257" s="1890">
        <f t="shared" si="101"/>
        <v>0</v>
      </c>
      <c r="C257" s="2160">
        <f t="shared" si="113"/>
        <v>0</v>
      </c>
      <c r="D257" s="2161">
        <f t="shared" si="114"/>
        <v>0</v>
      </c>
      <c r="E257" s="2162">
        <f t="shared" si="102"/>
        <v>0</v>
      </c>
      <c r="F257" s="2162">
        <f t="shared" si="124"/>
        <v>0</v>
      </c>
      <c r="G257" s="2162">
        <f t="shared" si="125"/>
        <v>0</v>
      </c>
      <c r="H257" s="2162">
        <f t="shared" si="115"/>
        <v>0</v>
      </c>
      <c r="I257" s="2162">
        <f t="shared" si="122"/>
        <v>0</v>
      </c>
      <c r="J257" s="2162">
        <f t="shared" si="92"/>
        <v>0</v>
      </c>
      <c r="K257" s="2162">
        <f t="shared" si="93"/>
        <v>0</v>
      </c>
      <c r="L257" s="2162">
        <f t="shared" si="103"/>
        <v>0</v>
      </c>
      <c r="M257" s="2162">
        <f t="shared" si="94"/>
        <v>0</v>
      </c>
      <c r="N257" s="2162">
        <f t="shared" si="104"/>
        <v>0</v>
      </c>
      <c r="O257" s="2163"/>
      <c r="AG257" s="1756"/>
      <c r="AH257" s="1756"/>
      <c r="AI257" s="1756"/>
      <c r="AJ257" s="1989">
        <f t="shared" si="105"/>
        <v>12</v>
      </c>
      <c r="AK257" s="1900">
        <f t="shared" si="106"/>
        <v>0</v>
      </c>
      <c r="AL257" s="1907"/>
      <c r="AM257" s="1907"/>
      <c r="AN257" s="1901">
        <f t="shared" si="116"/>
        <v>0</v>
      </c>
      <c r="AO257" s="1906">
        <f t="shared" ca="1" si="107"/>
        <v>0</v>
      </c>
      <c r="AU257" s="1903">
        <f t="shared" si="117"/>
        <v>0</v>
      </c>
      <c r="AV257" s="1904">
        <f t="shared" si="108"/>
        <v>0</v>
      </c>
      <c r="AW257" s="1904">
        <f t="shared" si="109"/>
        <v>0</v>
      </c>
      <c r="AX257" s="1904"/>
      <c r="AY257" s="1904"/>
      <c r="AZ257" s="1904"/>
      <c r="BA257" s="1904"/>
      <c r="BB257" s="1897">
        <f t="shared" si="110"/>
        <v>0</v>
      </c>
      <c r="BC257" s="1897">
        <f t="shared" si="95"/>
        <v>0</v>
      </c>
      <c r="BD257" s="1898" t="e">
        <f>HLOOKUP($BD$63,anticipaplus,193,0)</f>
        <v>#N/A</v>
      </c>
      <c r="BE257" s="1899"/>
      <c r="BF257" s="1899"/>
      <c r="BG257" s="1360">
        <f t="shared" si="111"/>
        <v>0</v>
      </c>
      <c r="BH257" s="1361">
        <f t="shared" si="119"/>
        <v>192</v>
      </c>
      <c r="BI257" s="1362">
        <f t="shared" si="112"/>
        <v>0</v>
      </c>
      <c r="BJ257" s="1362">
        <f t="shared" si="96"/>
        <v>0</v>
      </c>
      <c r="BK257" s="1362">
        <f t="shared" si="118"/>
        <v>0</v>
      </c>
      <c r="BL257" s="1363">
        <f t="shared" si="97"/>
        <v>1000000</v>
      </c>
      <c r="BM257" s="1899"/>
      <c r="BN257" s="1361" t="str">
        <f t="shared" si="129"/>
        <v/>
      </c>
      <c r="BO257" s="1362">
        <f t="shared" si="98"/>
        <v>0</v>
      </c>
      <c r="BP257" s="1362">
        <f t="shared" si="99"/>
        <v>0</v>
      </c>
      <c r="BQ257" s="1362">
        <f t="shared" si="128"/>
        <v>0</v>
      </c>
      <c r="BR257" s="1363">
        <f t="shared" si="100"/>
        <v>0</v>
      </c>
      <c r="BT257" s="1414"/>
      <c r="CG257" s="1365"/>
      <c r="CH257" s="1366"/>
      <c r="CI257" s="1366"/>
      <c r="CJ257" s="1366"/>
      <c r="CK257" s="1366"/>
      <c r="CL257" s="1365"/>
      <c r="CM257" s="1366"/>
      <c r="CN257" s="1366"/>
      <c r="CO257" s="1366"/>
      <c r="CP257" s="1366"/>
      <c r="CQ257" s="1366"/>
      <c r="CR257" s="1366"/>
      <c r="CS257" s="1366"/>
      <c r="CT257" s="1366"/>
      <c r="CU257" s="1366"/>
      <c r="CV257" s="1366"/>
      <c r="CW257" s="1366"/>
      <c r="CX257" s="1366"/>
      <c r="CY257" s="1366"/>
      <c r="CZ257" s="1366"/>
      <c r="DA257" s="1366"/>
      <c r="DB257" s="1366"/>
      <c r="DC257" s="1366"/>
      <c r="DD257" s="1366"/>
      <c r="DE257" s="1366"/>
      <c r="DF257" s="1366"/>
      <c r="DG257" s="1365"/>
      <c r="DH257" s="1365"/>
      <c r="DI257" s="1365"/>
      <c r="DJ257" s="1365"/>
      <c r="DK257" s="1365"/>
      <c r="DL257" s="1365"/>
      <c r="DM257" s="1366"/>
      <c r="DN257" s="1366"/>
      <c r="DO257" s="1366"/>
      <c r="DP257" s="1366"/>
      <c r="DQ257" s="1366"/>
      <c r="DR257" s="1366"/>
      <c r="DS257" s="1366"/>
      <c r="DT257" s="1366"/>
    </row>
    <row r="258" spans="1:124">
      <c r="A258" s="1118">
        <f t="shared" ref="A258:A321" ca="1" si="130">IF(A257=12,1,A257+1)</f>
        <v>4</v>
      </c>
      <c r="B258" s="1890">
        <f t="shared" si="101"/>
        <v>0</v>
      </c>
      <c r="C258" s="2160">
        <f t="shared" si="113"/>
        <v>0</v>
      </c>
      <c r="D258" s="2161">
        <f t="shared" si="114"/>
        <v>0</v>
      </c>
      <c r="E258" s="2162">
        <f t="shared" si="102"/>
        <v>0</v>
      </c>
      <c r="F258" s="2162">
        <f t="shared" si="124"/>
        <v>0</v>
      </c>
      <c r="G258" s="2162">
        <f t="shared" si="125"/>
        <v>0</v>
      </c>
      <c r="H258" s="2162">
        <f t="shared" si="115"/>
        <v>0</v>
      </c>
      <c r="I258" s="2162">
        <f t="shared" si="122"/>
        <v>0</v>
      </c>
      <c r="J258" s="2162">
        <f t="shared" ref="J258:J305" si="131">IF(N257&lt;0.01,0,IF($F$10=$AK$7,0,$BD$2*1.16))</f>
        <v>0</v>
      </c>
      <c r="K258" s="2162">
        <f t="shared" ref="K258:K305" si="132">IF(N257&lt;0.01,0,IF($AS$2&gt;0,E258*$AS$3,0))</f>
        <v>0</v>
      </c>
      <c r="L258" s="2162">
        <f t="shared" si="103"/>
        <v>0</v>
      </c>
      <c r="M258" s="2162">
        <f t="shared" ref="M258:M305" si="133">IF($F$10=$AK$3,MIN(N257+E258+H258+I258+J258-L258,AO258),0)</f>
        <v>0</v>
      </c>
      <c r="N258" s="2162">
        <f t="shared" si="104"/>
        <v>0</v>
      </c>
      <c r="O258" s="2163"/>
      <c r="AG258" s="1756"/>
      <c r="AH258" s="1756"/>
      <c r="AI258" s="1756"/>
      <c r="AJ258" s="1989">
        <f t="shared" si="105"/>
        <v>1</v>
      </c>
      <c r="AK258" s="1900">
        <f t="shared" si="106"/>
        <v>0</v>
      </c>
      <c r="AL258" s="1907"/>
      <c r="AM258" s="1907"/>
      <c r="AN258" s="1901">
        <f t="shared" si="116"/>
        <v>0</v>
      </c>
      <c r="AO258" s="1906">
        <f t="shared" ca="1" si="107"/>
        <v>0</v>
      </c>
      <c r="AU258" s="1903">
        <f t="shared" si="117"/>
        <v>0</v>
      </c>
      <c r="AV258" s="1904">
        <f t="shared" si="108"/>
        <v>0</v>
      </c>
      <c r="AW258" s="1904">
        <f t="shared" si="109"/>
        <v>0</v>
      </c>
      <c r="AX258" s="1904"/>
      <c r="AY258" s="1904"/>
      <c r="AZ258" s="1904"/>
      <c r="BA258" s="1904"/>
      <c r="BB258" s="1897">
        <f t="shared" si="110"/>
        <v>0</v>
      </c>
      <c r="BC258" s="1897">
        <f t="shared" ref="BC258:BC305" si="134">IF(AND($AU$62=2,O257&lt;0.01),0,IF($AU$62=2,(N257*BD258)+E258,0))</f>
        <v>0</v>
      </c>
      <c r="BD258" s="1898" t="e">
        <f>HLOOKUP($BD$63,anticipaplus,194,0)</f>
        <v>#N/A</v>
      </c>
      <c r="BE258" s="1899"/>
      <c r="BF258" s="1899"/>
      <c r="BG258" s="1360">
        <f t="shared" si="111"/>
        <v>0</v>
      </c>
      <c r="BH258" s="1377">
        <f t="shared" si="119"/>
        <v>193</v>
      </c>
      <c r="BI258" s="1378">
        <f t="shared" si="112"/>
        <v>0</v>
      </c>
      <c r="BJ258" s="1378">
        <f t="shared" ref="BJ258:BJ305" si="135">BK258-BI258</f>
        <v>0</v>
      </c>
      <c r="BK258" s="1378">
        <f>MIN(BL257+BI258,BK257*(1+$BI$61))</f>
        <v>0</v>
      </c>
      <c r="BL258" s="1363">
        <f t="shared" ref="BL258:BL305" si="136">IF(BL257&lt;0.001,0,BL257-BJ258-BM259)</f>
        <v>1000000</v>
      </c>
      <c r="BM258" s="1899"/>
      <c r="BN258" s="1379" t="str">
        <f t="shared" si="129"/>
        <v/>
      </c>
      <c r="BO258" s="1380">
        <f t="shared" ref="BO258:BO305" si="137">BR257*$BO$59*30.4166/360</f>
        <v>0</v>
      </c>
      <c r="BP258" s="1380">
        <f t="shared" ref="BP258:BP305" si="138">BQ258-BO258</f>
        <v>0</v>
      </c>
      <c r="BQ258" s="1380">
        <f>MIN(BR257+BO258,BQ257*(1+$BO$61))</f>
        <v>0</v>
      </c>
      <c r="BR258" s="1363">
        <f t="shared" ref="BR258:BR305" si="139">IF(BR257&lt;0.001,0,BR257-BP258-BX259)</f>
        <v>0</v>
      </c>
      <c r="BT258" s="1414"/>
      <c r="CG258" s="1365"/>
      <c r="CH258" s="1366"/>
      <c r="CI258" s="1366"/>
      <c r="CJ258" s="1366"/>
      <c r="CK258" s="1366"/>
      <c r="CL258" s="1365"/>
      <c r="CM258" s="1366"/>
      <c r="CN258" s="1366"/>
      <c r="CO258" s="1366"/>
      <c r="CP258" s="1366"/>
      <c r="CQ258" s="1366"/>
      <c r="CR258" s="1366"/>
      <c r="CS258" s="1366"/>
      <c r="CT258" s="1366"/>
      <c r="CU258" s="1366"/>
      <c r="CV258" s="1366"/>
      <c r="CW258" s="1366"/>
      <c r="CX258" s="1366"/>
      <c r="CY258" s="1366"/>
      <c r="CZ258" s="1366"/>
      <c r="DA258" s="1366"/>
      <c r="DB258" s="1366"/>
      <c r="DC258" s="1366"/>
      <c r="DD258" s="1366"/>
      <c r="DE258" s="1366"/>
      <c r="DF258" s="1366"/>
      <c r="DG258" s="1365"/>
      <c r="DH258" s="1365"/>
      <c r="DI258" s="1365"/>
      <c r="DJ258" s="1365"/>
      <c r="DK258" s="1365"/>
      <c r="DL258" s="1365"/>
      <c r="DM258" s="1366"/>
      <c r="DN258" s="1366"/>
      <c r="DO258" s="1366"/>
      <c r="DP258" s="1366"/>
      <c r="DQ258" s="1366"/>
      <c r="DR258" s="1366"/>
      <c r="DS258" s="1366"/>
      <c r="DT258" s="1366"/>
    </row>
    <row r="259" spans="1:124">
      <c r="A259" s="1118">
        <f t="shared" ca="1" si="130"/>
        <v>5</v>
      </c>
      <c r="B259" s="1890">
        <f t="shared" ref="B259:B305" si="140">IF(N258&gt;0,B258-1,0)</f>
        <v>0</v>
      </c>
      <c r="C259" s="2160">
        <f t="shared" si="113"/>
        <v>0</v>
      </c>
      <c r="D259" s="2161">
        <f t="shared" si="114"/>
        <v>0</v>
      </c>
      <c r="E259" s="2162">
        <f t="shared" ref="E259:E305" si="141">IF(N258&lt;0.01,0,N258*D259*30.4166/360)</f>
        <v>0</v>
      </c>
      <c r="F259" s="2162">
        <f t="shared" si="124"/>
        <v>0</v>
      </c>
      <c r="G259" s="2162">
        <f t="shared" si="125"/>
        <v>0</v>
      </c>
      <c r="H259" s="2162">
        <f t="shared" si="115"/>
        <v>0</v>
      </c>
      <c r="I259" s="2162">
        <f t="shared" si="122"/>
        <v>0</v>
      </c>
      <c r="J259" s="2162">
        <f t="shared" si="131"/>
        <v>0</v>
      </c>
      <c r="K259" s="2162">
        <f t="shared" si="132"/>
        <v>0</v>
      </c>
      <c r="L259" s="2162">
        <f t="shared" ref="L259:L305" si="142">IF(N258&lt;0.01,0,G259+H259+I259+J259+K259)</f>
        <v>0</v>
      </c>
      <c r="M259" s="2162">
        <f t="shared" si="133"/>
        <v>0</v>
      </c>
      <c r="N259" s="2162">
        <f t="shared" ref="N259:N305" si="143">IF(N258&lt;0.001,0,+N258-F259-M259-O259)</f>
        <v>0</v>
      </c>
      <c r="O259" s="2163"/>
      <c r="AG259" s="1756"/>
      <c r="AH259" s="1756"/>
      <c r="AI259" s="1756"/>
      <c r="AJ259" s="1989">
        <f t="shared" ref="AJ259:AJ322" si="144">IF(AJ258=12,1,AJ258+1)</f>
        <v>2</v>
      </c>
      <c r="AK259" s="1900">
        <f t="shared" ref="AK259:AK305" si="145">IF(AJ259=1,$BT$2,0)</f>
        <v>0</v>
      </c>
      <c r="AL259" s="1907"/>
      <c r="AM259" s="1907"/>
      <c r="AN259" s="1901">
        <f t="shared" si="116"/>
        <v>0</v>
      </c>
      <c r="AO259" s="1906">
        <f t="shared" ref="AO259:AO305" ca="1" si="146">IF(MOD(A259,2)=0,AN259*0.05*2,0)</f>
        <v>0</v>
      </c>
      <c r="AU259" s="1903">
        <f t="shared" si="117"/>
        <v>0</v>
      </c>
      <c r="AV259" s="1904">
        <f t="shared" ref="AV259:AV305" si="147">IF(AND(OR($AW$62=1,$AW$62=3),O258&gt;0.1),AW259,0)</f>
        <v>0</v>
      </c>
      <c r="AW259" s="1904">
        <f t="shared" ref="AW259:AW305" si="148">IF(AND($AW$62=1,$AU$62=2),PMT((($D$66/360)*(365/12)),B258,-N258),0)</f>
        <v>0</v>
      </c>
      <c r="AX259" s="1904"/>
      <c r="AY259" s="1904"/>
      <c r="AZ259" s="1904"/>
      <c r="BA259" s="1904"/>
      <c r="BB259" s="1897">
        <f t="shared" ref="BB259:BB305" si="149">IF(AND(BC259&gt;0.01,$AU$62=2),BC259,0)</f>
        <v>0</v>
      </c>
      <c r="BC259" s="1897">
        <f t="shared" si="134"/>
        <v>0</v>
      </c>
      <c r="BD259" s="1898" t="e">
        <f>HLOOKUP($BD$63,anticipaplus,195,0)</f>
        <v>#N/A</v>
      </c>
      <c r="BE259" s="1899"/>
      <c r="BF259" s="1899"/>
      <c r="BG259" s="1360">
        <f t="shared" ref="BG259:BG305" si="150">BJ259/BL258</f>
        <v>0</v>
      </c>
      <c r="BH259" s="1361">
        <f t="shared" si="119"/>
        <v>194</v>
      </c>
      <c r="BI259" s="1362">
        <f t="shared" ref="BI259:BI305" si="151">BL258*$BI$59*30.4166/360</f>
        <v>0</v>
      </c>
      <c r="BJ259" s="1362">
        <f t="shared" si="135"/>
        <v>0</v>
      </c>
      <c r="BK259" s="1362">
        <f t="shared" si="118"/>
        <v>0</v>
      </c>
      <c r="BL259" s="1363">
        <f t="shared" si="136"/>
        <v>1000000</v>
      </c>
      <c r="BM259" s="1899"/>
      <c r="BN259" s="1361" t="str">
        <f t="shared" si="129"/>
        <v/>
      </c>
      <c r="BO259" s="1362">
        <f t="shared" si="137"/>
        <v>0</v>
      </c>
      <c r="BP259" s="1362">
        <f t="shared" si="138"/>
        <v>0</v>
      </c>
      <c r="BQ259" s="1362">
        <f t="shared" ref="BQ259:BQ269" si="152">MIN(BR258+BO259,BQ258)</f>
        <v>0</v>
      </c>
      <c r="BR259" s="1363">
        <f t="shared" si="139"/>
        <v>0</v>
      </c>
      <c r="BT259" s="1414"/>
      <c r="CG259" s="1365"/>
      <c r="CH259" s="1366"/>
      <c r="CI259" s="1366"/>
      <c r="CJ259" s="1366"/>
      <c r="CK259" s="1366"/>
      <c r="CL259" s="1365"/>
      <c r="CM259" s="1366"/>
      <c r="CN259" s="1366"/>
      <c r="CO259" s="1366"/>
      <c r="CP259" s="1366"/>
      <c r="CQ259" s="1366"/>
      <c r="CR259" s="1366"/>
      <c r="CS259" s="1366"/>
      <c r="CT259" s="1366"/>
      <c r="CU259" s="1366"/>
      <c r="CV259" s="1366"/>
      <c r="CW259" s="1366"/>
      <c r="CX259" s="1366"/>
      <c r="CY259" s="1366"/>
      <c r="CZ259" s="1366"/>
      <c r="DA259" s="1366"/>
      <c r="DB259" s="1366"/>
      <c r="DC259" s="1366"/>
      <c r="DD259" s="1366"/>
      <c r="DE259" s="1366"/>
      <c r="DF259" s="1366"/>
      <c r="DG259" s="1365"/>
      <c r="DH259" s="1365"/>
      <c r="DI259" s="1365"/>
      <c r="DJ259" s="1365"/>
      <c r="DK259" s="1365"/>
      <c r="DL259" s="1365"/>
      <c r="DM259" s="1366"/>
      <c r="DN259" s="1366"/>
      <c r="DO259" s="1366"/>
      <c r="DP259" s="1366"/>
      <c r="DQ259" s="1366"/>
      <c r="DR259" s="1366"/>
      <c r="DS259" s="1366"/>
      <c r="DT259" s="1366"/>
    </row>
    <row r="260" spans="1:124">
      <c r="A260" s="1118">
        <f t="shared" ca="1" si="130"/>
        <v>6</v>
      </c>
      <c r="B260" s="1890">
        <f t="shared" si="140"/>
        <v>0</v>
      </c>
      <c r="C260" s="2160">
        <f t="shared" ref="C260:C305" si="153">IF(N259&lt;0.01,0,C259+1)</f>
        <v>0</v>
      </c>
      <c r="D260" s="2161">
        <f t="shared" ref="D260:D305" si="154">IF(N259&lt;0.01,0,D259)</f>
        <v>0</v>
      </c>
      <c r="E260" s="2162">
        <f t="shared" si="141"/>
        <v>0</v>
      </c>
      <c r="F260" s="2162">
        <f t="shared" si="124"/>
        <v>0</v>
      </c>
      <c r="G260" s="2162">
        <f t="shared" si="125"/>
        <v>0</v>
      </c>
      <c r="H260" s="2162">
        <f t="shared" ref="H260:H305" si="155">IF(N259&lt;0.01,0,IF($F$22=$AN$4,0,IF($F$22=$AN$3,N259*$I$22/1000,N259*VLOOKUP($G$21,$AP$2:$AQ$5,2,0))))</f>
        <v>0</v>
      </c>
      <c r="I260" s="2162">
        <f t="shared" si="122"/>
        <v>0</v>
      </c>
      <c r="J260" s="2162">
        <f t="shared" si="131"/>
        <v>0</v>
      </c>
      <c r="K260" s="2162">
        <f t="shared" si="132"/>
        <v>0</v>
      </c>
      <c r="L260" s="2162">
        <f t="shared" si="142"/>
        <v>0</v>
      </c>
      <c r="M260" s="2162">
        <f t="shared" si="133"/>
        <v>0</v>
      </c>
      <c r="N260" s="2162">
        <f t="shared" si="143"/>
        <v>0</v>
      </c>
      <c r="O260" s="2163"/>
      <c r="AG260" s="1756"/>
      <c r="AH260" s="1756"/>
      <c r="AI260" s="1756"/>
      <c r="AJ260" s="1989">
        <f t="shared" si="144"/>
        <v>3</v>
      </c>
      <c r="AK260" s="1900">
        <f t="shared" si="145"/>
        <v>0</v>
      </c>
      <c r="AL260" s="1907"/>
      <c r="AM260" s="1907"/>
      <c r="AN260" s="1901">
        <f t="shared" ref="AN260:AN323" si="156">AN259</f>
        <v>0</v>
      </c>
      <c r="AO260" s="1906">
        <f t="shared" ca="1" si="146"/>
        <v>0</v>
      </c>
      <c r="AU260" s="1903">
        <f t="shared" ref="AU260:AU305" si="157">IF(AV260&gt;1,AV260,IF(BB260&gt;1,BB260,0))</f>
        <v>0</v>
      </c>
      <c r="AV260" s="1904">
        <f t="shared" si="147"/>
        <v>0</v>
      </c>
      <c r="AW260" s="1904">
        <f t="shared" si="148"/>
        <v>0</v>
      </c>
      <c r="AX260" s="1904"/>
      <c r="AY260" s="1904"/>
      <c r="AZ260" s="1904"/>
      <c r="BA260" s="1904"/>
      <c r="BB260" s="1897">
        <f t="shared" si="149"/>
        <v>0</v>
      </c>
      <c r="BC260" s="1897">
        <f t="shared" si="134"/>
        <v>0</v>
      </c>
      <c r="BD260" s="1898" t="e">
        <f>HLOOKUP($BD$63,anticipaplus,196,0)</f>
        <v>#N/A</v>
      </c>
      <c r="BE260" s="1899"/>
      <c r="BF260" s="1899"/>
      <c r="BG260" s="1360">
        <f t="shared" si="150"/>
        <v>0</v>
      </c>
      <c r="BH260" s="1361">
        <f t="shared" si="119"/>
        <v>195</v>
      </c>
      <c r="BI260" s="1362">
        <f t="shared" si="151"/>
        <v>0</v>
      </c>
      <c r="BJ260" s="1362">
        <f t="shared" si="135"/>
        <v>0</v>
      </c>
      <c r="BK260" s="1362">
        <f t="shared" ref="BK260:BK305" si="158">MIN(BL259+BI260,BK259)</f>
        <v>0</v>
      </c>
      <c r="BL260" s="1363">
        <f t="shared" si="136"/>
        <v>1000000</v>
      </c>
      <c r="BM260" s="1899"/>
      <c r="BN260" s="1361" t="str">
        <f t="shared" si="129"/>
        <v/>
      </c>
      <c r="BO260" s="1362">
        <f t="shared" si="137"/>
        <v>0</v>
      </c>
      <c r="BP260" s="1362">
        <f t="shared" si="138"/>
        <v>0</v>
      </c>
      <c r="BQ260" s="1362">
        <f t="shared" si="152"/>
        <v>0</v>
      </c>
      <c r="BR260" s="1363">
        <f t="shared" si="139"/>
        <v>0</v>
      </c>
      <c r="BT260" s="1414"/>
      <c r="CG260" s="1365"/>
      <c r="CH260" s="1366"/>
      <c r="CI260" s="1366"/>
      <c r="CJ260" s="1366"/>
      <c r="CK260" s="1366"/>
      <c r="CL260" s="1365"/>
      <c r="CM260" s="1366"/>
      <c r="CN260" s="1366"/>
      <c r="CO260" s="1366"/>
      <c r="CP260" s="1366"/>
      <c r="CQ260" s="1366"/>
      <c r="CR260" s="1366"/>
      <c r="CS260" s="1366"/>
      <c r="CT260" s="1366"/>
      <c r="CU260" s="1366"/>
      <c r="CV260" s="1366"/>
      <c r="CW260" s="1366"/>
      <c r="CX260" s="1366"/>
      <c r="CY260" s="1366"/>
      <c r="CZ260" s="1366"/>
      <c r="DA260" s="1366"/>
      <c r="DB260" s="1366"/>
      <c r="DC260" s="1366"/>
      <c r="DD260" s="1366"/>
      <c r="DE260" s="1366"/>
      <c r="DF260" s="1366"/>
      <c r="DG260" s="1365"/>
      <c r="DH260" s="1365"/>
      <c r="DI260" s="1365"/>
      <c r="DJ260" s="1365"/>
      <c r="DK260" s="1365"/>
      <c r="DL260" s="1365"/>
      <c r="DM260" s="1366"/>
      <c r="DN260" s="1366"/>
      <c r="DO260" s="1366"/>
      <c r="DP260" s="1366"/>
      <c r="DQ260" s="1366"/>
      <c r="DR260" s="1366"/>
      <c r="DS260" s="1366"/>
      <c r="DT260" s="1366"/>
    </row>
    <row r="261" spans="1:124">
      <c r="A261" s="1118">
        <f t="shared" ca="1" si="130"/>
        <v>7</v>
      </c>
      <c r="B261" s="1890">
        <f t="shared" si="140"/>
        <v>0</v>
      </c>
      <c r="C261" s="2160">
        <f t="shared" si="153"/>
        <v>0</v>
      </c>
      <c r="D261" s="2161">
        <f t="shared" si="154"/>
        <v>0</v>
      </c>
      <c r="E261" s="2162">
        <f t="shared" si="141"/>
        <v>0</v>
      </c>
      <c r="F261" s="2162">
        <f t="shared" si="124"/>
        <v>0</v>
      </c>
      <c r="G261" s="2162">
        <f t="shared" si="125"/>
        <v>0</v>
      </c>
      <c r="H261" s="2162">
        <f t="shared" si="155"/>
        <v>0</v>
      </c>
      <c r="I261" s="2162">
        <f t="shared" si="122"/>
        <v>0</v>
      </c>
      <c r="J261" s="2162">
        <f t="shared" si="131"/>
        <v>0</v>
      </c>
      <c r="K261" s="2162">
        <f t="shared" si="132"/>
        <v>0</v>
      </c>
      <c r="L261" s="2162">
        <f t="shared" si="142"/>
        <v>0</v>
      </c>
      <c r="M261" s="2162">
        <f t="shared" si="133"/>
        <v>0</v>
      </c>
      <c r="N261" s="2162">
        <f t="shared" si="143"/>
        <v>0</v>
      </c>
      <c r="O261" s="2163"/>
      <c r="AG261" s="1756"/>
      <c r="AH261" s="1756"/>
      <c r="AI261" s="1756"/>
      <c r="AJ261" s="1989">
        <f t="shared" si="144"/>
        <v>4</v>
      </c>
      <c r="AK261" s="1900">
        <f t="shared" si="145"/>
        <v>0</v>
      </c>
      <c r="AL261" s="1907"/>
      <c r="AM261" s="1907"/>
      <c r="AN261" s="1901">
        <f t="shared" si="156"/>
        <v>0</v>
      </c>
      <c r="AO261" s="1906">
        <f t="shared" ca="1" si="146"/>
        <v>0</v>
      </c>
      <c r="AU261" s="1903">
        <f t="shared" si="157"/>
        <v>0</v>
      </c>
      <c r="AV261" s="1904">
        <f t="shared" si="147"/>
        <v>0</v>
      </c>
      <c r="AW261" s="1904">
        <f t="shared" si="148"/>
        <v>0</v>
      </c>
      <c r="AX261" s="1904"/>
      <c r="AY261" s="1904"/>
      <c r="AZ261" s="1904"/>
      <c r="BA261" s="1904"/>
      <c r="BB261" s="1897">
        <f t="shared" si="149"/>
        <v>0</v>
      </c>
      <c r="BC261" s="1897">
        <f t="shared" si="134"/>
        <v>0</v>
      </c>
      <c r="BD261" s="1898" t="e">
        <f>HLOOKUP($BD$63,anticipaplus,197,0)</f>
        <v>#N/A</v>
      </c>
      <c r="BE261" s="1899"/>
      <c r="BF261" s="1899"/>
      <c r="BG261" s="1360">
        <f t="shared" si="150"/>
        <v>0</v>
      </c>
      <c r="BH261" s="1361">
        <f t="shared" ref="BH261:BH305" si="159">IF(BL260&lt;=0,"",BH260+1)</f>
        <v>196</v>
      </c>
      <c r="BI261" s="1362">
        <f t="shared" si="151"/>
        <v>0</v>
      </c>
      <c r="BJ261" s="1362">
        <f t="shared" si="135"/>
        <v>0</v>
      </c>
      <c r="BK261" s="1362">
        <f t="shared" si="158"/>
        <v>0</v>
      </c>
      <c r="BL261" s="1363">
        <f t="shared" si="136"/>
        <v>1000000</v>
      </c>
      <c r="BM261" s="1899"/>
      <c r="BN261" s="1361" t="str">
        <f t="shared" si="129"/>
        <v/>
      </c>
      <c r="BO261" s="1362">
        <f t="shared" si="137"/>
        <v>0</v>
      </c>
      <c r="BP261" s="1362">
        <f t="shared" si="138"/>
        <v>0</v>
      </c>
      <c r="BQ261" s="1362">
        <f t="shared" si="152"/>
        <v>0</v>
      </c>
      <c r="BR261" s="1363">
        <f t="shared" si="139"/>
        <v>0</v>
      </c>
      <c r="BT261" s="1414"/>
      <c r="CG261" s="1365"/>
      <c r="CH261" s="1366"/>
      <c r="CI261" s="1366"/>
      <c r="CJ261" s="1366"/>
      <c r="CK261" s="1366"/>
      <c r="CL261" s="1365"/>
      <c r="CM261" s="1366"/>
      <c r="CN261" s="1366"/>
      <c r="CO261" s="1366"/>
      <c r="CP261" s="1366"/>
      <c r="CQ261" s="1366"/>
      <c r="CR261" s="1366"/>
      <c r="CS261" s="1366"/>
      <c r="CT261" s="1366"/>
      <c r="CU261" s="1366"/>
      <c r="CV261" s="1366"/>
      <c r="CW261" s="1366"/>
      <c r="CX261" s="1366"/>
      <c r="CY261" s="1366"/>
      <c r="CZ261" s="1366"/>
      <c r="DA261" s="1366"/>
      <c r="DB261" s="1366"/>
      <c r="DC261" s="1366"/>
      <c r="DD261" s="1366"/>
      <c r="DE261" s="1366"/>
      <c r="DF261" s="1366"/>
      <c r="DG261" s="1365"/>
      <c r="DH261" s="1365"/>
      <c r="DI261" s="1365"/>
      <c r="DJ261" s="1365"/>
      <c r="DK261" s="1365"/>
      <c r="DL261" s="1365"/>
      <c r="DM261" s="1366"/>
      <c r="DN261" s="1366"/>
      <c r="DO261" s="1366"/>
      <c r="DP261" s="1366"/>
      <c r="DQ261" s="1366"/>
      <c r="DR261" s="1366"/>
      <c r="DS261" s="1366"/>
      <c r="DT261" s="1366"/>
    </row>
    <row r="262" spans="1:124">
      <c r="A262" s="1118">
        <f t="shared" ca="1" si="130"/>
        <v>8</v>
      </c>
      <c r="B262" s="1890">
        <f t="shared" si="140"/>
        <v>0</v>
      </c>
      <c r="C262" s="2160">
        <f t="shared" si="153"/>
        <v>0</v>
      </c>
      <c r="D262" s="2161">
        <f t="shared" si="154"/>
        <v>0</v>
      </c>
      <c r="E262" s="2162">
        <f t="shared" si="141"/>
        <v>0</v>
      </c>
      <c r="F262" s="2162">
        <f t="shared" si="124"/>
        <v>0</v>
      </c>
      <c r="G262" s="2162">
        <f t="shared" si="125"/>
        <v>0</v>
      </c>
      <c r="H262" s="2162">
        <f t="shared" si="155"/>
        <v>0</v>
      </c>
      <c r="I262" s="2162">
        <f t="shared" si="122"/>
        <v>0</v>
      </c>
      <c r="J262" s="2162">
        <f t="shared" si="131"/>
        <v>0</v>
      </c>
      <c r="K262" s="2162">
        <f t="shared" si="132"/>
        <v>0</v>
      </c>
      <c r="L262" s="2162">
        <f t="shared" si="142"/>
        <v>0</v>
      </c>
      <c r="M262" s="2162">
        <f t="shared" si="133"/>
        <v>0</v>
      </c>
      <c r="N262" s="2162">
        <f t="shared" si="143"/>
        <v>0</v>
      </c>
      <c r="O262" s="2163"/>
      <c r="AG262" s="1756"/>
      <c r="AH262" s="1756"/>
      <c r="AI262" s="1756"/>
      <c r="AJ262" s="1989">
        <f t="shared" si="144"/>
        <v>5</v>
      </c>
      <c r="AK262" s="1900">
        <f t="shared" si="145"/>
        <v>0</v>
      </c>
      <c r="AL262" s="1907"/>
      <c r="AM262" s="1907"/>
      <c r="AN262" s="1901">
        <f t="shared" si="156"/>
        <v>0</v>
      </c>
      <c r="AO262" s="1906">
        <f t="shared" ca="1" si="146"/>
        <v>0</v>
      </c>
      <c r="AU262" s="1903">
        <f t="shared" si="157"/>
        <v>0</v>
      </c>
      <c r="AV262" s="1904">
        <f t="shared" si="147"/>
        <v>0</v>
      </c>
      <c r="AW262" s="1904">
        <f t="shared" si="148"/>
        <v>0</v>
      </c>
      <c r="AX262" s="1904"/>
      <c r="AY262" s="1904"/>
      <c r="AZ262" s="1904"/>
      <c r="BA262" s="1904"/>
      <c r="BB262" s="1897">
        <f t="shared" si="149"/>
        <v>0</v>
      </c>
      <c r="BC262" s="1897">
        <f t="shared" si="134"/>
        <v>0</v>
      </c>
      <c r="BD262" s="1898" t="e">
        <f>HLOOKUP($BD$63,anticipaplus,198,0)</f>
        <v>#N/A</v>
      </c>
      <c r="BE262" s="1899"/>
      <c r="BF262" s="1899"/>
      <c r="BG262" s="1360">
        <f t="shared" si="150"/>
        <v>0</v>
      </c>
      <c r="BH262" s="1361">
        <f t="shared" si="159"/>
        <v>197</v>
      </c>
      <c r="BI262" s="1362">
        <f t="shared" si="151"/>
        <v>0</v>
      </c>
      <c r="BJ262" s="1362">
        <f t="shared" si="135"/>
        <v>0</v>
      </c>
      <c r="BK262" s="1362">
        <f t="shared" si="158"/>
        <v>0</v>
      </c>
      <c r="BL262" s="1363">
        <f t="shared" si="136"/>
        <v>1000000</v>
      </c>
      <c r="BM262" s="1899"/>
      <c r="BN262" s="1361" t="str">
        <f t="shared" si="129"/>
        <v/>
      </c>
      <c r="BO262" s="1362">
        <f t="shared" si="137"/>
        <v>0</v>
      </c>
      <c r="BP262" s="1362">
        <f t="shared" si="138"/>
        <v>0</v>
      </c>
      <c r="BQ262" s="1362">
        <f t="shared" si="152"/>
        <v>0</v>
      </c>
      <c r="BR262" s="1363">
        <f t="shared" si="139"/>
        <v>0</v>
      </c>
      <c r="BT262" s="1414"/>
      <c r="CG262" s="1365"/>
      <c r="CH262" s="1366"/>
      <c r="CI262" s="1366"/>
      <c r="CJ262" s="1366"/>
      <c r="CK262" s="1366"/>
      <c r="CL262" s="1365"/>
      <c r="CM262" s="1366"/>
      <c r="CN262" s="1366"/>
      <c r="CO262" s="1366"/>
      <c r="CP262" s="1366"/>
      <c r="CQ262" s="1366"/>
      <c r="CR262" s="1366"/>
      <c r="CS262" s="1366"/>
      <c r="CT262" s="1366"/>
      <c r="CU262" s="1366"/>
      <c r="CV262" s="1366"/>
      <c r="CW262" s="1366"/>
      <c r="CX262" s="1366"/>
      <c r="CY262" s="1366"/>
      <c r="CZ262" s="1366"/>
      <c r="DA262" s="1366"/>
      <c r="DB262" s="1366"/>
      <c r="DC262" s="1366"/>
      <c r="DD262" s="1366"/>
      <c r="DE262" s="1366"/>
      <c r="DF262" s="1366"/>
      <c r="DG262" s="1365"/>
      <c r="DH262" s="1365"/>
      <c r="DI262" s="1365"/>
      <c r="DJ262" s="1365"/>
      <c r="DK262" s="1365"/>
      <c r="DL262" s="1365"/>
      <c r="DM262" s="1366"/>
      <c r="DN262" s="1366"/>
      <c r="DO262" s="1366"/>
      <c r="DP262" s="1366"/>
      <c r="DQ262" s="1366"/>
      <c r="DR262" s="1366"/>
      <c r="DS262" s="1366"/>
      <c r="DT262" s="1366"/>
    </row>
    <row r="263" spans="1:124">
      <c r="A263" s="1118">
        <f t="shared" ca="1" si="130"/>
        <v>9</v>
      </c>
      <c r="B263" s="1890">
        <f t="shared" si="140"/>
        <v>0</v>
      </c>
      <c r="C263" s="2160">
        <f t="shared" si="153"/>
        <v>0</v>
      </c>
      <c r="D263" s="2161">
        <f t="shared" si="154"/>
        <v>0</v>
      </c>
      <c r="E263" s="2162">
        <f t="shared" si="141"/>
        <v>0</v>
      </c>
      <c r="F263" s="2162">
        <f t="shared" si="124"/>
        <v>0</v>
      </c>
      <c r="G263" s="2162">
        <f t="shared" si="125"/>
        <v>0</v>
      </c>
      <c r="H263" s="2162">
        <f t="shared" si="155"/>
        <v>0</v>
      </c>
      <c r="I263" s="2162">
        <f t="shared" si="122"/>
        <v>0</v>
      </c>
      <c r="J263" s="2162">
        <f t="shared" si="131"/>
        <v>0</v>
      </c>
      <c r="K263" s="2162">
        <f t="shared" si="132"/>
        <v>0</v>
      </c>
      <c r="L263" s="2162">
        <f t="shared" si="142"/>
        <v>0</v>
      </c>
      <c r="M263" s="2162">
        <f t="shared" si="133"/>
        <v>0</v>
      </c>
      <c r="N263" s="2162">
        <f t="shared" si="143"/>
        <v>0</v>
      </c>
      <c r="O263" s="2163"/>
      <c r="AG263" s="1756"/>
      <c r="AH263" s="1756"/>
      <c r="AI263" s="1756"/>
      <c r="AJ263" s="1989">
        <f t="shared" si="144"/>
        <v>6</v>
      </c>
      <c r="AK263" s="1900">
        <f t="shared" si="145"/>
        <v>0</v>
      </c>
      <c r="AL263" s="1907"/>
      <c r="AM263" s="1907"/>
      <c r="AN263" s="1901">
        <f t="shared" si="156"/>
        <v>0</v>
      </c>
      <c r="AO263" s="1906">
        <f t="shared" ca="1" si="146"/>
        <v>0</v>
      </c>
      <c r="AU263" s="1903">
        <f t="shared" si="157"/>
        <v>0</v>
      </c>
      <c r="AV263" s="1904">
        <f t="shared" si="147"/>
        <v>0</v>
      </c>
      <c r="AW263" s="1904">
        <f t="shared" si="148"/>
        <v>0</v>
      </c>
      <c r="AX263" s="1904"/>
      <c r="AY263" s="1904"/>
      <c r="AZ263" s="1904"/>
      <c r="BA263" s="1904"/>
      <c r="BB263" s="1897">
        <f t="shared" si="149"/>
        <v>0</v>
      </c>
      <c r="BC263" s="1897">
        <f t="shared" si="134"/>
        <v>0</v>
      </c>
      <c r="BD263" s="1898" t="e">
        <f>HLOOKUP($BD$63,anticipaplus,199,0)</f>
        <v>#N/A</v>
      </c>
      <c r="BE263" s="1899"/>
      <c r="BF263" s="1899"/>
      <c r="BG263" s="1360">
        <f t="shared" si="150"/>
        <v>0</v>
      </c>
      <c r="BH263" s="1361">
        <f t="shared" si="159"/>
        <v>198</v>
      </c>
      <c r="BI263" s="1362">
        <f t="shared" si="151"/>
        <v>0</v>
      </c>
      <c r="BJ263" s="1362">
        <f t="shared" si="135"/>
        <v>0</v>
      </c>
      <c r="BK263" s="1362">
        <f t="shared" si="158"/>
        <v>0</v>
      </c>
      <c r="BL263" s="1363">
        <f t="shared" si="136"/>
        <v>1000000</v>
      </c>
      <c r="BM263" s="1899"/>
      <c r="BN263" s="1361" t="str">
        <f t="shared" si="129"/>
        <v/>
      </c>
      <c r="BO263" s="1362">
        <f t="shared" si="137"/>
        <v>0</v>
      </c>
      <c r="BP263" s="1362">
        <f t="shared" si="138"/>
        <v>0</v>
      </c>
      <c r="BQ263" s="1362">
        <f t="shared" si="152"/>
        <v>0</v>
      </c>
      <c r="BR263" s="1363">
        <f t="shared" si="139"/>
        <v>0</v>
      </c>
      <c r="BT263" s="1414"/>
      <c r="CG263" s="1365"/>
      <c r="CH263" s="1366"/>
      <c r="CI263" s="1366"/>
      <c r="CJ263" s="1366"/>
      <c r="CK263" s="1366"/>
      <c r="CL263" s="1365"/>
      <c r="CM263" s="1366"/>
      <c r="CN263" s="1366"/>
      <c r="CO263" s="1366"/>
      <c r="CP263" s="1366"/>
      <c r="CQ263" s="1366"/>
      <c r="CR263" s="1366"/>
      <c r="CS263" s="1366"/>
      <c r="CT263" s="1366"/>
      <c r="CU263" s="1366"/>
      <c r="CV263" s="1366"/>
      <c r="CW263" s="1366"/>
      <c r="CX263" s="1366"/>
      <c r="CY263" s="1366"/>
      <c r="CZ263" s="1366"/>
      <c r="DA263" s="1366"/>
      <c r="DB263" s="1366"/>
      <c r="DC263" s="1366"/>
      <c r="DD263" s="1366"/>
      <c r="DE263" s="1366"/>
      <c r="DF263" s="1366"/>
      <c r="DG263" s="1365"/>
      <c r="DH263" s="1365"/>
      <c r="DI263" s="1365"/>
      <c r="DJ263" s="1365"/>
      <c r="DK263" s="1365"/>
      <c r="DL263" s="1365"/>
      <c r="DM263" s="1366"/>
      <c r="DN263" s="1366"/>
      <c r="DO263" s="1366"/>
      <c r="DP263" s="1366"/>
      <c r="DQ263" s="1366"/>
      <c r="DR263" s="1366"/>
      <c r="DS263" s="1366"/>
      <c r="DT263" s="1366"/>
    </row>
    <row r="264" spans="1:124">
      <c r="A264" s="1118">
        <f t="shared" ca="1" si="130"/>
        <v>10</v>
      </c>
      <c r="B264" s="1890">
        <f t="shared" si="140"/>
        <v>0</v>
      </c>
      <c r="C264" s="2160">
        <f t="shared" si="153"/>
        <v>0</v>
      </c>
      <c r="D264" s="2161">
        <f t="shared" si="154"/>
        <v>0</v>
      </c>
      <c r="E264" s="2162">
        <f t="shared" si="141"/>
        <v>0</v>
      </c>
      <c r="F264" s="2162">
        <f t="shared" si="124"/>
        <v>0</v>
      </c>
      <c r="G264" s="2162">
        <f t="shared" si="125"/>
        <v>0</v>
      </c>
      <c r="H264" s="2162">
        <f t="shared" si="155"/>
        <v>0</v>
      </c>
      <c r="I264" s="2162">
        <f t="shared" si="122"/>
        <v>0</v>
      </c>
      <c r="J264" s="2162">
        <f t="shared" si="131"/>
        <v>0</v>
      </c>
      <c r="K264" s="2162">
        <f t="shared" si="132"/>
        <v>0</v>
      </c>
      <c r="L264" s="2162">
        <f t="shared" si="142"/>
        <v>0</v>
      </c>
      <c r="M264" s="2162">
        <f t="shared" si="133"/>
        <v>0</v>
      </c>
      <c r="N264" s="2162">
        <f t="shared" si="143"/>
        <v>0</v>
      </c>
      <c r="O264" s="2163"/>
      <c r="AG264" s="1756"/>
      <c r="AH264" s="1756"/>
      <c r="AI264" s="1756"/>
      <c r="AJ264" s="1989">
        <f t="shared" si="144"/>
        <v>7</v>
      </c>
      <c r="AK264" s="1900">
        <f t="shared" si="145"/>
        <v>0</v>
      </c>
      <c r="AL264" s="1907"/>
      <c r="AM264" s="1907"/>
      <c r="AN264" s="1901">
        <f t="shared" si="156"/>
        <v>0</v>
      </c>
      <c r="AO264" s="1906">
        <f t="shared" ca="1" si="146"/>
        <v>0</v>
      </c>
      <c r="AU264" s="1903">
        <f t="shared" si="157"/>
        <v>0</v>
      </c>
      <c r="AV264" s="1904">
        <f t="shared" si="147"/>
        <v>0</v>
      </c>
      <c r="AW264" s="1904">
        <f t="shared" si="148"/>
        <v>0</v>
      </c>
      <c r="AX264" s="1904"/>
      <c r="AY264" s="1904"/>
      <c r="AZ264" s="1904"/>
      <c r="BA264" s="1904"/>
      <c r="BB264" s="1897">
        <f t="shared" si="149"/>
        <v>0</v>
      </c>
      <c r="BC264" s="1897">
        <f t="shared" si="134"/>
        <v>0</v>
      </c>
      <c r="BD264" s="1898" t="e">
        <f>HLOOKUP($BD$63,anticipaplus,200,0)</f>
        <v>#N/A</v>
      </c>
      <c r="BE264" s="1899"/>
      <c r="BF264" s="1899"/>
      <c r="BG264" s="1360">
        <f t="shared" si="150"/>
        <v>0</v>
      </c>
      <c r="BH264" s="1361">
        <f t="shared" si="159"/>
        <v>199</v>
      </c>
      <c r="BI264" s="1362">
        <f t="shared" si="151"/>
        <v>0</v>
      </c>
      <c r="BJ264" s="1362">
        <f t="shared" si="135"/>
        <v>0</v>
      </c>
      <c r="BK264" s="1362">
        <f t="shared" si="158"/>
        <v>0</v>
      </c>
      <c r="BL264" s="1363">
        <f t="shared" si="136"/>
        <v>1000000</v>
      </c>
      <c r="BM264" s="1899"/>
      <c r="BN264" s="1361" t="str">
        <f t="shared" si="129"/>
        <v/>
      </c>
      <c r="BO264" s="1362">
        <f t="shared" si="137"/>
        <v>0</v>
      </c>
      <c r="BP264" s="1362">
        <f t="shared" si="138"/>
        <v>0</v>
      </c>
      <c r="BQ264" s="1362">
        <f t="shared" si="152"/>
        <v>0</v>
      </c>
      <c r="BR264" s="1363">
        <f t="shared" si="139"/>
        <v>0</v>
      </c>
      <c r="BT264" s="1414"/>
      <c r="CG264" s="1365"/>
      <c r="CH264" s="1366"/>
      <c r="CI264" s="1366"/>
      <c r="CJ264" s="1366"/>
      <c r="CK264" s="1366"/>
      <c r="CL264" s="1365"/>
      <c r="CM264" s="1366"/>
      <c r="CN264" s="1366"/>
      <c r="CO264" s="1366"/>
      <c r="CP264" s="1366"/>
      <c r="CQ264" s="1366"/>
      <c r="CR264" s="1366"/>
      <c r="CS264" s="1366"/>
      <c r="CT264" s="1366"/>
      <c r="CU264" s="1366"/>
      <c r="CV264" s="1366"/>
      <c r="CW264" s="1366"/>
      <c r="CX264" s="1366"/>
      <c r="CY264" s="1366"/>
      <c r="CZ264" s="1366"/>
      <c r="DA264" s="1366"/>
      <c r="DB264" s="1366"/>
      <c r="DC264" s="1366"/>
      <c r="DD264" s="1366"/>
      <c r="DE264" s="1366"/>
      <c r="DF264" s="1366"/>
      <c r="DG264" s="1365"/>
      <c r="DH264" s="1365"/>
      <c r="DI264" s="1365"/>
      <c r="DJ264" s="1365"/>
      <c r="DK264" s="1365"/>
      <c r="DL264" s="1365"/>
      <c r="DM264" s="1366"/>
      <c r="DN264" s="1366"/>
      <c r="DO264" s="1366"/>
      <c r="DP264" s="1366"/>
      <c r="DQ264" s="1366"/>
      <c r="DR264" s="1366"/>
      <c r="DS264" s="1366"/>
      <c r="DT264" s="1366"/>
    </row>
    <row r="265" spans="1:124">
      <c r="A265" s="1118">
        <f t="shared" ca="1" si="130"/>
        <v>11</v>
      </c>
      <c r="B265" s="1890">
        <f t="shared" si="140"/>
        <v>0</v>
      </c>
      <c r="C265" s="2160">
        <f t="shared" si="153"/>
        <v>0</v>
      </c>
      <c r="D265" s="2161">
        <f t="shared" si="154"/>
        <v>0</v>
      </c>
      <c r="E265" s="2162">
        <f t="shared" si="141"/>
        <v>0</v>
      </c>
      <c r="F265" s="2162">
        <f t="shared" si="124"/>
        <v>0</v>
      </c>
      <c r="G265" s="2162">
        <f t="shared" si="125"/>
        <v>0</v>
      </c>
      <c r="H265" s="2162">
        <f t="shared" si="155"/>
        <v>0</v>
      </c>
      <c r="I265" s="2162">
        <f t="shared" si="122"/>
        <v>0</v>
      </c>
      <c r="J265" s="2162">
        <f t="shared" si="131"/>
        <v>0</v>
      </c>
      <c r="K265" s="2162">
        <f t="shared" si="132"/>
        <v>0</v>
      </c>
      <c r="L265" s="2162">
        <f t="shared" si="142"/>
        <v>0</v>
      </c>
      <c r="M265" s="2162">
        <f t="shared" si="133"/>
        <v>0</v>
      </c>
      <c r="N265" s="2162">
        <f t="shared" si="143"/>
        <v>0</v>
      </c>
      <c r="O265" s="2163"/>
      <c r="AG265" s="1756"/>
      <c r="AH265" s="1756"/>
      <c r="AI265" s="1756"/>
      <c r="AJ265" s="1989">
        <f t="shared" si="144"/>
        <v>8</v>
      </c>
      <c r="AK265" s="1900">
        <f t="shared" si="145"/>
        <v>0</v>
      </c>
      <c r="AL265" s="1907"/>
      <c r="AM265" s="1907"/>
      <c r="AN265" s="1901">
        <f t="shared" si="156"/>
        <v>0</v>
      </c>
      <c r="AO265" s="1906">
        <f t="shared" ca="1" si="146"/>
        <v>0</v>
      </c>
      <c r="AU265" s="1903">
        <f t="shared" si="157"/>
        <v>0</v>
      </c>
      <c r="AV265" s="1904">
        <f t="shared" si="147"/>
        <v>0</v>
      </c>
      <c r="AW265" s="1904">
        <f t="shared" si="148"/>
        <v>0</v>
      </c>
      <c r="AX265" s="1904"/>
      <c r="AY265" s="1904"/>
      <c r="AZ265" s="1904"/>
      <c r="BA265" s="1904"/>
      <c r="BB265" s="1897">
        <f t="shared" si="149"/>
        <v>0</v>
      </c>
      <c r="BC265" s="1897">
        <f t="shared" si="134"/>
        <v>0</v>
      </c>
      <c r="BD265" s="1898" t="e">
        <f>HLOOKUP($BD$63,anticipaplus,201,0)</f>
        <v>#N/A</v>
      </c>
      <c r="BE265" s="1899"/>
      <c r="BF265" s="1899"/>
      <c r="BG265" s="1360">
        <f t="shared" si="150"/>
        <v>0</v>
      </c>
      <c r="BH265" s="1361">
        <f t="shared" si="159"/>
        <v>200</v>
      </c>
      <c r="BI265" s="1362">
        <f t="shared" si="151"/>
        <v>0</v>
      </c>
      <c r="BJ265" s="1362">
        <f t="shared" si="135"/>
        <v>0</v>
      </c>
      <c r="BK265" s="1362">
        <f t="shared" si="158"/>
        <v>0</v>
      </c>
      <c r="BL265" s="1363">
        <f t="shared" si="136"/>
        <v>1000000</v>
      </c>
      <c r="BM265" s="1899"/>
      <c r="BN265" s="1361" t="str">
        <f t="shared" si="129"/>
        <v/>
      </c>
      <c r="BO265" s="1362">
        <f t="shared" si="137"/>
        <v>0</v>
      </c>
      <c r="BP265" s="1362">
        <f t="shared" si="138"/>
        <v>0</v>
      </c>
      <c r="BQ265" s="1362">
        <f t="shared" si="152"/>
        <v>0</v>
      </c>
      <c r="BR265" s="1363">
        <f t="shared" si="139"/>
        <v>0</v>
      </c>
      <c r="BT265" s="1414"/>
      <c r="CG265" s="1365"/>
      <c r="CH265" s="1366"/>
      <c r="CI265" s="1366"/>
      <c r="CJ265" s="1366"/>
      <c r="CK265" s="1366"/>
      <c r="CL265" s="1365"/>
      <c r="CM265" s="1366"/>
      <c r="CN265" s="1366"/>
      <c r="CO265" s="1366"/>
      <c r="CP265" s="1366"/>
      <c r="CQ265" s="1366"/>
      <c r="CR265" s="1366"/>
      <c r="CS265" s="1366"/>
      <c r="CT265" s="1366"/>
      <c r="CU265" s="1366"/>
      <c r="CV265" s="1366"/>
      <c r="CW265" s="1366"/>
      <c r="CX265" s="1366"/>
      <c r="CY265" s="1366"/>
      <c r="CZ265" s="1366"/>
      <c r="DA265" s="1366"/>
      <c r="DB265" s="1366"/>
      <c r="DC265" s="1366"/>
      <c r="DD265" s="1366"/>
      <c r="DE265" s="1366"/>
      <c r="DF265" s="1366"/>
      <c r="DG265" s="1365"/>
      <c r="DH265" s="1365"/>
      <c r="DI265" s="1365"/>
      <c r="DJ265" s="1365"/>
      <c r="DK265" s="1365"/>
      <c r="DL265" s="1365"/>
      <c r="DM265" s="1366"/>
      <c r="DN265" s="1366"/>
      <c r="DO265" s="1366"/>
      <c r="DP265" s="1366"/>
      <c r="DQ265" s="1366"/>
      <c r="DR265" s="1366"/>
      <c r="DS265" s="1366"/>
      <c r="DT265" s="1366"/>
    </row>
    <row r="266" spans="1:124">
      <c r="A266" s="1118">
        <f t="shared" ca="1" si="130"/>
        <v>12</v>
      </c>
      <c r="B266" s="1890">
        <f t="shared" si="140"/>
        <v>0</v>
      </c>
      <c r="C266" s="2160">
        <f t="shared" si="153"/>
        <v>0</v>
      </c>
      <c r="D266" s="2161">
        <f t="shared" si="154"/>
        <v>0</v>
      </c>
      <c r="E266" s="2162">
        <f t="shared" si="141"/>
        <v>0</v>
      </c>
      <c r="F266" s="2162">
        <f t="shared" si="124"/>
        <v>0</v>
      </c>
      <c r="G266" s="2162">
        <f t="shared" si="125"/>
        <v>0</v>
      </c>
      <c r="H266" s="2162">
        <f t="shared" si="155"/>
        <v>0</v>
      </c>
      <c r="I266" s="2162">
        <f t="shared" si="122"/>
        <v>0</v>
      </c>
      <c r="J266" s="2162">
        <f t="shared" si="131"/>
        <v>0</v>
      </c>
      <c r="K266" s="2162">
        <f t="shared" si="132"/>
        <v>0</v>
      </c>
      <c r="L266" s="2162">
        <f t="shared" si="142"/>
        <v>0</v>
      </c>
      <c r="M266" s="2162">
        <f t="shared" si="133"/>
        <v>0</v>
      </c>
      <c r="N266" s="2162">
        <f t="shared" si="143"/>
        <v>0</v>
      </c>
      <c r="O266" s="2163"/>
      <c r="AG266" s="1756"/>
      <c r="AH266" s="1756"/>
      <c r="AI266" s="1756"/>
      <c r="AJ266" s="1989">
        <f t="shared" si="144"/>
        <v>9</v>
      </c>
      <c r="AK266" s="1900">
        <f t="shared" si="145"/>
        <v>0</v>
      </c>
      <c r="AL266" s="1907"/>
      <c r="AM266" s="1907"/>
      <c r="AN266" s="1901">
        <f t="shared" si="156"/>
        <v>0</v>
      </c>
      <c r="AO266" s="1906">
        <f t="shared" ca="1" si="146"/>
        <v>0</v>
      </c>
      <c r="AU266" s="1903">
        <f t="shared" si="157"/>
        <v>0</v>
      </c>
      <c r="AV266" s="1904">
        <f t="shared" si="147"/>
        <v>0</v>
      </c>
      <c r="AW266" s="1904">
        <f t="shared" si="148"/>
        <v>0</v>
      </c>
      <c r="AX266" s="1904"/>
      <c r="AY266" s="1904"/>
      <c r="AZ266" s="1904"/>
      <c r="BA266" s="1904"/>
      <c r="BB266" s="1897">
        <f t="shared" si="149"/>
        <v>0</v>
      </c>
      <c r="BC266" s="1897">
        <f t="shared" si="134"/>
        <v>0</v>
      </c>
      <c r="BD266" s="1898" t="e">
        <f>HLOOKUP($BD$63,anticipaplus,202,0)</f>
        <v>#N/A</v>
      </c>
      <c r="BE266" s="1899"/>
      <c r="BF266" s="1899"/>
      <c r="BG266" s="1360">
        <f t="shared" si="150"/>
        <v>0</v>
      </c>
      <c r="BH266" s="1361">
        <f t="shared" si="159"/>
        <v>201</v>
      </c>
      <c r="BI266" s="1362">
        <f t="shared" si="151"/>
        <v>0</v>
      </c>
      <c r="BJ266" s="1362">
        <f t="shared" si="135"/>
        <v>0</v>
      </c>
      <c r="BK266" s="1362">
        <f t="shared" si="158"/>
        <v>0</v>
      </c>
      <c r="BL266" s="1363">
        <f t="shared" si="136"/>
        <v>1000000</v>
      </c>
      <c r="BM266" s="1899"/>
      <c r="BN266" s="1361" t="str">
        <f t="shared" si="129"/>
        <v/>
      </c>
      <c r="BO266" s="1362">
        <f t="shared" si="137"/>
        <v>0</v>
      </c>
      <c r="BP266" s="1362">
        <f t="shared" si="138"/>
        <v>0</v>
      </c>
      <c r="BQ266" s="1362">
        <f t="shared" si="152"/>
        <v>0</v>
      </c>
      <c r="BR266" s="1363">
        <f t="shared" si="139"/>
        <v>0</v>
      </c>
      <c r="BT266" s="1414"/>
      <c r="CG266" s="1365"/>
      <c r="CH266" s="1366"/>
      <c r="CI266" s="1366"/>
      <c r="CJ266" s="1366"/>
      <c r="CK266" s="1366"/>
      <c r="CL266" s="1365"/>
      <c r="CM266" s="1366"/>
      <c r="CN266" s="1366"/>
      <c r="CO266" s="1366"/>
      <c r="CP266" s="1366"/>
      <c r="CQ266" s="1366"/>
      <c r="CR266" s="1366"/>
      <c r="CS266" s="1366"/>
      <c r="CT266" s="1366"/>
      <c r="CU266" s="1366"/>
      <c r="CV266" s="1366"/>
      <c r="CW266" s="1366"/>
      <c r="CX266" s="1366"/>
      <c r="CY266" s="1366"/>
      <c r="CZ266" s="1366"/>
      <c r="DA266" s="1366"/>
      <c r="DB266" s="1366"/>
      <c r="DC266" s="1366"/>
      <c r="DD266" s="1366"/>
      <c r="DE266" s="1366"/>
      <c r="DF266" s="1366"/>
      <c r="DG266" s="1365"/>
      <c r="DH266" s="1365"/>
      <c r="DI266" s="1365"/>
      <c r="DJ266" s="1365"/>
      <c r="DK266" s="1365"/>
      <c r="DL266" s="1365"/>
      <c r="DM266" s="1366"/>
      <c r="DN266" s="1366"/>
      <c r="DO266" s="1366"/>
      <c r="DP266" s="1366"/>
      <c r="DQ266" s="1366"/>
      <c r="DR266" s="1366"/>
      <c r="DS266" s="1366"/>
      <c r="DT266" s="1366"/>
    </row>
    <row r="267" spans="1:124">
      <c r="A267" s="1118">
        <f t="shared" ca="1" si="130"/>
        <v>1</v>
      </c>
      <c r="B267" s="1890">
        <f t="shared" si="140"/>
        <v>0</v>
      </c>
      <c r="C267" s="2160">
        <f t="shared" si="153"/>
        <v>0</v>
      </c>
      <c r="D267" s="2161">
        <f t="shared" si="154"/>
        <v>0</v>
      </c>
      <c r="E267" s="2162">
        <f t="shared" si="141"/>
        <v>0</v>
      </c>
      <c r="F267" s="2162">
        <f t="shared" si="124"/>
        <v>0</v>
      </c>
      <c r="G267" s="2162">
        <f t="shared" si="125"/>
        <v>0</v>
      </c>
      <c r="H267" s="2162">
        <f t="shared" si="155"/>
        <v>0</v>
      </c>
      <c r="I267" s="2162">
        <f t="shared" si="122"/>
        <v>0</v>
      </c>
      <c r="J267" s="2162">
        <f t="shared" si="131"/>
        <v>0</v>
      </c>
      <c r="K267" s="2162">
        <f t="shared" si="132"/>
        <v>0</v>
      </c>
      <c r="L267" s="2162">
        <f t="shared" si="142"/>
        <v>0</v>
      </c>
      <c r="M267" s="2162">
        <f t="shared" si="133"/>
        <v>0</v>
      </c>
      <c r="N267" s="2162">
        <f t="shared" si="143"/>
        <v>0</v>
      </c>
      <c r="O267" s="2163"/>
      <c r="AG267" s="1756"/>
      <c r="AH267" s="1756"/>
      <c r="AI267" s="1756"/>
      <c r="AJ267" s="1989">
        <f t="shared" si="144"/>
        <v>10</v>
      </c>
      <c r="AK267" s="1900">
        <f t="shared" si="145"/>
        <v>0</v>
      </c>
      <c r="AL267" s="1907"/>
      <c r="AM267" s="1907"/>
      <c r="AN267" s="1901">
        <f t="shared" si="156"/>
        <v>0</v>
      </c>
      <c r="AO267" s="1906">
        <f t="shared" ca="1" si="146"/>
        <v>0</v>
      </c>
      <c r="AU267" s="1903">
        <f t="shared" si="157"/>
        <v>0</v>
      </c>
      <c r="AV267" s="1904">
        <f t="shared" si="147"/>
        <v>0</v>
      </c>
      <c r="AW267" s="1904">
        <f t="shared" si="148"/>
        <v>0</v>
      </c>
      <c r="AX267" s="1904"/>
      <c r="AY267" s="1904"/>
      <c r="AZ267" s="1904"/>
      <c r="BA267" s="1904"/>
      <c r="BB267" s="1897">
        <f t="shared" si="149"/>
        <v>0</v>
      </c>
      <c r="BC267" s="1897">
        <f t="shared" si="134"/>
        <v>0</v>
      </c>
      <c r="BD267" s="1898" t="e">
        <f>HLOOKUP($BD$63,anticipaplus,203,0)</f>
        <v>#N/A</v>
      </c>
      <c r="BE267" s="1899"/>
      <c r="BF267" s="1899"/>
      <c r="BG267" s="1360">
        <f t="shared" si="150"/>
        <v>0</v>
      </c>
      <c r="BH267" s="1361">
        <f t="shared" si="159"/>
        <v>202</v>
      </c>
      <c r="BI267" s="1362">
        <f t="shared" si="151"/>
        <v>0</v>
      </c>
      <c r="BJ267" s="1362">
        <f t="shared" si="135"/>
        <v>0</v>
      </c>
      <c r="BK267" s="1362">
        <f t="shared" si="158"/>
        <v>0</v>
      </c>
      <c r="BL267" s="1363">
        <f t="shared" si="136"/>
        <v>1000000</v>
      </c>
      <c r="BM267" s="1899"/>
      <c r="BN267" s="1361" t="str">
        <f t="shared" si="129"/>
        <v/>
      </c>
      <c r="BO267" s="1362">
        <f t="shared" si="137"/>
        <v>0</v>
      </c>
      <c r="BP267" s="1362">
        <f t="shared" si="138"/>
        <v>0</v>
      </c>
      <c r="BQ267" s="1362">
        <f t="shared" si="152"/>
        <v>0</v>
      </c>
      <c r="BR267" s="1363">
        <f t="shared" si="139"/>
        <v>0</v>
      </c>
      <c r="BT267" s="1414"/>
      <c r="CG267" s="1365"/>
      <c r="CH267" s="1366"/>
      <c r="CI267" s="1366"/>
      <c r="CJ267" s="1366"/>
      <c r="CK267" s="1366"/>
      <c r="CL267" s="1365"/>
      <c r="CM267" s="1366"/>
      <c r="CN267" s="1366"/>
      <c r="CO267" s="1366"/>
      <c r="CP267" s="1366"/>
      <c r="CQ267" s="1366"/>
      <c r="CR267" s="1366"/>
      <c r="CS267" s="1366"/>
      <c r="CT267" s="1366"/>
      <c r="CU267" s="1366"/>
      <c r="CV267" s="1366"/>
      <c r="CW267" s="1366"/>
      <c r="CX267" s="1366"/>
      <c r="CY267" s="1366"/>
      <c r="CZ267" s="1366"/>
      <c r="DA267" s="1366"/>
      <c r="DB267" s="1366"/>
      <c r="DC267" s="1366"/>
      <c r="DD267" s="1366"/>
      <c r="DE267" s="1366"/>
      <c r="DF267" s="1366"/>
      <c r="DG267" s="1365"/>
      <c r="DH267" s="1365"/>
      <c r="DI267" s="1365"/>
      <c r="DJ267" s="1365"/>
      <c r="DK267" s="1365"/>
      <c r="DL267" s="1365"/>
      <c r="DM267" s="1366"/>
      <c r="DN267" s="1366"/>
      <c r="DO267" s="1366"/>
      <c r="DP267" s="1366"/>
      <c r="DQ267" s="1366"/>
      <c r="DR267" s="1366"/>
      <c r="DS267" s="1366"/>
      <c r="DT267" s="1366"/>
    </row>
    <row r="268" spans="1:124">
      <c r="A268" s="1118">
        <f t="shared" ca="1" si="130"/>
        <v>2</v>
      </c>
      <c r="B268" s="1890">
        <f t="shared" si="140"/>
        <v>0</v>
      </c>
      <c r="C268" s="2160">
        <f t="shared" si="153"/>
        <v>0</v>
      </c>
      <c r="D268" s="2161">
        <f t="shared" si="154"/>
        <v>0</v>
      </c>
      <c r="E268" s="2162">
        <f t="shared" si="141"/>
        <v>0</v>
      </c>
      <c r="F268" s="2162">
        <f t="shared" si="124"/>
        <v>0</v>
      </c>
      <c r="G268" s="2162">
        <f t="shared" si="125"/>
        <v>0</v>
      </c>
      <c r="H268" s="2162">
        <f t="shared" si="155"/>
        <v>0</v>
      </c>
      <c r="I268" s="2162">
        <f t="shared" si="122"/>
        <v>0</v>
      </c>
      <c r="J268" s="2162">
        <f t="shared" si="131"/>
        <v>0</v>
      </c>
      <c r="K268" s="2162">
        <f t="shared" si="132"/>
        <v>0</v>
      </c>
      <c r="L268" s="2162">
        <f t="shared" si="142"/>
        <v>0</v>
      </c>
      <c r="M268" s="2162">
        <f t="shared" si="133"/>
        <v>0</v>
      </c>
      <c r="N268" s="2162">
        <f t="shared" si="143"/>
        <v>0</v>
      </c>
      <c r="O268" s="2163"/>
      <c r="AG268" s="1756"/>
      <c r="AH268" s="1756"/>
      <c r="AI268" s="1756"/>
      <c r="AJ268" s="1989">
        <f t="shared" si="144"/>
        <v>11</v>
      </c>
      <c r="AK268" s="1900">
        <f t="shared" si="145"/>
        <v>0</v>
      </c>
      <c r="AL268" s="1907"/>
      <c r="AM268" s="1907"/>
      <c r="AN268" s="1901">
        <f t="shared" si="156"/>
        <v>0</v>
      </c>
      <c r="AO268" s="1906">
        <f t="shared" ca="1" si="146"/>
        <v>0</v>
      </c>
      <c r="AU268" s="1903">
        <f t="shared" si="157"/>
        <v>0</v>
      </c>
      <c r="AV268" s="1904">
        <f t="shared" si="147"/>
        <v>0</v>
      </c>
      <c r="AW268" s="1904">
        <f t="shared" si="148"/>
        <v>0</v>
      </c>
      <c r="AX268" s="1904"/>
      <c r="AY268" s="1904"/>
      <c r="AZ268" s="1904"/>
      <c r="BA268" s="1904"/>
      <c r="BB268" s="1897">
        <f t="shared" si="149"/>
        <v>0</v>
      </c>
      <c r="BC268" s="1897">
        <f t="shared" si="134"/>
        <v>0</v>
      </c>
      <c r="BD268" s="1898" t="e">
        <f>HLOOKUP($BD$63,anticipaplus,204,0)</f>
        <v>#N/A</v>
      </c>
      <c r="BE268" s="1899"/>
      <c r="BF268" s="1899"/>
      <c r="BG268" s="1360">
        <f t="shared" si="150"/>
        <v>0</v>
      </c>
      <c r="BH268" s="1361">
        <f t="shared" si="159"/>
        <v>203</v>
      </c>
      <c r="BI268" s="1362">
        <f t="shared" si="151"/>
        <v>0</v>
      </c>
      <c r="BJ268" s="1362">
        <f t="shared" si="135"/>
        <v>0</v>
      </c>
      <c r="BK268" s="1362">
        <f t="shared" si="158"/>
        <v>0</v>
      </c>
      <c r="BL268" s="1363">
        <f t="shared" si="136"/>
        <v>1000000</v>
      </c>
      <c r="BM268" s="1899"/>
      <c r="BN268" s="1361" t="str">
        <f t="shared" si="129"/>
        <v/>
      </c>
      <c r="BO268" s="1362">
        <f t="shared" si="137"/>
        <v>0</v>
      </c>
      <c r="BP268" s="1362">
        <f t="shared" si="138"/>
        <v>0</v>
      </c>
      <c r="BQ268" s="1362">
        <f t="shared" si="152"/>
        <v>0</v>
      </c>
      <c r="BR268" s="1363">
        <f t="shared" si="139"/>
        <v>0</v>
      </c>
      <c r="BT268" s="1414"/>
      <c r="CC268" s="1384"/>
      <c r="CD268" s="1384"/>
      <c r="CE268" s="1384"/>
      <c r="CF268" s="1384"/>
      <c r="CG268" s="1385"/>
      <c r="CH268" s="1385"/>
      <c r="CI268" s="1385"/>
      <c r="CJ268" s="1385"/>
      <c r="CK268" s="1385"/>
      <c r="CL268" s="1385"/>
      <c r="CM268" s="1385"/>
      <c r="CN268" s="1385"/>
      <c r="CO268" s="1385"/>
      <c r="CP268" s="1385"/>
      <c r="CQ268" s="1385"/>
      <c r="CR268" s="1366"/>
      <c r="CS268" s="1366"/>
      <c r="CT268" s="1366"/>
      <c r="CU268" s="1366"/>
      <c r="CV268" s="1366"/>
      <c r="CW268" s="1366"/>
      <c r="CX268" s="1366"/>
      <c r="CY268" s="1366"/>
      <c r="CZ268" s="1366"/>
      <c r="DA268" s="1366"/>
      <c r="DB268" s="1366"/>
      <c r="DC268" s="1366"/>
      <c r="DD268" s="1366"/>
      <c r="DE268" s="1366"/>
      <c r="DF268" s="1366"/>
      <c r="DG268" s="1365"/>
      <c r="DH268" s="1365"/>
      <c r="DI268" s="1365"/>
      <c r="DJ268" s="1365"/>
      <c r="DK268" s="1365"/>
      <c r="DL268" s="1365"/>
      <c r="DM268" s="1366"/>
      <c r="DN268" s="1366"/>
      <c r="DO268" s="1366"/>
      <c r="DP268" s="1366"/>
      <c r="DQ268" s="1366"/>
      <c r="DR268" s="1366"/>
      <c r="DS268" s="1366"/>
      <c r="DT268" s="1366"/>
    </row>
    <row r="269" spans="1:124">
      <c r="A269" s="1118">
        <f t="shared" ca="1" si="130"/>
        <v>3</v>
      </c>
      <c r="B269" s="1890">
        <f t="shared" si="140"/>
        <v>0</v>
      </c>
      <c r="C269" s="2160">
        <f t="shared" si="153"/>
        <v>0</v>
      </c>
      <c r="D269" s="2161">
        <f t="shared" si="154"/>
        <v>0</v>
      </c>
      <c r="E269" s="2162">
        <f t="shared" si="141"/>
        <v>0</v>
      </c>
      <c r="F269" s="2162">
        <f t="shared" si="124"/>
        <v>0</v>
      </c>
      <c r="G269" s="2162">
        <f t="shared" si="125"/>
        <v>0</v>
      </c>
      <c r="H269" s="2162">
        <f t="shared" si="155"/>
        <v>0</v>
      </c>
      <c r="I269" s="2162">
        <f t="shared" si="122"/>
        <v>0</v>
      </c>
      <c r="J269" s="2162">
        <f t="shared" si="131"/>
        <v>0</v>
      </c>
      <c r="K269" s="2162">
        <f t="shared" si="132"/>
        <v>0</v>
      </c>
      <c r="L269" s="2162">
        <f t="shared" si="142"/>
        <v>0</v>
      </c>
      <c r="M269" s="2162">
        <f t="shared" si="133"/>
        <v>0</v>
      </c>
      <c r="N269" s="2162">
        <f t="shared" si="143"/>
        <v>0</v>
      </c>
      <c r="O269" s="2163"/>
      <c r="AG269" s="1756"/>
      <c r="AH269" s="1756"/>
      <c r="AI269" s="1756"/>
      <c r="AJ269" s="1989">
        <f t="shared" si="144"/>
        <v>12</v>
      </c>
      <c r="AK269" s="1900">
        <f t="shared" si="145"/>
        <v>0</v>
      </c>
      <c r="AL269" s="1907"/>
      <c r="AM269" s="1907"/>
      <c r="AN269" s="1901">
        <f t="shared" si="156"/>
        <v>0</v>
      </c>
      <c r="AO269" s="1906">
        <f t="shared" ca="1" si="146"/>
        <v>0</v>
      </c>
      <c r="AU269" s="1903">
        <f t="shared" si="157"/>
        <v>0</v>
      </c>
      <c r="AV269" s="1904">
        <f t="shared" si="147"/>
        <v>0</v>
      </c>
      <c r="AW269" s="1904">
        <f t="shared" si="148"/>
        <v>0</v>
      </c>
      <c r="AX269" s="1904"/>
      <c r="AY269" s="1904"/>
      <c r="AZ269" s="1904"/>
      <c r="BA269" s="1904"/>
      <c r="BB269" s="1897">
        <f t="shared" si="149"/>
        <v>0</v>
      </c>
      <c r="BC269" s="1897">
        <f t="shared" si="134"/>
        <v>0</v>
      </c>
      <c r="BD269" s="1898" t="e">
        <f>HLOOKUP($BD$63,anticipaplus,205,0)</f>
        <v>#N/A</v>
      </c>
      <c r="BE269" s="1899"/>
      <c r="BF269" s="1899"/>
      <c r="BG269" s="1360">
        <f t="shared" si="150"/>
        <v>0</v>
      </c>
      <c r="BH269" s="1361">
        <f t="shared" si="159"/>
        <v>204</v>
      </c>
      <c r="BI269" s="1362">
        <f t="shared" si="151"/>
        <v>0</v>
      </c>
      <c r="BJ269" s="1362">
        <f t="shared" si="135"/>
        <v>0</v>
      </c>
      <c r="BK269" s="1362">
        <f t="shared" si="158"/>
        <v>0</v>
      </c>
      <c r="BL269" s="1363">
        <f t="shared" si="136"/>
        <v>1000000</v>
      </c>
      <c r="BM269" s="1899"/>
      <c r="BN269" s="1361" t="str">
        <f t="shared" si="129"/>
        <v/>
      </c>
      <c r="BO269" s="1362">
        <f t="shared" si="137"/>
        <v>0</v>
      </c>
      <c r="BP269" s="1362">
        <f t="shared" si="138"/>
        <v>0</v>
      </c>
      <c r="BQ269" s="1362">
        <f t="shared" si="152"/>
        <v>0</v>
      </c>
      <c r="BR269" s="1363">
        <f t="shared" si="139"/>
        <v>0</v>
      </c>
      <c r="BT269" s="1414"/>
      <c r="CC269" s="1384"/>
      <c r="CD269" s="1384"/>
      <c r="CE269" s="1384"/>
      <c r="CF269" s="1384"/>
      <c r="CG269" s="1385"/>
      <c r="CH269" s="1385"/>
      <c r="CI269" s="1385"/>
      <c r="CJ269" s="1385"/>
      <c r="CK269" s="1385"/>
      <c r="CL269" s="1385"/>
      <c r="CM269" s="1385"/>
      <c r="CN269" s="1385"/>
      <c r="CO269" s="1385"/>
      <c r="CP269" s="1385"/>
      <c r="CQ269" s="1385"/>
      <c r="CR269" s="1366"/>
      <c r="CS269" s="1366"/>
      <c r="CT269" s="1366"/>
      <c r="CU269" s="1366"/>
      <c r="CV269" s="1366"/>
      <c r="CW269" s="1366"/>
      <c r="CX269" s="1366"/>
      <c r="CY269" s="1366"/>
      <c r="CZ269" s="1366"/>
      <c r="DA269" s="1366"/>
      <c r="DB269" s="1366"/>
      <c r="DC269" s="1366"/>
      <c r="DD269" s="1366"/>
      <c r="DE269" s="1366"/>
      <c r="DF269" s="1366"/>
      <c r="DG269" s="1365"/>
      <c r="DH269" s="1365"/>
      <c r="DI269" s="1365"/>
      <c r="DJ269" s="1365"/>
      <c r="DK269" s="1365"/>
      <c r="DL269" s="1365"/>
      <c r="DM269" s="1366"/>
      <c r="DN269" s="1366"/>
      <c r="DO269" s="1366"/>
      <c r="DP269" s="1366"/>
      <c r="DQ269" s="1366"/>
      <c r="DR269" s="1366"/>
      <c r="DS269" s="1366"/>
      <c r="DT269" s="1366"/>
    </row>
    <row r="270" spans="1:124">
      <c r="A270" s="1118">
        <f t="shared" ca="1" si="130"/>
        <v>4</v>
      </c>
      <c r="B270" s="1890">
        <f t="shared" si="140"/>
        <v>0</v>
      </c>
      <c r="C270" s="2160">
        <f t="shared" si="153"/>
        <v>0</v>
      </c>
      <c r="D270" s="2161">
        <f t="shared" si="154"/>
        <v>0</v>
      </c>
      <c r="E270" s="2162">
        <f t="shared" si="141"/>
        <v>0</v>
      </c>
      <c r="F270" s="2162">
        <f t="shared" si="124"/>
        <v>0</v>
      </c>
      <c r="G270" s="2162">
        <f t="shared" si="125"/>
        <v>0</v>
      </c>
      <c r="H270" s="2162">
        <f t="shared" si="155"/>
        <v>0</v>
      </c>
      <c r="I270" s="2162">
        <f t="shared" ref="I270:I305" si="160">IF(N269&lt;0.01,0,IF($F$24=$AO$3,0,IF(OR($F$10=$AK$7,$F$10=$AK$13),0,$G$13*$AR$2)))</f>
        <v>0</v>
      </c>
      <c r="J270" s="2162">
        <f t="shared" si="131"/>
        <v>0</v>
      </c>
      <c r="K270" s="2162">
        <f t="shared" si="132"/>
        <v>0</v>
      </c>
      <c r="L270" s="2162">
        <f t="shared" si="142"/>
        <v>0</v>
      </c>
      <c r="M270" s="2162">
        <f t="shared" si="133"/>
        <v>0</v>
      </c>
      <c r="N270" s="2162">
        <f t="shared" si="143"/>
        <v>0</v>
      </c>
      <c r="O270" s="2163"/>
      <c r="AG270" s="1756"/>
      <c r="AH270" s="1756"/>
      <c r="AI270" s="1756"/>
      <c r="AJ270" s="1989">
        <f t="shared" si="144"/>
        <v>1</v>
      </c>
      <c r="AK270" s="1900">
        <f t="shared" si="145"/>
        <v>0</v>
      </c>
      <c r="AL270" s="1907"/>
      <c r="AM270" s="1907"/>
      <c r="AN270" s="1901">
        <f t="shared" si="156"/>
        <v>0</v>
      </c>
      <c r="AO270" s="1906">
        <f t="shared" ca="1" si="146"/>
        <v>0</v>
      </c>
      <c r="AU270" s="1903">
        <f t="shared" si="157"/>
        <v>0</v>
      </c>
      <c r="AV270" s="1904">
        <f t="shared" si="147"/>
        <v>0</v>
      </c>
      <c r="AW270" s="1904">
        <f t="shared" si="148"/>
        <v>0</v>
      </c>
      <c r="AX270" s="1904"/>
      <c r="AY270" s="1904"/>
      <c r="AZ270" s="1904"/>
      <c r="BA270" s="1904"/>
      <c r="BB270" s="1897">
        <f t="shared" si="149"/>
        <v>0</v>
      </c>
      <c r="BC270" s="1897">
        <f t="shared" si="134"/>
        <v>0</v>
      </c>
      <c r="BD270" s="1898" t="e">
        <f>HLOOKUP($BD$63,anticipaplus,206,0)</f>
        <v>#N/A</v>
      </c>
      <c r="BE270" s="1899"/>
      <c r="BF270" s="1899"/>
      <c r="BG270" s="1360">
        <f t="shared" si="150"/>
        <v>0</v>
      </c>
      <c r="BH270" s="1377">
        <f t="shared" si="159"/>
        <v>205</v>
      </c>
      <c r="BI270" s="1378">
        <f t="shared" si="151"/>
        <v>0</v>
      </c>
      <c r="BJ270" s="1378">
        <f t="shared" si="135"/>
        <v>0</v>
      </c>
      <c r="BK270" s="1378">
        <f>MIN(BL269+BI270,BK269*(1+$BI$61))</f>
        <v>0</v>
      </c>
      <c r="BL270" s="1363">
        <f t="shared" si="136"/>
        <v>1000000</v>
      </c>
      <c r="BM270" s="1899"/>
      <c r="BN270" s="1379" t="str">
        <f t="shared" si="129"/>
        <v/>
      </c>
      <c r="BO270" s="1380">
        <f t="shared" si="137"/>
        <v>0</v>
      </c>
      <c r="BP270" s="1380">
        <f t="shared" si="138"/>
        <v>0</v>
      </c>
      <c r="BQ270" s="1380">
        <f>MIN(BR269+BO270,BQ269*(1+$BO$61))</f>
        <v>0</v>
      </c>
      <c r="BR270" s="1363">
        <f t="shared" si="139"/>
        <v>0</v>
      </c>
      <c r="BT270" s="1414"/>
      <c r="CC270" s="1384"/>
      <c r="CD270" s="1384"/>
      <c r="CE270" s="1384"/>
      <c r="CF270" s="1384"/>
      <c r="CG270" s="1385"/>
      <c r="CH270" s="1385"/>
      <c r="CI270" s="1385"/>
      <c r="CJ270" s="1385"/>
      <c r="CK270" s="1385"/>
      <c r="CL270" s="1385"/>
      <c r="CM270" s="1385"/>
      <c r="CN270" s="1385"/>
      <c r="CO270" s="1385"/>
      <c r="CP270" s="1385"/>
      <c r="CQ270" s="1385"/>
      <c r="CR270" s="1366"/>
      <c r="CS270" s="1366"/>
      <c r="CT270" s="1366"/>
      <c r="CU270" s="1366"/>
      <c r="CV270" s="1366"/>
      <c r="CW270" s="1366"/>
      <c r="CX270" s="1366"/>
      <c r="CY270" s="1366"/>
      <c r="CZ270" s="1366"/>
      <c r="DA270" s="1366"/>
      <c r="DB270" s="1366"/>
      <c r="DC270" s="1366"/>
      <c r="DD270" s="1366"/>
      <c r="DE270" s="1366"/>
      <c r="DF270" s="1366"/>
      <c r="DG270" s="1365"/>
      <c r="DH270" s="1365"/>
      <c r="DI270" s="1365"/>
      <c r="DJ270" s="1365"/>
      <c r="DK270" s="1365"/>
      <c r="DL270" s="1365"/>
      <c r="DM270" s="1366"/>
      <c r="DN270" s="1366"/>
      <c r="DO270" s="1366"/>
      <c r="DP270" s="1366"/>
      <c r="DQ270" s="1366"/>
      <c r="DR270" s="1366"/>
      <c r="DS270" s="1366"/>
      <c r="DT270" s="1366"/>
    </row>
    <row r="271" spans="1:124">
      <c r="A271" s="1118">
        <f t="shared" ca="1" si="130"/>
        <v>5</v>
      </c>
      <c r="B271" s="1890">
        <f t="shared" si="140"/>
        <v>0</v>
      </c>
      <c r="C271" s="2160">
        <f t="shared" si="153"/>
        <v>0</v>
      </c>
      <c r="D271" s="2161">
        <f t="shared" si="154"/>
        <v>0</v>
      </c>
      <c r="E271" s="2162">
        <f t="shared" si="141"/>
        <v>0</v>
      </c>
      <c r="F271" s="2162">
        <f t="shared" si="124"/>
        <v>0</v>
      </c>
      <c r="G271" s="2162">
        <f t="shared" si="125"/>
        <v>0</v>
      </c>
      <c r="H271" s="2162">
        <f t="shared" si="155"/>
        <v>0</v>
      </c>
      <c r="I271" s="2162">
        <f t="shared" si="160"/>
        <v>0</v>
      </c>
      <c r="J271" s="2162">
        <f t="shared" si="131"/>
        <v>0</v>
      </c>
      <c r="K271" s="2162">
        <f t="shared" si="132"/>
        <v>0</v>
      </c>
      <c r="L271" s="2162">
        <f t="shared" si="142"/>
        <v>0</v>
      </c>
      <c r="M271" s="2162">
        <f t="shared" si="133"/>
        <v>0</v>
      </c>
      <c r="N271" s="2162">
        <f t="shared" si="143"/>
        <v>0</v>
      </c>
      <c r="O271" s="2163"/>
      <c r="AG271" s="1756"/>
      <c r="AH271" s="1756"/>
      <c r="AI271" s="1756"/>
      <c r="AJ271" s="1989">
        <f t="shared" si="144"/>
        <v>2</v>
      </c>
      <c r="AK271" s="1900">
        <f t="shared" si="145"/>
        <v>0</v>
      </c>
      <c r="AL271" s="1907"/>
      <c r="AM271" s="1907"/>
      <c r="AN271" s="1901">
        <f t="shared" si="156"/>
        <v>0</v>
      </c>
      <c r="AO271" s="1906">
        <f t="shared" ca="1" si="146"/>
        <v>0</v>
      </c>
      <c r="AU271" s="1903">
        <f t="shared" si="157"/>
        <v>0</v>
      </c>
      <c r="AV271" s="1904">
        <f t="shared" si="147"/>
        <v>0</v>
      </c>
      <c r="AW271" s="1904">
        <f t="shared" si="148"/>
        <v>0</v>
      </c>
      <c r="AX271" s="1904"/>
      <c r="AY271" s="1904"/>
      <c r="AZ271" s="1904"/>
      <c r="BA271" s="1904"/>
      <c r="BB271" s="1897">
        <f t="shared" si="149"/>
        <v>0</v>
      </c>
      <c r="BC271" s="1897">
        <f t="shared" si="134"/>
        <v>0</v>
      </c>
      <c r="BD271" s="1898" t="e">
        <f>HLOOKUP($BD$63,anticipaplus,207,0)</f>
        <v>#N/A</v>
      </c>
      <c r="BE271" s="1899"/>
      <c r="BF271" s="1899"/>
      <c r="BG271" s="1360">
        <f t="shared" si="150"/>
        <v>0</v>
      </c>
      <c r="BH271" s="1361">
        <f t="shared" si="159"/>
        <v>206</v>
      </c>
      <c r="BI271" s="1362">
        <f t="shared" si="151"/>
        <v>0</v>
      </c>
      <c r="BJ271" s="1362">
        <f t="shared" si="135"/>
        <v>0</v>
      </c>
      <c r="BK271" s="1362">
        <f t="shared" si="158"/>
        <v>0</v>
      </c>
      <c r="BL271" s="1363">
        <f t="shared" si="136"/>
        <v>1000000</v>
      </c>
      <c r="BM271" s="1899"/>
      <c r="BN271" s="1361" t="str">
        <f t="shared" si="129"/>
        <v/>
      </c>
      <c r="BO271" s="1362">
        <f t="shared" si="137"/>
        <v>0</v>
      </c>
      <c r="BP271" s="1362">
        <f t="shared" si="138"/>
        <v>0</v>
      </c>
      <c r="BQ271" s="1362">
        <f t="shared" ref="BQ271:BQ281" si="161">MIN(BR270+BO271,BQ270)</f>
        <v>0</v>
      </c>
      <c r="BR271" s="1363">
        <f t="shared" si="139"/>
        <v>0</v>
      </c>
      <c r="BT271" s="1414"/>
      <c r="CC271" s="1384"/>
      <c r="CD271" s="1384"/>
      <c r="CE271" s="1384"/>
      <c r="CF271" s="1384"/>
      <c r="CG271" s="1385"/>
      <c r="CH271" s="1385"/>
      <c r="CI271" s="1385"/>
      <c r="CJ271" s="1385"/>
      <c r="CK271" s="1385"/>
      <c r="CL271" s="1385"/>
      <c r="CM271" s="1385"/>
      <c r="CN271" s="1385"/>
      <c r="CO271" s="1385"/>
      <c r="CP271" s="1385"/>
      <c r="CQ271" s="1385"/>
      <c r="CR271" s="1366"/>
      <c r="CS271" s="1366"/>
      <c r="CT271" s="1366"/>
      <c r="CU271" s="1366"/>
      <c r="CV271" s="1366"/>
      <c r="CW271" s="1366"/>
      <c r="CX271" s="1366"/>
      <c r="CY271" s="1366"/>
      <c r="CZ271" s="1366"/>
      <c r="DA271" s="1366"/>
      <c r="DB271" s="1366"/>
      <c r="DC271" s="1366"/>
      <c r="DD271" s="1366"/>
      <c r="DE271" s="1366"/>
      <c r="DF271" s="1366"/>
      <c r="DG271" s="1365"/>
      <c r="DH271" s="1365"/>
      <c r="DI271" s="1365"/>
      <c r="DJ271" s="1365"/>
      <c r="DK271" s="1365"/>
      <c r="DL271" s="1365"/>
      <c r="DM271" s="1366"/>
      <c r="DN271" s="1366"/>
      <c r="DO271" s="1366"/>
      <c r="DP271" s="1366"/>
      <c r="DQ271" s="1366"/>
      <c r="DR271" s="1366"/>
      <c r="DS271" s="1366"/>
      <c r="DT271" s="1366"/>
    </row>
    <row r="272" spans="1:124">
      <c r="A272" s="1118">
        <f t="shared" ca="1" si="130"/>
        <v>6</v>
      </c>
      <c r="B272" s="1890">
        <f t="shared" si="140"/>
        <v>0</v>
      </c>
      <c r="C272" s="2160">
        <f t="shared" si="153"/>
        <v>0</v>
      </c>
      <c r="D272" s="2161">
        <f t="shared" si="154"/>
        <v>0</v>
      </c>
      <c r="E272" s="2162">
        <f t="shared" si="141"/>
        <v>0</v>
      </c>
      <c r="F272" s="2162">
        <f t="shared" si="124"/>
        <v>0</v>
      </c>
      <c r="G272" s="2162">
        <f t="shared" si="125"/>
        <v>0</v>
      </c>
      <c r="H272" s="2162">
        <f t="shared" si="155"/>
        <v>0</v>
      </c>
      <c r="I272" s="2162">
        <f t="shared" si="160"/>
        <v>0</v>
      </c>
      <c r="J272" s="2162">
        <f t="shared" si="131"/>
        <v>0</v>
      </c>
      <c r="K272" s="2162">
        <f t="shared" si="132"/>
        <v>0</v>
      </c>
      <c r="L272" s="2162">
        <f t="shared" si="142"/>
        <v>0</v>
      </c>
      <c r="M272" s="2162">
        <f t="shared" si="133"/>
        <v>0</v>
      </c>
      <c r="N272" s="2162">
        <f t="shared" si="143"/>
        <v>0</v>
      </c>
      <c r="O272" s="2163"/>
      <c r="AG272" s="1756"/>
      <c r="AH272" s="1756"/>
      <c r="AI272" s="1756"/>
      <c r="AJ272" s="1989">
        <f t="shared" si="144"/>
        <v>3</v>
      </c>
      <c r="AK272" s="1900">
        <f t="shared" si="145"/>
        <v>0</v>
      </c>
      <c r="AL272" s="1907"/>
      <c r="AM272" s="1907"/>
      <c r="AN272" s="1901">
        <f t="shared" si="156"/>
        <v>0</v>
      </c>
      <c r="AO272" s="1906">
        <f t="shared" ca="1" si="146"/>
        <v>0</v>
      </c>
      <c r="AU272" s="1903">
        <f t="shared" si="157"/>
        <v>0</v>
      </c>
      <c r="AV272" s="1904">
        <f t="shared" si="147"/>
        <v>0</v>
      </c>
      <c r="AW272" s="1904">
        <f t="shared" si="148"/>
        <v>0</v>
      </c>
      <c r="AX272" s="1904"/>
      <c r="AY272" s="1904"/>
      <c r="AZ272" s="1904"/>
      <c r="BA272" s="1904"/>
      <c r="BB272" s="1897">
        <f t="shared" si="149"/>
        <v>0</v>
      </c>
      <c r="BC272" s="1897">
        <f t="shared" si="134"/>
        <v>0</v>
      </c>
      <c r="BD272" s="1898" t="e">
        <f>HLOOKUP($BD$63,anticipaplus,208,0)</f>
        <v>#N/A</v>
      </c>
      <c r="BE272" s="1899"/>
      <c r="BF272" s="1899"/>
      <c r="BG272" s="1360">
        <f t="shared" si="150"/>
        <v>0</v>
      </c>
      <c r="BH272" s="1361">
        <f t="shared" si="159"/>
        <v>207</v>
      </c>
      <c r="BI272" s="1362">
        <f t="shared" si="151"/>
        <v>0</v>
      </c>
      <c r="BJ272" s="1362">
        <f t="shared" si="135"/>
        <v>0</v>
      </c>
      <c r="BK272" s="1362">
        <f t="shared" si="158"/>
        <v>0</v>
      </c>
      <c r="BL272" s="1363">
        <f t="shared" si="136"/>
        <v>1000000</v>
      </c>
      <c r="BM272" s="1899"/>
      <c r="BN272" s="1361" t="str">
        <f t="shared" si="129"/>
        <v/>
      </c>
      <c r="BO272" s="1362">
        <f t="shared" si="137"/>
        <v>0</v>
      </c>
      <c r="BP272" s="1362">
        <f t="shared" si="138"/>
        <v>0</v>
      </c>
      <c r="BQ272" s="1362">
        <f t="shared" si="161"/>
        <v>0</v>
      </c>
      <c r="BR272" s="1363">
        <f t="shared" si="139"/>
        <v>0</v>
      </c>
      <c r="BT272" s="1414"/>
      <c r="CC272" s="1384"/>
      <c r="CD272" s="1384"/>
      <c r="CE272" s="1384"/>
      <c r="CF272" s="1384"/>
      <c r="CG272" s="1385"/>
      <c r="CH272" s="1385"/>
      <c r="CI272" s="1385"/>
      <c r="CJ272" s="1385"/>
      <c r="CK272" s="1385"/>
      <c r="CL272" s="1385"/>
      <c r="CM272" s="1385"/>
      <c r="CN272" s="1385"/>
      <c r="CO272" s="1385"/>
      <c r="CP272" s="1385"/>
      <c r="CQ272" s="1385"/>
      <c r="CR272" s="1366"/>
      <c r="CS272" s="1366"/>
      <c r="CT272" s="1366"/>
      <c r="CU272" s="1366"/>
      <c r="CV272" s="1366"/>
      <c r="CW272" s="1366"/>
      <c r="CX272" s="1366"/>
      <c r="CY272" s="1366"/>
      <c r="CZ272" s="1366"/>
      <c r="DA272" s="1366"/>
      <c r="DB272" s="1366"/>
      <c r="DC272" s="1366"/>
      <c r="DD272" s="1366"/>
      <c r="DE272" s="1366"/>
      <c r="DF272" s="1366"/>
      <c r="DG272" s="1365"/>
      <c r="DH272" s="1365"/>
      <c r="DI272" s="1365"/>
      <c r="DJ272" s="1365"/>
      <c r="DK272" s="1365"/>
      <c r="DL272" s="1365"/>
      <c r="DM272" s="1366"/>
      <c r="DN272" s="1366"/>
      <c r="DO272" s="1366"/>
      <c r="DP272" s="1366"/>
      <c r="DQ272" s="1366"/>
      <c r="DR272" s="1366"/>
      <c r="DS272" s="1366"/>
      <c r="DT272" s="1366"/>
    </row>
    <row r="273" spans="1:124">
      <c r="A273" s="1118">
        <f t="shared" ca="1" si="130"/>
        <v>7</v>
      </c>
      <c r="B273" s="1890">
        <f t="shared" si="140"/>
        <v>0</v>
      </c>
      <c r="C273" s="2160">
        <f t="shared" si="153"/>
        <v>0</v>
      </c>
      <c r="D273" s="2161">
        <f t="shared" si="154"/>
        <v>0</v>
      </c>
      <c r="E273" s="2162">
        <f t="shared" si="141"/>
        <v>0</v>
      </c>
      <c r="F273" s="2162">
        <f t="shared" si="124"/>
        <v>0</v>
      </c>
      <c r="G273" s="2162">
        <f t="shared" si="125"/>
        <v>0</v>
      </c>
      <c r="H273" s="2162">
        <f t="shared" si="155"/>
        <v>0</v>
      </c>
      <c r="I273" s="2162">
        <f t="shared" si="160"/>
        <v>0</v>
      </c>
      <c r="J273" s="2162">
        <f t="shared" si="131"/>
        <v>0</v>
      </c>
      <c r="K273" s="2162">
        <f t="shared" si="132"/>
        <v>0</v>
      </c>
      <c r="L273" s="2162">
        <f t="shared" si="142"/>
        <v>0</v>
      </c>
      <c r="M273" s="2162">
        <f t="shared" si="133"/>
        <v>0</v>
      </c>
      <c r="N273" s="2162">
        <f t="shared" si="143"/>
        <v>0</v>
      </c>
      <c r="O273" s="2163"/>
      <c r="AG273" s="1756"/>
      <c r="AH273" s="1756"/>
      <c r="AI273" s="1756"/>
      <c r="AJ273" s="1989">
        <f t="shared" si="144"/>
        <v>4</v>
      </c>
      <c r="AK273" s="1900">
        <f t="shared" si="145"/>
        <v>0</v>
      </c>
      <c r="AL273" s="1907"/>
      <c r="AM273" s="1907"/>
      <c r="AN273" s="1901">
        <f t="shared" si="156"/>
        <v>0</v>
      </c>
      <c r="AO273" s="1906">
        <f t="shared" ca="1" si="146"/>
        <v>0</v>
      </c>
      <c r="AU273" s="1903">
        <f t="shared" si="157"/>
        <v>0</v>
      </c>
      <c r="AV273" s="1904">
        <f t="shared" si="147"/>
        <v>0</v>
      </c>
      <c r="AW273" s="1904">
        <f t="shared" si="148"/>
        <v>0</v>
      </c>
      <c r="AX273" s="1904"/>
      <c r="AY273" s="1904"/>
      <c r="AZ273" s="1904"/>
      <c r="BA273" s="1904"/>
      <c r="BB273" s="1897">
        <f t="shared" si="149"/>
        <v>0</v>
      </c>
      <c r="BC273" s="1897">
        <f t="shared" si="134"/>
        <v>0</v>
      </c>
      <c r="BD273" s="1898" t="e">
        <f>HLOOKUP($BD$63,anticipaplus,209,0)</f>
        <v>#N/A</v>
      </c>
      <c r="BE273" s="1899"/>
      <c r="BF273" s="1899"/>
      <c r="BG273" s="1360">
        <f t="shared" si="150"/>
        <v>0</v>
      </c>
      <c r="BH273" s="1361">
        <f t="shared" si="159"/>
        <v>208</v>
      </c>
      <c r="BI273" s="1362">
        <f t="shared" si="151"/>
        <v>0</v>
      </c>
      <c r="BJ273" s="1362">
        <f t="shared" si="135"/>
        <v>0</v>
      </c>
      <c r="BK273" s="1362">
        <f t="shared" si="158"/>
        <v>0</v>
      </c>
      <c r="BL273" s="1363">
        <f t="shared" si="136"/>
        <v>1000000</v>
      </c>
      <c r="BM273" s="1899"/>
      <c r="BN273" s="1361" t="str">
        <f t="shared" si="129"/>
        <v/>
      </c>
      <c r="BO273" s="1362">
        <f t="shared" si="137"/>
        <v>0</v>
      </c>
      <c r="BP273" s="1362">
        <f t="shared" si="138"/>
        <v>0</v>
      </c>
      <c r="BQ273" s="1362">
        <f t="shared" si="161"/>
        <v>0</v>
      </c>
      <c r="BR273" s="1363">
        <f t="shared" si="139"/>
        <v>0</v>
      </c>
      <c r="BT273" s="1414"/>
      <c r="CC273" s="1384"/>
      <c r="CD273" s="1384"/>
      <c r="CE273" s="1384"/>
      <c r="CF273" s="1384"/>
      <c r="CG273" s="1385"/>
      <c r="CH273" s="1385"/>
      <c r="CI273" s="1385"/>
      <c r="CJ273" s="1385"/>
      <c r="CK273" s="1385"/>
      <c r="CL273" s="1385"/>
      <c r="CM273" s="1385"/>
      <c r="CN273" s="1385"/>
      <c r="CO273" s="1385"/>
      <c r="CP273" s="1385"/>
      <c r="CQ273" s="1385"/>
      <c r="CR273" s="1366"/>
      <c r="CS273" s="1366"/>
      <c r="CT273" s="1366"/>
      <c r="CU273" s="1366"/>
      <c r="CV273" s="1366"/>
      <c r="CW273" s="1366"/>
      <c r="CX273" s="1366"/>
      <c r="CY273" s="1366"/>
      <c r="CZ273" s="1366"/>
      <c r="DA273" s="1366"/>
      <c r="DB273" s="1366"/>
      <c r="DC273" s="1366"/>
      <c r="DD273" s="1366"/>
      <c r="DE273" s="1366"/>
      <c r="DF273" s="1366"/>
      <c r="DG273" s="1365"/>
      <c r="DH273" s="1365"/>
      <c r="DI273" s="1365"/>
      <c r="DJ273" s="1365"/>
      <c r="DK273" s="1365"/>
      <c r="DL273" s="1365"/>
      <c r="DM273" s="1366"/>
      <c r="DN273" s="1366"/>
      <c r="DO273" s="1366"/>
      <c r="DP273" s="1366"/>
      <c r="DQ273" s="1366"/>
      <c r="DR273" s="1366"/>
      <c r="DS273" s="1366"/>
      <c r="DT273" s="1366"/>
    </row>
    <row r="274" spans="1:124">
      <c r="A274" s="1118">
        <f t="shared" ca="1" si="130"/>
        <v>8</v>
      </c>
      <c r="B274" s="1890">
        <f t="shared" si="140"/>
        <v>0</v>
      </c>
      <c r="C274" s="2160">
        <f t="shared" si="153"/>
        <v>0</v>
      </c>
      <c r="D274" s="2161">
        <f t="shared" si="154"/>
        <v>0</v>
      </c>
      <c r="E274" s="2162">
        <f t="shared" si="141"/>
        <v>0</v>
      </c>
      <c r="F274" s="2162">
        <f t="shared" si="124"/>
        <v>0</v>
      </c>
      <c r="G274" s="2162">
        <f t="shared" si="125"/>
        <v>0</v>
      </c>
      <c r="H274" s="2162">
        <f t="shared" si="155"/>
        <v>0</v>
      </c>
      <c r="I274" s="2162">
        <f t="shared" si="160"/>
        <v>0</v>
      </c>
      <c r="J274" s="2162">
        <f t="shared" si="131"/>
        <v>0</v>
      </c>
      <c r="K274" s="2162">
        <f t="shared" si="132"/>
        <v>0</v>
      </c>
      <c r="L274" s="2162">
        <f t="shared" si="142"/>
        <v>0</v>
      </c>
      <c r="M274" s="2162">
        <f t="shared" si="133"/>
        <v>0</v>
      </c>
      <c r="N274" s="2162">
        <f t="shared" si="143"/>
        <v>0</v>
      </c>
      <c r="O274" s="2163"/>
      <c r="AG274" s="1756"/>
      <c r="AH274" s="1756"/>
      <c r="AI274" s="1756"/>
      <c r="AJ274" s="1989">
        <f t="shared" si="144"/>
        <v>5</v>
      </c>
      <c r="AK274" s="1900">
        <f t="shared" si="145"/>
        <v>0</v>
      </c>
      <c r="AL274" s="1907"/>
      <c r="AM274" s="1907"/>
      <c r="AN274" s="1901">
        <f t="shared" si="156"/>
        <v>0</v>
      </c>
      <c r="AO274" s="1906">
        <f t="shared" ca="1" si="146"/>
        <v>0</v>
      </c>
      <c r="AU274" s="1903">
        <f t="shared" si="157"/>
        <v>0</v>
      </c>
      <c r="AV274" s="1904">
        <f t="shared" si="147"/>
        <v>0</v>
      </c>
      <c r="AW274" s="1904">
        <f t="shared" si="148"/>
        <v>0</v>
      </c>
      <c r="AX274" s="1904"/>
      <c r="AY274" s="1904"/>
      <c r="AZ274" s="1904"/>
      <c r="BA274" s="1904"/>
      <c r="BB274" s="1897">
        <f t="shared" si="149"/>
        <v>0</v>
      </c>
      <c r="BC274" s="1897">
        <f t="shared" si="134"/>
        <v>0</v>
      </c>
      <c r="BD274" s="1898" t="e">
        <f>HLOOKUP($BD$63,anticipaplus,210,0)</f>
        <v>#N/A</v>
      </c>
      <c r="BE274" s="1899"/>
      <c r="BF274" s="1899"/>
      <c r="BG274" s="1360">
        <f t="shared" si="150"/>
        <v>0</v>
      </c>
      <c r="BH274" s="1361">
        <f t="shared" si="159"/>
        <v>209</v>
      </c>
      <c r="BI274" s="1362">
        <f t="shared" si="151"/>
        <v>0</v>
      </c>
      <c r="BJ274" s="1362">
        <f t="shared" si="135"/>
        <v>0</v>
      </c>
      <c r="BK274" s="1362">
        <f t="shared" si="158"/>
        <v>0</v>
      </c>
      <c r="BL274" s="1363">
        <f t="shared" si="136"/>
        <v>1000000</v>
      </c>
      <c r="BM274" s="1899"/>
      <c r="BN274" s="1361" t="str">
        <f t="shared" si="129"/>
        <v/>
      </c>
      <c r="BO274" s="1362">
        <f t="shared" si="137"/>
        <v>0</v>
      </c>
      <c r="BP274" s="1362">
        <f t="shared" si="138"/>
        <v>0</v>
      </c>
      <c r="BQ274" s="1362">
        <f t="shared" si="161"/>
        <v>0</v>
      </c>
      <c r="BR274" s="1363">
        <f t="shared" si="139"/>
        <v>0</v>
      </c>
      <c r="BT274" s="1414"/>
      <c r="CC274" s="1384"/>
      <c r="CD274" s="1384"/>
      <c r="CE274" s="1384"/>
      <c r="CF274" s="1384"/>
      <c r="CG274" s="1385"/>
      <c r="CH274" s="1385"/>
      <c r="CI274" s="1385"/>
      <c r="CJ274" s="1385"/>
      <c r="CK274" s="1385"/>
      <c r="CL274" s="1385"/>
      <c r="CM274" s="1385"/>
      <c r="CN274" s="1385"/>
      <c r="CO274" s="1385"/>
      <c r="CP274" s="1385"/>
      <c r="CQ274" s="1385"/>
      <c r="CR274" s="1366"/>
      <c r="CS274" s="1366"/>
      <c r="CT274" s="1366"/>
      <c r="CU274" s="1366"/>
      <c r="CV274" s="1366"/>
      <c r="CW274" s="1366"/>
      <c r="CX274" s="1366"/>
      <c r="CY274" s="1366"/>
      <c r="CZ274" s="1366"/>
      <c r="DA274" s="1366"/>
      <c r="DB274" s="1366"/>
      <c r="DC274" s="1366"/>
      <c r="DD274" s="1366"/>
      <c r="DE274" s="1366"/>
      <c r="DF274" s="1366"/>
      <c r="DG274" s="1365"/>
      <c r="DH274" s="1365"/>
      <c r="DI274" s="1365"/>
      <c r="DJ274" s="1365"/>
      <c r="DK274" s="1365"/>
      <c r="DL274" s="1365"/>
      <c r="DM274" s="1366"/>
      <c r="DN274" s="1366"/>
      <c r="DO274" s="1366"/>
      <c r="DP274" s="1366"/>
      <c r="DQ274" s="1366"/>
      <c r="DR274" s="1366"/>
      <c r="DS274" s="1366"/>
      <c r="DT274" s="1366"/>
    </row>
    <row r="275" spans="1:124">
      <c r="A275" s="1118">
        <f t="shared" ca="1" si="130"/>
        <v>9</v>
      </c>
      <c r="B275" s="1890">
        <f t="shared" si="140"/>
        <v>0</v>
      </c>
      <c r="C275" s="2160">
        <f t="shared" si="153"/>
        <v>0</v>
      </c>
      <c r="D275" s="2161">
        <f t="shared" si="154"/>
        <v>0</v>
      </c>
      <c r="E275" s="2162">
        <f t="shared" si="141"/>
        <v>0</v>
      </c>
      <c r="F275" s="2162">
        <f t="shared" si="124"/>
        <v>0</v>
      </c>
      <c r="G275" s="2162">
        <f t="shared" si="125"/>
        <v>0</v>
      </c>
      <c r="H275" s="2162">
        <f t="shared" si="155"/>
        <v>0</v>
      </c>
      <c r="I275" s="2162">
        <f t="shared" si="160"/>
        <v>0</v>
      </c>
      <c r="J275" s="2162">
        <f t="shared" si="131"/>
        <v>0</v>
      </c>
      <c r="K275" s="2162">
        <f t="shared" si="132"/>
        <v>0</v>
      </c>
      <c r="L275" s="2162">
        <f t="shared" si="142"/>
        <v>0</v>
      </c>
      <c r="M275" s="2162">
        <f t="shared" si="133"/>
        <v>0</v>
      </c>
      <c r="N275" s="2162">
        <f t="shared" si="143"/>
        <v>0</v>
      </c>
      <c r="O275" s="2163"/>
      <c r="AG275" s="1756"/>
      <c r="AH275" s="1756"/>
      <c r="AI275" s="1756"/>
      <c r="AJ275" s="1989">
        <f t="shared" si="144"/>
        <v>6</v>
      </c>
      <c r="AK275" s="1900">
        <f t="shared" si="145"/>
        <v>0</v>
      </c>
      <c r="AL275" s="1907"/>
      <c r="AM275" s="1907"/>
      <c r="AN275" s="1901">
        <f t="shared" si="156"/>
        <v>0</v>
      </c>
      <c r="AO275" s="1906">
        <f t="shared" ca="1" si="146"/>
        <v>0</v>
      </c>
      <c r="AU275" s="1903">
        <f t="shared" si="157"/>
        <v>0</v>
      </c>
      <c r="AV275" s="1904">
        <f t="shared" si="147"/>
        <v>0</v>
      </c>
      <c r="AW275" s="1904">
        <f t="shared" si="148"/>
        <v>0</v>
      </c>
      <c r="AX275" s="1904"/>
      <c r="AY275" s="1904"/>
      <c r="AZ275" s="1904"/>
      <c r="BA275" s="1904"/>
      <c r="BB275" s="1897">
        <f t="shared" si="149"/>
        <v>0</v>
      </c>
      <c r="BC275" s="1897">
        <f t="shared" si="134"/>
        <v>0</v>
      </c>
      <c r="BD275" s="1898" t="e">
        <f>HLOOKUP($BD$63,anticipaplus,211,0)</f>
        <v>#N/A</v>
      </c>
      <c r="BE275" s="1899"/>
      <c r="BF275" s="1899"/>
      <c r="BG275" s="1360">
        <f t="shared" si="150"/>
        <v>0</v>
      </c>
      <c r="BH275" s="1361">
        <f t="shared" si="159"/>
        <v>210</v>
      </c>
      <c r="BI275" s="1362">
        <f t="shared" si="151"/>
        <v>0</v>
      </c>
      <c r="BJ275" s="1362">
        <f t="shared" si="135"/>
        <v>0</v>
      </c>
      <c r="BK275" s="1362">
        <f t="shared" si="158"/>
        <v>0</v>
      </c>
      <c r="BL275" s="1363">
        <f t="shared" si="136"/>
        <v>1000000</v>
      </c>
      <c r="BM275" s="1899"/>
      <c r="BN275" s="1361" t="str">
        <f t="shared" si="129"/>
        <v/>
      </c>
      <c r="BO275" s="1362">
        <f t="shared" si="137"/>
        <v>0</v>
      </c>
      <c r="BP275" s="1362">
        <f t="shared" si="138"/>
        <v>0</v>
      </c>
      <c r="BQ275" s="1362">
        <f t="shared" si="161"/>
        <v>0</v>
      </c>
      <c r="BR275" s="1363">
        <f t="shared" si="139"/>
        <v>0</v>
      </c>
      <c r="BT275" s="1414"/>
      <c r="CC275" s="1384"/>
      <c r="CD275" s="1384"/>
      <c r="CE275" s="1384"/>
      <c r="CF275" s="1384"/>
      <c r="CG275" s="1385"/>
      <c r="CH275" s="1385"/>
      <c r="CI275" s="1385"/>
      <c r="CJ275" s="1385"/>
      <c r="CK275" s="1385"/>
      <c r="CL275" s="1385"/>
      <c r="CM275" s="1385"/>
      <c r="CN275" s="1385"/>
      <c r="CO275" s="1385"/>
      <c r="CP275" s="1385"/>
      <c r="CQ275" s="1385"/>
      <c r="CR275" s="1366"/>
      <c r="CS275" s="1366"/>
      <c r="CT275" s="1366"/>
      <c r="CU275" s="1366"/>
      <c r="CV275" s="1366"/>
      <c r="CW275" s="1366"/>
      <c r="CX275" s="1366"/>
      <c r="CY275" s="1366"/>
      <c r="CZ275" s="1366"/>
      <c r="DA275" s="1366"/>
      <c r="DB275" s="1366"/>
      <c r="DC275" s="1366"/>
      <c r="DD275" s="1366"/>
      <c r="DE275" s="1366"/>
      <c r="DF275" s="1366"/>
      <c r="DG275" s="1365"/>
      <c r="DH275" s="1365"/>
      <c r="DI275" s="1365"/>
      <c r="DJ275" s="1365"/>
      <c r="DK275" s="1365"/>
      <c r="DL275" s="1365"/>
      <c r="DM275" s="1366"/>
      <c r="DN275" s="1366"/>
      <c r="DO275" s="1366"/>
      <c r="DP275" s="1366"/>
      <c r="DQ275" s="1366"/>
      <c r="DR275" s="1366"/>
      <c r="DS275" s="1366"/>
      <c r="DT275" s="1366"/>
    </row>
    <row r="276" spans="1:124">
      <c r="A276" s="1118">
        <f t="shared" ca="1" si="130"/>
        <v>10</v>
      </c>
      <c r="B276" s="1890">
        <f t="shared" si="140"/>
        <v>0</v>
      </c>
      <c r="C276" s="2160">
        <f t="shared" si="153"/>
        <v>0</v>
      </c>
      <c r="D276" s="2161">
        <f t="shared" si="154"/>
        <v>0</v>
      </c>
      <c r="E276" s="2162">
        <f t="shared" si="141"/>
        <v>0</v>
      </c>
      <c r="F276" s="2162">
        <f t="shared" ref="F276:F305" si="162">IF(N275&lt;0.01,0,MIN(N275,G276-E276))</f>
        <v>0</v>
      </c>
      <c r="G276" s="2162">
        <f t="shared" si="125"/>
        <v>0</v>
      </c>
      <c r="H276" s="2162">
        <f t="shared" si="155"/>
        <v>0</v>
      </c>
      <c r="I276" s="2162">
        <f t="shared" si="160"/>
        <v>0</v>
      </c>
      <c r="J276" s="2162">
        <f t="shared" si="131"/>
        <v>0</v>
      </c>
      <c r="K276" s="2162">
        <f t="shared" si="132"/>
        <v>0</v>
      </c>
      <c r="L276" s="2162">
        <f t="shared" si="142"/>
        <v>0</v>
      </c>
      <c r="M276" s="2162">
        <f t="shared" si="133"/>
        <v>0</v>
      </c>
      <c r="N276" s="2162">
        <f t="shared" si="143"/>
        <v>0</v>
      </c>
      <c r="O276" s="2163"/>
      <c r="AG276" s="1756"/>
      <c r="AH276" s="1756"/>
      <c r="AI276" s="1756"/>
      <c r="AJ276" s="1989">
        <f t="shared" si="144"/>
        <v>7</v>
      </c>
      <c r="AK276" s="1900">
        <f t="shared" si="145"/>
        <v>0</v>
      </c>
      <c r="AL276" s="1907"/>
      <c r="AM276" s="1907"/>
      <c r="AN276" s="1901">
        <f t="shared" si="156"/>
        <v>0</v>
      </c>
      <c r="AO276" s="1906">
        <f t="shared" ca="1" si="146"/>
        <v>0</v>
      </c>
      <c r="AU276" s="1903">
        <f t="shared" si="157"/>
        <v>0</v>
      </c>
      <c r="AV276" s="1904">
        <f t="shared" si="147"/>
        <v>0</v>
      </c>
      <c r="AW276" s="1904">
        <f t="shared" si="148"/>
        <v>0</v>
      </c>
      <c r="AX276" s="1904"/>
      <c r="AY276" s="1904"/>
      <c r="AZ276" s="1904"/>
      <c r="BA276" s="1904"/>
      <c r="BB276" s="1897">
        <f t="shared" si="149"/>
        <v>0</v>
      </c>
      <c r="BC276" s="1897">
        <f t="shared" si="134"/>
        <v>0</v>
      </c>
      <c r="BD276" s="1898" t="e">
        <f>HLOOKUP($BD$63,anticipaplus,212,0)</f>
        <v>#N/A</v>
      </c>
      <c r="BE276" s="1899"/>
      <c r="BF276" s="1899"/>
      <c r="BG276" s="1360">
        <f t="shared" si="150"/>
        <v>0</v>
      </c>
      <c r="BH276" s="1361">
        <f t="shared" si="159"/>
        <v>211</v>
      </c>
      <c r="BI276" s="1362">
        <f t="shared" si="151"/>
        <v>0</v>
      </c>
      <c r="BJ276" s="1362">
        <f t="shared" si="135"/>
        <v>0</v>
      </c>
      <c r="BK276" s="1362">
        <f t="shared" si="158"/>
        <v>0</v>
      </c>
      <c r="BL276" s="1363">
        <f t="shared" si="136"/>
        <v>1000000</v>
      </c>
      <c r="BM276" s="1899"/>
      <c r="BN276" s="1361" t="str">
        <f t="shared" si="129"/>
        <v/>
      </c>
      <c r="BO276" s="1362">
        <f t="shared" si="137"/>
        <v>0</v>
      </c>
      <c r="BP276" s="1362">
        <f t="shared" si="138"/>
        <v>0</v>
      </c>
      <c r="BQ276" s="1362">
        <f t="shared" si="161"/>
        <v>0</v>
      </c>
      <c r="BR276" s="1363">
        <f t="shared" si="139"/>
        <v>0</v>
      </c>
      <c r="BT276" s="1414"/>
      <c r="CC276" s="1384"/>
      <c r="CD276" s="1384"/>
      <c r="CE276" s="1384"/>
      <c r="CF276" s="1384"/>
      <c r="CG276" s="1385"/>
      <c r="CH276" s="1385"/>
      <c r="CI276" s="1385"/>
      <c r="CJ276" s="1385"/>
      <c r="CK276" s="1385"/>
      <c r="CL276" s="1385"/>
      <c r="CM276" s="1385"/>
      <c r="CN276" s="1385"/>
      <c r="CO276" s="1385"/>
      <c r="CP276" s="1385"/>
      <c r="CQ276" s="1385"/>
      <c r="CR276" s="1366"/>
      <c r="CS276" s="1366"/>
      <c r="CT276" s="1366"/>
      <c r="CU276" s="1366"/>
      <c r="CV276" s="1366"/>
      <c r="CW276" s="1366"/>
      <c r="CX276" s="1366"/>
      <c r="CY276" s="1366"/>
      <c r="CZ276" s="1366"/>
      <c r="DA276" s="1366"/>
      <c r="DB276" s="1366"/>
      <c r="DC276" s="1366"/>
      <c r="DD276" s="1366"/>
      <c r="DE276" s="1366"/>
      <c r="DF276" s="1366"/>
      <c r="DG276" s="1365"/>
      <c r="DH276" s="1365"/>
      <c r="DI276" s="1365"/>
      <c r="DJ276" s="1365"/>
      <c r="DK276" s="1365"/>
      <c r="DL276" s="1365"/>
      <c r="DM276" s="1366"/>
      <c r="DN276" s="1366"/>
      <c r="DO276" s="1366"/>
      <c r="DP276" s="1366"/>
      <c r="DQ276" s="1366"/>
      <c r="DR276" s="1366"/>
      <c r="DS276" s="1366"/>
      <c r="DT276" s="1366"/>
    </row>
    <row r="277" spans="1:124">
      <c r="A277" s="1118">
        <f t="shared" ca="1" si="130"/>
        <v>11</v>
      </c>
      <c r="B277" s="1890">
        <f t="shared" si="140"/>
        <v>0</v>
      </c>
      <c r="C277" s="2160">
        <f t="shared" si="153"/>
        <v>0</v>
      </c>
      <c r="D277" s="2161">
        <f t="shared" si="154"/>
        <v>0</v>
      </c>
      <c r="E277" s="2162">
        <f t="shared" si="141"/>
        <v>0</v>
      </c>
      <c r="F277" s="2162">
        <f t="shared" si="162"/>
        <v>0</v>
      </c>
      <c r="G277" s="2162">
        <f t="shared" ref="G277:G305" si="163">IF(N276&lt;0.01,0,MIN(N276+E277,IF(AU277&gt;0,AU277,G276*(1+AK277))))</f>
        <v>0</v>
      </c>
      <c r="H277" s="2162">
        <f t="shared" si="155"/>
        <v>0</v>
      </c>
      <c r="I277" s="2162">
        <f t="shared" si="160"/>
        <v>0</v>
      </c>
      <c r="J277" s="2162">
        <f t="shared" si="131"/>
        <v>0</v>
      </c>
      <c r="K277" s="2162">
        <f t="shared" si="132"/>
        <v>0</v>
      </c>
      <c r="L277" s="2162">
        <f t="shared" si="142"/>
        <v>0</v>
      </c>
      <c r="M277" s="2162">
        <f t="shared" si="133"/>
        <v>0</v>
      </c>
      <c r="N277" s="2162">
        <f t="shared" si="143"/>
        <v>0</v>
      </c>
      <c r="O277" s="2163"/>
      <c r="AG277" s="1756"/>
      <c r="AH277" s="1756"/>
      <c r="AI277" s="1756"/>
      <c r="AJ277" s="1989">
        <f t="shared" si="144"/>
        <v>8</v>
      </c>
      <c r="AK277" s="1900">
        <f t="shared" si="145"/>
        <v>0</v>
      </c>
      <c r="AL277" s="1907"/>
      <c r="AM277" s="1907"/>
      <c r="AN277" s="1901">
        <f t="shared" si="156"/>
        <v>0</v>
      </c>
      <c r="AO277" s="1906">
        <f t="shared" ca="1" si="146"/>
        <v>0</v>
      </c>
      <c r="AU277" s="1903">
        <f t="shared" si="157"/>
        <v>0</v>
      </c>
      <c r="AV277" s="1904">
        <f t="shared" si="147"/>
        <v>0</v>
      </c>
      <c r="AW277" s="1904">
        <f t="shared" si="148"/>
        <v>0</v>
      </c>
      <c r="AX277" s="1904"/>
      <c r="AY277" s="1904"/>
      <c r="AZ277" s="1904"/>
      <c r="BA277" s="1904"/>
      <c r="BB277" s="1897">
        <f t="shared" si="149"/>
        <v>0</v>
      </c>
      <c r="BC277" s="1897">
        <f t="shared" si="134"/>
        <v>0</v>
      </c>
      <c r="BD277" s="1898" t="e">
        <f>HLOOKUP($BD$63,anticipaplus,213,0)</f>
        <v>#N/A</v>
      </c>
      <c r="BE277" s="1899"/>
      <c r="BF277" s="1899"/>
      <c r="BG277" s="1360">
        <f t="shared" si="150"/>
        <v>0</v>
      </c>
      <c r="BH277" s="1361">
        <f t="shared" si="159"/>
        <v>212</v>
      </c>
      <c r="BI277" s="1362">
        <f t="shared" si="151"/>
        <v>0</v>
      </c>
      <c r="BJ277" s="1362">
        <f t="shared" si="135"/>
        <v>0</v>
      </c>
      <c r="BK277" s="1362">
        <f t="shared" si="158"/>
        <v>0</v>
      </c>
      <c r="BL277" s="1363">
        <f t="shared" si="136"/>
        <v>1000000</v>
      </c>
      <c r="BM277" s="1899"/>
      <c r="BN277" s="1361" t="str">
        <f t="shared" si="129"/>
        <v/>
      </c>
      <c r="BO277" s="1362">
        <f t="shared" si="137"/>
        <v>0</v>
      </c>
      <c r="BP277" s="1362">
        <f t="shared" si="138"/>
        <v>0</v>
      </c>
      <c r="BQ277" s="1362">
        <f t="shared" si="161"/>
        <v>0</v>
      </c>
      <c r="BR277" s="1363">
        <f t="shared" si="139"/>
        <v>0</v>
      </c>
      <c r="BT277" s="1414"/>
      <c r="CC277" s="1384"/>
      <c r="CD277" s="1384"/>
      <c r="CE277" s="1384"/>
      <c r="CF277" s="1384"/>
      <c r="CG277" s="1385"/>
      <c r="CH277" s="1385"/>
      <c r="CI277" s="1385"/>
      <c r="CJ277" s="1385"/>
      <c r="CK277" s="1385"/>
      <c r="CL277" s="1385"/>
      <c r="CM277" s="1385"/>
      <c r="CN277" s="1385"/>
      <c r="CO277" s="1385"/>
      <c r="CP277" s="1385"/>
      <c r="CQ277" s="1385"/>
      <c r="CR277" s="1366"/>
      <c r="CS277" s="1366"/>
      <c r="CT277" s="1366"/>
      <c r="CU277" s="1366"/>
      <c r="CV277" s="1366"/>
      <c r="CW277" s="1366"/>
      <c r="CX277" s="1366"/>
      <c r="CY277" s="1366"/>
      <c r="CZ277" s="1366"/>
      <c r="DA277" s="1366"/>
      <c r="DB277" s="1366"/>
      <c r="DC277" s="1366"/>
      <c r="DD277" s="1366"/>
      <c r="DE277" s="1366"/>
      <c r="DF277" s="1366"/>
      <c r="DG277" s="1365"/>
      <c r="DH277" s="1365"/>
      <c r="DI277" s="1365"/>
      <c r="DJ277" s="1365"/>
      <c r="DK277" s="1365"/>
      <c r="DL277" s="1365"/>
      <c r="DM277" s="1366"/>
      <c r="DN277" s="1366"/>
      <c r="DO277" s="1366"/>
      <c r="DP277" s="1366"/>
      <c r="DQ277" s="1366"/>
      <c r="DR277" s="1366"/>
      <c r="DS277" s="1366"/>
      <c r="DT277" s="1366"/>
    </row>
    <row r="278" spans="1:124">
      <c r="A278" s="1118">
        <f t="shared" ca="1" si="130"/>
        <v>12</v>
      </c>
      <c r="B278" s="1890">
        <f t="shared" si="140"/>
        <v>0</v>
      </c>
      <c r="C278" s="2160">
        <f t="shared" si="153"/>
        <v>0</v>
      </c>
      <c r="D278" s="2161">
        <f t="shared" si="154"/>
        <v>0</v>
      </c>
      <c r="E278" s="2162">
        <f t="shared" si="141"/>
        <v>0</v>
      </c>
      <c r="F278" s="2162">
        <f t="shared" si="162"/>
        <v>0</v>
      </c>
      <c r="G278" s="2162">
        <f t="shared" si="163"/>
        <v>0</v>
      </c>
      <c r="H278" s="2162">
        <f t="shared" si="155"/>
        <v>0</v>
      </c>
      <c r="I278" s="2162">
        <f t="shared" si="160"/>
        <v>0</v>
      </c>
      <c r="J278" s="2162">
        <f t="shared" si="131"/>
        <v>0</v>
      </c>
      <c r="K278" s="2162">
        <f t="shared" si="132"/>
        <v>0</v>
      </c>
      <c r="L278" s="2162">
        <f t="shared" si="142"/>
        <v>0</v>
      </c>
      <c r="M278" s="2162">
        <f t="shared" si="133"/>
        <v>0</v>
      </c>
      <c r="N278" s="2162">
        <f t="shared" si="143"/>
        <v>0</v>
      </c>
      <c r="O278" s="2163"/>
      <c r="AG278" s="1756"/>
      <c r="AH278" s="1756"/>
      <c r="AI278" s="1756"/>
      <c r="AJ278" s="1989">
        <f t="shared" si="144"/>
        <v>9</v>
      </c>
      <c r="AK278" s="1900">
        <f t="shared" si="145"/>
        <v>0</v>
      </c>
      <c r="AL278" s="1907"/>
      <c r="AM278" s="1907"/>
      <c r="AN278" s="1901">
        <f t="shared" si="156"/>
        <v>0</v>
      </c>
      <c r="AO278" s="1906">
        <f t="shared" ca="1" si="146"/>
        <v>0</v>
      </c>
      <c r="AU278" s="1903">
        <f t="shared" si="157"/>
        <v>0</v>
      </c>
      <c r="AV278" s="1904">
        <f t="shared" si="147"/>
        <v>0</v>
      </c>
      <c r="AW278" s="1904">
        <f t="shared" si="148"/>
        <v>0</v>
      </c>
      <c r="AX278" s="1904"/>
      <c r="AY278" s="1904"/>
      <c r="AZ278" s="1904"/>
      <c r="BA278" s="1904"/>
      <c r="BB278" s="1897">
        <f t="shared" si="149"/>
        <v>0</v>
      </c>
      <c r="BC278" s="1897">
        <f t="shared" si="134"/>
        <v>0</v>
      </c>
      <c r="BD278" s="1898" t="e">
        <f>HLOOKUP($BD$63,anticipaplus,214,0)</f>
        <v>#N/A</v>
      </c>
      <c r="BE278" s="1899"/>
      <c r="BF278" s="1899"/>
      <c r="BG278" s="1360">
        <f t="shared" si="150"/>
        <v>0</v>
      </c>
      <c r="BH278" s="1361">
        <f t="shared" si="159"/>
        <v>213</v>
      </c>
      <c r="BI278" s="1362">
        <f t="shared" si="151"/>
        <v>0</v>
      </c>
      <c r="BJ278" s="1362">
        <f t="shared" si="135"/>
        <v>0</v>
      </c>
      <c r="BK278" s="1362">
        <f t="shared" si="158"/>
        <v>0</v>
      </c>
      <c r="BL278" s="1363">
        <f t="shared" si="136"/>
        <v>1000000</v>
      </c>
      <c r="BM278" s="1899"/>
      <c r="BN278" s="1361" t="str">
        <f t="shared" si="129"/>
        <v/>
      </c>
      <c r="BO278" s="1362">
        <f t="shared" si="137"/>
        <v>0</v>
      </c>
      <c r="BP278" s="1362">
        <f t="shared" si="138"/>
        <v>0</v>
      </c>
      <c r="BQ278" s="1362">
        <f t="shared" si="161"/>
        <v>0</v>
      </c>
      <c r="BR278" s="1363">
        <f t="shared" si="139"/>
        <v>0</v>
      </c>
      <c r="BT278" s="1414"/>
      <c r="CC278" s="1384"/>
      <c r="CD278" s="1384"/>
      <c r="CE278" s="1384"/>
      <c r="CF278" s="1384"/>
      <c r="CG278" s="1385"/>
      <c r="CH278" s="1385"/>
      <c r="CI278" s="1385"/>
      <c r="CJ278" s="1385"/>
      <c r="CK278" s="1385"/>
      <c r="CL278" s="1385"/>
      <c r="CM278" s="1385"/>
      <c r="CN278" s="1385"/>
      <c r="CO278" s="1385"/>
      <c r="CP278" s="1385"/>
      <c r="CQ278" s="1385"/>
      <c r="CR278" s="1366"/>
      <c r="CS278" s="1366"/>
      <c r="CT278" s="1366"/>
      <c r="CU278" s="1366"/>
      <c r="CV278" s="1366"/>
      <c r="CW278" s="1366"/>
      <c r="CX278" s="1366"/>
      <c r="CY278" s="1366"/>
      <c r="CZ278" s="1366"/>
      <c r="DA278" s="1366"/>
      <c r="DB278" s="1366"/>
      <c r="DC278" s="1366"/>
      <c r="DD278" s="1366"/>
      <c r="DE278" s="1366"/>
      <c r="DF278" s="1366"/>
      <c r="DG278" s="1365"/>
      <c r="DH278" s="1365"/>
      <c r="DI278" s="1365"/>
      <c r="DJ278" s="1365"/>
      <c r="DK278" s="1365"/>
      <c r="DL278" s="1365"/>
      <c r="DM278" s="1366"/>
      <c r="DN278" s="1366"/>
      <c r="DO278" s="1366"/>
      <c r="DP278" s="1366"/>
      <c r="DQ278" s="1366"/>
      <c r="DR278" s="1366"/>
      <c r="DS278" s="1366"/>
      <c r="DT278" s="1366"/>
    </row>
    <row r="279" spans="1:124">
      <c r="A279" s="1118">
        <f t="shared" ca="1" si="130"/>
        <v>1</v>
      </c>
      <c r="B279" s="1890">
        <f t="shared" si="140"/>
        <v>0</v>
      </c>
      <c r="C279" s="2160">
        <f t="shared" si="153"/>
        <v>0</v>
      </c>
      <c r="D279" s="2161">
        <f t="shared" si="154"/>
        <v>0</v>
      </c>
      <c r="E279" s="2162">
        <f t="shared" si="141"/>
        <v>0</v>
      </c>
      <c r="F279" s="2162">
        <f t="shared" si="162"/>
        <v>0</v>
      </c>
      <c r="G279" s="2162">
        <f t="shared" si="163"/>
        <v>0</v>
      </c>
      <c r="H279" s="2162">
        <f t="shared" si="155"/>
        <v>0</v>
      </c>
      <c r="I279" s="2162">
        <f t="shared" si="160"/>
        <v>0</v>
      </c>
      <c r="J279" s="2162">
        <f t="shared" si="131"/>
        <v>0</v>
      </c>
      <c r="K279" s="2162">
        <f t="shared" si="132"/>
        <v>0</v>
      </c>
      <c r="L279" s="2162">
        <f t="shared" si="142"/>
        <v>0</v>
      </c>
      <c r="M279" s="2162">
        <f t="shared" si="133"/>
        <v>0</v>
      </c>
      <c r="N279" s="2162">
        <f t="shared" si="143"/>
        <v>0</v>
      </c>
      <c r="O279" s="2163"/>
      <c r="AG279" s="1756"/>
      <c r="AH279" s="1756"/>
      <c r="AI279" s="1756"/>
      <c r="AJ279" s="1989">
        <f t="shared" si="144"/>
        <v>10</v>
      </c>
      <c r="AK279" s="1900">
        <f t="shared" si="145"/>
        <v>0</v>
      </c>
      <c r="AL279" s="1907"/>
      <c r="AM279" s="1907"/>
      <c r="AN279" s="1901">
        <f t="shared" si="156"/>
        <v>0</v>
      </c>
      <c r="AO279" s="1906">
        <f t="shared" ca="1" si="146"/>
        <v>0</v>
      </c>
      <c r="AU279" s="1903">
        <f t="shared" si="157"/>
        <v>0</v>
      </c>
      <c r="AV279" s="1904">
        <f t="shared" si="147"/>
        <v>0</v>
      </c>
      <c r="AW279" s="1904">
        <f t="shared" si="148"/>
        <v>0</v>
      </c>
      <c r="AX279" s="1904"/>
      <c r="AY279" s="1904"/>
      <c r="AZ279" s="1904"/>
      <c r="BA279" s="1904"/>
      <c r="BB279" s="1897">
        <f t="shared" si="149"/>
        <v>0</v>
      </c>
      <c r="BC279" s="1897">
        <f t="shared" si="134"/>
        <v>0</v>
      </c>
      <c r="BD279" s="1898" t="e">
        <f>HLOOKUP($BD$63,anticipaplus,215,0)</f>
        <v>#N/A</v>
      </c>
      <c r="BE279" s="1899"/>
      <c r="BF279" s="1899"/>
      <c r="BG279" s="1360">
        <f t="shared" si="150"/>
        <v>0</v>
      </c>
      <c r="BH279" s="1361">
        <f t="shared" si="159"/>
        <v>214</v>
      </c>
      <c r="BI279" s="1362">
        <f t="shared" si="151"/>
        <v>0</v>
      </c>
      <c r="BJ279" s="1362">
        <f t="shared" si="135"/>
        <v>0</v>
      </c>
      <c r="BK279" s="1362">
        <f t="shared" si="158"/>
        <v>0</v>
      </c>
      <c r="BL279" s="1363">
        <f t="shared" si="136"/>
        <v>1000000</v>
      </c>
      <c r="BM279" s="1899"/>
      <c r="BN279" s="1361" t="str">
        <f t="shared" si="129"/>
        <v/>
      </c>
      <c r="BO279" s="1362">
        <f t="shared" si="137"/>
        <v>0</v>
      </c>
      <c r="BP279" s="1362">
        <f t="shared" si="138"/>
        <v>0</v>
      </c>
      <c r="BQ279" s="1362">
        <f t="shared" si="161"/>
        <v>0</v>
      </c>
      <c r="BR279" s="1363">
        <f t="shared" si="139"/>
        <v>0</v>
      </c>
      <c r="BT279" s="1414"/>
      <c r="CG279" s="1365"/>
      <c r="CH279" s="1366"/>
      <c r="CI279" s="1366"/>
      <c r="CJ279" s="1366"/>
      <c r="CK279" s="1366"/>
      <c r="CL279" s="1365"/>
      <c r="CM279" s="1366"/>
      <c r="CN279" s="1366"/>
      <c r="CO279" s="1366"/>
      <c r="CP279" s="1366"/>
      <c r="CQ279" s="1366"/>
      <c r="CR279" s="1366"/>
      <c r="CS279" s="1366"/>
      <c r="CT279" s="1366"/>
      <c r="CU279" s="1366"/>
      <c r="CV279" s="1366"/>
      <c r="CW279" s="1366"/>
      <c r="CX279" s="1366"/>
      <c r="CY279" s="1366"/>
      <c r="CZ279" s="1366"/>
      <c r="DA279" s="1366"/>
      <c r="DB279" s="1366"/>
      <c r="DC279" s="1366"/>
      <c r="DD279" s="1366"/>
      <c r="DE279" s="1366"/>
      <c r="DF279" s="1366"/>
      <c r="DG279" s="1365"/>
      <c r="DH279" s="1365"/>
      <c r="DI279" s="1365"/>
      <c r="DJ279" s="1365"/>
      <c r="DK279" s="1365"/>
      <c r="DL279" s="1365"/>
      <c r="DM279" s="1366"/>
      <c r="DN279" s="1366"/>
      <c r="DO279" s="1366"/>
      <c r="DP279" s="1366"/>
      <c r="DQ279" s="1366"/>
      <c r="DR279" s="1366"/>
      <c r="DS279" s="1366"/>
      <c r="DT279" s="1366"/>
    </row>
    <row r="280" spans="1:124">
      <c r="A280" s="1118">
        <f t="shared" ca="1" si="130"/>
        <v>2</v>
      </c>
      <c r="B280" s="1890">
        <f t="shared" si="140"/>
        <v>0</v>
      </c>
      <c r="C280" s="2160">
        <f t="shared" si="153"/>
        <v>0</v>
      </c>
      <c r="D280" s="2161">
        <f t="shared" si="154"/>
        <v>0</v>
      </c>
      <c r="E280" s="2162">
        <f t="shared" si="141"/>
        <v>0</v>
      </c>
      <c r="F280" s="2162">
        <f t="shared" si="162"/>
        <v>0</v>
      </c>
      <c r="G280" s="2162">
        <f t="shared" si="163"/>
        <v>0</v>
      </c>
      <c r="H280" s="2162">
        <f t="shared" si="155"/>
        <v>0</v>
      </c>
      <c r="I280" s="2162">
        <f t="shared" si="160"/>
        <v>0</v>
      </c>
      <c r="J280" s="2162">
        <f t="shared" si="131"/>
        <v>0</v>
      </c>
      <c r="K280" s="2162">
        <f t="shared" si="132"/>
        <v>0</v>
      </c>
      <c r="L280" s="2162">
        <f t="shared" si="142"/>
        <v>0</v>
      </c>
      <c r="M280" s="2162">
        <f t="shared" si="133"/>
        <v>0</v>
      </c>
      <c r="N280" s="2162">
        <f t="shared" si="143"/>
        <v>0</v>
      </c>
      <c r="O280" s="2163"/>
      <c r="AG280" s="1756"/>
      <c r="AH280" s="1756"/>
      <c r="AI280" s="1756"/>
      <c r="AJ280" s="1989">
        <f t="shared" si="144"/>
        <v>11</v>
      </c>
      <c r="AK280" s="1900">
        <f t="shared" si="145"/>
        <v>0</v>
      </c>
      <c r="AL280" s="1907"/>
      <c r="AM280" s="1907"/>
      <c r="AN280" s="1901">
        <f t="shared" si="156"/>
        <v>0</v>
      </c>
      <c r="AO280" s="1906">
        <f t="shared" ca="1" si="146"/>
        <v>0</v>
      </c>
      <c r="AU280" s="1903">
        <f t="shared" si="157"/>
        <v>0</v>
      </c>
      <c r="AV280" s="1904">
        <f t="shared" si="147"/>
        <v>0</v>
      </c>
      <c r="AW280" s="1904">
        <f t="shared" si="148"/>
        <v>0</v>
      </c>
      <c r="AX280" s="1904"/>
      <c r="AY280" s="1904"/>
      <c r="AZ280" s="1904"/>
      <c r="BA280" s="1904"/>
      <c r="BB280" s="1897">
        <f t="shared" si="149"/>
        <v>0</v>
      </c>
      <c r="BC280" s="1897">
        <f t="shared" si="134"/>
        <v>0</v>
      </c>
      <c r="BD280" s="1898" t="e">
        <f>HLOOKUP($BD$63,anticipaplus,216,0)</f>
        <v>#N/A</v>
      </c>
      <c r="BE280" s="1899"/>
      <c r="BF280" s="1899"/>
      <c r="BG280" s="1360">
        <f t="shared" si="150"/>
        <v>0</v>
      </c>
      <c r="BH280" s="1361">
        <f t="shared" si="159"/>
        <v>215</v>
      </c>
      <c r="BI280" s="1362">
        <f t="shared" si="151"/>
        <v>0</v>
      </c>
      <c r="BJ280" s="1362">
        <f t="shared" si="135"/>
        <v>0</v>
      </c>
      <c r="BK280" s="1362">
        <f t="shared" si="158"/>
        <v>0</v>
      </c>
      <c r="BL280" s="1363">
        <f t="shared" si="136"/>
        <v>1000000</v>
      </c>
      <c r="BM280" s="1899"/>
      <c r="BN280" s="1361" t="str">
        <f t="shared" si="129"/>
        <v/>
      </c>
      <c r="BO280" s="1362">
        <f t="shared" si="137"/>
        <v>0</v>
      </c>
      <c r="BP280" s="1362">
        <f t="shared" si="138"/>
        <v>0</v>
      </c>
      <c r="BQ280" s="1362">
        <f t="shared" si="161"/>
        <v>0</v>
      </c>
      <c r="BR280" s="1363">
        <f t="shared" si="139"/>
        <v>0</v>
      </c>
      <c r="BT280" s="1414"/>
      <c r="CG280" s="1365"/>
      <c r="CH280" s="1366"/>
      <c r="CI280" s="1366"/>
      <c r="CJ280" s="1366"/>
      <c r="CK280" s="1366"/>
      <c r="CL280" s="1365"/>
      <c r="CM280" s="1366"/>
      <c r="CN280" s="1366"/>
      <c r="CO280" s="1366"/>
      <c r="CP280" s="1366"/>
      <c r="CQ280" s="1366"/>
      <c r="CR280" s="1366"/>
      <c r="CS280" s="1366"/>
      <c r="CT280" s="1366"/>
      <c r="CU280" s="1366"/>
      <c r="CV280" s="1366"/>
      <c r="CW280" s="1366"/>
      <c r="CX280" s="1366"/>
      <c r="CY280" s="1366"/>
      <c r="CZ280" s="1366"/>
      <c r="DA280" s="1366"/>
      <c r="DB280" s="1366"/>
      <c r="DC280" s="1366"/>
      <c r="DD280" s="1366"/>
      <c r="DE280" s="1366"/>
      <c r="DF280" s="1366"/>
      <c r="DG280" s="1365"/>
      <c r="DH280" s="1365"/>
      <c r="DI280" s="1365"/>
      <c r="DJ280" s="1365"/>
      <c r="DK280" s="1365"/>
      <c r="DL280" s="1365"/>
      <c r="DM280" s="1366"/>
      <c r="DN280" s="1366"/>
      <c r="DO280" s="1366"/>
      <c r="DP280" s="1366"/>
      <c r="DQ280" s="1366"/>
      <c r="DR280" s="1366"/>
      <c r="DS280" s="1366"/>
      <c r="DT280" s="1366"/>
    </row>
    <row r="281" spans="1:124">
      <c r="A281" s="1118">
        <f t="shared" ca="1" si="130"/>
        <v>3</v>
      </c>
      <c r="B281" s="1890">
        <f t="shared" si="140"/>
        <v>0</v>
      </c>
      <c r="C281" s="2160">
        <f t="shared" si="153"/>
        <v>0</v>
      </c>
      <c r="D281" s="2161">
        <f t="shared" si="154"/>
        <v>0</v>
      </c>
      <c r="E281" s="2162">
        <f t="shared" si="141"/>
        <v>0</v>
      </c>
      <c r="F281" s="2162">
        <f t="shared" si="162"/>
        <v>0</v>
      </c>
      <c r="G281" s="2162">
        <f t="shared" si="163"/>
        <v>0</v>
      </c>
      <c r="H281" s="2162">
        <f t="shared" si="155"/>
        <v>0</v>
      </c>
      <c r="I281" s="2162">
        <f t="shared" si="160"/>
        <v>0</v>
      </c>
      <c r="J281" s="2162">
        <f t="shared" si="131"/>
        <v>0</v>
      </c>
      <c r="K281" s="2162">
        <f t="shared" si="132"/>
        <v>0</v>
      </c>
      <c r="L281" s="2162">
        <f t="shared" si="142"/>
        <v>0</v>
      </c>
      <c r="M281" s="2162">
        <f t="shared" si="133"/>
        <v>0</v>
      </c>
      <c r="N281" s="2162">
        <f t="shared" si="143"/>
        <v>0</v>
      </c>
      <c r="O281" s="2163"/>
      <c r="AG281" s="1756"/>
      <c r="AH281" s="1756"/>
      <c r="AI281" s="1756"/>
      <c r="AJ281" s="1989">
        <f t="shared" si="144"/>
        <v>12</v>
      </c>
      <c r="AK281" s="1900">
        <f t="shared" si="145"/>
        <v>0</v>
      </c>
      <c r="AL281" s="1907"/>
      <c r="AM281" s="1907"/>
      <c r="AN281" s="1901">
        <f t="shared" si="156"/>
        <v>0</v>
      </c>
      <c r="AO281" s="1906">
        <f t="shared" ca="1" si="146"/>
        <v>0</v>
      </c>
      <c r="AU281" s="1903">
        <f t="shared" si="157"/>
        <v>0</v>
      </c>
      <c r="AV281" s="1904">
        <f t="shared" si="147"/>
        <v>0</v>
      </c>
      <c r="AW281" s="1904">
        <f t="shared" si="148"/>
        <v>0</v>
      </c>
      <c r="AX281" s="1904"/>
      <c r="AY281" s="1904"/>
      <c r="AZ281" s="1904"/>
      <c r="BA281" s="1904"/>
      <c r="BB281" s="1897">
        <f t="shared" si="149"/>
        <v>0</v>
      </c>
      <c r="BC281" s="1897">
        <f t="shared" si="134"/>
        <v>0</v>
      </c>
      <c r="BD281" s="1898" t="e">
        <f>HLOOKUP($BD$63,anticipaplus,217,0)</f>
        <v>#N/A</v>
      </c>
      <c r="BE281" s="1899"/>
      <c r="BF281" s="1899"/>
      <c r="BG281" s="1360">
        <f t="shared" si="150"/>
        <v>0</v>
      </c>
      <c r="BH281" s="1361">
        <f t="shared" si="159"/>
        <v>216</v>
      </c>
      <c r="BI281" s="1362">
        <f t="shared" si="151"/>
        <v>0</v>
      </c>
      <c r="BJ281" s="1362">
        <f t="shared" si="135"/>
        <v>0</v>
      </c>
      <c r="BK281" s="1362">
        <f t="shared" si="158"/>
        <v>0</v>
      </c>
      <c r="BL281" s="1363">
        <f t="shared" si="136"/>
        <v>1000000</v>
      </c>
      <c r="BM281" s="1899"/>
      <c r="BN281" s="1361" t="str">
        <f t="shared" si="129"/>
        <v/>
      </c>
      <c r="BO281" s="1362">
        <f t="shared" si="137"/>
        <v>0</v>
      </c>
      <c r="BP281" s="1362">
        <f t="shared" si="138"/>
        <v>0</v>
      </c>
      <c r="BQ281" s="1362">
        <f t="shared" si="161"/>
        <v>0</v>
      </c>
      <c r="BR281" s="1363">
        <f t="shared" si="139"/>
        <v>0</v>
      </c>
      <c r="BT281" s="1414"/>
      <c r="CG281" s="1365"/>
      <c r="CH281" s="1366"/>
      <c r="CI281" s="1366"/>
      <c r="CJ281" s="1366"/>
      <c r="CK281" s="1366"/>
      <c r="CL281" s="1365"/>
      <c r="CM281" s="1366"/>
      <c r="CN281" s="1366"/>
      <c r="CO281" s="1366"/>
      <c r="CP281" s="1366"/>
      <c r="CQ281" s="1366"/>
      <c r="CR281" s="1366"/>
      <c r="CS281" s="1366"/>
      <c r="CT281" s="1366"/>
      <c r="CU281" s="1366"/>
      <c r="CV281" s="1366"/>
      <c r="CW281" s="1366"/>
      <c r="CX281" s="1366"/>
      <c r="CY281" s="1366"/>
      <c r="CZ281" s="1366"/>
      <c r="DA281" s="1366"/>
      <c r="DB281" s="1366"/>
      <c r="DC281" s="1366"/>
      <c r="DD281" s="1366"/>
      <c r="DE281" s="1366"/>
      <c r="DF281" s="1366"/>
      <c r="DG281" s="1365"/>
      <c r="DH281" s="1365"/>
      <c r="DI281" s="1365"/>
      <c r="DJ281" s="1365"/>
      <c r="DK281" s="1365"/>
      <c r="DL281" s="1365"/>
      <c r="DM281" s="1366"/>
      <c r="DN281" s="1366"/>
      <c r="DO281" s="1366"/>
      <c r="DP281" s="1366"/>
      <c r="DQ281" s="1366"/>
      <c r="DR281" s="1366"/>
      <c r="DS281" s="1366"/>
      <c r="DT281" s="1366"/>
    </row>
    <row r="282" spans="1:124">
      <c r="A282" s="1118">
        <f t="shared" ca="1" si="130"/>
        <v>4</v>
      </c>
      <c r="B282" s="1890">
        <f t="shared" si="140"/>
        <v>0</v>
      </c>
      <c r="C282" s="2160">
        <f t="shared" si="153"/>
        <v>0</v>
      </c>
      <c r="D282" s="2161">
        <f t="shared" si="154"/>
        <v>0</v>
      </c>
      <c r="E282" s="2162">
        <f t="shared" si="141"/>
        <v>0</v>
      </c>
      <c r="F282" s="2162">
        <f t="shared" si="162"/>
        <v>0</v>
      </c>
      <c r="G282" s="2162">
        <f t="shared" si="163"/>
        <v>0</v>
      </c>
      <c r="H282" s="2162">
        <f t="shared" si="155"/>
        <v>0</v>
      </c>
      <c r="I282" s="2162">
        <f t="shared" si="160"/>
        <v>0</v>
      </c>
      <c r="J282" s="2162">
        <f t="shared" si="131"/>
        <v>0</v>
      </c>
      <c r="K282" s="2162">
        <f t="shared" si="132"/>
        <v>0</v>
      </c>
      <c r="L282" s="2162">
        <f t="shared" si="142"/>
        <v>0</v>
      </c>
      <c r="M282" s="2162">
        <f t="shared" si="133"/>
        <v>0</v>
      </c>
      <c r="N282" s="2162">
        <f t="shared" si="143"/>
        <v>0</v>
      </c>
      <c r="O282" s="2163"/>
      <c r="AG282" s="1756"/>
      <c r="AH282" s="1756"/>
      <c r="AI282" s="1756"/>
      <c r="AJ282" s="1989">
        <f t="shared" si="144"/>
        <v>1</v>
      </c>
      <c r="AK282" s="1900">
        <f t="shared" si="145"/>
        <v>0</v>
      </c>
      <c r="AL282" s="1907"/>
      <c r="AM282" s="1907"/>
      <c r="AN282" s="1901">
        <f t="shared" si="156"/>
        <v>0</v>
      </c>
      <c r="AO282" s="1906">
        <f t="shared" ca="1" si="146"/>
        <v>0</v>
      </c>
      <c r="AU282" s="1903">
        <f t="shared" si="157"/>
        <v>0</v>
      </c>
      <c r="AV282" s="1904">
        <f t="shared" si="147"/>
        <v>0</v>
      </c>
      <c r="AW282" s="1904">
        <f t="shared" si="148"/>
        <v>0</v>
      </c>
      <c r="AX282" s="1904"/>
      <c r="AY282" s="1904"/>
      <c r="AZ282" s="1904"/>
      <c r="BA282" s="1904"/>
      <c r="BB282" s="1897">
        <f t="shared" si="149"/>
        <v>0</v>
      </c>
      <c r="BC282" s="1897">
        <f t="shared" si="134"/>
        <v>0</v>
      </c>
      <c r="BD282" s="1898" t="e">
        <f>HLOOKUP($BD$63,anticipaplus,218,0)</f>
        <v>#N/A</v>
      </c>
      <c r="BE282" s="1899"/>
      <c r="BF282" s="1899"/>
      <c r="BG282" s="1360">
        <f t="shared" si="150"/>
        <v>0</v>
      </c>
      <c r="BH282" s="1377">
        <f t="shared" si="159"/>
        <v>217</v>
      </c>
      <c r="BI282" s="1378">
        <f t="shared" si="151"/>
        <v>0</v>
      </c>
      <c r="BJ282" s="1378">
        <f t="shared" si="135"/>
        <v>0</v>
      </c>
      <c r="BK282" s="1378">
        <f>MIN(BL281+BI282,BK281*(1+$BI$61))</f>
        <v>0</v>
      </c>
      <c r="BL282" s="1363">
        <f t="shared" si="136"/>
        <v>1000000</v>
      </c>
      <c r="BM282" s="1899"/>
      <c r="BN282" s="1379" t="str">
        <f t="shared" si="129"/>
        <v/>
      </c>
      <c r="BO282" s="1380">
        <f t="shared" si="137"/>
        <v>0</v>
      </c>
      <c r="BP282" s="1380">
        <f t="shared" si="138"/>
        <v>0</v>
      </c>
      <c r="BQ282" s="1380">
        <f>MIN(BR281+BO282,BQ281*(1+$BO$61))</f>
        <v>0</v>
      </c>
      <c r="BR282" s="1363">
        <f t="shared" si="139"/>
        <v>0</v>
      </c>
      <c r="BT282" s="1414"/>
      <c r="CG282" s="1365"/>
      <c r="CH282" s="1366"/>
      <c r="CI282" s="1366"/>
      <c r="CJ282" s="1366"/>
      <c r="CK282" s="1366"/>
      <c r="CL282" s="1365"/>
      <c r="CM282" s="1366"/>
      <c r="CN282" s="1366"/>
      <c r="CO282" s="1366"/>
      <c r="CP282" s="1366"/>
      <c r="CQ282" s="1366"/>
      <c r="CR282" s="1366"/>
      <c r="CS282" s="1366"/>
      <c r="CT282" s="1366"/>
      <c r="CU282" s="1366"/>
      <c r="CV282" s="1366"/>
      <c r="CW282" s="1366"/>
      <c r="CX282" s="1366"/>
      <c r="CY282" s="1366"/>
      <c r="CZ282" s="1366"/>
      <c r="DA282" s="1366"/>
      <c r="DB282" s="1366"/>
      <c r="DC282" s="1366"/>
      <c r="DD282" s="1366"/>
      <c r="DE282" s="1366"/>
      <c r="DF282" s="1366"/>
      <c r="DG282" s="1365"/>
      <c r="DH282" s="1365"/>
      <c r="DI282" s="1365"/>
      <c r="DJ282" s="1365"/>
      <c r="DK282" s="1365"/>
      <c r="DL282" s="1365"/>
      <c r="DM282" s="1366"/>
      <c r="DN282" s="1366"/>
      <c r="DO282" s="1366"/>
      <c r="DP282" s="1366"/>
      <c r="DQ282" s="1366"/>
      <c r="DR282" s="1366"/>
      <c r="DS282" s="1366"/>
      <c r="DT282" s="1366"/>
    </row>
    <row r="283" spans="1:124">
      <c r="A283" s="1118">
        <f t="shared" ca="1" si="130"/>
        <v>5</v>
      </c>
      <c r="B283" s="1890">
        <f t="shared" si="140"/>
        <v>0</v>
      </c>
      <c r="C283" s="2160">
        <f t="shared" si="153"/>
        <v>0</v>
      </c>
      <c r="D283" s="2161">
        <f t="shared" si="154"/>
        <v>0</v>
      </c>
      <c r="E283" s="2162">
        <f t="shared" si="141"/>
        <v>0</v>
      </c>
      <c r="F283" s="2162">
        <f t="shared" si="162"/>
        <v>0</v>
      </c>
      <c r="G283" s="2162">
        <f t="shared" si="163"/>
        <v>0</v>
      </c>
      <c r="H283" s="2162">
        <f t="shared" si="155"/>
        <v>0</v>
      </c>
      <c r="I283" s="2162">
        <f t="shared" si="160"/>
        <v>0</v>
      </c>
      <c r="J283" s="2162">
        <f t="shared" si="131"/>
        <v>0</v>
      </c>
      <c r="K283" s="2162">
        <f t="shared" si="132"/>
        <v>0</v>
      </c>
      <c r="L283" s="2162">
        <f t="shared" si="142"/>
        <v>0</v>
      </c>
      <c r="M283" s="2162">
        <f t="shared" si="133"/>
        <v>0</v>
      </c>
      <c r="N283" s="2162">
        <f t="shared" si="143"/>
        <v>0</v>
      </c>
      <c r="O283" s="2163"/>
      <c r="AG283" s="1756"/>
      <c r="AH283" s="1756"/>
      <c r="AI283" s="1756"/>
      <c r="AJ283" s="1989">
        <f t="shared" si="144"/>
        <v>2</v>
      </c>
      <c r="AK283" s="1900">
        <f t="shared" si="145"/>
        <v>0</v>
      </c>
      <c r="AL283" s="1907"/>
      <c r="AM283" s="1907"/>
      <c r="AN283" s="1901">
        <f t="shared" si="156"/>
        <v>0</v>
      </c>
      <c r="AO283" s="1906">
        <f t="shared" ca="1" si="146"/>
        <v>0</v>
      </c>
      <c r="AU283" s="1903">
        <f t="shared" si="157"/>
        <v>0</v>
      </c>
      <c r="AV283" s="1904">
        <f t="shared" si="147"/>
        <v>0</v>
      </c>
      <c r="AW283" s="1904">
        <f t="shared" si="148"/>
        <v>0</v>
      </c>
      <c r="AX283" s="1904"/>
      <c r="AY283" s="1904"/>
      <c r="AZ283" s="1904"/>
      <c r="BA283" s="1904"/>
      <c r="BB283" s="1897">
        <f t="shared" si="149"/>
        <v>0</v>
      </c>
      <c r="BC283" s="1897">
        <f t="shared" si="134"/>
        <v>0</v>
      </c>
      <c r="BD283" s="1898" t="e">
        <f>HLOOKUP($BD$63,anticipaplus,219,0)</f>
        <v>#N/A</v>
      </c>
      <c r="BE283" s="1899"/>
      <c r="BF283" s="1899"/>
      <c r="BG283" s="1360">
        <f t="shared" si="150"/>
        <v>0</v>
      </c>
      <c r="BH283" s="1361">
        <f t="shared" si="159"/>
        <v>218</v>
      </c>
      <c r="BI283" s="1362">
        <f t="shared" si="151"/>
        <v>0</v>
      </c>
      <c r="BJ283" s="1362">
        <f t="shared" si="135"/>
        <v>0</v>
      </c>
      <c r="BK283" s="1362">
        <f t="shared" si="158"/>
        <v>0</v>
      </c>
      <c r="BL283" s="1363">
        <f t="shared" si="136"/>
        <v>1000000</v>
      </c>
      <c r="BM283" s="1899"/>
      <c r="BN283" s="1361" t="str">
        <f t="shared" si="129"/>
        <v/>
      </c>
      <c r="BO283" s="1362">
        <f t="shared" si="137"/>
        <v>0</v>
      </c>
      <c r="BP283" s="1362">
        <f t="shared" si="138"/>
        <v>0</v>
      </c>
      <c r="BQ283" s="1362">
        <f t="shared" ref="BQ283:BQ293" si="164">MIN(BR282+BO283,BQ282)</f>
        <v>0</v>
      </c>
      <c r="BR283" s="1363">
        <f t="shared" si="139"/>
        <v>0</v>
      </c>
      <c r="BT283" s="1414"/>
      <c r="CG283" s="1365"/>
      <c r="CH283" s="1366"/>
      <c r="CI283" s="1366"/>
      <c r="CJ283" s="1366"/>
      <c r="CK283" s="1366"/>
      <c r="CL283" s="1365"/>
      <c r="CM283" s="1366"/>
      <c r="CN283" s="1366"/>
      <c r="CO283" s="1366"/>
      <c r="CP283" s="1366"/>
      <c r="CQ283" s="1366"/>
      <c r="CR283" s="1366"/>
      <c r="CS283" s="1366"/>
      <c r="CT283" s="1366"/>
      <c r="CU283" s="1366"/>
      <c r="CV283" s="1366"/>
      <c r="CW283" s="1366"/>
      <c r="CX283" s="1366"/>
      <c r="CY283" s="1366"/>
      <c r="CZ283" s="1366"/>
      <c r="DA283" s="1366"/>
      <c r="DB283" s="1366"/>
      <c r="DC283" s="1366"/>
      <c r="DD283" s="1366"/>
      <c r="DE283" s="1366"/>
      <c r="DF283" s="1366"/>
      <c r="DG283" s="1365"/>
      <c r="DH283" s="1365"/>
      <c r="DI283" s="1365"/>
      <c r="DJ283" s="1365"/>
      <c r="DK283" s="1365"/>
      <c r="DL283" s="1365"/>
      <c r="DM283" s="1366"/>
      <c r="DN283" s="1366"/>
      <c r="DO283" s="1366"/>
      <c r="DP283" s="1366"/>
      <c r="DQ283" s="1366"/>
      <c r="DR283" s="1366"/>
      <c r="DS283" s="1366"/>
      <c r="DT283" s="1366"/>
    </row>
    <row r="284" spans="1:124">
      <c r="A284" s="1118">
        <f t="shared" ca="1" si="130"/>
        <v>6</v>
      </c>
      <c r="B284" s="1890">
        <f t="shared" si="140"/>
        <v>0</v>
      </c>
      <c r="C284" s="2160">
        <f t="shared" si="153"/>
        <v>0</v>
      </c>
      <c r="D284" s="2161">
        <f t="shared" si="154"/>
        <v>0</v>
      </c>
      <c r="E284" s="2162">
        <f t="shared" si="141"/>
        <v>0</v>
      </c>
      <c r="F284" s="2162">
        <f t="shared" si="162"/>
        <v>0</v>
      </c>
      <c r="G284" s="2162">
        <f t="shared" si="163"/>
        <v>0</v>
      </c>
      <c r="H284" s="2162">
        <f t="shared" si="155"/>
        <v>0</v>
      </c>
      <c r="I284" s="2162">
        <f t="shared" si="160"/>
        <v>0</v>
      </c>
      <c r="J284" s="2162">
        <f t="shared" si="131"/>
        <v>0</v>
      </c>
      <c r="K284" s="2162">
        <f t="shared" si="132"/>
        <v>0</v>
      </c>
      <c r="L284" s="2162">
        <f t="shared" si="142"/>
        <v>0</v>
      </c>
      <c r="M284" s="2162">
        <f t="shared" si="133"/>
        <v>0</v>
      </c>
      <c r="N284" s="2162">
        <f t="shared" si="143"/>
        <v>0</v>
      </c>
      <c r="O284" s="2163"/>
      <c r="AG284" s="1756"/>
      <c r="AH284" s="1756"/>
      <c r="AI284" s="1756"/>
      <c r="AJ284" s="1989">
        <f t="shared" si="144"/>
        <v>3</v>
      </c>
      <c r="AK284" s="1900">
        <f t="shared" si="145"/>
        <v>0</v>
      </c>
      <c r="AL284" s="1907"/>
      <c r="AM284" s="1907"/>
      <c r="AN284" s="1901">
        <f t="shared" si="156"/>
        <v>0</v>
      </c>
      <c r="AO284" s="1906">
        <f t="shared" ca="1" si="146"/>
        <v>0</v>
      </c>
      <c r="AU284" s="1903">
        <f t="shared" si="157"/>
        <v>0</v>
      </c>
      <c r="AV284" s="1904">
        <f t="shared" si="147"/>
        <v>0</v>
      </c>
      <c r="AW284" s="1904">
        <f t="shared" si="148"/>
        <v>0</v>
      </c>
      <c r="AX284" s="1904"/>
      <c r="AY284" s="1904"/>
      <c r="AZ284" s="1904"/>
      <c r="BA284" s="1904"/>
      <c r="BB284" s="1897">
        <f t="shared" si="149"/>
        <v>0</v>
      </c>
      <c r="BC284" s="1897">
        <f t="shared" si="134"/>
        <v>0</v>
      </c>
      <c r="BD284" s="1898" t="e">
        <f>HLOOKUP($BD$63,anticipaplus,220,0)</f>
        <v>#N/A</v>
      </c>
      <c r="BE284" s="1899"/>
      <c r="BF284" s="1899"/>
      <c r="BG284" s="1360">
        <f t="shared" si="150"/>
        <v>0</v>
      </c>
      <c r="BH284" s="1361">
        <f t="shared" si="159"/>
        <v>219</v>
      </c>
      <c r="BI284" s="1362">
        <f t="shared" si="151"/>
        <v>0</v>
      </c>
      <c r="BJ284" s="1362">
        <f t="shared" si="135"/>
        <v>0</v>
      </c>
      <c r="BK284" s="1362">
        <f t="shared" si="158"/>
        <v>0</v>
      </c>
      <c r="BL284" s="1363">
        <f t="shared" si="136"/>
        <v>1000000</v>
      </c>
      <c r="BM284" s="1899"/>
      <c r="BN284" s="1361" t="str">
        <f t="shared" si="129"/>
        <v/>
      </c>
      <c r="BO284" s="1362">
        <f t="shared" si="137"/>
        <v>0</v>
      </c>
      <c r="BP284" s="1362">
        <f t="shared" si="138"/>
        <v>0</v>
      </c>
      <c r="BQ284" s="1362">
        <f t="shared" si="164"/>
        <v>0</v>
      </c>
      <c r="BR284" s="1363">
        <f t="shared" si="139"/>
        <v>0</v>
      </c>
      <c r="BT284" s="1414"/>
      <c r="BX284" s="1384"/>
      <c r="BY284" s="1384"/>
      <c r="BZ284" s="1384"/>
      <c r="CA284" s="1384"/>
      <c r="CB284" s="1384"/>
      <c r="CG284" s="1365"/>
      <c r="CH284" s="1366"/>
      <c r="CI284" s="1366"/>
      <c r="CJ284" s="1366"/>
      <c r="CK284" s="1366"/>
      <c r="CL284" s="1365"/>
      <c r="CM284" s="1366"/>
      <c r="CN284" s="1366"/>
      <c r="CO284" s="1366"/>
      <c r="CP284" s="1366"/>
      <c r="CQ284" s="1366"/>
      <c r="CR284" s="1366"/>
      <c r="CS284" s="1366"/>
      <c r="CT284" s="1366"/>
      <c r="CU284" s="1366"/>
      <c r="CV284" s="1366"/>
      <c r="CW284" s="1366"/>
      <c r="CX284" s="1366"/>
      <c r="CY284" s="1366"/>
      <c r="CZ284" s="1366"/>
      <c r="DA284" s="1366"/>
      <c r="DB284" s="1366"/>
      <c r="DC284" s="1366"/>
      <c r="DD284" s="1366"/>
      <c r="DE284" s="1366"/>
      <c r="DF284" s="1366"/>
      <c r="DG284" s="1365"/>
      <c r="DH284" s="1365"/>
      <c r="DI284" s="1365"/>
      <c r="DJ284" s="1365"/>
      <c r="DK284" s="1365"/>
      <c r="DL284" s="1365"/>
      <c r="DM284" s="1366"/>
      <c r="DN284" s="1366"/>
      <c r="DO284" s="1366"/>
      <c r="DP284" s="1366"/>
      <c r="DQ284" s="1366"/>
      <c r="DR284" s="1366"/>
      <c r="DS284" s="1366"/>
      <c r="DT284" s="1366"/>
    </row>
    <row r="285" spans="1:124">
      <c r="A285" s="1118">
        <f t="shared" ca="1" si="130"/>
        <v>7</v>
      </c>
      <c r="B285" s="1890">
        <f t="shared" si="140"/>
        <v>0</v>
      </c>
      <c r="C285" s="2160">
        <f t="shared" si="153"/>
        <v>0</v>
      </c>
      <c r="D285" s="2161">
        <f t="shared" si="154"/>
        <v>0</v>
      </c>
      <c r="E285" s="2162">
        <f t="shared" si="141"/>
        <v>0</v>
      </c>
      <c r="F285" s="2162">
        <f t="shared" si="162"/>
        <v>0</v>
      </c>
      <c r="G285" s="2162">
        <f t="shared" si="163"/>
        <v>0</v>
      </c>
      <c r="H285" s="2162">
        <f t="shared" si="155"/>
        <v>0</v>
      </c>
      <c r="I285" s="2162">
        <f t="shared" si="160"/>
        <v>0</v>
      </c>
      <c r="J285" s="2162">
        <f t="shared" si="131"/>
        <v>0</v>
      </c>
      <c r="K285" s="2162">
        <f t="shared" si="132"/>
        <v>0</v>
      </c>
      <c r="L285" s="2162">
        <f t="shared" si="142"/>
        <v>0</v>
      </c>
      <c r="M285" s="2162">
        <f t="shared" si="133"/>
        <v>0</v>
      </c>
      <c r="N285" s="2162">
        <f t="shared" si="143"/>
        <v>0</v>
      </c>
      <c r="O285" s="2163"/>
      <c r="AG285" s="1756"/>
      <c r="AH285" s="1756"/>
      <c r="AI285" s="1756"/>
      <c r="AJ285" s="1989">
        <f t="shared" si="144"/>
        <v>4</v>
      </c>
      <c r="AK285" s="1900">
        <f t="shared" si="145"/>
        <v>0</v>
      </c>
      <c r="AL285" s="1907"/>
      <c r="AM285" s="1907"/>
      <c r="AN285" s="1901">
        <f t="shared" si="156"/>
        <v>0</v>
      </c>
      <c r="AO285" s="1906">
        <f t="shared" ca="1" si="146"/>
        <v>0</v>
      </c>
      <c r="AU285" s="1903">
        <f t="shared" si="157"/>
        <v>0</v>
      </c>
      <c r="AV285" s="1904">
        <f t="shared" si="147"/>
        <v>0</v>
      </c>
      <c r="AW285" s="1904">
        <f t="shared" si="148"/>
        <v>0</v>
      </c>
      <c r="AX285" s="1904"/>
      <c r="AY285" s="1904"/>
      <c r="AZ285" s="1904"/>
      <c r="BA285" s="1904"/>
      <c r="BB285" s="1897">
        <f t="shared" si="149"/>
        <v>0</v>
      </c>
      <c r="BC285" s="1897">
        <f t="shared" si="134"/>
        <v>0</v>
      </c>
      <c r="BD285" s="1898" t="e">
        <f>HLOOKUP($BD$63,anticipaplus,221,0)</f>
        <v>#N/A</v>
      </c>
      <c r="BE285" s="1899"/>
      <c r="BF285" s="1899"/>
      <c r="BG285" s="1360">
        <f t="shared" si="150"/>
        <v>0</v>
      </c>
      <c r="BH285" s="1361">
        <f t="shared" si="159"/>
        <v>220</v>
      </c>
      <c r="BI285" s="1362">
        <f t="shared" si="151"/>
        <v>0</v>
      </c>
      <c r="BJ285" s="1362">
        <f t="shared" si="135"/>
        <v>0</v>
      </c>
      <c r="BK285" s="1362">
        <f t="shared" si="158"/>
        <v>0</v>
      </c>
      <c r="BL285" s="1363">
        <f t="shared" si="136"/>
        <v>1000000</v>
      </c>
      <c r="BM285" s="1899"/>
      <c r="BN285" s="1361" t="str">
        <f t="shared" si="129"/>
        <v/>
      </c>
      <c r="BO285" s="1362">
        <f t="shared" si="137"/>
        <v>0</v>
      </c>
      <c r="BP285" s="1362">
        <f t="shared" si="138"/>
        <v>0</v>
      </c>
      <c r="BQ285" s="1362">
        <f t="shared" si="164"/>
        <v>0</v>
      </c>
      <c r="BR285" s="1363">
        <f t="shared" si="139"/>
        <v>0</v>
      </c>
      <c r="BT285" s="1414"/>
      <c r="BX285" s="1384"/>
      <c r="BY285" s="1384"/>
      <c r="BZ285" s="1384"/>
      <c r="CA285" s="1384"/>
      <c r="CB285" s="1384"/>
      <c r="CG285" s="1365"/>
      <c r="CH285" s="1366"/>
      <c r="CI285" s="1366"/>
      <c r="CJ285" s="1366"/>
      <c r="CK285" s="1366"/>
      <c r="CL285" s="1365"/>
      <c r="CM285" s="1366"/>
      <c r="CN285" s="1366"/>
      <c r="CO285" s="1366"/>
      <c r="CP285" s="1366"/>
      <c r="CQ285" s="1366"/>
      <c r="CR285" s="1366"/>
      <c r="CS285" s="1366"/>
      <c r="CT285" s="1366"/>
      <c r="CU285" s="1366"/>
      <c r="CV285" s="1366"/>
      <c r="CW285" s="1366"/>
      <c r="CX285" s="1366"/>
      <c r="CY285" s="1366"/>
      <c r="CZ285" s="1366"/>
      <c r="DA285" s="1366"/>
      <c r="DB285" s="1366"/>
      <c r="DC285" s="1366"/>
      <c r="DD285" s="1366"/>
      <c r="DE285" s="1366"/>
      <c r="DF285" s="1366"/>
      <c r="DG285" s="1365"/>
      <c r="DH285" s="1365"/>
      <c r="DI285" s="1365"/>
      <c r="DJ285" s="1365"/>
      <c r="DK285" s="1365"/>
      <c r="DL285" s="1365"/>
      <c r="DM285" s="1366"/>
      <c r="DN285" s="1366"/>
      <c r="DO285" s="1366"/>
      <c r="DP285" s="1366"/>
      <c r="DQ285" s="1366"/>
      <c r="DR285" s="1366"/>
      <c r="DS285" s="1366"/>
      <c r="DT285" s="1366"/>
    </row>
    <row r="286" spans="1:124">
      <c r="A286" s="1118">
        <f t="shared" ca="1" si="130"/>
        <v>8</v>
      </c>
      <c r="B286" s="1890">
        <f t="shared" si="140"/>
        <v>0</v>
      </c>
      <c r="C286" s="2160">
        <f t="shared" si="153"/>
        <v>0</v>
      </c>
      <c r="D286" s="2161">
        <f t="shared" si="154"/>
        <v>0</v>
      </c>
      <c r="E286" s="2162">
        <f t="shared" si="141"/>
        <v>0</v>
      </c>
      <c r="F286" s="2162">
        <f t="shared" si="162"/>
        <v>0</v>
      </c>
      <c r="G286" s="2162">
        <f t="shared" si="163"/>
        <v>0</v>
      </c>
      <c r="H286" s="2162">
        <f t="shared" si="155"/>
        <v>0</v>
      </c>
      <c r="I286" s="2162">
        <f t="shared" si="160"/>
        <v>0</v>
      </c>
      <c r="J286" s="2162">
        <f t="shared" si="131"/>
        <v>0</v>
      </c>
      <c r="K286" s="2162">
        <f t="shared" si="132"/>
        <v>0</v>
      </c>
      <c r="L286" s="2162">
        <f t="shared" si="142"/>
        <v>0</v>
      </c>
      <c r="M286" s="2162">
        <f t="shared" si="133"/>
        <v>0</v>
      </c>
      <c r="N286" s="2162">
        <f t="shared" si="143"/>
        <v>0</v>
      </c>
      <c r="O286" s="2163"/>
      <c r="AG286" s="1756"/>
      <c r="AH286" s="1756"/>
      <c r="AI286" s="1756"/>
      <c r="AJ286" s="1989">
        <f t="shared" si="144"/>
        <v>5</v>
      </c>
      <c r="AK286" s="1900">
        <f t="shared" si="145"/>
        <v>0</v>
      </c>
      <c r="AL286" s="1907"/>
      <c r="AM286" s="1907"/>
      <c r="AN286" s="1901">
        <f t="shared" si="156"/>
        <v>0</v>
      </c>
      <c r="AO286" s="1906">
        <f t="shared" ca="1" si="146"/>
        <v>0</v>
      </c>
      <c r="AU286" s="1903">
        <f t="shared" si="157"/>
        <v>0</v>
      </c>
      <c r="AV286" s="1904">
        <f t="shared" si="147"/>
        <v>0</v>
      </c>
      <c r="AW286" s="1904">
        <f t="shared" si="148"/>
        <v>0</v>
      </c>
      <c r="AX286" s="1904"/>
      <c r="AY286" s="1904"/>
      <c r="AZ286" s="1904"/>
      <c r="BA286" s="1904"/>
      <c r="BB286" s="1897">
        <f t="shared" si="149"/>
        <v>0</v>
      </c>
      <c r="BC286" s="1897">
        <f t="shared" si="134"/>
        <v>0</v>
      </c>
      <c r="BD286" s="1898" t="e">
        <f>HLOOKUP($BD$63,anticipaplus,222,0)</f>
        <v>#N/A</v>
      </c>
      <c r="BE286" s="1899"/>
      <c r="BF286" s="1899"/>
      <c r="BG286" s="1360">
        <f t="shared" si="150"/>
        <v>0</v>
      </c>
      <c r="BH286" s="1361">
        <f t="shared" si="159"/>
        <v>221</v>
      </c>
      <c r="BI286" s="1362">
        <f t="shared" si="151"/>
        <v>0</v>
      </c>
      <c r="BJ286" s="1362">
        <f t="shared" si="135"/>
        <v>0</v>
      </c>
      <c r="BK286" s="1362">
        <f t="shared" si="158"/>
        <v>0</v>
      </c>
      <c r="BL286" s="1363">
        <f t="shared" si="136"/>
        <v>1000000</v>
      </c>
      <c r="BM286" s="1899"/>
      <c r="BN286" s="1361" t="str">
        <f t="shared" si="129"/>
        <v/>
      </c>
      <c r="BO286" s="1362">
        <f t="shared" si="137"/>
        <v>0</v>
      </c>
      <c r="BP286" s="1362">
        <f t="shared" si="138"/>
        <v>0</v>
      </c>
      <c r="BQ286" s="1362">
        <f t="shared" si="164"/>
        <v>0</v>
      </c>
      <c r="BR286" s="1363">
        <f t="shared" si="139"/>
        <v>0</v>
      </c>
      <c r="BT286" s="1414"/>
      <c r="BX286" s="1384"/>
      <c r="BY286" s="1384"/>
      <c r="BZ286" s="1384"/>
      <c r="CA286" s="1384"/>
      <c r="CB286" s="1384"/>
      <c r="CG286" s="1365"/>
      <c r="CH286" s="1366"/>
      <c r="CI286" s="1366"/>
      <c r="CJ286" s="1366"/>
      <c r="CK286" s="1366"/>
      <c r="CL286" s="1365"/>
      <c r="CM286" s="1366"/>
      <c r="CN286" s="1366"/>
      <c r="CO286" s="1366"/>
      <c r="CP286" s="1366"/>
      <c r="CQ286" s="1366"/>
      <c r="CR286" s="1366"/>
      <c r="CS286" s="1366"/>
      <c r="CT286" s="1366"/>
      <c r="CU286" s="1366"/>
      <c r="CV286" s="1366"/>
      <c r="CW286" s="1366"/>
      <c r="CX286" s="1366"/>
      <c r="CY286" s="1366"/>
      <c r="CZ286" s="1366"/>
      <c r="DA286" s="1366"/>
      <c r="DB286" s="1366"/>
      <c r="DC286" s="1366"/>
      <c r="DD286" s="1366"/>
      <c r="DE286" s="1366"/>
      <c r="DF286" s="1366"/>
      <c r="DG286" s="1365"/>
      <c r="DH286" s="1365"/>
      <c r="DI286" s="1365"/>
      <c r="DJ286" s="1365"/>
      <c r="DK286" s="1365"/>
      <c r="DL286" s="1365"/>
      <c r="DM286" s="1366"/>
      <c r="DN286" s="1366"/>
      <c r="DO286" s="1366"/>
      <c r="DP286" s="1366"/>
      <c r="DQ286" s="1366"/>
      <c r="DR286" s="1366"/>
      <c r="DS286" s="1366"/>
      <c r="DT286" s="1366"/>
    </row>
    <row r="287" spans="1:124">
      <c r="A287" s="1118">
        <f t="shared" ca="1" si="130"/>
        <v>9</v>
      </c>
      <c r="B287" s="1890">
        <f t="shared" si="140"/>
        <v>0</v>
      </c>
      <c r="C287" s="2160">
        <f t="shared" si="153"/>
        <v>0</v>
      </c>
      <c r="D287" s="2161">
        <f t="shared" si="154"/>
        <v>0</v>
      </c>
      <c r="E287" s="2162">
        <f t="shared" si="141"/>
        <v>0</v>
      </c>
      <c r="F287" s="2162">
        <f t="shared" si="162"/>
        <v>0</v>
      </c>
      <c r="G287" s="2162">
        <f t="shared" si="163"/>
        <v>0</v>
      </c>
      <c r="H287" s="2162">
        <f t="shared" si="155"/>
        <v>0</v>
      </c>
      <c r="I287" s="2162">
        <f t="shared" si="160"/>
        <v>0</v>
      </c>
      <c r="J287" s="2162">
        <f t="shared" si="131"/>
        <v>0</v>
      </c>
      <c r="K287" s="2162">
        <f t="shared" si="132"/>
        <v>0</v>
      </c>
      <c r="L287" s="2162">
        <f t="shared" si="142"/>
        <v>0</v>
      </c>
      <c r="M287" s="2162">
        <f t="shared" si="133"/>
        <v>0</v>
      </c>
      <c r="N287" s="2162">
        <f t="shared" si="143"/>
        <v>0</v>
      </c>
      <c r="O287" s="2163"/>
      <c r="AG287" s="1756"/>
      <c r="AH287" s="1756"/>
      <c r="AI287" s="1756"/>
      <c r="AJ287" s="1989">
        <f t="shared" si="144"/>
        <v>6</v>
      </c>
      <c r="AK287" s="1900">
        <f t="shared" si="145"/>
        <v>0</v>
      </c>
      <c r="AL287" s="1907"/>
      <c r="AM287" s="1907"/>
      <c r="AN287" s="1901">
        <f t="shared" si="156"/>
        <v>0</v>
      </c>
      <c r="AO287" s="1906">
        <f t="shared" ca="1" si="146"/>
        <v>0</v>
      </c>
      <c r="AU287" s="1903">
        <f t="shared" si="157"/>
        <v>0</v>
      </c>
      <c r="AV287" s="1904">
        <f t="shared" si="147"/>
        <v>0</v>
      </c>
      <c r="AW287" s="1904">
        <f t="shared" si="148"/>
        <v>0</v>
      </c>
      <c r="AX287" s="1904"/>
      <c r="AY287" s="1904"/>
      <c r="AZ287" s="1904"/>
      <c r="BA287" s="1904"/>
      <c r="BB287" s="1897">
        <f t="shared" si="149"/>
        <v>0</v>
      </c>
      <c r="BC287" s="1897">
        <f t="shared" si="134"/>
        <v>0</v>
      </c>
      <c r="BD287" s="1898" t="e">
        <f>HLOOKUP($BD$63,anticipaplus,223,0)</f>
        <v>#N/A</v>
      </c>
      <c r="BE287" s="1899"/>
      <c r="BF287" s="1899"/>
      <c r="BG287" s="1360">
        <f t="shared" si="150"/>
        <v>0</v>
      </c>
      <c r="BH287" s="1361">
        <f t="shared" si="159"/>
        <v>222</v>
      </c>
      <c r="BI287" s="1362">
        <f t="shared" si="151"/>
        <v>0</v>
      </c>
      <c r="BJ287" s="1362">
        <f t="shared" si="135"/>
        <v>0</v>
      </c>
      <c r="BK287" s="1362">
        <f t="shared" si="158"/>
        <v>0</v>
      </c>
      <c r="BL287" s="1363">
        <f t="shared" si="136"/>
        <v>1000000</v>
      </c>
      <c r="BM287" s="1899"/>
      <c r="BN287" s="1361" t="str">
        <f t="shared" si="129"/>
        <v/>
      </c>
      <c r="BO287" s="1362">
        <f t="shared" si="137"/>
        <v>0</v>
      </c>
      <c r="BP287" s="1362">
        <f t="shared" si="138"/>
        <v>0</v>
      </c>
      <c r="BQ287" s="1362">
        <f t="shared" si="164"/>
        <v>0</v>
      </c>
      <c r="BR287" s="1363">
        <f t="shared" si="139"/>
        <v>0</v>
      </c>
      <c r="BT287" s="1414"/>
      <c r="BX287" s="1384"/>
      <c r="BY287" s="1384"/>
      <c r="BZ287" s="1384"/>
      <c r="CA287" s="1384"/>
      <c r="CB287" s="1384"/>
      <c r="CG287" s="1365"/>
      <c r="CH287" s="1366"/>
      <c r="CI287" s="1366"/>
      <c r="CJ287" s="1366"/>
      <c r="CK287" s="1366"/>
      <c r="CL287" s="1365"/>
      <c r="CM287" s="1366"/>
      <c r="CN287" s="1366"/>
      <c r="CO287" s="1366"/>
      <c r="CP287" s="1366"/>
      <c r="CQ287" s="1366"/>
      <c r="CR287" s="1366"/>
      <c r="CS287" s="1366"/>
      <c r="CT287" s="1366"/>
      <c r="CU287" s="1366"/>
      <c r="CV287" s="1366"/>
      <c r="CW287" s="1366"/>
      <c r="CX287" s="1366"/>
      <c r="CY287" s="1366"/>
      <c r="CZ287" s="1366"/>
      <c r="DA287" s="1366"/>
      <c r="DB287" s="1366"/>
      <c r="DC287" s="1366"/>
      <c r="DD287" s="1366"/>
      <c r="DE287" s="1366"/>
      <c r="DF287" s="1366"/>
      <c r="DG287" s="1365"/>
      <c r="DH287" s="1365"/>
      <c r="DI287" s="1365"/>
      <c r="DJ287" s="1365"/>
      <c r="DK287" s="1365"/>
      <c r="DL287" s="1365"/>
      <c r="DM287" s="1366"/>
      <c r="DN287" s="1366"/>
      <c r="DO287" s="1366"/>
      <c r="DP287" s="1366"/>
      <c r="DQ287" s="1366"/>
      <c r="DR287" s="1366"/>
      <c r="DS287" s="1366"/>
      <c r="DT287" s="1366"/>
    </row>
    <row r="288" spans="1:124">
      <c r="A288" s="1118">
        <f t="shared" ca="1" si="130"/>
        <v>10</v>
      </c>
      <c r="B288" s="1890">
        <f t="shared" si="140"/>
        <v>0</v>
      </c>
      <c r="C288" s="2160">
        <f t="shared" si="153"/>
        <v>0</v>
      </c>
      <c r="D288" s="2161">
        <f t="shared" si="154"/>
        <v>0</v>
      </c>
      <c r="E288" s="2162">
        <f t="shared" si="141"/>
        <v>0</v>
      </c>
      <c r="F288" s="2162">
        <f t="shared" si="162"/>
        <v>0</v>
      </c>
      <c r="G288" s="2162">
        <f t="shared" si="163"/>
        <v>0</v>
      </c>
      <c r="H288" s="2162">
        <f t="shared" si="155"/>
        <v>0</v>
      </c>
      <c r="I288" s="2162">
        <f t="shared" si="160"/>
        <v>0</v>
      </c>
      <c r="J288" s="2162">
        <f t="shared" si="131"/>
        <v>0</v>
      </c>
      <c r="K288" s="2162">
        <f t="shared" si="132"/>
        <v>0</v>
      </c>
      <c r="L288" s="2162">
        <f t="shared" si="142"/>
        <v>0</v>
      </c>
      <c r="M288" s="2162">
        <f t="shared" si="133"/>
        <v>0</v>
      </c>
      <c r="N288" s="2162">
        <f t="shared" si="143"/>
        <v>0</v>
      </c>
      <c r="O288" s="2163"/>
      <c r="AG288" s="1756"/>
      <c r="AH288" s="1756"/>
      <c r="AI288" s="1756"/>
      <c r="AJ288" s="1989">
        <f t="shared" si="144"/>
        <v>7</v>
      </c>
      <c r="AK288" s="1900">
        <f t="shared" si="145"/>
        <v>0</v>
      </c>
      <c r="AL288" s="1907"/>
      <c r="AM288" s="1907"/>
      <c r="AN288" s="1901">
        <f t="shared" si="156"/>
        <v>0</v>
      </c>
      <c r="AO288" s="1906">
        <f t="shared" ca="1" si="146"/>
        <v>0</v>
      </c>
      <c r="AU288" s="1903">
        <f t="shared" si="157"/>
        <v>0</v>
      </c>
      <c r="AV288" s="1904">
        <f t="shared" si="147"/>
        <v>0</v>
      </c>
      <c r="AW288" s="1904">
        <f t="shared" si="148"/>
        <v>0</v>
      </c>
      <c r="AX288" s="1904"/>
      <c r="AY288" s="1904"/>
      <c r="AZ288" s="1904"/>
      <c r="BA288" s="1904"/>
      <c r="BB288" s="1897">
        <f t="shared" si="149"/>
        <v>0</v>
      </c>
      <c r="BC288" s="1897">
        <f t="shared" si="134"/>
        <v>0</v>
      </c>
      <c r="BD288" s="1898" t="e">
        <f>HLOOKUP($BD$63,anticipaplus,224,0)</f>
        <v>#N/A</v>
      </c>
      <c r="BE288" s="1899"/>
      <c r="BF288" s="1899"/>
      <c r="BG288" s="1360">
        <f t="shared" si="150"/>
        <v>0</v>
      </c>
      <c r="BH288" s="1361">
        <f t="shared" si="159"/>
        <v>223</v>
      </c>
      <c r="BI288" s="1362">
        <f t="shared" si="151"/>
        <v>0</v>
      </c>
      <c r="BJ288" s="1362">
        <f t="shared" si="135"/>
        <v>0</v>
      </c>
      <c r="BK288" s="1362">
        <f t="shared" si="158"/>
        <v>0</v>
      </c>
      <c r="BL288" s="1363">
        <f t="shared" si="136"/>
        <v>1000000</v>
      </c>
      <c r="BM288" s="1899"/>
      <c r="BN288" s="1361" t="str">
        <f t="shared" si="129"/>
        <v/>
      </c>
      <c r="BO288" s="1362">
        <f t="shared" si="137"/>
        <v>0</v>
      </c>
      <c r="BP288" s="1362">
        <f t="shared" si="138"/>
        <v>0</v>
      </c>
      <c r="BQ288" s="1362">
        <f t="shared" si="164"/>
        <v>0</v>
      </c>
      <c r="BR288" s="1363">
        <f t="shared" si="139"/>
        <v>0</v>
      </c>
      <c r="BT288" s="1414"/>
      <c r="BX288" s="1384"/>
      <c r="BY288" s="1384"/>
      <c r="BZ288" s="1384"/>
      <c r="CA288" s="1384"/>
      <c r="CB288" s="1384"/>
      <c r="CG288" s="1365"/>
      <c r="CH288" s="1366"/>
      <c r="CI288" s="1366"/>
      <c r="CJ288" s="1366"/>
      <c r="CK288" s="1366"/>
      <c r="CL288" s="1365"/>
      <c r="CM288" s="1366"/>
      <c r="CN288" s="1366"/>
      <c r="CO288" s="1366"/>
      <c r="CP288" s="1366"/>
      <c r="CQ288" s="1366"/>
      <c r="CR288" s="1366"/>
      <c r="CS288" s="1366"/>
      <c r="CT288" s="1366"/>
      <c r="CU288" s="1366"/>
      <c r="CV288" s="1366"/>
      <c r="CW288" s="1366"/>
      <c r="CX288" s="1366"/>
      <c r="CY288" s="1366"/>
      <c r="CZ288" s="1366"/>
      <c r="DA288" s="1366"/>
      <c r="DB288" s="1366"/>
      <c r="DC288" s="1366"/>
      <c r="DD288" s="1366"/>
      <c r="DE288" s="1366"/>
      <c r="DF288" s="1366"/>
      <c r="DG288" s="1365"/>
      <c r="DH288" s="1365"/>
      <c r="DI288" s="1365"/>
      <c r="DJ288" s="1365"/>
      <c r="DK288" s="1365"/>
      <c r="DL288" s="1365"/>
      <c r="DM288" s="1366"/>
      <c r="DN288" s="1366"/>
      <c r="DO288" s="1366"/>
      <c r="DP288" s="1366"/>
      <c r="DQ288" s="1366"/>
      <c r="DR288" s="1366"/>
      <c r="DS288" s="1366"/>
      <c r="DT288" s="1366"/>
    </row>
    <row r="289" spans="1:124">
      <c r="A289" s="1118">
        <f t="shared" ca="1" si="130"/>
        <v>11</v>
      </c>
      <c r="B289" s="1890">
        <f t="shared" si="140"/>
        <v>0</v>
      </c>
      <c r="C289" s="2160">
        <f t="shared" si="153"/>
        <v>0</v>
      </c>
      <c r="D289" s="2161">
        <f t="shared" si="154"/>
        <v>0</v>
      </c>
      <c r="E289" s="2162">
        <f t="shared" si="141"/>
        <v>0</v>
      </c>
      <c r="F289" s="2162">
        <f t="shared" si="162"/>
        <v>0</v>
      </c>
      <c r="G289" s="2162">
        <f t="shared" si="163"/>
        <v>0</v>
      </c>
      <c r="H289" s="2162">
        <f t="shared" si="155"/>
        <v>0</v>
      </c>
      <c r="I289" s="2162">
        <f t="shared" si="160"/>
        <v>0</v>
      </c>
      <c r="J289" s="2162">
        <f t="shared" si="131"/>
        <v>0</v>
      </c>
      <c r="K289" s="2162">
        <f t="shared" si="132"/>
        <v>0</v>
      </c>
      <c r="L289" s="2162">
        <f t="shared" si="142"/>
        <v>0</v>
      </c>
      <c r="M289" s="2162">
        <f t="shared" si="133"/>
        <v>0</v>
      </c>
      <c r="N289" s="2162">
        <f t="shared" si="143"/>
        <v>0</v>
      </c>
      <c r="O289" s="2163"/>
      <c r="AG289" s="1756"/>
      <c r="AH289" s="1756"/>
      <c r="AI289" s="1756"/>
      <c r="AJ289" s="1989">
        <f t="shared" si="144"/>
        <v>8</v>
      </c>
      <c r="AK289" s="1900">
        <f t="shared" si="145"/>
        <v>0</v>
      </c>
      <c r="AL289" s="1907"/>
      <c r="AM289" s="1907"/>
      <c r="AN289" s="1901">
        <f t="shared" si="156"/>
        <v>0</v>
      </c>
      <c r="AO289" s="1906">
        <f t="shared" ca="1" si="146"/>
        <v>0</v>
      </c>
      <c r="AU289" s="1903">
        <f t="shared" si="157"/>
        <v>0</v>
      </c>
      <c r="AV289" s="1904">
        <f t="shared" si="147"/>
        <v>0</v>
      </c>
      <c r="AW289" s="1904">
        <f t="shared" si="148"/>
        <v>0</v>
      </c>
      <c r="AX289" s="1904"/>
      <c r="AY289" s="1904"/>
      <c r="AZ289" s="1904"/>
      <c r="BA289" s="1904"/>
      <c r="BB289" s="1897">
        <f t="shared" si="149"/>
        <v>0</v>
      </c>
      <c r="BC289" s="1897">
        <f t="shared" si="134"/>
        <v>0</v>
      </c>
      <c r="BD289" s="1898" t="e">
        <f>HLOOKUP($BD$63,anticipaplus,225,0)</f>
        <v>#N/A</v>
      </c>
      <c r="BE289" s="1899"/>
      <c r="BF289" s="1899"/>
      <c r="BG289" s="1360">
        <f t="shared" si="150"/>
        <v>0</v>
      </c>
      <c r="BH289" s="1361">
        <f t="shared" si="159"/>
        <v>224</v>
      </c>
      <c r="BI289" s="1362">
        <f t="shared" si="151"/>
        <v>0</v>
      </c>
      <c r="BJ289" s="1362">
        <f t="shared" si="135"/>
        <v>0</v>
      </c>
      <c r="BK289" s="1362">
        <f t="shared" si="158"/>
        <v>0</v>
      </c>
      <c r="BL289" s="1363">
        <f t="shared" si="136"/>
        <v>1000000</v>
      </c>
      <c r="BM289" s="1899"/>
      <c r="BN289" s="1361" t="str">
        <f t="shared" si="129"/>
        <v/>
      </c>
      <c r="BO289" s="1362">
        <f t="shared" si="137"/>
        <v>0</v>
      </c>
      <c r="BP289" s="1362">
        <f t="shared" si="138"/>
        <v>0</v>
      </c>
      <c r="BQ289" s="1362">
        <f t="shared" si="164"/>
        <v>0</v>
      </c>
      <c r="BR289" s="1363">
        <f t="shared" si="139"/>
        <v>0</v>
      </c>
      <c r="BT289" s="1414"/>
      <c r="BX289" s="1384"/>
      <c r="BY289" s="1384"/>
      <c r="BZ289" s="1384"/>
      <c r="CA289" s="1384"/>
      <c r="CB289" s="1384"/>
      <c r="CG289" s="1365"/>
      <c r="CH289" s="1366"/>
      <c r="CI289" s="1366"/>
      <c r="CJ289" s="1366"/>
      <c r="CK289" s="1366"/>
      <c r="CL289" s="1365"/>
      <c r="CM289" s="1366"/>
      <c r="CN289" s="1366"/>
      <c r="CO289" s="1366"/>
      <c r="CP289" s="1366"/>
      <c r="CQ289" s="1366"/>
      <c r="CR289" s="1366"/>
      <c r="CS289" s="1366"/>
      <c r="CT289" s="1366"/>
      <c r="CU289" s="1366"/>
      <c r="CV289" s="1366"/>
      <c r="CW289" s="1366"/>
      <c r="CX289" s="1366"/>
      <c r="CY289" s="1366"/>
      <c r="CZ289" s="1366"/>
      <c r="DA289" s="1366"/>
      <c r="DB289" s="1366"/>
      <c r="DC289" s="1366"/>
      <c r="DD289" s="1366"/>
      <c r="DE289" s="1366"/>
      <c r="DF289" s="1366"/>
      <c r="DG289" s="1365"/>
      <c r="DH289" s="1365"/>
      <c r="DI289" s="1365"/>
      <c r="DJ289" s="1365"/>
      <c r="DK289" s="1365"/>
      <c r="DL289" s="1365"/>
      <c r="DM289" s="1366"/>
      <c r="DN289" s="1366"/>
      <c r="DO289" s="1366"/>
      <c r="DP289" s="1366"/>
      <c r="DQ289" s="1366"/>
      <c r="DR289" s="1366"/>
      <c r="DS289" s="1366"/>
      <c r="DT289" s="1366"/>
    </row>
    <row r="290" spans="1:124">
      <c r="A290" s="1118">
        <f t="shared" ca="1" si="130"/>
        <v>12</v>
      </c>
      <c r="B290" s="1890">
        <f t="shared" si="140"/>
        <v>0</v>
      </c>
      <c r="C290" s="2160">
        <f t="shared" si="153"/>
        <v>0</v>
      </c>
      <c r="D290" s="2161">
        <f t="shared" si="154"/>
        <v>0</v>
      </c>
      <c r="E290" s="2162">
        <f t="shared" si="141"/>
        <v>0</v>
      </c>
      <c r="F290" s="2162">
        <f t="shared" si="162"/>
        <v>0</v>
      </c>
      <c r="G290" s="2162">
        <f t="shared" si="163"/>
        <v>0</v>
      </c>
      <c r="H290" s="2162">
        <f t="shared" si="155"/>
        <v>0</v>
      </c>
      <c r="I290" s="2162">
        <f t="shared" si="160"/>
        <v>0</v>
      </c>
      <c r="J290" s="2162">
        <f t="shared" si="131"/>
        <v>0</v>
      </c>
      <c r="K290" s="2162">
        <f t="shared" si="132"/>
        <v>0</v>
      </c>
      <c r="L290" s="2162">
        <f t="shared" si="142"/>
        <v>0</v>
      </c>
      <c r="M290" s="2162">
        <f t="shared" si="133"/>
        <v>0</v>
      </c>
      <c r="N290" s="2162">
        <f t="shared" si="143"/>
        <v>0</v>
      </c>
      <c r="O290" s="2163"/>
      <c r="AG290" s="1756"/>
      <c r="AH290" s="1756"/>
      <c r="AI290" s="1756"/>
      <c r="AJ290" s="1989">
        <f t="shared" si="144"/>
        <v>9</v>
      </c>
      <c r="AK290" s="1900">
        <f t="shared" si="145"/>
        <v>0</v>
      </c>
      <c r="AL290" s="1907"/>
      <c r="AM290" s="1907"/>
      <c r="AN290" s="1901">
        <f t="shared" si="156"/>
        <v>0</v>
      </c>
      <c r="AO290" s="1906">
        <f t="shared" ca="1" si="146"/>
        <v>0</v>
      </c>
      <c r="AU290" s="1903">
        <f t="shared" si="157"/>
        <v>0</v>
      </c>
      <c r="AV290" s="1904">
        <f t="shared" si="147"/>
        <v>0</v>
      </c>
      <c r="AW290" s="1904">
        <f t="shared" si="148"/>
        <v>0</v>
      </c>
      <c r="AX290" s="1904"/>
      <c r="AY290" s="1904"/>
      <c r="AZ290" s="1904"/>
      <c r="BA290" s="1904"/>
      <c r="BB290" s="1897">
        <f t="shared" si="149"/>
        <v>0</v>
      </c>
      <c r="BC290" s="1897">
        <f t="shared" si="134"/>
        <v>0</v>
      </c>
      <c r="BD290" s="1898" t="e">
        <f>HLOOKUP($BD$63,anticipaplus,226,0)</f>
        <v>#N/A</v>
      </c>
      <c r="BE290" s="1899"/>
      <c r="BF290" s="1899"/>
      <c r="BG290" s="1360">
        <f t="shared" si="150"/>
        <v>0</v>
      </c>
      <c r="BH290" s="1361">
        <f t="shared" si="159"/>
        <v>225</v>
      </c>
      <c r="BI290" s="1362">
        <f t="shared" si="151"/>
        <v>0</v>
      </c>
      <c r="BJ290" s="1362">
        <f t="shared" si="135"/>
        <v>0</v>
      </c>
      <c r="BK290" s="1362">
        <f t="shared" si="158"/>
        <v>0</v>
      </c>
      <c r="BL290" s="1363">
        <f t="shared" si="136"/>
        <v>1000000</v>
      </c>
      <c r="BM290" s="1899"/>
      <c r="BN290" s="1361" t="str">
        <f t="shared" si="129"/>
        <v/>
      </c>
      <c r="BO290" s="1362">
        <f t="shared" si="137"/>
        <v>0</v>
      </c>
      <c r="BP290" s="1362">
        <f t="shared" si="138"/>
        <v>0</v>
      </c>
      <c r="BQ290" s="1362">
        <f t="shared" si="164"/>
        <v>0</v>
      </c>
      <c r="BR290" s="1363">
        <f t="shared" si="139"/>
        <v>0</v>
      </c>
      <c r="BT290" s="1414"/>
      <c r="CG290" s="1365"/>
      <c r="CH290" s="1366"/>
      <c r="CI290" s="1366"/>
      <c r="CJ290" s="1366"/>
      <c r="CK290" s="1366"/>
      <c r="CL290" s="1365"/>
      <c r="CM290" s="1366"/>
      <c r="CN290" s="1366"/>
      <c r="CO290" s="1366"/>
      <c r="CP290" s="1366"/>
      <c r="CQ290" s="1366"/>
      <c r="CR290" s="1366"/>
      <c r="CS290" s="1366"/>
      <c r="CT290" s="1366"/>
      <c r="CU290" s="1366"/>
      <c r="CV290" s="1366"/>
      <c r="CW290" s="1366"/>
      <c r="CX290" s="1366"/>
      <c r="CY290" s="1366"/>
      <c r="CZ290" s="1366"/>
      <c r="DA290" s="1366"/>
      <c r="DB290" s="1366"/>
      <c r="DC290" s="1366"/>
      <c r="DD290" s="1366"/>
      <c r="DE290" s="1366"/>
      <c r="DF290" s="1366"/>
      <c r="DG290" s="1365"/>
      <c r="DH290" s="1365"/>
      <c r="DI290" s="1365"/>
      <c r="DJ290" s="1365"/>
      <c r="DK290" s="1365"/>
      <c r="DL290" s="1365"/>
      <c r="DM290" s="1366"/>
      <c r="DN290" s="1366"/>
      <c r="DO290" s="1366"/>
      <c r="DP290" s="1366"/>
      <c r="DQ290" s="1366"/>
      <c r="DR290" s="1366"/>
      <c r="DS290" s="1366"/>
      <c r="DT290" s="1366"/>
    </row>
    <row r="291" spans="1:124">
      <c r="A291" s="1118">
        <f t="shared" ca="1" si="130"/>
        <v>1</v>
      </c>
      <c r="B291" s="1890">
        <f t="shared" si="140"/>
        <v>0</v>
      </c>
      <c r="C291" s="2160">
        <f t="shared" si="153"/>
        <v>0</v>
      </c>
      <c r="D291" s="2161">
        <f t="shared" si="154"/>
        <v>0</v>
      </c>
      <c r="E291" s="2162">
        <f t="shared" si="141"/>
        <v>0</v>
      </c>
      <c r="F291" s="2162">
        <f t="shared" si="162"/>
        <v>0</v>
      </c>
      <c r="G291" s="2162">
        <f t="shared" si="163"/>
        <v>0</v>
      </c>
      <c r="H291" s="2162">
        <f t="shared" si="155"/>
        <v>0</v>
      </c>
      <c r="I291" s="2162">
        <f t="shared" si="160"/>
        <v>0</v>
      </c>
      <c r="J291" s="2162">
        <f t="shared" si="131"/>
        <v>0</v>
      </c>
      <c r="K291" s="2162">
        <f t="shared" si="132"/>
        <v>0</v>
      </c>
      <c r="L291" s="2162">
        <f t="shared" si="142"/>
        <v>0</v>
      </c>
      <c r="M291" s="2162">
        <f t="shared" si="133"/>
        <v>0</v>
      </c>
      <c r="N291" s="2162">
        <f t="shared" si="143"/>
        <v>0</v>
      </c>
      <c r="O291" s="2163"/>
      <c r="AG291" s="1756"/>
      <c r="AH291" s="1756"/>
      <c r="AI291" s="1756"/>
      <c r="AJ291" s="1989">
        <f t="shared" si="144"/>
        <v>10</v>
      </c>
      <c r="AK291" s="1900">
        <f t="shared" si="145"/>
        <v>0</v>
      </c>
      <c r="AL291" s="1907"/>
      <c r="AM291" s="1907"/>
      <c r="AN291" s="1901">
        <f t="shared" si="156"/>
        <v>0</v>
      </c>
      <c r="AO291" s="1906">
        <f t="shared" ca="1" si="146"/>
        <v>0</v>
      </c>
      <c r="AU291" s="1903">
        <f t="shared" si="157"/>
        <v>0</v>
      </c>
      <c r="AV291" s="1904">
        <f t="shared" si="147"/>
        <v>0</v>
      </c>
      <c r="AW291" s="1904">
        <f t="shared" si="148"/>
        <v>0</v>
      </c>
      <c r="AX291" s="1904"/>
      <c r="AY291" s="1904"/>
      <c r="AZ291" s="1904"/>
      <c r="BA291" s="1904"/>
      <c r="BB291" s="1897">
        <f t="shared" si="149"/>
        <v>0</v>
      </c>
      <c r="BC291" s="1897">
        <f t="shared" si="134"/>
        <v>0</v>
      </c>
      <c r="BD291" s="1898" t="e">
        <f>HLOOKUP($BD$63,anticipaplus,227,0)</f>
        <v>#N/A</v>
      </c>
      <c r="BE291" s="1899"/>
      <c r="BF291" s="1899"/>
      <c r="BG291" s="1360">
        <f t="shared" si="150"/>
        <v>0</v>
      </c>
      <c r="BH291" s="1361">
        <f t="shared" si="159"/>
        <v>226</v>
      </c>
      <c r="BI291" s="1362">
        <f t="shared" si="151"/>
        <v>0</v>
      </c>
      <c r="BJ291" s="1362">
        <f t="shared" si="135"/>
        <v>0</v>
      </c>
      <c r="BK291" s="1362">
        <f t="shared" si="158"/>
        <v>0</v>
      </c>
      <c r="BL291" s="1363">
        <f t="shared" si="136"/>
        <v>1000000</v>
      </c>
      <c r="BM291" s="1899"/>
      <c r="BN291" s="1361" t="str">
        <f t="shared" si="129"/>
        <v/>
      </c>
      <c r="BO291" s="1362">
        <f t="shared" si="137"/>
        <v>0</v>
      </c>
      <c r="BP291" s="1362">
        <f t="shared" si="138"/>
        <v>0</v>
      </c>
      <c r="BQ291" s="1362">
        <f t="shared" si="164"/>
        <v>0</v>
      </c>
      <c r="BR291" s="1363">
        <f t="shared" si="139"/>
        <v>0</v>
      </c>
      <c r="BT291" s="1414"/>
      <c r="CG291" s="1365"/>
      <c r="CH291" s="1366"/>
      <c r="CI291" s="1366"/>
      <c r="CJ291" s="1366"/>
      <c r="CK291" s="1366"/>
      <c r="CL291" s="1365"/>
      <c r="CM291" s="1366"/>
      <c r="CN291" s="1366"/>
      <c r="CO291" s="1366"/>
      <c r="CP291" s="1366"/>
      <c r="CQ291" s="1366"/>
      <c r="CR291" s="1366"/>
      <c r="CS291" s="1366"/>
      <c r="CT291" s="1366"/>
      <c r="CU291" s="1366"/>
      <c r="CV291" s="1366"/>
      <c r="CW291" s="1366"/>
      <c r="CX291" s="1366"/>
      <c r="CY291" s="1366"/>
      <c r="CZ291" s="1366"/>
      <c r="DA291" s="1366"/>
      <c r="DB291" s="1366"/>
      <c r="DC291" s="1366"/>
      <c r="DD291" s="1366"/>
      <c r="DE291" s="1366"/>
      <c r="DF291" s="1366"/>
      <c r="DG291" s="1365"/>
      <c r="DH291" s="1365"/>
      <c r="DI291" s="1365"/>
      <c r="DJ291" s="1365"/>
      <c r="DK291" s="1365"/>
      <c r="DL291" s="1365"/>
      <c r="DM291" s="1366"/>
      <c r="DN291" s="1366"/>
      <c r="DO291" s="1366"/>
      <c r="DP291" s="1366"/>
      <c r="DQ291" s="1366"/>
      <c r="DR291" s="1366"/>
      <c r="DS291" s="1366"/>
      <c r="DT291" s="1366"/>
    </row>
    <row r="292" spans="1:124">
      <c r="A292" s="1118">
        <f t="shared" ca="1" si="130"/>
        <v>2</v>
      </c>
      <c r="B292" s="1890">
        <f t="shared" si="140"/>
        <v>0</v>
      </c>
      <c r="C292" s="2160">
        <f t="shared" si="153"/>
        <v>0</v>
      </c>
      <c r="D292" s="2161">
        <f t="shared" si="154"/>
        <v>0</v>
      </c>
      <c r="E292" s="2162">
        <f t="shared" si="141"/>
        <v>0</v>
      </c>
      <c r="F292" s="2162">
        <f t="shared" si="162"/>
        <v>0</v>
      </c>
      <c r="G292" s="2162">
        <f t="shared" si="163"/>
        <v>0</v>
      </c>
      <c r="H292" s="2162">
        <f t="shared" si="155"/>
        <v>0</v>
      </c>
      <c r="I292" s="2162">
        <f t="shared" si="160"/>
        <v>0</v>
      </c>
      <c r="J292" s="2162">
        <f t="shared" si="131"/>
        <v>0</v>
      </c>
      <c r="K292" s="2162">
        <f t="shared" si="132"/>
        <v>0</v>
      </c>
      <c r="L292" s="2162">
        <f t="shared" si="142"/>
        <v>0</v>
      </c>
      <c r="M292" s="2162">
        <f t="shared" si="133"/>
        <v>0</v>
      </c>
      <c r="N292" s="2162">
        <f t="shared" si="143"/>
        <v>0</v>
      </c>
      <c r="O292" s="2163"/>
      <c r="AG292" s="1756"/>
      <c r="AH292" s="1756"/>
      <c r="AI292" s="1756"/>
      <c r="AJ292" s="1989">
        <f t="shared" si="144"/>
        <v>11</v>
      </c>
      <c r="AK292" s="1900">
        <f t="shared" si="145"/>
        <v>0</v>
      </c>
      <c r="AL292" s="1907"/>
      <c r="AM292" s="1907"/>
      <c r="AN292" s="1901">
        <f t="shared" si="156"/>
        <v>0</v>
      </c>
      <c r="AO292" s="1906">
        <f t="shared" ca="1" si="146"/>
        <v>0</v>
      </c>
      <c r="AU292" s="1903">
        <f t="shared" si="157"/>
        <v>0</v>
      </c>
      <c r="AV292" s="1904">
        <f t="shared" si="147"/>
        <v>0</v>
      </c>
      <c r="AW292" s="1904">
        <f t="shared" si="148"/>
        <v>0</v>
      </c>
      <c r="AX292" s="1904"/>
      <c r="AY292" s="1904"/>
      <c r="AZ292" s="1904"/>
      <c r="BA292" s="1904"/>
      <c r="BB292" s="1897">
        <f t="shared" si="149"/>
        <v>0</v>
      </c>
      <c r="BC292" s="1897">
        <f t="shared" si="134"/>
        <v>0</v>
      </c>
      <c r="BD292" s="1898" t="e">
        <f>HLOOKUP($BD$63,anticipaplus,228,0)</f>
        <v>#N/A</v>
      </c>
      <c r="BE292" s="1899"/>
      <c r="BF292" s="1899"/>
      <c r="BG292" s="1360">
        <f t="shared" si="150"/>
        <v>0</v>
      </c>
      <c r="BH292" s="1361">
        <f t="shared" si="159"/>
        <v>227</v>
      </c>
      <c r="BI292" s="1362">
        <f t="shared" si="151"/>
        <v>0</v>
      </c>
      <c r="BJ292" s="1362">
        <f t="shared" si="135"/>
        <v>0</v>
      </c>
      <c r="BK292" s="1362">
        <f t="shared" si="158"/>
        <v>0</v>
      </c>
      <c r="BL292" s="1363">
        <f t="shared" si="136"/>
        <v>1000000</v>
      </c>
      <c r="BM292" s="1899"/>
      <c r="BN292" s="1361" t="str">
        <f t="shared" si="129"/>
        <v/>
      </c>
      <c r="BO292" s="1362">
        <f t="shared" si="137"/>
        <v>0</v>
      </c>
      <c r="BP292" s="1362">
        <f t="shared" si="138"/>
        <v>0</v>
      </c>
      <c r="BQ292" s="1362">
        <f t="shared" si="164"/>
        <v>0</v>
      </c>
      <c r="BR292" s="1363">
        <f t="shared" si="139"/>
        <v>0</v>
      </c>
      <c r="BT292" s="1414"/>
      <c r="CG292" s="1365"/>
      <c r="CH292" s="1366"/>
      <c r="CI292" s="1366"/>
      <c r="CJ292" s="1366"/>
      <c r="CK292" s="1366"/>
      <c r="CL292" s="1365"/>
      <c r="CM292" s="1366"/>
      <c r="CN292" s="1366"/>
      <c r="CO292" s="1366"/>
      <c r="CP292" s="1366"/>
      <c r="CQ292" s="1366"/>
      <c r="CR292" s="1366"/>
      <c r="CS292" s="1366"/>
      <c r="CT292" s="1366"/>
      <c r="CU292" s="1366"/>
      <c r="CV292" s="1366"/>
      <c r="CW292" s="1366"/>
      <c r="CX292" s="1366"/>
      <c r="CY292" s="1366"/>
      <c r="CZ292" s="1366"/>
      <c r="DA292" s="1366"/>
      <c r="DB292" s="1366"/>
      <c r="DC292" s="1366"/>
      <c r="DD292" s="1366"/>
      <c r="DE292" s="1366"/>
      <c r="DF292" s="1366"/>
      <c r="DG292" s="1365"/>
      <c r="DH292" s="1365"/>
      <c r="DI292" s="1365"/>
      <c r="DJ292" s="1365"/>
      <c r="DK292" s="1365"/>
      <c r="DL292" s="1365"/>
      <c r="DM292" s="1366"/>
      <c r="DN292" s="1366"/>
      <c r="DO292" s="1366"/>
      <c r="DP292" s="1366"/>
      <c r="DQ292" s="1366"/>
      <c r="DR292" s="1366"/>
      <c r="DS292" s="1366"/>
      <c r="DT292" s="1366"/>
    </row>
    <row r="293" spans="1:124">
      <c r="A293" s="1118">
        <f t="shared" ca="1" si="130"/>
        <v>3</v>
      </c>
      <c r="B293" s="1890">
        <f t="shared" si="140"/>
        <v>0</v>
      </c>
      <c r="C293" s="2160">
        <f t="shared" si="153"/>
        <v>0</v>
      </c>
      <c r="D293" s="2161">
        <f t="shared" si="154"/>
        <v>0</v>
      </c>
      <c r="E293" s="2162">
        <f t="shared" si="141"/>
        <v>0</v>
      </c>
      <c r="F293" s="2162">
        <f t="shared" si="162"/>
        <v>0</v>
      </c>
      <c r="G293" s="2162">
        <f t="shared" si="163"/>
        <v>0</v>
      </c>
      <c r="H293" s="2162">
        <f t="shared" si="155"/>
        <v>0</v>
      </c>
      <c r="I293" s="2162">
        <f t="shared" si="160"/>
        <v>0</v>
      </c>
      <c r="J293" s="2162">
        <f t="shared" si="131"/>
        <v>0</v>
      </c>
      <c r="K293" s="2162">
        <f t="shared" si="132"/>
        <v>0</v>
      </c>
      <c r="L293" s="2162">
        <f t="shared" si="142"/>
        <v>0</v>
      </c>
      <c r="M293" s="2162">
        <f t="shared" si="133"/>
        <v>0</v>
      </c>
      <c r="N293" s="2162">
        <f t="shared" si="143"/>
        <v>0</v>
      </c>
      <c r="O293" s="2163"/>
      <c r="AG293" s="1756"/>
      <c r="AH293" s="1756"/>
      <c r="AI293" s="1756"/>
      <c r="AJ293" s="1989">
        <f t="shared" si="144"/>
        <v>12</v>
      </c>
      <c r="AK293" s="1900">
        <f t="shared" si="145"/>
        <v>0</v>
      </c>
      <c r="AL293" s="1907"/>
      <c r="AM293" s="1907"/>
      <c r="AN293" s="1901">
        <f t="shared" si="156"/>
        <v>0</v>
      </c>
      <c r="AO293" s="1906">
        <f t="shared" ca="1" si="146"/>
        <v>0</v>
      </c>
      <c r="AU293" s="1903">
        <f t="shared" si="157"/>
        <v>0</v>
      </c>
      <c r="AV293" s="1904">
        <f t="shared" si="147"/>
        <v>0</v>
      </c>
      <c r="AW293" s="1904">
        <f t="shared" si="148"/>
        <v>0</v>
      </c>
      <c r="AX293" s="1904"/>
      <c r="AY293" s="1904"/>
      <c r="AZ293" s="1904"/>
      <c r="BA293" s="1904"/>
      <c r="BB293" s="1897">
        <f t="shared" si="149"/>
        <v>0</v>
      </c>
      <c r="BC293" s="1897">
        <f t="shared" si="134"/>
        <v>0</v>
      </c>
      <c r="BD293" s="1898" t="e">
        <f>HLOOKUP($BD$63,anticipaplus,229,0)</f>
        <v>#N/A</v>
      </c>
      <c r="BE293" s="1899"/>
      <c r="BF293" s="1899"/>
      <c r="BG293" s="1360">
        <f t="shared" si="150"/>
        <v>0</v>
      </c>
      <c r="BH293" s="1361">
        <f t="shared" si="159"/>
        <v>228</v>
      </c>
      <c r="BI293" s="1362">
        <f t="shared" si="151"/>
        <v>0</v>
      </c>
      <c r="BJ293" s="1362">
        <f t="shared" si="135"/>
        <v>0</v>
      </c>
      <c r="BK293" s="1362">
        <f t="shared" si="158"/>
        <v>0</v>
      </c>
      <c r="BL293" s="1363">
        <f t="shared" si="136"/>
        <v>1000000</v>
      </c>
      <c r="BM293" s="1899"/>
      <c r="BN293" s="1361" t="str">
        <f t="shared" si="129"/>
        <v/>
      </c>
      <c r="BO293" s="1362">
        <f t="shared" si="137"/>
        <v>0</v>
      </c>
      <c r="BP293" s="1362">
        <f t="shared" si="138"/>
        <v>0</v>
      </c>
      <c r="BQ293" s="1362">
        <f t="shared" si="164"/>
        <v>0</v>
      </c>
      <c r="BR293" s="1363">
        <f t="shared" si="139"/>
        <v>0</v>
      </c>
      <c r="BT293" s="1414"/>
      <c r="CG293" s="1365"/>
      <c r="CH293" s="1366"/>
      <c r="CI293" s="1366"/>
      <c r="CJ293" s="1366"/>
      <c r="CK293" s="1366"/>
      <c r="CL293" s="1365"/>
      <c r="CM293" s="1366"/>
      <c r="CN293" s="1366"/>
      <c r="CO293" s="1366"/>
      <c r="CP293" s="1366"/>
      <c r="CQ293" s="1366"/>
      <c r="CR293" s="1366"/>
      <c r="CS293" s="1366"/>
      <c r="CT293" s="1366"/>
      <c r="CU293" s="1366"/>
      <c r="CV293" s="1366"/>
      <c r="CW293" s="1366"/>
      <c r="CX293" s="1366"/>
      <c r="CY293" s="1366"/>
      <c r="CZ293" s="1366"/>
      <c r="DA293" s="1366"/>
      <c r="DB293" s="1366"/>
      <c r="DC293" s="1366"/>
      <c r="DD293" s="1366"/>
      <c r="DE293" s="1366"/>
      <c r="DF293" s="1366"/>
      <c r="DG293" s="1365"/>
      <c r="DH293" s="1365"/>
      <c r="DI293" s="1365"/>
      <c r="DJ293" s="1365"/>
      <c r="DK293" s="1365"/>
      <c r="DL293" s="1365"/>
      <c r="DM293" s="1366"/>
      <c r="DN293" s="1366"/>
      <c r="DO293" s="1366"/>
      <c r="DP293" s="1366"/>
      <c r="DQ293" s="1366"/>
      <c r="DR293" s="1366"/>
      <c r="DS293" s="1366"/>
      <c r="DT293" s="1366"/>
    </row>
    <row r="294" spans="1:124">
      <c r="A294" s="1118">
        <f t="shared" ca="1" si="130"/>
        <v>4</v>
      </c>
      <c r="B294" s="1890">
        <f t="shared" si="140"/>
        <v>0</v>
      </c>
      <c r="C294" s="2160">
        <f t="shared" si="153"/>
        <v>0</v>
      </c>
      <c r="D294" s="2161">
        <f t="shared" si="154"/>
        <v>0</v>
      </c>
      <c r="E294" s="2162">
        <f t="shared" si="141"/>
        <v>0</v>
      </c>
      <c r="F294" s="2162">
        <f t="shared" si="162"/>
        <v>0</v>
      </c>
      <c r="G294" s="2162">
        <f t="shared" si="163"/>
        <v>0</v>
      </c>
      <c r="H294" s="2162">
        <f t="shared" si="155"/>
        <v>0</v>
      </c>
      <c r="I294" s="2162">
        <f t="shared" si="160"/>
        <v>0</v>
      </c>
      <c r="J294" s="2162">
        <f t="shared" si="131"/>
        <v>0</v>
      </c>
      <c r="K294" s="2162">
        <f t="shared" si="132"/>
        <v>0</v>
      </c>
      <c r="L294" s="2162">
        <f t="shared" si="142"/>
        <v>0</v>
      </c>
      <c r="M294" s="2162">
        <f t="shared" si="133"/>
        <v>0</v>
      </c>
      <c r="N294" s="2162">
        <f t="shared" si="143"/>
        <v>0</v>
      </c>
      <c r="O294" s="2163"/>
      <c r="AG294" s="1756"/>
      <c r="AH294" s="1756"/>
      <c r="AI294" s="1756"/>
      <c r="AJ294" s="1989">
        <f t="shared" si="144"/>
        <v>1</v>
      </c>
      <c r="AK294" s="1900">
        <f t="shared" si="145"/>
        <v>0</v>
      </c>
      <c r="AL294" s="1907"/>
      <c r="AM294" s="1907"/>
      <c r="AN294" s="1901">
        <f t="shared" si="156"/>
        <v>0</v>
      </c>
      <c r="AO294" s="1906">
        <f t="shared" ca="1" si="146"/>
        <v>0</v>
      </c>
      <c r="AU294" s="1903">
        <f t="shared" si="157"/>
        <v>0</v>
      </c>
      <c r="AV294" s="1904">
        <f t="shared" si="147"/>
        <v>0</v>
      </c>
      <c r="AW294" s="1904">
        <f t="shared" si="148"/>
        <v>0</v>
      </c>
      <c r="AX294" s="1904"/>
      <c r="AY294" s="1904"/>
      <c r="AZ294" s="1904"/>
      <c r="BA294" s="1904"/>
      <c r="BB294" s="1897">
        <f t="shared" si="149"/>
        <v>0</v>
      </c>
      <c r="BC294" s="1897">
        <f t="shared" si="134"/>
        <v>0</v>
      </c>
      <c r="BD294" s="1898" t="e">
        <f>HLOOKUP($BD$63,anticipaplus,230,0)</f>
        <v>#N/A</v>
      </c>
      <c r="BE294" s="1899"/>
      <c r="BF294" s="1899"/>
      <c r="BG294" s="1360">
        <f t="shared" si="150"/>
        <v>0</v>
      </c>
      <c r="BH294" s="1377">
        <f t="shared" si="159"/>
        <v>229</v>
      </c>
      <c r="BI294" s="1378">
        <f t="shared" si="151"/>
        <v>0</v>
      </c>
      <c r="BJ294" s="1378">
        <f t="shared" si="135"/>
        <v>0</v>
      </c>
      <c r="BK294" s="1378">
        <f>MIN(BL293+BI294,BK293*(1+$BI$61))</f>
        <v>0</v>
      </c>
      <c r="BL294" s="1363">
        <f t="shared" si="136"/>
        <v>1000000</v>
      </c>
      <c r="BM294" s="1899"/>
      <c r="BN294" s="1379" t="str">
        <f t="shared" si="129"/>
        <v/>
      </c>
      <c r="BO294" s="1380">
        <f t="shared" si="137"/>
        <v>0</v>
      </c>
      <c r="BP294" s="1380">
        <f t="shared" si="138"/>
        <v>0</v>
      </c>
      <c r="BQ294" s="1380">
        <f>MIN(BR293+BO294,BQ293*(1+$BO$61))</f>
        <v>0</v>
      </c>
      <c r="BR294" s="1363">
        <f t="shared" si="139"/>
        <v>0</v>
      </c>
      <c r="BT294" s="1414"/>
      <c r="CG294" s="1365"/>
      <c r="CH294" s="1366"/>
      <c r="CI294" s="1366"/>
      <c r="CJ294" s="1366"/>
      <c r="CK294" s="1366"/>
      <c r="CL294" s="1365"/>
      <c r="CM294" s="1366"/>
      <c r="CN294" s="1366"/>
      <c r="CO294" s="1366"/>
      <c r="CP294" s="1366"/>
      <c r="CQ294" s="1366"/>
      <c r="CR294" s="1366"/>
      <c r="CS294" s="1366"/>
      <c r="CT294" s="1366"/>
      <c r="CU294" s="1366"/>
      <c r="CV294" s="1366"/>
      <c r="CW294" s="1366"/>
      <c r="CX294" s="1366"/>
      <c r="CY294" s="1366"/>
      <c r="CZ294" s="1366"/>
      <c r="DA294" s="1366"/>
      <c r="DB294" s="1366"/>
      <c r="DC294" s="1366"/>
      <c r="DD294" s="1366"/>
      <c r="DE294" s="1366"/>
      <c r="DF294" s="1366"/>
      <c r="DG294" s="1365"/>
      <c r="DH294" s="1365"/>
      <c r="DI294" s="1365"/>
      <c r="DJ294" s="1365"/>
      <c r="DK294" s="1365"/>
      <c r="DL294" s="1365"/>
      <c r="DM294" s="1366"/>
      <c r="DN294" s="1366"/>
      <c r="DO294" s="1366"/>
      <c r="DP294" s="1366"/>
      <c r="DQ294" s="1366"/>
      <c r="DR294" s="1366"/>
      <c r="DS294" s="1366"/>
      <c r="DT294" s="1366"/>
    </row>
    <row r="295" spans="1:124">
      <c r="A295" s="1118">
        <f t="shared" ca="1" si="130"/>
        <v>5</v>
      </c>
      <c r="B295" s="1890">
        <f t="shared" si="140"/>
        <v>0</v>
      </c>
      <c r="C295" s="2160">
        <f t="shared" si="153"/>
        <v>0</v>
      </c>
      <c r="D295" s="2161">
        <f t="shared" si="154"/>
        <v>0</v>
      </c>
      <c r="E295" s="2162">
        <f t="shared" si="141"/>
        <v>0</v>
      </c>
      <c r="F295" s="2162">
        <f t="shared" si="162"/>
        <v>0</v>
      </c>
      <c r="G295" s="2162">
        <f t="shared" si="163"/>
        <v>0</v>
      </c>
      <c r="H295" s="2162">
        <f t="shared" si="155"/>
        <v>0</v>
      </c>
      <c r="I295" s="2162">
        <f t="shared" si="160"/>
        <v>0</v>
      </c>
      <c r="J295" s="2162">
        <f t="shared" si="131"/>
        <v>0</v>
      </c>
      <c r="K295" s="2162">
        <f t="shared" si="132"/>
        <v>0</v>
      </c>
      <c r="L295" s="2162">
        <f t="shared" si="142"/>
        <v>0</v>
      </c>
      <c r="M295" s="2162">
        <f t="shared" si="133"/>
        <v>0</v>
      </c>
      <c r="N295" s="2162">
        <f t="shared" si="143"/>
        <v>0</v>
      </c>
      <c r="O295" s="2163"/>
      <c r="AG295" s="1756"/>
      <c r="AH295" s="1756"/>
      <c r="AI295" s="1756"/>
      <c r="AJ295" s="1989">
        <f t="shared" si="144"/>
        <v>2</v>
      </c>
      <c r="AK295" s="1900">
        <f t="shared" si="145"/>
        <v>0</v>
      </c>
      <c r="AL295" s="1907"/>
      <c r="AM295" s="1907"/>
      <c r="AN295" s="1901">
        <f t="shared" si="156"/>
        <v>0</v>
      </c>
      <c r="AO295" s="1906">
        <f t="shared" ca="1" si="146"/>
        <v>0</v>
      </c>
      <c r="AU295" s="1903">
        <f t="shared" si="157"/>
        <v>0</v>
      </c>
      <c r="AV295" s="1904">
        <f t="shared" si="147"/>
        <v>0</v>
      </c>
      <c r="AW295" s="1904">
        <f t="shared" si="148"/>
        <v>0</v>
      </c>
      <c r="AX295" s="1904"/>
      <c r="AY295" s="1904"/>
      <c r="AZ295" s="1904"/>
      <c r="BA295" s="1904"/>
      <c r="BB295" s="1897">
        <f t="shared" si="149"/>
        <v>0</v>
      </c>
      <c r="BC295" s="1897">
        <f t="shared" si="134"/>
        <v>0</v>
      </c>
      <c r="BD295" s="1898" t="e">
        <f>HLOOKUP($BD$63,anticipaplus,231,0)</f>
        <v>#N/A</v>
      </c>
      <c r="BE295" s="1899"/>
      <c r="BF295" s="1899"/>
      <c r="BG295" s="1360">
        <f t="shared" si="150"/>
        <v>0</v>
      </c>
      <c r="BH295" s="1361">
        <f t="shared" si="159"/>
        <v>230</v>
      </c>
      <c r="BI295" s="1362">
        <f t="shared" si="151"/>
        <v>0</v>
      </c>
      <c r="BJ295" s="1362">
        <f t="shared" si="135"/>
        <v>0</v>
      </c>
      <c r="BK295" s="1362">
        <f t="shared" si="158"/>
        <v>0</v>
      </c>
      <c r="BL295" s="1363">
        <f t="shared" si="136"/>
        <v>1000000</v>
      </c>
      <c r="BM295" s="1899"/>
      <c r="BN295" s="1361" t="str">
        <f t="shared" si="129"/>
        <v/>
      </c>
      <c r="BO295" s="1362">
        <f t="shared" si="137"/>
        <v>0</v>
      </c>
      <c r="BP295" s="1362">
        <f t="shared" si="138"/>
        <v>0</v>
      </c>
      <c r="BQ295" s="1362">
        <f t="shared" ref="BQ295:BQ305" si="165">MIN(BR294+BO295,BQ294)</f>
        <v>0</v>
      </c>
      <c r="BR295" s="1363">
        <f t="shared" si="139"/>
        <v>0</v>
      </c>
      <c r="BT295" s="1414"/>
      <c r="CG295" s="1365"/>
      <c r="CH295" s="1366"/>
      <c r="CI295" s="1366"/>
      <c r="CJ295" s="1366"/>
      <c r="CK295" s="1366"/>
      <c r="CL295" s="1365"/>
      <c r="CM295" s="1366"/>
      <c r="CN295" s="1366"/>
      <c r="CO295" s="1366"/>
      <c r="CP295" s="1366"/>
      <c r="CQ295" s="1366"/>
      <c r="CR295" s="1366"/>
      <c r="CS295" s="1366"/>
      <c r="CT295" s="1366"/>
      <c r="CU295" s="1366"/>
      <c r="CV295" s="1366"/>
      <c r="CW295" s="1366"/>
      <c r="CX295" s="1366"/>
      <c r="CY295" s="1366"/>
      <c r="CZ295" s="1366"/>
      <c r="DA295" s="1366"/>
      <c r="DB295" s="1366"/>
      <c r="DC295" s="1366"/>
      <c r="DD295" s="1366"/>
      <c r="DE295" s="1366"/>
      <c r="DF295" s="1366"/>
      <c r="DG295" s="1365"/>
      <c r="DH295" s="1365"/>
      <c r="DI295" s="1365"/>
      <c r="DJ295" s="1365"/>
      <c r="DK295" s="1365"/>
      <c r="DL295" s="1365"/>
      <c r="DM295" s="1366"/>
      <c r="DN295" s="1366"/>
      <c r="DO295" s="1366"/>
      <c r="DP295" s="1366"/>
      <c r="DQ295" s="1366"/>
      <c r="DR295" s="1366"/>
      <c r="DS295" s="1366"/>
      <c r="DT295" s="1366"/>
    </row>
    <row r="296" spans="1:124">
      <c r="A296" s="1118">
        <f t="shared" ca="1" si="130"/>
        <v>6</v>
      </c>
      <c r="B296" s="1890">
        <f t="shared" si="140"/>
        <v>0</v>
      </c>
      <c r="C296" s="2160">
        <f t="shared" si="153"/>
        <v>0</v>
      </c>
      <c r="D296" s="2161">
        <f t="shared" si="154"/>
        <v>0</v>
      </c>
      <c r="E296" s="2162">
        <f t="shared" si="141"/>
        <v>0</v>
      </c>
      <c r="F296" s="2162">
        <f t="shared" si="162"/>
        <v>0</v>
      </c>
      <c r="G296" s="2162">
        <f t="shared" si="163"/>
        <v>0</v>
      </c>
      <c r="H296" s="2162">
        <f t="shared" si="155"/>
        <v>0</v>
      </c>
      <c r="I296" s="2162">
        <f t="shared" si="160"/>
        <v>0</v>
      </c>
      <c r="J296" s="2162">
        <f t="shared" si="131"/>
        <v>0</v>
      </c>
      <c r="K296" s="2162">
        <f t="shared" si="132"/>
        <v>0</v>
      </c>
      <c r="L296" s="2162">
        <f t="shared" si="142"/>
        <v>0</v>
      </c>
      <c r="M296" s="2162">
        <f t="shared" si="133"/>
        <v>0</v>
      </c>
      <c r="N296" s="2162">
        <f t="shared" si="143"/>
        <v>0</v>
      </c>
      <c r="O296" s="2163"/>
      <c r="AG296" s="1756"/>
      <c r="AH296" s="1756"/>
      <c r="AI296" s="1756"/>
      <c r="AJ296" s="1989">
        <f t="shared" si="144"/>
        <v>3</v>
      </c>
      <c r="AK296" s="1900">
        <f t="shared" si="145"/>
        <v>0</v>
      </c>
      <c r="AL296" s="1907"/>
      <c r="AM296" s="1907"/>
      <c r="AN296" s="1901">
        <f t="shared" si="156"/>
        <v>0</v>
      </c>
      <c r="AO296" s="1906">
        <f t="shared" ca="1" si="146"/>
        <v>0</v>
      </c>
      <c r="AU296" s="1903">
        <f t="shared" si="157"/>
        <v>0</v>
      </c>
      <c r="AV296" s="1904">
        <f t="shared" si="147"/>
        <v>0</v>
      </c>
      <c r="AW296" s="1904">
        <f t="shared" si="148"/>
        <v>0</v>
      </c>
      <c r="AX296" s="1904"/>
      <c r="AY296" s="1904"/>
      <c r="AZ296" s="1904"/>
      <c r="BA296" s="1904"/>
      <c r="BB296" s="1897">
        <f t="shared" si="149"/>
        <v>0</v>
      </c>
      <c r="BC296" s="1897">
        <f t="shared" si="134"/>
        <v>0</v>
      </c>
      <c r="BD296" s="1898" t="e">
        <f>HLOOKUP($BD$63,anticipaplus,232,0)</f>
        <v>#N/A</v>
      </c>
      <c r="BE296" s="1899"/>
      <c r="BF296" s="1899"/>
      <c r="BG296" s="1360">
        <f t="shared" si="150"/>
        <v>0</v>
      </c>
      <c r="BH296" s="1361">
        <f t="shared" si="159"/>
        <v>231</v>
      </c>
      <c r="BI296" s="1362">
        <f t="shared" si="151"/>
        <v>0</v>
      </c>
      <c r="BJ296" s="1362">
        <f t="shared" si="135"/>
        <v>0</v>
      </c>
      <c r="BK296" s="1362">
        <f t="shared" si="158"/>
        <v>0</v>
      </c>
      <c r="BL296" s="1363">
        <f t="shared" si="136"/>
        <v>1000000</v>
      </c>
      <c r="BM296" s="1899"/>
      <c r="BN296" s="1361" t="str">
        <f t="shared" si="129"/>
        <v/>
      </c>
      <c r="BO296" s="1362">
        <f t="shared" si="137"/>
        <v>0</v>
      </c>
      <c r="BP296" s="1362">
        <f t="shared" si="138"/>
        <v>0</v>
      </c>
      <c r="BQ296" s="1362">
        <f t="shared" si="165"/>
        <v>0</v>
      </c>
      <c r="BR296" s="1363">
        <f t="shared" si="139"/>
        <v>0</v>
      </c>
      <c r="BT296" s="1414"/>
      <c r="CG296" s="1365"/>
      <c r="CH296" s="1366"/>
      <c r="CI296" s="1366"/>
      <c r="CJ296" s="1366"/>
      <c r="CK296" s="1366"/>
      <c r="CL296" s="1365"/>
      <c r="CM296" s="1366"/>
      <c r="CN296" s="1366"/>
      <c r="CO296" s="1366"/>
      <c r="CP296" s="1366"/>
      <c r="CQ296" s="1366"/>
      <c r="CR296" s="1366"/>
      <c r="CS296" s="1366"/>
      <c r="CT296" s="1366"/>
      <c r="CU296" s="1366"/>
      <c r="CV296" s="1366"/>
      <c r="CW296" s="1366"/>
      <c r="CX296" s="1366"/>
      <c r="CY296" s="1366"/>
      <c r="CZ296" s="1366"/>
      <c r="DA296" s="1366"/>
      <c r="DB296" s="1366"/>
      <c r="DC296" s="1366"/>
      <c r="DD296" s="1366"/>
      <c r="DE296" s="1366"/>
      <c r="DF296" s="1366"/>
      <c r="DG296" s="1365"/>
      <c r="DH296" s="1365"/>
      <c r="DI296" s="1365"/>
      <c r="DJ296" s="1365"/>
      <c r="DK296" s="1365"/>
      <c r="DL296" s="1365"/>
      <c r="DM296" s="1366"/>
      <c r="DN296" s="1366"/>
      <c r="DO296" s="1366"/>
      <c r="DP296" s="1366"/>
      <c r="DQ296" s="1366"/>
      <c r="DR296" s="1366"/>
      <c r="DS296" s="1366"/>
      <c r="DT296" s="1366"/>
    </row>
    <row r="297" spans="1:124">
      <c r="A297" s="1118">
        <f t="shared" ca="1" si="130"/>
        <v>7</v>
      </c>
      <c r="B297" s="1890">
        <f t="shared" si="140"/>
        <v>0</v>
      </c>
      <c r="C297" s="2160">
        <f t="shared" si="153"/>
        <v>0</v>
      </c>
      <c r="D297" s="2161">
        <f t="shared" si="154"/>
        <v>0</v>
      </c>
      <c r="E297" s="2162">
        <f t="shared" si="141"/>
        <v>0</v>
      </c>
      <c r="F297" s="2162">
        <f t="shared" si="162"/>
        <v>0</v>
      </c>
      <c r="G297" s="2162">
        <f t="shared" si="163"/>
        <v>0</v>
      </c>
      <c r="H297" s="2162">
        <f t="shared" si="155"/>
        <v>0</v>
      </c>
      <c r="I297" s="2162">
        <f t="shared" si="160"/>
        <v>0</v>
      </c>
      <c r="J297" s="2162">
        <f t="shared" si="131"/>
        <v>0</v>
      </c>
      <c r="K297" s="2162">
        <f t="shared" si="132"/>
        <v>0</v>
      </c>
      <c r="L297" s="2162">
        <f t="shared" si="142"/>
        <v>0</v>
      </c>
      <c r="M297" s="2162">
        <f t="shared" si="133"/>
        <v>0</v>
      </c>
      <c r="N297" s="2162">
        <f t="shared" si="143"/>
        <v>0</v>
      </c>
      <c r="O297" s="2163"/>
      <c r="AG297" s="1756"/>
      <c r="AH297" s="1756"/>
      <c r="AI297" s="1756"/>
      <c r="AJ297" s="1989">
        <f t="shared" si="144"/>
        <v>4</v>
      </c>
      <c r="AK297" s="1900">
        <f t="shared" si="145"/>
        <v>0</v>
      </c>
      <c r="AL297" s="1907"/>
      <c r="AM297" s="1907"/>
      <c r="AN297" s="1901">
        <f t="shared" si="156"/>
        <v>0</v>
      </c>
      <c r="AO297" s="1906">
        <f t="shared" ca="1" si="146"/>
        <v>0</v>
      </c>
      <c r="AU297" s="1903">
        <f t="shared" si="157"/>
        <v>0</v>
      </c>
      <c r="AV297" s="1904">
        <f t="shared" si="147"/>
        <v>0</v>
      </c>
      <c r="AW297" s="1904">
        <f t="shared" si="148"/>
        <v>0</v>
      </c>
      <c r="AX297" s="1904"/>
      <c r="AY297" s="1904"/>
      <c r="AZ297" s="1904"/>
      <c r="BA297" s="1904"/>
      <c r="BB297" s="1897">
        <f t="shared" si="149"/>
        <v>0</v>
      </c>
      <c r="BC297" s="1897">
        <f t="shared" si="134"/>
        <v>0</v>
      </c>
      <c r="BD297" s="1898" t="e">
        <f>HLOOKUP($BD$63,anticipaplus,233,0)</f>
        <v>#N/A</v>
      </c>
      <c r="BE297" s="1899"/>
      <c r="BF297" s="1899"/>
      <c r="BG297" s="1360">
        <f t="shared" si="150"/>
        <v>0</v>
      </c>
      <c r="BH297" s="1361">
        <f t="shared" si="159"/>
        <v>232</v>
      </c>
      <c r="BI297" s="1362">
        <f t="shared" si="151"/>
        <v>0</v>
      </c>
      <c r="BJ297" s="1362">
        <f t="shared" si="135"/>
        <v>0</v>
      </c>
      <c r="BK297" s="1362">
        <f t="shared" si="158"/>
        <v>0</v>
      </c>
      <c r="BL297" s="1363">
        <f t="shared" si="136"/>
        <v>1000000</v>
      </c>
      <c r="BM297" s="1899"/>
      <c r="BN297" s="1361" t="str">
        <f t="shared" si="129"/>
        <v/>
      </c>
      <c r="BO297" s="1362">
        <f t="shared" si="137"/>
        <v>0</v>
      </c>
      <c r="BP297" s="1362">
        <f t="shared" si="138"/>
        <v>0</v>
      </c>
      <c r="BQ297" s="1362">
        <f t="shared" si="165"/>
        <v>0</v>
      </c>
      <c r="BR297" s="1363">
        <f t="shared" si="139"/>
        <v>0</v>
      </c>
      <c r="BT297" s="1414"/>
      <c r="CG297" s="1365"/>
      <c r="CH297" s="1366"/>
      <c r="CI297" s="1366"/>
      <c r="CJ297" s="1366"/>
      <c r="CK297" s="1366"/>
      <c r="CL297" s="1365"/>
      <c r="CM297" s="1366"/>
      <c r="CN297" s="1366"/>
      <c r="CO297" s="1366"/>
      <c r="CP297" s="1366"/>
      <c r="CQ297" s="1366"/>
      <c r="CR297" s="1366"/>
      <c r="CS297" s="1366"/>
      <c r="CT297" s="1366"/>
      <c r="CU297" s="1366"/>
      <c r="CV297" s="1366"/>
      <c r="CW297" s="1366"/>
      <c r="CX297" s="1366"/>
      <c r="CY297" s="1366"/>
      <c r="CZ297" s="1366"/>
      <c r="DA297" s="1366"/>
      <c r="DB297" s="1366"/>
      <c r="DC297" s="1366"/>
      <c r="DD297" s="1366"/>
      <c r="DE297" s="1366"/>
      <c r="DF297" s="1366"/>
      <c r="DG297" s="1365"/>
      <c r="DH297" s="1365"/>
      <c r="DI297" s="1365"/>
      <c r="DJ297" s="1365"/>
      <c r="DK297" s="1365"/>
      <c r="DL297" s="1365"/>
      <c r="DM297" s="1366"/>
      <c r="DN297" s="1366"/>
      <c r="DO297" s="1366"/>
      <c r="DP297" s="1366"/>
      <c r="DQ297" s="1366"/>
      <c r="DR297" s="1366"/>
      <c r="DS297" s="1366"/>
      <c r="DT297" s="1366"/>
    </row>
    <row r="298" spans="1:124">
      <c r="A298" s="1118">
        <f t="shared" ca="1" si="130"/>
        <v>8</v>
      </c>
      <c r="B298" s="1890">
        <f t="shared" si="140"/>
        <v>0</v>
      </c>
      <c r="C298" s="2160">
        <f t="shared" si="153"/>
        <v>0</v>
      </c>
      <c r="D298" s="2161">
        <f t="shared" si="154"/>
        <v>0</v>
      </c>
      <c r="E298" s="2162">
        <f t="shared" si="141"/>
        <v>0</v>
      </c>
      <c r="F298" s="2162">
        <f t="shared" si="162"/>
        <v>0</v>
      </c>
      <c r="G298" s="2162">
        <f t="shared" si="163"/>
        <v>0</v>
      </c>
      <c r="H298" s="2162">
        <f t="shared" si="155"/>
        <v>0</v>
      </c>
      <c r="I298" s="2162">
        <f t="shared" si="160"/>
        <v>0</v>
      </c>
      <c r="J298" s="2162">
        <f t="shared" si="131"/>
        <v>0</v>
      </c>
      <c r="K298" s="2162">
        <f t="shared" si="132"/>
        <v>0</v>
      </c>
      <c r="L298" s="2162">
        <f t="shared" si="142"/>
        <v>0</v>
      </c>
      <c r="M298" s="2162">
        <f t="shared" si="133"/>
        <v>0</v>
      </c>
      <c r="N298" s="2162">
        <f t="shared" si="143"/>
        <v>0</v>
      </c>
      <c r="O298" s="2163"/>
      <c r="AG298" s="1756"/>
      <c r="AH298" s="1756"/>
      <c r="AI298" s="1756"/>
      <c r="AJ298" s="1989">
        <f t="shared" si="144"/>
        <v>5</v>
      </c>
      <c r="AK298" s="1900">
        <f t="shared" si="145"/>
        <v>0</v>
      </c>
      <c r="AL298" s="1907"/>
      <c r="AM298" s="1907"/>
      <c r="AN298" s="1901">
        <f t="shared" si="156"/>
        <v>0</v>
      </c>
      <c r="AO298" s="1906">
        <f t="shared" ca="1" si="146"/>
        <v>0</v>
      </c>
      <c r="AU298" s="1903">
        <f t="shared" si="157"/>
        <v>0</v>
      </c>
      <c r="AV298" s="1904">
        <f t="shared" si="147"/>
        <v>0</v>
      </c>
      <c r="AW298" s="1904">
        <f t="shared" si="148"/>
        <v>0</v>
      </c>
      <c r="AX298" s="1904"/>
      <c r="AY298" s="1904"/>
      <c r="AZ298" s="1904"/>
      <c r="BA298" s="1904"/>
      <c r="BB298" s="1897">
        <f t="shared" si="149"/>
        <v>0</v>
      </c>
      <c r="BC298" s="1897">
        <f t="shared" si="134"/>
        <v>0</v>
      </c>
      <c r="BD298" s="1898" t="e">
        <f>HLOOKUP($BD$63,anticipaplus,234,0)</f>
        <v>#N/A</v>
      </c>
      <c r="BE298" s="1899"/>
      <c r="BF298" s="1899"/>
      <c r="BG298" s="1360">
        <f t="shared" si="150"/>
        <v>0</v>
      </c>
      <c r="BH298" s="1361">
        <f t="shared" si="159"/>
        <v>233</v>
      </c>
      <c r="BI298" s="1362">
        <f t="shared" si="151"/>
        <v>0</v>
      </c>
      <c r="BJ298" s="1362">
        <f t="shared" si="135"/>
        <v>0</v>
      </c>
      <c r="BK298" s="1362">
        <f t="shared" si="158"/>
        <v>0</v>
      </c>
      <c r="BL298" s="1363">
        <f t="shared" si="136"/>
        <v>1000000</v>
      </c>
      <c r="BM298" s="1899"/>
      <c r="BN298" s="1361" t="str">
        <f t="shared" si="129"/>
        <v/>
      </c>
      <c r="BO298" s="1362">
        <f t="shared" si="137"/>
        <v>0</v>
      </c>
      <c r="BP298" s="1362">
        <f t="shared" si="138"/>
        <v>0</v>
      </c>
      <c r="BQ298" s="1362">
        <f t="shared" si="165"/>
        <v>0</v>
      </c>
      <c r="BR298" s="1363">
        <f t="shared" si="139"/>
        <v>0</v>
      </c>
      <c r="BT298" s="1414"/>
      <c r="CG298" s="1365"/>
      <c r="CH298" s="1366"/>
      <c r="CI298" s="1366"/>
      <c r="CJ298" s="1366"/>
      <c r="CK298" s="1366"/>
      <c r="CL298" s="1365"/>
      <c r="CM298" s="1366"/>
      <c r="CN298" s="1366"/>
      <c r="CO298" s="1366"/>
      <c r="CP298" s="1366"/>
      <c r="CQ298" s="1366"/>
      <c r="CR298" s="1366"/>
      <c r="CS298" s="1366"/>
      <c r="CT298" s="1366"/>
      <c r="CU298" s="1366"/>
      <c r="CV298" s="1366"/>
      <c r="CW298" s="1366"/>
      <c r="CX298" s="1366"/>
      <c r="CY298" s="1366"/>
      <c r="CZ298" s="1366"/>
      <c r="DA298" s="1366"/>
      <c r="DB298" s="1366"/>
      <c r="DC298" s="1366"/>
      <c r="DD298" s="1366"/>
      <c r="DE298" s="1366"/>
      <c r="DF298" s="1366"/>
      <c r="DG298" s="1365"/>
      <c r="DH298" s="1365"/>
      <c r="DI298" s="1365"/>
      <c r="DJ298" s="1365"/>
      <c r="DK298" s="1365"/>
      <c r="DL298" s="1365"/>
      <c r="DM298" s="1366"/>
      <c r="DN298" s="1366"/>
      <c r="DO298" s="1366"/>
      <c r="DP298" s="1366"/>
      <c r="DQ298" s="1366"/>
      <c r="DR298" s="1366"/>
      <c r="DS298" s="1366"/>
      <c r="DT298" s="1366"/>
    </row>
    <row r="299" spans="1:124">
      <c r="A299" s="1118">
        <f t="shared" ca="1" si="130"/>
        <v>9</v>
      </c>
      <c r="B299" s="1890">
        <f t="shared" si="140"/>
        <v>0</v>
      </c>
      <c r="C299" s="2160">
        <f t="shared" si="153"/>
        <v>0</v>
      </c>
      <c r="D299" s="2161">
        <f t="shared" si="154"/>
        <v>0</v>
      </c>
      <c r="E299" s="2162">
        <f t="shared" si="141"/>
        <v>0</v>
      </c>
      <c r="F299" s="2162">
        <f t="shared" si="162"/>
        <v>0</v>
      </c>
      <c r="G299" s="2162">
        <f t="shared" si="163"/>
        <v>0</v>
      </c>
      <c r="H299" s="2162">
        <f t="shared" si="155"/>
        <v>0</v>
      </c>
      <c r="I299" s="2162">
        <f t="shared" si="160"/>
        <v>0</v>
      </c>
      <c r="J299" s="2162">
        <f t="shared" si="131"/>
        <v>0</v>
      </c>
      <c r="K299" s="2162">
        <f t="shared" si="132"/>
        <v>0</v>
      </c>
      <c r="L299" s="2162">
        <f t="shared" si="142"/>
        <v>0</v>
      </c>
      <c r="M299" s="2162">
        <f t="shared" si="133"/>
        <v>0</v>
      </c>
      <c r="N299" s="2162">
        <f t="shared" si="143"/>
        <v>0</v>
      </c>
      <c r="O299" s="2163"/>
      <c r="AG299" s="1756"/>
      <c r="AH299" s="1756"/>
      <c r="AI299" s="1756"/>
      <c r="AJ299" s="1989">
        <f t="shared" si="144"/>
        <v>6</v>
      </c>
      <c r="AK299" s="1900">
        <f t="shared" si="145"/>
        <v>0</v>
      </c>
      <c r="AL299" s="1907"/>
      <c r="AM299" s="1907"/>
      <c r="AN299" s="1901">
        <f t="shared" si="156"/>
        <v>0</v>
      </c>
      <c r="AO299" s="1906">
        <f t="shared" ca="1" si="146"/>
        <v>0</v>
      </c>
      <c r="AU299" s="1903">
        <f t="shared" si="157"/>
        <v>0</v>
      </c>
      <c r="AV299" s="1904">
        <f t="shared" si="147"/>
        <v>0</v>
      </c>
      <c r="AW299" s="1904">
        <f t="shared" si="148"/>
        <v>0</v>
      </c>
      <c r="AX299" s="1904"/>
      <c r="AY299" s="1904"/>
      <c r="AZ299" s="1904"/>
      <c r="BA299" s="1904"/>
      <c r="BB299" s="1897">
        <f t="shared" si="149"/>
        <v>0</v>
      </c>
      <c r="BC299" s="1897">
        <f t="shared" si="134"/>
        <v>0</v>
      </c>
      <c r="BD299" s="1898" t="e">
        <f>HLOOKUP($BD$63,anticipaplus,235,0)</f>
        <v>#N/A</v>
      </c>
      <c r="BE299" s="1899"/>
      <c r="BF299" s="1899"/>
      <c r="BG299" s="1360">
        <f t="shared" si="150"/>
        <v>0</v>
      </c>
      <c r="BH299" s="1361">
        <f t="shared" si="159"/>
        <v>234</v>
      </c>
      <c r="BI299" s="1362">
        <f t="shared" si="151"/>
        <v>0</v>
      </c>
      <c r="BJ299" s="1362">
        <f t="shared" si="135"/>
        <v>0</v>
      </c>
      <c r="BK299" s="1362">
        <f t="shared" si="158"/>
        <v>0</v>
      </c>
      <c r="BL299" s="1363">
        <f t="shared" si="136"/>
        <v>1000000</v>
      </c>
      <c r="BM299" s="1899"/>
      <c r="BN299" s="1361" t="str">
        <f t="shared" si="129"/>
        <v/>
      </c>
      <c r="BO299" s="1362">
        <f t="shared" si="137"/>
        <v>0</v>
      </c>
      <c r="BP299" s="1362">
        <f t="shared" si="138"/>
        <v>0</v>
      </c>
      <c r="BQ299" s="1362">
        <f t="shared" si="165"/>
        <v>0</v>
      </c>
      <c r="BR299" s="1363">
        <f t="shared" si="139"/>
        <v>0</v>
      </c>
      <c r="BT299" s="1414"/>
      <c r="CG299" s="1365"/>
      <c r="CH299" s="1366"/>
      <c r="CI299" s="1366"/>
      <c r="CJ299" s="1366"/>
      <c r="CK299" s="1366"/>
      <c r="CL299" s="1365"/>
      <c r="CM299" s="1366"/>
      <c r="CN299" s="1366"/>
      <c r="CO299" s="1366"/>
      <c r="CP299" s="1366"/>
      <c r="CQ299" s="1366"/>
      <c r="CR299" s="1366"/>
      <c r="CS299" s="1366"/>
      <c r="CT299" s="1366"/>
      <c r="CU299" s="1366"/>
      <c r="CV299" s="1366"/>
      <c r="CW299" s="1366"/>
      <c r="CX299" s="1366"/>
      <c r="CY299" s="1366"/>
      <c r="CZ299" s="1366"/>
      <c r="DA299" s="1366"/>
      <c r="DB299" s="1366"/>
      <c r="DC299" s="1366"/>
      <c r="DD299" s="1366"/>
      <c r="DE299" s="1366"/>
      <c r="DF299" s="1366"/>
      <c r="DG299" s="1365"/>
      <c r="DH299" s="1365"/>
      <c r="DI299" s="1365"/>
      <c r="DJ299" s="1365"/>
      <c r="DK299" s="1365"/>
      <c r="DL299" s="1365"/>
      <c r="DM299" s="1366"/>
      <c r="DN299" s="1366"/>
      <c r="DO299" s="1366"/>
      <c r="DP299" s="1366"/>
      <c r="DQ299" s="1366"/>
      <c r="DR299" s="1366"/>
      <c r="DS299" s="1366"/>
      <c r="DT299" s="1366"/>
    </row>
    <row r="300" spans="1:124">
      <c r="A300" s="1118">
        <f t="shared" ca="1" si="130"/>
        <v>10</v>
      </c>
      <c r="B300" s="1890">
        <f t="shared" si="140"/>
        <v>0</v>
      </c>
      <c r="C300" s="2160">
        <f t="shared" si="153"/>
        <v>0</v>
      </c>
      <c r="D300" s="2161">
        <f t="shared" si="154"/>
        <v>0</v>
      </c>
      <c r="E300" s="2162">
        <f t="shared" si="141"/>
        <v>0</v>
      </c>
      <c r="F300" s="2162">
        <f t="shared" si="162"/>
        <v>0</v>
      </c>
      <c r="G300" s="2162">
        <f t="shared" si="163"/>
        <v>0</v>
      </c>
      <c r="H300" s="2162">
        <f t="shared" si="155"/>
        <v>0</v>
      </c>
      <c r="I300" s="2162">
        <f t="shared" si="160"/>
        <v>0</v>
      </c>
      <c r="J300" s="2162">
        <f t="shared" si="131"/>
        <v>0</v>
      </c>
      <c r="K300" s="2162">
        <f t="shared" si="132"/>
        <v>0</v>
      </c>
      <c r="L300" s="2162">
        <f t="shared" si="142"/>
        <v>0</v>
      </c>
      <c r="M300" s="2162">
        <f t="shared" si="133"/>
        <v>0</v>
      </c>
      <c r="N300" s="2162">
        <f t="shared" si="143"/>
        <v>0</v>
      </c>
      <c r="O300" s="2163"/>
      <c r="AG300" s="1756"/>
      <c r="AH300" s="1756"/>
      <c r="AI300" s="1756"/>
      <c r="AJ300" s="1989">
        <f t="shared" si="144"/>
        <v>7</v>
      </c>
      <c r="AK300" s="1900">
        <f t="shared" si="145"/>
        <v>0</v>
      </c>
      <c r="AL300" s="1907"/>
      <c r="AM300" s="1907"/>
      <c r="AN300" s="1901">
        <f t="shared" si="156"/>
        <v>0</v>
      </c>
      <c r="AO300" s="1906">
        <f t="shared" ca="1" si="146"/>
        <v>0</v>
      </c>
      <c r="AU300" s="1903">
        <f t="shared" si="157"/>
        <v>0</v>
      </c>
      <c r="AV300" s="1904">
        <f t="shared" si="147"/>
        <v>0</v>
      </c>
      <c r="AW300" s="1904">
        <f t="shared" si="148"/>
        <v>0</v>
      </c>
      <c r="AX300" s="1904"/>
      <c r="AY300" s="1904"/>
      <c r="AZ300" s="1904"/>
      <c r="BA300" s="1904"/>
      <c r="BB300" s="1897">
        <f t="shared" si="149"/>
        <v>0</v>
      </c>
      <c r="BC300" s="1897">
        <f t="shared" si="134"/>
        <v>0</v>
      </c>
      <c r="BD300" s="1898" t="e">
        <f>HLOOKUP($BD$63,anticipaplus,236,0)</f>
        <v>#N/A</v>
      </c>
      <c r="BE300" s="1899"/>
      <c r="BF300" s="1899"/>
      <c r="BG300" s="1360">
        <f t="shared" si="150"/>
        <v>0</v>
      </c>
      <c r="BH300" s="1361">
        <f t="shared" si="159"/>
        <v>235</v>
      </c>
      <c r="BI300" s="1362">
        <f t="shared" si="151"/>
        <v>0</v>
      </c>
      <c r="BJ300" s="1362">
        <f t="shared" si="135"/>
        <v>0</v>
      </c>
      <c r="BK300" s="1362">
        <f t="shared" si="158"/>
        <v>0</v>
      </c>
      <c r="BL300" s="1363">
        <f t="shared" si="136"/>
        <v>1000000</v>
      </c>
      <c r="BM300" s="1899"/>
      <c r="BN300" s="1361" t="str">
        <f t="shared" si="129"/>
        <v/>
      </c>
      <c r="BO300" s="1362">
        <f t="shared" si="137"/>
        <v>0</v>
      </c>
      <c r="BP300" s="1362">
        <f t="shared" si="138"/>
        <v>0</v>
      </c>
      <c r="BQ300" s="1362">
        <f t="shared" si="165"/>
        <v>0</v>
      </c>
      <c r="BR300" s="1363">
        <f t="shared" si="139"/>
        <v>0</v>
      </c>
      <c r="BT300" s="1414"/>
      <c r="CG300" s="1365"/>
      <c r="CH300" s="1366"/>
      <c r="CI300" s="1366"/>
      <c r="CJ300" s="1366"/>
      <c r="CK300" s="1366"/>
      <c r="CL300" s="1365"/>
      <c r="CM300" s="1366"/>
      <c r="CN300" s="1366"/>
      <c r="CO300" s="1366"/>
      <c r="CP300" s="1366"/>
      <c r="CQ300" s="1366"/>
      <c r="CR300" s="1366"/>
      <c r="CS300" s="1366"/>
      <c r="CT300" s="1366"/>
      <c r="CU300" s="1366"/>
      <c r="CV300" s="1366"/>
      <c r="CW300" s="1366"/>
      <c r="CX300" s="1366"/>
      <c r="CY300" s="1366"/>
      <c r="CZ300" s="1366"/>
      <c r="DA300" s="1366"/>
      <c r="DB300" s="1366"/>
      <c r="DC300" s="1366"/>
      <c r="DD300" s="1366"/>
      <c r="DE300" s="1366"/>
      <c r="DF300" s="1366"/>
      <c r="DG300" s="1365"/>
      <c r="DH300" s="1365"/>
      <c r="DI300" s="1365"/>
      <c r="DJ300" s="1365"/>
      <c r="DK300" s="1365"/>
      <c r="DL300" s="1365"/>
      <c r="DM300" s="1366"/>
      <c r="DN300" s="1366"/>
      <c r="DO300" s="1366"/>
      <c r="DP300" s="1366"/>
      <c r="DQ300" s="1366"/>
      <c r="DR300" s="1366"/>
      <c r="DS300" s="1366"/>
      <c r="DT300" s="1366"/>
    </row>
    <row r="301" spans="1:124">
      <c r="A301" s="1118">
        <f t="shared" ca="1" si="130"/>
        <v>11</v>
      </c>
      <c r="B301" s="1890">
        <f t="shared" si="140"/>
        <v>0</v>
      </c>
      <c r="C301" s="2160">
        <f t="shared" si="153"/>
        <v>0</v>
      </c>
      <c r="D301" s="2161">
        <f t="shared" si="154"/>
        <v>0</v>
      </c>
      <c r="E301" s="2162">
        <f t="shared" si="141"/>
        <v>0</v>
      </c>
      <c r="F301" s="2162">
        <f t="shared" si="162"/>
        <v>0</v>
      </c>
      <c r="G301" s="2162">
        <f t="shared" si="163"/>
        <v>0</v>
      </c>
      <c r="H301" s="2162">
        <f t="shared" si="155"/>
        <v>0</v>
      </c>
      <c r="I301" s="2162">
        <f t="shared" si="160"/>
        <v>0</v>
      </c>
      <c r="J301" s="2162">
        <f t="shared" si="131"/>
        <v>0</v>
      </c>
      <c r="K301" s="2162">
        <f t="shared" si="132"/>
        <v>0</v>
      </c>
      <c r="L301" s="2162">
        <f t="shared" si="142"/>
        <v>0</v>
      </c>
      <c r="M301" s="2162">
        <f t="shared" si="133"/>
        <v>0</v>
      </c>
      <c r="N301" s="2162">
        <f t="shared" si="143"/>
        <v>0</v>
      </c>
      <c r="O301" s="2163"/>
      <c r="AG301" s="1756"/>
      <c r="AH301" s="1756"/>
      <c r="AI301" s="1756"/>
      <c r="AJ301" s="1989">
        <f t="shared" si="144"/>
        <v>8</v>
      </c>
      <c r="AK301" s="1900">
        <f t="shared" si="145"/>
        <v>0</v>
      </c>
      <c r="AL301" s="1907"/>
      <c r="AM301" s="1907"/>
      <c r="AN301" s="1901">
        <f t="shared" si="156"/>
        <v>0</v>
      </c>
      <c r="AO301" s="1906">
        <f t="shared" ca="1" si="146"/>
        <v>0</v>
      </c>
      <c r="AU301" s="1903">
        <f t="shared" si="157"/>
        <v>0</v>
      </c>
      <c r="AV301" s="1904">
        <f t="shared" si="147"/>
        <v>0</v>
      </c>
      <c r="AW301" s="1904">
        <f t="shared" si="148"/>
        <v>0</v>
      </c>
      <c r="AX301" s="1904"/>
      <c r="AY301" s="1904"/>
      <c r="AZ301" s="1904"/>
      <c r="BA301" s="1904"/>
      <c r="BB301" s="1897">
        <f t="shared" si="149"/>
        <v>0</v>
      </c>
      <c r="BC301" s="1897">
        <f t="shared" si="134"/>
        <v>0</v>
      </c>
      <c r="BD301" s="1898" t="e">
        <f>HLOOKUP($BD$63,anticipaplus,237,0)</f>
        <v>#N/A</v>
      </c>
      <c r="BE301" s="1899"/>
      <c r="BF301" s="1899"/>
      <c r="BG301" s="1360">
        <f t="shared" si="150"/>
        <v>0</v>
      </c>
      <c r="BH301" s="1361">
        <f t="shared" si="159"/>
        <v>236</v>
      </c>
      <c r="BI301" s="1362">
        <f t="shared" si="151"/>
        <v>0</v>
      </c>
      <c r="BJ301" s="1362">
        <f t="shared" si="135"/>
        <v>0</v>
      </c>
      <c r="BK301" s="1362">
        <f t="shared" si="158"/>
        <v>0</v>
      </c>
      <c r="BL301" s="1363">
        <f t="shared" si="136"/>
        <v>1000000</v>
      </c>
      <c r="BM301" s="1899"/>
      <c r="BN301" s="1361" t="str">
        <f t="shared" si="129"/>
        <v/>
      </c>
      <c r="BO301" s="1362">
        <f t="shared" si="137"/>
        <v>0</v>
      </c>
      <c r="BP301" s="1362">
        <f t="shared" si="138"/>
        <v>0</v>
      </c>
      <c r="BQ301" s="1362">
        <f t="shared" si="165"/>
        <v>0</v>
      </c>
      <c r="BR301" s="1363">
        <f t="shared" si="139"/>
        <v>0</v>
      </c>
      <c r="BT301" s="1414"/>
      <c r="CG301" s="1365"/>
      <c r="CH301" s="1366"/>
      <c r="CI301" s="1366"/>
      <c r="CJ301" s="1366"/>
      <c r="CK301" s="1366"/>
      <c r="CL301" s="1365"/>
      <c r="CM301" s="1366"/>
      <c r="CN301" s="1366"/>
      <c r="CO301" s="1366"/>
      <c r="CP301" s="1366"/>
      <c r="CQ301" s="1366"/>
      <c r="CR301" s="1366"/>
      <c r="CS301" s="1366"/>
      <c r="CT301" s="1366"/>
      <c r="CU301" s="1366"/>
      <c r="CV301" s="1366"/>
      <c r="CW301" s="1366"/>
      <c r="CX301" s="1366"/>
      <c r="CY301" s="1366"/>
      <c r="CZ301" s="1366"/>
      <c r="DA301" s="1366"/>
      <c r="DB301" s="1366"/>
      <c r="DC301" s="1366"/>
      <c r="DD301" s="1366"/>
      <c r="DE301" s="1366"/>
      <c r="DF301" s="1366"/>
      <c r="DG301" s="1365"/>
      <c r="DH301" s="1365"/>
      <c r="DI301" s="1365"/>
      <c r="DJ301" s="1365"/>
      <c r="DK301" s="1365"/>
      <c r="DL301" s="1365"/>
      <c r="DM301" s="1366"/>
      <c r="DN301" s="1366"/>
      <c r="DO301" s="1366"/>
      <c r="DP301" s="1366"/>
      <c r="DQ301" s="1366"/>
      <c r="DR301" s="1366"/>
      <c r="DS301" s="1366"/>
      <c r="DT301" s="1366"/>
    </row>
    <row r="302" spans="1:124">
      <c r="A302" s="1118">
        <f t="shared" ca="1" si="130"/>
        <v>12</v>
      </c>
      <c r="B302" s="1890">
        <f t="shared" si="140"/>
        <v>0</v>
      </c>
      <c r="C302" s="2160">
        <f t="shared" si="153"/>
        <v>0</v>
      </c>
      <c r="D302" s="2161">
        <f t="shared" si="154"/>
        <v>0</v>
      </c>
      <c r="E302" s="2162">
        <f t="shared" si="141"/>
        <v>0</v>
      </c>
      <c r="F302" s="2162">
        <f t="shared" si="162"/>
        <v>0</v>
      </c>
      <c r="G302" s="2162">
        <f t="shared" si="163"/>
        <v>0</v>
      </c>
      <c r="H302" s="2162">
        <f t="shared" si="155"/>
        <v>0</v>
      </c>
      <c r="I302" s="2162">
        <f t="shared" si="160"/>
        <v>0</v>
      </c>
      <c r="J302" s="2162">
        <f t="shared" si="131"/>
        <v>0</v>
      </c>
      <c r="K302" s="2162">
        <f t="shared" si="132"/>
        <v>0</v>
      </c>
      <c r="L302" s="2162">
        <f t="shared" si="142"/>
        <v>0</v>
      </c>
      <c r="M302" s="2162">
        <f t="shared" si="133"/>
        <v>0</v>
      </c>
      <c r="N302" s="2162">
        <f t="shared" si="143"/>
        <v>0</v>
      </c>
      <c r="O302" s="2163"/>
      <c r="AG302" s="1756"/>
      <c r="AH302" s="1756"/>
      <c r="AI302" s="1756"/>
      <c r="AJ302" s="1989">
        <f t="shared" si="144"/>
        <v>9</v>
      </c>
      <c r="AK302" s="1900">
        <f t="shared" si="145"/>
        <v>0</v>
      </c>
      <c r="AL302" s="1907"/>
      <c r="AM302" s="1907"/>
      <c r="AN302" s="1901">
        <f t="shared" si="156"/>
        <v>0</v>
      </c>
      <c r="AO302" s="1906">
        <f t="shared" ca="1" si="146"/>
        <v>0</v>
      </c>
      <c r="AU302" s="1903">
        <f t="shared" si="157"/>
        <v>0</v>
      </c>
      <c r="AV302" s="1904">
        <f t="shared" si="147"/>
        <v>0</v>
      </c>
      <c r="AW302" s="1904">
        <f t="shared" si="148"/>
        <v>0</v>
      </c>
      <c r="AX302" s="1904"/>
      <c r="AY302" s="1904"/>
      <c r="AZ302" s="1904"/>
      <c r="BA302" s="1904"/>
      <c r="BB302" s="1897">
        <f t="shared" si="149"/>
        <v>0</v>
      </c>
      <c r="BC302" s="1897">
        <f t="shared" si="134"/>
        <v>0</v>
      </c>
      <c r="BD302" s="1898" t="e">
        <f>HLOOKUP($BD$63,anticipaplus,238,0)</f>
        <v>#N/A</v>
      </c>
      <c r="BE302" s="1899"/>
      <c r="BF302" s="1899"/>
      <c r="BG302" s="1360">
        <f t="shared" si="150"/>
        <v>0</v>
      </c>
      <c r="BH302" s="1361">
        <f t="shared" si="159"/>
        <v>237</v>
      </c>
      <c r="BI302" s="1362">
        <f t="shared" si="151"/>
        <v>0</v>
      </c>
      <c r="BJ302" s="1362">
        <f t="shared" si="135"/>
        <v>0</v>
      </c>
      <c r="BK302" s="1362">
        <f t="shared" si="158"/>
        <v>0</v>
      </c>
      <c r="BL302" s="1363">
        <f t="shared" si="136"/>
        <v>1000000</v>
      </c>
      <c r="BM302" s="1899"/>
      <c r="BN302" s="1361" t="str">
        <f t="shared" si="129"/>
        <v/>
      </c>
      <c r="BO302" s="1362">
        <f t="shared" si="137"/>
        <v>0</v>
      </c>
      <c r="BP302" s="1362">
        <f t="shared" si="138"/>
        <v>0</v>
      </c>
      <c r="BQ302" s="1362">
        <f t="shared" si="165"/>
        <v>0</v>
      </c>
      <c r="BR302" s="1363">
        <f t="shared" si="139"/>
        <v>0</v>
      </c>
      <c r="BT302" s="1414"/>
      <c r="CG302" s="1365"/>
      <c r="CH302" s="1366"/>
      <c r="CI302" s="1366"/>
      <c r="CJ302" s="1366"/>
      <c r="CK302" s="1366"/>
      <c r="CL302" s="1365"/>
      <c r="CM302" s="1366"/>
      <c r="CN302" s="1366"/>
      <c r="CO302" s="1366"/>
      <c r="CP302" s="1366"/>
      <c r="CQ302" s="1366"/>
      <c r="CR302" s="1366"/>
      <c r="CS302" s="1366"/>
      <c r="CT302" s="1366"/>
      <c r="CU302" s="1366"/>
      <c r="CV302" s="1366"/>
      <c r="CW302" s="1366"/>
      <c r="CX302" s="1366"/>
      <c r="CY302" s="1366"/>
      <c r="CZ302" s="1366"/>
      <c r="DA302" s="1366"/>
      <c r="DB302" s="1366"/>
      <c r="DC302" s="1366"/>
      <c r="DD302" s="1366"/>
      <c r="DE302" s="1366"/>
      <c r="DF302" s="1366"/>
      <c r="DG302" s="1365"/>
      <c r="DH302" s="1365"/>
      <c r="DI302" s="1365"/>
      <c r="DJ302" s="1365"/>
      <c r="DK302" s="1365"/>
      <c r="DL302" s="1365"/>
      <c r="DM302" s="1366"/>
      <c r="DN302" s="1366"/>
      <c r="DO302" s="1366"/>
      <c r="DP302" s="1366"/>
      <c r="DQ302" s="1366"/>
      <c r="DR302" s="1366"/>
      <c r="DS302" s="1366"/>
      <c r="DT302" s="1366"/>
    </row>
    <row r="303" spans="1:124">
      <c r="A303" s="1118">
        <f t="shared" ca="1" si="130"/>
        <v>1</v>
      </c>
      <c r="B303" s="1890">
        <f t="shared" si="140"/>
        <v>0</v>
      </c>
      <c r="C303" s="2160">
        <f t="shared" si="153"/>
        <v>0</v>
      </c>
      <c r="D303" s="2161">
        <f t="shared" si="154"/>
        <v>0</v>
      </c>
      <c r="E303" s="2162">
        <f t="shared" si="141"/>
        <v>0</v>
      </c>
      <c r="F303" s="2162">
        <f t="shared" si="162"/>
        <v>0</v>
      </c>
      <c r="G303" s="2162">
        <f t="shared" si="163"/>
        <v>0</v>
      </c>
      <c r="H303" s="2162">
        <f t="shared" si="155"/>
        <v>0</v>
      </c>
      <c r="I303" s="2162">
        <f t="shared" si="160"/>
        <v>0</v>
      </c>
      <c r="J303" s="2162">
        <f t="shared" si="131"/>
        <v>0</v>
      </c>
      <c r="K303" s="2162">
        <f t="shared" si="132"/>
        <v>0</v>
      </c>
      <c r="L303" s="2162">
        <f t="shared" si="142"/>
        <v>0</v>
      </c>
      <c r="M303" s="2162">
        <f t="shared" si="133"/>
        <v>0</v>
      </c>
      <c r="N303" s="2162">
        <f t="shared" si="143"/>
        <v>0</v>
      </c>
      <c r="O303" s="2163"/>
      <c r="AG303" s="1756"/>
      <c r="AH303" s="1756"/>
      <c r="AI303" s="1756"/>
      <c r="AJ303" s="1989">
        <f t="shared" si="144"/>
        <v>10</v>
      </c>
      <c r="AK303" s="1900">
        <f t="shared" si="145"/>
        <v>0</v>
      </c>
      <c r="AL303" s="1907"/>
      <c r="AM303" s="1907"/>
      <c r="AN303" s="1901">
        <f t="shared" si="156"/>
        <v>0</v>
      </c>
      <c r="AO303" s="1906">
        <f t="shared" ca="1" si="146"/>
        <v>0</v>
      </c>
      <c r="AU303" s="1903">
        <f t="shared" si="157"/>
        <v>0</v>
      </c>
      <c r="AV303" s="1904">
        <f t="shared" si="147"/>
        <v>0</v>
      </c>
      <c r="AW303" s="1904">
        <f t="shared" si="148"/>
        <v>0</v>
      </c>
      <c r="AX303" s="1904"/>
      <c r="AY303" s="1904"/>
      <c r="AZ303" s="1904"/>
      <c r="BA303" s="1904"/>
      <c r="BB303" s="1897">
        <f t="shared" si="149"/>
        <v>0</v>
      </c>
      <c r="BC303" s="1897">
        <f t="shared" si="134"/>
        <v>0</v>
      </c>
      <c r="BD303" s="1898" t="e">
        <f>HLOOKUP($BD$63,anticipaplus,239,0)</f>
        <v>#N/A</v>
      </c>
      <c r="BE303" s="1899"/>
      <c r="BF303" s="1899"/>
      <c r="BG303" s="1360">
        <f t="shared" si="150"/>
        <v>0</v>
      </c>
      <c r="BH303" s="1361">
        <f t="shared" si="159"/>
        <v>238</v>
      </c>
      <c r="BI303" s="1362">
        <f t="shared" si="151"/>
        <v>0</v>
      </c>
      <c r="BJ303" s="1362">
        <f t="shared" si="135"/>
        <v>0</v>
      </c>
      <c r="BK303" s="1362">
        <f t="shared" si="158"/>
        <v>0</v>
      </c>
      <c r="BL303" s="1363">
        <f t="shared" si="136"/>
        <v>1000000</v>
      </c>
      <c r="BM303" s="1899"/>
      <c r="BN303" s="1361" t="str">
        <f t="shared" si="129"/>
        <v/>
      </c>
      <c r="BO303" s="1362">
        <f t="shared" si="137"/>
        <v>0</v>
      </c>
      <c r="BP303" s="1362">
        <f t="shared" si="138"/>
        <v>0</v>
      </c>
      <c r="BQ303" s="1362">
        <f t="shared" si="165"/>
        <v>0</v>
      </c>
      <c r="BR303" s="1363">
        <f t="shared" si="139"/>
        <v>0</v>
      </c>
      <c r="BT303" s="1414"/>
      <c r="CG303" s="1365"/>
      <c r="CH303" s="1366"/>
      <c r="CI303" s="1366"/>
      <c r="CJ303" s="1366"/>
      <c r="CK303" s="1366"/>
      <c r="CL303" s="1365"/>
      <c r="CM303" s="1366"/>
      <c r="CN303" s="1366"/>
      <c r="CO303" s="1366"/>
      <c r="CP303" s="1366"/>
      <c r="CQ303" s="1366"/>
      <c r="CR303" s="1366"/>
      <c r="CS303" s="1366"/>
      <c r="CT303" s="1366"/>
      <c r="CU303" s="1366"/>
      <c r="CV303" s="1366"/>
      <c r="CW303" s="1366"/>
      <c r="CX303" s="1366"/>
      <c r="CY303" s="1366"/>
      <c r="CZ303" s="1366"/>
      <c r="DA303" s="1366"/>
      <c r="DB303" s="1366"/>
      <c r="DC303" s="1366"/>
      <c r="DD303" s="1366"/>
      <c r="DE303" s="1366"/>
      <c r="DF303" s="1366"/>
      <c r="DG303" s="1365"/>
      <c r="DH303" s="1365"/>
      <c r="DI303" s="1365"/>
      <c r="DJ303" s="1365"/>
      <c r="DK303" s="1365"/>
      <c r="DL303" s="1365"/>
      <c r="DM303" s="1366"/>
      <c r="DN303" s="1366"/>
      <c r="DO303" s="1366"/>
      <c r="DP303" s="1366"/>
      <c r="DQ303" s="1366"/>
      <c r="DR303" s="1366"/>
      <c r="DS303" s="1366"/>
      <c r="DT303" s="1366"/>
    </row>
    <row r="304" spans="1:124">
      <c r="A304" s="1118">
        <f t="shared" ca="1" si="130"/>
        <v>2</v>
      </c>
      <c r="B304" s="1890">
        <f t="shared" si="140"/>
        <v>0</v>
      </c>
      <c r="C304" s="2160">
        <f t="shared" si="153"/>
        <v>0</v>
      </c>
      <c r="D304" s="2161">
        <f t="shared" si="154"/>
        <v>0</v>
      </c>
      <c r="E304" s="2162">
        <f t="shared" si="141"/>
        <v>0</v>
      </c>
      <c r="F304" s="2162">
        <f t="shared" si="162"/>
        <v>0</v>
      </c>
      <c r="G304" s="2162">
        <f t="shared" si="163"/>
        <v>0</v>
      </c>
      <c r="H304" s="2162">
        <f t="shared" si="155"/>
        <v>0</v>
      </c>
      <c r="I304" s="2162">
        <f t="shared" si="160"/>
        <v>0</v>
      </c>
      <c r="J304" s="2162">
        <f t="shared" si="131"/>
        <v>0</v>
      </c>
      <c r="K304" s="2162">
        <f t="shared" si="132"/>
        <v>0</v>
      </c>
      <c r="L304" s="2162">
        <f t="shared" si="142"/>
        <v>0</v>
      </c>
      <c r="M304" s="2162">
        <f t="shared" si="133"/>
        <v>0</v>
      </c>
      <c r="N304" s="2162">
        <f t="shared" si="143"/>
        <v>0</v>
      </c>
      <c r="O304" s="2163"/>
      <c r="AG304" s="1756"/>
      <c r="AH304" s="1756"/>
      <c r="AI304" s="1756"/>
      <c r="AJ304" s="1989">
        <f t="shared" si="144"/>
        <v>11</v>
      </c>
      <c r="AK304" s="1900">
        <f t="shared" si="145"/>
        <v>0</v>
      </c>
      <c r="AL304" s="1907"/>
      <c r="AM304" s="1907"/>
      <c r="AN304" s="1901">
        <f t="shared" si="156"/>
        <v>0</v>
      </c>
      <c r="AO304" s="1906">
        <f t="shared" ca="1" si="146"/>
        <v>0</v>
      </c>
      <c r="AU304" s="1903">
        <f t="shared" si="157"/>
        <v>0</v>
      </c>
      <c r="AV304" s="1904">
        <f t="shared" si="147"/>
        <v>0</v>
      </c>
      <c r="AW304" s="1904">
        <f t="shared" si="148"/>
        <v>0</v>
      </c>
      <c r="AX304" s="1904"/>
      <c r="AY304" s="1904"/>
      <c r="AZ304" s="1904"/>
      <c r="BA304" s="1904"/>
      <c r="BB304" s="1897">
        <f t="shared" si="149"/>
        <v>0</v>
      </c>
      <c r="BC304" s="1897">
        <f t="shared" si="134"/>
        <v>0</v>
      </c>
      <c r="BD304" s="1898" t="e">
        <f>HLOOKUP($BD$63,anticipaplus,240,0)</f>
        <v>#N/A</v>
      </c>
      <c r="BE304" s="1899"/>
      <c r="BF304" s="1899"/>
      <c r="BG304" s="1360">
        <f t="shared" si="150"/>
        <v>0</v>
      </c>
      <c r="BH304" s="1361">
        <f t="shared" si="159"/>
        <v>239</v>
      </c>
      <c r="BI304" s="1362">
        <f t="shared" si="151"/>
        <v>0</v>
      </c>
      <c r="BJ304" s="1362">
        <f t="shared" si="135"/>
        <v>0</v>
      </c>
      <c r="BK304" s="1362">
        <f t="shared" si="158"/>
        <v>0</v>
      </c>
      <c r="BL304" s="1363">
        <f t="shared" si="136"/>
        <v>1000000</v>
      </c>
      <c r="BM304" s="1899"/>
      <c r="BN304" s="1361" t="str">
        <f t="shared" si="129"/>
        <v/>
      </c>
      <c r="BO304" s="1362">
        <f t="shared" si="137"/>
        <v>0</v>
      </c>
      <c r="BP304" s="1362">
        <f t="shared" si="138"/>
        <v>0</v>
      </c>
      <c r="BQ304" s="1362">
        <f t="shared" si="165"/>
        <v>0</v>
      </c>
      <c r="BR304" s="1363">
        <f t="shared" si="139"/>
        <v>0</v>
      </c>
      <c r="BT304" s="1414"/>
      <c r="CG304" s="1365"/>
      <c r="CH304" s="1366"/>
      <c r="CI304" s="1366"/>
      <c r="CJ304" s="1366"/>
      <c r="CK304" s="1366"/>
      <c r="CL304" s="1365"/>
      <c r="CM304" s="1366"/>
      <c r="CN304" s="1366"/>
      <c r="CO304" s="1366"/>
      <c r="CP304" s="1366"/>
      <c r="CQ304" s="1366"/>
      <c r="CR304" s="1366"/>
      <c r="CS304" s="1366"/>
      <c r="CT304" s="1366"/>
      <c r="CU304" s="1366"/>
      <c r="CV304" s="1366"/>
      <c r="CW304" s="1366"/>
      <c r="CX304" s="1366"/>
      <c r="CY304" s="1366"/>
      <c r="CZ304" s="1366"/>
      <c r="DA304" s="1366"/>
      <c r="DB304" s="1366"/>
      <c r="DC304" s="1366"/>
      <c r="DD304" s="1366"/>
      <c r="DE304" s="1366"/>
      <c r="DF304" s="1366"/>
      <c r="DG304" s="1365"/>
      <c r="DH304" s="1365"/>
      <c r="DI304" s="1365"/>
      <c r="DJ304" s="1365"/>
      <c r="DK304" s="1365"/>
      <c r="DL304" s="1365"/>
      <c r="DM304" s="1366"/>
      <c r="DN304" s="1366"/>
      <c r="DO304" s="1366"/>
      <c r="DP304" s="1366"/>
      <c r="DQ304" s="1366"/>
      <c r="DR304" s="1366"/>
      <c r="DS304" s="1366"/>
      <c r="DT304" s="1366"/>
    </row>
    <row r="305" spans="1:124">
      <c r="A305" s="1118">
        <f t="shared" ca="1" si="130"/>
        <v>3</v>
      </c>
      <c r="B305" s="1890">
        <f t="shared" si="140"/>
        <v>0</v>
      </c>
      <c r="C305" s="2160">
        <f t="shared" si="153"/>
        <v>0</v>
      </c>
      <c r="D305" s="2161">
        <f t="shared" si="154"/>
        <v>0</v>
      </c>
      <c r="E305" s="2162">
        <f t="shared" si="141"/>
        <v>0</v>
      </c>
      <c r="F305" s="2162">
        <f t="shared" si="162"/>
        <v>0</v>
      </c>
      <c r="G305" s="2162">
        <f t="shared" si="163"/>
        <v>0</v>
      </c>
      <c r="H305" s="2162">
        <f t="shared" si="155"/>
        <v>0</v>
      </c>
      <c r="I305" s="2162">
        <f t="shared" si="160"/>
        <v>0</v>
      </c>
      <c r="J305" s="2162">
        <f t="shared" si="131"/>
        <v>0</v>
      </c>
      <c r="K305" s="2162">
        <f t="shared" si="132"/>
        <v>0</v>
      </c>
      <c r="L305" s="2162">
        <f t="shared" si="142"/>
        <v>0</v>
      </c>
      <c r="M305" s="2162">
        <f t="shared" si="133"/>
        <v>0</v>
      </c>
      <c r="N305" s="2162">
        <f t="shared" si="143"/>
        <v>0</v>
      </c>
      <c r="O305" s="2163"/>
      <c r="AG305" s="1756"/>
      <c r="AH305" s="1756"/>
      <c r="AI305" s="1756"/>
      <c r="AJ305" s="1989">
        <f t="shared" si="144"/>
        <v>12</v>
      </c>
      <c r="AK305" s="1900">
        <f t="shared" si="145"/>
        <v>0</v>
      </c>
      <c r="AL305" s="1907"/>
      <c r="AM305" s="1907"/>
      <c r="AN305" s="1901">
        <f t="shared" si="156"/>
        <v>0</v>
      </c>
      <c r="AO305" s="1906">
        <f t="shared" ca="1" si="146"/>
        <v>0</v>
      </c>
      <c r="AU305" s="1903">
        <f t="shared" si="157"/>
        <v>0</v>
      </c>
      <c r="AV305" s="1904">
        <f t="shared" si="147"/>
        <v>0</v>
      </c>
      <c r="AW305" s="1904">
        <f t="shared" si="148"/>
        <v>0</v>
      </c>
      <c r="AX305" s="1904"/>
      <c r="AY305" s="1904"/>
      <c r="AZ305" s="1904"/>
      <c r="BA305" s="1904"/>
      <c r="BB305" s="1897">
        <f t="shared" si="149"/>
        <v>0</v>
      </c>
      <c r="BC305" s="1897">
        <f t="shared" si="134"/>
        <v>0</v>
      </c>
      <c r="BD305" s="1898" t="e">
        <f>HLOOKUP($BD$63,anticipaplus,241,0)</f>
        <v>#N/A</v>
      </c>
      <c r="BE305" s="1891"/>
      <c r="BF305" s="1899"/>
      <c r="BG305" s="1965">
        <f t="shared" si="150"/>
        <v>0</v>
      </c>
      <c r="BH305" s="1361">
        <f t="shared" si="159"/>
        <v>240</v>
      </c>
      <c r="BI305" s="1362">
        <f t="shared" si="151"/>
        <v>0</v>
      </c>
      <c r="BJ305" s="1362">
        <f t="shared" si="135"/>
        <v>0</v>
      </c>
      <c r="BK305" s="1362">
        <f t="shared" si="158"/>
        <v>0</v>
      </c>
      <c r="BL305" s="1363">
        <f t="shared" si="136"/>
        <v>1000000</v>
      </c>
      <c r="BM305" s="1899"/>
      <c r="BN305" s="1361" t="str">
        <f t="shared" si="129"/>
        <v/>
      </c>
      <c r="BO305" s="1362">
        <f t="shared" si="137"/>
        <v>0</v>
      </c>
      <c r="BP305" s="1362">
        <f t="shared" si="138"/>
        <v>0</v>
      </c>
      <c r="BQ305" s="1362">
        <f t="shared" si="165"/>
        <v>0</v>
      </c>
      <c r="BR305" s="1363">
        <f t="shared" si="139"/>
        <v>0</v>
      </c>
      <c r="BT305" s="1414"/>
      <c r="CG305" s="1365"/>
      <c r="CH305" s="1366"/>
      <c r="CI305" s="1366"/>
      <c r="CJ305" s="1366"/>
      <c r="CK305" s="1366"/>
      <c r="CL305" s="1365"/>
      <c r="CM305" s="1366"/>
      <c r="CN305" s="1366"/>
      <c r="CO305" s="1366"/>
      <c r="CP305" s="1366"/>
      <c r="CQ305" s="1366"/>
      <c r="CR305" s="1366"/>
      <c r="CS305" s="1366"/>
      <c r="CT305" s="1366"/>
      <c r="CU305" s="1366"/>
      <c r="CV305" s="1366"/>
      <c r="CW305" s="1366"/>
      <c r="CX305" s="1366"/>
      <c r="CY305" s="1366"/>
      <c r="CZ305" s="1366"/>
      <c r="DA305" s="1366"/>
      <c r="DB305" s="1366"/>
      <c r="DC305" s="1366"/>
      <c r="DD305" s="1366"/>
      <c r="DE305" s="1366"/>
      <c r="DF305" s="1366"/>
      <c r="DG305" s="1365"/>
      <c r="DH305" s="1365"/>
      <c r="DI305" s="1365"/>
      <c r="DJ305" s="1365"/>
      <c r="DK305" s="1365"/>
      <c r="DL305" s="1365"/>
      <c r="DM305" s="1366"/>
      <c r="DN305" s="1366"/>
      <c r="DO305" s="1366"/>
      <c r="DP305" s="1366"/>
      <c r="DQ305" s="1366"/>
      <c r="DR305" s="1366"/>
      <c r="DS305" s="1366"/>
      <c r="DT305" s="1366"/>
    </row>
    <row r="306" spans="1:124">
      <c r="A306" s="1118">
        <f t="shared" ca="1" si="130"/>
        <v>4</v>
      </c>
      <c r="B306" s="1890">
        <f t="shared" ref="B306:B330" si="166">IF(N305&gt;0,B305-1,0)</f>
        <v>0</v>
      </c>
      <c r="C306" s="2160">
        <f t="shared" ref="C306:C339" si="167">IF(N305&lt;0.01,0,C305+1)</f>
        <v>0</v>
      </c>
      <c r="D306" s="2161">
        <f t="shared" ref="D306:D339" si="168">IF(N305&lt;0.01,0,D305)</f>
        <v>0</v>
      </c>
      <c r="E306" s="2162">
        <f t="shared" ref="E306:E339" si="169">IF(N305&lt;0.01,0,N305*D306*30.4166/360)</f>
        <v>0</v>
      </c>
      <c r="F306" s="2162">
        <f t="shared" ref="F306:F339" si="170">IF(N305&lt;0.01,0,MIN(N305,G306-E306))</f>
        <v>0</v>
      </c>
      <c r="G306" s="2162">
        <f t="shared" ref="G306:G339" si="171">IF(N305&lt;0.01,0,MIN(N305+E306,IF(AU306&gt;0,AU306,G305*(1+AK306))))</f>
        <v>0</v>
      </c>
      <c r="H306" s="2162">
        <f t="shared" ref="H306:H339" si="172">IF(N305&lt;0.01,0,IF($F$22=$AN$4,0,IF($F$22=$AN$3,N305*$I$22/1000,N305*VLOOKUP($G$21,$AP$2:$AQ$5,2,0))))</f>
        <v>0</v>
      </c>
      <c r="I306" s="2162">
        <f t="shared" ref="I306:I339" si="173">IF(N305&lt;0.01,0,IF($F$24=$AO$3,0,IF(OR($F$10=$AK$7,$F$10=$AK$13),0,$G$13*$AR$2)))</f>
        <v>0</v>
      </c>
      <c r="J306" s="2162">
        <f t="shared" ref="J306:J339" si="174">IF(N305&lt;0.01,0,IF($F$10=$AK$7,0,$BD$2*1.16))</f>
        <v>0</v>
      </c>
      <c r="K306" s="2162">
        <f t="shared" ref="K306:K339" si="175">IF(N305&lt;0.01,0,IF($AS$2&gt;0,E306*$AS$3,0))</f>
        <v>0</v>
      </c>
      <c r="L306" s="2162">
        <f t="shared" ref="L306:L339" si="176">IF(N305&lt;0.01,0,G306+H306+I306+J306+K306)</f>
        <v>0</v>
      </c>
      <c r="M306" s="2162">
        <f t="shared" ref="M306:M339" si="177">IF($F$10=$AK$3,MIN(N305+E306+H306+I306+J306-L306,AO306),0)</f>
        <v>0</v>
      </c>
      <c r="N306" s="2162">
        <f t="shared" ref="N306:N339" si="178">IF(N305&lt;0.001,0,+N305-F306-M306-O306)</f>
        <v>0</v>
      </c>
      <c r="O306" s="2163"/>
      <c r="P306" s="1891"/>
      <c r="Q306" s="1891"/>
      <c r="R306" s="1891"/>
      <c r="S306" s="1891"/>
      <c r="T306" s="1891"/>
      <c r="U306" s="1891"/>
      <c r="V306" s="1891"/>
      <c r="W306" s="1891"/>
      <c r="X306" s="1891"/>
      <c r="Y306" s="1891"/>
      <c r="Z306" s="1891"/>
      <c r="AA306" s="1891"/>
      <c r="AB306" s="1891"/>
      <c r="AC306" s="1891"/>
      <c r="AD306" s="1891"/>
      <c r="AE306" s="1891"/>
      <c r="AF306" s="1891"/>
      <c r="AG306" s="1891"/>
      <c r="AH306" s="1891"/>
      <c r="AI306" s="1891"/>
      <c r="AJ306" s="1989">
        <f t="shared" si="144"/>
        <v>1</v>
      </c>
      <c r="AK306" s="1900">
        <f t="shared" ref="AK306:AK365" si="179">IF(AJ306=1,$BT$2,0)</f>
        <v>0</v>
      </c>
      <c r="AN306" s="1901">
        <f t="shared" si="156"/>
        <v>0</v>
      </c>
      <c r="AO306" s="1906">
        <f t="shared" ref="AO306:AO365" ca="1" si="180">IF(MOD(A306,2)=0,AN306*0.05*2,0)</f>
        <v>0</v>
      </c>
      <c r="AT306" s="1891"/>
      <c r="AU306" s="1903">
        <f t="shared" ref="AU306:AU365" si="181">IF(AV306&gt;1,AV306,IF(BB306&gt;1,BB306,0))</f>
        <v>0</v>
      </c>
      <c r="AV306" s="1904">
        <f t="shared" ref="AV306:AV365" si="182">IF(AND(OR($AW$62=1,$AW$62=3),O305&gt;0.1),AW306,0)</f>
        <v>0</v>
      </c>
      <c r="AW306" s="1904">
        <f t="shared" ref="AW306:AW365" si="183">IF(AND($AW$62=1,$AU$62=2),PMT((($D$66/360)*(365/12)),B305,-N305),0)</f>
        <v>0</v>
      </c>
      <c r="AX306" s="1904"/>
      <c r="AY306" s="1904"/>
      <c r="AZ306" s="1904"/>
      <c r="BA306" s="1904"/>
      <c r="BB306" s="1897">
        <f t="shared" ref="BB306:BB365" si="184">IF(AND(BC306&gt;0.01,$AU$62=2),BC306,0)</f>
        <v>0</v>
      </c>
      <c r="BC306" s="1897">
        <f t="shared" ref="BC306:BC365" si="185">IF(AND($AU$62=2,O305&lt;0.01),0,IF($AU$62=2,(N305*BD306)+E306,0))</f>
        <v>0</v>
      </c>
      <c r="BD306" s="1898" t="e">
        <f>HLOOKUP($BD$63,anticipaplus,242,0)</f>
        <v>#N/A</v>
      </c>
      <c r="BE306" s="1891"/>
      <c r="BF306" s="1891"/>
      <c r="BG306" s="1965">
        <f t="shared" ref="BG306:BG365" si="186">BJ306/BL305</f>
        <v>0</v>
      </c>
      <c r="BH306" s="1377">
        <f t="shared" ref="BH306:BH365" si="187">IF(BL305&lt;=0,"",BH305+1)</f>
        <v>241</v>
      </c>
      <c r="BI306" s="1378">
        <f t="shared" ref="BI306:BI365" si="188">BL305*$BI$59*30.4166/360</f>
        <v>0</v>
      </c>
      <c r="BJ306" s="1378">
        <f t="shared" ref="BJ306:BJ365" si="189">BK306-BI306</f>
        <v>0</v>
      </c>
      <c r="BK306" s="1378">
        <f>MIN(BL305+BI306,BK305*(1+$BI$61))</f>
        <v>0</v>
      </c>
      <c r="BL306" s="1363">
        <f t="shared" ref="BL306:BL365" si="190">IF(BL305&lt;0.001,0,BL305-BJ306-BM307)</f>
        <v>1000000</v>
      </c>
      <c r="BM306" s="1891"/>
      <c r="BN306" s="1379" t="str">
        <f t="shared" ref="BN306:BN365" si="191">IF(BR305&lt;=0,"",BN305+1)</f>
        <v/>
      </c>
      <c r="BO306" s="1380">
        <f t="shared" ref="BO306:BO365" si="192">BR305*$BO$59*30.4166/360</f>
        <v>0</v>
      </c>
      <c r="BP306" s="1380">
        <f t="shared" ref="BP306:BP365" si="193">BQ306-BO306</f>
        <v>0</v>
      </c>
      <c r="BQ306" s="1380">
        <f>MIN(BR305+BO306,BQ305*(1+$BO$61))</f>
        <v>0</v>
      </c>
      <c r="BR306" s="1363">
        <f t="shared" ref="BR306:BR365" si="194">IF(BR305&lt;0.001,0,BR305-BP306-BX307)</f>
        <v>0</v>
      </c>
      <c r="BT306" s="1414"/>
      <c r="CC306" s="1914"/>
      <c r="CD306" s="1914"/>
      <c r="CE306" s="1914"/>
      <c r="CF306" s="1914"/>
      <c r="CG306" s="1914"/>
      <c r="CH306" s="1915"/>
      <c r="CI306" s="1915"/>
      <c r="CJ306" s="1915"/>
      <c r="CK306" s="1915"/>
      <c r="CL306" s="1914"/>
      <c r="CM306" s="1915"/>
      <c r="CN306" s="1915"/>
      <c r="CO306" s="1915"/>
      <c r="CP306" s="1915"/>
      <c r="CQ306" s="1915"/>
      <c r="CR306" s="1914"/>
      <c r="CS306" s="1914"/>
      <c r="CT306" s="1914"/>
      <c r="CU306" s="1914"/>
      <c r="CV306" s="1914"/>
      <c r="CW306" s="1914"/>
      <c r="CX306" s="1914"/>
      <c r="CY306" s="1914"/>
      <c r="CZ306" s="1914"/>
      <c r="DA306" s="1914"/>
      <c r="DB306" s="1914"/>
      <c r="DC306" s="1914"/>
      <c r="DD306" s="1914"/>
      <c r="DE306" s="1914"/>
      <c r="DF306" s="1914"/>
      <c r="DG306" s="1914"/>
      <c r="DH306" s="1914"/>
      <c r="DI306" s="1914"/>
      <c r="DJ306" s="1914"/>
      <c r="DK306" s="1914"/>
      <c r="DL306" s="1914"/>
      <c r="DM306" s="1914"/>
      <c r="DN306" s="1914"/>
      <c r="DO306" s="1914"/>
      <c r="DP306" s="1914"/>
      <c r="DQ306" s="1914"/>
      <c r="DR306" s="1914"/>
      <c r="DS306" s="1914"/>
      <c r="DT306" s="1914"/>
    </row>
    <row r="307" spans="1:124">
      <c r="A307" s="1118">
        <f t="shared" ca="1" si="130"/>
        <v>5</v>
      </c>
      <c r="B307" s="1890">
        <f t="shared" si="166"/>
        <v>0</v>
      </c>
      <c r="C307" s="2160">
        <f t="shared" si="167"/>
        <v>0</v>
      </c>
      <c r="D307" s="2161">
        <f t="shared" si="168"/>
        <v>0</v>
      </c>
      <c r="E307" s="2162">
        <f t="shared" si="169"/>
        <v>0</v>
      </c>
      <c r="F307" s="2162">
        <f t="shared" si="170"/>
        <v>0</v>
      </c>
      <c r="G307" s="2162">
        <f t="shared" si="171"/>
        <v>0</v>
      </c>
      <c r="H307" s="2162">
        <f t="shared" si="172"/>
        <v>0</v>
      </c>
      <c r="I307" s="2162">
        <f t="shared" si="173"/>
        <v>0</v>
      </c>
      <c r="J307" s="2162">
        <f t="shared" si="174"/>
        <v>0</v>
      </c>
      <c r="K307" s="2162">
        <f t="shared" si="175"/>
        <v>0</v>
      </c>
      <c r="L307" s="2162">
        <f t="shared" si="176"/>
        <v>0</v>
      </c>
      <c r="M307" s="2162">
        <f t="shared" si="177"/>
        <v>0</v>
      </c>
      <c r="N307" s="2162">
        <f t="shared" si="178"/>
        <v>0</v>
      </c>
      <c r="O307" s="2163"/>
      <c r="P307" s="1891"/>
      <c r="Q307" s="1891"/>
      <c r="R307" s="1891"/>
      <c r="S307" s="1891"/>
      <c r="T307" s="1891"/>
      <c r="U307" s="1891"/>
      <c r="V307" s="1891"/>
      <c r="W307" s="1891"/>
      <c r="X307" s="1891"/>
      <c r="Y307" s="1891"/>
      <c r="Z307" s="1891"/>
      <c r="AA307" s="1891"/>
      <c r="AB307" s="1891"/>
      <c r="AC307" s="1891"/>
      <c r="AD307" s="1891"/>
      <c r="AE307" s="1891"/>
      <c r="AF307" s="1891"/>
      <c r="AG307" s="1891"/>
      <c r="AH307" s="1891"/>
      <c r="AI307" s="1891"/>
      <c r="AJ307" s="1989">
        <f t="shared" si="144"/>
        <v>2</v>
      </c>
      <c r="AK307" s="1900">
        <f t="shared" si="179"/>
        <v>0</v>
      </c>
      <c r="AN307" s="1901">
        <f t="shared" si="156"/>
        <v>0</v>
      </c>
      <c r="AO307" s="1906">
        <f t="shared" ca="1" si="180"/>
        <v>0</v>
      </c>
      <c r="AT307" s="1891"/>
      <c r="AU307" s="1903">
        <f t="shared" si="181"/>
        <v>0</v>
      </c>
      <c r="AV307" s="1904">
        <f t="shared" si="182"/>
        <v>0</v>
      </c>
      <c r="AW307" s="1904">
        <f t="shared" si="183"/>
        <v>0</v>
      </c>
      <c r="AX307" s="1904"/>
      <c r="AY307" s="1904"/>
      <c r="AZ307" s="1904"/>
      <c r="BA307" s="1904"/>
      <c r="BB307" s="1897">
        <f t="shared" si="184"/>
        <v>0</v>
      </c>
      <c r="BC307" s="1897">
        <f t="shared" si="185"/>
        <v>0</v>
      </c>
      <c r="BD307" s="1898" t="e">
        <f>HLOOKUP($BD$63,anticipaplus,243,0)</f>
        <v>#N/A</v>
      </c>
      <c r="BE307" s="1891"/>
      <c r="BF307" s="1891"/>
      <c r="BG307" s="1965">
        <f t="shared" si="186"/>
        <v>0</v>
      </c>
      <c r="BH307" s="1361">
        <f t="shared" si="187"/>
        <v>242</v>
      </c>
      <c r="BI307" s="1362">
        <f t="shared" si="188"/>
        <v>0</v>
      </c>
      <c r="BJ307" s="1362">
        <f t="shared" si="189"/>
        <v>0</v>
      </c>
      <c r="BK307" s="1362">
        <f t="shared" ref="BK307:BK365" si="195">MIN(BL306+BI307,BK306)</f>
        <v>0</v>
      </c>
      <c r="BL307" s="1363">
        <f t="shared" si="190"/>
        <v>1000000</v>
      </c>
      <c r="BM307" s="1891"/>
      <c r="BN307" s="1361" t="str">
        <f t="shared" si="191"/>
        <v/>
      </c>
      <c r="BO307" s="1362">
        <f t="shared" si="192"/>
        <v>0</v>
      </c>
      <c r="BP307" s="1362">
        <f t="shared" si="193"/>
        <v>0</v>
      </c>
      <c r="BQ307" s="1362">
        <f t="shared" ref="BQ307:BQ365" si="196">MIN(BR306+BO307,BQ306)</f>
        <v>0</v>
      </c>
      <c r="BR307" s="1363">
        <f t="shared" si="194"/>
        <v>0</v>
      </c>
      <c r="BT307" s="1414"/>
      <c r="CC307" s="1914"/>
      <c r="CD307" s="1914"/>
      <c r="CE307" s="1914"/>
      <c r="CF307" s="1914"/>
      <c r="CG307" s="1914"/>
      <c r="CH307" s="1915"/>
      <c r="CI307" s="1915"/>
      <c r="CJ307" s="1915"/>
      <c r="CK307" s="1915"/>
      <c r="CL307" s="1914"/>
      <c r="CM307" s="1915"/>
      <c r="CN307" s="1915"/>
      <c r="CO307" s="1915"/>
      <c r="CP307" s="1915"/>
      <c r="CQ307" s="1915"/>
      <c r="CR307" s="1914"/>
      <c r="CS307" s="1914"/>
      <c r="CT307" s="1914"/>
      <c r="CU307" s="1914"/>
      <c r="CV307" s="1914"/>
      <c r="CW307" s="1914"/>
      <c r="CX307" s="1914"/>
      <c r="CY307" s="1914"/>
      <c r="CZ307" s="1914"/>
      <c r="DA307" s="1914"/>
      <c r="DB307" s="1914"/>
      <c r="DC307" s="1914"/>
      <c r="DD307" s="1914"/>
      <c r="DE307" s="1914"/>
      <c r="DF307" s="1914"/>
      <c r="DG307" s="1914"/>
      <c r="DH307" s="1914"/>
      <c r="DI307" s="1914"/>
      <c r="DJ307" s="1914"/>
      <c r="DK307" s="1914"/>
      <c r="DL307" s="1914"/>
      <c r="DM307" s="1914"/>
      <c r="DN307" s="1914"/>
      <c r="DO307" s="1914"/>
      <c r="DP307" s="1914"/>
      <c r="DQ307" s="1914"/>
      <c r="DR307" s="1914"/>
      <c r="DS307" s="1914"/>
      <c r="DT307" s="1914"/>
    </row>
    <row r="308" spans="1:124">
      <c r="A308" s="1118">
        <f t="shared" ca="1" si="130"/>
        <v>6</v>
      </c>
      <c r="B308" s="1890">
        <f t="shared" si="166"/>
        <v>0</v>
      </c>
      <c r="C308" s="2160">
        <f t="shared" si="167"/>
        <v>0</v>
      </c>
      <c r="D308" s="2161">
        <f t="shared" si="168"/>
        <v>0</v>
      </c>
      <c r="E308" s="2162">
        <f t="shared" si="169"/>
        <v>0</v>
      </c>
      <c r="F308" s="2162">
        <f t="shared" si="170"/>
        <v>0</v>
      </c>
      <c r="G308" s="2162">
        <f t="shared" si="171"/>
        <v>0</v>
      </c>
      <c r="H308" s="2162">
        <f t="shared" si="172"/>
        <v>0</v>
      </c>
      <c r="I308" s="2162">
        <f t="shared" si="173"/>
        <v>0</v>
      </c>
      <c r="J308" s="2162">
        <f t="shared" si="174"/>
        <v>0</v>
      </c>
      <c r="K308" s="2162">
        <f t="shared" si="175"/>
        <v>0</v>
      </c>
      <c r="L308" s="2162">
        <f t="shared" si="176"/>
        <v>0</v>
      </c>
      <c r="M308" s="2162">
        <f t="shared" si="177"/>
        <v>0</v>
      </c>
      <c r="N308" s="2162">
        <f t="shared" si="178"/>
        <v>0</v>
      </c>
      <c r="O308" s="2163"/>
      <c r="P308" s="1891"/>
      <c r="Q308" s="1891"/>
      <c r="R308" s="1891"/>
      <c r="S308" s="1891"/>
      <c r="T308" s="1891"/>
      <c r="U308" s="1891"/>
      <c r="V308" s="1891"/>
      <c r="W308" s="1891"/>
      <c r="X308" s="1891"/>
      <c r="Y308" s="1891"/>
      <c r="Z308" s="1891"/>
      <c r="AA308" s="1891"/>
      <c r="AB308" s="1891"/>
      <c r="AC308" s="1891"/>
      <c r="AD308" s="1891"/>
      <c r="AE308" s="1891"/>
      <c r="AF308" s="1891"/>
      <c r="AG308" s="1891"/>
      <c r="AH308" s="1891"/>
      <c r="AI308" s="1891"/>
      <c r="AJ308" s="1989">
        <f t="shared" si="144"/>
        <v>3</v>
      </c>
      <c r="AK308" s="1900">
        <f t="shared" si="179"/>
        <v>0</v>
      </c>
      <c r="AN308" s="1901">
        <f t="shared" si="156"/>
        <v>0</v>
      </c>
      <c r="AO308" s="1906">
        <f t="shared" ca="1" si="180"/>
        <v>0</v>
      </c>
      <c r="AT308" s="1891"/>
      <c r="AU308" s="1903">
        <f t="shared" si="181"/>
        <v>0</v>
      </c>
      <c r="AV308" s="1904">
        <f t="shared" si="182"/>
        <v>0</v>
      </c>
      <c r="AW308" s="1904">
        <f t="shared" si="183"/>
        <v>0</v>
      </c>
      <c r="AX308" s="1904"/>
      <c r="AY308" s="1904"/>
      <c r="AZ308" s="1904"/>
      <c r="BA308" s="1904"/>
      <c r="BB308" s="1897">
        <f t="shared" si="184"/>
        <v>0</v>
      </c>
      <c r="BC308" s="1897">
        <f t="shared" si="185"/>
        <v>0</v>
      </c>
      <c r="BD308" s="1898" t="e">
        <f>HLOOKUP($BD$63,anticipaplus,244,0)</f>
        <v>#N/A</v>
      </c>
      <c r="BE308" s="1891"/>
      <c r="BF308" s="1891"/>
      <c r="BG308" s="1965">
        <f t="shared" si="186"/>
        <v>0</v>
      </c>
      <c r="BH308" s="1361">
        <f t="shared" si="187"/>
        <v>243</v>
      </c>
      <c r="BI308" s="1362">
        <f t="shared" si="188"/>
        <v>0</v>
      </c>
      <c r="BJ308" s="1362">
        <f t="shared" si="189"/>
        <v>0</v>
      </c>
      <c r="BK308" s="1362">
        <f t="shared" si="195"/>
        <v>0</v>
      </c>
      <c r="BL308" s="1363">
        <f t="shared" si="190"/>
        <v>1000000</v>
      </c>
      <c r="BM308" s="1891"/>
      <c r="BN308" s="1361" t="str">
        <f t="shared" si="191"/>
        <v/>
      </c>
      <c r="BO308" s="1362">
        <f t="shared" si="192"/>
        <v>0</v>
      </c>
      <c r="BP308" s="1362">
        <f t="shared" si="193"/>
        <v>0</v>
      </c>
      <c r="BQ308" s="1362">
        <f t="shared" si="196"/>
        <v>0</v>
      </c>
      <c r="BR308" s="1363">
        <f t="shared" si="194"/>
        <v>0</v>
      </c>
      <c r="BT308" s="1414"/>
      <c r="CC308" s="1914"/>
      <c r="CD308" s="1914"/>
      <c r="CE308" s="1914"/>
      <c r="CF308" s="1914"/>
      <c r="CG308" s="1914"/>
      <c r="CH308" s="1915"/>
      <c r="CI308" s="1915"/>
      <c r="CJ308" s="1915"/>
      <c r="CK308" s="1915"/>
      <c r="CL308" s="1914"/>
      <c r="CM308" s="1915"/>
      <c r="CN308" s="1915"/>
      <c r="CO308" s="1915"/>
      <c r="CP308" s="1915"/>
      <c r="CQ308" s="1915"/>
      <c r="CR308" s="1914"/>
      <c r="CS308" s="1914"/>
      <c r="CT308" s="1914"/>
      <c r="CU308" s="1914"/>
      <c r="CV308" s="1914"/>
      <c r="CW308" s="1914"/>
      <c r="CX308" s="1914"/>
      <c r="CY308" s="1914"/>
      <c r="CZ308" s="1914"/>
      <c r="DA308" s="1914"/>
      <c r="DB308" s="1914"/>
      <c r="DC308" s="1914"/>
      <c r="DD308" s="1914"/>
      <c r="DE308" s="1914"/>
      <c r="DF308" s="1914"/>
      <c r="DG308" s="1914"/>
      <c r="DH308" s="1914"/>
      <c r="DI308" s="1914"/>
      <c r="DJ308" s="1914"/>
      <c r="DK308" s="1914"/>
      <c r="DL308" s="1914"/>
      <c r="DM308" s="1914"/>
      <c r="DN308" s="1914"/>
      <c r="DO308" s="1914"/>
      <c r="DP308" s="1914"/>
      <c r="DQ308" s="1914"/>
      <c r="DR308" s="1914"/>
      <c r="DS308" s="1914"/>
      <c r="DT308" s="1914"/>
    </row>
    <row r="309" spans="1:124">
      <c r="A309" s="1118">
        <f t="shared" ca="1" si="130"/>
        <v>7</v>
      </c>
      <c r="B309" s="1890">
        <f t="shared" si="166"/>
        <v>0</v>
      </c>
      <c r="C309" s="2160">
        <f t="shared" si="167"/>
        <v>0</v>
      </c>
      <c r="D309" s="2161">
        <f t="shared" si="168"/>
        <v>0</v>
      </c>
      <c r="E309" s="2162">
        <f t="shared" si="169"/>
        <v>0</v>
      </c>
      <c r="F309" s="2162">
        <f t="shared" si="170"/>
        <v>0</v>
      </c>
      <c r="G309" s="2162">
        <f t="shared" si="171"/>
        <v>0</v>
      </c>
      <c r="H309" s="2162">
        <f t="shared" si="172"/>
        <v>0</v>
      </c>
      <c r="I309" s="2162">
        <f t="shared" si="173"/>
        <v>0</v>
      </c>
      <c r="J309" s="2162">
        <f t="shared" si="174"/>
        <v>0</v>
      </c>
      <c r="K309" s="2162">
        <f t="shared" si="175"/>
        <v>0</v>
      </c>
      <c r="L309" s="2162">
        <f t="shared" si="176"/>
        <v>0</v>
      </c>
      <c r="M309" s="2162">
        <f t="shared" si="177"/>
        <v>0</v>
      </c>
      <c r="N309" s="2162">
        <f t="shared" si="178"/>
        <v>0</v>
      </c>
      <c r="O309" s="2163"/>
      <c r="P309" s="1891"/>
      <c r="Q309" s="1891"/>
      <c r="R309" s="1891"/>
      <c r="S309" s="1891"/>
      <c r="T309" s="1891"/>
      <c r="U309" s="1891"/>
      <c r="V309" s="1891"/>
      <c r="W309" s="1891"/>
      <c r="X309" s="1891"/>
      <c r="Y309" s="1891"/>
      <c r="Z309" s="1891"/>
      <c r="AA309" s="1891"/>
      <c r="AB309" s="1891"/>
      <c r="AC309" s="1891"/>
      <c r="AD309" s="1891"/>
      <c r="AE309" s="1891"/>
      <c r="AF309" s="1891"/>
      <c r="AG309" s="1891"/>
      <c r="AH309" s="1891"/>
      <c r="AI309" s="1891"/>
      <c r="AJ309" s="1989">
        <f t="shared" si="144"/>
        <v>4</v>
      </c>
      <c r="AK309" s="1900">
        <f t="shared" si="179"/>
        <v>0</v>
      </c>
      <c r="AN309" s="1901">
        <f t="shared" si="156"/>
        <v>0</v>
      </c>
      <c r="AO309" s="1906">
        <f t="shared" ca="1" si="180"/>
        <v>0</v>
      </c>
      <c r="AT309" s="1891"/>
      <c r="AU309" s="1903">
        <f t="shared" si="181"/>
        <v>0</v>
      </c>
      <c r="AV309" s="1904">
        <f t="shared" si="182"/>
        <v>0</v>
      </c>
      <c r="AW309" s="1904">
        <f t="shared" si="183"/>
        <v>0</v>
      </c>
      <c r="AX309" s="1904"/>
      <c r="AY309" s="1904"/>
      <c r="AZ309" s="1904"/>
      <c r="BA309" s="1904"/>
      <c r="BB309" s="1897">
        <f t="shared" si="184"/>
        <v>0</v>
      </c>
      <c r="BC309" s="1897">
        <f t="shared" si="185"/>
        <v>0</v>
      </c>
      <c r="BD309" s="1898" t="e">
        <f>HLOOKUP($BD$63,anticipaplus,245,0)</f>
        <v>#N/A</v>
      </c>
      <c r="BE309" s="1891"/>
      <c r="BF309" s="1891"/>
      <c r="BG309" s="1965">
        <f t="shared" si="186"/>
        <v>0</v>
      </c>
      <c r="BH309" s="1361">
        <f t="shared" si="187"/>
        <v>244</v>
      </c>
      <c r="BI309" s="1362">
        <f t="shared" si="188"/>
        <v>0</v>
      </c>
      <c r="BJ309" s="1362">
        <f t="shared" si="189"/>
        <v>0</v>
      </c>
      <c r="BK309" s="1362">
        <f t="shared" si="195"/>
        <v>0</v>
      </c>
      <c r="BL309" s="1363">
        <f t="shared" si="190"/>
        <v>1000000</v>
      </c>
      <c r="BM309" s="1891"/>
      <c r="BN309" s="1361" t="str">
        <f t="shared" si="191"/>
        <v/>
      </c>
      <c r="BO309" s="1362">
        <f t="shared" si="192"/>
        <v>0</v>
      </c>
      <c r="BP309" s="1362">
        <f t="shared" si="193"/>
        <v>0</v>
      </c>
      <c r="BQ309" s="1362">
        <f t="shared" si="196"/>
        <v>0</v>
      </c>
      <c r="BR309" s="1363">
        <f t="shared" si="194"/>
        <v>0</v>
      </c>
      <c r="BT309" s="1414"/>
      <c r="CC309" s="1914"/>
      <c r="CD309" s="1914"/>
      <c r="CE309" s="1914"/>
      <c r="CF309" s="1914"/>
      <c r="CG309" s="1914"/>
      <c r="CH309" s="1915"/>
      <c r="CI309" s="1915"/>
      <c r="CJ309" s="1915"/>
      <c r="CK309" s="1915"/>
      <c r="CL309" s="1914"/>
      <c r="CM309" s="1915"/>
      <c r="CN309" s="1915"/>
      <c r="CO309" s="1915"/>
      <c r="CP309" s="1915"/>
      <c r="CQ309" s="1915"/>
      <c r="CR309" s="1914"/>
      <c r="CS309" s="1914"/>
      <c r="CT309" s="1914"/>
      <c r="CU309" s="1914"/>
      <c r="CV309" s="1914"/>
      <c r="CW309" s="1914"/>
      <c r="CX309" s="1914"/>
      <c r="CY309" s="1914"/>
      <c r="CZ309" s="1914"/>
      <c r="DA309" s="1914"/>
      <c r="DB309" s="1914"/>
      <c r="DC309" s="1914"/>
      <c r="DD309" s="1914"/>
      <c r="DE309" s="1914"/>
      <c r="DF309" s="1914"/>
      <c r="DG309" s="1914"/>
      <c r="DH309" s="1914"/>
      <c r="DI309" s="1914"/>
      <c r="DJ309" s="1914"/>
      <c r="DK309" s="1914"/>
      <c r="DL309" s="1914"/>
      <c r="DM309" s="1914"/>
      <c r="DN309" s="1914"/>
      <c r="DO309" s="1914"/>
      <c r="DP309" s="1914"/>
      <c r="DQ309" s="1914"/>
      <c r="DR309" s="1914"/>
      <c r="DS309" s="1914"/>
      <c r="DT309" s="1914"/>
    </row>
    <row r="310" spans="1:124">
      <c r="A310" s="1118">
        <f t="shared" ca="1" si="130"/>
        <v>8</v>
      </c>
      <c r="B310" s="1890">
        <f t="shared" si="166"/>
        <v>0</v>
      </c>
      <c r="C310" s="2160">
        <f t="shared" si="167"/>
        <v>0</v>
      </c>
      <c r="D310" s="2161">
        <f t="shared" si="168"/>
        <v>0</v>
      </c>
      <c r="E310" s="2162">
        <f t="shared" si="169"/>
        <v>0</v>
      </c>
      <c r="F310" s="2162">
        <f t="shared" si="170"/>
        <v>0</v>
      </c>
      <c r="G310" s="2162">
        <f t="shared" si="171"/>
        <v>0</v>
      </c>
      <c r="H310" s="2162">
        <f t="shared" si="172"/>
        <v>0</v>
      </c>
      <c r="I310" s="2162">
        <f t="shared" si="173"/>
        <v>0</v>
      </c>
      <c r="J310" s="2162">
        <f t="shared" si="174"/>
        <v>0</v>
      </c>
      <c r="K310" s="2162">
        <f t="shared" si="175"/>
        <v>0</v>
      </c>
      <c r="L310" s="2162">
        <f t="shared" si="176"/>
        <v>0</v>
      </c>
      <c r="M310" s="2162">
        <f t="shared" si="177"/>
        <v>0</v>
      </c>
      <c r="N310" s="2162">
        <f t="shared" si="178"/>
        <v>0</v>
      </c>
      <c r="O310" s="2163"/>
      <c r="P310" s="1891"/>
      <c r="Q310" s="1891"/>
      <c r="R310" s="1891"/>
      <c r="S310" s="1891"/>
      <c r="T310" s="1891"/>
      <c r="U310" s="1891"/>
      <c r="V310" s="1891"/>
      <c r="W310" s="1891"/>
      <c r="X310" s="1891"/>
      <c r="Y310" s="1891"/>
      <c r="Z310" s="1891"/>
      <c r="AA310" s="1891"/>
      <c r="AB310" s="1891"/>
      <c r="AC310" s="1891"/>
      <c r="AD310" s="1891"/>
      <c r="AE310" s="1891"/>
      <c r="AF310" s="1891"/>
      <c r="AG310" s="1891"/>
      <c r="AH310" s="1891"/>
      <c r="AI310" s="1891"/>
      <c r="AJ310" s="1989">
        <f t="shared" si="144"/>
        <v>5</v>
      </c>
      <c r="AK310" s="1900">
        <f t="shared" si="179"/>
        <v>0</v>
      </c>
      <c r="AN310" s="1901">
        <f t="shared" si="156"/>
        <v>0</v>
      </c>
      <c r="AO310" s="1906">
        <f t="shared" ca="1" si="180"/>
        <v>0</v>
      </c>
      <c r="AT310" s="1891"/>
      <c r="AU310" s="1903">
        <f t="shared" si="181"/>
        <v>0</v>
      </c>
      <c r="AV310" s="1904">
        <f t="shared" si="182"/>
        <v>0</v>
      </c>
      <c r="AW310" s="1904">
        <f t="shared" si="183"/>
        <v>0</v>
      </c>
      <c r="AX310" s="1904"/>
      <c r="AY310" s="1904"/>
      <c r="AZ310" s="1904"/>
      <c r="BA310" s="1904"/>
      <c r="BB310" s="1897">
        <f t="shared" si="184"/>
        <v>0</v>
      </c>
      <c r="BC310" s="1897">
        <f t="shared" si="185"/>
        <v>0</v>
      </c>
      <c r="BD310" s="1898" t="e">
        <f>HLOOKUP($BD$63,anticipaplus,246,0)</f>
        <v>#N/A</v>
      </c>
      <c r="BE310" s="1891"/>
      <c r="BF310" s="1891"/>
      <c r="BG310" s="1965">
        <f t="shared" si="186"/>
        <v>0</v>
      </c>
      <c r="BH310" s="1361">
        <f t="shared" si="187"/>
        <v>245</v>
      </c>
      <c r="BI310" s="1362">
        <f t="shared" si="188"/>
        <v>0</v>
      </c>
      <c r="BJ310" s="1362">
        <f t="shared" si="189"/>
        <v>0</v>
      </c>
      <c r="BK310" s="1362">
        <f t="shared" si="195"/>
        <v>0</v>
      </c>
      <c r="BL310" s="1363">
        <f t="shared" si="190"/>
        <v>1000000</v>
      </c>
      <c r="BM310" s="1891"/>
      <c r="BN310" s="1361" t="str">
        <f t="shared" si="191"/>
        <v/>
      </c>
      <c r="BO310" s="1362">
        <f t="shared" si="192"/>
        <v>0</v>
      </c>
      <c r="BP310" s="1362">
        <f t="shared" si="193"/>
        <v>0</v>
      </c>
      <c r="BQ310" s="1362">
        <f t="shared" si="196"/>
        <v>0</v>
      </c>
      <c r="BR310" s="1363">
        <f t="shared" si="194"/>
        <v>0</v>
      </c>
      <c r="BT310" s="1414"/>
      <c r="CC310" s="1914"/>
      <c r="CD310" s="1914"/>
      <c r="CE310" s="1914"/>
      <c r="CF310" s="1914"/>
      <c r="CG310" s="1914"/>
      <c r="CH310" s="1915"/>
      <c r="CI310" s="1915"/>
      <c r="CJ310" s="1915"/>
      <c r="CK310" s="1915"/>
      <c r="CL310" s="1914"/>
      <c r="CM310" s="1915"/>
      <c r="CN310" s="1915"/>
      <c r="CO310" s="1915"/>
      <c r="CP310" s="1915"/>
      <c r="CQ310" s="1915"/>
      <c r="CR310" s="1914"/>
      <c r="CS310" s="1914"/>
      <c r="CT310" s="1914"/>
      <c r="CU310" s="1914"/>
      <c r="CV310" s="1914"/>
      <c r="CW310" s="1914"/>
      <c r="CX310" s="1914"/>
      <c r="CY310" s="1914"/>
      <c r="CZ310" s="1914"/>
      <c r="DA310" s="1914"/>
      <c r="DB310" s="1914"/>
      <c r="DC310" s="1914"/>
      <c r="DD310" s="1914"/>
      <c r="DE310" s="1914"/>
      <c r="DF310" s="1914"/>
      <c r="DG310" s="1914"/>
      <c r="DH310" s="1914"/>
      <c r="DI310" s="1914"/>
      <c r="DJ310" s="1914"/>
      <c r="DK310" s="1914"/>
      <c r="DL310" s="1914"/>
      <c r="DM310" s="1914"/>
      <c r="DN310" s="1914"/>
      <c r="DO310" s="1914"/>
      <c r="DP310" s="1914"/>
      <c r="DQ310" s="1914"/>
      <c r="DR310" s="1914"/>
      <c r="DS310" s="1914"/>
      <c r="DT310" s="1914"/>
    </row>
    <row r="311" spans="1:124">
      <c r="A311" s="1118">
        <f t="shared" ca="1" si="130"/>
        <v>9</v>
      </c>
      <c r="B311" s="1890">
        <f t="shared" si="166"/>
        <v>0</v>
      </c>
      <c r="C311" s="2160">
        <f t="shared" si="167"/>
        <v>0</v>
      </c>
      <c r="D311" s="2161">
        <f t="shared" si="168"/>
        <v>0</v>
      </c>
      <c r="E311" s="2162">
        <f t="shared" si="169"/>
        <v>0</v>
      </c>
      <c r="F311" s="2162">
        <f t="shared" si="170"/>
        <v>0</v>
      </c>
      <c r="G311" s="2162">
        <f t="shared" si="171"/>
        <v>0</v>
      </c>
      <c r="H311" s="2162">
        <f t="shared" si="172"/>
        <v>0</v>
      </c>
      <c r="I311" s="2162">
        <f t="shared" si="173"/>
        <v>0</v>
      </c>
      <c r="J311" s="2162">
        <f t="shared" si="174"/>
        <v>0</v>
      </c>
      <c r="K311" s="2162">
        <f t="shared" si="175"/>
        <v>0</v>
      </c>
      <c r="L311" s="2162">
        <f t="shared" si="176"/>
        <v>0</v>
      </c>
      <c r="M311" s="2162">
        <f t="shared" si="177"/>
        <v>0</v>
      </c>
      <c r="N311" s="2162">
        <f t="shared" si="178"/>
        <v>0</v>
      </c>
      <c r="O311" s="2163"/>
      <c r="P311" s="1891"/>
      <c r="Q311" s="1891"/>
      <c r="R311" s="1891"/>
      <c r="S311" s="1891"/>
      <c r="T311" s="1891"/>
      <c r="U311" s="1891"/>
      <c r="V311" s="1891"/>
      <c r="W311" s="1891"/>
      <c r="X311" s="1891"/>
      <c r="Y311" s="1891"/>
      <c r="Z311" s="1891"/>
      <c r="AA311" s="1891"/>
      <c r="AB311" s="1891"/>
      <c r="AC311" s="1891"/>
      <c r="AD311" s="1891"/>
      <c r="AE311" s="1891"/>
      <c r="AF311" s="1891"/>
      <c r="AG311" s="1891"/>
      <c r="AH311" s="1891"/>
      <c r="AI311" s="1891"/>
      <c r="AJ311" s="1989">
        <f t="shared" si="144"/>
        <v>6</v>
      </c>
      <c r="AK311" s="1900">
        <f t="shared" si="179"/>
        <v>0</v>
      </c>
      <c r="AN311" s="1901">
        <f t="shared" si="156"/>
        <v>0</v>
      </c>
      <c r="AO311" s="1906">
        <f t="shared" ca="1" si="180"/>
        <v>0</v>
      </c>
      <c r="AT311" s="1891"/>
      <c r="AU311" s="1903">
        <f t="shared" si="181"/>
        <v>0</v>
      </c>
      <c r="AV311" s="1904">
        <f t="shared" si="182"/>
        <v>0</v>
      </c>
      <c r="AW311" s="1904">
        <f t="shared" si="183"/>
        <v>0</v>
      </c>
      <c r="AX311" s="1904"/>
      <c r="AY311" s="1904"/>
      <c r="AZ311" s="1904"/>
      <c r="BA311" s="1904"/>
      <c r="BB311" s="1897">
        <f t="shared" si="184"/>
        <v>0</v>
      </c>
      <c r="BC311" s="1897">
        <f t="shared" si="185"/>
        <v>0</v>
      </c>
      <c r="BD311" s="1898" t="e">
        <f>HLOOKUP($BD$63,anticipaplus,247,0)</f>
        <v>#N/A</v>
      </c>
      <c r="BE311" s="1891"/>
      <c r="BF311" s="1891"/>
      <c r="BG311" s="1965">
        <f t="shared" si="186"/>
        <v>0</v>
      </c>
      <c r="BH311" s="1361">
        <f t="shared" si="187"/>
        <v>246</v>
      </c>
      <c r="BI311" s="1362">
        <f t="shared" si="188"/>
        <v>0</v>
      </c>
      <c r="BJ311" s="1362">
        <f t="shared" si="189"/>
        <v>0</v>
      </c>
      <c r="BK311" s="1362">
        <f t="shared" si="195"/>
        <v>0</v>
      </c>
      <c r="BL311" s="1363">
        <f t="shared" si="190"/>
        <v>1000000</v>
      </c>
      <c r="BM311" s="1891"/>
      <c r="BN311" s="1361" t="str">
        <f t="shared" si="191"/>
        <v/>
      </c>
      <c r="BO311" s="1362">
        <f t="shared" si="192"/>
        <v>0</v>
      </c>
      <c r="BP311" s="1362">
        <f t="shared" si="193"/>
        <v>0</v>
      </c>
      <c r="BQ311" s="1362">
        <f t="shared" si="196"/>
        <v>0</v>
      </c>
      <c r="BR311" s="1363">
        <f t="shared" si="194"/>
        <v>0</v>
      </c>
      <c r="BT311" s="1414"/>
      <c r="CC311" s="1914"/>
      <c r="CD311" s="1914"/>
      <c r="CE311" s="1914"/>
      <c r="CF311" s="1914"/>
      <c r="CG311" s="1914"/>
      <c r="CH311" s="1915"/>
      <c r="CI311" s="1915"/>
      <c r="CJ311" s="1915"/>
      <c r="CK311" s="1915"/>
      <c r="CL311" s="1914"/>
      <c r="CM311" s="1915"/>
      <c r="CN311" s="1915"/>
      <c r="CO311" s="1915"/>
      <c r="CP311" s="1915"/>
      <c r="CQ311" s="1915"/>
      <c r="CR311" s="1914"/>
      <c r="CS311" s="1914"/>
      <c r="CT311" s="1914"/>
      <c r="CU311" s="1914"/>
      <c r="CV311" s="1914"/>
      <c r="CW311" s="1914"/>
      <c r="CX311" s="1914"/>
      <c r="CY311" s="1914"/>
      <c r="CZ311" s="1914"/>
      <c r="DA311" s="1914"/>
      <c r="DB311" s="1914"/>
      <c r="DC311" s="1914"/>
      <c r="DD311" s="1914"/>
      <c r="DE311" s="1914"/>
      <c r="DF311" s="1914"/>
      <c r="DG311" s="1914"/>
      <c r="DH311" s="1914"/>
      <c r="DI311" s="1914"/>
      <c r="DJ311" s="1914"/>
      <c r="DK311" s="1914"/>
      <c r="DL311" s="1914"/>
      <c r="DM311" s="1914"/>
      <c r="DN311" s="1914"/>
      <c r="DO311" s="1914"/>
      <c r="DP311" s="1914"/>
      <c r="DQ311" s="1914"/>
      <c r="DR311" s="1914"/>
      <c r="DS311" s="1914"/>
      <c r="DT311" s="1914"/>
    </row>
    <row r="312" spans="1:124">
      <c r="A312" s="1118">
        <f t="shared" ca="1" si="130"/>
        <v>10</v>
      </c>
      <c r="B312" s="1890">
        <f t="shared" si="166"/>
        <v>0</v>
      </c>
      <c r="C312" s="2160">
        <f t="shared" si="167"/>
        <v>0</v>
      </c>
      <c r="D312" s="2161">
        <f t="shared" si="168"/>
        <v>0</v>
      </c>
      <c r="E312" s="2162">
        <f t="shared" si="169"/>
        <v>0</v>
      </c>
      <c r="F312" s="2162">
        <f t="shared" si="170"/>
        <v>0</v>
      </c>
      <c r="G312" s="2162">
        <f t="shared" si="171"/>
        <v>0</v>
      </c>
      <c r="H312" s="2162">
        <f t="shared" si="172"/>
        <v>0</v>
      </c>
      <c r="I312" s="2162">
        <f t="shared" si="173"/>
        <v>0</v>
      </c>
      <c r="J312" s="2162">
        <f t="shared" si="174"/>
        <v>0</v>
      </c>
      <c r="K312" s="2162">
        <f t="shared" si="175"/>
        <v>0</v>
      </c>
      <c r="L312" s="2162">
        <f t="shared" si="176"/>
        <v>0</v>
      </c>
      <c r="M312" s="2162">
        <f t="shared" si="177"/>
        <v>0</v>
      </c>
      <c r="N312" s="2162">
        <f t="shared" si="178"/>
        <v>0</v>
      </c>
      <c r="O312" s="2163"/>
      <c r="P312" s="1891"/>
      <c r="Q312" s="1891"/>
      <c r="R312" s="1891"/>
      <c r="S312" s="1891"/>
      <c r="T312" s="1891"/>
      <c r="U312" s="1891"/>
      <c r="V312" s="1891"/>
      <c r="W312" s="1891"/>
      <c r="X312" s="1891"/>
      <c r="Y312" s="1891"/>
      <c r="Z312" s="1891"/>
      <c r="AA312" s="1891"/>
      <c r="AB312" s="1891"/>
      <c r="AC312" s="1891"/>
      <c r="AD312" s="1891"/>
      <c r="AE312" s="1891"/>
      <c r="AF312" s="1891"/>
      <c r="AG312" s="1891"/>
      <c r="AH312" s="1891"/>
      <c r="AI312" s="1891"/>
      <c r="AJ312" s="1989">
        <f t="shared" si="144"/>
        <v>7</v>
      </c>
      <c r="AK312" s="1900">
        <f t="shared" si="179"/>
        <v>0</v>
      </c>
      <c r="AN312" s="1901">
        <f t="shared" si="156"/>
        <v>0</v>
      </c>
      <c r="AO312" s="1906">
        <f t="shared" ca="1" si="180"/>
        <v>0</v>
      </c>
      <c r="AT312" s="1891"/>
      <c r="AU312" s="1903">
        <f t="shared" si="181"/>
        <v>0</v>
      </c>
      <c r="AV312" s="1904">
        <f t="shared" si="182"/>
        <v>0</v>
      </c>
      <c r="AW312" s="1904">
        <f t="shared" si="183"/>
        <v>0</v>
      </c>
      <c r="AX312" s="1904"/>
      <c r="AY312" s="1904"/>
      <c r="AZ312" s="1904"/>
      <c r="BA312" s="1904"/>
      <c r="BB312" s="1897">
        <f t="shared" si="184"/>
        <v>0</v>
      </c>
      <c r="BC312" s="1897">
        <f t="shared" si="185"/>
        <v>0</v>
      </c>
      <c r="BD312" s="1898" t="e">
        <f>HLOOKUP($BD$63,anticipaplus,248,0)</f>
        <v>#N/A</v>
      </c>
      <c r="BE312" s="1891"/>
      <c r="BF312" s="1891"/>
      <c r="BG312" s="1965">
        <f t="shared" si="186"/>
        <v>0</v>
      </c>
      <c r="BH312" s="1361">
        <f t="shared" si="187"/>
        <v>247</v>
      </c>
      <c r="BI312" s="1362">
        <f t="shared" si="188"/>
        <v>0</v>
      </c>
      <c r="BJ312" s="1362">
        <f t="shared" si="189"/>
        <v>0</v>
      </c>
      <c r="BK312" s="1362">
        <f t="shared" si="195"/>
        <v>0</v>
      </c>
      <c r="BL312" s="1363">
        <f t="shared" si="190"/>
        <v>1000000</v>
      </c>
      <c r="BM312" s="1891"/>
      <c r="BN312" s="1361" t="str">
        <f t="shared" si="191"/>
        <v/>
      </c>
      <c r="BO312" s="1362">
        <f t="shared" si="192"/>
        <v>0</v>
      </c>
      <c r="BP312" s="1362">
        <f t="shared" si="193"/>
        <v>0</v>
      </c>
      <c r="BQ312" s="1362">
        <f t="shared" si="196"/>
        <v>0</v>
      </c>
      <c r="BR312" s="1363">
        <f t="shared" si="194"/>
        <v>0</v>
      </c>
      <c r="BT312" s="1414"/>
      <c r="CC312" s="1914"/>
      <c r="CD312" s="1914"/>
      <c r="CE312" s="1914"/>
      <c r="CF312" s="1914"/>
      <c r="CG312" s="1914"/>
      <c r="CH312" s="1915"/>
      <c r="CI312" s="1915"/>
      <c r="CJ312" s="1915"/>
      <c r="CK312" s="1915"/>
      <c r="CL312" s="1914"/>
      <c r="CM312" s="1915"/>
      <c r="CN312" s="1915"/>
      <c r="CO312" s="1915"/>
      <c r="CP312" s="1915"/>
      <c r="CQ312" s="1915"/>
      <c r="CR312" s="1914"/>
      <c r="CS312" s="1914"/>
      <c r="CT312" s="1914"/>
      <c r="CU312" s="1914"/>
      <c r="CV312" s="1914"/>
      <c r="CW312" s="1914"/>
      <c r="CX312" s="1914"/>
      <c r="CY312" s="1914"/>
      <c r="CZ312" s="1914"/>
      <c r="DA312" s="1914"/>
      <c r="DB312" s="1914"/>
      <c r="DC312" s="1914"/>
      <c r="DD312" s="1914"/>
      <c r="DE312" s="1914"/>
      <c r="DF312" s="1914"/>
      <c r="DG312" s="1914"/>
      <c r="DH312" s="1914"/>
      <c r="DI312" s="1914"/>
      <c r="DJ312" s="1914"/>
      <c r="DK312" s="1914"/>
      <c r="DL312" s="1914"/>
      <c r="DM312" s="1914"/>
      <c r="DN312" s="1914"/>
      <c r="DO312" s="1914"/>
      <c r="DP312" s="1914"/>
      <c r="DQ312" s="1914"/>
      <c r="DR312" s="1914"/>
      <c r="DS312" s="1914"/>
      <c r="DT312" s="1914"/>
    </row>
    <row r="313" spans="1:124">
      <c r="A313" s="1118">
        <f t="shared" ca="1" si="130"/>
        <v>11</v>
      </c>
      <c r="B313" s="1890">
        <f t="shared" si="166"/>
        <v>0</v>
      </c>
      <c r="C313" s="2160">
        <f t="shared" si="167"/>
        <v>0</v>
      </c>
      <c r="D313" s="2161">
        <f t="shared" si="168"/>
        <v>0</v>
      </c>
      <c r="E313" s="2162">
        <f t="shared" si="169"/>
        <v>0</v>
      </c>
      <c r="F313" s="2162">
        <f t="shared" si="170"/>
        <v>0</v>
      </c>
      <c r="G313" s="2162">
        <f t="shared" si="171"/>
        <v>0</v>
      </c>
      <c r="H313" s="2162">
        <f t="shared" si="172"/>
        <v>0</v>
      </c>
      <c r="I313" s="2162">
        <f t="shared" si="173"/>
        <v>0</v>
      </c>
      <c r="J313" s="2162">
        <f t="shared" si="174"/>
        <v>0</v>
      </c>
      <c r="K313" s="2162">
        <f t="shared" si="175"/>
        <v>0</v>
      </c>
      <c r="L313" s="2162">
        <f t="shared" si="176"/>
        <v>0</v>
      </c>
      <c r="M313" s="2162">
        <f t="shared" si="177"/>
        <v>0</v>
      </c>
      <c r="N313" s="2162">
        <f t="shared" si="178"/>
        <v>0</v>
      </c>
      <c r="O313" s="2163"/>
      <c r="P313" s="1891"/>
      <c r="Q313" s="1891"/>
      <c r="R313" s="1891"/>
      <c r="S313" s="1891"/>
      <c r="T313" s="1891"/>
      <c r="U313" s="1891"/>
      <c r="V313" s="1891"/>
      <c r="W313" s="1891"/>
      <c r="X313" s="1891"/>
      <c r="Y313" s="1891"/>
      <c r="Z313" s="1891"/>
      <c r="AA313" s="1891"/>
      <c r="AB313" s="1891"/>
      <c r="AC313" s="1891"/>
      <c r="AD313" s="1891"/>
      <c r="AE313" s="1891"/>
      <c r="AF313" s="1891"/>
      <c r="AG313" s="1891"/>
      <c r="AH313" s="1891"/>
      <c r="AI313" s="1891"/>
      <c r="AJ313" s="1989">
        <f t="shared" si="144"/>
        <v>8</v>
      </c>
      <c r="AK313" s="1900">
        <f t="shared" si="179"/>
        <v>0</v>
      </c>
      <c r="AN313" s="1901">
        <f t="shared" si="156"/>
        <v>0</v>
      </c>
      <c r="AO313" s="1906">
        <f t="shared" ca="1" si="180"/>
        <v>0</v>
      </c>
      <c r="AT313" s="1891"/>
      <c r="AU313" s="1903">
        <f t="shared" si="181"/>
        <v>0</v>
      </c>
      <c r="AV313" s="1904">
        <f t="shared" si="182"/>
        <v>0</v>
      </c>
      <c r="AW313" s="1904">
        <f t="shared" si="183"/>
        <v>0</v>
      </c>
      <c r="AX313" s="1904"/>
      <c r="AY313" s="1904"/>
      <c r="AZ313" s="1904"/>
      <c r="BA313" s="1904"/>
      <c r="BB313" s="1897">
        <f t="shared" si="184"/>
        <v>0</v>
      </c>
      <c r="BC313" s="1897">
        <f t="shared" si="185"/>
        <v>0</v>
      </c>
      <c r="BD313" s="1898" t="e">
        <f>HLOOKUP($BD$63,anticipaplus,249,0)</f>
        <v>#N/A</v>
      </c>
      <c r="BE313" s="1891"/>
      <c r="BF313" s="1891"/>
      <c r="BG313" s="1965">
        <f t="shared" si="186"/>
        <v>0</v>
      </c>
      <c r="BH313" s="1361">
        <f t="shared" si="187"/>
        <v>248</v>
      </c>
      <c r="BI313" s="1362">
        <f t="shared" si="188"/>
        <v>0</v>
      </c>
      <c r="BJ313" s="1362">
        <f t="shared" si="189"/>
        <v>0</v>
      </c>
      <c r="BK313" s="1362">
        <f t="shared" si="195"/>
        <v>0</v>
      </c>
      <c r="BL313" s="1363">
        <f t="shared" si="190"/>
        <v>1000000</v>
      </c>
      <c r="BM313" s="1891"/>
      <c r="BN313" s="1361" t="str">
        <f t="shared" si="191"/>
        <v/>
      </c>
      <c r="BO313" s="1362">
        <f t="shared" si="192"/>
        <v>0</v>
      </c>
      <c r="BP313" s="1362">
        <f t="shared" si="193"/>
        <v>0</v>
      </c>
      <c r="BQ313" s="1362">
        <f t="shared" si="196"/>
        <v>0</v>
      </c>
      <c r="BR313" s="1363">
        <f t="shared" si="194"/>
        <v>0</v>
      </c>
      <c r="BT313" s="1414"/>
      <c r="CC313" s="1914"/>
      <c r="CD313" s="1914"/>
      <c r="CE313" s="1914"/>
      <c r="CF313" s="1914"/>
      <c r="CG313" s="1914"/>
      <c r="CH313" s="1915"/>
      <c r="CI313" s="1915"/>
      <c r="CJ313" s="1915"/>
      <c r="CK313" s="1915"/>
      <c r="CL313" s="1914"/>
      <c r="CM313" s="1915"/>
      <c r="CN313" s="1915"/>
      <c r="CO313" s="1915"/>
      <c r="CP313" s="1915"/>
      <c r="CQ313" s="1915"/>
      <c r="CR313" s="1914"/>
      <c r="CS313" s="1914"/>
      <c r="CT313" s="1914"/>
      <c r="CU313" s="1914"/>
      <c r="CV313" s="1914"/>
      <c r="CW313" s="1914"/>
      <c r="CX313" s="1914"/>
      <c r="CY313" s="1914"/>
      <c r="CZ313" s="1914"/>
      <c r="DA313" s="1914"/>
      <c r="DB313" s="1914"/>
      <c r="DC313" s="1914"/>
      <c r="DD313" s="1914"/>
      <c r="DE313" s="1914"/>
      <c r="DF313" s="1914"/>
      <c r="DG313" s="1914"/>
      <c r="DH313" s="1914"/>
      <c r="DI313" s="1914"/>
      <c r="DJ313" s="1914"/>
      <c r="DK313" s="1914"/>
      <c r="DL313" s="1914"/>
      <c r="DM313" s="1914"/>
      <c r="DN313" s="1914"/>
      <c r="DO313" s="1914"/>
      <c r="DP313" s="1914"/>
      <c r="DQ313" s="1914"/>
      <c r="DR313" s="1914"/>
      <c r="DS313" s="1914"/>
      <c r="DT313" s="1914"/>
    </row>
    <row r="314" spans="1:124">
      <c r="A314" s="1118">
        <f t="shared" ca="1" si="130"/>
        <v>12</v>
      </c>
      <c r="B314" s="1890">
        <f t="shared" si="166"/>
        <v>0</v>
      </c>
      <c r="C314" s="2160">
        <f t="shared" si="167"/>
        <v>0</v>
      </c>
      <c r="D314" s="2161">
        <f t="shared" si="168"/>
        <v>0</v>
      </c>
      <c r="E314" s="2162">
        <f t="shared" si="169"/>
        <v>0</v>
      </c>
      <c r="F314" s="2162">
        <f t="shared" si="170"/>
        <v>0</v>
      </c>
      <c r="G314" s="2162">
        <f t="shared" si="171"/>
        <v>0</v>
      </c>
      <c r="H314" s="2162">
        <f t="shared" si="172"/>
        <v>0</v>
      </c>
      <c r="I314" s="2162">
        <f t="shared" si="173"/>
        <v>0</v>
      </c>
      <c r="J314" s="2162">
        <f t="shared" si="174"/>
        <v>0</v>
      </c>
      <c r="K314" s="2162">
        <f t="shared" si="175"/>
        <v>0</v>
      </c>
      <c r="L314" s="2162">
        <f t="shared" si="176"/>
        <v>0</v>
      </c>
      <c r="M314" s="2162">
        <f t="shared" si="177"/>
        <v>0</v>
      </c>
      <c r="N314" s="2162">
        <f t="shared" si="178"/>
        <v>0</v>
      </c>
      <c r="O314" s="2163"/>
      <c r="P314" s="1891"/>
      <c r="Q314" s="1891"/>
      <c r="R314" s="1891"/>
      <c r="S314" s="1891"/>
      <c r="T314" s="1891"/>
      <c r="U314" s="1891"/>
      <c r="V314" s="1891"/>
      <c r="W314" s="1891"/>
      <c r="X314" s="1891"/>
      <c r="Y314" s="1891"/>
      <c r="Z314" s="1891"/>
      <c r="AA314" s="1891"/>
      <c r="AB314" s="1891"/>
      <c r="AC314" s="1891"/>
      <c r="AD314" s="1891"/>
      <c r="AE314" s="1891"/>
      <c r="AF314" s="1891"/>
      <c r="AG314" s="1891"/>
      <c r="AH314" s="1891"/>
      <c r="AI314" s="1891"/>
      <c r="AJ314" s="1989">
        <f t="shared" si="144"/>
        <v>9</v>
      </c>
      <c r="AK314" s="1900">
        <f t="shared" si="179"/>
        <v>0</v>
      </c>
      <c r="AN314" s="1901">
        <f t="shared" si="156"/>
        <v>0</v>
      </c>
      <c r="AO314" s="1906">
        <f t="shared" ca="1" si="180"/>
        <v>0</v>
      </c>
      <c r="AT314" s="1891"/>
      <c r="AU314" s="1903">
        <f t="shared" si="181"/>
        <v>0</v>
      </c>
      <c r="AV314" s="1904">
        <f t="shared" si="182"/>
        <v>0</v>
      </c>
      <c r="AW314" s="1904">
        <f t="shared" si="183"/>
        <v>0</v>
      </c>
      <c r="AX314" s="1904"/>
      <c r="AY314" s="1904"/>
      <c r="AZ314" s="1904"/>
      <c r="BA314" s="1904"/>
      <c r="BB314" s="1897">
        <f t="shared" si="184"/>
        <v>0</v>
      </c>
      <c r="BC314" s="1897">
        <f t="shared" si="185"/>
        <v>0</v>
      </c>
      <c r="BD314" s="1898" t="e">
        <f>HLOOKUP($BD$63,anticipaplus,250,0)</f>
        <v>#N/A</v>
      </c>
      <c r="BE314" s="1891"/>
      <c r="BF314" s="1891"/>
      <c r="BG314" s="1965">
        <f t="shared" si="186"/>
        <v>0</v>
      </c>
      <c r="BH314" s="1361">
        <f t="shared" si="187"/>
        <v>249</v>
      </c>
      <c r="BI314" s="1362">
        <f t="shared" si="188"/>
        <v>0</v>
      </c>
      <c r="BJ314" s="1362">
        <f t="shared" si="189"/>
        <v>0</v>
      </c>
      <c r="BK314" s="1362">
        <f t="shared" si="195"/>
        <v>0</v>
      </c>
      <c r="BL314" s="1363">
        <f t="shared" si="190"/>
        <v>1000000</v>
      </c>
      <c r="BM314" s="1891"/>
      <c r="BN314" s="1361" t="str">
        <f t="shared" si="191"/>
        <v/>
      </c>
      <c r="BO314" s="1362">
        <f t="shared" si="192"/>
        <v>0</v>
      </c>
      <c r="BP314" s="1362">
        <f t="shared" si="193"/>
        <v>0</v>
      </c>
      <c r="BQ314" s="1362">
        <f t="shared" si="196"/>
        <v>0</v>
      </c>
      <c r="BR314" s="1363">
        <f t="shared" si="194"/>
        <v>0</v>
      </c>
      <c r="BT314" s="1414"/>
      <c r="CC314" s="1914"/>
      <c r="CD314" s="1914"/>
      <c r="CE314" s="1914"/>
      <c r="CF314" s="1914"/>
      <c r="CG314" s="1914"/>
      <c r="CH314" s="1915"/>
      <c r="CI314" s="1915"/>
      <c r="CJ314" s="1915"/>
      <c r="CK314" s="1915"/>
      <c r="CL314" s="1914"/>
      <c r="CM314" s="1915"/>
      <c r="CN314" s="1915"/>
      <c r="CO314" s="1915"/>
      <c r="CP314" s="1915"/>
      <c r="CQ314" s="1915"/>
      <c r="CR314" s="1914"/>
      <c r="CS314" s="1914"/>
      <c r="CT314" s="1914"/>
      <c r="CU314" s="1914"/>
      <c r="CV314" s="1914"/>
      <c r="CW314" s="1914"/>
      <c r="CX314" s="1914"/>
      <c r="CY314" s="1914"/>
      <c r="CZ314" s="1914"/>
      <c r="DA314" s="1914"/>
      <c r="DB314" s="1914"/>
      <c r="DC314" s="1914"/>
      <c r="DD314" s="1914"/>
      <c r="DE314" s="1914"/>
      <c r="DF314" s="1914"/>
      <c r="DG314" s="1914"/>
      <c r="DH314" s="1914"/>
      <c r="DI314" s="1914"/>
      <c r="DJ314" s="1914"/>
      <c r="DK314" s="1914"/>
      <c r="DL314" s="1914"/>
      <c r="DM314" s="1914"/>
      <c r="DN314" s="1914"/>
      <c r="DO314" s="1914"/>
      <c r="DP314" s="1914"/>
      <c r="DQ314" s="1914"/>
      <c r="DR314" s="1914"/>
      <c r="DS314" s="1914"/>
      <c r="DT314" s="1914"/>
    </row>
    <row r="315" spans="1:124">
      <c r="A315" s="1118">
        <f t="shared" ca="1" si="130"/>
        <v>1</v>
      </c>
      <c r="B315" s="1890">
        <f t="shared" si="166"/>
        <v>0</v>
      </c>
      <c r="C315" s="2160">
        <f t="shared" si="167"/>
        <v>0</v>
      </c>
      <c r="D315" s="2161">
        <f t="shared" si="168"/>
        <v>0</v>
      </c>
      <c r="E315" s="2162">
        <f t="shared" si="169"/>
        <v>0</v>
      </c>
      <c r="F315" s="2162">
        <f t="shared" si="170"/>
        <v>0</v>
      </c>
      <c r="G315" s="2162">
        <f t="shared" si="171"/>
        <v>0</v>
      </c>
      <c r="H315" s="2162">
        <f t="shared" si="172"/>
        <v>0</v>
      </c>
      <c r="I315" s="2162">
        <f t="shared" si="173"/>
        <v>0</v>
      </c>
      <c r="J315" s="2162">
        <f t="shared" si="174"/>
        <v>0</v>
      </c>
      <c r="K315" s="2162">
        <f t="shared" si="175"/>
        <v>0</v>
      </c>
      <c r="L315" s="2162">
        <f t="shared" si="176"/>
        <v>0</v>
      </c>
      <c r="M315" s="2162">
        <f t="shared" si="177"/>
        <v>0</v>
      </c>
      <c r="N315" s="2162">
        <f t="shared" si="178"/>
        <v>0</v>
      </c>
      <c r="O315" s="2163"/>
      <c r="P315" s="1891"/>
      <c r="Q315" s="1891"/>
      <c r="R315" s="1891"/>
      <c r="S315" s="1891"/>
      <c r="T315" s="1891"/>
      <c r="U315" s="1891"/>
      <c r="V315" s="1891"/>
      <c r="W315" s="1891"/>
      <c r="X315" s="1891"/>
      <c r="Y315" s="1891"/>
      <c r="Z315" s="1891"/>
      <c r="AA315" s="1891"/>
      <c r="AB315" s="1891"/>
      <c r="AC315" s="1891"/>
      <c r="AD315" s="1891"/>
      <c r="AE315" s="1891"/>
      <c r="AF315" s="1891"/>
      <c r="AG315" s="1891"/>
      <c r="AH315" s="1891"/>
      <c r="AI315" s="1891"/>
      <c r="AJ315" s="1989">
        <f t="shared" si="144"/>
        <v>10</v>
      </c>
      <c r="AK315" s="1900">
        <f t="shared" si="179"/>
        <v>0</v>
      </c>
      <c r="AN315" s="1901">
        <f t="shared" si="156"/>
        <v>0</v>
      </c>
      <c r="AO315" s="1906">
        <f t="shared" ca="1" si="180"/>
        <v>0</v>
      </c>
      <c r="AT315" s="1891"/>
      <c r="AU315" s="1903">
        <f t="shared" si="181"/>
        <v>0</v>
      </c>
      <c r="AV315" s="1904">
        <f t="shared" si="182"/>
        <v>0</v>
      </c>
      <c r="AW315" s="1904">
        <f t="shared" si="183"/>
        <v>0</v>
      </c>
      <c r="AX315" s="1904"/>
      <c r="AY315" s="1904"/>
      <c r="AZ315" s="1904"/>
      <c r="BA315" s="1904"/>
      <c r="BB315" s="1897">
        <f t="shared" si="184"/>
        <v>0</v>
      </c>
      <c r="BC315" s="1897">
        <f t="shared" si="185"/>
        <v>0</v>
      </c>
      <c r="BD315" s="1898" t="e">
        <f>HLOOKUP($BD$63,anticipaplus,251,0)</f>
        <v>#N/A</v>
      </c>
      <c r="BE315" s="1891"/>
      <c r="BF315" s="1891"/>
      <c r="BG315" s="1965">
        <f t="shared" si="186"/>
        <v>0</v>
      </c>
      <c r="BH315" s="1361">
        <f t="shared" si="187"/>
        <v>250</v>
      </c>
      <c r="BI315" s="1362">
        <f t="shared" si="188"/>
        <v>0</v>
      </c>
      <c r="BJ315" s="1362">
        <f t="shared" si="189"/>
        <v>0</v>
      </c>
      <c r="BK315" s="1362">
        <f t="shared" si="195"/>
        <v>0</v>
      </c>
      <c r="BL315" s="1363">
        <f t="shared" si="190"/>
        <v>1000000</v>
      </c>
      <c r="BM315" s="1891"/>
      <c r="BN315" s="1361" t="str">
        <f t="shared" si="191"/>
        <v/>
      </c>
      <c r="BO315" s="1362">
        <f t="shared" si="192"/>
        <v>0</v>
      </c>
      <c r="BP315" s="1362">
        <f t="shared" si="193"/>
        <v>0</v>
      </c>
      <c r="BQ315" s="1362">
        <f t="shared" si="196"/>
        <v>0</v>
      </c>
      <c r="BR315" s="1363">
        <f t="shared" si="194"/>
        <v>0</v>
      </c>
      <c r="BT315" s="1414"/>
      <c r="CC315" s="1914"/>
      <c r="CD315" s="1914"/>
      <c r="CE315" s="1914"/>
      <c r="CF315" s="1914"/>
      <c r="CG315" s="1914"/>
      <c r="CH315" s="1915"/>
      <c r="CI315" s="1915"/>
      <c r="CJ315" s="1915"/>
      <c r="CK315" s="1915"/>
      <c r="CL315" s="1914"/>
      <c r="CM315" s="1915"/>
      <c r="CN315" s="1915"/>
      <c r="CO315" s="1915"/>
      <c r="CP315" s="1915"/>
      <c r="CQ315" s="1915"/>
      <c r="CR315" s="1914"/>
      <c r="CS315" s="1914"/>
      <c r="CT315" s="1914"/>
      <c r="CU315" s="1914"/>
      <c r="CV315" s="1914"/>
      <c r="CW315" s="1914"/>
      <c r="CX315" s="1914"/>
      <c r="CY315" s="1914"/>
      <c r="CZ315" s="1914"/>
      <c r="DA315" s="1914"/>
      <c r="DB315" s="1914"/>
      <c r="DC315" s="1914"/>
      <c r="DD315" s="1914"/>
      <c r="DE315" s="1914"/>
      <c r="DF315" s="1914"/>
      <c r="DG315" s="1914"/>
      <c r="DH315" s="1914"/>
      <c r="DI315" s="1914"/>
      <c r="DJ315" s="1914"/>
      <c r="DK315" s="1914"/>
      <c r="DL315" s="1914"/>
      <c r="DM315" s="1914"/>
      <c r="DN315" s="1914"/>
      <c r="DO315" s="1914"/>
      <c r="DP315" s="1914"/>
      <c r="DQ315" s="1914"/>
      <c r="DR315" s="1914"/>
      <c r="DS315" s="1914"/>
      <c r="DT315" s="1914"/>
    </row>
    <row r="316" spans="1:124">
      <c r="A316" s="1118">
        <f t="shared" ca="1" si="130"/>
        <v>2</v>
      </c>
      <c r="B316" s="1890">
        <f t="shared" si="166"/>
        <v>0</v>
      </c>
      <c r="C316" s="2160">
        <f t="shared" si="167"/>
        <v>0</v>
      </c>
      <c r="D316" s="2161">
        <f t="shared" si="168"/>
        <v>0</v>
      </c>
      <c r="E316" s="2162">
        <f t="shared" si="169"/>
        <v>0</v>
      </c>
      <c r="F316" s="2162">
        <f t="shared" si="170"/>
        <v>0</v>
      </c>
      <c r="G316" s="2162">
        <f t="shared" si="171"/>
        <v>0</v>
      </c>
      <c r="H316" s="2162">
        <f t="shared" si="172"/>
        <v>0</v>
      </c>
      <c r="I316" s="2162">
        <f t="shared" si="173"/>
        <v>0</v>
      </c>
      <c r="J316" s="2162">
        <f t="shared" si="174"/>
        <v>0</v>
      </c>
      <c r="K316" s="2162">
        <f t="shared" si="175"/>
        <v>0</v>
      </c>
      <c r="L316" s="2162">
        <f t="shared" si="176"/>
        <v>0</v>
      </c>
      <c r="M316" s="2162">
        <f t="shared" si="177"/>
        <v>0</v>
      </c>
      <c r="N316" s="2162">
        <f t="shared" si="178"/>
        <v>0</v>
      </c>
      <c r="O316" s="2163"/>
      <c r="P316" s="1891"/>
      <c r="Q316" s="1891"/>
      <c r="R316" s="1891"/>
      <c r="S316" s="1891"/>
      <c r="T316" s="1891"/>
      <c r="U316" s="1891"/>
      <c r="V316" s="1891"/>
      <c r="W316" s="1891"/>
      <c r="X316" s="1891"/>
      <c r="Y316" s="1891"/>
      <c r="Z316" s="1891"/>
      <c r="AA316" s="1891"/>
      <c r="AB316" s="1891"/>
      <c r="AC316" s="1891"/>
      <c r="AD316" s="1891"/>
      <c r="AE316" s="1891"/>
      <c r="AF316" s="1891"/>
      <c r="AG316" s="1891"/>
      <c r="AH316" s="1891"/>
      <c r="AI316" s="1891"/>
      <c r="AJ316" s="1989">
        <f t="shared" si="144"/>
        <v>11</v>
      </c>
      <c r="AK316" s="1900">
        <f t="shared" si="179"/>
        <v>0</v>
      </c>
      <c r="AN316" s="1901">
        <f t="shared" si="156"/>
        <v>0</v>
      </c>
      <c r="AO316" s="1906">
        <f t="shared" ca="1" si="180"/>
        <v>0</v>
      </c>
      <c r="AT316" s="1891"/>
      <c r="AU316" s="1903">
        <f t="shared" si="181"/>
        <v>0</v>
      </c>
      <c r="AV316" s="1904">
        <f t="shared" si="182"/>
        <v>0</v>
      </c>
      <c r="AW316" s="1904">
        <f t="shared" si="183"/>
        <v>0</v>
      </c>
      <c r="AX316" s="1904"/>
      <c r="AY316" s="1904"/>
      <c r="AZ316" s="1904"/>
      <c r="BA316" s="1904"/>
      <c r="BB316" s="1897">
        <f t="shared" si="184"/>
        <v>0</v>
      </c>
      <c r="BC316" s="1897">
        <f t="shared" si="185"/>
        <v>0</v>
      </c>
      <c r="BD316" s="1898" t="e">
        <f>HLOOKUP($BD$63,anticipaplus,252,0)</f>
        <v>#N/A</v>
      </c>
      <c r="BE316" s="1891"/>
      <c r="BF316" s="1891"/>
      <c r="BG316" s="1965">
        <f t="shared" si="186"/>
        <v>0</v>
      </c>
      <c r="BH316" s="1361">
        <f t="shared" si="187"/>
        <v>251</v>
      </c>
      <c r="BI316" s="1362">
        <f t="shared" si="188"/>
        <v>0</v>
      </c>
      <c r="BJ316" s="1362">
        <f t="shared" si="189"/>
        <v>0</v>
      </c>
      <c r="BK316" s="1362">
        <f t="shared" si="195"/>
        <v>0</v>
      </c>
      <c r="BL316" s="1363">
        <f t="shared" si="190"/>
        <v>1000000</v>
      </c>
      <c r="BM316" s="1891"/>
      <c r="BN316" s="1361" t="str">
        <f t="shared" si="191"/>
        <v/>
      </c>
      <c r="BO316" s="1362">
        <f t="shared" si="192"/>
        <v>0</v>
      </c>
      <c r="BP316" s="1362">
        <f t="shared" si="193"/>
        <v>0</v>
      </c>
      <c r="BQ316" s="1362">
        <f t="shared" si="196"/>
        <v>0</v>
      </c>
      <c r="BR316" s="1363">
        <f t="shared" si="194"/>
        <v>0</v>
      </c>
      <c r="BT316" s="1414"/>
      <c r="CC316" s="1914"/>
      <c r="CD316" s="1914"/>
      <c r="CE316" s="1914"/>
      <c r="CF316" s="1914"/>
      <c r="CG316" s="1914"/>
      <c r="CH316" s="1915"/>
      <c r="CI316" s="1915"/>
      <c r="CJ316" s="1915"/>
      <c r="CK316" s="1915"/>
      <c r="CL316" s="1914"/>
      <c r="CM316" s="1915"/>
      <c r="CN316" s="1915"/>
      <c r="CO316" s="1915"/>
      <c r="CP316" s="1915"/>
      <c r="CQ316" s="1915"/>
      <c r="CR316" s="1914"/>
      <c r="CS316" s="1914"/>
      <c r="CT316" s="1914"/>
      <c r="CU316" s="1914"/>
      <c r="CV316" s="1914"/>
      <c r="CW316" s="1914"/>
      <c r="CX316" s="1914"/>
      <c r="CY316" s="1914"/>
      <c r="CZ316" s="1914"/>
      <c r="DA316" s="1914"/>
      <c r="DB316" s="1914"/>
      <c r="DC316" s="1914"/>
      <c r="DD316" s="1914"/>
      <c r="DE316" s="1914"/>
      <c r="DF316" s="1914"/>
      <c r="DG316" s="1914"/>
      <c r="DH316" s="1914"/>
      <c r="DI316" s="1914"/>
      <c r="DJ316" s="1914"/>
      <c r="DK316" s="1914"/>
      <c r="DL316" s="1914"/>
      <c r="DM316" s="1914"/>
      <c r="DN316" s="1914"/>
      <c r="DO316" s="1914"/>
      <c r="DP316" s="1914"/>
      <c r="DQ316" s="1914"/>
      <c r="DR316" s="1914"/>
      <c r="DS316" s="1914"/>
      <c r="DT316" s="1914"/>
    </row>
    <row r="317" spans="1:124">
      <c r="A317" s="1118">
        <f t="shared" ca="1" si="130"/>
        <v>3</v>
      </c>
      <c r="B317" s="1890">
        <f t="shared" si="166"/>
        <v>0</v>
      </c>
      <c r="C317" s="2160">
        <f t="shared" si="167"/>
        <v>0</v>
      </c>
      <c r="D317" s="2161">
        <f t="shared" si="168"/>
        <v>0</v>
      </c>
      <c r="E317" s="2162">
        <f t="shared" si="169"/>
        <v>0</v>
      </c>
      <c r="F317" s="2162">
        <f t="shared" si="170"/>
        <v>0</v>
      </c>
      <c r="G317" s="2162">
        <f t="shared" si="171"/>
        <v>0</v>
      </c>
      <c r="H317" s="2162">
        <f t="shared" si="172"/>
        <v>0</v>
      </c>
      <c r="I317" s="2162">
        <f t="shared" si="173"/>
        <v>0</v>
      </c>
      <c r="J317" s="2162">
        <f t="shared" si="174"/>
        <v>0</v>
      </c>
      <c r="K317" s="2162">
        <f t="shared" si="175"/>
        <v>0</v>
      </c>
      <c r="L317" s="2162">
        <f t="shared" si="176"/>
        <v>0</v>
      </c>
      <c r="M317" s="2162">
        <f t="shared" si="177"/>
        <v>0</v>
      </c>
      <c r="N317" s="2162">
        <f t="shared" si="178"/>
        <v>0</v>
      </c>
      <c r="O317" s="2163"/>
      <c r="P317" s="1891"/>
      <c r="Q317" s="1891"/>
      <c r="R317" s="1891"/>
      <c r="S317" s="1891"/>
      <c r="T317" s="1891"/>
      <c r="U317" s="1891"/>
      <c r="V317" s="1891"/>
      <c r="W317" s="1891"/>
      <c r="X317" s="1891"/>
      <c r="Y317" s="1891"/>
      <c r="Z317" s="1891"/>
      <c r="AA317" s="1891"/>
      <c r="AB317" s="1891"/>
      <c r="AC317" s="1891"/>
      <c r="AD317" s="1891"/>
      <c r="AE317" s="1891"/>
      <c r="AF317" s="1891"/>
      <c r="AG317" s="1891"/>
      <c r="AH317" s="1891"/>
      <c r="AI317" s="1891"/>
      <c r="AJ317" s="1989">
        <f t="shared" si="144"/>
        <v>12</v>
      </c>
      <c r="AK317" s="1900">
        <f t="shared" si="179"/>
        <v>0</v>
      </c>
      <c r="AN317" s="1901">
        <f t="shared" si="156"/>
        <v>0</v>
      </c>
      <c r="AO317" s="1906">
        <f t="shared" ca="1" si="180"/>
        <v>0</v>
      </c>
      <c r="AT317" s="1891"/>
      <c r="AU317" s="1903">
        <f t="shared" si="181"/>
        <v>0</v>
      </c>
      <c r="AV317" s="1904">
        <f t="shared" si="182"/>
        <v>0</v>
      </c>
      <c r="AW317" s="1904">
        <f t="shared" si="183"/>
        <v>0</v>
      </c>
      <c r="AX317" s="1904"/>
      <c r="AY317" s="1904"/>
      <c r="AZ317" s="1904"/>
      <c r="BA317" s="1904"/>
      <c r="BB317" s="1897">
        <f t="shared" si="184"/>
        <v>0</v>
      </c>
      <c r="BC317" s="1897">
        <f t="shared" si="185"/>
        <v>0</v>
      </c>
      <c r="BD317" s="1898" t="e">
        <f>HLOOKUP($BD$63,anticipaplus,253,0)</f>
        <v>#N/A</v>
      </c>
      <c r="BE317" s="1891"/>
      <c r="BF317" s="1891"/>
      <c r="BG317" s="1965">
        <f t="shared" si="186"/>
        <v>0</v>
      </c>
      <c r="BH317" s="1361">
        <f t="shared" si="187"/>
        <v>252</v>
      </c>
      <c r="BI317" s="1362">
        <f t="shared" si="188"/>
        <v>0</v>
      </c>
      <c r="BJ317" s="1362">
        <f t="shared" si="189"/>
        <v>0</v>
      </c>
      <c r="BK317" s="1362">
        <f t="shared" si="195"/>
        <v>0</v>
      </c>
      <c r="BL317" s="1363">
        <f t="shared" si="190"/>
        <v>1000000</v>
      </c>
      <c r="BM317" s="1891"/>
      <c r="BN317" s="1361" t="str">
        <f t="shared" si="191"/>
        <v/>
      </c>
      <c r="BO317" s="1362">
        <f t="shared" si="192"/>
        <v>0</v>
      </c>
      <c r="BP317" s="1362">
        <f t="shared" si="193"/>
        <v>0</v>
      </c>
      <c r="BQ317" s="1362">
        <f t="shared" si="196"/>
        <v>0</v>
      </c>
      <c r="BR317" s="1363">
        <f t="shared" si="194"/>
        <v>0</v>
      </c>
      <c r="BT317" s="1414"/>
      <c r="CC317" s="1914"/>
      <c r="CD317" s="1914"/>
      <c r="CE317" s="1914"/>
      <c r="CF317" s="1914"/>
      <c r="CG317" s="1914"/>
      <c r="CH317" s="1915"/>
      <c r="CI317" s="1915"/>
      <c r="CJ317" s="1915"/>
      <c r="CK317" s="1915"/>
      <c r="CL317" s="1914"/>
      <c r="CM317" s="1915"/>
      <c r="CN317" s="1915"/>
      <c r="CO317" s="1915"/>
      <c r="CP317" s="1915"/>
      <c r="CQ317" s="1915"/>
      <c r="CR317" s="1914"/>
      <c r="CS317" s="1914"/>
      <c r="CT317" s="1914"/>
      <c r="CU317" s="1914"/>
      <c r="CV317" s="1914"/>
      <c r="CW317" s="1914"/>
      <c r="CX317" s="1914"/>
      <c r="CY317" s="1914"/>
      <c r="CZ317" s="1914"/>
      <c r="DA317" s="1914"/>
      <c r="DB317" s="1914"/>
      <c r="DC317" s="1914"/>
      <c r="DD317" s="1914"/>
      <c r="DE317" s="1914"/>
      <c r="DF317" s="1914"/>
      <c r="DG317" s="1914"/>
      <c r="DH317" s="1914"/>
      <c r="DI317" s="1914"/>
      <c r="DJ317" s="1914"/>
      <c r="DK317" s="1914"/>
      <c r="DL317" s="1914"/>
      <c r="DM317" s="1914"/>
      <c r="DN317" s="1914"/>
      <c r="DO317" s="1914"/>
      <c r="DP317" s="1914"/>
      <c r="DQ317" s="1914"/>
      <c r="DR317" s="1914"/>
      <c r="DS317" s="1914"/>
      <c r="DT317" s="1914"/>
    </row>
    <row r="318" spans="1:124">
      <c r="A318" s="1118">
        <f t="shared" ca="1" si="130"/>
        <v>4</v>
      </c>
      <c r="B318" s="1890">
        <f t="shared" si="166"/>
        <v>0</v>
      </c>
      <c r="C318" s="2160">
        <f t="shared" si="167"/>
        <v>0</v>
      </c>
      <c r="D318" s="2161">
        <f t="shared" si="168"/>
        <v>0</v>
      </c>
      <c r="E318" s="2162">
        <f t="shared" si="169"/>
        <v>0</v>
      </c>
      <c r="F318" s="2162">
        <f t="shared" si="170"/>
        <v>0</v>
      </c>
      <c r="G318" s="2162">
        <f t="shared" si="171"/>
        <v>0</v>
      </c>
      <c r="H318" s="2162">
        <f t="shared" si="172"/>
        <v>0</v>
      </c>
      <c r="I318" s="2162">
        <f t="shared" si="173"/>
        <v>0</v>
      </c>
      <c r="J318" s="2162">
        <f t="shared" si="174"/>
        <v>0</v>
      </c>
      <c r="K318" s="2162">
        <f t="shared" si="175"/>
        <v>0</v>
      </c>
      <c r="L318" s="2162">
        <f t="shared" si="176"/>
        <v>0</v>
      </c>
      <c r="M318" s="2162">
        <f t="shared" si="177"/>
        <v>0</v>
      </c>
      <c r="N318" s="2162">
        <f t="shared" si="178"/>
        <v>0</v>
      </c>
      <c r="O318" s="2163"/>
      <c r="P318" s="1891"/>
      <c r="Q318" s="1891"/>
      <c r="R318" s="1891"/>
      <c r="S318" s="1891"/>
      <c r="T318" s="1891"/>
      <c r="U318" s="1891"/>
      <c r="V318" s="1891"/>
      <c r="W318" s="1891"/>
      <c r="X318" s="1891"/>
      <c r="Y318" s="1891"/>
      <c r="Z318" s="1891"/>
      <c r="AA318" s="1891"/>
      <c r="AB318" s="1891"/>
      <c r="AC318" s="1891"/>
      <c r="AD318" s="1891"/>
      <c r="AE318" s="1891"/>
      <c r="AF318" s="1891"/>
      <c r="AG318" s="1891"/>
      <c r="AH318" s="1891"/>
      <c r="AI318" s="1891"/>
      <c r="AJ318" s="1989">
        <f t="shared" si="144"/>
        <v>1</v>
      </c>
      <c r="AK318" s="1900">
        <f t="shared" si="179"/>
        <v>0</v>
      </c>
      <c r="AN318" s="1901">
        <f t="shared" si="156"/>
        <v>0</v>
      </c>
      <c r="AO318" s="1906">
        <f t="shared" ca="1" si="180"/>
        <v>0</v>
      </c>
      <c r="AT318" s="1891"/>
      <c r="AU318" s="1903">
        <f t="shared" si="181"/>
        <v>0</v>
      </c>
      <c r="AV318" s="1904">
        <f t="shared" si="182"/>
        <v>0</v>
      </c>
      <c r="AW318" s="1904">
        <f t="shared" si="183"/>
        <v>0</v>
      </c>
      <c r="AX318" s="1904"/>
      <c r="AY318" s="1904"/>
      <c r="AZ318" s="1904"/>
      <c r="BA318" s="1904"/>
      <c r="BB318" s="1897">
        <f t="shared" si="184"/>
        <v>0</v>
      </c>
      <c r="BC318" s="1897">
        <f t="shared" si="185"/>
        <v>0</v>
      </c>
      <c r="BD318" s="1898" t="e">
        <f>HLOOKUP($BD$63,anticipaplus,254,0)</f>
        <v>#N/A</v>
      </c>
      <c r="BE318" s="1891"/>
      <c r="BF318" s="1891"/>
      <c r="BG318" s="1965">
        <f t="shared" si="186"/>
        <v>0</v>
      </c>
      <c r="BH318" s="1377">
        <f t="shared" si="187"/>
        <v>253</v>
      </c>
      <c r="BI318" s="1378">
        <f t="shared" si="188"/>
        <v>0</v>
      </c>
      <c r="BJ318" s="1378">
        <f t="shared" si="189"/>
        <v>0</v>
      </c>
      <c r="BK318" s="1378">
        <f>MIN(BL317+BI318,BK317*(1+$BI$61))</f>
        <v>0</v>
      </c>
      <c r="BL318" s="1363">
        <f t="shared" si="190"/>
        <v>1000000</v>
      </c>
      <c r="BM318" s="1891"/>
      <c r="BN318" s="1379" t="str">
        <f t="shared" si="191"/>
        <v/>
      </c>
      <c r="BO318" s="1380">
        <f t="shared" si="192"/>
        <v>0</v>
      </c>
      <c r="BP318" s="1380">
        <f t="shared" si="193"/>
        <v>0</v>
      </c>
      <c r="BQ318" s="1380">
        <f>MIN(BR317+BO318,BQ317*(1+$BO$61))</f>
        <v>0</v>
      </c>
      <c r="BR318" s="1363">
        <f t="shared" si="194"/>
        <v>0</v>
      </c>
      <c r="BT318" s="1414"/>
      <c r="CC318" s="1914"/>
      <c r="CD318" s="1914"/>
      <c r="CE318" s="1914"/>
      <c r="CF318" s="1914"/>
      <c r="CG318" s="1914"/>
      <c r="CH318" s="1915"/>
      <c r="CI318" s="1915"/>
      <c r="CJ318" s="1915"/>
      <c r="CK318" s="1915"/>
      <c r="CL318" s="1914"/>
      <c r="CM318" s="1915"/>
      <c r="CN318" s="1915"/>
      <c r="CO318" s="1915"/>
      <c r="CP318" s="1915"/>
      <c r="CQ318" s="1915"/>
      <c r="CR318" s="1914"/>
      <c r="CS318" s="1914"/>
      <c r="CT318" s="1914"/>
      <c r="CU318" s="1914"/>
      <c r="CV318" s="1914"/>
      <c r="CW318" s="1914"/>
      <c r="CX318" s="1914"/>
      <c r="CY318" s="1914"/>
      <c r="CZ318" s="1914"/>
      <c r="DA318" s="1914"/>
      <c r="DB318" s="1914"/>
      <c r="DC318" s="1914"/>
      <c r="DD318" s="1914"/>
      <c r="DE318" s="1914"/>
      <c r="DF318" s="1914"/>
      <c r="DG318" s="1914"/>
      <c r="DH318" s="1914"/>
      <c r="DI318" s="1914"/>
      <c r="DJ318" s="1914"/>
      <c r="DK318" s="1914"/>
      <c r="DL318" s="1914"/>
      <c r="DM318" s="1914"/>
      <c r="DN318" s="1914"/>
      <c r="DO318" s="1914"/>
      <c r="DP318" s="1914"/>
      <c r="DQ318" s="1914"/>
      <c r="DR318" s="1914"/>
      <c r="DS318" s="1914"/>
      <c r="DT318" s="1914"/>
    </row>
    <row r="319" spans="1:124">
      <c r="A319" s="1118">
        <f t="shared" ca="1" si="130"/>
        <v>5</v>
      </c>
      <c r="B319" s="1890">
        <f t="shared" si="166"/>
        <v>0</v>
      </c>
      <c r="C319" s="2160">
        <f t="shared" si="167"/>
        <v>0</v>
      </c>
      <c r="D319" s="2161">
        <f t="shared" si="168"/>
        <v>0</v>
      </c>
      <c r="E319" s="2162">
        <f t="shared" si="169"/>
        <v>0</v>
      </c>
      <c r="F319" s="2162">
        <f t="shared" si="170"/>
        <v>0</v>
      </c>
      <c r="G319" s="2162">
        <f t="shared" si="171"/>
        <v>0</v>
      </c>
      <c r="H319" s="2162">
        <f t="shared" si="172"/>
        <v>0</v>
      </c>
      <c r="I319" s="2162">
        <f t="shared" si="173"/>
        <v>0</v>
      </c>
      <c r="J319" s="2162">
        <f t="shared" si="174"/>
        <v>0</v>
      </c>
      <c r="K319" s="2162">
        <f t="shared" si="175"/>
        <v>0</v>
      </c>
      <c r="L319" s="2162">
        <f t="shared" si="176"/>
        <v>0</v>
      </c>
      <c r="M319" s="2162">
        <f t="shared" si="177"/>
        <v>0</v>
      </c>
      <c r="N319" s="2162">
        <f t="shared" si="178"/>
        <v>0</v>
      </c>
      <c r="O319" s="2163"/>
      <c r="P319" s="1891"/>
      <c r="Q319" s="1891"/>
      <c r="R319" s="1891"/>
      <c r="S319" s="1891"/>
      <c r="T319" s="1891"/>
      <c r="U319" s="1891"/>
      <c r="V319" s="1891"/>
      <c r="W319" s="1891"/>
      <c r="X319" s="1891"/>
      <c r="Y319" s="1891"/>
      <c r="Z319" s="1891"/>
      <c r="AA319" s="1891"/>
      <c r="AB319" s="1891"/>
      <c r="AC319" s="1891"/>
      <c r="AD319" s="1891"/>
      <c r="AE319" s="1891"/>
      <c r="AF319" s="1891"/>
      <c r="AG319" s="1891"/>
      <c r="AH319" s="1891"/>
      <c r="AI319" s="1891"/>
      <c r="AJ319" s="1989">
        <f t="shared" si="144"/>
        <v>2</v>
      </c>
      <c r="AK319" s="1900">
        <f t="shared" si="179"/>
        <v>0</v>
      </c>
      <c r="AN319" s="1901">
        <f t="shared" si="156"/>
        <v>0</v>
      </c>
      <c r="AO319" s="1906">
        <f t="shared" ca="1" si="180"/>
        <v>0</v>
      </c>
      <c r="AT319" s="1891"/>
      <c r="AU319" s="1903">
        <f t="shared" si="181"/>
        <v>0</v>
      </c>
      <c r="AV319" s="1904">
        <f t="shared" si="182"/>
        <v>0</v>
      </c>
      <c r="AW319" s="1904">
        <f t="shared" si="183"/>
        <v>0</v>
      </c>
      <c r="AX319" s="1904"/>
      <c r="AY319" s="1904"/>
      <c r="AZ319" s="1904"/>
      <c r="BA319" s="1904"/>
      <c r="BB319" s="1897">
        <f t="shared" si="184"/>
        <v>0</v>
      </c>
      <c r="BC319" s="1897">
        <f t="shared" si="185"/>
        <v>0</v>
      </c>
      <c r="BD319" s="1898" t="e">
        <f>HLOOKUP($BD$63,anticipaplus,255,0)</f>
        <v>#N/A</v>
      </c>
      <c r="BE319" s="1891"/>
      <c r="BF319" s="1891"/>
      <c r="BG319" s="1965">
        <f t="shared" si="186"/>
        <v>0</v>
      </c>
      <c r="BH319" s="1361">
        <f t="shared" si="187"/>
        <v>254</v>
      </c>
      <c r="BI319" s="1362">
        <f t="shared" si="188"/>
        <v>0</v>
      </c>
      <c r="BJ319" s="1362">
        <f t="shared" si="189"/>
        <v>0</v>
      </c>
      <c r="BK319" s="1362">
        <f t="shared" si="195"/>
        <v>0</v>
      </c>
      <c r="BL319" s="1363">
        <f t="shared" si="190"/>
        <v>1000000</v>
      </c>
      <c r="BM319" s="1891"/>
      <c r="BN319" s="1361" t="str">
        <f t="shared" si="191"/>
        <v/>
      </c>
      <c r="BO319" s="1362">
        <f t="shared" si="192"/>
        <v>0</v>
      </c>
      <c r="BP319" s="1362">
        <f t="shared" si="193"/>
        <v>0</v>
      </c>
      <c r="BQ319" s="1362">
        <f t="shared" si="196"/>
        <v>0</v>
      </c>
      <c r="BR319" s="1363">
        <f t="shared" si="194"/>
        <v>0</v>
      </c>
      <c r="BT319" s="1414"/>
      <c r="CC319" s="1914"/>
      <c r="CD319" s="1914"/>
      <c r="CE319" s="1914"/>
      <c r="CF319" s="1914"/>
      <c r="CG319" s="1914"/>
      <c r="CH319" s="1915"/>
      <c r="CI319" s="1915"/>
      <c r="CJ319" s="1915"/>
      <c r="CK319" s="1915"/>
      <c r="CL319" s="1914"/>
      <c r="CM319" s="1915"/>
      <c r="CN319" s="1915"/>
      <c r="CO319" s="1915"/>
      <c r="CP319" s="1915"/>
      <c r="CQ319" s="1915"/>
      <c r="CR319" s="1914"/>
      <c r="CS319" s="1914"/>
      <c r="CT319" s="1914"/>
      <c r="CU319" s="1914"/>
      <c r="CV319" s="1914"/>
      <c r="CW319" s="1914"/>
      <c r="CX319" s="1914"/>
      <c r="CY319" s="1914"/>
      <c r="CZ319" s="1914"/>
      <c r="DA319" s="1914"/>
      <c r="DB319" s="1914"/>
      <c r="DC319" s="1914"/>
      <c r="DD319" s="1914"/>
      <c r="DE319" s="1914"/>
      <c r="DF319" s="1914"/>
      <c r="DG319" s="1914"/>
      <c r="DH319" s="1914"/>
      <c r="DI319" s="1914"/>
      <c r="DJ319" s="1914"/>
      <c r="DK319" s="1914"/>
      <c r="DL319" s="1914"/>
      <c r="DM319" s="1914"/>
      <c r="DN319" s="1914"/>
      <c r="DO319" s="1914"/>
      <c r="DP319" s="1914"/>
      <c r="DQ319" s="1914"/>
      <c r="DR319" s="1914"/>
      <c r="DS319" s="1914"/>
      <c r="DT319" s="1914"/>
    </row>
    <row r="320" spans="1:124">
      <c r="A320" s="1118">
        <f t="shared" ca="1" si="130"/>
        <v>6</v>
      </c>
      <c r="B320" s="1890">
        <f t="shared" si="166"/>
        <v>0</v>
      </c>
      <c r="C320" s="2160">
        <f t="shared" si="167"/>
        <v>0</v>
      </c>
      <c r="D320" s="2161">
        <f t="shared" si="168"/>
        <v>0</v>
      </c>
      <c r="E320" s="2162">
        <f t="shared" si="169"/>
        <v>0</v>
      </c>
      <c r="F320" s="2162">
        <f t="shared" si="170"/>
        <v>0</v>
      </c>
      <c r="G320" s="2162">
        <f t="shared" si="171"/>
        <v>0</v>
      </c>
      <c r="H320" s="2162">
        <f t="shared" si="172"/>
        <v>0</v>
      </c>
      <c r="I320" s="2162">
        <f t="shared" si="173"/>
        <v>0</v>
      </c>
      <c r="J320" s="2162">
        <f t="shared" si="174"/>
        <v>0</v>
      </c>
      <c r="K320" s="2162">
        <f t="shared" si="175"/>
        <v>0</v>
      </c>
      <c r="L320" s="2162">
        <f t="shared" si="176"/>
        <v>0</v>
      </c>
      <c r="M320" s="2162">
        <f t="shared" si="177"/>
        <v>0</v>
      </c>
      <c r="N320" s="2162">
        <f t="shared" si="178"/>
        <v>0</v>
      </c>
      <c r="O320" s="2163"/>
      <c r="P320" s="1891"/>
      <c r="Q320" s="1891"/>
      <c r="R320" s="1891"/>
      <c r="S320" s="1891"/>
      <c r="T320" s="1891"/>
      <c r="U320" s="1891"/>
      <c r="V320" s="1891"/>
      <c r="W320" s="1891"/>
      <c r="X320" s="1891"/>
      <c r="Y320" s="1891"/>
      <c r="Z320" s="1891"/>
      <c r="AA320" s="1891"/>
      <c r="AB320" s="1891"/>
      <c r="AC320" s="1891"/>
      <c r="AD320" s="1891"/>
      <c r="AE320" s="1891"/>
      <c r="AF320" s="1891"/>
      <c r="AG320" s="1891"/>
      <c r="AH320" s="1891"/>
      <c r="AI320" s="1891"/>
      <c r="AJ320" s="1989">
        <f t="shared" si="144"/>
        <v>3</v>
      </c>
      <c r="AK320" s="1900">
        <f t="shared" si="179"/>
        <v>0</v>
      </c>
      <c r="AN320" s="1901">
        <f t="shared" si="156"/>
        <v>0</v>
      </c>
      <c r="AO320" s="1906">
        <f t="shared" ca="1" si="180"/>
        <v>0</v>
      </c>
      <c r="AT320" s="1891"/>
      <c r="AU320" s="1903">
        <f t="shared" si="181"/>
        <v>0</v>
      </c>
      <c r="AV320" s="1904">
        <f t="shared" si="182"/>
        <v>0</v>
      </c>
      <c r="AW320" s="1904">
        <f t="shared" si="183"/>
        <v>0</v>
      </c>
      <c r="AX320" s="1904"/>
      <c r="AY320" s="1904"/>
      <c r="AZ320" s="1904"/>
      <c r="BA320" s="1904"/>
      <c r="BB320" s="1897">
        <f t="shared" si="184"/>
        <v>0</v>
      </c>
      <c r="BC320" s="1897">
        <f t="shared" si="185"/>
        <v>0</v>
      </c>
      <c r="BD320" s="1898" t="e">
        <f>HLOOKUP($BD$63,anticipaplus,256,0)</f>
        <v>#N/A</v>
      </c>
      <c r="BE320" s="1891"/>
      <c r="BF320" s="1891"/>
      <c r="BG320" s="1965">
        <f t="shared" si="186"/>
        <v>0</v>
      </c>
      <c r="BH320" s="1361">
        <f t="shared" si="187"/>
        <v>255</v>
      </c>
      <c r="BI320" s="1362">
        <f t="shared" si="188"/>
        <v>0</v>
      </c>
      <c r="BJ320" s="1362">
        <f t="shared" si="189"/>
        <v>0</v>
      </c>
      <c r="BK320" s="1362">
        <f t="shared" si="195"/>
        <v>0</v>
      </c>
      <c r="BL320" s="1363">
        <f t="shared" si="190"/>
        <v>1000000</v>
      </c>
      <c r="BM320" s="1891"/>
      <c r="BN320" s="1361" t="str">
        <f t="shared" si="191"/>
        <v/>
      </c>
      <c r="BO320" s="1362">
        <f t="shared" si="192"/>
        <v>0</v>
      </c>
      <c r="BP320" s="1362">
        <f t="shared" si="193"/>
        <v>0</v>
      </c>
      <c r="BQ320" s="1362">
        <f t="shared" si="196"/>
        <v>0</v>
      </c>
      <c r="BR320" s="1363">
        <f t="shared" si="194"/>
        <v>0</v>
      </c>
      <c r="BT320" s="1414"/>
      <c r="CC320" s="1914"/>
      <c r="CD320" s="1914"/>
      <c r="CE320" s="1914"/>
      <c r="CF320" s="1914"/>
      <c r="CG320" s="1914"/>
      <c r="CH320" s="1915"/>
      <c r="CI320" s="1915"/>
      <c r="CJ320" s="1915"/>
      <c r="CK320" s="1915"/>
      <c r="CL320" s="1914"/>
      <c r="CM320" s="1915"/>
      <c r="CN320" s="1915"/>
      <c r="CO320" s="1915"/>
      <c r="CP320" s="1915"/>
      <c r="CQ320" s="1915"/>
      <c r="CR320" s="1914"/>
      <c r="CS320" s="1914"/>
      <c r="CT320" s="1914"/>
      <c r="CU320" s="1914"/>
      <c r="CV320" s="1914"/>
      <c r="CW320" s="1914"/>
      <c r="CX320" s="1914"/>
      <c r="CY320" s="1914"/>
      <c r="CZ320" s="1914"/>
      <c r="DA320" s="1914"/>
      <c r="DB320" s="1914"/>
      <c r="DC320" s="1914"/>
      <c r="DD320" s="1914"/>
      <c r="DE320" s="1914"/>
      <c r="DF320" s="1914"/>
      <c r="DG320" s="1914"/>
      <c r="DH320" s="1914"/>
      <c r="DI320" s="1914"/>
      <c r="DJ320" s="1914"/>
      <c r="DK320" s="1914"/>
      <c r="DL320" s="1914"/>
      <c r="DM320" s="1914"/>
      <c r="DN320" s="1914"/>
      <c r="DO320" s="1914"/>
      <c r="DP320" s="1914"/>
      <c r="DQ320" s="1914"/>
      <c r="DR320" s="1914"/>
      <c r="DS320" s="1914"/>
      <c r="DT320" s="1914"/>
    </row>
    <row r="321" spans="1:124">
      <c r="A321" s="1118">
        <f t="shared" ca="1" si="130"/>
        <v>7</v>
      </c>
      <c r="B321" s="1890">
        <f t="shared" si="166"/>
        <v>0</v>
      </c>
      <c r="C321" s="2160">
        <f t="shared" si="167"/>
        <v>0</v>
      </c>
      <c r="D321" s="2161">
        <f t="shared" si="168"/>
        <v>0</v>
      </c>
      <c r="E321" s="2162">
        <f t="shared" si="169"/>
        <v>0</v>
      </c>
      <c r="F321" s="2162">
        <f t="shared" si="170"/>
        <v>0</v>
      </c>
      <c r="G321" s="2162">
        <f t="shared" si="171"/>
        <v>0</v>
      </c>
      <c r="H321" s="2162">
        <f t="shared" si="172"/>
        <v>0</v>
      </c>
      <c r="I321" s="2162">
        <f t="shared" si="173"/>
        <v>0</v>
      </c>
      <c r="J321" s="2162">
        <f t="shared" si="174"/>
        <v>0</v>
      </c>
      <c r="K321" s="2162">
        <f t="shared" si="175"/>
        <v>0</v>
      </c>
      <c r="L321" s="2162">
        <f t="shared" si="176"/>
        <v>0</v>
      </c>
      <c r="M321" s="2162">
        <f t="shared" si="177"/>
        <v>0</v>
      </c>
      <c r="N321" s="2162">
        <f t="shared" si="178"/>
        <v>0</v>
      </c>
      <c r="O321" s="2163"/>
      <c r="P321" s="1891"/>
      <c r="Q321" s="1891"/>
      <c r="R321" s="1891"/>
      <c r="S321" s="1891"/>
      <c r="T321" s="1891"/>
      <c r="U321" s="1891"/>
      <c r="V321" s="1891"/>
      <c r="W321" s="1891"/>
      <c r="X321" s="1891"/>
      <c r="Y321" s="1891"/>
      <c r="Z321" s="1891"/>
      <c r="AA321" s="1891"/>
      <c r="AB321" s="1891"/>
      <c r="AC321" s="1891"/>
      <c r="AD321" s="1891"/>
      <c r="AE321" s="1891"/>
      <c r="AF321" s="1891"/>
      <c r="AG321" s="1891"/>
      <c r="AH321" s="1891"/>
      <c r="AI321" s="1891"/>
      <c r="AJ321" s="1989">
        <f t="shared" si="144"/>
        <v>4</v>
      </c>
      <c r="AK321" s="1900">
        <f t="shared" si="179"/>
        <v>0</v>
      </c>
      <c r="AN321" s="1901">
        <f t="shared" si="156"/>
        <v>0</v>
      </c>
      <c r="AO321" s="1906">
        <f t="shared" ca="1" si="180"/>
        <v>0</v>
      </c>
      <c r="AT321" s="1891"/>
      <c r="AU321" s="1903">
        <f t="shared" si="181"/>
        <v>0</v>
      </c>
      <c r="AV321" s="1904">
        <f t="shared" si="182"/>
        <v>0</v>
      </c>
      <c r="AW321" s="1904">
        <f t="shared" si="183"/>
        <v>0</v>
      </c>
      <c r="AX321" s="1904"/>
      <c r="AY321" s="1904"/>
      <c r="AZ321" s="1904"/>
      <c r="BA321" s="1904"/>
      <c r="BB321" s="1897">
        <f t="shared" si="184"/>
        <v>0</v>
      </c>
      <c r="BC321" s="1897">
        <f t="shared" si="185"/>
        <v>0</v>
      </c>
      <c r="BD321" s="1898" t="e">
        <f>HLOOKUP($BD$63,anticipaplus,257,0)</f>
        <v>#N/A</v>
      </c>
      <c r="BE321" s="1891"/>
      <c r="BF321" s="1891"/>
      <c r="BG321" s="1965">
        <f t="shared" si="186"/>
        <v>0</v>
      </c>
      <c r="BH321" s="1361">
        <f t="shared" si="187"/>
        <v>256</v>
      </c>
      <c r="BI321" s="1362">
        <f t="shared" si="188"/>
        <v>0</v>
      </c>
      <c r="BJ321" s="1362">
        <f t="shared" si="189"/>
        <v>0</v>
      </c>
      <c r="BK321" s="1362">
        <f t="shared" si="195"/>
        <v>0</v>
      </c>
      <c r="BL321" s="1363">
        <f t="shared" si="190"/>
        <v>1000000</v>
      </c>
      <c r="BM321" s="1891"/>
      <c r="BN321" s="1361" t="str">
        <f t="shared" si="191"/>
        <v/>
      </c>
      <c r="BO321" s="1362">
        <f t="shared" si="192"/>
        <v>0</v>
      </c>
      <c r="BP321" s="1362">
        <f t="shared" si="193"/>
        <v>0</v>
      </c>
      <c r="BQ321" s="1362">
        <f t="shared" si="196"/>
        <v>0</v>
      </c>
      <c r="BR321" s="1363">
        <f t="shared" si="194"/>
        <v>0</v>
      </c>
      <c r="BT321" s="1414"/>
      <c r="CC321" s="1914"/>
      <c r="CD321" s="1914"/>
      <c r="CE321" s="1914"/>
      <c r="CF321" s="1914"/>
      <c r="CG321" s="1914"/>
      <c r="CH321" s="1915"/>
      <c r="CI321" s="1915"/>
      <c r="CJ321" s="1915"/>
      <c r="CK321" s="1915"/>
      <c r="CL321" s="1914"/>
      <c r="CM321" s="1915"/>
      <c r="CN321" s="1915"/>
      <c r="CO321" s="1915"/>
      <c r="CP321" s="1915"/>
      <c r="CQ321" s="1915"/>
      <c r="CR321" s="1914"/>
      <c r="CS321" s="1914"/>
      <c r="CT321" s="1914"/>
      <c r="CU321" s="1914"/>
      <c r="CV321" s="1914"/>
      <c r="CW321" s="1914"/>
      <c r="CX321" s="1914"/>
      <c r="CY321" s="1914"/>
      <c r="CZ321" s="1914"/>
      <c r="DA321" s="1914"/>
      <c r="DB321" s="1914"/>
      <c r="DC321" s="1914"/>
      <c r="DD321" s="1914"/>
      <c r="DE321" s="1914"/>
      <c r="DF321" s="1914"/>
      <c r="DG321" s="1914"/>
      <c r="DH321" s="1914"/>
      <c r="DI321" s="1914"/>
      <c r="DJ321" s="1914"/>
      <c r="DK321" s="1914"/>
      <c r="DL321" s="1914"/>
      <c r="DM321" s="1914"/>
      <c r="DN321" s="1914"/>
      <c r="DO321" s="1914"/>
      <c r="DP321" s="1914"/>
      <c r="DQ321" s="1914"/>
      <c r="DR321" s="1914"/>
      <c r="DS321" s="1914"/>
      <c r="DT321" s="1914"/>
    </row>
    <row r="322" spans="1:124">
      <c r="A322" s="1118">
        <f t="shared" ref="A322:A365" ca="1" si="197">IF(A321=12,1,A321+1)</f>
        <v>8</v>
      </c>
      <c r="B322" s="1890">
        <f t="shared" si="166"/>
        <v>0</v>
      </c>
      <c r="C322" s="2160">
        <f t="shared" si="167"/>
        <v>0</v>
      </c>
      <c r="D322" s="2161">
        <f t="shared" si="168"/>
        <v>0</v>
      </c>
      <c r="E322" s="2162">
        <f t="shared" si="169"/>
        <v>0</v>
      </c>
      <c r="F322" s="2162">
        <f t="shared" si="170"/>
        <v>0</v>
      </c>
      <c r="G322" s="2162">
        <f t="shared" si="171"/>
        <v>0</v>
      </c>
      <c r="H322" s="2162">
        <f t="shared" si="172"/>
        <v>0</v>
      </c>
      <c r="I322" s="2162">
        <f t="shared" si="173"/>
        <v>0</v>
      </c>
      <c r="J322" s="2162">
        <f t="shared" si="174"/>
        <v>0</v>
      </c>
      <c r="K322" s="2162">
        <f t="shared" si="175"/>
        <v>0</v>
      </c>
      <c r="L322" s="2162">
        <f t="shared" si="176"/>
        <v>0</v>
      </c>
      <c r="M322" s="2162">
        <f t="shared" si="177"/>
        <v>0</v>
      </c>
      <c r="N322" s="2162">
        <f t="shared" si="178"/>
        <v>0</v>
      </c>
      <c r="O322" s="2163"/>
      <c r="P322" s="1891"/>
      <c r="Q322" s="1891"/>
      <c r="R322" s="1891"/>
      <c r="S322" s="1891"/>
      <c r="T322" s="1891"/>
      <c r="U322" s="1891"/>
      <c r="V322" s="1891"/>
      <c r="W322" s="1891"/>
      <c r="X322" s="1891"/>
      <c r="Y322" s="1891"/>
      <c r="Z322" s="1891"/>
      <c r="AA322" s="1891"/>
      <c r="AB322" s="1891"/>
      <c r="AC322" s="1891"/>
      <c r="AD322" s="1891"/>
      <c r="AE322" s="1891"/>
      <c r="AF322" s="1891"/>
      <c r="AG322" s="1891"/>
      <c r="AH322" s="1891"/>
      <c r="AI322" s="1891"/>
      <c r="AJ322" s="1989">
        <f t="shared" si="144"/>
        <v>5</v>
      </c>
      <c r="AK322" s="1900">
        <f t="shared" si="179"/>
        <v>0</v>
      </c>
      <c r="AN322" s="1901">
        <f t="shared" si="156"/>
        <v>0</v>
      </c>
      <c r="AO322" s="1906">
        <f t="shared" ca="1" si="180"/>
        <v>0</v>
      </c>
      <c r="AT322" s="1891"/>
      <c r="AU322" s="1903">
        <f t="shared" si="181"/>
        <v>0</v>
      </c>
      <c r="AV322" s="1904">
        <f t="shared" si="182"/>
        <v>0</v>
      </c>
      <c r="AW322" s="1904">
        <f t="shared" si="183"/>
        <v>0</v>
      </c>
      <c r="AX322" s="1904"/>
      <c r="AY322" s="1904"/>
      <c r="AZ322" s="1904"/>
      <c r="BA322" s="1904"/>
      <c r="BB322" s="1897">
        <f t="shared" si="184"/>
        <v>0</v>
      </c>
      <c r="BC322" s="1897">
        <f t="shared" si="185"/>
        <v>0</v>
      </c>
      <c r="BD322" s="1898" t="e">
        <f>HLOOKUP($BD$63,anticipaplus,258,0)</f>
        <v>#N/A</v>
      </c>
      <c r="BE322" s="1891"/>
      <c r="BF322" s="1891"/>
      <c r="BG322" s="1965">
        <f t="shared" si="186"/>
        <v>0</v>
      </c>
      <c r="BH322" s="1361">
        <f t="shared" si="187"/>
        <v>257</v>
      </c>
      <c r="BI322" s="1362">
        <f t="shared" si="188"/>
        <v>0</v>
      </c>
      <c r="BJ322" s="1362">
        <f t="shared" si="189"/>
        <v>0</v>
      </c>
      <c r="BK322" s="1362">
        <f t="shared" si="195"/>
        <v>0</v>
      </c>
      <c r="BL322" s="1363">
        <f t="shared" si="190"/>
        <v>1000000</v>
      </c>
      <c r="BM322" s="1891"/>
      <c r="BN322" s="1361" t="str">
        <f t="shared" si="191"/>
        <v/>
      </c>
      <c r="BO322" s="1362">
        <f t="shared" si="192"/>
        <v>0</v>
      </c>
      <c r="BP322" s="1362">
        <f t="shared" si="193"/>
        <v>0</v>
      </c>
      <c r="BQ322" s="1362">
        <f t="shared" si="196"/>
        <v>0</v>
      </c>
      <c r="BR322" s="1363">
        <f t="shared" si="194"/>
        <v>0</v>
      </c>
      <c r="BT322" s="1414"/>
      <c r="CC322" s="1914"/>
      <c r="CD322" s="1914"/>
      <c r="CE322" s="1914"/>
      <c r="CF322" s="1914"/>
      <c r="CG322" s="1914"/>
      <c r="CH322" s="1915"/>
      <c r="CI322" s="1915"/>
      <c r="CJ322" s="1915"/>
      <c r="CK322" s="1915"/>
      <c r="CL322" s="1914"/>
      <c r="CM322" s="1915"/>
      <c r="CN322" s="1915"/>
      <c r="CO322" s="1915"/>
      <c r="CP322" s="1915"/>
      <c r="CQ322" s="1915"/>
      <c r="CR322" s="1914"/>
      <c r="CS322" s="1914"/>
      <c r="CT322" s="1914"/>
      <c r="CU322" s="1914"/>
      <c r="CV322" s="1914"/>
      <c r="CW322" s="1914"/>
      <c r="CX322" s="1914"/>
      <c r="CY322" s="1914"/>
      <c r="CZ322" s="1914"/>
      <c r="DA322" s="1914"/>
      <c r="DB322" s="1914"/>
      <c r="DC322" s="1914"/>
      <c r="DD322" s="1914"/>
      <c r="DE322" s="1914"/>
      <c r="DF322" s="1914"/>
      <c r="DG322" s="1914"/>
      <c r="DH322" s="1914"/>
      <c r="DI322" s="1914"/>
      <c r="DJ322" s="1914"/>
      <c r="DK322" s="1914"/>
      <c r="DL322" s="1914"/>
      <c r="DM322" s="1914"/>
      <c r="DN322" s="1914"/>
      <c r="DO322" s="1914"/>
      <c r="DP322" s="1914"/>
      <c r="DQ322" s="1914"/>
      <c r="DR322" s="1914"/>
      <c r="DS322" s="1914"/>
      <c r="DT322" s="1914"/>
    </row>
    <row r="323" spans="1:124">
      <c r="A323" s="1118">
        <f t="shared" ca="1" si="197"/>
        <v>9</v>
      </c>
      <c r="B323" s="1890">
        <f t="shared" si="166"/>
        <v>0</v>
      </c>
      <c r="C323" s="2160">
        <f t="shared" si="167"/>
        <v>0</v>
      </c>
      <c r="D323" s="2161">
        <f t="shared" si="168"/>
        <v>0</v>
      </c>
      <c r="E323" s="2162">
        <f t="shared" si="169"/>
        <v>0</v>
      </c>
      <c r="F323" s="2162">
        <f t="shared" si="170"/>
        <v>0</v>
      </c>
      <c r="G323" s="2162">
        <f t="shared" si="171"/>
        <v>0</v>
      </c>
      <c r="H323" s="2162">
        <f t="shared" si="172"/>
        <v>0</v>
      </c>
      <c r="I323" s="2162">
        <f t="shared" si="173"/>
        <v>0</v>
      </c>
      <c r="J323" s="2162">
        <f t="shared" si="174"/>
        <v>0</v>
      </c>
      <c r="K323" s="2162">
        <f t="shared" si="175"/>
        <v>0</v>
      </c>
      <c r="L323" s="2162">
        <f t="shared" si="176"/>
        <v>0</v>
      </c>
      <c r="M323" s="2162">
        <f t="shared" si="177"/>
        <v>0</v>
      </c>
      <c r="N323" s="2162">
        <f t="shared" si="178"/>
        <v>0</v>
      </c>
      <c r="O323" s="2163"/>
      <c r="P323" s="1891"/>
      <c r="Q323" s="1891"/>
      <c r="R323" s="1891"/>
      <c r="S323" s="1891"/>
      <c r="T323" s="1891"/>
      <c r="U323" s="1891"/>
      <c r="V323" s="1891"/>
      <c r="W323" s="1891"/>
      <c r="X323" s="1891"/>
      <c r="Y323" s="1891"/>
      <c r="Z323" s="1891"/>
      <c r="AA323" s="1891"/>
      <c r="AB323" s="1891"/>
      <c r="AC323" s="1891"/>
      <c r="AD323" s="1891"/>
      <c r="AE323" s="1891"/>
      <c r="AF323" s="1891"/>
      <c r="AG323" s="1891"/>
      <c r="AH323" s="1891"/>
      <c r="AI323" s="1891"/>
      <c r="AJ323" s="1989">
        <f t="shared" ref="AJ323:AJ365" si="198">IF(AJ322=12,1,AJ322+1)</f>
        <v>6</v>
      </c>
      <c r="AK323" s="1900">
        <f t="shared" si="179"/>
        <v>0</v>
      </c>
      <c r="AN323" s="1901">
        <f t="shared" si="156"/>
        <v>0</v>
      </c>
      <c r="AO323" s="1906">
        <f t="shared" ca="1" si="180"/>
        <v>0</v>
      </c>
      <c r="AT323" s="1891"/>
      <c r="AU323" s="1903">
        <f t="shared" si="181"/>
        <v>0</v>
      </c>
      <c r="AV323" s="1904">
        <f t="shared" si="182"/>
        <v>0</v>
      </c>
      <c r="AW323" s="1904">
        <f t="shared" si="183"/>
        <v>0</v>
      </c>
      <c r="AX323" s="1904"/>
      <c r="AY323" s="1904"/>
      <c r="AZ323" s="1904"/>
      <c r="BA323" s="1904"/>
      <c r="BB323" s="1897">
        <f t="shared" si="184"/>
        <v>0</v>
      </c>
      <c r="BC323" s="1897">
        <f t="shared" si="185"/>
        <v>0</v>
      </c>
      <c r="BD323" s="1898" t="e">
        <f>HLOOKUP($BD$63,anticipaplus,259,0)</f>
        <v>#N/A</v>
      </c>
      <c r="BE323" s="1891"/>
      <c r="BF323" s="1891"/>
      <c r="BG323" s="1965">
        <f t="shared" si="186"/>
        <v>0</v>
      </c>
      <c r="BH323" s="1361">
        <f t="shared" si="187"/>
        <v>258</v>
      </c>
      <c r="BI323" s="1362">
        <f t="shared" si="188"/>
        <v>0</v>
      </c>
      <c r="BJ323" s="1362">
        <f t="shared" si="189"/>
        <v>0</v>
      </c>
      <c r="BK323" s="1362">
        <f t="shared" si="195"/>
        <v>0</v>
      </c>
      <c r="BL323" s="1363">
        <f t="shared" si="190"/>
        <v>1000000</v>
      </c>
      <c r="BM323" s="1891"/>
      <c r="BN323" s="1361" t="str">
        <f t="shared" si="191"/>
        <v/>
      </c>
      <c r="BO323" s="1362">
        <f t="shared" si="192"/>
        <v>0</v>
      </c>
      <c r="BP323" s="1362">
        <f t="shared" si="193"/>
        <v>0</v>
      </c>
      <c r="BQ323" s="1362">
        <f t="shared" si="196"/>
        <v>0</v>
      </c>
      <c r="BR323" s="1363">
        <f t="shared" si="194"/>
        <v>0</v>
      </c>
      <c r="BT323" s="1414"/>
      <c r="CC323" s="1914"/>
      <c r="CD323" s="1914"/>
      <c r="CE323" s="1914"/>
      <c r="CF323" s="1914"/>
      <c r="CG323" s="1914"/>
      <c r="CH323" s="1915"/>
      <c r="CI323" s="1915"/>
      <c r="CJ323" s="1915"/>
      <c r="CK323" s="1915"/>
      <c r="CL323" s="1914"/>
      <c r="CM323" s="1915"/>
      <c r="CN323" s="1915"/>
      <c r="CO323" s="1915"/>
      <c r="CP323" s="1915"/>
      <c r="CQ323" s="1915"/>
      <c r="CR323" s="1914"/>
      <c r="CS323" s="1914"/>
      <c r="CT323" s="1914"/>
      <c r="CU323" s="1914"/>
      <c r="CV323" s="1914"/>
      <c r="CW323" s="1914"/>
      <c r="CX323" s="1914"/>
      <c r="CY323" s="1914"/>
      <c r="CZ323" s="1914"/>
      <c r="DA323" s="1914"/>
      <c r="DB323" s="1914"/>
      <c r="DC323" s="1914"/>
      <c r="DD323" s="1914"/>
      <c r="DE323" s="1914"/>
      <c r="DF323" s="1914"/>
      <c r="DG323" s="1914"/>
      <c r="DH323" s="1914"/>
      <c r="DI323" s="1914"/>
      <c r="DJ323" s="1914"/>
      <c r="DK323" s="1914"/>
      <c r="DL323" s="1914"/>
      <c r="DM323" s="1914"/>
      <c r="DN323" s="1914"/>
      <c r="DO323" s="1914"/>
      <c r="DP323" s="1914"/>
      <c r="DQ323" s="1914"/>
      <c r="DR323" s="1914"/>
      <c r="DS323" s="1914"/>
      <c r="DT323" s="1914"/>
    </row>
    <row r="324" spans="1:124">
      <c r="A324" s="1118">
        <f t="shared" ca="1" si="197"/>
        <v>10</v>
      </c>
      <c r="B324" s="1890">
        <f t="shared" si="166"/>
        <v>0</v>
      </c>
      <c r="C324" s="2160">
        <f t="shared" si="167"/>
        <v>0</v>
      </c>
      <c r="D324" s="2161">
        <f t="shared" si="168"/>
        <v>0</v>
      </c>
      <c r="E324" s="2162">
        <f t="shared" si="169"/>
        <v>0</v>
      </c>
      <c r="F324" s="2162">
        <f t="shared" si="170"/>
        <v>0</v>
      </c>
      <c r="G324" s="2162">
        <f t="shared" si="171"/>
        <v>0</v>
      </c>
      <c r="H324" s="2162">
        <f t="shared" si="172"/>
        <v>0</v>
      </c>
      <c r="I324" s="2162">
        <f t="shared" si="173"/>
        <v>0</v>
      </c>
      <c r="J324" s="2162">
        <f t="shared" si="174"/>
        <v>0</v>
      </c>
      <c r="K324" s="2162">
        <f t="shared" si="175"/>
        <v>0</v>
      </c>
      <c r="L324" s="2162">
        <f t="shared" si="176"/>
        <v>0</v>
      </c>
      <c r="M324" s="2162">
        <f t="shared" si="177"/>
        <v>0</v>
      </c>
      <c r="N324" s="2162">
        <f t="shared" si="178"/>
        <v>0</v>
      </c>
      <c r="O324" s="2163"/>
      <c r="P324" s="1891"/>
      <c r="Q324" s="1891"/>
      <c r="R324" s="1891"/>
      <c r="S324" s="1891"/>
      <c r="T324" s="1891"/>
      <c r="U324" s="1891"/>
      <c r="V324" s="1891"/>
      <c r="W324" s="1891"/>
      <c r="X324" s="1891"/>
      <c r="Y324" s="1891"/>
      <c r="Z324" s="1891"/>
      <c r="AA324" s="1891"/>
      <c r="AB324" s="1891"/>
      <c r="AC324" s="1891"/>
      <c r="AD324" s="1891"/>
      <c r="AE324" s="1891"/>
      <c r="AF324" s="1891"/>
      <c r="AG324" s="1891"/>
      <c r="AH324" s="1891"/>
      <c r="AI324" s="1891"/>
      <c r="AJ324" s="1989">
        <f t="shared" si="198"/>
        <v>7</v>
      </c>
      <c r="AK324" s="1900">
        <f t="shared" si="179"/>
        <v>0</v>
      </c>
      <c r="AN324" s="1901">
        <f t="shared" ref="AN324:AN365" si="199">AN323</f>
        <v>0</v>
      </c>
      <c r="AO324" s="1906">
        <f t="shared" ca="1" si="180"/>
        <v>0</v>
      </c>
      <c r="AT324" s="1891"/>
      <c r="AU324" s="1903">
        <f t="shared" si="181"/>
        <v>0</v>
      </c>
      <c r="AV324" s="1904">
        <f t="shared" si="182"/>
        <v>0</v>
      </c>
      <c r="AW324" s="1904">
        <f t="shared" si="183"/>
        <v>0</v>
      </c>
      <c r="AX324" s="1904"/>
      <c r="AY324" s="1904"/>
      <c r="AZ324" s="1904"/>
      <c r="BA324" s="1904"/>
      <c r="BB324" s="1897">
        <f t="shared" si="184"/>
        <v>0</v>
      </c>
      <c r="BC324" s="1897">
        <f t="shared" si="185"/>
        <v>0</v>
      </c>
      <c r="BD324" s="1898" t="e">
        <f>HLOOKUP($BD$63,anticipaplus,260,0)</f>
        <v>#N/A</v>
      </c>
      <c r="BE324" s="1891"/>
      <c r="BF324" s="1891"/>
      <c r="BG324" s="1965">
        <f t="shared" si="186"/>
        <v>0</v>
      </c>
      <c r="BH324" s="1361">
        <f t="shared" si="187"/>
        <v>259</v>
      </c>
      <c r="BI324" s="1362">
        <f t="shared" si="188"/>
        <v>0</v>
      </c>
      <c r="BJ324" s="1362">
        <f t="shared" si="189"/>
        <v>0</v>
      </c>
      <c r="BK324" s="1362">
        <f t="shared" si="195"/>
        <v>0</v>
      </c>
      <c r="BL324" s="1363">
        <f t="shared" si="190"/>
        <v>1000000</v>
      </c>
      <c r="BM324" s="1891"/>
      <c r="BN324" s="1361" t="str">
        <f t="shared" si="191"/>
        <v/>
      </c>
      <c r="BO324" s="1362">
        <f t="shared" si="192"/>
        <v>0</v>
      </c>
      <c r="BP324" s="1362">
        <f t="shared" si="193"/>
        <v>0</v>
      </c>
      <c r="BQ324" s="1362">
        <f t="shared" si="196"/>
        <v>0</v>
      </c>
      <c r="BR324" s="1363">
        <f t="shared" si="194"/>
        <v>0</v>
      </c>
      <c r="BT324" s="1414"/>
      <c r="CC324" s="1914"/>
      <c r="CD324" s="1914"/>
      <c r="CE324" s="1914"/>
      <c r="CF324" s="1914"/>
      <c r="CG324" s="1914"/>
      <c r="CH324" s="1915"/>
      <c r="CI324" s="1915"/>
      <c r="CJ324" s="1915"/>
      <c r="CK324" s="1915"/>
      <c r="CL324" s="1914"/>
      <c r="CM324" s="1915"/>
      <c r="CN324" s="1915"/>
      <c r="CO324" s="1915"/>
      <c r="CP324" s="1915"/>
      <c r="CQ324" s="1915"/>
      <c r="CR324" s="1914"/>
      <c r="CS324" s="1914"/>
      <c r="CT324" s="1914"/>
      <c r="CU324" s="1914"/>
      <c r="CV324" s="1914"/>
      <c r="CW324" s="1914"/>
      <c r="CX324" s="1914"/>
      <c r="CY324" s="1914"/>
      <c r="CZ324" s="1914"/>
      <c r="DA324" s="1914"/>
      <c r="DB324" s="1914"/>
      <c r="DC324" s="1914"/>
      <c r="DD324" s="1914"/>
      <c r="DE324" s="1914"/>
      <c r="DF324" s="1914"/>
      <c r="DG324" s="1914"/>
      <c r="DH324" s="1914"/>
      <c r="DI324" s="1914"/>
      <c r="DJ324" s="1914"/>
      <c r="DK324" s="1914"/>
      <c r="DL324" s="1914"/>
      <c r="DM324" s="1914"/>
      <c r="DN324" s="1914"/>
      <c r="DO324" s="1914"/>
      <c r="DP324" s="1914"/>
      <c r="DQ324" s="1914"/>
      <c r="DR324" s="1914"/>
      <c r="DS324" s="1914"/>
      <c r="DT324" s="1914"/>
    </row>
    <row r="325" spans="1:124">
      <c r="A325" s="1118">
        <f t="shared" ca="1" si="197"/>
        <v>11</v>
      </c>
      <c r="B325" s="1890">
        <f t="shared" si="166"/>
        <v>0</v>
      </c>
      <c r="C325" s="2160">
        <f t="shared" si="167"/>
        <v>0</v>
      </c>
      <c r="D325" s="2161">
        <f t="shared" si="168"/>
        <v>0</v>
      </c>
      <c r="E325" s="2162">
        <f t="shared" si="169"/>
        <v>0</v>
      </c>
      <c r="F325" s="2162">
        <f t="shared" si="170"/>
        <v>0</v>
      </c>
      <c r="G325" s="2162">
        <f t="shared" si="171"/>
        <v>0</v>
      </c>
      <c r="H325" s="2162">
        <f t="shared" si="172"/>
        <v>0</v>
      </c>
      <c r="I325" s="2162">
        <f t="shared" si="173"/>
        <v>0</v>
      </c>
      <c r="J325" s="2162">
        <f t="shared" si="174"/>
        <v>0</v>
      </c>
      <c r="K325" s="2162">
        <f t="shared" si="175"/>
        <v>0</v>
      </c>
      <c r="L325" s="2162">
        <f t="shared" si="176"/>
        <v>0</v>
      </c>
      <c r="M325" s="2162">
        <f t="shared" si="177"/>
        <v>0</v>
      </c>
      <c r="N325" s="2162">
        <f t="shared" si="178"/>
        <v>0</v>
      </c>
      <c r="O325" s="2163"/>
      <c r="P325" s="1891"/>
      <c r="Q325" s="1891"/>
      <c r="R325" s="1891"/>
      <c r="S325" s="1891"/>
      <c r="T325" s="1891"/>
      <c r="U325" s="1891"/>
      <c r="V325" s="1891"/>
      <c r="W325" s="1891"/>
      <c r="X325" s="1891"/>
      <c r="Y325" s="1891"/>
      <c r="Z325" s="1891"/>
      <c r="AA325" s="1891"/>
      <c r="AB325" s="1891"/>
      <c r="AC325" s="1891"/>
      <c r="AD325" s="1891"/>
      <c r="AE325" s="1891"/>
      <c r="AF325" s="1891"/>
      <c r="AG325" s="1891"/>
      <c r="AH325" s="1891"/>
      <c r="AI325" s="1891"/>
      <c r="AJ325" s="1989">
        <f t="shared" si="198"/>
        <v>8</v>
      </c>
      <c r="AK325" s="1900">
        <f t="shared" si="179"/>
        <v>0</v>
      </c>
      <c r="AN325" s="1901">
        <f t="shared" si="199"/>
        <v>0</v>
      </c>
      <c r="AO325" s="1906">
        <f t="shared" ca="1" si="180"/>
        <v>0</v>
      </c>
      <c r="AT325" s="1891"/>
      <c r="AU325" s="1903">
        <f t="shared" si="181"/>
        <v>0</v>
      </c>
      <c r="AV325" s="1904">
        <f t="shared" si="182"/>
        <v>0</v>
      </c>
      <c r="AW325" s="1904">
        <f t="shared" si="183"/>
        <v>0</v>
      </c>
      <c r="AX325" s="1904"/>
      <c r="AY325" s="1904"/>
      <c r="AZ325" s="1904"/>
      <c r="BA325" s="1904"/>
      <c r="BB325" s="1897">
        <f t="shared" si="184"/>
        <v>0</v>
      </c>
      <c r="BC325" s="1897">
        <f t="shared" si="185"/>
        <v>0</v>
      </c>
      <c r="BD325" s="1898" t="e">
        <f>HLOOKUP($BD$63,anticipaplus,261,0)</f>
        <v>#N/A</v>
      </c>
      <c r="BE325" s="1891"/>
      <c r="BF325" s="1891"/>
      <c r="BG325" s="1965">
        <f t="shared" si="186"/>
        <v>0</v>
      </c>
      <c r="BH325" s="1361">
        <f t="shared" si="187"/>
        <v>260</v>
      </c>
      <c r="BI325" s="1362">
        <f t="shared" si="188"/>
        <v>0</v>
      </c>
      <c r="BJ325" s="1362">
        <f t="shared" si="189"/>
        <v>0</v>
      </c>
      <c r="BK325" s="1362">
        <f t="shared" si="195"/>
        <v>0</v>
      </c>
      <c r="BL325" s="1363">
        <f t="shared" si="190"/>
        <v>1000000</v>
      </c>
      <c r="BM325" s="1891"/>
      <c r="BN325" s="1361" t="str">
        <f t="shared" si="191"/>
        <v/>
      </c>
      <c r="BO325" s="1362">
        <f t="shared" si="192"/>
        <v>0</v>
      </c>
      <c r="BP325" s="1362">
        <f t="shared" si="193"/>
        <v>0</v>
      </c>
      <c r="BQ325" s="1362">
        <f t="shared" si="196"/>
        <v>0</v>
      </c>
      <c r="BR325" s="1363">
        <f t="shared" si="194"/>
        <v>0</v>
      </c>
      <c r="BT325" s="1414"/>
      <c r="CC325" s="1914"/>
      <c r="CD325" s="1914"/>
      <c r="CE325" s="1914"/>
      <c r="CF325" s="1914"/>
      <c r="CG325" s="1914"/>
      <c r="CH325" s="1915"/>
      <c r="CI325" s="1915"/>
      <c r="CJ325" s="1915"/>
      <c r="CK325" s="1915"/>
      <c r="CL325" s="1914"/>
      <c r="CM325" s="1915"/>
      <c r="CN325" s="1915"/>
      <c r="CO325" s="1915"/>
      <c r="CP325" s="1915"/>
      <c r="CQ325" s="1915"/>
      <c r="CR325" s="1914"/>
      <c r="CS325" s="1914"/>
      <c r="CT325" s="1914"/>
      <c r="CU325" s="1914"/>
      <c r="CV325" s="1914"/>
      <c r="CW325" s="1914"/>
      <c r="CX325" s="1914"/>
      <c r="CY325" s="1914"/>
      <c r="CZ325" s="1914"/>
      <c r="DA325" s="1914"/>
      <c r="DB325" s="1914"/>
      <c r="DC325" s="1914"/>
      <c r="DD325" s="1914"/>
      <c r="DE325" s="1914"/>
      <c r="DF325" s="1914"/>
      <c r="DG325" s="1914"/>
      <c r="DH325" s="1914"/>
      <c r="DI325" s="1914"/>
      <c r="DJ325" s="1914"/>
      <c r="DK325" s="1914"/>
      <c r="DL325" s="1914"/>
      <c r="DM325" s="1914"/>
      <c r="DN325" s="1914"/>
      <c r="DO325" s="1914"/>
      <c r="DP325" s="1914"/>
      <c r="DQ325" s="1914"/>
      <c r="DR325" s="1914"/>
      <c r="DS325" s="1914"/>
      <c r="DT325" s="1914"/>
    </row>
    <row r="326" spans="1:124">
      <c r="A326" s="1118">
        <f t="shared" ca="1" si="197"/>
        <v>12</v>
      </c>
      <c r="B326" s="1890">
        <f t="shared" si="166"/>
        <v>0</v>
      </c>
      <c r="C326" s="2160">
        <f t="shared" si="167"/>
        <v>0</v>
      </c>
      <c r="D326" s="2161">
        <f t="shared" si="168"/>
        <v>0</v>
      </c>
      <c r="E326" s="2162">
        <f t="shared" si="169"/>
        <v>0</v>
      </c>
      <c r="F326" s="2162">
        <f t="shared" si="170"/>
        <v>0</v>
      </c>
      <c r="G326" s="2162">
        <f t="shared" si="171"/>
        <v>0</v>
      </c>
      <c r="H326" s="2162">
        <f t="shared" si="172"/>
        <v>0</v>
      </c>
      <c r="I326" s="2162">
        <f t="shared" si="173"/>
        <v>0</v>
      </c>
      <c r="J326" s="2162">
        <f t="shared" si="174"/>
        <v>0</v>
      </c>
      <c r="K326" s="2162">
        <f t="shared" si="175"/>
        <v>0</v>
      </c>
      <c r="L326" s="2162">
        <f t="shared" si="176"/>
        <v>0</v>
      </c>
      <c r="M326" s="2162">
        <f t="shared" si="177"/>
        <v>0</v>
      </c>
      <c r="N326" s="2162">
        <f t="shared" si="178"/>
        <v>0</v>
      </c>
      <c r="O326" s="2163"/>
      <c r="P326" s="1891"/>
      <c r="Q326" s="1891"/>
      <c r="R326" s="1891"/>
      <c r="S326" s="1891"/>
      <c r="T326" s="1891"/>
      <c r="U326" s="1891"/>
      <c r="V326" s="1891"/>
      <c r="W326" s="1891"/>
      <c r="X326" s="1891"/>
      <c r="Y326" s="1891"/>
      <c r="Z326" s="1891"/>
      <c r="AA326" s="1891"/>
      <c r="AB326" s="1891"/>
      <c r="AC326" s="1891"/>
      <c r="AD326" s="1891"/>
      <c r="AE326" s="1891"/>
      <c r="AF326" s="1891"/>
      <c r="AG326" s="1891"/>
      <c r="AH326" s="1891"/>
      <c r="AI326" s="1891"/>
      <c r="AJ326" s="1989">
        <f t="shared" si="198"/>
        <v>9</v>
      </c>
      <c r="AK326" s="1900">
        <f t="shared" si="179"/>
        <v>0</v>
      </c>
      <c r="AN326" s="1901">
        <f t="shared" si="199"/>
        <v>0</v>
      </c>
      <c r="AO326" s="1906">
        <f t="shared" ca="1" si="180"/>
        <v>0</v>
      </c>
      <c r="AT326" s="1891"/>
      <c r="AU326" s="1903">
        <f t="shared" si="181"/>
        <v>0</v>
      </c>
      <c r="AV326" s="1904">
        <f t="shared" si="182"/>
        <v>0</v>
      </c>
      <c r="AW326" s="1904">
        <f t="shared" si="183"/>
        <v>0</v>
      </c>
      <c r="AX326" s="1904"/>
      <c r="AY326" s="1904"/>
      <c r="AZ326" s="1904"/>
      <c r="BA326" s="1904"/>
      <c r="BB326" s="1897">
        <f t="shared" si="184"/>
        <v>0</v>
      </c>
      <c r="BC326" s="1897">
        <f t="shared" si="185"/>
        <v>0</v>
      </c>
      <c r="BD326" s="1898" t="e">
        <f>HLOOKUP($BD$63,anticipaplus,262,0)</f>
        <v>#N/A</v>
      </c>
      <c r="BE326" s="1891"/>
      <c r="BF326" s="1891"/>
      <c r="BG326" s="1965">
        <f t="shared" si="186"/>
        <v>0</v>
      </c>
      <c r="BH326" s="1361">
        <f t="shared" si="187"/>
        <v>261</v>
      </c>
      <c r="BI326" s="1362">
        <f t="shared" si="188"/>
        <v>0</v>
      </c>
      <c r="BJ326" s="1362">
        <f t="shared" si="189"/>
        <v>0</v>
      </c>
      <c r="BK326" s="1362">
        <f t="shared" si="195"/>
        <v>0</v>
      </c>
      <c r="BL326" s="1363">
        <f t="shared" si="190"/>
        <v>1000000</v>
      </c>
      <c r="BM326" s="1891"/>
      <c r="BN326" s="1361" t="str">
        <f t="shared" si="191"/>
        <v/>
      </c>
      <c r="BO326" s="1362">
        <f t="shared" si="192"/>
        <v>0</v>
      </c>
      <c r="BP326" s="1362">
        <f t="shared" si="193"/>
        <v>0</v>
      </c>
      <c r="BQ326" s="1362">
        <f t="shared" si="196"/>
        <v>0</v>
      </c>
      <c r="BR326" s="1363">
        <f t="shared" si="194"/>
        <v>0</v>
      </c>
      <c r="BT326" s="1414"/>
      <c r="CC326" s="1914"/>
      <c r="CD326" s="1914"/>
      <c r="CE326" s="1914"/>
      <c r="CF326" s="1914"/>
      <c r="CG326" s="1914"/>
      <c r="CH326" s="1915"/>
      <c r="CI326" s="1915"/>
      <c r="CJ326" s="1915"/>
      <c r="CK326" s="1915"/>
      <c r="CL326" s="1914"/>
      <c r="CM326" s="1915"/>
      <c r="CN326" s="1915"/>
      <c r="CO326" s="1915"/>
      <c r="CP326" s="1915"/>
      <c r="CQ326" s="1915"/>
      <c r="CR326" s="1914"/>
      <c r="CS326" s="1914"/>
      <c r="CT326" s="1914"/>
      <c r="CU326" s="1914"/>
      <c r="CV326" s="1914"/>
      <c r="CW326" s="1914"/>
      <c r="CX326" s="1914"/>
      <c r="CY326" s="1914"/>
      <c r="CZ326" s="1914"/>
      <c r="DA326" s="1914"/>
      <c r="DB326" s="1914"/>
      <c r="DC326" s="1914"/>
      <c r="DD326" s="1914"/>
      <c r="DE326" s="1914"/>
      <c r="DF326" s="1914"/>
      <c r="DG326" s="1914"/>
      <c r="DH326" s="1914"/>
      <c r="DI326" s="1914"/>
      <c r="DJ326" s="1914"/>
      <c r="DK326" s="1914"/>
      <c r="DL326" s="1914"/>
      <c r="DM326" s="1914"/>
      <c r="DN326" s="1914"/>
      <c r="DO326" s="1914"/>
      <c r="DP326" s="1914"/>
      <c r="DQ326" s="1914"/>
      <c r="DR326" s="1914"/>
      <c r="DS326" s="1914"/>
      <c r="DT326" s="1914"/>
    </row>
    <row r="327" spans="1:124">
      <c r="A327" s="1118">
        <f t="shared" ca="1" si="197"/>
        <v>1</v>
      </c>
      <c r="B327" s="1890">
        <f t="shared" si="166"/>
        <v>0</v>
      </c>
      <c r="C327" s="2160">
        <f t="shared" si="167"/>
        <v>0</v>
      </c>
      <c r="D327" s="2161">
        <f t="shared" si="168"/>
        <v>0</v>
      </c>
      <c r="E327" s="2162">
        <f t="shared" si="169"/>
        <v>0</v>
      </c>
      <c r="F327" s="2162">
        <f t="shared" si="170"/>
        <v>0</v>
      </c>
      <c r="G327" s="2162">
        <f t="shared" si="171"/>
        <v>0</v>
      </c>
      <c r="H327" s="2162">
        <f t="shared" si="172"/>
        <v>0</v>
      </c>
      <c r="I327" s="2162">
        <f t="shared" si="173"/>
        <v>0</v>
      </c>
      <c r="J327" s="2162">
        <f t="shared" si="174"/>
        <v>0</v>
      </c>
      <c r="K327" s="2162">
        <f t="shared" si="175"/>
        <v>0</v>
      </c>
      <c r="L327" s="2162">
        <f t="shared" si="176"/>
        <v>0</v>
      </c>
      <c r="M327" s="2162">
        <f t="shared" si="177"/>
        <v>0</v>
      </c>
      <c r="N327" s="2162">
        <f t="shared" si="178"/>
        <v>0</v>
      </c>
      <c r="O327" s="2163"/>
      <c r="P327" s="1891"/>
      <c r="Q327" s="1891"/>
      <c r="R327" s="1891"/>
      <c r="S327" s="1891"/>
      <c r="T327" s="1891"/>
      <c r="U327" s="1891"/>
      <c r="V327" s="1891"/>
      <c r="W327" s="1891"/>
      <c r="X327" s="1891"/>
      <c r="Y327" s="1891"/>
      <c r="Z327" s="1891"/>
      <c r="AA327" s="1891"/>
      <c r="AB327" s="1891"/>
      <c r="AC327" s="1891"/>
      <c r="AD327" s="1891"/>
      <c r="AE327" s="1891"/>
      <c r="AF327" s="1891"/>
      <c r="AG327" s="1891"/>
      <c r="AH327" s="1891"/>
      <c r="AI327" s="1891"/>
      <c r="AJ327" s="1989">
        <f t="shared" si="198"/>
        <v>10</v>
      </c>
      <c r="AK327" s="1900">
        <f t="shared" si="179"/>
        <v>0</v>
      </c>
      <c r="AN327" s="1901">
        <f t="shared" si="199"/>
        <v>0</v>
      </c>
      <c r="AO327" s="1906">
        <f t="shared" ca="1" si="180"/>
        <v>0</v>
      </c>
      <c r="AT327" s="1891"/>
      <c r="AU327" s="1903">
        <f t="shared" si="181"/>
        <v>0</v>
      </c>
      <c r="AV327" s="1904">
        <f t="shared" si="182"/>
        <v>0</v>
      </c>
      <c r="AW327" s="1904">
        <f t="shared" si="183"/>
        <v>0</v>
      </c>
      <c r="AX327" s="1904"/>
      <c r="AY327" s="1904"/>
      <c r="AZ327" s="1904"/>
      <c r="BA327" s="1904"/>
      <c r="BB327" s="1897">
        <f t="shared" si="184"/>
        <v>0</v>
      </c>
      <c r="BC327" s="1897">
        <f t="shared" si="185"/>
        <v>0</v>
      </c>
      <c r="BD327" s="1898" t="e">
        <f>HLOOKUP($BD$63,anticipaplus,263,0)</f>
        <v>#N/A</v>
      </c>
      <c r="BE327" s="1891"/>
      <c r="BF327" s="1891"/>
      <c r="BG327" s="1965">
        <f t="shared" si="186"/>
        <v>0</v>
      </c>
      <c r="BH327" s="1361">
        <f t="shared" si="187"/>
        <v>262</v>
      </c>
      <c r="BI327" s="1362">
        <f t="shared" si="188"/>
        <v>0</v>
      </c>
      <c r="BJ327" s="1362">
        <f t="shared" si="189"/>
        <v>0</v>
      </c>
      <c r="BK327" s="1362">
        <f t="shared" si="195"/>
        <v>0</v>
      </c>
      <c r="BL327" s="1363">
        <f t="shared" si="190"/>
        <v>1000000</v>
      </c>
      <c r="BM327" s="1891"/>
      <c r="BN327" s="1361" t="str">
        <f t="shared" si="191"/>
        <v/>
      </c>
      <c r="BO327" s="1362">
        <f t="shared" si="192"/>
        <v>0</v>
      </c>
      <c r="BP327" s="1362">
        <f t="shared" si="193"/>
        <v>0</v>
      </c>
      <c r="BQ327" s="1362">
        <f t="shared" si="196"/>
        <v>0</v>
      </c>
      <c r="BR327" s="1363">
        <f t="shared" si="194"/>
        <v>0</v>
      </c>
      <c r="BT327" s="1414"/>
      <c r="CC327" s="1914"/>
      <c r="CD327" s="1914"/>
      <c r="CE327" s="1914"/>
      <c r="CF327" s="1914"/>
      <c r="CG327" s="1914"/>
      <c r="CH327" s="1915"/>
      <c r="CI327" s="1915"/>
      <c r="CJ327" s="1915"/>
      <c r="CK327" s="1915"/>
      <c r="CL327" s="1914"/>
      <c r="CM327" s="1915"/>
      <c r="CN327" s="1915"/>
      <c r="CO327" s="1915"/>
      <c r="CP327" s="1915"/>
      <c r="CQ327" s="1915"/>
      <c r="CR327" s="1914"/>
      <c r="CS327" s="1914"/>
      <c r="CT327" s="1914"/>
      <c r="CU327" s="1914"/>
      <c r="CV327" s="1914"/>
      <c r="CW327" s="1914"/>
      <c r="CX327" s="1914"/>
      <c r="CY327" s="1914"/>
      <c r="CZ327" s="1914"/>
      <c r="DA327" s="1914"/>
      <c r="DB327" s="1914"/>
      <c r="DC327" s="1914"/>
      <c r="DD327" s="1914"/>
      <c r="DE327" s="1914"/>
      <c r="DF327" s="1914"/>
      <c r="DG327" s="1914"/>
      <c r="DH327" s="1914"/>
      <c r="DI327" s="1914"/>
      <c r="DJ327" s="1914"/>
      <c r="DK327" s="1914"/>
      <c r="DL327" s="1914"/>
      <c r="DM327" s="1914"/>
      <c r="DN327" s="1914"/>
      <c r="DO327" s="1914"/>
      <c r="DP327" s="1914"/>
      <c r="DQ327" s="1914"/>
      <c r="DR327" s="1914"/>
      <c r="DS327" s="1914"/>
      <c r="DT327" s="1914"/>
    </row>
    <row r="328" spans="1:124">
      <c r="A328" s="1118">
        <f t="shared" ca="1" si="197"/>
        <v>2</v>
      </c>
      <c r="B328" s="1890">
        <f t="shared" si="166"/>
        <v>0</v>
      </c>
      <c r="C328" s="2160">
        <f t="shared" si="167"/>
        <v>0</v>
      </c>
      <c r="D328" s="2161">
        <f t="shared" si="168"/>
        <v>0</v>
      </c>
      <c r="E328" s="2162">
        <f t="shared" si="169"/>
        <v>0</v>
      </c>
      <c r="F328" s="2162">
        <f t="shared" si="170"/>
        <v>0</v>
      </c>
      <c r="G328" s="2162">
        <f t="shared" si="171"/>
        <v>0</v>
      </c>
      <c r="H328" s="2162">
        <f t="shared" si="172"/>
        <v>0</v>
      </c>
      <c r="I328" s="2162">
        <f t="shared" si="173"/>
        <v>0</v>
      </c>
      <c r="J328" s="2162">
        <f t="shared" si="174"/>
        <v>0</v>
      </c>
      <c r="K328" s="2162">
        <f t="shared" si="175"/>
        <v>0</v>
      </c>
      <c r="L328" s="2162">
        <f t="shared" si="176"/>
        <v>0</v>
      </c>
      <c r="M328" s="2162">
        <f t="shared" si="177"/>
        <v>0</v>
      </c>
      <c r="N328" s="2162">
        <f t="shared" si="178"/>
        <v>0</v>
      </c>
      <c r="O328" s="2163"/>
      <c r="P328" s="1891"/>
      <c r="Q328" s="1891"/>
      <c r="R328" s="1891"/>
      <c r="S328" s="1891"/>
      <c r="T328" s="1891"/>
      <c r="U328" s="1891"/>
      <c r="V328" s="1891"/>
      <c r="W328" s="1891"/>
      <c r="X328" s="1891"/>
      <c r="Y328" s="1891"/>
      <c r="Z328" s="1891"/>
      <c r="AA328" s="1891"/>
      <c r="AB328" s="1891"/>
      <c r="AC328" s="1891"/>
      <c r="AD328" s="1891"/>
      <c r="AE328" s="1891"/>
      <c r="AF328" s="1891"/>
      <c r="AG328" s="1891"/>
      <c r="AH328" s="1891"/>
      <c r="AI328" s="1891"/>
      <c r="AJ328" s="1989">
        <f t="shared" si="198"/>
        <v>11</v>
      </c>
      <c r="AK328" s="1900">
        <f t="shared" si="179"/>
        <v>0</v>
      </c>
      <c r="AN328" s="1901">
        <f t="shared" si="199"/>
        <v>0</v>
      </c>
      <c r="AO328" s="1906">
        <f t="shared" ca="1" si="180"/>
        <v>0</v>
      </c>
      <c r="AT328" s="1891"/>
      <c r="AU328" s="1903">
        <f t="shared" si="181"/>
        <v>0</v>
      </c>
      <c r="AV328" s="1904">
        <f t="shared" si="182"/>
        <v>0</v>
      </c>
      <c r="AW328" s="1904">
        <f t="shared" si="183"/>
        <v>0</v>
      </c>
      <c r="AX328" s="1904"/>
      <c r="AY328" s="1904"/>
      <c r="AZ328" s="1904"/>
      <c r="BA328" s="1904"/>
      <c r="BB328" s="1897">
        <f t="shared" si="184"/>
        <v>0</v>
      </c>
      <c r="BC328" s="1897">
        <f t="shared" si="185"/>
        <v>0</v>
      </c>
      <c r="BD328" s="1898" t="e">
        <f>HLOOKUP($BD$63,anticipaplus,264,0)</f>
        <v>#N/A</v>
      </c>
      <c r="BE328" s="1891"/>
      <c r="BF328" s="1891"/>
      <c r="BG328" s="1965">
        <f t="shared" si="186"/>
        <v>0</v>
      </c>
      <c r="BH328" s="1361">
        <f t="shared" si="187"/>
        <v>263</v>
      </c>
      <c r="BI328" s="1362">
        <f t="shared" si="188"/>
        <v>0</v>
      </c>
      <c r="BJ328" s="1362">
        <f t="shared" si="189"/>
        <v>0</v>
      </c>
      <c r="BK328" s="1362">
        <f t="shared" si="195"/>
        <v>0</v>
      </c>
      <c r="BL328" s="1363">
        <f t="shared" si="190"/>
        <v>1000000</v>
      </c>
      <c r="BM328" s="1891"/>
      <c r="BN328" s="1361" t="str">
        <f t="shared" si="191"/>
        <v/>
      </c>
      <c r="BO328" s="1362">
        <f t="shared" si="192"/>
        <v>0</v>
      </c>
      <c r="BP328" s="1362">
        <f t="shared" si="193"/>
        <v>0</v>
      </c>
      <c r="BQ328" s="1362">
        <f t="shared" si="196"/>
        <v>0</v>
      </c>
      <c r="BR328" s="1363">
        <f t="shared" si="194"/>
        <v>0</v>
      </c>
      <c r="BT328" s="1414"/>
      <c r="CC328" s="1914"/>
      <c r="CD328" s="1914"/>
      <c r="CE328" s="1914"/>
      <c r="CF328" s="1914"/>
      <c r="CG328" s="1914"/>
      <c r="CH328" s="1915"/>
      <c r="CI328" s="1915"/>
      <c r="CJ328" s="1915"/>
      <c r="CK328" s="1915"/>
      <c r="CL328" s="1914"/>
      <c r="CM328" s="1915"/>
      <c r="CN328" s="1915"/>
      <c r="CO328" s="1915"/>
      <c r="CP328" s="1915"/>
      <c r="CQ328" s="1915"/>
      <c r="CR328" s="1914"/>
      <c r="CS328" s="1914"/>
      <c r="CT328" s="1914"/>
      <c r="CU328" s="1914"/>
      <c r="CV328" s="1914"/>
      <c r="CW328" s="1914"/>
      <c r="CX328" s="1914"/>
      <c r="CY328" s="1914"/>
      <c r="CZ328" s="1914"/>
      <c r="DA328" s="1914"/>
      <c r="DB328" s="1914"/>
      <c r="DC328" s="1914"/>
      <c r="DD328" s="1914"/>
      <c r="DE328" s="1914"/>
      <c r="DF328" s="1914"/>
      <c r="DG328" s="1914"/>
      <c r="DH328" s="1914"/>
      <c r="DI328" s="1914"/>
      <c r="DJ328" s="1914"/>
      <c r="DK328" s="1914"/>
      <c r="DL328" s="1914"/>
      <c r="DM328" s="1914"/>
      <c r="DN328" s="1914"/>
      <c r="DO328" s="1914"/>
      <c r="DP328" s="1914"/>
      <c r="DQ328" s="1914"/>
      <c r="DR328" s="1914"/>
      <c r="DS328" s="1914"/>
      <c r="DT328" s="1914"/>
    </row>
    <row r="329" spans="1:124">
      <c r="A329" s="1118">
        <f t="shared" ca="1" si="197"/>
        <v>3</v>
      </c>
      <c r="B329" s="1890">
        <f t="shared" si="166"/>
        <v>0</v>
      </c>
      <c r="C329" s="2160">
        <f t="shared" si="167"/>
        <v>0</v>
      </c>
      <c r="D329" s="2161">
        <f t="shared" si="168"/>
        <v>0</v>
      </c>
      <c r="E329" s="2162">
        <f t="shared" si="169"/>
        <v>0</v>
      </c>
      <c r="F329" s="2162">
        <f t="shared" si="170"/>
        <v>0</v>
      </c>
      <c r="G329" s="2162">
        <f t="shared" si="171"/>
        <v>0</v>
      </c>
      <c r="H329" s="2162">
        <f t="shared" si="172"/>
        <v>0</v>
      </c>
      <c r="I329" s="2162">
        <f t="shared" si="173"/>
        <v>0</v>
      </c>
      <c r="J329" s="2162">
        <f t="shared" si="174"/>
        <v>0</v>
      </c>
      <c r="K329" s="2162">
        <f t="shared" si="175"/>
        <v>0</v>
      </c>
      <c r="L329" s="2162">
        <f t="shared" si="176"/>
        <v>0</v>
      </c>
      <c r="M329" s="2162">
        <f t="shared" si="177"/>
        <v>0</v>
      </c>
      <c r="N329" s="2162">
        <f t="shared" si="178"/>
        <v>0</v>
      </c>
      <c r="O329" s="2163"/>
      <c r="P329" s="1891"/>
      <c r="Q329" s="1891"/>
      <c r="R329" s="1891"/>
      <c r="S329" s="1891"/>
      <c r="T329" s="1891"/>
      <c r="U329" s="1891"/>
      <c r="V329" s="1891"/>
      <c r="W329" s="1891"/>
      <c r="X329" s="1891"/>
      <c r="Y329" s="1891"/>
      <c r="Z329" s="1891"/>
      <c r="AA329" s="1891"/>
      <c r="AB329" s="1891"/>
      <c r="AC329" s="1891"/>
      <c r="AD329" s="1891"/>
      <c r="AE329" s="1891"/>
      <c r="AF329" s="1891"/>
      <c r="AG329" s="1891"/>
      <c r="AH329" s="1891"/>
      <c r="AI329" s="1891"/>
      <c r="AJ329" s="1989">
        <f t="shared" si="198"/>
        <v>12</v>
      </c>
      <c r="AK329" s="1900">
        <f t="shared" si="179"/>
        <v>0</v>
      </c>
      <c r="AN329" s="1901">
        <f t="shared" si="199"/>
        <v>0</v>
      </c>
      <c r="AO329" s="1906">
        <f t="shared" ca="1" si="180"/>
        <v>0</v>
      </c>
      <c r="AT329" s="1891"/>
      <c r="AU329" s="1903">
        <f t="shared" si="181"/>
        <v>0</v>
      </c>
      <c r="AV329" s="1904">
        <f t="shared" si="182"/>
        <v>0</v>
      </c>
      <c r="AW329" s="1904">
        <f t="shared" si="183"/>
        <v>0</v>
      </c>
      <c r="AX329" s="1904"/>
      <c r="AY329" s="1904"/>
      <c r="AZ329" s="1904"/>
      <c r="BA329" s="1904"/>
      <c r="BB329" s="1897">
        <f t="shared" si="184"/>
        <v>0</v>
      </c>
      <c r="BC329" s="1897">
        <f t="shared" si="185"/>
        <v>0</v>
      </c>
      <c r="BD329" s="1898" t="e">
        <f>HLOOKUP($BD$63,anticipaplus,265,0)</f>
        <v>#N/A</v>
      </c>
      <c r="BE329" s="1891"/>
      <c r="BF329" s="1891"/>
      <c r="BG329" s="1965">
        <f t="shared" si="186"/>
        <v>0</v>
      </c>
      <c r="BH329" s="1361">
        <f t="shared" si="187"/>
        <v>264</v>
      </c>
      <c r="BI329" s="1362">
        <f t="shared" si="188"/>
        <v>0</v>
      </c>
      <c r="BJ329" s="1362">
        <f t="shared" si="189"/>
        <v>0</v>
      </c>
      <c r="BK329" s="1362">
        <f t="shared" si="195"/>
        <v>0</v>
      </c>
      <c r="BL329" s="1363">
        <f t="shared" si="190"/>
        <v>1000000</v>
      </c>
      <c r="BM329" s="1891"/>
      <c r="BN329" s="1361" t="str">
        <f t="shared" si="191"/>
        <v/>
      </c>
      <c r="BO329" s="1362">
        <f t="shared" si="192"/>
        <v>0</v>
      </c>
      <c r="BP329" s="1362">
        <f t="shared" si="193"/>
        <v>0</v>
      </c>
      <c r="BQ329" s="1362">
        <f t="shared" si="196"/>
        <v>0</v>
      </c>
      <c r="BR329" s="1363">
        <f t="shared" si="194"/>
        <v>0</v>
      </c>
      <c r="BT329" s="1414"/>
      <c r="CC329" s="1914"/>
      <c r="CD329" s="1914"/>
      <c r="CE329" s="1914"/>
      <c r="CF329" s="1914"/>
      <c r="CG329" s="1914"/>
      <c r="CH329" s="1915"/>
      <c r="CI329" s="1915"/>
      <c r="CJ329" s="1915"/>
      <c r="CK329" s="1915"/>
      <c r="CL329" s="1914"/>
      <c r="CM329" s="1915"/>
      <c r="CN329" s="1915"/>
      <c r="CO329" s="1915"/>
      <c r="CP329" s="1915"/>
      <c r="CQ329" s="1915"/>
      <c r="CR329" s="1914"/>
      <c r="CS329" s="1914"/>
      <c r="CT329" s="1914"/>
      <c r="CU329" s="1914"/>
      <c r="CV329" s="1914"/>
      <c r="CW329" s="1914"/>
      <c r="CX329" s="1914"/>
      <c r="CY329" s="1914"/>
      <c r="CZ329" s="1914"/>
      <c r="DA329" s="1914"/>
      <c r="DB329" s="1914"/>
      <c r="DC329" s="1914"/>
      <c r="DD329" s="1914"/>
      <c r="DE329" s="1914"/>
      <c r="DF329" s="1914"/>
      <c r="DG329" s="1914"/>
      <c r="DH329" s="1914"/>
      <c r="DI329" s="1914"/>
      <c r="DJ329" s="1914"/>
      <c r="DK329" s="1914"/>
      <c r="DL329" s="1914"/>
      <c r="DM329" s="1914"/>
      <c r="DN329" s="1914"/>
      <c r="DO329" s="1914"/>
      <c r="DP329" s="1914"/>
      <c r="DQ329" s="1914"/>
      <c r="DR329" s="1914"/>
      <c r="DS329" s="1914"/>
      <c r="DT329" s="1914"/>
    </row>
    <row r="330" spans="1:124">
      <c r="A330" s="1118">
        <f t="shared" ca="1" si="197"/>
        <v>4</v>
      </c>
      <c r="B330" s="1890">
        <f t="shared" si="166"/>
        <v>0</v>
      </c>
      <c r="C330" s="2160">
        <f t="shared" si="167"/>
        <v>0</v>
      </c>
      <c r="D330" s="2161">
        <f t="shared" si="168"/>
        <v>0</v>
      </c>
      <c r="E330" s="2162">
        <f t="shared" si="169"/>
        <v>0</v>
      </c>
      <c r="F330" s="2162">
        <f t="shared" si="170"/>
        <v>0</v>
      </c>
      <c r="G330" s="2162">
        <f t="shared" si="171"/>
        <v>0</v>
      </c>
      <c r="H330" s="2162">
        <f t="shared" si="172"/>
        <v>0</v>
      </c>
      <c r="I330" s="2162">
        <f t="shared" si="173"/>
        <v>0</v>
      </c>
      <c r="J330" s="2162">
        <f t="shared" si="174"/>
        <v>0</v>
      </c>
      <c r="K330" s="2162">
        <f t="shared" si="175"/>
        <v>0</v>
      </c>
      <c r="L330" s="2162">
        <f t="shared" si="176"/>
        <v>0</v>
      </c>
      <c r="M330" s="2162">
        <f t="shared" si="177"/>
        <v>0</v>
      </c>
      <c r="N330" s="2162">
        <f t="shared" si="178"/>
        <v>0</v>
      </c>
      <c r="O330" s="2163"/>
      <c r="P330" s="1891"/>
      <c r="Q330" s="1891"/>
      <c r="R330" s="1891"/>
      <c r="S330" s="1891"/>
      <c r="T330" s="1891"/>
      <c r="U330" s="1891"/>
      <c r="V330" s="1891"/>
      <c r="W330" s="1891"/>
      <c r="X330" s="1891"/>
      <c r="Y330" s="1891"/>
      <c r="Z330" s="1891"/>
      <c r="AA330" s="1891"/>
      <c r="AB330" s="1891"/>
      <c r="AC330" s="1891"/>
      <c r="AD330" s="1891"/>
      <c r="AE330" s="1891"/>
      <c r="AF330" s="1891"/>
      <c r="AG330" s="1891"/>
      <c r="AH330" s="1891"/>
      <c r="AI330" s="1891"/>
      <c r="AJ330" s="1989">
        <f t="shared" si="198"/>
        <v>1</v>
      </c>
      <c r="AK330" s="1900">
        <f t="shared" si="179"/>
        <v>0</v>
      </c>
      <c r="AN330" s="1901">
        <f t="shared" si="199"/>
        <v>0</v>
      </c>
      <c r="AO330" s="1906">
        <f t="shared" ca="1" si="180"/>
        <v>0</v>
      </c>
      <c r="AT330" s="1891"/>
      <c r="AU330" s="1903">
        <f t="shared" si="181"/>
        <v>0</v>
      </c>
      <c r="AV330" s="1904">
        <f t="shared" si="182"/>
        <v>0</v>
      </c>
      <c r="AW330" s="1904">
        <f t="shared" si="183"/>
        <v>0</v>
      </c>
      <c r="AX330" s="1904"/>
      <c r="AY330" s="1904"/>
      <c r="AZ330" s="1904"/>
      <c r="BA330" s="1904"/>
      <c r="BB330" s="1897">
        <f t="shared" si="184"/>
        <v>0</v>
      </c>
      <c r="BC330" s="1897">
        <f t="shared" si="185"/>
        <v>0</v>
      </c>
      <c r="BD330" s="1898" t="e">
        <f>HLOOKUP($BD$63,anticipaplus,266,0)</f>
        <v>#N/A</v>
      </c>
      <c r="BE330" s="1891"/>
      <c r="BF330" s="1891"/>
      <c r="BG330" s="1965">
        <f t="shared" si="186"/>
        <v>0</v>
      </c>
      <c r="BH330" s="1377">
        <f t="shared" si="187"/>
        <v>265</v>
      </c>
      <c r="BI330" s="1378">
        <f t="shared" si="188"/>
        <v>0</v>
      </c>
      <c r="BJ330" s="1378">
        <f t="shared" si="189"/>
        <v>0</v>
      </c>
      <c r="BK330" s="1378">
        <f>MIN(BL329+BI330,BK329*(1+$BI$61))</f>
        <v>0</v>
      </c>
      <c r="BL330" s="1363">
        <f t="shared" si="190"/>
        <v>1000000</v>
      </c>
      <c r="BM330" s="1891"/>
      <c r="BN330" s="1379" t="str">
        <f t="shared" si="191"/>
        <v/>
      </c>
      <c r="BO330" s="1380">
        <f t="shared" si="192"/>
        <v>0</v>
      </c>
      <c r="BP330" s="1380">
        <f t="shared" si="193"/>
        <v>0</v>
      </c>
      <c r="BQ330" s="1380">
        <f>MIN(BR329+BO330,BQ329*(1+$BO$61))</f>
        <v>0</v>
      </c>
      <c r="BR330" s="1363">
        <f t="shared" si="194"/>
        <v>0</v>
      </c>
      <c r="BT330" s="1414"/>
      <c r="CC330" s="1914"/>
      <c r="CD330" s="1914"/>
      <c r="CE330" s="1914"/>
      <c r="CF330" s="1914"/>
      <c r="CG330" s="1914"/>
      <c r="CH330" s="1915"/>
      <c r="CI330" s="1915"/>
      <c r="CJ330" s="1915"/>
      <c r="CK330" s="1915"/>
      <c r="CL330" s="1914"/>
      <c r="CM330" s="1915"/>
      <c r="CN330" s="1915"/>
      <c r="CO330" s="1915"/>
      <c r="CP330" s="1915"/>
      <c r="CQ330" s="1915"/>
      <c r="CR330" s="1914"/>
      <c r="CS330" s="1914"/>
      <c r="CT330" s="1914"/>
      <c r="CU330" s="1914"/>
      <c r="CV330" s="1914"/>
      <c r="CW330" s="1914"/>
      <c r="CX330" s="1914"/>
      <c r="CY330" s="1914"/>
      <c r="CZ330" s="1914"/>
      <c r="DA330" s="1914"/>
      <c r="DB330" s="1914"/>
      <c r="DC330" s="1914"/>
      <c r="DD330" s="1914"/>
      <c r="DE330" s="1914"/>
      <c r="DF330" s="1914"/>
      <c r="DG330" s="1914"/>
      <c r="DH330" s="1914"/>
      <c r="DI330" s="1914"/>
      <c r="DJ330" s="1914"/>
      <c r="DK330" s="1914"/>
      <c r="DL330" s="1914"/>
      <c r="DM330" s="1914"/>
      <c r="DN330" s="1914"/>
      <c r="DO330" s="1914"/>
      <c r="DP330" s="1914"/>
      <c r="DQ330" s="1914"/>
      <c r="DR330" s="1914"/>
      <c r="DS330" s="1914"/>
      <c r="DT330" s="1914"/>
    </row>
    <row r="331" spans="1:124">
      <c r="A331" s="1118">
        <f t="shared" ca="1" si="197"/>
        <v>5</v>
      </c>
      <c r="B331" s="1890">
        <f t="shared" ref="B331:B342" si="200">IF(N330&gt;0,B330-1,0)</f>
        <v>0</v>
      </c>
      <c r="C331" s="2160">
        <f t="shared" si="167"/>
        <v>0</v>
      </c>
      <c r="D331" s="2161">
        <f t="shared" si="168"/>
        <v>0</v>
      </c>
      <c r="E331" s="2162">
        <f t="shared" si="169"/>
        <v>0</v>
      </c>
      <c r="F331" s="2162">
        <f t="shared" si="170"/>
        <v>0</v>
      </c>
      <c r="G331" s="2162">
        <f t="shared" si="171"/>
        <v>0</v>
      </c>
      <c r="H331" s="2162">
        <f t="shared" si="172"/>
        <v>0</v>
      </c>
      <c r="I331" s="2162">
        <f t="shared" si="173"/>
        <v>0</v>
      </c>
      <c r="J331" s="2162">
        <f t="shared" si="174"/>
        <v>0</v>
      </c>
      <c r="K331" s="2162">
        <f t="shared" si="175"/>
        <v>0</v>
      </c>
      <c r="L331" s="2162">
        <f t="shared" si="176"/>
        <v>0</v>
      </c>
      <c r="M331" s="2162">
        <f t="shared" si="177"/>
        <v>0</v>
      </c>
      <c r="N331" s="2162">
        <f t="shared" si="178"/>
        <v>0</v>
      </c>
      <c r="O331" s="2163"/>
      <c r="P331" s="1891"/>
      <c r="Q331" s="1891"/>
      <c r="R331" s="1891"/>
      <c r="S331" s="1891"/>
      <c r="T331" s="1891"/>
      <c r="U331" s="1891"/>
      <c r="V331" s="1891"/>
      <c r="W331" s="1891"/>
      <c r="X331" s="1891"/>
      <c r="Y331" s="1891"/>
      <c r="Z331" s="1891"/>
      <c r="AA331" s="1891"/>
      <c r="AB331" s="1891"/>
      <c r="AC331" s="1891"/>
      <c r="AD331" s="1891"/>
      <c r="AE331" s="1891"/>
      <c r="AF331" s="1891"/>
      <c r="AG331" s="1891"/>
      <c r="AH331" s="1891"/>
      <c r="AI331" s="1891"/>
      <c r="AJ331" s="1989">
        <f t="shared" si="198"/>
        <v>2</v>
      </c>
      <c r="AK331" s="1900">
        <f t="shared" si="179"/>
        <v>0</v>
      </c>
      <c r="AN331" s="1901">
        <f t="shared" si="199"/>
        <v>0</v>
      </c>
      <c r="AO331" s="1906">
        <f t="shared" ca="1" si="180"/>
        <v>0</v>
      </c>
      <c r="AT331" s="1891"/>
      <c r="AU331" s="1903">
        <f t="shared" si="181"/>
        <v>0</v>
      </c>
      <c r="AV331" s="1904">
        <f t="shared" si="182"/>
        <v>0</v>
      </c>
      <c r="AW331" s="1904">
        <f t="shared" si="183"/>
        <v>0</v>
      </c>
      <c r="AX331" s="1904"/>
      <c r="AY331" s="1904"/>
      <c r="AZ331" s="1904"/>
      <c r="BA331" s="1904"/>
      <c r="BB331" s="1897">
        <f t="shared" si="184"/>
        <v>0</v>
      </c>
      <c r="BC331" s="1897">
        <f t="shared" si="185"/>
        <v>0</v>
      </c>
      <c r="BD331" s="1898" t="e">
        <f>HLOOKUP($BD$63,anticipaplus,267,0)</f>
        <v>#N/A</v>
      </c>
      <c r="BE331" s="1891"/>
      <c r="BF331" s="1891"/>
      <c r="BG331" s="1965">
        <f t="shared" si="186"/>
        <v>0</v>
      </c>
      <c r="BH331" s="1361">
        <f t="shared" si="187"/>
        <v>266</v>
      </c>
      <c r="BI331" s="1362">
        <f t="shared" si="188"/>
        <v>0</v>
      </c>
      <c r="BJ331" s="1362">
        <f t="shared" si="189"/>
        <v>0</v>
      </c>
      <c r="BK331" s="1362">
        <f t="shared" si="195"/>
        <v>0</v>
      </c>
      <c r="BL331" s="1363">
        <f t="shared" si="190"/>
        <v>1000000</v>
      </c>
      <c r="BM331" s="1891"/>
      <c r="BN331" s="1361" t="str">
        <f t="shared" si="191"/>
        <v/>
      </c>
      <c r="BO331" s="1362">
        <f t="shared" si="192"/>
        <v>0</v>
      </c>
      <c r="BP331" s="1362">
        <f t="shared" si="193"/>
        <v>0</v>
      </c>
      <c r="BQ331" s="1362">
        <f t="shared" si="196"/>
        <v>0</v>
      </c>
      <c r="BR331" s="1363">
        <f t="shared" si="194"/>
        <v>0</v>
      </c>
      <c r="BT331" s="1414"/>
      <c r="CC331" s="1914"/>
      <c r="CD331" s="1914"/>
      <c r="CE331" s="1914"/>
      <c r="CF331" s="1914"/>
      <c r="CG331" s="1914"/>
      <c r="CH331" s="1915"/>
      <c r="CI331" s="1915"/>
      <c r="CJ331" s="1915"/>
      <c r="CK331" s="1915"/>
      <c r="CL331" s="1914"/>
      <c r="CM331" s="1915"/>
      <c r="CN331" s="1915"/>
      <c r="CO331" s="1915"/>
      <c r="CP331" s="1915"/>
      <c r="CQ331" s="1915"/>
      <c r="CR331" s="1914"/>
      <c r="CS331" s="1914"/>
      <c r="CT331" s="1914"/>
      <c r="CU331" s="1914"/>
      <c r="CV331" s="1914"/>
      <c r="CW331" s="1914"/>
      <c r="CX331" s="1914"/>
      <c r="CY331" s="1914"/>
      <c r="CZ331" s="1914"/>
      <c r="DA331" s="1914"/>
      <c r="DB331" s="1914"/>
      <c r="DC331" s="1914"/>
      <c r="DD331" s="1914"/>
      <c r="DE331" s="1914"/>
      <c r="DF331" s="1914"/>
      <c r="DG331" s="1914"/>
      <c r="DH331" s="1914"/>
      <c r="DI331" s="1914"/>
      <c r="DJ331" s="1914"/>
      <c r="DK331" s="1914"/>
      <c r="DL331" s="1914"/>
      <c r="DM331" s="1914"/>
      <c r="DN331" s="1914"/>
      <c r="DO331" s="1914"/>
      <c r="DP331" s="1914"/>
      <c r="DQ331" s="1914"/>
      <c r="DR331" s="1914"/>
      <c r="DS331" s="1914"/>
      <c r="DT331" s="1914"/>
    </row>
    <row r="332" spans="1:124">
      <c r="A332" s="1118">
        <f t="shared" ca="1" si="197"/>
        <v>6</v>
      </c>
      <c r="B332" s="1890">
        <f t="shared" si="200"/>
        <v>0</v>
      </c>
      <c r="C332" s="2160">
        <f t="shared" si="167"/>
        <v>0</v>
      </c>
      <c r="D332" s="2161">
        <f t="shared" si="168"/>
        <v>0</v>
      </c>
      <c r="E332" s="2162">
        <f t="shared" si="169"/>
        <v>0</v>
      </c>
      <c r="F332" s="2162">
        <f t="shared" si="170"/>
        <v>0</v>
      </c>
      <c r="G332" s="2162">
        <f t="shared" si="171"/>
        <v>0</v>
      </c>
      <c r="H332" s="2162">
        <f t="shared" si="172"/>
        <v>0</v>
      </c>
      <c r="I332" s="2162">
        <f t="shared" si="173"/>
        <v>0</v>
      </c>
      <c r="J332" s="2162">
        <f t="shared" si="174"/>
        <v>0</v>
      </c>
      <c r="K332" s="2162">
        <f t="shared" si="175"/>
        <v>0</v>
      </c>
      <c r="L332" s="2162">
        <f t="shared" si="176"/>
        <v>0</v>
      </c>
      <c r="M332" s="2162">
        <f t="shared" si="177"/>
        <v>0</v>
      </c>
      <c r="N332" s="2162">
        <f t="shared" si="178"/>
        <v>0</v>
      </c>
      <c r="O332" s="2163"/>
      <c r="P332" s="1891"/>
      <c r="Q332" s="1891"/>
      <c r="R332" s="1891"/>
      <c r="S332" s="1891"/>
      <c r="T332" s="1891"/>
      <c r="U332" s="1891"/>
      <c r="V332" s="1891"/>
      <c r="W332" s="1891"/>
      <c r="X332" s="1891"/>
      <c r="Y332" s="1891"/>
      <c r="Z332" s="1891"/>
      <c r="AA332" s="1891"/>
      <c r="AB332" s="1891"/>
      <c r="AC332" s="1891"/>
      <c r="AD332" s="1891"/>
      <c r="AE332" s="1891"/>
      <c r="AF332" s="1891"/>
      <c r="AG332" s="1891"/>
      <c r="AH332" s="1891"/>
      <c r="AI332" s="1891"/>
      <c r="AJ332" s="1989">
        <f t="shared" si="198"/>
        <v>3</v>
      </c>
      <c r="AK332" s="1900">
        <f t="shared" si="179"/>
        <v>0</v>
      </c>
      <c r="AN332" s="1901">
        <f t="shared" si="199"/>
        <v>0</v>
      </c>
      <c r="AO332" s="1906">
        <f t="shared" ca="1" si="180"/>
        <v>0</v>
      </c>
      <c r="AT332" s="1891"/>
      <c r="AU332" s="1903">
        <f t="shared" si="181"/>
        <v>0</v>
      </c>
      <c r="AV332" s="1904">
        <f t="shared" si="182"/>
        <v>0</v>
      </c>
      <c r="AW332" s="1904">
        <f t="shared" si="183"/>
        <v>0</v>
      </c>
      <c r="AX332" s="1904"/>
      <c r="AY332" s="1904"/>
      <c r="AZ332" s="1904"/>
      <c r="BA332" s="1904"/>
      <c r="BB332" s="1897">
        <f t="shared" si="184"/>
        <v>0</v>
      </c>
      <c r="BC332" s="1897">
        <f t="shared" si="185"/>
        <v>0</v>
      </c>
      <c r="BD332" s="1898" t="e">
        <f>HLOOKUP($BD$63,anticipaplus,268,0)</f>
        <v>#N/A</v>
      </c>
      <c r="BE332" s="1891"/>
      <c r="BF332" s="1891"/>
      <c r="BG332" s="1965">
        <f t="shared" si="186"/>
        <v>0</v>
      </c>
      <c r="BH332" s="1361">
        <f t="shared" si="187"/>
        <v>267</v>
      </c>
      <c r="BI332" s="1362">
        <f t="shared" si="188"/>
        <v>0</v>
      </c>
      <c r="BJ332" s="1362">
        <f t="shared" si="189"/>
        <v>0</v>
      </c>
      <c r="BK332" s="1362">
        <f t="shared" si="195"/>
        <v>0</v>
      </c>
      <c r="BL332" s="1363">
        <f t="shared" si="190"/>
        <v>1000000</v>
      </c>
      <c r="BM332" s="1891"/>
      <c r="BN332" s="1361" t="str">
        <f t="shared" si="191"/>
        <v/>
      </c>
      <c r="BO332" s="1362">
        <f t="shared" si="192"/>
        <v>0</v>
      </c>
      <c r="BP332" s="1362">
        <f t="shared" si="193"/>
        <v>0</v>
      </c>
      <c r="BQ332" s="1362">
        <f t="shared" si="196"/>
        <v>0</v>
      </c>
      <c r="BR332" s="1363">
        <f t="shared" si="194"/>
        <v>0</v>
      </c>
      <c r="BT332" s="1414"/>
      <c r="CC332" s="1914"/>
      <c r="CD332" s="1914"/>
      <c r="CE332" s="1914"/>
      <c r="CF332" s="1914"/>
      <c r="CG332" s="1914"/>
      <c r="CH332" s="1915"/>
      <c r="CI332" s="1915"/>
      <c r="CJ332" s="1915"/>
      <c r="CK332" s="1915"/>
      <c r="CL332" s="1914"/>
      <c r="CM332" s="1915"/>
      <c r="CN332" s="1915"/>
      <c r="CO332" s="1915"/>
      <c r="CP332" s="1915"/>
      <c r="CQ332" s="1915"/>
      <c r="CR332" s="1914"/>
      <c r="CS332" s="1914"/>
      <c r="CT332" s="1914"/>
      <c r="CU332" s="1914"/>
      <c r="CV332" s="1914"/>
      <c r="CW332" s="1914"/>
      <c r="CX332" s="1914"/>
      <c r="CY332" s="1914"/>
      <c r="CZ332" s="1914"/>
      <c r="DA332" s="1914"/>
      <c r="DB332" s="1914"/>
      <c r="DC332" s="1914"/>
      <c r="DD332" s="1914"/>
      <c r="DE332" s="1914"/>
      <c r="DF332" s="1914"/>
      <c r="DG332" s="1914"/>
      <c r="DH332" s="1914"/>
      <c r="DI332" s="1914"/>
      <c r="DJ332" s="1914"/>
      <c r="DK332" s="1914"/>
      <c r="DL332" s="1914"/>
      <c r="DM332" s="1914"/>
      <c r="DN332" s="1914"/>
      <c r="DO332" s="1914"/>
      <c r="DP332" s="1914"/>
      <c r="DQ332" s="1914"/>
      <c r="DR332" s="1914"/>
      <c r="DS332" s="1914"/>
      <c r="DT332" s="1914"/>
    </row>
    <row r="333" spans="1:124">
      <c r="A333" s="1118">
        <f t="shared" ca="1" si="197"/>
        <v>7</v>
      </c>
      <c r="B333" s="1890">
        <f t="shared" si="200"/>
        <v>0</v>
      </c>
      <c r="C333" s="2160">
        <f t="shared" si="167"/>
        <v>0</v>
      </c>
      <c r="D333" s="2161">
        <f t="shared" si="168"/>
        <v>0</v>
      </c>
      <c r="E333" s="2162">
        <f t="shared" si="169"/>
        <v>0</v>
      </c>
      <c r="F333" s="2162">
        <f t="shared" si="170"/>
        <v>0</v>
      </c>
      <c r="G333" s="2162">
        <f t="shared" si="171"/>
        <v>0</v>
      </c>
      <c r="H333" s="2162">
        <f t="shared" si="172"/>
        <v>0</v>
      </c>
      <c r="I333" s="2162">
        <f t="shared" si="173"/>
        <v>0</v>
      </c>
      <c r="J333" s="2162">
        <f t="shared" si="174"/>
        <v>0</v>
      </c>
      <c r="K333" s="2162">
        <f t="shared" si="175"/>
        <v>0</v>
      </c>
      <c r="L333" s="2162">
        <f t="shared" si="176"/>
        <v>0</v>
      </c>
      <c r="M333" s="2162">
        <f t="shared" si="177"/>
        <v>0</v>
      </c>
      <c r="N333" s="2162">
        <f t="shared" si="178"/>
        <v>0</v>
      </c>
      <c r="O333" s="2163"/>
      <c r="P333" s="1891"/>
      <c r="Q333" s="1891"/>
      <c r="R333" s="1891"/>
      <c r="S333" s="1891"/>
      <c r="T333" s="1891"/>
      <c r="U333" s="1891"/>
      <c r="V333" s="1891"/>
      <c r="W333" s="1891"/>
      <c r="X333" s="1891"/>
      <c r="Y333" s="1891"/>
      <c r="Z333" s="1891"/>
      <c r="AA333" s="1891"/>
      <c r="AB333" s="1891"/>
      <c r="AC333" s="1891"/>
      <c r="AD333" s="1891"/>
      <c r="AE333" s="1891"/>
      <c r="AF333" s="1891"/>
      <c r="AG333" s="1891"/>
      <c r="AH333" s="1891"/>
      <c r="AI333" s="1891"/>
      <c r="AJ333" s="1989">
        <f t="shared" si="198"/>
        <v>4</v>
      </c>
      <c r="AK333" s="1900">
        <f t="shared" si="179"/>
        <v>0</v>
      </c>
      <c r="AN333" s="1901">
        <f t="shared" si="199"/>
        <v>0</v>
      </c>
      <c r="AO333" s="1906">
        <f t="shared" ca="1" si="180"/>
        <v>0</v>
      </c>
      <c r="AT333" s="1891"/>
      <c r="AU333" s="1903">
        <f t="shared" si="181"/>
        <v>0</v>
      </c>
      <c r="AV333" s="1904">
        <f t="shared" si="182"/>
        <v>0</v>
      </c>
      <c r="AW333" s="1904">
        <f t="shared" si="183"/>
        <v>0</v>
      </c>
      <c r="AX333" s="1904"/>
      <c r="AY333" s="1904"/>
      <c r="AZ333" s="1904"/>
      <c r="BA333" s="1904"/>
      <c r="BB333" s="1897">
        <f t="shared" si="184"/>
        <v>0</v>
      </c>
      <c r="BC333" s="1897">
        <f t="shared" si="185"/>
        <v>0</v>
      </c>
      <c r="BD333" s="1898" t="e">
        <f>HLOOKUP($BD$63,anticipaplus,269,0)</f>
        <v>#N/A</v>
      </c>
      <c r="BE333" s="1891"/>
      <c r="BF333" s="1891"/>
      <c r="BG333" s="1965">
        <f t="shared" si="186"/>
        <v>0</v>
      </c>
      <c r="BH333" s="1361">
        <f t="shared" si="187"/>
        <v>268</v>
      </c>
      <c r="BI333" s="1362">
        <f t="shared" si="188"/>
        <v>0</v>
      </c>
      <c r="BJ333" s="1362">
        <f t="shared" si="189"/>
        <v>0</v>
      </c>
      <c r="BK333" s="1362">
        <f t="shared" si="195"/>
        <v>0</v>
      </c>
      <c r="BL333" s="1363">
        <f t="shared" si="190"/>
        <v>1000000</v>
      </c>
      <c r="BM333" s="1891"/>
      <c r="BN333" s="1361" t="str">
        <f t="shared" si="191"/>
        <v/>
      </c>
      <c r="BO333" s="1362">
        <f t="shared" si="192"/>
        <v>0</v>
      </c>
      <c r="BP333" s="1362">
        <f t="shared" si="193"/>
        <v>0</v>
      </c>
      <c r="BQ333" s="1362">
        <f t="shared" si="196"/>
        <v>0</v>
      </c>
      <c r="BR333" s="1363">
        <f t="shared" si="194"/>
        <v>0</v>
      </c>
      <c r="BT333" s="1414"/>
      <c r="CC333" s="1914"/>
      <c r="CD333" s="1914"/>
      <c r="CE333" s="1914"/>
      <c r="CF333" s="1914"/>
      <c r="CG333" s="1914"/>
      <c r="CH333" s="1915"/>
      <c r="CI333" s="1915"/>
      <c r="CJ333" s="1915"/>
      <c r="CK333" s="1915"/>
      <c r="CL333" s="1914"/>
      <c r="CM333" s="1915"/>
      <c r="CN333" s="1915"/>
      <c r="CO333" s="1915"/>
      <c r="CP333" s="1915"/>
      <c r="CQ333" s="1915"/>
      <c r="CR333" s="1914"/>
      <c r="CS333" s="1914"/>
      <c r="CT333" s="1914"/>
      <c r="CU333" s="1914"/>
      <c r="CV333" s="1914"/>
      <c r="CW333" s="1914"/>
      <c r="CX333" s="1914"/>
      <c r="CY333" s="1914"/>
      <c r="CZ333" s="1914"/>
      <c r="DA333" s="1914"/>
      <c r="DB333" s="1914"/>
      <c r="DC333" s="1914"/>
      <c r="DD333" s="1914"/>
      <c r="DE333" s="1914"/>
      <c r="DF333" s="1914"/>
      <c r="DG333" s="1914"/>
      <c r="DH333" s="1914"/>
      <c r="DI333" s="1914"/>
      <c r="DJ333" s="1914"/>
      <c r="DK333" s="1914"/>
      <c r="DL333" s="1914"/>
      <c r="DM333" s="1914"/>
      <c r="DN333" s="1914"/>
      <c r="DO333" s="1914"/>
      <c r="DP333" s="1914"/>
      <c r="DQ333" s="1914"/>
      <c r="DR333" s="1914"/>
      <c r="DS333" s="1914"/>
      <c r="DT333" s="1914"/>
    </row>
    <row r="334" spans="1:124">
      <c r="A334" s="1118">
        <f t="shared" ca="1" si="197"/>
        <v>8</v>
      </c>
      <c r="B334" s="1890">
        <f t="shared" si="200"/>
        <v>0</v>
      </c>
      <c r="C334" s="2160">
        <f t="shared" si="167"/>
        <v>0</v>
      </c>
      <c r="D334" s="2161">
        <f t="shared" si="168"/>
        <v>0</v>
      </c>
      <c r="E334" s="2162">
        <f t="shared" si="169"/>
        <v>0</v>
      </c>
      <c r="F334" s="2162">
        <f t="shared" si="170"/>
        <v>0</v>
      </c>
      <c r="G334" s="2162">
        <f t="shared" si="171"/>
        <v>0</v>
      </c>
      <c r="H334" s="2162">
        <f t="shared" si="172"/>
        <v>0</v>
      </c>
      <c r="I334" s="2162">
        <f t="shared" si="173"/>
        <v>0</v>
      </c>
      <c r="J334" s="2162">
        <f t="shared" si="174"/>
        <v>0</v>
      </c>
      <c r="K334" s="2162">
        <f t="shared" si="175"/>
        <v>0</v>
      </c>
      <c r="L334" s="2162">
        <f t="shared" si="176"/>
        <v>0</v>
      </c>
      <c r="M334" s="2162">
        <f t="shared" si="177"/>
        <v>0</v>
      </c>
      <c r="N334" s="2162">
        <f t="shared" si="178"/>
        <v>0</v>
      </c>
      <c r="O334" s="2163"/>
      <c r="P334" s="1891"/>
      <c r="Q334" s="1891"/>
      <c r="R334" s="1891"/>
      <c r="S334" s="1891"/>
      <c r="T334" s="1891"/>
      <c r="U334" s="1891"/>
      <c r="V334" s="1891"/>
      <c r="W334" s="1891"/>
      <c r="X334" s="1891"/>
      <c r="Y334" s="1891"/>
      <c r="Z334" s="1891"/>
      <c r="AA334" s="1891"/>
      <c r="AB334" s="1891"/>
      <c r="AC334" s="1891"/>
      <c r="AD334" s="1891"/>
      <c r="AE334" s="1891"/>
      <c r="AF334" s="1891"/>
      <c r="AG334" s="1891"/>
      <c r="AH334" s="1891"/>
      <c r="AI334" s="1891"/>
      <c r="AJ334" s="1989">
        <f t="shared" si="198"/>
        <v>5</v>
      </c>
      <c r="AK334" s="1900">
        <f t="shared" si="179"/>
        <v>0</v>
      </c>
      <c r="AN334" s="1901">
        <f t="shared" si="199"/>
        <v>0</v>
      </c>
      <c r="AO334" s="1906">
        <f t="shared" ca="1" si="180"/>
        <v>0</v>
      </c>
      <c r="AT334" s="1891"/>
      <c r="AU334" s="1903">
        <f t="shared" si="181"/>
        <v>0</v>
      </c>
      <c r="AV334" s="1904">
        <f t="shared" si="182"/>
        <v>0</v>
      </c>
      <c r="AW334" s="1904">
        <f t="shared" si="183"/>
        <v>0</v>
      </c>
      <c r="AX334" s="1904"/>
      <c r="AY334" s="1904"/>
      <c r="AZ334" s="1904"/>
      <c r="BA334" s="1904"/>
      <c r="BB334" s="1897">
        <f t="shared" si="184"/>
        <v>0</v>
      </c>
      <c r="BC334" s="1897">
        <f t="shared" si="185"/>
        <v>0</v>
      </c>
      <c r="BD334" s="1898" t="e">
        <f>HLOOKUP($BD$63,anticipaplus,270,0)</f>
        <v>#N/A</v>
      </c>
      <c r="BE334" s="1891"/>
      <c r="BF334" s="1891"/>
      <c r="BG334" s="1965">
        <f t="shared" si="186"/>
        <v>0</v>
      </c>
      <c r="BH334" s="1361">
        <f t="shared" si="187"/>
        <v>269</v>
      </c>
      <c r="BI334" s="1362">
        <f t="shared" si="188"/>
        <v>0</v>
      </c>
      <c r="BJ334" s="1362">
        <f t="shared" si="189"/>
        <v>0</v>
      </c>
      <c r="BK334" s="1362">
        <f t="shared" si="195"/>
        <v>0</v>
      </c>
      <c r="BL334" s="1363">
        <f t="shared" si="190"/>
        <v>1000000</v>
      </c>
      <c r="BM334" s="1891"/>
      <c r="BN334" s="1361" t="str">
        <f t="shared" si="191"/>
        <v/>
      </c>
      <c r="BO334" s="1362">
        <f t="shared" si="192"/>
        <v>0</v>
      </c>
      <c r="BP334" s="1362">
        <f t="shared" si="193"/>
        <v>0</v>
      </c>
      <c r="BQ334" s="1362">
        <f t="shared" si="196"/>
        <v>0</v>
      </c>
      <c r="BR334" s="1363">
        <f t="shared" si="194"/>
        <v>0</v>
      </c>
      <c r="BT334" s="1414"/>
      <c r="CC334" s="1914"/>
      <c r="CD334" s="1914"/>
      <c r="CE334" s="1914"/>
      <c r="CF334" s="1914"/>
      <c r="CG334" s="1914"/>
      <c r="CH334" s="1915"/>
      <c r="CI334" s="1915"/>
      <c r="CJ334" s="1915"/>
      <c r="CK334" s="1915"/>
      <c r="CL334" s="1914"/>
      <c r="CM334" s="1915"/>
      <c r="CN334" s="1915"/>
      <c r="CO334" s="1915"/>
      <c r="CP334" s="1915"/>
      <c r="CQ334" s="1915"/>
      <c r="CR334" s="1914"/>
      <c r="CS334" s="1914"/>
      <c r="CT334" s="1914"/>
      <c r="CU334" s="1914"/>
      <c r="CV334" s="1914"/>
      <c r="CW334" s="1914"/>
      <c r="CX334" s="1914"/>
      <c r="CY334" s="1914"/>
      <c r="CZ334" s="1914"/>
      <c r="DA334" s="1914"/>
      <c r="DB334" s="1914"/>
      <c r="DC334" s="1914"/>
      <c r="DD334" s="1914"/>
      <c r="DE334" s="1914"/>
      <c r="DF334" s="1914"/>
      <c r="DG334" s="1914"/>
      <c r="DH334" s="1914"/>
      <c r="DI334" s="1914"/>
      <c r="DJ334" s="1914"/>
      <c r="DK334" s="1914"/>
      <c r="DL334" s="1914"/>
      <c r="DM334" s="1914"/>
      <c r="DN334" s="1914"/>
      <c r="DO334" s="1914"/>
      <c r="DP334" s="1914"/>
      <c r="DQ334" s="1914"/>
      <c r="DR334" s="1914"/>
      <c r="DS334" s="1914"/>
      <c r="DT334" s="1914"/>
    </row>
    <row r="335" spans="1:124">
      <c r="A335" s="1118">
        <f t="shared" ca="1" si="197"/>
        <v>9</v>
      </c>
      <c r="B335" s="1890">
        <f t="shared" si="200"/>
        <v>0</v>
      </c>
      <c r="C335" s="2160">
        <f t="shared" si="167"/>
        <v>0</v>
      </c>
      <c r="D335" s="2161">
        <f t="shared" si="168"/>
        <v>0</v>
      </c>
      <c r="E335" s="2162">
        <f t="shared" si="169"/>
        <v>0</v>
      </c>
      <c r="F335" s="2162">
        <f t="shared" si="170"/>
        <v>0</v>
      </c>
      <c r="G335" s="2162">
        <f t="shared" si="171"/>
        <v>0</v>
      </c>
      <c r="H335" s="2162">
        <f t="shared" si="172"/>
        <v>0</v>
      </c>
      <c r="I335" s="2162">
        <f t="shared" si="173"/>
        <v>0</v>
      </c>
      <c r="J335" s="2162">
        <f t="shared" si="174"/>
        <v>0</v>
      </c>
      <c r="K335" s="2162">
        <f t="shared" si="175"/>
        <v>0</v>
      </c>
      <c r="L335" s="2162">
        <f t="shared" si="176"/>
        <v>0</v>
      </c>
      <c r="M335" s="2162">
        <f t="shared" si="177"/>
        <v>0</v>
      </c>
      <c r="N335" s="2162">
        <f t="shared" si="178"/>
        <v>0</v>
      </c>
      <c r="O335" s="2163"/>
      <c r="P335" s="1891"/>
      <c r="Q335" s="1891"/>
      <c r="R335" s="1891"/>
      <c r="S335" s="1891"/>
      <c r="T335" s="1891"/>
      <c r="U335" s="1891"/>
      <c r="V335" s="1891"/>
      <c r="W335" s="1891"/>
      <c r="X335" s="1891"/>
      <c r="Y335" s="1891"/>
      <c r="Z335" s="1891"/>
      <c r="AA335" s="1891"/>
      <c r="AB335" s="1891"/>
      <c r="AC335" s="1891"/>
      <c r="AD335" s="1891"/>
      <c r="AE335" s="1891"/>
      <c r="AF335" s="1891"/>
      <c r="AG335" s="1891"/>
      <c r="AH335" s="1891"/>
      <c r="AI335" s="1891"/>
      <c r="AJ335" s="1989">
        <f t="shared" si="198"/>
        <v>6</v>
      </c>
      <c r="AK335" s="1900">
        <f t="shared" si="179"/>
        <v>0</v>
      </c>
      <c r="AN335" s="1901">
        <f t="shared" si="199"/>
        <v>0</v>
      </c>
      <c r="AO335" s="1906">
        <f t="shared" ca="1" si="180"/>
        <v>0</v>
      </c>
      <c r="AT335" s="1891"/>
      <c r="AU335" s="1903">
        <f t="shared" si="181"/>
        <v>0</v>
      </c>
      <c r="AV335" s="1904">
        <f t="shared" si="182"/>
        <v>0</v>
      </c>
      <c r="AW335" s="1904">
        <f t="shared" si="183"/>
        <v>0</v>
      </c>
      <c r="AX335" s="1904"/>
      <c r="AY335" s="1904"/>
      <c r="AZ335" s="1904"/>
      <c r="BA335" s="1904"/>
      <c r="BB335" s="1897">
        <f t="shared" si="184"/>
        <v>0</v>
      </c>
      <c r="BC335" s="1897">
        <f t="shared" si="185"/>
        <v>0</v>
      </c>
      <c r="BD335" s="1898" t="e">
        <f>HLOOKUP($BD$63,anticipaplus,271,0)</f>
        <v>#N/A</v>
      </c>
      <c r="BE335" s="1891"/>
      <c r="BF335" s="1891"/>
      <c r="BG335" s="1965">
        <f t="shared" si="186"/>
        <v>0</v>
      </c>
      <c r="BH335" s="1361">
        <f t="shared" si="187"/>
        <v>270</v>
      </c>
      <c r="BI335" s="1362">
        <f t="shared" si="188"/>
        <v>0</v>
      </c>
      <c r="BJ335" s="1362">
        <f t="shared" si="189"/>
        <v>0</v>
      </c>
      <c r="BK335" s="1362">
        <f t="shared" si="195"/>
        <v>0</v>
      </c>
      <c r="BL335" s="1363">
        <f t="shared" si="190"/>
        <v>1000000</v>
      </c>
      <c r="BM335" s="1891"/>
      <c r="BN335" s="1361" t="str">
        <f t="shared" si="191"/>
        <v/>
      </c>
      <c r="BO335" s="1362">
        <f t="shared" si="192"/>
        <v>0</v>
      </c>
      <c r="BP335" s="1362">
        <f t="shared" si="193"/>
        <v>0</v>
      </c>
      <c r="BQ335" s="1362">
        <f t="shared" si="196"/>
        <v>0</v>
      </c>
      <c r="BR335" s="1363">
        <f t="shared" si="194"/>
        <v>0</v>
      </c>
      <c r="BT335" s="1414"/>
      <c r="CC335" s="1914"/>
      <c r="CD335" s="1914"/>
      <c r="CE335" s="1914"/>
      <c r="CF335" s="1914"/>
      <c r="CG335" s="1914"/>
      <c r="CH335" s="1915"/>
      <c r="CI335" s="1915"/>
      <c r="CJ335" s="1915"/>
      <c r="CK335" s="1915"/>
      <c r="CL335" s="1914"/>
      <c r="CM335" s="1915"/>
      <c r="CN335" s="1915"/>
      <c r="CO335" s="1915"/>
      <c r="CP335" s="1915"/>
      <c r="CQ335" s="1915"/>
      <c r="CR335" s="1914"/>
      <c r="CS335" s="1914"/>
      <c r="CT335" s="1914"/>
      <c r="CU335" s="1914"/>
      <c r="CV335" s="1914"/>
      <c r="CW335" s="1914"/>
      <c r="CX335" s="1914"/>
      <c r="CY335" s="1914"/>
      <c r="CZ335" s="1914"/>
      <c r="DA335" s="1914"/>
      <c r="DB335" s="1914"/>
      <c r="DC335" s="1914"/>
      <c r="DD335" s="1914"/>
      <c r="DE335" s="1914"/>
      <c r="DF335" s="1914"/>
      <c r="DG335" s="1914"/>
      <c r="DH335" s="1914"/>
      <c r="DI335" s="1914"/>
      <c r="DJ335" s="1914"/>
      <c r="DK335" s="1914"/>
      <c r="DL335" s="1914"/>
      <c r="DM335" s="1914"/>
      <c r="DN335" s="1914"/>
      <c r="DO335" s="1914"/>
      <c r="DP335" s="1914"/>
      <c r="DQ335" s="1914"/>
      <c r="DR335" s="1914"/>
      <c r="DS335" s="1914"/>
      <c r="DT335" s="1914"/>
    </row>
    <row r="336" spans="1:124">
      <c r="A336" s="1118">
        <f t="shared" ca="1" si="197"/>
        <v>10</v>
      </c>
      <c r="B336" s="1890">
        <f t="shared" si="200"/>
        <v>0</v>
      </c>
      <c r="C336" s="2160">
        <f t="shared" si="167"/>
        <v>0</v>
      </c>
      <c r="D336" s="2161">
        <f t="shared" si="168"/>
        <v>0</v>
      </c>
      <c r="E336" s="2162">
        <f t="shared" si="169"/>
        <v>0</v>
      </c>
      <c r="F336" s="2162">
        <f t="shared" si="170"/>
        <v>0</v>
      </c>
      <c r="G336" s="2162">
        <f t="shared" si="171"/>
        <v>0</v>
      </c>
      <c r="H336" s="2162">
        <f t="shared" si="172"/>
        <v>0</v>
      </c>
      <c r="I336" s="2162">
        <f t="shared" si="173"/>
        <v>0</v>
      </c>
      <c r="J336" s="2162">
        <f t="shared" si="174"/>
        <v>0</v>
      </c>
      <c r="K336" s="2162">
        <f t="shared" si="175"/>
        <v>0</v>
      </c>
      <c r="L336" s="2162">
        <f t="shared" si="176"/>
        <v>0</v>
      </c>
      <c r="M336" s="2162">
        <f t="shared" si="177"/>
        <v>0</v>
      </c>
      <c r="N336" s="2162">
        <f t="shared" si="178"/>
        <v>0</v>
      </c>
      <c r="O336" s="2163"/>
      <c r="P336" s="1891"/>
      <c r="Q336" s="1891"/>
      <c r="R336" s="1891"/>
      <c r="S336" s="1891"/>
      <c r="T336" s="1891"/>
      <c r="U336" s="1891"/>
      <c r="V336" s="1891"/>
      <c r="W336" s="1891"/>
      <c r="X336" s="1891"/>
      <c r="Y336" s="1891"/>
      <c r="Z336" s="1891"/>
      <c r="AA336" s="1891"/>
      <c r="AB336" s="1891"/>
      <c r="AC336" s="1891"/>
      <c r="AD336" s="1891"/>
      <c r="AE336" s="1891"/>
      <c r="AF336" s="1891"/>
      <c r="AG336" s="1891"/>
      <c r="AH336" s="1891"/>
      <c r="AI336" s="1891"/>
      <c r="AJ336" s="1989">
        <f t="shared" si="198"/>
        <v>7</v>
      </c>
      <c r="AK336" s="1900">
        <f t="shared" si="179"/>
        <v>0</v>
      </c>
      <c r="AN336" s="1901">
        <f t="shared" si="199"/>
        <v>0</v>
      </c>
      <c r="AO336" s="1906">
        <f t="shared" ca="1" si="180"/>
        <v>0</v>
      </c>
      <c r="AT336" s="1891"/>
      <c r="AU336" s="1903">
        <f t="shared" si="181"/>
        <v>0</v>
      </c>
      <c r="AV336" s="1904">
        <f t="shared" si="182"/>
        <v>0</v>
      </c>
      <c r="AW336" s="1904">
        <f t="shared" si="183"/>
        <v>0</v>
      </c>
      <c r="AX336" s="1904"/>
      <c r="AY336" s="1904"/>
      <c r="AZ336" s="1904"/>
      <c r="BA336" s="1904"/>
      <c r="BB336" s="1897">
        <f t="shared" si="184"/>
        <v>0</v>
      </c>
      <c r="BC336" s="1897">
        <f t="shared" si="185"/>
        <v>0</v>
      </c>
      <c r="BD336" s="1898" t="e">
        <f>HLOOKUP($BD$63,anticipaplus,272,0)</f>
        <v>#N/A</v>
      </c>
      <c r="BE336" s="1891"/>
      <c r="BF336" s="1891"/>
      <c r="BG336" s="1965">
        <f t="shared" si="186"/>
        <v>0</v>
      </c>
      <c r="BH336" s="1361">
        <f t="shared" si="187"/>
        <v>271</v>
      </c>
      <c r="BI336" s="1362">
        <f t="shared" si="188"/>
        <v>0</v>
      </c>
      <c r="BJ336" s="1362">
        <f t="shared" si="189"/>
        <v>0</v>
      </c>
      <c r="BK336" s="1362">
        <f t="shared" si="195"/>
        <v>0</v>
      </c>
      <c r="BL336" s="1363">
        <f t="shared" si="190"/>
        <v>1000000</v>
      </c>
      <c r="BM336" s="1891"/>
      <c r="BN336" s="1361" t="str">
        <f t="shared" si="191"/>
        <v/>
      </c>
      <c r="BO336" s="1362">
        <f t="shared" si="192"/>
        <v>0</v>
      </c>
      <c r="BP336" s="1362">
        <f t="shared" si="193"/>
        <v>0</v>
      </c>
      <c r="BQ336" s="1362">
        <f t="shared" si="196"/>
        <v>0</v>
      </c>
      <c r="BR336" s="1363">
        <f t="shared" si="194"/>
        <v>0</v>
      </c>
      <c r="BT336" s="1414"/>
      <c r="CC336" s="1914"/>
      <c r="CD336" s="1914"/>
      <c r="CE336" s="1914"/>
      <c r="CF336" s="1914"/>
      <c r="CG336" s="1914"/>
      <c r="CH336" s="1915"/>
      <c r="CI336" s="1915"/>
      <c r="CJ336" s="1915"/>
      <c r="CK336" s="1915"/>
      <c r="CL336" s="1914"/>
      <c r="CM336" s="1915"/>
      <c r="CN336" s="1915"/>
      <c r="CO336" s="1915"/>
      <c r="CP336" s="1915"/>
      <c r="CQ336" s="1915"/>
      <c r="CR336" s="1914"/>
      <c r="CS336" s="1914"/>
      <c r="CT336" s="1914"/>
      <c r="CU336" s="1914"/>
      <c r="CV336" s="1914"/>
      <c r="CW336" s="1914"/>
      <c r="CX336" s="1914"/>
      <c r="CY336" s="1914"/>
      <c r="CZ336" s="1914"/>
      <c r="DA336" s="1914"/>
      <c r="DB336" s="1914"/>
      <c r="DC336" s="1914"/>
      <c r="DD336" s="1914"/>
      <c r="DE336" s="1914"/>
      <c r="DF336" s="1914"/>
      <c r="DG336" s="1914"/>
      <c r="DH336" s="1914"/>
      <c r="DI336" s="1914"/>
      <c r="DJ336" s="1914"/>
      <c r="DK336" s="1914"/>
      <c r="DL336" s="1914"/>
      <c r="DM336" s="1914"/>
      <c r="DN336" s="1914"/>
      <c r="DO336" s="1914"/>
      <c r="DP336" s="1914"/>
      <c r="DQ336" s="1914"/>
      <c r="DR336" s="1914"/>
      <c r="DS336" s="1914"/>
      <c r="DT336" s="1914"/>
    </row>
    <row r="337" spans="1:124">
      <c r="A337" s="1118">
        <f t="shared" ca="1" si="197"/>
        <v>11</v>
      </c>
      <c r="B337" s="1890">
        <f t="shared" si="200"/>
        <v>0</v>
      </c>
      <c r="C337" s="2160">
        <f t="shared" si="167"/>
        <v>0</v>
      </c>
      <c r="D337" s="2161">
        <f t="shared" si="168"/>
        <v>0</v>
      </c>
      <c r="E337" s="2162">
        <f t="shared" si="169"/>
        <v>0</v>
      </c>
      <c r="F337" s="2162">
        <f t="shared" si="170"/>
        <v>0</v>
      </c>
      <c r="G337" s="2162">
        <f t="shared" si="171"/>
        <v>0</v>
      </c>
      <c r="H337" s="2162">
        <f t="shared" si="172"/>
        <v>0</v>
      </c>
      <c r="I337" s="2162">
        <f t="shared" si="173"/>
        <v>0</v>
      </c>
      <c r="J337" s="2162">
        <f t="shared" si="174"/>
        <v>0</v>
      </c>
      <c r="K337" s="2162">
        <f t="shared" si="175"/>
        <v>0</v>
      </c>
      <c r="L337" s="2162">
        <f t="shared" si="176"/>
        <v>0</v>
      </c>
      <c r="M337" s="2162">
        <f t="shared" si="177"/>
        <v>0</v>
      </c>
      <c r="N337" s="2162">
        <f t="shared" si="178"/>
        <v>0</v>
      </c>
      <c r="O337" s="2163"/>
      <c r="P337" s="1891"/>
      <c r="Q337" s="1891"/>
      <c r="R337" s="1891"/>
      <c r="S337" s="1891"/>
      <c r="T337" s="1891"/>
      <c r="U337" s="1891"/>
      <c r="V337" s="1891"/>
      <c r="W337" s="1891"/>
      <c r="X337" s="1891"/>
      <c r="Y337" s="1891"/>
      <c r="Z337" s="1891"/>
      <c r="AA337" s="1891"/>
      <c r="AB337" s="1891"/>
      <c r="AC337" s="1891"/>
      <c r="AD337" s="1891"/>
      <c r="AE337" s="1891"/>
      <c r="AF337" s="1891"/>
      <c r="AG337" s="1891"/>
      <c r="AH337" s="1891"/>
      <c r="AI337" s="1891"/>
      <c r="AJ337" s="1989">
        <f t="shared" si="198"/>
        <v>8</v>
      </c>
      <c r="AK337" s="1900">
        <f t="shared" si="179"/>
        <v>0</v>
      </c>
      <c r="AN337" s="1901">
        <f t="shared" si="199"/>
        <v>0</v>
      </c>
      <c r="AO337" s="1906">
        <f t="shared" ca="1" si="180"/>
        <v>0</v>
      </c>
      <c r="AT337" s="1891"/>
      <c r="AU337" s="1903">
        <f t="shared" si="181"/>
        <v>0</v>
      </c>
      <c r="AV337" s="1904">
        <f t="shared" si="182"/>
        <v>0</v>
      </c>
      <c r="AW337" s="1904">
        <f t="shared" si="183"/>
        <v>0</v>
      </c>
      <c r="AX337" s="1904"/>
      <c r="AY337" s="1904"/>
      <c r="AZ337" s="1904"/>
      <c r="BA337" s="1904"/>
      <c r="BB337" s="1897">
        <f t="shared" si="184"/>
        <v>0</v>
      </c>
      <c r="BC337" s="1897">
        <f t="shared" si="185"/>
        <v>0</v>
      </c>
      <c r="BD337" s="1898" t="e">
        <f>HLOOKUP($BD$63,anticipaplus,273,0)</f>
        <v>#N/A</v>
      </c>
      <c r="BE337" s="1891"/>
      <c r="BF337" s="1891"/>
      <c r="BG337" s="1965">
        <f t="shared" si="186"/>
        <v>0</v>
      </c>
      <c r="BH337" s="1361">
        <f t="shared" si="187"/>
        <v>272</v>
      </c>
      <c r="BI337" s="1362">
        <f t="shared" si="188"/>
        <v>0</v>
      </c>
      <c r="BJ337" s="1362">
        <f t="shared" si="189"/>
        <v>0</v>
      </c>
      <c r="BK337" s="1362">
        <f t="shared" si="195"/>
        <v>0</v>
      </c>
      <c r="BL337" s="1363">
        <f t="shared" si="190"/>
        <v>1000000</v>
      </c>
      <c r="BM337" s="1891"/>
      <c r="BN337" s="1361" t="str">
        <f t="shared" si="191"/>
        <v/>
      </c>
      <c r="BO337" s="1362">
        <f t="shared" si="192"/>
        <v>0</v>
      </c>
      <c r="BP337" s="1362">
        <f t="shared" si="193"/>
        <v>0</v>
      </c>
      <c r="BQ337" s="1362">
        <f t="shared" si="196"/>
        <v>0</v>
      </c>
      <c r="BR337" s="1363">
        <f t="shared" si="194"/>
        <v>0</v>
      </c>
      <c r="BT337" s="1414"/>
      <c r="CC337" s="1914"/>
      <c r="CD337" s="1914"/>
      <c r="CE337" s="1914"/>
      <c r="CF337" s="1914"/>
      <c r="CG337" s="1914"/>
      <c r="CH337" s="1915"/>
      <c r="CI337" s="1915"/>
      <c r="CJ337" s="1915"/>
      <c r="CK337" s="1915"/>
      <c r="CL337" s="1914"/>
      <c r="CM337" s="1915"/>
      <c r="CN337" s="1915"/>
      <c r="CO337" s="1915"/>
      <c r="CP337" s="1915"/>
      <c r="CQ337" s="1915"/>
      <c r="CR337" s="1914"/>
      <c r="CS337" s="1914"/>
      <c r="CT337" s="1914"/>
      <c r="CU337" s="1914"/>
      <c r="CV337" s="1914"/>
      <c r="CW337" s="1914"/>
      <c r="CX337" s="1914"/>
      <c r="CY337" s="1914"/>
      <c r="CZ337" s="1914"/>
      <c r="DA337" s="1914"/>
      <c r="DB337" s="1914"/>
      <c r="DC337" s="1914"/>
      <c r="DD337" s="1914"/>
      <c r="DE337" s="1914"/>
      <c r="DF337" s="1914"/>
      <c r="DG337" s="1914"/>
      <c r="DH337" s="1914"/>
      <c r="DI337" s="1914"/>
      <c r="DJ337" s="1914"/>
      <c r="DK337" s="1914"/>
      <c r="DL337" s="1914"/>
      <c r="DM337" s="1914"/>
      <c r="DN337" s="1914"/>
      <c r="DO337" s="1914"/>
      <c r="DP337" s="1914"/>
      <c r="DQ337" s="1914"/>
      <c r="DR337" s="1914"/>
      <c r="DS337" s="1914"/>
      <c r="DT337" s="1914"/>
    </row>
    <row r="338" spans="1:124">
      <c r="A338" s="1118">
        <f t="shared" ca="1" si="197"/>
        <v>12</v>
      </c>
      <c r="B338" s="1890">
        <f t="shared" si="200"/>
        <v>0</v>
      </c>
      <c r="C338" s="2160">
        <f t="shared" si="167"/>
        <v>0</v>
      </c>
      <c r="D338" s="2161">
        <f t="shared" si="168"/>
        <v>0</v>
      </c>
      <c r="E338" s="2162">
        <f t="shared" si="169"/>
        <v>0</v>
      </c>
      <c r="F338" s="2162">
        <f t="shared" si="170"/>
        <v>0</v>
      </c>
      <c r="G338" s="2162">
        <f t="shared" si="171"/>
        <v>0</v>
      </c>
      <c r="H338" s="2162">
        <f t="shared" si="172"/>
        <v>0</v>
      </c>
      <c r="I338" s="2162">
        <f t="shared" si="173"/>
        <v>0</v>
      </c>
      <c r="J338" s="2162">
        <f t="shared" si="174"/>
        <v>0</v>
      </c>
      <c r="K338" s="2162">
        <f t="shared" si="175"/>
        <v>0</v>
      </c>
      <c r="L338" s="2162">
        <f t="shared" si="176"/>
        <v>0</v>
      </c>
      <c r="M338" s="2162">
        <f t="shared" si="177"/>
        <v>0</v>
      </c>
      <c r="N338" s="2162">
        <f t="shared" si="178"/>
        <v>0</v>
      </c>
      <c r="O338" s="2163"/>
      <c r="P338" s="1891"/>
      <c r="Q338" s="1891"/>
      <c r="R338" s="1891"/>
      <c r="S338" s="1891"/>
      <c r="T338" s="1891"/>
      <c r="U338" s="1891"/>
      <c r="V338" s="1891"/>
      <c r="W338" s="1891"/>
      <c r="X338" s="1891"/>
      <c r="Y338" s="1891"/>
      <c r="Z338" s="1891"/>
      <c r="AA338" s="1891"/>
      <c r="AB338" s="1891"/>
      <c r="AC338" s="1891"/>
      <c r="AD338" s="1891"/>
      <c r="AE338" s="1891"/>
      <c r="AF338" s="1891"/>
      <c r="AG338" s="1891"/>
      <c r="AH338" s="1891"/>
      <c r="AI338" s="1891"/>
      <c r="AJ338" s="1989">
        <f t="shared" si="198"/>
        <v>9</v>
      </c>
      <c r="AK338" s="1900">
        <f t="shared" si="179"/>
        <v>0</v>
      </c>
      <c r="AN338" s="1901">
        <f t="shared" si="199"/>
        <v>0</v>
      </c>
      <c r="AO338" s="1906">
        <f t="shared" ca="1" si="180"/>
        <v>0</v>
      </c>
      <c r="AT338" s="1891"/>
      <c r="AU338" s="1903">
        <f t="shared" si="181"/>
        <v>0</v>
      </c>
      <c r="AV338" s="1904">
        <f t="shared" si="182"/>
        <v>0</v>
      </c>
      <c r="AW338" s="1904">
        <f t="shared" si="183"/>
        <v>0</v>
      </c>
      <c r="AX338" s="1904"/>
      <c r="AY338" s="1904"/>
      <c r="AZ338" s="1904"/>
      <c r="BA338" s="1904"/>
      <c r="BB338" s="1897">
        <f t="shared" si="184"/>
        <v>0</v>
      </c>
      <c r="BC338" s="1897">
        <f t="shared" si="185"/>
        <v>0</v>
      </c>
      <c r="BD338" s="1898" t="e">
        <f>HLOOKUP($BD$63,anticipaplus,274,0)</f>
        <v>#N/A</v>
      </c>
      <c r="BE338" s="1891"/>
      <c r="BF338" s="1891"/>
      <c r="BG338" s="1965">
        <f t="shared" si="186"/>
        <v>0</v>
      </c>
      <c r="BH338" s="1361">
        <f t="shared" si="187"/>
        <v>273</v>
      </c>
      <c r="BI338" s="1362">
        <f t="shared" si="188"/>
        <v>0</v>
      </c>
      <c r="BJ338" s="1362">
        <f t="shared" si="189"/>
        <v>0</v>
      </c>
      <c r="BK338" s="1362">
        <f t="shared" si="195"/>
        <v>0</v>
      </c>
      <c r="BL338" s="1363">
        <f t="shared" si="190"/>
        <v>1000000</v>
      </c>
      <c r="BM338" s="1891"/>
      <c r="BN338" s="1361" t="str">
        <f t="shared" si="191"/>
        <v/>
      </c>
      <c r="BO338" s="1362">
        <f t="shared" si="192"/>
        <v>0</v>
      </c>
      <c r="BP338" s="1362">
        <f t="shared" si="193"/>
        <v>0</v>
      </c>
      <c r="BQ338" s="1362">
        <f t="shared" si="196"/>
        <v>0</v>
      </c>
      <c r="BR338" s="1363">
        <f t="shared" si="194"/>
        <v>0</v>
      </c>
      <c r="BT338" s="1414"/>
      <c r="CC338" s="1914"/>
      <c r="CD338" s="1914"/>
      <c r="CE338" s="1914"/>
      <c r="CF338" s="1914"/>
      <c r="CG338" s="1914"/>
      <c r="CH338" s="1915"/>
      <c r="CI338" s="1915"/>
      <c r="CJ338" s="1915"/>
      <c r="CK338" s="1915"/>
      <c r="CL338" s="1914"/>
      <c r="CM338" s="1915"/>
      <c r="CN338" s="1915"/>
      <c r="CO338" s="1915"/>
      <c r="CP338" s="1915"/>
      <c r="CQ338" s="1915"/>
      <c r="CR338" s="1914"/>
      <c r="CS338" s="1914"/>
      <c r="CT338" s="1914"/>
      <c r="CU338" s="1914"/>
      <c r="CV338" s="1914"/>
      <c r="CW338" s="1914"/>
      <c r="CX338" s="1914"/>
      <c r="CY338" s="1914"/>
      <c r="CZ338" s="1914"/>
      <c r="DA338" s="1914"/>
      <c r="DB338" s="1914"/>
      <c r="DC338" s="1914"/>
      <c r="DD338" s="1914"/>
      <c r="DE338" s="1914"/>
      <c r="DF338" s="1914"/>
      <c r="DG338" s="1914"/>
      <c r="DH338" s="1914"/>
      <c r="DI338" s="1914"/>
      <c r="DJ338" s="1914"/>
      <c r="DK338" s="1914"/>
      <c r="DL338" s="1914"/>
      <c r="DM338" s="1914"/>
      <c r="DN338" s="1914"/>
      <c r="DO338" s="1914"/>
      <c r="DP338" s="1914"/>
      <c r="DQ338" s="1914"/>
      <c r="DR338" s="1914"/>
      <c r="DS338" s="1914"/>
      <c r="DT338" s="1914"/>
    </row>
    <row r="339" spans="1:124">
      <c r="A339" s="1118">
        <f t="shared" ca="1" si="197"/>
        <v>1</v>
      </c>
      <c r="B339" s="1890">
        <f t="shared" si="200"/>
        <v>0</v>
      </c>
      <c r="C339" s="2160">
        <f t="shared" si="167"/>
        <v>0</v>
      </c>
      <c r="D339" s="2161">
        <f t="shared" si="168"/>
        <v>0</v>
      </c>
      <c r="E339" s="2162">
        <f t="shared" si="169"/>
        <v>0</v>
      </c>
      <c r="F339" s="2162">
        <f t="shared" si="170"/>
        <v>0</v>
      </c>
      <c r="G339" s="2162">
        <f t="shared" si="171"/>
        <v>0</v>
      </c>
      <c r="H339" s="2162">
        <f t="shared" si="172"/>
        <v>0</v>
      </c>
      <c r="I339" s="2162">
        <f t="shared" si="173"/>
        <v>0</v>
      </c>
      <c r="J339" s="2162">
        <f t="shared" si="174"/>
        <v>0</v>
      </c>
      <c r="K339" s="2162">
        <f t="shared" si="175"/>
        <v>0</v>
      </c>
      <c r="L339" s="2162">
        <f t="shared" si="176"/>
        <v>0</v>
      </c>
      <c r="M339" s="2162">
        <f t="shared" si="177"/>
        <v>0</v>
      </c>
      <c r="N339" s="2162">
        <f t="shared" si="178"/>
        <v>0</v>
      </c>
      <c r="O339" s="2163"/>
      <c r="P339" s="1891"/>
      <c r="Q339" s="1891"/>
      <c r="R339" s="1891"/>
      <c r="S339" s="1891"/>
      <c r="T339" s="1891"/>
      <c r="U339" s="1891"/>
      <c r="V339" s="1891"/>
      <c r="W339" s="1891"/>
      <c r="X339" s="1891"/>
      <c r="Y339" s="1891"/>
      <c r="Z339" s="1891"/>
      <c r="AA339" s="1891"/>
      <c r="AB339" s="1891"/>
      <c r="AC339" s="1891"/>
      <c r="AD339" s="1891"/>
      <c r="AE339" s="1891"/>
      <c r="AF339" s="1891"/>
      <c r="AG339" s="1891"/>
      <c r="AH339" s="1891"/>
      <c r="AI339" s="1891"/>
      <c r="AJ339" s="1989">
        <f t="shared" si="198"/>
        <v>10</v>
      </c>
      <c r="AK339" s="1900">
        <f t="shared" si="179"/>
        <v>0</v>
      </c>
      <c r="AN339" s="1901">
        <f t="shared" si="199"/>
        <v>0</v>
      </c>
      <c r="AO339" s="1906">
        <f t="shared" ca="1" si="180"/>
        <v>0</v>
      </c>
      <c r="AT339" s="1891"/>
      <c r="AU339" s="1903">
        <f t="shared" si="181"/>
        <v>0</v>
      </c>
      <c r="AV339" s="1904">
        <f t="shared" si="182"/>
        <v>0</v>
      </c>
      <c r="AW339" s="1904">
        <f t="shared" si="183"/>
        <v>0</v>
      </c>
      <c r="AX339" s="1904"/>
      <c r="AY339" s="1904"/>
      <c r="AZ339" s="1904"/>
      <c r="BA339" s="1904"/>
      <c r="BB339" s="1897">
        <f t="shared" si="184"/>
        <v>0</v>
      </c>
      <c r="BC339" s="1897">
        <f t="shared" si="185"/>
        <v>0</v>
      </c>
      <c r="BD339" s="1898" t="e">
        <f>HLOOKUP($BD$63,anticipaplus,275,0)</f>
        <v>#N/A</v>
      </c>
      <c r="BE339" s="1891"/>
      <c r="BF339" s="1891"/>
      <c r="BG339" s="1965">
        <f t="shared" si="186"/>
        <v>0</v>
      </c>
      <c r="BH339" s="1361">
        <f t="shared" si="187"/>
        <v>274</v>
      </c>
      <c r="BI339" s="1362">
        <f t="shared" si="188"/>
        <v>0</v>
      </c>
      <c r="BJ339" s="1362">
        <f t="shared" si="189"/>
        <v>0</v>
      </c>
      <c r="BK339" s="1362">
        <f t="shared" si="195"/>
        <v>0</v>
      </c>
      <c r="BL339" s="1363">
        <f t="shared" si="190"/>
        <v>1000000</v>
      </c>
      <c r="BM339" s="1891"/>
      <c r="BN339" s="1361" t="str">
        <f t="shared" si="191"/>
        <v/>
      </c>
      <c r="BO339" s="1362">
        <f t="shared" si="192"/>
        <v>0</v>
      </c>
      <c r="BP339" s="1362">
        <f t="shared" si="193"/>
        <v>0</v>
      </c>
      <c r="BQ339" s="1362">
        <f t="shared" si="196"/>
        <v>0</v>
      </c>
      <c r="BR339" s="1363">
        <f t="shared" si="194"/>
        <v>0</v>
      </c>
      <c r="BT339" s="1414"/>
      <c r="CC339" s="1914"/>
      <c r="CD339" s="1914"/>
      <c r="CE339" s="1914"/>
      <c r="CF339" s="1914"/>
      <c r="CG339" s="1914"/>
      <c r="CH339" s="1915"/>
      <c r="CI339" s="1915"/>
      <c r="CJ339" s="1915"/>
      <c r="CK339" s="1915"/>
      <c r="CL339" s="1914"/>
      <c r="CM339" s="1915"/>
      <c r="CN339" s="1915"/>
      <c r="CO339" s="1915"/>
      <c r="CP339" s="1915"/>
      <c r="CQ339" s="1915"/>
      <c r="CR339" s="1914"/>
      <c r="CS339" s="1914"/>
      <c r="CT339" s="1914"/>
      <c r="CU339" s="1914"/>
      <c r="CV339" s="1914"/>
      <c r="CW339" s="1914"/>
      <c r="CX339" s="1914"/>
      <c r="CY339" s="1914"/>
      <c r="CZ339" s="1914"/>
      <c r="DA339" s="1914"/>
      <c r="DB339" s="1914"/>
      <c r="DC339" s="1914"/>
      <c r="DD339" s="1914"/>
      <c r="DE339" s="1914"/>
      <c r="DF339" s="1914"/>
      <c r="DG339" s="1914"/>
      <c r="DH339" s="1914"/>
      <c r="DI339" s="1914"/>
      <c r="DJ339" s="1914"/>
      <c r="DK339" s="1914"/>
      <c r="DL339" s="1914"/>
      <c r="DM339" s="1914"/>
      <c r="DN339" s="1914"/>
      <c r="DO339" s="1914"/>
      <c r="DP339" s="1914"/>
      <c r="DQ339" s="1914"/>
      <c r="DR339" s="1914"/>
      <c r="DS339" s="1914"/>
      <c r="DT339" s="1914"/>
    </row>
    <row r="340" spans="1:124">
      <c r="A340" s="1118">
        <f t="shared" ca="1" si="197"/>
        <v>2</v>
      </c>
      <c r="B340" s="1890">
        <f t="shared" si="200"/>
        <v>0</v>
      </c>
      <c r="C340" s="2160">
        <f t="shared" ref="C340:C359" si="201">IF(N339&lt;0.01,0,C339+1)</f>
        <v>0</v>
      </c>
      <c r="D340" s="2161">
        <f t="shared" ref="D340:D359" si="202">IF(N339&lt;0.01,0,D339)</f>
        <v>0</v>
      </c>
      <c r="E340" s="2162">
        <f t="shared" ref="E340:E359" si="203">IF(N339&lt;0.01,0,N339*D340*30.4166/360)</f>
        <v>0</v>
      </c>
      <c r="F340" s="2162">
        <f t="shared" ref="F340:F359" si="204">IF(N339&lt;0.01,0,MIN(N339,G340-E340))</f>
        <v>0</v>
      </c>
      <c r="G340" s="2162">
        <f t="shared" ref="G340:G359" si="205">IF(N339&lt;0.01,0,MIN(N339+E340,IF(AU340&gt;0,AU340,G339*(1+AK340))))</f>
        <v>0</v>
      </c>
      <c r="H340" s="2162">
        <f t="shared" ref="H340:H359" si="206">IF(N339&lt;0.01,0,IF($F$22=$AN$4,0,IF($F$22=$AN$3,N339*$I$22/1000,N339*VLOOKUP($G$21,$AP$2:$AQ$5,2,0))))</f>
        <v>0</v>
      </c>
      <c r="I340" s="2162">
        <f t="shared" ref="I340:I359" si="207">IF(N339&lt;0.01,0,IF($F$24=$AO$3,0,IF(OR($F$10=$AK$7,$F$10=$AK$13),0,$G$13*$AR$2)))</f>
        <v>0</v>
      </c>
      <c r="J340" s="2162">
        <f t="shared" ref="J340:J359" si="208">IF(N339&lt;0.01,0,IF($F$10=$AK$7,0,$BD$2*1.16))</f>
        <v>0</v>
      </c>
      <c r="K340" s="2162">
        <f t="shared" ref="K340:K359" si="209">IF(N339&lt;0.01,0,IF($AS$2&gt;0,E340*$AS$3,0))</f>
        <v>0</v>
      </c>
      <c r="L340" s="2162">
        <f t="shared" ref="L340:L359" si="210">IF(N339&lt;0.01,0,G340+H340+I340+J340+K340)</f>
        <v>0</v>
      </c>
      <c r="M340" s="2162">
        <f t="shared" ref="M340:M359" si="211">IF($F$10=$AK$3,MIN(N339+E340+H340+I340+J340-L340,AO340),0)</f>
        <v>0</v>
      </c>
      <c r="N340" s="2162">
        <f t="shared" ref="N340:N359" si="212">IF(N339&lt;0.001,0,+N339-F340-M340-O340)</f>
        <v>0</v>
      </c>
      <c r="O340" s="2163"/>
      <c r="P340" s="1891"/>
      <c r="Q340" s="1891"/>
      <c r="R340" s="1891"/>
      <c r="S340" s="1891"/>
      <c r="T340" s="1891"/>
      <c r="U340" s="1891"/>
      <c r="V340" s="1891"/>
      <c r="W340" s="1891"/>
      <c r="X340" s="1891"/>
      <c r="Y340" s="1891"/>
      <c r="Z340" s="1891"/>
      <c r="AA340" s="1891"/>
      <c r="AB340" s="1891"/>
      <c r="AC340" s="1891"/>
      <c r="AD340" s="1891"/>
      <c r="AE340" s="1891"/>
      <c r="AF340" s="1891"/>
      <c r="AG340" s="1891"/>
      <c r="AH340" s="1891"/>
      <c r="AI340" s="1891"/>
      <c r="AJ340" s="1989">
        <f t="shared" si="198"/>
        <v>11</v>
      </c>
      <c r="AK340" s="1900">
        <f t="shared" si="179"/>
        <v>0</v>
      </c>
      <c r="AN340" s="1901">
        <f t="shared" si="199"/>
        <v>0</v>
      </c>
      <c r="AO340" s="1906">
        <f t="shared" ca="1" si="180"/>
        <v>0</v>
      </c>
      <c r="AT340" s="1891"/>
      <c r="AU340" s="1903">
        <f t="shared" si="181"/>
        <v>0</v>
      </c>
      <c r="AV340" s="1904">
        <f t="shared" si="182"/>
        <v>0</v>
      </c>
      <c r="AW340" s="1904">
        <f t="shared" si="183"/>
        <v>0</v>
      </c>
      <c r="AX340" s="1904"/>
      <c r="AY340" s="1904"/>
      <c r="AZ340" s="1904"/>
      <c r="BA340" s="1904"/>
      <c r="BB340" s="1897">
        <f t="shared" si="184"/>
        <v>0</v>
      </c>
      <c r="BC340" s="1897">
        <f t="shared" si="185"/>
        <v>0</v>
      </c>
      <c r="BD340" s="1898" t="e">
        <f>HLOOKUP($BD$63,anticipaplus,276,0)</f>
        <v>#N/A</v>
      </c>
      <c r="BE340" s="1891"/>
      <c r="BF340" s="1891"/>
      <c r="BG340" s="1965">
        <f t="shared" si="186"/>
        <v>0</v>
      </c>
      <c r="BH340" s="1361">
        <f t="shared" si="187"/>
        <v>275</v>
      </c>
      <c r="BI340" s="1362">
        <f t="shared" si="188"/>
        <v>0</v>
      </c>
      <c r="BJ340" s="1362">
        <f t="shared" si="189"/>
        <v>0</v>
      </c>
      <c r="BK340" s="1362">
        <f t="shared" si="195"/>
        <v>0</v>
      </c>
      <c r="BL340" s="1363">
        <f t="shared" si="190"/>
        <v>1000000</v>
      </c>
      <c r="BM340" s="1891"/>
      <c r="BN340" s="1361" t="str">
        <f t="shared" si="191"/>
        <v/>
      </c>
      <c r="BO340" s="1362">
        <f t="shared" si="192"/>
        <v>0</v>
      </c>
      <c r="BP340" s="1362">
        <f t="shared" si="193"/>
        <v>0</v>
      </c>
      <c r="BQ340" s="1362">
        <f t="shared" si="196"/>
        <v>0</v>
      </c>
      <c r="BR340" s="1363">
        <f t="shared" si="194"/>
        <v>0</v>
      </c>
      <c r="BT340" s="1414"/>
      <c r="CC340" s="1914"/>
      <c r="CD340" s="1914"/>
      <c r="CE340" s="1914"/>
      <c r="CF340" s="1914"/>
      <c r="CG340" s="1914"/>
      <c r="CH340" s="1915"/>
      <c r="CI340" s="1915"/>
      <c r="CJ340" s="1915"/>
      <c r="CK340" s="1915"/>
      <c r="CL340" s="1914"/>
      <c r="CM340" s="1915"/>
      <c r="CN340" s="1915"/>
      <c r="CO340" s="1915"/>
      <c r="CP340" s="1915"/>
      <c r="CQ340" s="1915"/>
      <c r="CR340" s="1914"/>
      <c r="CS340" s="1914"/>
      <c r="CT340" s="1914"/>
      <c r="CU340" s="1914"/>
      <c r="CV340" s="1914"/>
      <c r="CW340" s="1914"/>
      <c r="CX340" s="1914"/>
      <c r="CY340" s="1914"/>
      <c r="CZ340" s="1914"/>
      <c r="DA340" s="1914"/>
      <c r="DB340" s="1914"/>
      <c r="DC340" s="1914"/>
      <c r="DD340" s="1914"/>
      <c r="DE340" s="1914"/>
      <c r="DF340" s="1914"/>
      <c r="DG340" s="1914"/>
      <c r="DH340" s="1914"/>
      <c r="DI340" s="1914"/>
      <c r="DJ340" s="1914"/>
      <c r="DK340" s="1914"/>
      <c r="DL340" s="1914"/>
      <c r="DM340" s="1914"/>
      <c r="DN340" s="1914"/>
      <c r="DO340" s="1914"/>
      <c r="DP340" s="1914"/>
      <c r="DQ340" s="1914"/>
      <c r="DR340" s="1914"/>
      <c r="DS340" s="1914"/>
      <c r="DT340" s="1914"/>
    </row>
    <row r="341" spans="1:124">
      <c r="A341" s="1118">
        <f t="shared" ca="1" si="197"/>
        <v>3</v>
      </c>
      <c r="B341" s="1890">
        <f t="shared" si="200"/>
        <v>0</v>
      </c>
      <c r="C341" s="2160">
        <f t="shared" si="201"/>
        <v>0</v>
      </c>
      <c r="D341" s="2161">
        <f t="shared" si="202"/>
        <v>0</v>
      </c>
      <c r="E341" s="2162">
        <f t="shared" si="203"/>
        <v>0</v>
      </c>
      <c r="F341" s="2162">
        <f t="shared" si="204"/>
        <v>0</v>
      </c>
      <c r="G341" s="2162">
        <f t="shared" si="205"/>
        <v>0</v>
      </c>
      <c r="H341" s="2162">
        <f t="shared" si="206"/>
        <v>0</v>
      </c>
      <c r="I341" s="2162">
        <f t="shared" si="207"/>
        <v>0</v>
      </c>
      <c r="J341" s="2162">
        <f t="shared" si="208"/>
        <v>0</v>
      </c>
      <c r="K341" s="2162">
        <f t="shared" si="209"/>
        <v>0</v>
      </c>
      <c r="L341" s="2162">
        <f t="shared" si="210"/>
        <v>0</v>
      </c>
      <c r="M341" s="2162">
        <f t="shared" si="211"/>
        <v>0</v>
      </c>
      <c r="N341" s="2162">
        <f t="shared" si="212"/>
        <v>0</v>
      </c>
      <c r="O341" s="2163"/>
      <c r="P341" s="1891"/>
      <c r="Q341" s="1891"/>
      <c r="R341" s="1891"/>
      <c r="S341" s="1891"/>
      <c r="T341" s="1891"/>
      <c r="U341" s="1891"/>
      <c r="V341" s="1891"/>
      <c r="W341" s="1891"/>
      <c r="X341" s="1891"/>
      <c r="Y341" s="1891"/>
      <c r="Z341" s="1891"/>
      <c r="AA341" s="1891"/>
      <c r="AB341" s="1891"/>
      <c r="AC341" s="1891"/>
      <c r="AD341" s="1891"/>
      <c r="AE341" s="1891"/>
      <c r="AF341" s="1891"/>
      <c r="AG341" s="1891"/>
      <c r="AH341" s="1891"/>
      <c r="AI341" s="1891"/>
      <c r="AJ341" s="1989">
        <f t="shared" si="198"/>
        <v>12</v>
      </c>
      <c r="AK341" s="1900">
        <f t="shared" si="179"/>
        <v>0</v>
      </c>
      <c r="AN341" s="1901">
        <f t="shared" si="199"/>
        <v>0</v>
      </c>
      <c r="AO341" s="1906">
        <f t="shared" ca="1" si="180"/>
        <v>0</v>
      </c>
      <c r="AT341" s="1891"/>
      <c r="AU341" s="1903">
        <f t="shared" si="181"/>
        <v>0</v>
      </c>
      <c r="AV341" s="1904">
        <f t="shared" si="182"/>
        <v>0</v>
      </c>
      <c r="AW341" s="1904">
        <f t="shared" si="183"/>
        <v>0</v>
      </c>
      <c r="AX341" s="1904"/>
      <c r="AY341" s="1904"/>
      <c r="AZ341" s="1904"/>
      <c r="BA341" s="1904"/>
      <c r="BB341" s="1897">
        <f t="shared" si="184"/>
        <v>0</v>
      </c>
      <c r="BC341" s="1897">
        <f t="shared" si="185"/>
        <v>0</v>
      </c>
      <c r="BD341" s="1898" t="e">
        <f>HLOOKUP($BD$63,anticipaplus,277,0)</f>
        <v>#N/A</v>
      </c>
      <c r="BE341" s="1891"/>
      <c r="BF341" s="1891"/>
      <c r="BG341" s="1965">
        <f t="shared" si="186"/>
        <v>0</v>
      </c>
      <c r="BH341" s="1361">
        <f t="shared" si="187"/>
        <v>276</v>
      </c>
      <c r="BI341" s="1362">
        <f t="shared" si="188"/>
        <v>0</v>
      </c>
      <c r="BJ341" s="1362">
        <f t="shared" si="189"/>
        <v>0</v>
      </c>
      <c r="BK341" s="1362">
        <f t="shared" si="195"/>
        <v>0</v>
      </c>
      <c r="BL341" s="1363">
        <f t="shared" si="190"/>
        <v>1000000</v>
      </c>
      <c r="BM341" s="1891"/>
      <c r="BN341" s="1361" t="str">
        <f t="shared" si="191"/>
        <v/>
      </c>
      <c r="BO341" s="1362">
        <f t="shared" si="192"/>
        <v>0</v>
      </c>
      <c r="BP341" s="1362">
        <f t="shared" si="193"/>
        <v>0</v>
      </c>
      <c r="BQ341" s="1362">
        <f t="shared" si="196"/>
        <v>0</v>
      </c>
      <c r="BR341" s="1363">
        <f t="shared" si="194"/>
        <v>0</v>
      </c>
      <c r="BT341" s="1414"/>
      <c r="CC341" s="1914"/>
      <c r="CD341" s="1914"/>
      <c r="CE341" s="1914"/>
      <c r="CF341" s="1914"/>
      <c r="CG341" s="1914"/>
      <c r="CH341" s="1915"/>
      <c r="CI341" s="1915"/>
      <c r="CJ341" s="1915"/>
      <c r="CK341" s="1915"/>
      <c r="CL341" s="1914"/>
      <c r="CM341" s="1915"/>
      <c r="CN341" s="1915"/>
      <c r="CO341" s="1915"/>
      <c r="CP341" s="1915"/>
      <c r="CQ341" s="1915"/>
      <c r="CR341" s="1914"/>
      <c r="CS341" s="1914"/>
      <c r="CT341" s="1914"/>
      <c r="CU341" s="1914"/>
      <c r="CV341" s="1914"/>
      <c r="CW341" s="1914"/>
      <c r="CX341" s="1914"/>
      <c r="CY341" s="1914"/>
      <c r="CZ341" s="1914"/>
      <c r="DA341" s="1914"/>
      <c r="DB341" s="1914"/>
      <c r="DC341" s="1914"/>
      <c r="DD341" s="1914"/>
      <c r="DE341" s="1914"/>
      <c r="DF341" s="1914"/>
      <c r="DG341" s="1914"/>
      <c r="DH341" s="1914"/>
      <c r="DI341" s="1914"/>
      <c r="DJ341" s="1914"/>
      <c r="DK341" s="1914"/>
      <c r="DL341" s="1914"/>
      <c r="DM341" s="1914"/>
      <c r="DN341" s="1914"/>
      <c r="DO341" s="1914"/>
      <c r="DP341" s="1914"/>
      <c r="DQ341" s="1914"/>
      <c r="DR341" s="1914"/>
      <c r="DS341" s="1914"/>
      <c r="DT341" s="1914"/>
    </row>
    <row r="342" spans="1:124">
      <c r="A342" s="1118">
        <f t="shared" ca="1" si="197"/>
        <v>4</v>
      </c>
      <c r="B342" s="1890">
        <f t="shared" si="200"/>
        <v>0</v>
      </c>
      <c r="C342" s="2160">
        <f t="shared" si="201"/>
        <v>0</v>
      </c>
      <c r="D342" s="2161">
        <f t="shared" si="202"/>
        <v>0</v>
      </c>
      <c r="E342" s="2162">
        <f t="shared" si="203"/>
        <v>0</v>
      </c>
      <c r="F342" s="2162">
        <f t="shared" si="204"/>
        <v>0</v>
      </c>
      <c r="G342" s="2162">
        <f t="shared" si="205"/>
        <v>0</v>
      </c>
      <c r="H342" s="2162">
        <f t="shared" si="206"/>
        <v>0</v>
      </c>
      <c r="I342" s="2162">
        <f t="shared" si="207"/>
        <v>0</v>
      </c>
      <c r="J342" s="2162">
        <f t="shared" si="208"/>
        <v>0</v>
      </c>
      <c r="K342" s="2162">
        <f t="shared" si="209"/>
        <v>0</v>
      </c>
      <c r="L342" s="2162">
        <f t="shared" si="210"/>
        <v>0</v>
      </c>
      <c r="M342" s="2162">
        <f t="shared" si="211"/>
        <v>0</v>
      </c>
      <c r="N342" s="2162">
        <f t="shared" si="212"/>
        <v>0</v>
      </c>
      <c r="O342" s="2163"/>
      <c r="P342" s="1891"/>
      <c r="Q342" s="1891"/>
      <c r="R342" s="1891"/>
      <c r="S342" s="1891"/>
      <c r="T342" s="1891"/>
      <c r="U342" s="1891"/>
      <c r="V342" s="1891"/>
      <c r="W342" s="1891"/>
      <c r="X342" s="1891"/>
      <c r="Y342" s="1891"/>
      <c r="Z342" s="1891"/>
      <c r="AA342" s="1891"/>
      <c r="AB342" s="1891"/>
      <c r="AC342" s="1891"/>
      <c r="AD342" s="1891"/>
      <c r="AE342" s="1891"/>
      <c r="AF342" s="1891"/>
      <c r="AG342" s="1891"/>
      <c r="AH342" s="1891"/>
      <c r="AI342" s="1891"/>
      <c r="AJ342" s="1989">
        <f t="shared" si="198"/>
        <v>1</v>
      </c>
      <c r="AK342" s="1900">
        <f t="shared" si="179"/>
        <v>0</v>
      </c>
      <c r="AN342" s="1901">
        <f t="shared" si="199"/>
        <v>0</v>
      </c>
      <c r="AO342" s="1906">
        <f t="shared" ca="1" si="180"/>
        <v>0</v>
      </c>
      <c r="AT342" s="1891"/>
      <c r="AU342" s="1903">
        <f t="shared" si="181"/>
        <v>0</v>
      </c>
      <c r="AV342" s="1904">
        <f t="shared" si="182"/>
        <v>0</v>
      </c>
      <c r="AW342" s="1904">
        <f t="shared" si="183"/>
        <v>0</v>
      </c>
      <c r="AX342" s="1904"/>
      <c r="AY342" s="1904"/>
      <c r="AZ342" s="1904"/>
      <c r="BA342" s="1904"/>
      <c r="BB342" s="1897">
        <f t="shared" si="184"/>
        <v>0</v>
      </c>
      <c r="BC342" s="1897">
        <f t="shared" si="185"/>
        <v>0</v>
      </c>
      <c r="BD342" s="1898" t="e">
        <f>HLOOKUP($BD$63,anticipaplus,278,0)</f>
        <v>#N/A</v>
      </c>
      <c r="BE342" s="1891"/>
      <c r="BF342" s="1891"/>
      <c r="BG342" s="1965">
        <f t="shared" si="186"/>
        <v>0</v>
      </c>
      <c r="BH342" s="1377">
        <f t="shared" si="187"/>
        <v>277</v>
      </c>
      <c r="BI342" s="1378">
        <f t="shared" si="188"/>
        <v>0</v>
      </c>
      <c r="BJ342" s="1378">
        <f t="shared" si="189"/>
        <v>0</v>
      </c>
      <c r="BK342" s="1378">
        <f>MIN(BL341+BI342,BK341*(1+$BI$61))</f>
        <v>0</v>
      </c>
      <c r="BL342" s="1363">
        <f t="shared" si="190"/>
        <v>1000000</v>
      </c>
      <c r="BM342" s="1891"/>
      <c r="BN342" s="1379" t="str">
        <f t="shared" si="191"/>
        <v/>
      </c>
      <c r="BO342" s="1380">
        <f t="shared" si="192"/>
        <v>0</v>
      </c>
      <c r="BP342" s="1380">
        <f t="shared" si="193"/>
        <v>0</v>
      </c>
      <c r="BQ342" s="1380">
        <f>MIN(BR341+BO342,BQ341*(1+$BO$61))</f>
        <v>0</v>
      </c>
      <c r="BR342" s="1363">
        <f t="shared" si="194"/>
        <v>0</v>
      </c>
      <c r="BT342" s="1414"/>
      <c r="CC342" s="1914"/>
      <c r="CD342" s="1914"/>
      <c r="CE342" s="1914"/>
      <c r="CF342" s="1914"/>
      <c r="CG342" s="1914"/>
      <c r="CH342" s="1915"/>
      <c r="CI342" s="1915"/>
      <c r="CJ342" s="1915"/>
      <c r="CK342" s="1915"/>
      <c r="CL342" s="1914"/>
      <c r="CM342" s="1915"/>
      <c r="CN342" s="1915"/>
      <c r="CO342" s="1915"/>
      <c r="CP342" s="1915"/>
      <c r="CQ342" s="1915"/>
      <c r="CR342" s="1914"/>
      <c r="CS342" s="1914"/>
      <c r="CT342" s="1914"/>
      <c r="CU342" s="1914"/>
      <c r="CV342" s="1914"/>
      <c r="CW342" s="1914"/>
      <c r="CX342" s="1914"/>
      <c r="CY342" s="1914"/>
      <c r="CZ342" s="1914"/>
      <c r="DA342" s="1914"/>
      <c r="DB342" s="1914"/>
      <c r="DC342" s="1914"/>
      <c r="DD342" s="1914"/>
      <c r="DE342" s="1914"/>
      <c r="DF342" s="1914"/>
      <c r="DG342" s="1914"/>
      <c r="DH342" s="1914"/>
      <c r="DI342" s="1914"/>
      <c r="DJ342" s="1914"/>
      <c r="DK342" s="1914"/>
      <c r="DL342" s="1914"/>
      <c r="DM342" s="1914"/>
      <c r="DN342" s="1914"/>
      <c r="DO342" s="1914"/>
      <c r="DP342" s="1914"/>
      <c r="DQ342" s="1914"/>
      <c r="DR342" s="1914"/>
      <c r="DS342" s="1914"/>
      <c r="DT342" s="1914"/>
    </row>
    <row r="343" spans="1:124">
      <c r="A343" s="1118">
        <f t="shared" ca="1" si="197"/>
        <v>5</v>
      </c>
      <c r="B343" s="1890">
        <f t="shared" ref="B343:B365" si="213">IF(N342&gt;0,B342-1,0)</f>
        <v>0</v>
      </c>
      <c r="C343" s="2160">
        <f t="shared" si="201"/>
        <v>0</v>
      </c>
      <c r="D343" s="2161">
        <f t="shared" si="202"/>
        <v>0</v>
      </c>
      <c r="E343" s="2162">
        <f t="shared" si="203"/>
        <v>0</v>
      </c>
      <c r="F343" s="2162">
        <f t="shared" si="204"/>
        <v>0</v>
      </c>
      <c r="G343" s="2162">
        <f t="shared" si="205"/>
        <v>0</v>
      </c>
      <c r="H343" s="2162">
        <f t="shared" si="206"/>
        <v>0</v>
      </c>
      <c r="I343" s="2162">
        <f t="shared" si="207"/>
        <v>0</v>
      </c>
      <c r="J343" s="2162">
        <f t="shared" si="208"/>
        <v>0</v>
      </c>
      <c r="K343" s="2162">
        <f t="shared" si="209"/>
        <v>0</v>
      </c>
      <c r="L343" s="2162">
        <f t="shared" si="210"/>
        <v>0</v>
      </c>
      <c r="M343" s="2162">
        <f t="shared" si="211"/>
        <v>0</v>
      </c>
      <c r="N343" s="2162">
        <f t="shared" si="212"/>
        <v>0</v>
      </c>
      <c r="O343" s="2163"/>
      <c r="P343" s="1891"/>
      <c r="Q343" s="1891"/>
      <c r="R343" s="1891"/>
      <c r="S343" s="1891"/>
      <c r="T343" s="1891"/>
      <c r="U343" s="1891"/>
      <c r="V343" s="1891"/>
      <c r="W343" s="1891"/>
      <c r="X343" s="1891"/>
      <c r="Y343" s="1891"/>
      <c r="Z343" s="1891"/>
      <c r="AA343" s="1891"/>
      <c r="AB343" s="1891"/>
      <c r="AC343" s="1891"/>
      <c r="AD343" s="1891"/>
      <c r="AE343" s="1891"/>
      <c r="AF343" s="1891"/>
      <c r="AG343" s="1891"/>
      <c r="AH343" s="1891"/>
      <c r="AI343" s="1891"/>
      <c r="AJ343" s="1989">
        <f t="shared" si="198"/>
        <v>2</v>
      </c>
      <c r="AK343" s="1900">
        <f t="shared" si="179"/>
        <v>0</v>
      </c>
      <c r="AN343" s="1901">
        <f t="shared" si="199"/>
        <v>0</v>
      </c>
      <c r="AO343" s="1906">
        <f t="shared" ca="1" si="180"/>
        <v>0</v>
      </c>
      <c r="AT343" s="1891"/>
      <c r="AU343" s="1903">
        <f t="shared" si="181"/>
        <v>0</v>
      </c>
      <c r="AV343" s="1904">
        <f t="shared" si="182"/>
        <v>0</v>
      </c>
      <c r="AW343" s="1904">
        <f t="shared" si="183"/>
        <v>0</v>
      </c>
      <c r="AX343" s="1904"/>
      <c r="AY343" s="1904"/>
      <c r="AZ343" s="1904"/>
      <c r="BA343" s="1904"/>
      <c r="BB343" s="1897">
        <f t="shared" si="184"/>
        <v>0</v>
      </c>
      <c r="BC343" s="1897">
        <f t="shared" si="185"/>
        <v>0</v>
      </c>
      <c r="BD343" s="1898" t="e">
        <f>HLOOKUP($BD$63,anticipaplus,279,0)</f>
        <v>#N/A</v>
      </c>
      <c r="BE343" s="1891"/>
      <c r="BF343" s="1891"/>
      <c r="BG343" s="1965">
        <f t="shared" si="186"/>
        <v>0</v>
      </c>
      <c r="BH343" s="1361">
        <f t="shared" si="187"/>
        <v>278</v>
      </c>
      <c r="BI343" s="1362">
        <f t="shared" si="188"/>
        <v>0</v>
      </c>
      <c r="BJ343" s="1362">
        <f t="shared" si="189"/>
        <v>0</v>
      </c>
      <c r="BK343" s="1362">
        <f t="shared" si="195"/>
        <v>0</v>
      </c>
      <c r="BL343" s="1363">
        <f t="shared" si="190"/>
        <v>1000000</v>
      </c>
      <c r="BM343" s="1891"/>
      <c r="BN343" s="1361" t="str">
        <f t="shared" si="191"/>
        <v/>
      </c>
      <c r="BO343" s="1362">
        <f t="shared" si="192"/>
        <v>0</v>
      </c>
      <c r="BP343" s="1362">
        <f t="shared" si="193"/>
        <v>0</v>
      </c>
      <c r="BQ343" s="1362">
        <f t="shared" si="196"/>
        <v>0</v>
      </c>
      <c r="BR343" s="1363">
        <f t="shared" si="194"/>
        <v>0</v>
      </c>
      <c r="BT343" s="1414"/>
      <c r="CC343" s="1914"/>
      <c r="CD343" s="1914"/>
      <c r="CE343" s="1914"/>
      <c r="CF343" s="1914"/>
      <c r="CG343" s="1914"/>
      <c r="CH343" s="1915"/>
      <c r="CI343" s="1915"/>
      <c r="CJ343" s="1915"/>
      <c r="CK343" s="1915"/>
      <c r="CL343" s="1914"/>
      <c r="CM343" s="1915"/>
      <c r="CN343" s="1915"/>
      <c r="CO343" s="1915"/>
      <c r="CP343" s="1915"/>
      <c r="CQ343" s="1915"/>
      <c r="CR343" s="1914"/>
      <c r="CS343" s="1914"/>
      <c r="CT343" s="1914"/>
      <c r="CU343" s="1914"/>
      <c r="CV343" s="1914"/>
      <c r="CW343" s="1914"/>
      <c r="CX343" s="1914"/>
      <c r="CY343" s="1914"/>
      <c r="CZ343" s="1914"/>
      <c r="DA343" s="1914"/>
      <c r="DB343" s="1914"/>
      <c r="DC343" s="1914"/>
      <c r="DD343" s="1914"/>
      <c r="DE343" s="1914"/>
      <c r="DF343" s="1914"/>
      <c r="DG343" s="1914"/>
      <c r="DH343" s="1914"/>
      <c r="DI343" s="1914"/>
      <c r="DJ343" s="1914"/>
      <c r="DK343" s="1914"/>
      <c r="DL343" s="1914"/>
      <c r="DM343" s="1914"/>
      <c r="DN343" s="1914"/>
      <c r="DO343" s="1914"/>
      <c r="DP343" s="1914"/>
      <c r="DQ343" s="1914"/>
      <c r="DR343" s="1914"/>
      <c r="DS343" s="1914"/>
      <c r="DT343" s="1914"/>
    </row>
    <row r="344" spans="1:124">
      <c r="A344" s="1118">
        <f t="shared" ca="1" si="197"/>
        <v>6</v>
      </c>
      <c r="B344" s="1890">
        <f t="shared" si="213"/>
        <v>0</v>
      </c>
      <c r="C344" s="2160">
        <f t="shared" si="201"/>
        <v>0</v>
      </c>
      <c r="D344" s="2161">
        <f t="shared" si="202"/>
        <v>0</v>
      </c>
      <c r="E344" s="2162">
        <f t="shared" si="203"/>
        <v>0</v>
      </c>
      <c r="F344" s="2162">
        <f t="shared" si="204"/>
        <v>0</v>
      </c>
      <c r="G344" s="2162">
        <f t="shared" si="205"/>
        <v>0</v>
      </c>
      <c r="H344" s="2162">
        <f t="shared" si="206"/>
        <v>0</v>
      </c>
      <c r="I344" s="2162">
        <f t="shared" si="207"/>
        <v>0</v>
      </c>
      <c r="J344" s="2162">
        <f t="shared" si="208"/>
        <v>0</v>
      </c>
      <c r="K344" s="2162">
        <f t="shared" si="209"/>
        <v>0</v>
      </c>
      <c r="L344" s="2162">
        <f t="shared" si="210"/>
        <v>0</v>
      </c>
      <c r="M344" s="2162">
        <f t="shared" si="211"/>
        <v>0</v>
      </c>
      <c r="N344" s="2162">
        <f t="shared" si="212"/>
        <v>0</v>
      </c>
      <c r="O344" s="2163"/>
      <c r="P344" s="1891"/>
      <c r="Q344" s="1891"/>
      <c r="R344" s="1891"/>
      <c r="S344" s="1891"/>
      <c r="T344" s="1891"/>
      <c r="U344" s="1891"/>
      <c r="V344" s="1891"/>
      <c r="W344" s="1891"/>
      <c r="X344" s="1891"/>
      <c r="Y344" s="1891"/>
      <c r="Z344" s="1891"/>
      <c r="AA344" s="1891"/>
      <c r="AB344" s="1891"/>
      <c r="AC344" s="1891"/>
      <c r="AD344" s="1891"/>
      <c r="AE344" s="1891"/>
      <c r="AF344" s="1891"/>
      <c r="AG344" s="1891"/>
      <c r="AH344" s="1891"/>
      <c r="AI344" s="1891"/>
      <c r="AJ344" s="1989">
        <f t="shared" si="198"/>
        <v>3</v>
      </c>
      <c r="AK344" s="1900">
        <f t="shared" si="179"/>
        <v>0</v>
      </c>
      <c r="AN344" s="1901">
        <f t="shared" si="199"/>
        <v>0</v>
      </c>
      <c r="AO344" s="1906">
        <f t="shared" ca="1" si="180"/>
        <v>0</v>
      </c>
      <c r="AT344" s="1891"/>
      <c r="AU344" s="1903">
        <f t="shared" si="181"/>
        <v>0</v>
      </c>
      <c r="AV344" s="1904">
        <f t="shared" si="182"/>
        <v>0</v>
      </c>
      <c r="AW344" s="1904">
        <f t="shared" si="183"/>
        <v>0</v>
      </c>
      <c r="AX344" s="1904"/>
      <c r="AY344" s="1904"/>
      <c r="AZ344" s="1904"/>
      <c r="BA344" s="1904"/>
      <c r="BB344" s="1897">
        <f t="shared" si="184"/>
        <v>0</v>
      </c>
      <c r="BC344" s="1897">
        <f t="shared" si="185"/>
        <v>0</v>
      </c>
      <c r="BD344" s="1898" t="e">
        <f>HLOOKUP($BD$63,anticipaplus,280,0)</f>
        <v>#N/A</v>
      </c>
      <c r="BE344" s="1891"/>
      <c r="BF344" s="1891"/>
      <c r="BG344" s="1965">
        <f t="shared" si="186"/>
        <v>0</v>
      </c>
      <c r="BH344" s="1361">
        <f t="shared" si="187"/>
        <v>279</v>
      </c>
      <c r="BI344" s="1362">
        <f t="shared" si="188"/>
        <v>0</v>
      </c>
      <c r="BJ344" s="1362">
        <f t="shared" si="189"/>
        <v>0</v>
      </c>
      <c r="BK344" s="1362">
        <f t="shared" si="195"/>
        <v>0</v>
      </c>
      <c r="BL344" s="1363">
        <f t="shared" si="190"/>
        <v>1000000</v>
      </c>
      <c r="BM344" s="1891"/>
      <c r="BN344" s="1361" t="str">
        <f t="shared" si="191"/>
        <v/>
      </c>
      <c r="BO344" s="1362">
        <f t="shared" si="192"/>
        <v>0</v>
      </c>
      <c r="BP344" s="1362">
        <f t="shared" si="193"/>
        <v>0</v>
      </c>
      <c r="BQ344" s="1362">
        <f t="shared" si="196"/>
        <v>0</v>
      </c>
      <c r="BR344" s="1363">
        <f t="shared" si="194"/>
        <v>0</v>
      </c>
      <c r="BT344" s="1414"/>
      <c r="CC344" s="1914"/>
      <c r="CD344" s="1914"/>
      <c r="CE344" s="1914"/>
      <c r="CF344" s="1914"/>
      <c r="CG344" s="1914"/>
      <c r="CH344" s="1915"/>
      <c r="CI344" s="1915"/>
      <c r="CJ344" s="1915"/>
      <c r="CK344" s="1915"/>
      <c r="CL344" s="1914"/>
      <c r="CM344" s="1915"/>
      <c r="CN344" s="1915"/>
      <c r="CO344" s="1915"/>
      <c r="CP344" s="1915"/>
      <c r="CQ344" s="1915"/>
      <c r="CR344" s="1914"/>
      <c r="CS344" s="1914"/>
      <c r="CT344" s="1914"/>
      <c r="CU344" s="1914"/>
      <c r="CV344" s="1914"/>
      <c r="CW344" s="1914"/>
      <c r="CX344" s="1914"/>
      <c r="CY344" s="1914"/>
      <c r="CZ344" s="1914"/>
      <c r="DA344" s="1914"/>
      <c r="DB344" s="1914"/>
      <c r="DC344" s="1914"/>
      <c r="DD344" s="1914"/>
      <c r="DE344" s="1914"/>
      <c r="DF344" s="1914"/>
      <c r="DG344" s="1914"/>
      <c r="DH344" s="1914"/>
      <c r="DI344" s="1914"/>
      <c r="DJ344" s="1914"/>
      <c r="DK344" s="1914"/>
      <c r="DL344" s="1914"/>
      <c r="DM344" s="1914"/>
      <c r="DN344" s="1914"/>
      <c r="DO344" s="1914"/>
      <c r="DP344" s="1914"/>
      <c r="DQ344" s="1914"/>
      <c r="DR344" s="1914"/>
      <c r="DS344" s="1914"/>
      <c r="DT344" s="1914"/>
    </row>
    <row r="345" spans="1:124">
      <c r="A345" s="1118">
        <f t="shared" ca="1" si="197"/>
        <v>7</v>
      </c>
      <c r="B345" s="1890">
        <f t="shared" si="213"/>
        <v>0</v>
      </c>
      <c r="C345" s="2160">
        <f t="shared" si="201"/>
        <v>0</v>
      </c>
      <c r="D345" s="2161">
        <f t="shared" si="202"/>
        <v>0</v>
      </c>
      <c r="E345" s="2162">
        <f t="shared" si="203"/>
        <v>0</v>
      </c>
      <c r="F345" s="2162">
        <f t="shared" si="204"/>
        <v>0</v>
      </c>
      <c r="G345" s="2162">
        <f t="shared" si="205"/>
        <v>0</v>
      </c>
      <c r="H345" s="2162">
        <f t="shared" si="206"/>
        <v>0</v>
      </c>
      <c r="I345" s="2162">
        <f t="shared" si="207"/>
        <v>0</v>
      </c>
      <c r="J345" s="2162">
        <f t="shared" si="208"/>
        <v>0</v>
      </c>
      <c r="K345" s="2162">
        <f t="shared" si="209"/>
        <v>0</v>
      </c>
      <c r="L345" s="2162">
        <f t="shared" si="210"/>
        <v>0</v>
      </c>
      <c r="M345" s="2162">
        <f t="shared" si="211"/>
        <v>0</v>
      </c>
      <c r="N345" s="2162">
        <f t="shared" si="212"/>
        <v>0</v>
      </c>
      <c r="O345" s="2163"/>
      <c r="P345" s="1891"/>
      <c r="Q345" s="1891"/>
      <c r="R345" s="1891"/>
      <c r="S345" s="1891"/>
      <c r="T345" s="1891"/>
      <c r="U345" s="1891"/>
      <c r="V345" s="1891"/>
      <c r="W345" s="1891"/>
      <c r="X345" s="1891"/>
      <c r="Y345" s="1891"/>
      <c r="Z345" s="1891"/>
      <c r="AA345" s="1891"/>
      <c r="AB345" s="1891"/>
      <c r="AC345" s="1891"/>
      <c r="AD345" s="1891"/>
      <c r="AE345" s="1891"/>
      <c r="AF345" s="1891"/>
      <c r="AG345" s="1891"/>
      <c r="AH345" s="1891"/>
      <c r="AI345" s="1891"/>
      <c r="AJ345" s="1989">
        <f t="shared" si="198"/>
        <v>4</v>
      </c>
      <c r="AK345" s="1900">
        <f t="shared" si="179"/>
        <v>0</v>
      </c>
      <c r="AN345" s="1901">
        <f t="shared" si="199"/>
        <v>0</v>
      </c>
      <c r="AO345" s="1906">
        <f t="shared" ca="1" si="180"/>
        <v>0</v>
      </c>
      <c r="AT345" s="1891"/>
      <c r="AU345" s="1903">
        <f t="shared" si="181"/>
        <v>0</v>
      </c>
      <c r="AV345" s="1904">
        <f t="shared" si="182"/>
        <v>0</v>
      </c>
      <c r="AW345" s="1904">
        <f t="shared" si="183"/>
        <v>0</v>
      </c>
      <c r="AX345" s="1904"/>
      <c r="AY345" s="1904"/>
      <c r="AZ345" s="1904"/>
      <c r="BA345" s="1904"/>
      <c r="BB345" s="1897">
        <f t="shared" si="184"/>
        <v>0</v>
      </c>
      <c r="BC345" s="1897">
        <f t="shared" si="185"/>
        <v>0</v>
      </c>
      <c r="BD345" s="1898" t="e">
        <f>HLOOKUP($BD$63,anticipaplus,281,0)</f>
        <v>#N/A</v>
      </c>
      <c r="BE345" s="1891"/>
      <c r="BF345" s="1891"/>
      <c r="BG345" s="1965">
        <f t="shared" si="186"/>
        <v>0</v>
      </c>
      <c r="BH345" s="1361">
        <f t="shared" si="187"/>
        <v>280</v>
      </c>
      <c r="BI345" s="1362">
        <f t="shared" si="188"/>
        <v>0</v>
      </c>
      <c r="BJ345" s="1362">
        <f t="shared" si="189"/>
        <v>0</v>
      </c>
      <c r="BK345" s="1362">
        <f t="shared" si="195"/>
        <v>0</v>
      </c>
      <c r="BL345" s="1363">
        <f t="shared" si="190"/>
        <v>1000000</v>
      </c>
      <c r="BM345" s="1891"/>
      <c r="BN345" s="1361" t="str">
        <f t="shared" si="191"/>
        <v/>
      </c>
      <c r="BO345" s="1362">
        <f t="shared" si="192"/>
        <v>0</v>
      </c>
      <c r="BP345" s="1362">
        <f t="shared" si="193"/>
        <v>0</v>
      </c>
      <c r="BQ345" s="1362">
        <f t="shared" si="196"/>
        <v>0</v>
      </c>
      <c r="BR345" s="1363">
        <f t="shared" si="194"/>
        <v>0</v>
      </c>
      <c r="BT345" s="1414"/>
      <c r="CC345" s="1914"/>
      <c r="CD345" s="1914"/>
      <c r="CE345" s="1914"/>
      <c r="CF345" s="1914"/>
      <c r="CG345" s="1914"/>
      <c r="CH345" s="1915"/>
      <c r="CI345" s="1915"/>
      <c r="CJ345" s="1915"/>
      <c r="CK345" s="1915"/>
      <c r="CL345" s="1914"/>
      <c r="CM345" s="1915"/>
      <c r="CN345" s="1915"/>
      <c r="CO345" s="1915"/>
      <c r="CP345" s="1915"/>
      <c r="CQ345" s="1915"/>
      <c r="CR345" s="1914"/>
      <c r="CS345" s="1914"/>
      <c r="CT345" s="1914"/>
      <c r="CU345" s="1914"/>
      <c r="CV345" s="1914"/>
      <c r="CW345" s="1914"/>
      <c r="CX345" s="1914"/>
      <c r="CY345" s="1914"/>
      <c r="CZ345" s="1914"/>
      <c r="DA345" s="1914"/>
      <c r="DB345" s="1914"/>
      <c r="DC345" s="1914"/>
      <c r="DD345" s="1914"/>
      <c r="DE345" s="1914"/>
      <c r="DF345" s="1914"/>
      <c r="DG345" s="1914"/>
      <c r="DH345" s="1914"/>
      <c r="DI345" s="1914"/>
      <c r="DJ345" s="1914"/>
      <c r="DK345" s="1914"/>
      <c r="DL345" s="1914"/>
      <c r="DM345" s="1914"/>
      <c r="DN345" s="1914"/>
      <c r="DO345" s="1914"/>
      <c r="DP345" s="1914"/>
      <c r="DQ345" s="1914"/>
      <c r="DR345" s="1914"/>
      <c r="DS345" s="1914"/>
      <c r="DT345" s="1914"/>
    </row>
    <row r="346" spans="1:124">
      <c r="A346" s="1118">
        <f t="shared" ca="1" si="197"/>
        <v>8</v>
      </c>
      <c r="B346" s="1890">
        <f t="shared" si="213"/>
        <v>0</v>
      </c>
      <c r="C346" s="2160">
        <f t="shared" si="201"/>
        <v>0</v>
      </c>
      <c r="D346" s="2161">
        <f t="shared" si="202"/>
        <v>0</v>
      </c>
      <c r="E346" s="2162">
        <f t="shared" si="203"/>
        <v>0</v>
      </c>
      <c r="F346" s="2162">
        <f t="shared" si="204"/>
        <v>0</v>
      </c>
      <c r="G346" s="2162">
        <f t="shared" si="205"/>
        <v>0</v>
      </c>
      <c r="H346" s="2162">
        <f t="shared" si="206"/>
        <v>0</v>
      </c>
      <c r="I346" s="2162">
        <f t="shared" si="207"/>
        <v>0</v>
      </c>
      <c r="J346" s="2162">
        <f t="shared" si="208"/>
        <v>0</v>
      </c>
      <c r="K346" s="2162">
        <f t="shared" si="209"/>
        <v>0</v>
      </c>
      <c r="L346" s="2162">
        <f t="shared" si="210"/>
        <v>0</v>
      </c>
      <c r="M346" s="2162">
        <f t="shared" si="211"/>
        <v>0</v>
      </c>
      <c r="N346" s="2162">
        <f t="shared" si="212"/>
        <v>0</v>
      </c>
      <c r="O346" s="2163"/>
      <c r="P346" s="1891"/>
      <c r="Q346" s="1891"/>
      <c r="R346" s="1891"/>
      <c r="S346" s="1891"/>
      <c r="T346" s="1891"/>
      <c r="U346" s="1891"/>
      <c r="V346" s="1891"/>
      <c r="W346" s="1891"/>
      <c r="X346" s="1891"/>
      <c r="Y346" s="1891"/>
      <c r="Z346" s="1891"/>
      <c r="AA346" s="1891"/>
      <c r="AB346" s="1891"/>
      <c r="AC346" s="1891"/>
      <c r="AD346" s="1891"/>
      <c r="AE346" s="1891"/>
      <c r="AF346" s="1891"/>
      <c r="AG346" s="1891"/>
      <c r="AH346" s="1891"/>
      <c r="AI346" s="1891"/>
      <c r="AJ346" s="1989">
        <f t="shared" si="198"/>
        <v>5</v>
      </c>
      <c r="AK346" s="1900">
        <f t="shared" si="179"/>
        <v>0</v>
      </c>
      <c r="AN346" s="1901">
        <f t="shared" si="199"/>
        <v>0</v>
      </c>
      <c r="AO346" s="1906">
        <f t="shared" ca="1" si="180"/>
        <v>0</v>
      </c>
      <c r="AT346" s="1891"/>
      <c r="AU346" s="1903">
        <f t="shared" si="181"/>
        <v>0</v>
      </c>
      <c r="AV346" s="1904">
        <f t="shared" si="182"/>
        <v>0</v>
      </c>
      <c r="AW346" s="1904">
        <f t="shared" si="183"/>
        <v>0</v>
      </c>
      <c r="AX346" s="1904"/>
      <c r="AY346" s="1904"/>
      <c r="AZ346" s="1904"/>
      <c r="BA346" s="1904"/>
      <c r="BB346" s="1897">
        <f t="shared" si="184"/>
        <v>0</v>
      </c>
      <c r="BC346" s="1897">
        <f t="shared" si="185"/>
        <v>0</v>
      </c>
      <c r="BD346" s="1898" t="e">
        <f>HLOOKUP($BD$63,anticipaplus,282,0)</f>
        <v>#N/A</v>
      </c>
      <c r="BE346" s="1891"/>
      <c r="BF346" s="1891"/>
      <c r="BG346" s="1965">
        <f t="shared" si="186"/>
        <v>0</v>
      </c>
      <c r="BH346" s="1361">
        <f t="shared" si="187"/>
        <v>281</v>
      </c>
      <c r="BI346" s="1362">
        <f t="shared" si="188"/>
        <v>0</v>
      </c>
      <c r="BJ346" s="1362">
        <f t="shared" si="189"/>
        <v>0</v>
      </c>
      <c r="BK346" s="1362">
        <f t="shared" si="195"/>
        <v>0</v>
      </c>
      <c r="BL346" s="1363">
        <f t="shared" si="190"/>
        <v>1000000</v>
      </c>
      <c r="BM346" s="1891"/>
      <c r="BN346" s="1361" t="str">
        <f t="shared" si="191"/>
        <v/>
      </c>
      <c r="BO346" s="1362">
        <f t="shared" si="192"/>
        <v>0</v>
      </c>
      <c r="BP346" s="1362">
        <f t="shared" si="193"/>
        <v>0</v>
      </c>
      <c r="BQ346" s="1362">
        <f t="shared" si="196"/>
        <v>0</v>
      </c>
      <c r="BR346" s="1363">
        <f t="shared" si="194"/>
        <v>0</v>
      </c>
      <c r="BT346" s="1414"/>
      <c r="CC346" s="1914"/>
      <c r="CD346" s="1914"/>
      <c r="CE346" s="1914"/>
      <c r="CF346" s="1914"/>
      <c r="CG346" s="1914"/>
      <c r="CH346" s="1915"/>
      <c r="CI346" s="1915"/>
      <c r="CJ346" s="1915"/>
      <c r="CK346" s="1915"/>
      <c r="CL346" s="1914"/>
      <c r="CM346" s="1915"/>
      <c r="CN346" s="1915"/>
      <c r="CO346" s="1915"/>
      <c r="CP346" s="1915"/>
      <c r="CQ346" s="1915"/>
      <c r="CR346" s="1914"/>
      <c r="CS346" s="1914"/>
      <c r="CT346" s="1914"/>
      <c r="CU346" s="1914"/>
      <c r="CV346" s="1914"/>
      <c r="CW346" s="1914"/>
      <c r="CX346" s="1914"/>
      <c r="CY346" s="1914"/>
      <c r="CZ346" s="1914"/>
      <c r="DA346" s="1914"/>
      <c r="DB346" s="1914"/>
      <c r="DC346" s="1914"/>
      <c r="DD346" s="1914"/>
      <c r="DE346" s="1914"/>
      <c r="DF346" s="1914"/>
      <c r="DG346" s="1914"/>
      <c r="DH346" s="1914"/>
      <c r="DI346" s="1914"/>
      <c r="DJ346" s="1914"/>
      <c r="DK346" s="1914"/>
      <c r="DL346" s="1914"/>
      <c r="DM346" s="1914"/>
      <c r="DN346" s="1914"/>
      <c r="DO346" s="1914"/>
      <c r="DP346" s="1914"/>
      <c r="DQ346" s="1914"/>
      <c r="DR346" s="1914"/>
      <c r="DS346" s="1914"/>
      <c r="DT346" s="1914"/>
    </row>
    <row r="347" spans="1:124">
      <c r="A347" s="1118">
        <f t="shared" ca="1" si="197"/>
        <v>9</v>
      </c>
      <c r="B347" s="1890">
        <f t="shared" si="213"/>
        <v>0</v>
      </c>
      <c r="C347" s="2160">
        <f t="shared" si="201"/>
        <v>0</v>
      </c>
      <c r="D347" s="2161">
        <f t="shared" si="202"/>
        <v>0</v>
      </c>
      <c r="E347" s="2162">
        <f t="shared" si="203"/>
        <v>0</v>
      </c>
      <c r="F347" s="2162">
        <f t="shared" si="204"/>
        <v>0</v>
      </c>
      <c r="G347" s="2162">
        <f t="shared" si="205"/>
        <v>0</v>
      </c>
      <c r="H347" s="2162">
        <f t="shared" si="206"/>
        <v>0</v>
      </c>
      <c r="I347" s="2162">
        <f t="shared" si="207"/>
        <v>0</v>
      </c>
      <c r="J347" s="2162">
        <f t="shared" si="208"/>
        <v>0</v>
      </c>
      <c r="K347" s="2162">
        <f t="shared" si="209"/>
        <v>0</v>
      </c>
      <c r="L347" s="2162">
        <f t="shared" si="210"/>
        <v>0</v>
      </c>
      <c r="M347" s="2162">
        <f t="shared" si="211"/>
        <v>0</v>
      </c>
      <c r="N347" s="2162">
        <f t="shared" si="212"/>
        <v>0</v>
      </c>
      <c r="O347" s="2163"/>
      <c r="P347" s="1891"/>
      <c r="Q347" s="1891"/>
      <c r="R347" s="1891"/>
      <c r="S347" s="1891"/>
      <c r="T347" s="1891"/>
      <c r="U347" s="1891"/>
      <c r="V347" s="1891"/>
      <c r="W347" s="1891"/>
      <c r="X347" s="1891"/>
      <c r="Y347" s="1891"/>
      <c r="Z347" s="1891"/>
      <c r="AA347" s="1891"/>
      <c r="AB347" s="1891"/>
      <c r="AC347" s="1891"/>
      <c r="AD347" s="1891"/>
      <c r="AE347" s="1891"/>
      <c r="AF347" s="1891"/>
      <c r="AG347" s="1891"/>
      <c r="AH347" s="1891"/>
      <c r="AI347" s="1891"/>
      <c r="AJ347" s="1989">
        <f t="shared" si="198"/>
        <v>6</v>
      </c>
      <c r="AK347" s="1900">
        <f t="shared" si="179"/>
        <v>0</v>
      </c>
      <c r="AN347" s="1901">
        <f t="shared" si="199"/>
        <v>0</v>
      </c>
      <c r="AO347" s="1906">
        <f t="shared" ca="1" si="180"/>
        <v>0</v>
      </c>
      <c r="AT347" s="1891"/>
      <c r="AU347" s="1903">
        <f t="shared" si="181"/>
        <v>0</v>
      </c>
      <c r="AV347" s="1904">
        <f t="shared" si="182"/>
        <v>0</v>
      </c>
      <c r="AW347" s="1904">
        <f t="shared" si="183"/>
        <v>0</v>
      </c>
      <c r="AX347" s="1904"/>
      <c r="AY347" s="1904"/>
      <c r="AZ347" s="1904"/>
      <c r="BA347" s="1904"/>
      <c r="BB347" s="1897">
        <f t="shared" si="184"/>
        <v>0</v>
      </c>
      <c r="BC347" s="1897">
        <f t="shared" si="185"/>
        <v>0</v>
      </c>
      <c r="BD347" s="1898" t="e">
        <f>HLOOKUP($BD$63,anticipaplus,283,0)</f>
        <v>#N/A</v>
      </c>
      <c r="BE347" s="1891"/>
      <c r="BF347" s="1891"/>
      <c r="BG347" s="1965">
        <f t="shared" si="186"/>
        <v>0</v>
      </c>
      <c r="BH347" s="1361">
        <f t="shared" si="187"/>
        <v>282</v>
      </c>
      <c r="BI347" s="1362">
        <f t="shared" si="188"/>
        <v>0</v>
      </c>
      <c r="BJ347" s="1362">
        <f t="shared" si="189"/>
        <v>0</v>
      </c>
      <c r="BK347" s="1362">
        <f t="shared" si="195"/>
        <v>0</v>
      </c>
      <c r="BL347" s="1363">
        <f t="shared" si="190"/>
        <v>1000000</v>
      </c>
      <c r="BM347" s="1891"/>
      <c r="BN347" s="1361" t="str">
        <f t="shared" si="191"/>
        <v/>
      </c>
      <c r="BO347" s="1362">
        <f t="shared" si="192"/>
        <v>0</v>
      </c>
      <c r="BP347" s="1362">
        <f t="shared" si="193"/>
        <v>0</v>
      </c>
      <c r="BQ347" s="1362">
        <f t="shared" si="196"/>
        <v>0</v>
      </c>
      <c r="BR347" s="1363">
        <f t="shared" si="194"/>
        <v>0</v>
      </c>
      <c r="BT347" s="1414"/>
      <c r="CC347" s="1914"/>
      <c r="CD347" s="1914"/>
      <c r="CE347" s="1914"/>
      <c r="CF347" s="1914"/>
      <c r="CG347" s="1914"/>
      <c r="CH347" s="1915"/>
      <c r="CI347" s="1915"/>
      <c r="CJ347" s="1915"/>
      <c r="CK347" s="1915"/>
      <c r="CL347" s="1914"/>
      <c r="CM347" s="1915"/>
      <c r="CN347" s="1915"/>
      <c r="CO347" s="1915"/>
      <c r="CP347" s="1915"/>
      <c r="CQ347" s="1915"/>
      <c r="CR347" s="1914"/>
      <c r="CS347" s="1914"/>
      <c r="CT347" s="1914"/>
      <c r="CU347" s="1914"/>
      <c r="CV347" s="1914"/>
      <c r="CW347" s="1914"/>
      <c r="CX347" s="1914"/>
      <c r="CY347" s="1914"/>
      <c r="CZ347" s="1914"/>
      <c r="DA347" s="1914"/>
      <c r="DB347" s="1914"/>
      <c r="DC347" s="1914"/>
      <c r="DD347" s="1914"/>
      <c r="DE347" s="1914"/>
      <c r="DF347" s="1914"/>
      <c r="DG347" s="1914"/>
      <c r="DH347" s="1914"/>
      <c r="DI347" s="1914"/>
      <c r="DJ347" s="1914"/>
      <c r="DK347" s="1914"/>
      <c r="DL347" s="1914"/>
      <c r="DM347" s="1914"/>
      <c r="DN347" s="1914"/>
      <c r="DO347" s="1914"/>
      <c r="DP347" s="1914"/>
      <c r="DQ347" s="1914"/>
      <c r="DR347" s="1914"/>
      <c r="DS347" s="1914"/>
      <c r="DT347" s="1914"/>
    </row>
    <row r="348" spans="1:124">
      <c r="A348" s="1118">
        <f t="shared" ca="1" si="197"/>
        <v>10</v>
      </c>
      <c r="B348" s="1890">
        <f t="shared" si="213"/>
        <v>0</v>
      </c>
      <c r="C348" s="2160">
        <f t="shared" si="201"/>
        <v>0</v>
      </c>
      <c r="D348" s="2161">
        <f t="shared" si="202"/>
        <v>0</v>
      </c>
      <c r="E348" s="2162">
        <f t="shared" si="203"/>
        <v>0</v>
      </c>
      <c r="F348" s="2162">
        <f t="shared" si="204"/>
        <v>0</v>
      </c>
      <c r="G348" s="2162">
        <f t="shared" si="205"/>
        <v>0</v>
      </c>
      <c r="H348" s="2162">
        <f t="shared" si="206"/>
        <v>0</v>
      </c>
      <c r="I348" s="2162">
        <f t="shared" si="207"/>
        <v>0</v>
      </c>
      <c r="J348" s="2162">
        <f t="shared" si="208"/>
        <v>0</v>
      </c>
      <c r="K348" s="2162">
        <f t="shared" si="209"/>
        <v>0</v>
      </c>
      <c r="L348" s="2162">
        <f t="shared" si="210"/>
        <v>0</v>
      </c>
      <c r="M348" s="2162">
        <f t="shared" si="211"/>
        <v>0</v>
      </c>
      <c r="N348" s="2162">
        <f t="shared" si="212"/>
        <v>0</v>
      </c>
      <c r="O348" s="2163"/>
      <c r="P348" s="1891"/>
      <c r="Q348" s="1891"/>
      <c r="R348" s="1891"/>
      <c r="S348" s="1891"/>
      <c r="T348" s="1891"/>
      <c r="U348" s="1891"/>
      <c r="V348" s="1891"/>
      <c r="W348" s="1891"/>
      <c r="X348" s="1891"/>
      <c r="Y348" s="1891"/>
      <c r="Z348" s="1891"/>
      <c r="AA348" s="1891"/>
      <c r="AB348" s="1891"/>
      <c r="AC348" s="1891"/>
      <c r="AD348" s="1891"/>
      <c r="AE348" s="1891"/>
      <c r="AF348" s="1891"/>
      <c r="AG348" s="1891"/>
      <c r="AH348" s="1891"/>
      <c r="AI348" s="1891"/>
      <c r="AJ348" s="1989">
        <f t="shared" si="198"/>
        <v>7</v>
      </c>
      <c r="AK348" s="1900">
        <f t="shared" si="179"/>
        <v>0</v>
      </c>
      <c r="AN348" s="1901">
        <f t="shared" si="199"/>
        <v>0</v>
      </c>
      <c r="AO348" s="1906">
        <f t="shared" ca="1" si="180"/>
        <v>0</v>
      </c>
      <c r="AT348" s="1891"/>
      <c r="AU348" s="1903">
        <f t="shared" si="181"/>
        <v>0</v>
      </c>
      <c r="AV348" s="1904">
        <f t="shared" si="182"/>
        <v>0</v>
      </c>
      <c r="AW348" s="1904">
        <f t="shared" si="183"/>
        <v>0</v>
      </c>
      <c r="AX348" s="1904"/>
      <c r="AY348" s="1904"/>
      <c r="AZ348" s="1904"/>
      <c r="BA348" s="1904"/>
      <c r="BB348" s="1897">
        <f t="shared" si="184"/>
        <v>0</v>
      </c>
      <c r="BC348" s="1897">
        <f t="shared" si="185"/>
        <v>0</v>
      </c>
      <c r="BD348" s="1898" t="e">
        <f>HLOOKUP($BD$63,anticipaplus,284,0)</f>
        <v>#N/A</v>
      </c>
      <c r="BE348" s="1891"/>
      <c r="BF348" s="1891"/>
      <c r="BG348" s="1965">
        <f t="shared" si="186"/>
        <v>0</v>
      </c>
      <c r="BH348" s="1361">
        <f t="shared" si="187"/>
        <v>283</v>
      </c>
      <c r="BI348" s="1362">
        <f t="shared" si="188"/>
        <v>0</v>
      </c>
      <c r="BJ348" s="1362">
        <f t="shared" si="189"/>
        <v>0</v>
      </c>
      <c r="BK348" s="1362">
        <f t="shared" si="195"/>
        <v>0</v>
      </c>
      <c r="BL348" s="1363">
        <f t="shared" si="190"/>
        <v>1000000</v>
      </c>
      <c r="BM348" s="1891"/>
      <c r="BN348" s="1361" t="str">
        <f t="shared" si="191"/>
        <v/>
      </c>
      <c r="BO348" s="1362">
        <f t="shared" si="192"/>
        <v>0</v>
      </c>
      <c r="BP348" s="1362">
        <f t="shared" si="193"/>
        <v>0</v>
      </c>
      <c r="BQ348" s="1362">
        <f t="shared" si="196"/>
        <v>0</v>
      </c>
      <c r="BR348" s="1363">
        <f t="shared" si="194"/>
        <v>0</v>
      </c>
      <c r="BT348" s="1414"/>
      <c r="CC348" s="1914"/>
      <c r="CD348" s="1914"/>
      <c r="CE348" s="1914"/>
      <c r="CF348" s="1914"/>
      <c r="CG348" s="1914"/>
      <c r="CH348" s="1915"/>
      <c r="CI348" s="1915"/>
      <c r="CJ348" s="1915"/>
      <c r="CK348" s="1915"/>
      <c r="CL348" s="1914"/>
      <c r="CM348" s="1915"/>
      <c r="CN348" s="1915"/>
      <c r="CO348" s="1915"/>
      <c r="CP348" s="1915"/>
      <c r="CQ348" s="1915"/>
      <c r="CR348" s="1914"/>
      <c r="CS348" s="1914"/>
      <c r="CT348" s="1914"/>
      <c r="CU348" s="1914"/>
      <c r="CV348" s="1914"/>
      <c r="CW348" s="1914"/>
      <c r="CX348" s="1914"/>
      <c r="CY348" s="1914"/>
      <c r="CZ348" s="1914"/>
      <c r="DA348" s="1914"/>
      <c r="DB348" s="1914"/>
      <c r="DC348" s="1914"/>
      <c r="DD348" s="1914"/>
      <c r="DE348" s="1914"/>
      <c r="DF348" s="1914"/>
      <c r="DG348" s="1914"/>
      <c r="DH348" s="1914"/>
      <c r="DI348" s="1914"/>
      <c r="DJ348" s="1914"/>
      <c r="DK348" s="1914"/>
      <c r="DL348" s="1914"/>
      <c r="DM348" s="1914"/>
      <c r="DN348" s="1914"/>
      <c r="DO348" s="1914"/>
      <c r="DP348" s="1914"/>
      <c r="DQ348" s="1914"/>
      <c r="DR348" s="1914"/>
      <c r="DS348" s="1914"/>
      <c r="DT348" s="1914"/>
    </row>
    <row r="349" spans="1:124">
      <c r="A349" s="1118">
        <f t="shared" ca="1" si="197"/>
        <v>11</v>
      </c>
      <c r="B349" s="1890">
        <f t="shared" si="213"/>
        <v>0</v>
      </c>
      <c r="C349" s="2160">
        <f t="shared" si="201"/>
        <v>0</v>
      </c>
      <c r="D349" s="2161">
        <f t="shared" si="202"/>
        <v>0</v>
      </c>
      <c r="E349" s="2162">
        <f t="shared" si="203"/>
        <v>0</v>
      </c>
      <c r="F349" s="2162">
        <f t="shared" si="204"/>
        <v>0</v>
      </c>
      <c r="G349" s="2162">
        <f t="shared" si="205"/>
        <v>0</v>
      </c>
      <c r="H349" s="2162">
        <f t="shared" si="206"/>
        <v>0</v>
      </c>
      <c r="I349" s="2162">
        <f t="shared" si="207"/>
        <v>0</v>
      </c>
      <c r="J349" s="2162">
        <f t="shared" si="208"/>
        <v>0</v>
      </c>
      <c r="K349" s="2162">
        <f t="shared" si="209"/>
        <v>0</v>
      </c>
      <c r="L349" s="2162">
        <f t="shared" si="210"/>
        <v>0</v>
      </c>
      <c r="M349" s="2162">
        <f t="shared" si="211"/>
        <v>0</v>
      </c>
      <c r="N349" s="2162">
        <f t="shared" si="212"/>
        <v>0</v>
      </c>
      <c r="O349" s="2163"/>
      <c r="P349" s="1891"/>
      <c r="Q349" s="1891"/>
      <c r="R349" s="1891"/>
      <c r="S349" s="1891"/>
      <c r="T349" s="1891"/>
      <c r="U349" s="1891"/>
      <c r="V349" s="1891"/>
      <c r="W349" s="1891"/>
      <c r="X349" s="1891"/>
      <c r="Y349" s="1891"/>
      <c r="Z349" s="1891"/>
      <c r="AA349" s="1891"/>
      <c r="AB349" s="1891"/>
      <c r="AC349" s="1891"/>
      <c r="AD349" s="1891"/>
      <c r="AE349" s="1891"/>
      <c r="AF349" s="1891"/>
      <c r="AG349" s="1891"/>
      <c r="AH349" s="1891"/>
      <c r="AI349" s="1891"/>
      <c r="AJ349" s="1989">
        <f t="shared" si="198"/>
        <v>8</v>
      </c>
      <c r="AK349" s="1900">
        <f t="shared" si="179"/>
        <v>0</v>
      </c>
      <c r="AN349" s="1901">
        <f t="shared" si="199"/>
        <v>0</v>
      </c>
      <c r="AO349" s="1906">
        <f t="shared" ca="1" si="180"/>
        <v>0</v>
      </c>
      <c r="AT349" s="1891"/>
      <c r="AU349" s="1903">
        <f t="shared" si="181"/>
        <v>0</v>
      </c>
      <c r="AV349" s="1904">
        <f t="shared" si="182"/>
        <v>0</v>
      </c>
      <c r="AW349" s="1904">
        <f t="shared" si="183"/>
        <v>0</v>
      </c>
      <c r="AX349" s="1904"/>
      <c r="AY349" s="1904"/>
      <c r="AZ349" s="1904"/>
      <c r="BA349" s="1904"/>
      <c r="BB349" s="1897">
        <f t="shared" si="184"/>
        <v>0</v>
      </c>
      <c r="BC349" s="1897">
        <f t="shared" si="185"/>
        <v>0</v>
      </c>
      <c r="BD349" s="1898" t="e">
        <f>HLOOKUP($BD$63,anticipaplus,285,0)</f>
        <v>#N/A</v>
      </c>
      <c r="BE349" s="1891"/>
      <c r="BF349" s="1891"/>
      <c r="BG349" s="1965">
        <f t="shared" si="186"/>
        <v>0</v>
      </c>
      <c r="BH349" s="1361">
        <f t="shared" si="187"/>
        <v>284</v>
      </c>
      <c r="BI349" s="1362">
        <f t="shared" si="188"/>
        <v>0</v>
      </c>
      <c r="BJ349" s="1362">
        <f t="shared" si="189"/>
        <v>0</v>
      </c>
      <c r="BK349" s="1362">
        <f t="shared" si="195"/>
        <v>0</v>
      </c>
      <c r="BL349" s="1363">
        <f t="shared" si="190"/>
        <v>1000000</v>
      </c>
      <c r="BM349" s="1891"/>
      <c r="BN349" s="1361" t="str">
        <f t="shared" si="191"/>
        <v/>
      </c>
      <c r="BO349" s="1362">
        <f t="shared" si="192"/>
        <v>0</v>
      </c>
      <c r="BP349" s="1362">
        <f t="shared" si="193"/>
        <v>0</v>
      </c>
      <c r="BQ349" s="1362">
        <f t="shared" si="196"/>
        <v>0</v>
      </c>
      <c r="BR349" s="1363">
        <f t="shared" si="194"/>
        <v>0</v>
      </c>
      <c r="BT349" s="1414"/>
      <c r="CC349" s="1914"/>
      <c r="CD349" s="1914"/>
      <c r="CE349" s="1914"/>
      <c r="CF349" s="1914"/>
      <c r="CG349" s="1914"/>
      <c r="CH349" s="1915"/>
      <c r="CI349" s="1915"/>
      <c r="CJ349" s="1915"/>
      <c r="CK349" s="1915"/>
      <c r="CL349" s="1914"/>
      <c r="CM349" s="1915"/>
      <c r="CN349" s="1915"/>
      <c r="CO349" s="1915"/>
      <c r="CP349" s="1915"/>
      <c r="CQ349" s="1915"/>
      <c r="CR349" s="1914"/>
      <c r="CS349" s="1914"/>
      <c r="CT349" s="1914"/>
      <c r="CU349" s="1914"/>
      <c r="CV349" s="1914"/>
      <c r="CW349" s="1914"/>
      <c r="CX349" s="1914"/>
      <c r="CY349" s="1914"/>
      <c r="CZ349" s="1914"/>
      <c r="DA349" s="1914"/>
      <c r="DB349" s="1914"/>
      <c r="DC349" s="1914"/>
      <c r="DD349" s="1914"/>
      <c r="DE349" s="1914"/>
      <c r="DF349" s="1914"/>
      <c r="DG349" s="1914"/>
      <c r="DH349" s="1914"/>
      <c r="DI349" s="1914"/>
      <c r="DJ349" s="1914"/>
      <c r="DK349" s="1914"/>
      <c r="DL349" s="1914"/>
      <c r="DM349" s="1914"/>
      <c r="DN349" s="1914"/>
      <c r="DO349" s="1914"/>
      <c r="DP349" s="1914"/>
      <c r="DQ349" s="1914"/>
      <c r="DR349" s="1914"/>
      <c r="DS349" s="1914"/>
      <c r="DT349" s="1914"/>
    </row>
    <row r="350" spans="1:124">
      <c r="A350" s="1118">
        <f t="shared" ca="1" si="197"/>
        <v>12</v>
      </c>
      <c r="B350" s="1890">
        <f t="shared" si="213"/>
        <v>0</v>
      </c>
      <c r="C350" s="2160">
        <f t="shared" si="201"/>
        <v>0</v>
      </c>
      <c r="D350" s="2161">
        <f t="shared" si="202"/>
        <v>0</v>
      </c>
      <c r="E350" s="2162">
        <f t="shared" si="203"/>
        <v>0</v>
      </c>
      <c r="F350" s="2162">
        <f t="shared" si="204"/>
        <v>0</v>
      </c>
      <c r="G350" s="2162">
        <f t="shared" si="205"/>
        <v>0</v>
      </c>
      <c r="H350" s="2162">
        <f t="shared" si="206"/>
        <v>0</v>
      </c>
      <c r="I350" s="2162">
        <f t="shared" si="207"/>
        <v>0</v>
      </c>
      <c r="J350" s="2162">
        <f t="shared" si="208"/>
        <v>0</v>
      </c>
      <c r="K350" s="2162">
        <f t="shared" si="209"/>
        <v>0</v>
      </c>
      <c r="L350" s="2162">
        <f t="shared" si="210"/>
        <v>0</v>
      </c>
      <c r="M350" s="2162">
        <f t="shared" si="211"/>
        <v>0</v>
      </c>
      <c r="N350" s="2162">
        <f t="shared" si="212"/>
        <v>0</v>
      </c>
      <c r="O350" s="2163"/>
      <c r="P350" s="1891"/>
      <c r="Q350" s="1891"/>
      <c r="R350" s="1891"/>
      <c r="S350" s="1891"/>
      <c r="T350" s="1891"/>
      <c r="U350" s="1891"/>
      <c r="V350" s="1891"/>
      <c r="W350" s="1891"/>
      <c r="X350" s="1891"/>
      <c r="Y350" s="1891"/>
      <c r="Z350" s="1891"/>
      <c r="AA350" s="1891"/>
      <c r="AB350" s="1891"/>
      <c r="AC350" s="1891"/>
      <c r="AD350" s="1891"/>
      <c r="AE350" s="1891"/>
      <c r="AF350" s="1891"/>
      <c r="AG350" s="1891"/>
      <c r="AH350" s="1891"/>
      <c r="AI350" s="1891"/>
      <c r="AJ350" s="1989">
        <f t="shared" si="198"/>
        <v>9</v>
      </c>
      <c r="AK350" s="1900">
        <f t="shared" si="179"/>
        <v>0</v>
      </c>
      <c r="AN350" s="1901">
        <f t="shared" si="199"/>
        <v>0</v>
      </c>
      <c r="AO350" s="1906">
        <f t="shared" ca="1" si="180"/>
        <v>0</v>
      </c>
      <c r="AT350" s="1891"/>
      <c r="AU350" s="1903">
        <f t="shared" si="181"/>
        <v>0</v>
      </c>
      <c r="AV350" s="1904">
        <f t="shared" si="182"/>
        <v>0</v>
      </c>
      <c r="AW350" s="1904">
        <f t="shared" si="183"/>
        <v>0</v>
      </c>
      <c r="AX350" s="1904"/>
      <c r="AY350" s="1904"/>
      <c r="AZ350" s="1904"/>
      <c r="BA350" s="1904"/>
      <c r="BB350" s="1897">
        <f t="shared" si="184"/>
        <v>0</v>
      </c>
      <c r="BC350" s="1897">
        <f t="shared" si="185"/>
        <v>0</v>
      </c>
      <c r="BD350" s="1898" t="e">
        <f>HLOOKUP($BD$63,anticipaplus,286,0)</f>
        <v>#N/A</v>
      </c>
      <c r="BE350" s="1891"/>
      <c r="BF350" s="1891"/>
      <c r="BG350" s="1965">
        <f t="shared" si="186"/>
        <v>0</v>
      </c>
      <c r="BH350" s="1361">
        <f t="shared" si="187"/>
        <v>285</v>
      </c>
      <c r="BI350" s="1362">
        <f t="shared" si="188"/>
        <v>0</v>
      </c>
      <c r="BJ350" s="1362">
        <f t="shared" si="189"/>
        <v>0</v>
      </c>
      <c r="BK350" s="1362">
        <f t="shared" si="195"/>
        <v>0</v>
      </c>
      <c r="BL350" s="1363">
        <f t="shared" si="190"/>
        <v>1000000</v>
      </c>
      <c r="BM350" s="1891"/>
      <c r="BN350" s="1361" t="str">
        <f t="shared" si="191"/>
        <v/>
      </c>
      <c r="BO350" s="1362">
        <f t="shared" si="192"/>
        <v>0</v>
      </c>
      <c r="BP350" s="1362">
        <f t="shared" si="193"/>
        <v>0</v>
      </c>
      <c r="BQ350" s="1362">
        <f t="shared" si="196"/>
        <v>0</v>
      </c>
      <c r="BR350" s="1363">
        <f t="shared" si="194"/>
        <v>0</v>
      </c>
      <c r="BT350" s="1414"/>
      <c r="CC350" s="1914"/>
      <c r="CD350" s="1914"/>
      <c r="CE350" s="1914"/>
      <c r="CF350" s="1914"/>
      <c r="CG350" s="1914"/>
      <c r="CH350" s="1915"/>
      <c r="CI350" s="1915"/>
      <c r="CJ350" s="1915"/>
      <c r="CK350" s="1915"/>
      <c r="CL350" s="1914"/>
      <c r="CM350" s="1915"/>
      <c r="CN350" s="1915"/>
      <c r="CO350" s="1915"/>
      <c r="CP350" s="1915"/>
      <c r="CQ350" s="1915"/>
      <c r="CR350" s="1914"/>
      <c r="CS350" s="1914"/>
      <c r="CT350" s="1914"/>
      <c r="CU350" s="1914"/>
      <c r="CV350" s="1914"/>
      <c r="CW350" s="1914"/>
      <c r="CX350" s="1914"/>
      <c r="CY350" s="1914"/>
      <c r="CZ350" s="1914"/>
      <c r="DA350" s="1914"/>
      <c r="DB350" s="1914"/>
      <c r="DC350" s="1914"/>
      <c r="DD350" s="1914"/>
      <c r="DE350" s="1914"/>
      <c r="DF350" s="1914"/>
      <c r="DG350" s="1914"/>
      <c r="DH350" s="1914"/>
      <c r="DI350" s="1914"/>
      <c r="DJ350" s="1914"/>
      <c r="DK350" s="1914"/>
      <c r="DL350" s="1914"/>
      <c r="DM350" s="1914"/>
      <c r="DN350" s="1914"/>
      <c r="DO350" s="1914"/>
      <c r="DP350" s="1914"/>
      <c r="DQ350" s="1914"/>
      <c r="DR350" s="1914"/>
      <c r="DS350" s="1914"/>
      <c r="DT350" s="1914"/>
    </row>
    <row r="351" spans="1:124">
      <c r="A351" s="1118">
        <f t="shared" ca="1" si="197"/>
        <v>1</v>
      </c>
      <c r="B351" s="1890">
        <f t="shared" si="213"/>
        <v>0</v>
      </c>
      <c r="C351" s="2160">
        <f t="shared" si="201"/>
        <v>0</v>
      </c>
      <c r="D351" s="2161">
        <f t="shared" si="202"/>
        <v>0</v>
      </c>
      <c r="E351" s="2162">
        <f t="shared" si="203"/>
        <v>0</v>
      </c>
      <c r="F351" s="2162">
        <f t="shared" si="204"/>
        <v>0</v>
      </c>
      <c r="G351" s="2162">
        <f t="shared" si="205"/>
        <v>0</v>
      </c>
      <c r="H351" s="2162">
        <f t="shared" si="206"/>
        <v>0</v>
      </c>
      <c r="I351" s="2162">
        <f t="shared" si="207"/>
        <v>0</v>
      </c>
      <c r="J351" s="2162">
        <f t="shared" si="208"/>
        <v>0</v>
      </c>
      <c r="K351" s="2162">
        <f t="shared" si="209"/>
        <v>0</v>
      </c>
      <c r="L351" s="2162">
        <f t="shared" si="210"/>
        <v>0</v>
      </c>
      <c r="M351" s="2162">
        <f t="shared" si="211"/>
        <v>0</v>
      </c>
      <c r="N351" s="2162">
        <f t="shared" si="212"/>
        <v>0</v>
      </c>
      <c r="O351" s="2163"/>
      <c r="P351" s="1891"/>
      <c r="Q351" s="1891"/>
      <c r="R351" s="1891"/>
      <c r="S351" s="1891"/>
      <c r="T351" s="1891"/>
      <c r="U351" s="1891"/>
      <c r="V351" s="1891"/>
      <c r="W351" s="1891"/>
      <c r="X351" s="1891"/>
      <c r="Y351" s="1891"/>
      <c r="Z351" s="1891"/>
      <c r="AA351" s="1891"/>
      <c r="AB351" s="1891"/>
      <c r="AC351" s="1891"/>
      <c r="AD351" s="1891"/>
      <c r="AE351" s="1891"/>
      <c r="AF351" s="1891"/>
      <c r="AG351" s="1891"/>
      <c r="AH351" s="1891"/>
      <c r="AI351" s="1891"/>
      <c r="AJ351" s="1989">
        <f t="shared" si="198"/>
        <v>10</v>
      </c>
      <c r="AK351" s="1900">
        <f t="shared" si="179"/>
        <v>0</v>
      </c>
      <c r="AN351" s="1901">
        <f t="shared" si="199"/>
        <v>0</v>
      </c>
      <c r="AO351" s="1906">
        <f t="shared" ca="1" si="180"/>
        <v>0</v>
      </c>
      <c r="AT351" s="1891"/>
      <c r="AU351" s="1903">
        <f t="shared" si="181"/>
        <v>0</v>
      </c>
      <c r="AV351" s="1904">
        <f t="shared" si="182"/>
        <v>0</v>
      </c>
      <c r="AW351" s="1904">
        <f t="shared" si="183"/>
        <v>0</v>
      </c>
      <c r="AX351" s="1904"/>
      <c r="AY351" s="1904"/>
      <c r="AZ351" s="1904"/>
      <c r="BA351" s="1904"/>
      <c r="BB351" s="1897">
        <f t="shared" si="184"/>
        <v>0</v>
      </c>
      <c r="BC351" s="1897">
        <f t="shared" si="185"/>
        <v>0</v>
      </c>
      <c r="BD351" s="1898" t="e">
        <f>HLOOKUP($BD$63,anticipaplus,287,0)</f>
        <v>#N/A</v>
      </c>
      <c r="BE351" s="1891"/>
      <c r="BF351" s="1891"/>
      <c r="BG351" s="1965">
        <f t="shared" si="186"/>
        <v>0</v>
      </c>
      <c r="BH351" s="1361">
        <f t="shared" si="187"/>
        <v>286</v>
      </c>
      <c r="BI351" s="1362">
        <f t="shared" si="188"/>
        <v>0</v>
      </c>
      <c r="BJ351" s="1362">
        <f t="shared" si="189"/>
        <v>0</v>
      </c>
      <c r="BK351" s="1362">
        <f t="shared" si="195"/>
        <v>0</v>
      </c>
      <c r="BL351" s="1363">
        <f t="shared" si="190"/>
        <v>1000000</v>
      </c>
      <c r="BM351" s="1891"/>
      <c r="BN351" s="1361" t="str">
        <f t="shared" si="191"/>
        <v/>
      </c>
      <c r="BO351" s="1362">
        <f t="shared" si="192"/>
        <v>0</v>
      </c>
      <c r="BP351" s="1362">
        <f t="shared" si="193"/>
        <v>0</v>
      </c>
      <c r="BQ351" s="1362">
        <f t="shared" si="196"/>
        <v>0</v>
      </c>
      <c r="BR351" s="1363">
        <f t="shared" si="194"/>
        <v>0</v>
      </c>
      <c r="BT351" s="1414"/>
      <c r="CC351" s="1914"/>
      <c r="CD351" s="1914"/>
      <c r="CE351" s="1914"/>
      <c r="CF351" s="1914"/>
      <c r="CG351" s="1914"/>
      <c r="CH351" s="1915"/>
      <c r="CI351" s="1915"/>
      <c r="CJ351" s="1915"/>
      <c r="CK351" s="1915"/>
      <c r="CL351" s="1914"/>
      <c r="CM351" s="1915"/>
      <c r="CN351" s="1915"/>
      <c r="CO351" s="1915"/>
      <c r="CP351" s="1915"/>
      <c r="CQ351" s="1915"/>
      <c r="CR351" s="1914"/>
      <c r="CS351" s="1914"/>
      <c r="CT351" s="1914"/>
      <c r="CU351" s="1914"/>
      <c r="CV351" s="1914"/>
      <c r="CW351" s="1914"/>
      <c r="CX351" s="1914"/>
      <c r="CY351" s="1914"/>
      <c r="CZ351" s="1914"/>
      <c r="DA351" s="1914"/>
      <c r="DB351" s="1914"/>
      <c r="DC351" s="1914"/>
      <c r="DD351" s="1914"/>
      <c r="DE351" s="1914"/>
      <c r="DF351" s="1914"/>
      <c r="DG351" s="1914"/>
      <c r="DH351" s="1914"/>
      <c r="DI351" s="1914"/>
      <c r="DJ351" s="1914"/>
      <c r="DK351" s="1914"/>
      <c r="DL351" s="1914"/>
      <c r="DM351" s="1914"/>
      <c r="DN351" s="1914"/>
      <c r="DO351" s="1914"/>
      <c r="DP351" s="1914"/>
      <c r="DQ351" s="1914"/>
      <c r="DR351" s="1914"/>
      <c r="DS351" s="1914"/>
      <c r="DT351" s="1914"/>
    </row>
    <row r="352" spans="1:124">
      <c r="A352" s="1118">
        <f t="shared" ca="1" si="197"/>
        <v>2</v>
      </c>
      <c r="B352" s="1890">
        <f t="shared" si="213"/>
        <v>0</v>
      </c>
      <c r="C352" s="2160">
        <f t="shared" si="201"/>
        <v>0</v>
      </c>
      <c r="D352" s="2161">
        <f t="shared" si="202"/>
        <v>0</v>
      </c>
      <c r="E352" s="2162">
        <f t="shared" si="203"/>
        <v>0</v>
      </c>
      <c r="F352" s="2162">
        <f t="shared" si="204"/>
        <v>0</v>
      </c>
      <c r="G352" s="2162">
        <f t="shared" si="205"/>
        <v>0</v>
      </c>
      <c r="H352" s="2162">
        <f t="shared" si="206"/>
        <v>0</v>
      </c>
      <c r="I352" s="2162">
        <f t="shared" si="207"/>
        <v>0</v>
      </c>
      <c r="J352" s="2162">
        <f t="shared" si="208"/>
        <v>0</v>
      </c>
      <c r="K352" s="2162">
        <f t="shared" si="209"/>
        <v>0</v>
      </c>
      <c r="L352" s="2162">
        <f t="shared" si="210"/>
        <v>0</v>
      </c>
      <c r="M352" s="2162">
        <f t="shared" si="211"/>
        <v>0</v>
      </c>
      <c r="N352" s="2162">
        <f t="shared" si="212"/>
        <v>0</v>
      </c>
      <c r="O352" s="2163"/>
      <c r="P352" s="1891"/>
      <c r="Q352" s="1891"/>
      <c r="R352" s="1891"/>
      <c r="S352" s="1891"/>
      <c r="T352" s="1891"/>
      <c r="U352" s="1891"/>
      <c r="V352" s="1891"/>
      <c r="W352" s="1891"/>
      <c r="X352" s="1891"/>
      <c r="Y352" s="1891"/>
      <c r="Z352" s="1891"/>
      <c r="AA352" s="1891"/>
      <c r="AB352" s="1891"/>
      <c r="AC352" s="1891"/>
      <c r="AD352" s="1891"/>
      <c r="AE352" s="1891"/>
      <c r="AF352" s="1891"/>
      <c r="AG352" s="1891"/>
      <c r="AH352" s="1891"/>
      <c r="AI352" s="1891"/>
      <c r="AJ352" s="1989">
        <f t="shared" si="198"/>
        <v>11</v>
      </c>
      <c r="AK352" s="1900">
        <f t="shared" si="179"/>
        <v>0</v>
      </c>
      <c r="AN352" s="1901">
        <f t="shared" si="199"/>
        <v>0</v>
      </c>
      <c r="AO352" s="1906">
        <f t="shared" ca="1" si="180"/>
        <v>0</v>
      </c>
      <c r="AT352" s="1891"/>
      <c r="AU352" s="1903">
        <f t="shared" si="181"/>
        <v>0</v>
      </c>
      <c r="AV352" s="1904">
        <f t="shared" si="182"/>
        <v>0</v>
      </c>
      <c r="AW352" s="1904">
        <f t="shared" si="183"/>
        <v>0</v>
      </c>
      <c r="AX352" s="1904"/>
      <c r="AY352" s="1904"/>
      <c r="AZ352" s="1904"/>
      <c r="BA352" s="1904"/>
      <c r="BB352" s="1897">
        <f t="shared" si="184"/>
        <v>0</v>
      </c>
      <c r="BC352" s="1897">
        <f t="shared" si="185"/>
        <v>0</v>
      </c>
      <c r="BD352" s="1898" t="e">
        <f>HLOOKUP($BD$63,anticipaplus,288,0)</f>
        <v>#N/A</v>
      </c>
      <c r="BE352" s="1891"/>
      <c r="BF352" s="1891"/>
      <c r="BG352" s="1965">
        <f t="shared" si="186"/>
        <v>0</v>
      </c>
      <c r="BH352" s="1361">
        <f t="shared" si="187"/>
        <v>287</v>
      </c>
      <c r="BI352" s="1362">
        <f t="shared" si="188"/>
        <v>0</v>
      </c>
      <c r="BJ352" s="1362">
        <f t="shared" si="189"/>
        <v>0</v>
      </c>
      <c r="BK352" s="1362">
        <f t="shared" si="195"/>
        <v>0</v>
      </c>
      <c r="BL352" s="1363">
        <f t="shared" si="190"/>
        <v>1000000</v>
      </c>
      <c r="BM352" s="1891"/>
      <c r="BN352" s="1361" t="str">
        <f t="shared" si="191"/>
        <v/>
      </c>
      <c r="BO352" s="1362">
        <f t="shared" si="192"/>
        <v>0</v>
      </c>
      <c r="BP352" s="1362">
        <f t="shared" si="193"/>
        <v>0</v>
      </c>
      <c r="BQ352" s="1362">
        <f t="shared" si="196"/>
        <v>0</v>
      </c>
      <c r="BR352" s="1363">
        <f t="shared" si="194"/>
        <v>0</v>
      </c>
      <c r="BT352" s="1414"/>
      <c r="CC352" s="1914"/>
      <c r="CD352" s="1914"/>
      <c r="CE352" s="1914"/>
      <c r="CF352" s="1914"/>
      <c r="CG352" s="1914"/>
      <c r="CH352" s="1915"/>
      <c r="CI352" s="1915"/>
      <c r="CJ352" s="1915"/>
      <c r="CK352" s="1915"/>
      <c r="CL352" s="1914"/>
      <c r="CM352" s="1915"/>
      <c r="CN352" s="1915"/>
      <c r="CO352" s="1915"/>
      <c r="CP352" s="1915"/>
      <c r="CQ352" s="1915"/>
      <c r="CR352" s="1914"/>
      <c r="CS352" s="1914"/>
      <c r="CT352" s="1914"/>
      <c r="CU352" s="1914"/>
      <c r="CV352" s="1914"/>
      <c r="CW352" s="1914"/>
      <c r="CX352" s="1914"/>
      <c r="CY352" s="1914"/>
      <c r="CZ352" s="1914"/>
      <c r="DA352" s="1914"/>
      <c r="DB352" s="1914"/>
      <c r="DC352" s="1914"/>
      <c r="DD352" s="1914"/>
      <c r="DE352" s="1914"/>
      <c r="DF352" s="1914"/>
      <c r="DG352" s="1914"/>
      <c r="DH352" s="1914"/>
      <c r="DI352" s="1914"/>
      <c r="DJ352" s="1914"/>
      <c r="DK352" s="1914"/>
      <c r="DL352" s="1914"/>
      <c r="DM352" s="1914"/>
      <c r="DN352" s="1914"/>
      <c r="DO352" s="1914"/>
      <c r="DP352" s="1914"/>
      <c r="DQ352" s="1914"/>
      <c r="DR352" s="1914"/>
      <c r="DS352" s="1914"/>
      <c r="DT352" s="1914"/>
    </row>
    <row r="353" spans="1:124">
      <c r="A353" s="1118">
        <f t="shared" ca="1" si="197"/>
        <v>3</v>
      </c>
      <c r="B353" s="1890">
        <f t="shared" si="213"/>
        <v>0</v>
      </c>
      <c r="C353" s="2160">
        <f t="shared" si="201"/>
        <v>0</v>
      </c>
      <c r="D353" s="2161">
        <f t="shared" si="202"/>
        <v>0</v>
      </c>
      <c r="E353" s="2162">
        <f t="shared" si="203"/>
        <v>0</v>
      </c>
      <c r="F353" s="2162">
        <f t="shared" si="204"/>
        <v>0</v>
      </c>
      <c r="G353" s="2162">
        <f t="shared" si="205"/>
        <v>0</v>
      </c>
      <c r="H353" s="2162">
        <f t="shared" si="206"/>
        <v>0</v>
      </c>
      <c r="I353" s="2162">
        <f t="shared" si="207"/>
        <v>0</v>
      </c>
      <c r="J353" s="2162">
        <f t="shared" si="208"/>
        <v>0</v>
      </c>
      <c r="K353" s="2162">
        <f t="shared" si="209"/>
        <v>0</v>
      </c>
      <c r="L353" s="2162">
        <f t="shared" si="210"/>
        <v>0</v>
      </c>
      <c r="M353" s="2162">
        <f t="shared" si="211"/>
        <v>0</v>
      </c>
      <c r="N353" s="2162">
        <f t="shared" si="212"/>
        <v>0</v>
      </c>
      <c r="O353" s="2163"/>
      <c r="P353" s="1891"/>
      <c r="Q353" s="1891"/>
      <c r="R353" s="1891"/>
      <c r="S353" s="1891"/>
      <c r="T353" s="1891"/>
      <c r="U353" s="1891"/>
      <c r="V353" s="1891"/>
      <c r="W353" s="1891"/>
      <c r="X353" s="1891"/>
      <c r="Y353" s="1891"/>
      <c r="Z353" s="1891"/>
      <c r="AA353" s="1891"/>
      <c r="AB353" s="1891"/>
      <c r="AC353" s="1891"/>
      <c r="AD353" s="1891"/>
      <c r="AE353" s="1891"/>
      <c r="AF353" s="1891"/>
      <c r="AG353" s="1891"/>
      <c r="AH353" s="1891"/>
      <c r="AI353" s="1891"/>
      <c r="AJ353" s="1989">
        <f t="shared" si="198"/>
        <v>12</v>
      </c>
      <c r="AK353" s="1900">
        <f t="shared" si="179"/>
        <v>0</v>
      </c>
      <c r="AN353" s="1901">
        <f t="shared" si="199"/>
        <v>0</v>
      </c>
      <c r="AO353" s="1906">
        <f t="shared" ca="1" si="180"/>
        <v>0</v>
      </c>
      <c r="AT353" s="1891"/>
      <c r="AU353" s="1903">
        <f t="shared" si="181"/>
        <v>0</v>
      </c>
      <c r="AV353" s="1904">
        <f t="shared" si="182"/>
        <v>0</v>
      </c>
      <c r="AW353" s="1904">
        <f t="shared" si="183"/>
        <v>0</v>
      </c>
      <c r="AX353" s="1904"/>
      <c r="AY353" s="1904"/>
      <c r="AZ353" s="1904"/>
      <c r="BA353" s="1904"/>
      <c r="BB353" s="1897">
        <f t="shared" si="184"/>
        <v>0</v>
      </c>
      <c r="BC353" s="1897">
        <f t="shared" si="185"/>
        <v>0</v>
      </c>
      <c r="BD353" s="1898" t="e">
        <f>HLOOKUP($BD$63,anticipaplus,289,0)</f>
        <v>#N/A</v>
      </c>
      <c r="BE353" s="1891"/>
      <c r="BF353" s="1891"/>
      <c r="BG353" s="1965">
        <f t="shared" si="186"/>
        <v>0</v>
      </c>
      <c r="BH353" s="1361">
        <f t="shared" si="187"/>
        <v>288</v>
      </c>
      <c r="BI353" s="1362">
        <f t="shared" si="188"/>
        <v>0</v>
      </c>
      <c r="BJ353" s="1362">
        <f t="shared" si="189"/>
        <v>0</v>
      </c>
      <c r="BK353" s="1362">
        <f t="shared" si="195"/>
        <v>0</v>
      </c>
      <c r="BL353" s="1363">
        <f t="shared" si="190"/>
        <v>1000000</v>
      </c>
      <c r="BM353" s="1891"/>
      <c r="BN353" s="1361" t="str">
        <f t="shared" si="191"/>
        <v/>
      </c>
      <c r="BO353" s="1362">
        <f t="shared" si="192"/>
        <v>0</v>
      </c>
      <c r="BP353" s="1362">
        <f t="shared" si="193"/>
        <v>0</v>
      </c>
      <c r="BQ353" s="1362">
        <f t="shared" si="196"/>
        <v>0</v>
      </c>
      <c r="BR353" s="1363">
        <f t="shared" si="194"/>
        <v>0</v>
      </c>
      <c r="BT353" s="1414"/>
      <c r="CC353" s="1914"/>
      <c r="CD353" s="1914"/>
      <c r="CE353" s="1914"/>
      <c r="CF353" s="1914"/>
      <c r="CG353" s="1914"/>
      <c r="CH353" s="1915"/>
      <c r="CI353" s="1915"/>
      <c r="CJ353" s="1915"/>
      <c r="CK353" s="1915"/>
      <c r="CL353" s="1914"/>
      <c r="CM353" s="1915"/>
      <c r="CN353" s="1915"/>
      <c r="CO353" s="1915"/>
      <c r="CP353" s="1915"/>
      <c r="CQ353" s="1915"/>
      <c r="CR353" s="1914"/>
      <c r="CS353" s="1914"/>
      <c r="CT353" s="1914"/>
      <c r="CU353" s="1914"/>
      <c r="CV353" s="1914"/>
      <c r="CW353" s="1914"/>
      <c r="CX353" s="1914"/>
      <c r="CY353" s="1914"/>
      <c r="CZ353" s="1914"/>
      <c r="DA353" s="1914"/>
      <c r="DB353" s="1914"/>
      <c r="DC353" s="1914"/>
      <c r="DD353" s="1914"/>
      <c r="DE353" s="1914"/>
      <c r="DF353" s="1914"/>
      <c r="DG353" s="1914"/>
      <c r="DH353" s="1914"/>
      <c r="DI353" s="1914"/>
      <c r="DJ353" s="1914"/>
      <c r="DK353" s="1914"/>
      <c r="DL353" s="1914"/>
      <c r="DM353" s="1914"/>
      <c r="DN353" s="1914"/>
      <c r="DO353" s="1914"/>
      <c r="DP353" s="1914"/>
      <c r="DQ353" s="1914"/>
      <c r="DR353" s="1914"/>
      <c r="DS353" s="1914"/>
      <c r="DT353" s="1914"/>
    </row>
    <row r="354" spans="1:124">
      <c r="A354" s="1118">
        <f t="shared" ca="1" si="197"/>
        <v>4</v>
      </c>
      <c r="B354" s="1890">
        <f t="shared" si="213"/>
        <v>0</v>
      </c>
      <c r="C354" s="2160">
        <f t="shared" si="201"/>
        <v>0</v>
      </c>
      <c r="D354" s="2161">
        <f t="shared" si="202"/>
        <v>0</v>
      </c>
      <c r="E354" s="2162">
        <f t="shared" si="203"/>
        <v>0</v>
      </c>
      <c r="F354" s="2162">
        <f t="shared" si="204"/>
        <v>0</v>
      </c>
      <c r="G354" s="2162">
        <f t="shared" si="205"/>
        <v>0</v>
      </c>
      <c r="H354" s="2162">
        <f t="shared" si="206"/>
        <v>0</v>
      </c>
      <c r="I354" s="2162">
        <f t="shared" si="207"/>
        <v>0</v>
      </c>
      <c r="J354" s="2162">
        <f t="shared" si="208"/>
        <v>0</v>
      </c>
      <c r="K354" s="2162">
        <f t="shared" si="209"/>
        <v>0</v>
      </c>
      <c r="L354" s="2162">
        <f t="shared" si="210"/>
        <v>0</v>
      </c>
      <c r="M354" s="2162">
        <f t="shared" si="211"/>
        <v>0</v>
      </c>
      <c r="N354" s="2162">
        <f t="shared" si="212"/>
        <v>0</v>
      </c>
      <c r="O354" s="2163"/>
      <c r="P354" s="1891"/>
      <c r="Q354" s="1891"/>
      <c r="R354" s="1891"/>
      <c r="S354" s="1891"/>
      <c r="T354" s="1891"/>
      <c r="U354" s="1891"/>
      <c r="V354" s="1891"/>
      <c r="W354" s="1891"/>
      <c r="X354" s="1891"/>
      <c r="Y354" s="1891"/>
      <c r="Z354" s="1891"/>
      <c r="AA354" s="1891"/>
      <c r="AB354" s="1891"/>
      <c r="AC354" s="1891"/>
      <c r="AD354" s="1891"/>
      <c r="AE354" s="1891"/>
      <c r="AF354" s="1891"/>
      <c r="AG354" s="1891"/>
      <c r="AH354" s="1891"/>
      <c r="AI354" s="1891"/>
      <c r="AJ354" s="1989">
        <f t="shared" si="198"/>
        <v>1</v>
      </c>
      <c r="AK354" s="1900">
        <f t="shared" si="179"/>
        <v>0</v>
      </c>
      <c r="AN354" s="1901">
        <f t="shared" si="199"/>
        <v>0</v>
      </c>
      <c r="AO354" s="1906">
        <f t="shared" ca="1" si="180"/>
        <v>0</v>
      </c>
      <c r="AT354" s="1891"/>
      <c r="AU354" s="1903">
        <f t="shared" si="181"/>
        <v>0</v>
      </c>
      <c r="AV354" s="1904">
        <f t="shared" si="182"/>
        <v>0</v>
      </c>
      <c r="AW354" s="1904">
        <f t="shared" si="183"/>
        <v>0</v>
      </c>
      <c r="AX354" s="1904"/>
      <c r="AY354" s="1904"/>
      <c r="AZ354" s="1904"/>
      <c r="BA354" s="1904"/>
      <c r="BB354" s="1897">
        <f t="shared" si="184"/>
        <v>0</v>
      </c>
      <c r="BC354" s="1897">
        <f t="shared" si="185"/>
        <v>0</v>
      </c>
      <c r="BD354" s="1898" t="e">
        <f>HLOOKUP($BD$63,anticipaplus,290,0)</f>
        <v>#N/A</v>
      </c>
      <c r="BE354" s="1891"/>
      <c r="BF354" s="1891"/>
      <c r="BG354" s="1965">
        <f t="shared" si="186"/>
        <v>0</v>
      </c>
      <c r="BH354" s="1377">
        <f t="shared" si="187"/>
        <v>289</v>
      </c>
      <c r="BI354" s="1378">
        <f t="shared" si="188"/>
        <v>0</v>
      </c>
      <c r="BJ354" s="1378">
        <f t="shared" si="189"/>
        <v>0</v>
      </c>
      <c r="BK354" s="1378">
        <f>MIN(BL353+BI354,BK353*(1+$BI$61))</f>
        <v>0</v>
      </c>
      <c r="BL354" s="1363">
        <f t="shared" si="190"/>
        <v>1000000</v>
      </c>
      <c r="BM354" s="1891"/>
      <c r="BN354" s="1379" t="str">
        <f t="shared" si="191"/>
        <v/>
      </c>
      <c r="BO354" s="1380">
        <f t="shared" si="192"/>
        <v>0</v>
      </c>
      <c r="BP354" s="1380">
        <f t="shared" si="193"/>
        <v>0</v>
      </c>
      <c r="BQ354" s="1380">
        <f>MIN(BR353+BO354,BQ353*(1+$BO$61))</f>
        <v>0</v>
      </c>
      <c r="BR354" s="1363">
        <f t="shared" si="194"/>
        <v>0</v>
      </c>
      <c r="BT354" s="1414"/>
      <c r="CC354" s="1914"/>
      <c r="CD354" s="1914"/>
      <c r="CE354" s="1914"/>
      <c r="CF354" s="1914"/>
      <c r="CG354" s="1914"/>
      <c r="CH354" s="1915"/>
      <c r="CI354" s="1915"/>
      <c r="CJ354" s="1915"/>
      <c r="CK354" s="1915"/>
      <c r="CL354" s="1914"/>
      <c r="CM354" s="1915"/>
      <c r="CN354" s="1915"/>
      <c r="CO354" s="1915"/>
      <c r="CP354" s="1915"/>
      <c r="CQ354" s="1915"/>
      <c r="CR354" s="1914"/>
      <c r="CS354" s="1914"/>
      <c r="CT354" s="1914"/>
      <c r="CU354" s="1914"/>
      <c r="CV354" s="1914"/>
      <c r="CW354" s="1914"/>
      <c r="CX354" s="1914"/>
      <c r="CY354" s="1914"/>
      <c r="CZ354" s="1914"/>
      <c r="DA354" s="1914"/>
      <c r="DB354" s="1914"/>
      <c r="DC354" s="1914"/>
      <c r="DD354" s="1914"/>
      <c r="DE354" s="1914"/>
      <c r="DF354" s="1914"/>
      <c r="DG354" s="1914"/>
      <c r="DH354" s="1914"/>
      <c r="DI354" s="1914"/>
      <c r="DJ354" s="1914"/>
      <c r="DK354" s="1914"/>
      <c r="DL354" s="1914"/>
      <c r="DM354" s="1914"/>
      <c r="DN354" s="1914"/>
      <c r="DO354" s="1914"/>
      <c r="DP354" s="1914"/>
      <c r="DQ354" s="1914"/>
      <c r="DR354" s="1914"/>
      <c r="DS354" s="1914"/>
      <c r="DT354" s="1914"/>
    </row>
    <row r="355" spans="1:124">
      <c r="A355" s="1118">
        <f t="shared" ca="1" si="197"/>
        <v>5</v>
      </c>
      <c r="B355" s="1890">
        <f t="shared" si="213"/>
        <v>0</v>
      </c>
      <c r="C355" s="2160">
        <f t="shared" si="201"/>
        <v>0</v>
      </c>
      <c r="D355" s="2161">
        <f t="shared" si="202"/>
        <v>0</v>
      </c>
      <c r="E355" s="2162">
        <f t="shared" si="203"/>
        <v>0</v>
      </c>
      <c r="F355" s="2162">
        <f t="shared" si="204"/>
        <v>0</v>
      </c>
      <c r="G355" s="2162">
        <f t="shared" si="205"/>
        <v>0</v>
      </c>
      <c r="H355" s="2162">
        <f t="shared" si="206"/>
        <v>0</v>
      </c>
      <c r="I355" s="2162">
        <f t="shared" si="207"/>
        <v>0</v>
      </c>
      <c r="J355" s="2162">
        <f t="shared" si="208"/>
        <v>0</v>
      </c>
      <c r="K355" s="2162">
        <f t="shared" si="209"/>
        <v>0</v>
      </c>
      <c r="L355" s="2162">
        <f t="shared" si="210"/>
        <v>0</v>
      </c>
      <c r="M355" s="2162">
        <f t="shared" si="211"/>
        <v>0</v>
      </c>
      <c r="N355" s="2162">
        <f t="shared" si="212"/>
        <v>0</v>
      </c>
      <c r="O355" s="2163"/>
      <c r="P355" s="1891"/>
      <c r="Q355" s="1891"/>
      <c r="R355" s="1891"/>
      <c r="S355" s="1891"/>
      <c r="T355" s="1891"/>
      <c r="U355" s="1891"/>
      <c r="V355" s="1891"/>
      <c r="W355" s="1891"/>
      <c r="X355" s="1891"/>
      <c r="Y355" s="1891"/>
      <c r="Z355" s="1891"/>
      <c r="AA355" s="1891"/>
      <c r="AB355" s="1891"/>
      <c r="AC355" s="1891"/>
      <c r="AD355" s="1891"/>
      <c r="AE355" s="1891"/>
      <c r="AF355" s="1891"/>
      <c r="AG355" s="1891"/>
      <c r="AH355" s="1891"/>
      <c r="AI355" s="1891"/>
      <c r="AJ355" s="1989">
        <f t="shared" si="198"/>
        <v>2</v>
      </c>
      <c r="AK355" s="1900">
        <f t="shared" si="179"/>
        <v>0</v>
      </c>
      <c r="AN355" s="1901">
        <f t="shared" si="199"/>
        <v>0</v>
      </c>
      <c r="AO355" s="1906">
        <f t="shared" ca="1" si="180"/>
        <v>0</v>
      </c>
      <c r="AT355" s="1891"/>
      <c r="AU355" s="1903">
        <f t="shared" si="181"/>
        <v>0</v>
      </c>
      <c r="AV355" s="1904">
        <f t="shared" si="182"/>
        <v>0</v>
      </c>
      <c r="AW355" s="1904">
        <f t="shared" si="183"/>
        <v>0</v>
      </c>
      <c r="AX355" s="1904"/>
      <c r="AY355" s="1904"/>
      <c r="AZ355" s="1904"/>
      <c r="BA355" s="1904"/>
      <c r="BB355" s="1897">
        <f t="shared" si="184"/>
        <v>0</v>
      </c>
      <c r="BC355" s="1897">
        <f t="shared" si="185"/>
        <v>0</v>
      </c>
      <c r="BD355" s="1898" t="e">
        <f>HLOOKUP($BD$63,anticipaplus,291,0)</f>
        <v>#N/A</v>
      </c>
      <c r="BE355" s="1891"/>
      <c r="BF355" s="1891"/>
      <c r="BG355" s="1965">
        <f t="shared" si="186"/>
        <v>0</v>
      </c>
      <c r="BH355" s="1361">
        <f t="shared" si="187"/>
        <v>290</v>
      </c>
      <c r="BI355" s="1362">
        <f t="shared" si="188"/>
        <v>0</v>
      </c>
      <c r="BJ355" s="1362">
        <f t="shared" si="189"/>
        <v>0</v>
      </c>
      <c r="BK355" s="1362">
        <f t="shared" si="195"/>
        <v>0</v>
      </c>
      <c r="BL355" s="1363">
        <f t="shared" si="190"/>
        <v>1000000</v>
      </c>
      <c r="BM355" s="1891"/>
      <c r="BN355" s="1361" t="str">
        <f t="shared" si="191"/>
        <v/>
      </c>
      <c r="BO355" s="1362">
        <f t="shared" si="192"/>
        <v>0</v>
      </c>
      <c r="BP355" s="1362">
        <f t="shared" si="193"/>
        <v>0</v>
      </c>
      <c r="BQ355" s="1362">
        <f t="shared" si="196"/>
        <v>0</v>
      </c>
      <c r="BR355" s="1363">
        <f t="shared" si="194"/>
        <v>0</v>
      </c>
      <c r="BT355" s="1414"/>
      <c r="CC355" s="1914"/>
      <c r="CD355" s="1914"/>
      <c r="CE355" s="1914"/>
      <c r="CF355" s="1914"/>
      <c r="CG355" s="1914"/>
      <c r="CH355" s="1915"/>
      <c r="CI355" s="1915"/>
      <c r="CJ355" s="1915"/>
      <c r="CK355" s="1915"/>
      <c r="CL355" s="1914"/>
      <c r="CM355" s="1915"/>
      <c r="CN355" s="1915"/>
      <c r="CO355" s="1915"/>
      <c r="CP355" s="1915"/>
      <c r="CQ355" s="1915"/>
      <c r="CR355" s="1914"/>
      <c r="CS355" s="1914"/>
      <c r="CT355" s="1914"/>
      <c r="CU355" s="1914"/>
      <c r="CV355" s="1914"/>
      <c r="CW355" s="1914"/>
      <c r="CX355" s="1914"/>
      <c r="CY355" s="1914"/>
      <c r="CZ355" s="1914"/>
      <c r="DA355" s="1914"/>
      <c r="DB355" s="1914"/>
      <c r="DC355" s="1914"/>
      <c r="DD355" s="1914"/>
      <c r="DE355" s="1914"/>
      <c r="DF355" s="1914"/>
      <c r="DG355" s="1914"/>
      <c r="DH355" s="1914"/>
      <c r="DI355" s="1914"/>
      <c r="DJ355" s="1914"/>
      <c r="DK355" s="1914"/>
      <c r="DL355" s="1914"/>
      <c r="DM355" s="1914"/>
      <c r="DN355" s="1914"/>
      <c r="DO355" s="1914"/>
      <c r="DP355" s="1914"/>
      <c r="DQ355" s="1914"/>
      <c r="DR355" s="1914"/>
      <c r="DS355" s="1914"/>
      <c r="DT355" s="1914"/>
    </row>
    <row r="356" spans="1:124">
      <c r="A356" s="1118">
        <f t="shared" ca="1" si="197"/>
        <v>6</v>
      </c>
      <c r="B356" s="1890">
        <f t="shared" si="213"/>
        <v>0</v>
      </c>
      <c r="C356" s="2160">
        <f t="shared" si="201"/>
        <v>0</v>
      </c>
      <c r="D356" s="2161">
        <f t="shared" si="202"/>
        <v>0</v>
      </c>
      <c r="E356" s="2162">
        <f t="shared" si="203"/>
        <v>0</v>
      </c>
      <c r="F356" s="2162">
        <f t="shared" si="204"/>
        <v>0</v>
      </c>
      <c r="G356" s="2162">
        <f t="shared" si="205"/>
        <v>0</v>
      </c>
      <c r="H356" s="2162">
        <f t="shared" si="206"/>
        <v>0</v>
      </c>
      <c r="I356" s="2162">
        <f t="shared" si="207"/>
        <v>0</v>
      </c>
      <c r="J356" s="2162">
        <f t="shared" si="208"/>
        <v>0</v>
      </c>
      <c r="K356" s="2162">
        <f t="shared" si="209"/>
        <v>0</v>
      </c>
      <c r="L356" s="2162">
        <f t="shared" si="210"/>
        <v>0</v>
      </c>
      <c r="M356" s="2162">
        <f t="shared" si="211"/>
        <v>0</v>
      </c>
      <c r="N356" s="2162">
        <f t="shared" si="212"/>
        <v>0</v>
      </c>
      <c r="O356" s="2163"/>
      <c r="P356" s="1891"/>
      <c r="Q356" s="1891"/>
      <c r="R356" s="1891"/>
      <c r="S356" s="1891"/>
      <c r="T356" s="1891"/>
      <c r="U356" s="1891"/>
      <c r="V356" s="1891"/>
      <c r="W356" s="1891"/>
      <c r="X356" s="1891"/>
      <c r="Y356" s="1891"/>
      <c r="Z356" s="1891"/>
      <c r="AA356" s="1891"/>
      <c r="AB356" s="1891"/>
      <c r="AC356" s="1891"/>
      <c r="AD356" s="1891"/>
      <c r="AE356" s="1891"/>
      <c r="AF356" s="1891"/>
      <c r="AG356" s="1891"/>
      <c r="AH356" s="1891"/>
      <c r="AI356" s="1891"/>
      <c r="AJ356" s="1989">
        <f t="shared" si="198"/>
        <v>3</v>
      </c>
      <c r="AK356" s="1900">
        <f t="shared" si="179"/>
        <v>0</v>
      </c>
      <c r="AN356" s="1901">
        <f t="shared" si="199"/>
        <v>0</v>
      </c>
      <c r="AO356" s="1906">
        <f t="shared" ca="1" si="180"/>
        <v>0</v>
      </c>
      <c r="AT356" s="1891"/>
      <c r="AU356" s="1903">
        <f t="shared" si="181"/>
        <v>0</v>
      </c>
      <c r="AV356" s="1904">
        <f t="shared" si="182"/>
        <v>0</v>
      </c>
      <c r="AW356" s="1904">
        <f t="shared" si="183"/>
        <v>0</v>
      </c>
      <c r="AX356" s="1904"/>
      <c r="AY356" s="1904"/>
      <c r="AZ356" s="1904"/>
      <c r="BA356" s="1904"/>
      <c r="BB356" s="1897">
        <f t="shared" si="184"/>
        <v>0</v>
      </c>
      <c r="BC356" s="1897">
        <f t="shared" si="185"/>
        <v>0</v>
      </c>
      <c r="BD356" s="1898" t="e">
        <f>HLOOKUP($BD$63,anticipaplus,292,0)</f>
        <v>#N/A</v>
      </c>
      <c r="BE356" s="1891"/>
      <c r="BF356" s="1891"/>
      <c r="BG356" s="1965">
        <f t="shared" si="186"/>
        <v>0</v>
      </c>
      <c r="BH356" s="1361">
        <f t="shared" si="187"/>
        <v>291</v>
      </c>
      <c r="BI356" s="1362">
        <f t="shared" si="188"/>
        <v>0</v>
      </c>
      <c r="BJ356" s="1362">
        <f t="shared" si="189"/>
        <v>0</v>
      </c>
      <c r="BK356" s="1362">
        <f t="shared" si="195"/>
        <v>0</v>
      </c>
      <c r="BL356" s="1363">
        <f t="shared" si="190"/>
        <v>1000000</v>
      </c>
      <c r="BM356" s="1891"/>
      <c r="BN356" s="1361" t="str">
        <f t="shared" si="191"/>
        <v/>
      </c>
      <c r="BO356" s="1362">
        <f t="shared" si="192"/>
        <v>0</v>
      </c>
      <c r="BP356" s="1362">
        <f t="shared" si="193"/>
        <v>0</v>
      </c>
      <c r="BQ356" s="1362">
        <f t="shared" si="196"/>
        <v>0</v>
      </c>
      <c r="BR356" s="1363">
        <f t="shared" si="194"/>
        <v>0</v>
      </c>
      <c r="BT356" s="1414"/>
      <c r="CC356" s="1914"/>
      <c r="CD356" s="1914"/>
      <c r="CE356" s="1914"/>
      <c r="CF356" s="1914"/>
      <c r="CG356" s="1914"/>
      <c r="CH356" s="1915"/>
      <c r="CI356" s="1915"/>
      <c r="CJ356" s="1915"/>
      <c r="CK356" s="1915"/>
      <c r="CL356" s="1914"/>
      <c r="CM356" s="1915"/>
      <c r="CN356" s="1915"/>
      <c r="CO356" s="1915"/>
      <c r="CP356" s="1915"/>
      <c r="CQ356" s="1915"/>
      <c r="CR356" s="1914"/>
      <c r="CS356" s="1914"/>
      <c r="CT356" s="1914"/>
      <c r="CU356" s="1914"/>
      <c r="CV356" s="1914"/>
      <c r="CW356" s="1914"/>
      <c r="CX356" s="1914"/>
      <c r="CY356" s="1914"/>
      <c r="CZ356" s="1914"/>
      <c r="DA356" s="1914"/>
      <c r="DB356" s="1914"/>
      <c r="DC356" s="1914"/>
      <c r="DD356" s="1914"/>
      <c r="DE356" s="1914"/>
      <c r="DF356" s="1914"/>
      <c r="DG356" s="1914"/>
      <c r="DH356" s="1914"/>
      <c r="DI356" s="1914"/>
      <c r="DJ356" s="1914"/>
      <c r="DK356" s="1914"/>
      <c r="DL356" s="1914"/>
      <c r="DM356" s="1914"/>
      <c r="DN356" s="1914"/>
      <c r="DO356" s="1914"/>
      <c r="DP356" s="1914"/>
      <c r="DQ356" s="1914"/>
      <c r="DR356" s="1914"/>
      <c r="DS356" s="1914"/>
      <c r="DT356" s="1914"/>
    </row>
    <row r="357" spans="1:124">
      <c r="A357" s="1118">
        <f t="shared" ca="1" si="197"/>
        <v>7</v>
      </c>
      <c r="B357" s="1890">
        <f t="shared" si="213"/>
        <v>0</v>
      </c>
      <c r="C357" s="2160">
        <f t="shared" si="201"/>
        <v>0</v>
      </c>
      <c r="D357" s="2161">
        <f t="shared" si="202"/>
        <v>0</v>
      </c>
      <c r="E357" s="2162">
        <f t="shared" si="203"/>
        <v>0</v>
      </c>
      <c r="F357" s="2162">
        <f t="shared" si="204"/>
        <v>0</v>
      </c>
      <c r="G357" s="2162">
        <f t="shared" si="205"/>
        <v>0</v>
      </c>
      <c r="H357" s="2162">
        <f t="shared" si="206"/>
        <v>0</v>
      </c>
      <c r="I357" s="2162">
        <f t="shared" si="207"/>
        <v>0</v>
      </c>
      <c r="J357" s="2162">
        <f t="shared" si="208"/>
        <v>0</v>
      </c>
      <c r="K357" s="2162">
        <f t="shared" si="209"/>
        <v>0</v>
      </c>
      <c r="L357" s="2162">
        <f t="shared" si="210"/>
        <v>0</v>
      </c>
      <c r="M357" s="2162">
        <f t="shared" si="211"/>
        <v>0</v>
      </c>
      <c r="N357" s="2162">
        <f t="shared" si="212"/>
        <v>0</v>
      </c>
      <c r="O357" s="2163"/>
      <c r="P357" s="1891"/>
      <c r="Q357" s="1891"/>
      <c r="R357" s="1891"/>
      <c r="S357" s="1891"/>
      <c r="T357" s="1891"/>
      <c r="U357" s="1891"/>
      <c r="V357" s="1891"/>
      <c r="W357" s="1891"/>
      <c r="X357" s="1891"/>
      <c r="Y357" s="1891"/>
      <c r="Z357" s="1891"/>
      <c r="AA357" s="1891"/>
      <c r="AB357" s="1891"/>
      <c r="AC357" s="1891"/>
      <c r="AD357" s="1891"/>
      <c r="AE357" s="1891"/>
      <c r="AF357" s="1891"/>
      <c r="AG357" s="1891"/>
      <c r="AH357" s="1891"/>
      <c r="AI357" s="1891"/>
      <c r="AJ357" s="1989">
        <f t="shared" si="198"/>
        <v>4</v>
      </c>
      <c r="AK357" s="1900">
        <f t="shared" si="179"/>
        <v>0</v>
      </c>
      <c r="AN357" s="1901">
        <f t="shared" si="199"/>
        <v>0</v>
      </c>
      <c r="AO357" s="1906">
        <f t="shared" ca="1" si="180"/>
        <v>0</v>
      </c>
      <c r="AT357" s="1891"/>
      <c r="AU357" s="1903">
        <f t="shared" si="181"/>
        <v>0</v>
      </c>
      <c r="AV357" s="1904">
        <f t="shared" si="182"/>
        <v>0</v>
      </c>
      <c r="AW357" s="1904">
        <f t="shared" si="183"/>
        <v>0</v>
      </c>
      <c r="AX357" s="1904"/>
      <c r="AY357" s="1904"/>
      <c r="AZ357" s="1904"/>
      <c r="BA357" s="1904"/>
      <c r="BB357" s="1897">
        <f t="shared" si="184"/>
        <v>0</v>
      </c>
      <c r="BC357" s="1897">
        <f t="shared" si="185"/>
        <v>0</v>
      </c>
      <c r="BD357" s="1898" t="e">
        <f>HLOOKUP($BD$63,anticipaplus,293,0)</f>
        <v>#N/A</v>
      </c>
      <c r="BE357" s="1891"/>
      <c r="BF357" s="1891"/>
      <c r="BG357" s="1965">
        <f t="shared" si="186"/>
        <v>0</v>
      </c>
      <c r="BH357" s="1361">
        <f t="shared" si="187"/>
        <v>292</v>
      </c>
      <c r="BI357" s="1362">
        <f t="shared" si="188"/>
        <v>0</v>
      </c>
      <c r="BJ357" s="1362">
        <f t="shared" si="189"/>
        <v>0</v>
      </c>
      <c r="BK357" s="1362">
        <f t="shared" si="195"/>
        <v>0</v>
      </c>
      <c r="BL357" s="1363">
        <f t="shared" si="190"/>
        <v>1000000</v>
      </c>
      <c r="BM357" s="1891"/>
      <c r="BN357" s="1361" t="str">
        <f t="shared" si="191"/>
        <v/>
      </c>
      <c r="BO357" s="1362">
        <f t="shared" si="192"/>
        <v>0</v>
      </c>
      <c r="BP357" s="1362">
        <f t="shared" si="193"/>
        <v>0</v>
      </c>
      <c r="BQ357" s="1362">
        <f t="shared" si="196"/>
        <v>0</v>
      </c>
      <c r="BR357" s="1363">
        <f t="shared" si="194"/>
        <v>0</v>
      </c>
      <c r="BT357" s="1414"/>
      <c r="CC357" s="1914"/>
      <c r="CD357" s="1914"/>
      <c r="CE357" s="1914"/>
      <c r="CF357" s="1914"/>
      <c r="CG357" s="1914"/>
      <c r="CH357" s="1915"/>
      <c r="CI357" s="1915"/>
      <c r="CJ357" s="1915"/>
      <c r="CK357" s="1915"/>
      <c r="CL357" s="1914"/>
      <c r="CM357" s="1915"/>
      <c r="CN357" s="1915"/>
      <c r="CO357" s="1915"/>
      <c r="CP357" s="1915"/>
      <c r="CQ357" s="1915"/>
      <c r="CR357" s="1914"/>
      <c r="CS357" s="1914"/>
      <c r="CT357" s="1914"/>
      <c r="CU357" s="1914"/>
      <c r="CV357" s="1914"/>
      <c r="CW357" s="1914"/>
      <c r="CX357" s="1914"/>
      <c r="CY357" s="1914"/>
      <c r="CZ357" s="1914"/>
      <c r="DA357" s="1914"/>
      <c r="DB357" s="1914"/>
      <c r="DC357" s="1914"/>
      <c r="DD357" s="1914"/>
      <c r="DE357" s="1914"/>
      <c r="DF357" s="1914"/>
      <c r="DG357" s="1914"/>
      <c r="DH357" s="1914"/>
      <c r="DI357" s="1914"/>
      <c r="DJ357" s="1914"/>
      <c r="DK357" s="1914"/>
      <c r="DL357" s="1914"/>
      <c r="DM357" s="1914"/>
      <c r="DN357" s="1914"/>
      <c r="DO357" s="1914"/>
      <c r="DP357" s="1914"/>
      <c r="DQ357" s="1914"/>
      <c r="DR357" s="1914"/>
      <c r="DS357" s="1914"/>
      <c r="DT357" s="1914"/>
    </row>
    <row r="358" spans="1:124">
      <c r="A358" s="1118">
        <f t="shared" ca="1" si="197"/>
        <v>8</v>
      </c>
      <c r="B358" s="1890">
        <f t="shared" si="213"/>
        <v>0</v>
      </c>
      <c r="C358" s="2160">
        <f t="shared" si="201"/>
        <v>0</v>
      </c>
      <c r="D358" s="2161">
        <f t="shared" si="202"/>
        <v>0</v>
      </c>
      <c r="E358" s="2162">
        <f t="shared" si="203"/>
        <v>0</v>
      </c>
      <c r="F358" s="2162">
        <f t="shared" si="204"/>
        <v>0</v>
      </c>
      <c r="G358" s="2162">
        <f t="shared" si="205"/>
        <v>0</v>
      </c>
      <c r="H358" s="2162">
        <f t="shared" si="206"/>
        <v>0</v>
      </c>
      <c r="I358" s="2162">
        <f t="shared" si="207"/>
        <v>0</v>
      </c>
      <c r="J358" s="2162">
        <f t="shared" si="208"/>
        <v>0</v>
      </c>
      <c r="K358" s="2162">
        <f t="shared" si="209"/>
        <v>0</v>
      </c>
      <c r="L358" s="2162">
        <f t="shared" si="210"/>
        <v>0</v>
      </c>
      <c r="M358" s="2162">
        <f t="shared" si="211"/>
        <v>0</v>
      </c>
      <c r="N358" s="2162">
        <f t="shared" si="212"/>
        <v>0</v>
      </c>
      <c r="O358" s="2163"/>
      <c r="P358" s="1891"/>
      <c r="Q358" s="1891"/>
      <c r="R358" s="1891"/>
      <c r="S358" s="1891"/>
      <c r="T358" s="1891"/>
      <c r="U358" s="1891"/>
      <c r="V358" s="1891"/>
      <c r="W358" s="1891"/>
      <c r="X358" s="1891"/>
      <c r="Y358" s="1891"/>
      <c r="Z358" s="1891"/>
      <c r="AA358" s="1891"/>
      <c r="AB358" s="1891"/>
      <c r="AC358" s="1891"/>
      <c r="AD358" s="1891"/>
      <c r="AE358" s="1891"/>
      <c r="AF358" s="1891"/>
      <c r="AG358" s="1891"/>
      <c r="AH358" s="1891"/>
      <c r="AI358" s="1891"/>
      <c r="AJ358" s="1989">
        <f t="shared" si="198"/>
        <v>5</v>
      </c>
      <c r="AK358" s="1900">
        <f t="shared" si="179"/>
        <v>0</v>
      </c>
      <c r="AN358" s="1901">
        <f t="shared" si="199"/>
        <v>0</v>
      </c>
      <c r="AO358" s="1906">
        <f t="shared" ca="1" si="180"/>
        <v>0</v>
      </c>
      <c r="AT358" s="1891"/>
      <c r="AU358" s="1903">
        <f t="shared" si="181"/>
        <v>0</v>
      </c>
      <c r="AV358" s="1904">
        <f t="shared" si="182"/>
        <v>0</v>
      </c>
      <c r="AW358" s="1904">
        <f t="shared" si="183"/>
        <v>0</v>
      </c>
      <c r="AX358" s="1904"/>
      <c r="AY358" s="1904"/>
      <c r="AZ358" s="1904"/>
      <c r="BA358" s="1904"/>
      <c r="BB358" s="1897">
        <f t="shared" si="184"/>
        <v>0</v>
      </c>
      <c r="BC358" s="1897">
        <f t="shared" si="185"/>
        <v>0</v>
      </c>
      <c r="BD358" s="1898" t="e">
        <f>HLOOKUP($BD$63,anticipaplus,294,0)</f>
        <v>#N/A</v>
      </c>
      <c r="BE358" s="1891"/>
      <c r="BF358" s="1891"/>
      <c r="BG358" s="1965">
        <f t="shared" si="186"/>
        <v>0</v>
      </c>
      <c r="BH358" s="1361">
        <f t="shared" si="187"/>
        <v>293</v>
      </c>
      <c r="BI358" s="1362">
        <f t="shared" si="188"/>
        <v>0</v>
      </c>
      <c r="BJ358" s="1362">
        <f t="shared" si="189"/>
        <v>0</v>
      </c>
      <c r="BK358" s="1362">
        <f t="shared" si="195"/>
        <v>0</v>
      </c>
      <c r="BL358" s="1363">
        <f t="shared" si="190"/>
        <v>1000000</v>
      </c>
      <c r="BM358" s="1891"/>
      <c r="BN358" s="1361" t="str">
        <f t="shared" si="191"/>
        <v/>
      </c>
      <c r="BO358" s="1362">
        <f t="shared" si="192"/>
        <v>0</v>
      </c>
      <c r="BP358" s="1362">
        <f t="shared" si="193"/>
        <v>0</v>
      </c>
      <c r="BQ358" s="1362">
        <f t="shared" si="196"/>
        <v>0</v>
      </c>
      <c r="BR358" s="1363">
        <f t="shared" si="194"/>
        <v>0</v>
      </c>
      <c r="BT358" s="1414"/>
      <c r="CC358" s="1914"/>
      <c r="CD358" s="1914"/>
      <c r="CE358" s="1914"/>
      <c r="CF358" s="1914"/>
      <c r="CG358" s="1914"/>
      <c r="CH358" s="1915"/>
      <c r="CI358" s="1915"/>
      <c r="CJ358" s="1915"/>
      <c r="CK358" s="1915"/>
      <c r="CL358" s="1914"/>
      <c r="CM358" s="1915"/>
      <c r="CN358" s="1915"/>
      <c r="CO358" s="1915"/>
      <c r="CP358" s="1915"/>
      <c r="CQ358" s="1915"/>
      <c r="CR358" s="1914"/>
      <c r="CS358" s="1914"/>
      <c r="CT358" s="1914"/>
      <c r="CU358" s="1914"/>
      <c r="CV358" s="1914"/>
      <c r="CW358" s="1914"/>
      <c r="CX358" s="1914"/>
      <c r="CY358" s="1914"/>
      <c r="CZ358" s="1914"/>
      <c r="DA358" s="1914"/>
      <c r="DB358" s="1914"/>
      <c r="DC358" s="1914"/>
      <c r="DD358" s="1914"/>
      <c r="DE358" s="1914"/>
      <c r="DF358" s="1914"/>
      <c r="DG358" s="1914"/>
      <c r="DH358" s="1914"/>
      <c r="DI358" s="1914"/>
      <c r="DJ358" s="1914"/>
      <c r="DK358" s="1914"/>
      <c r="DL358" s="1914"/>
      <c r="DM358" s="1914"/>
      <c r="DN358" s="1914"/>
      <c r="DO358" s="1914"/>
      <c r="DP358" s="1914"/>
      <c r="DQ358" s="1914"/>
      <c r="DR358" s="1914"/>
      <c r="DS358" s="1914"/>
      <c r="DT358" s="1914"/>
    </row>
    <row r="359" spans="1:124">
      <c r="A359" s="1118">
        <f t="shared" ca="1" si="197"/>
        <v>9</v>
      </c>
      <c r="B359" s="1890">
        <f t="shared" si="213"/>
        <v>0</v>
      </c>
      <c r="C359" s="2160">
        <f t="shared" si="201"/>
        <v>0</v>
      </c>
      <c r="D359" s="2161">
        <f t="shared" si="202"/>
        <v>0</v>
      </c>
      <c r="E359" s="2162">
        <f t="shared" si="203"/>
        <v>0</v>
      </c>
      <c r="F359" s="2162">
        <f t="shared" si="204"/>
        <v>0</v>
      </c>
      <c r="G359" s="2162">
        <f t="shared" si="205"/>
        <v>0</v>
      </c>
      <c r="H359" s="2162">
        <f t="shared" si="206"/>
        <v>0</v>
      </c>
      <c r="I359" s="2162">
        <f t="shared" si="207"/>
        <v>0</v>
      </c>
      <c r="J359" s="2162">
        <f t="shared" si="208"/>
        <v>0</v>
      </c>
      <c r="K359" s="2162">
        <f t="shared" si="209"/>
        <v>0</v>
      </c>
      <c r="L359" s="2162">
        <f t="shared" si="210"/>
        <v>0</v>
      </c>
      <c r="M359" s="2162">
        <f t="shared" si="211"/>
        <v>0</v>
      </c>
      <c r="N359" s="2162">
        <f t="shared" si="212"/>
        <v>0</v>
      </c>
      <c r="O359" s="2163"/>
      <c r="P359" s="1891"/>
      <c r="Q359" s="1891"/>
      <c r="R359" s="1891"/>
      <c r="S359" s="1891"/>
      <c r="T359" s="1891"/>
      <c r="U359" s="1891"/>
      <c r="V359" s="1891"/>
      <c r="W359" s="1891"/>
      <c r="X359" s="1891"/>
      <c r="Y359" s="1891"/>
      <c r="Z359" s="1891"/>
      <c r="AA359" s="1891"/>
      <c r="AB359" s="1891"/>
      <c r="AC359" s="1891"/>
      <c r="AD359" s="1891"/>
      <c r="AE359" s="1891"/>
      <c r="AF359" s="1891"/>
      <c r="AG359" s="1891"/>
      <c r="AH359" s="1891"/>
      <c r="AI359" s="1891"/>
      <c r="AJ359" s="1989">
        <f t="shared" si="198"/>
        <v>6</v>
      </c>
      <c r="AK359" s="1900">
        <f t="shared" si="179"/>
        <v>0</v>
      </c>
      <c r="AN359" s="1901">
        <f t="shared" si="199"/>
        <v>0</v>
      </c>
      <c r="AO359" s="1906">
        <f t="shared" ca="1" si="180"/>
        <v>0</v>
      </c>
      <c r="AT359" s="1891"/>
      <c r="AU359" s="1903">
        <f t="shared" si="181"/>
        <v>0</v>
      </c>
      <c r="AV359" s="1904">
        <f t="shared" si="182"/>
        <v>0</v>
      </c>
      <c r="AW359" s="1904">
        <f t="shared" si="183"/>
        <v>0</v>
      </c>
      <c r="AX359" s="1904"/>
      <c r="AY359" s="1904"/>
      <c r="AZ359" s="1904"/>
      <c r="BA359" s="1904"/>
      <c r="BB359" s="1897">
        <f t="shared" si="184"/>
        <v>0</v>
      </c>
      <c r="BC359" s="1897">
        <f t="shared" si="185"/>
        <v>0</v>
      </c>
      <c r="BD359" s="1898" t="e">
        <f>HLOOKUP($BD$63,anticipaplus,295,0)</f>
        <v>#N/A</v>
      </c>
      <c r="BE359" s="1891"/>
      <c r="BF359" s="1891"/>
      <c r="BG359" s="1965">
        <f t="shared" si="186"/>
        <v>0</v>
      </c>
      <c r="BH359" s="1361">
        <f t="shared" si="187"/>
        <v>294</v>
      </c>
      <c r="BI359" s="1362">
        <f t="shared" si="188"/>
        <v>0</v>
      </c>
      <c r="BJ359" s="1362">
        <f t="shared" si="189"/>
        <v>0</v>
      </c>
      <c r="BK359" s="1362">
        <f t="shared" si="195"/>
        <v>0</v>
      </c>
      <c r="BL359" s="1363">
        <f t="shared" si="190"/>
        <v>1000000</v>
      </c>
      <c r="BM359" s="1891"/>
      <c r="BN359" s="1361" t="str">
        <f t="shared" si="191"/>
        <v/>
      </c>
      <c r="BO359" s="1362">
        <f t="shared" si="192"/>
        <v>0</v>
      </c>
      <c r="BP359" s="1362">
        <f t="shared" si="193"/>
        <v>0</v>
      </c>
      <c r="BQ359" s="1362">
        <f t="shared" si="196"/>
        <v>0</v>
      </c>
      <c r="BR359" s="1363">
        <f t="shared" si="194"/>
        <v>0</v>
      </c>
      <c r="BT359" s="1414"/>
      <c r="CC359" s="1914"/>
      <c r="CD359" s="1914"/>
      <c r="CE359" s="1914"/>
      <c r="CF359" s="1914"/>
      <c r="CG359" s="1914"/>
      <c r="CH359" s="1915"/>
      <c r="CI359" s="1915"/>
      <c r="CJ359" s="1915"/>
      <c r="CK359" s="1915"/>
      <c r="CL359" s="1914"/>
      <c r="CM359" s="1915"/>
      <c r="CN359" s="1915"/>
      <c r="CO359" s="1915"/>
      <c r="CP359" s="1915"/>
      <c r="CQ359" s="1915"/>
      <c r="CR359" s="1914"/>
      <c r="CS359" s="1914"/>
      <c r="CT359" s="1914"/>
      <c r="CU359" s="1914"/>
      <c r="CV359" s="1914"/>
      <c r="CW359" s="1914"/>
      <c r="CX359" s="1914"/>
      <c r="CY359" s="1914"/>
      <c r="CZ359" s="1914"/>
      <c r="DA359" s="1914"/>
      <c r="DB359" s="1914"/>
      <c r="DC359" s="1914"/>
      <c r="DD359" s="1914"/>
      <c r="DE359" s="1914"/>
      <c r="DF359" s="1914"/>
      <c r="DG359" s="1914"/>
      <c r="DH359" s="1914"/>
      <c r="DI359" s="1914"/>
      <c r="DJ359" s="1914"/>
      <c r="DK359" s="1914"/>
      <c r="DL359" s="1914"/>
      <c r="DM359" s="1914"/>
      <c r="DN359" s="1914"/>
      <c r="DO359" s="1914"/>
      <c r="DP359" s="1914"/>
      <c r="DQ359" s="1914"/>
      <c r="DR359" s="1914"/>
      <c r="DS359" s="1914"/>
      <c r="DT359" s="1914"/>
    </row>
    <row r="360" spans="1:124">
      <c r="A360" s="1118">
        <f t="shared" ca="1" si="197"/>
        <v>10</v>
      </c>
      <c r="B360" s="1890">
        <f t="shared" si="213"/>
        <v>0</v>
      </c>
      <c r="C360" s="2160">
        <f t="shared" ref="C360:C365" si="214">IF(N359&lt;0.01,0,C359+1)</f>
        <v>0</v>
      </c>
      <c r="D360" s="2161">
        <f t="shared" ref="D360:D365" si="215">IF(N359&lt;0.01,0,D359)</f>
        <v>0</v>
      </c>
      <c r="E360" s="2162">
        <f t="shared" ref="E360:E365" si="216">IF(N359&lt;0.01,0,N359*D360*30.4166/360)</f>
        <v>0</v>
      </c>
      <c r="F360" s="2162">
        <f t="shared" ref="F360:F365" si="217">IF(N359&lt;0.01,0,MIN(N359,G360-E360))</f>
        <v>0</v>
      </c>
      <c r="G360" s="2162">
        <f t="shared" ref="G360:G365" si="218">IF(N359&lt;0.01,0,MIN(N359+E360,IF(AU360&gt;0,AU360,G359*(1+AK360))))</f>
        <v>0</v>
      </c>
      <c r="H360" s="2162">
        <f t="shared" ref="H360:H365" si="219">IF(N359&lt;0.01,0,IF($F$22=$AN$4,0,IF($F$22=$AN$3,N359*$I$22/1000,N359*VLOOKUP($G$21,$AP$2:$AQ$5,2,0))))</f>
        <v>0</v>
      </c>
      <c r="I360" s="2162">
        <f t="shared" ref="I360:I365" si="220">IF(N359&lt;0.01,0,IF($F$24=$AO$3,0,IF(OR($F$10=$AK$7,$F$10=$AK$13),0,$G$13*$AR$2)))</f>
        <v>0</v>
      </c>
      <c r="J360" s="2162">
        <f t="shared" ref="J360:J365" si="221">IF(N359&lt;0.01,0,IF($F$10=$AK$7,0,$BD$2*1.16))</f>
        <v>0</v>
      </c>
      <c r="K360" s="2162">
        <f t="shared" ref="K360:K365" si="222">IF(N359&lt;0.01,0,IF($AS$2&gt;0,E360*$AS$3,0))</f>
        <v>0</v>
      </c>
      <c r="L360" s="2162">
        <f t="shared" ref="L360:L365" si="223">IF(N359&lt;0.01,0,G360+H360+I360+J360+K360)</f>
        <v>0</v>
      </c>
      <c r="M360" s="2162">
        <f t="shared" ref="M360:M365" si="224">IF($F$10=$AK$3,MIN(N359+E360+H360+I360+J360-L360,AO360),0)</f>
        <v>0</v>
      </c>
      <c r="N360" s="2162">
        <f t="shared" ref="N360:N365" si="225">IF(N359&lt;0.001,0,+N359-F360-M360-O360)</f>
        <v>0</v>
      </c>
      <c r="O360" s="2163"/>
      <c r="P360" s="1891"/>
      <c r="Q360" s="1891"/>
      <c r="R360" s="1891"/>
      <c r="S360" s="1891"/>
      <c r="T360" s="1891"/>
      <c r="U360" s="1891"/>
      <c r="V360" s="1891"/>
      <c r="W360" s="1891"/>
      <c r="X360" s="1891"/>
      <c r="Y360" s="1891"/>
      <c r="Z360" s="1891"/>
      <c r="AA360" s="1891"/>
      <c r="AB360" s="1891"/>
      <c r="AC360" s="1891"/>
      <c r="AD360" s="1891"/>
      <c r="AE360" s="1891"/>
      <c r="AF360" s="1891"/>
      <c r="AG360" s="1891"/>
      <c r="AH360" s="1891"/>
      <c r="AI360" s="1891"/>
      <c r="AJ360" s="1989">
        <f t="shared" si="198"/>
        <v>7</v>
      </c>
      <c r="AK360" s="1900">
        <f t="shared" si="179"/>
        <v>0</v>
      </c>
      <c r="AN360" s="1901">
        <f t="shared" si="199"/>
        <v>0</v>
      </c>
      <c r="AO360" s="1906">
        <f t="shared" ca="1" si="180"/>
        <v>0</v>
      </c>
      <c r="AT360" s="1891"/>
      <c r="AU360" s="1903">
        <f t="shared" si="181"/>
        <v>0</v>
      </c>
      <c r="AV360" s="1904">
        <f t="shared" si="182"/>
        <v>0</v>
      </c>
      <c r="AW360" s="1904">
        <f t="shared" si="183"/>
        <v>0</v>
      </c>
      <c r="AX360" s="1904"/>
      <c r="AY360" s="1904"/>
      <c r="AZ360" s="1904"/>
      <c r="BA360" s="1904"/>
      <c r="BB360" s="1897">
        <f t="shared" si="184"/>
        <v>0</v>
      </c>
      <c r="BC360" s="1897">
        <f t="shared" si="185"/>
        <v>0</v>
      </c>
      <c r="BD360" s="1898" t="e">
        <f>HLOOKUP($BD$63,anticipaplus,296,0)</f>
        <v>#N/A</v>
      </c>
      <c r="BE360" s="1891"/>
      <c r="BF360" s="1891"/>
      <c r="BG360" s="1965">
        <f t="shared" si="186"/>
        <v>0</v>
      </c>
      <c r="BH360" s="1361">
        <f t="shared" si="187"/>
        <v>295</v>
      </c>
      <c r="BI360" s="1362">
        <f t="shared" si="188"/>
        <v>0</v>
      </c>
      <c r="BJ360" s="1362">
        <f t="shared" si="189"/>
        <v>0</v>
      </c>
      <c r="BK360" s="1362">
        <f t="shared" si="195"/>
        <v>0</v>
      </c>
      <c r="BL360" s="1363">
        <f t="shared" si="190"/>
        <v>1000000</v>
      </c>
      <c r="BM360" s="1891"/>
      <c r="BN360" s="1361" t="str">
        <f t="shared" si="191"/>
        <v/>
      </c>
      <c r="BO360" s="1362">
        <f t="shared" si="192"/>
        <v>0</v>
      </c>
      <c r="BP360" s="1362">
        <f t="shared" si="193"/>
        <v>0</v>
      </c>
      <c r="BQ360" s="1362">
        <f t="shared" si="196"/>
        <v>0</v>
      </c>
      <c r="BR360" s="1363">
        <f t="shared" si="194"/>
        <v>0</v>
      </c>
      <c r="BT360" s="1414"/>
      <c r="CC360" s="1914"/>
      <c r="CD360" s="1914"/>
      <c r="CE360" s="1914"/>
      <c r="CF360" s="1914"/>
      <c r="CG360" s="1914"/>
      <c r="CH360" s="1915"/>
      <c r="CI360" s="1915"/>
      <c r="CJ360" s="1915"/>
      <c r="CK360" s="1915"/>
      <c r="CL360" s="1914"/>
      <c r="CM360" s="1915"/>
      <c r="CN360" s="1915"/>
      <c r="CO360" s="1915"/>
      <c r="CP360" s="1915"/>
      <c r="CQ360" s="1915"/>
      <c r="CR360" s="1914"/>
      <c r="CS360" s="1914"/>
      <c r="CT360" s="1914"/>
      <c r="CU360" s="1914"/>
      <c r="CV360" s="1914"/>
      <c r="CW360" s="1914"/>
      <c r="CX360" s="1914"/>
      <c r="CY360" s="1914"/>
      <c r="CZ360" s="1914"/>
      <c r="DA360" s="1914"/>
      <c r="DB360" s="1914"/>
      <c r="DC360" s="1914"/>
      <c r="DD360" s="1914"/>
      <c r="DE360" s="1914"/>
      <c r="DF360" s="1914"/>
      <c r="DG360" s="1914"/>
      <c r="DH360" s="1914"/>
      <c r="DI360" s="1914"/>
      <c r="DJ360" s="1914"/>
      <c r="DK360" s="1914"/>
      <c r="DL360" s="1914"/>
      <c r="DM360" s="1914"/>
      <c r="DN360" s="1914"/>
      <c r="DO360" s="1914"/>
      <c r="DP360" s="1914"/>
      <c r="DQ360" s="1914"/>
      <c r="DR360" s="1914"/>
      <c r="DS360" s="1914"/>
      <c r="DT360" s="1914"/>
    </row>
    <row r="361" spans="1:124">
      <c r="A361" s="1118">
        <f t="shared" ca="1" si="197"/>
        <v>11</v>
      </c>
      <c r="B361" s="1890">
        <f t="shared" si="213"/>
        <v>0</v>
      </c>
      <c r="C361" s="2160">
        <f t="shared" si="214"/>
        <v>0</v>
      </c>
      <c r="D361" s="2161">
        <f t="shared" si="215"/>
        <v>0</v>
      </c>
      <c r="E361" s="2162">
        <f t="shared" si="216"/>
        <v>0</v>
      </c>
      <c r="F361" s="2162">
        <f t="shared" si="217"/>
        <v>0</v>
      </c>
      <c r="G361" s="2162">
        <f t="shared" si="218"/>
        <v>0</v>
      </c>
      <c r="H361" s="2162">
        <f t="shared" si="219"/>
        <v>0</v>
      </c>
      <c r="I361" s="2162">
        <f t="shared" si="220"/>
        <v>0</v>
      </c>
      <c r="J361" s="2162">
        <f t="shared" si="221"/>
        <v>0</v>
      </c>
      <c r="K361" s="2162">
        <f t="shared" si="222"/>
        <v>0</v>
      </c>
      <c r="L361" s="2162">
        <f t="shared" si="223"/>
        <v>0</v>
      </c>
      <c r="M361" s="2162">
        <f t="shared" si="224"/>
        <v>0</v>
      </c>
      <c r="N361" s="2162">
        <f t="shared" si="225"/>
        <v>0</v>
      </c>
      <c r="O361" s="2163"/>
      <c r="P361" s="1891"/>
      <c r="Q361" s="1891"/>
      <c r="R361" s="1891"/>
      <c r="S361" s="1891"/>
      <c r="T361" s="1891"/>
      <c r="U361" s="1891"/>
      <c r="V361" s="1891"/>
      <c r="W361" s="1891"/>
      <c r="X361" s="1891"/>
      <c r="Y361" s="1891"/>
      <c r="Z361" s="1891"/>
      <c r="AA361" s="1891"/>
      <c r="AB361" s="1891"/>
      <c r="AC361" s="1891"/>
      <c r="AD361" s="1891"/>
      <c r="AE361" s="1891"/>
      <c r="AF361" s="1891"/>
      <c r="AG361" s="1891"/>
      <c r="AH361" s="1891"/>
      <c r="AI361" s="1891"/>
      <c r="AJ361" s="1989">
        <f t="shared" si="198"/>
        <v>8</v>
      </c>
      <c r="AK361" s="1900">
        <f t="shared" si="179"/>
        <v>0</v>
      </c>
      <c r="AN361" s="1901">
        <f t="shared" si="199"/>
        <v>0</v>
      </c>
      <c r="AO361" s="1906">
        <f t="shared" ca="1" si="180"/>
        <v>0</v>
      </c>
      <c r="AT361" s="1891"/>
      <c r="AU361" s="1903">
        <f t="shared" si="181"/>
        <v>0</v>
      </c>
      <c r="AV361" s="1904">
        <f t="shared" si="182"/>
        <v>0</v>
      </c>
      <c r="AW361" s="1904">
        <f t="shared" si="183"/>
        <v>0</v>
      </c>
      <c r="AX361" s="1904"/>
      <c r="AY361" s="1904"/>
      <c r="AZ361" s="1904"/>
      <c r="BA361" s="1904"/>
      <c r="BB361" s="1897">
        <f t="shared" si="184"/>
        <v>0</v>
      </c>
      <c r="BC361" s="1897">
        <f t="shared" si="185"/>
        <v>0</v>
      </c>
      <c r="BD361" s="1898" t="e">
        <f>HLOOKUP($BD$63,anticipaplus,297,0)</f>
        <v>#N/A</v>
      </c>
      <c r="BE361" s="1891"/>
      <c r="BF361" s="1891"/>
      <c r="BG361" s="1965">
        <f t="shared" si="186"/>
        <v>0</v>
      </c>
      <c r="BH361" s="1361">
        <f t="shared" si="187"/>
        <v>296</v>
      </c>
      <c r="BI361" s="1362">
        <f t="shared" si="188"/>
        <v>0</v>
      </c>
      <c r="BJ361" s="1362">
        <f t="shared" si="189"/>
        <v>0</v>
      </c>
      <c r="BK361" s="1362">
        <f t="shared" si="195"/>
        <v>0</v>
      </c>
      <c r="BL361" s="1363">
        <f t="shared" si="190"/>
        <v>1000000</v>
      </c>
      <c r="BM361" s="1891"/>
      <c r="BN361" s="1361" t="str">
        <f t="shared" si="191"/>
        <v/>
      </c>
      <c r="BO361" s="1362">
        <f t="shared" si="192"/>
        <v>0</v>
      </c>
      <c r="BP361" s="1362">
        <f t="shared" si="193"/>
        <v>0</v>
      </c>
      <c r="BQ361" s="1362">
        <f t="shared" si="196"/>
        <v>0</v>
      </c>
      <c r="BR361" s="1363">
        <f t="shared" si="194"/>
        <v>0</v>
      </c>
      <c r="BT361" s="1414"/>
      <c r="CC361" s="1914"/>
      <c r="CD361" s="1914"/>
      <c r="CE361" s="1914"/>
      <c r="CF361" s="1914"/>
      <c r="CG361" s="1914"/>
      <c r="CH361" s="1915"/>
      <c r="CI361" s="1915"/>
      <c r="CJ361" s="1915"/>
      <c r="CK361" s="1915"/>
      <c r="CL361" s="1914"/>
      <c r="CM361" s="1915"/>
      <c r="CN361" s="1915"/>
      <c r="CO361" s="1915"/>
      <c r="CP361" s="1915"/>
      <c r="CQ361" s="1915"/>
      <c r="CR361" s="1914"/>
      <c r="CS361" s="1914"/>
      <c r="CT361" s="1914"/>
      <c r="CU361" s="1914"/>
      <c r="CV361" s="1914"/>
      <c r="CW361" s="1914"/>
      <c r="CX361" s="1914"/>
      <c r="CY361" s="1914"/>
      <c r="CZ361" s="1914"/>
      <c r="DA361" s="1914"/>
      <c r="DB361" s="1914"/>
      <c r="DC361" s="1914"/>
      <c r="DD361" s="1914"/>
      <c r="DE361" s="1914"/>
      <c r="DF361" s="1914"/>
      <c r="DG361" s="1914"/>
      <c r="DH361" s="1914"/>
      <c r="DI361" s="1914"/>
      <c r="DJ361" s="1914"/>
      <c r="DK361" s="1914"/>
      <c r="DL361" s="1914"/>
      <c r="DM361" s="1914"/>
      <c r="DN361" s="1914"/>
      <c r="DO361" s="1914"/>
      <c r="DP361" s="1914"/>
      <c r="DQ361" s="1914"/>
      <c r="DR361" s="1914"/>
      <c r="DS361" s="1914"/>
      <c r="DT361" s="1914"/>
    </row>
    <row r="362" spans="1:124">
      <c r="A362" s="1118">
        <f t="shared" ca="1" si="197"/>
        <v>12</v>
      </c>
      <c r="B362" s="1890">
        <f t="shared" si="213"/>
        <v>0</v>
      </c>
      <c r="C362" s="2160">
        <f t="shared" si="214"/>
        <v>0</v>
      </c>
      <c r="D362" s="2161">
        <f t="shared" si="215"/>
        <v>0</v>
      </c>
      <c r="E362" s="2162">
        <f t="shared" si="216"/>
        <v>0</v>
      </c>
      <c r="F362" s="2162">
        <f t="shared" si="217"/>
        <v>0</v>
      </c>
      <c r="G362" s="2162">
        <f t="shared" si="218"/>
        <v>0</v>
      </c>
      <c r="H362" s="2162">
        <f t="shared" si="219"/>
        <v>0</v>
      </c>
      <c r="I362" s="2162">
        <f t="shared" si="220"/>
        <v>0</v>
      </c>
      <c r="J362" s="2162">
        <f t="shared" si="221"/>
        <v>0</v>
      </c>
      <c r="K362" s="2162">
        <f t="shared" si="222"/>
        <v>0</v>
      </c>
      <c r="L362" s="2162">
        <f t="shared" si="223"/>
        <v>0</v>
      </c>
      <c r="M362" s="2162">
        <f t="shared" si="224"/>
        <v>0</v>
      </c>
      <c r="N362" s="2162">
        <f t="shared" si="225"/>
        <v>0</v>
      </c>
      <c r="O362" s="2163"/>
      <c r="P362" s="1891"/>
      <c r="Q362" s="1891"/>
      <c r="R362" s="1891"/>
      <c r="S362" s="1891"/>
      <c r="T362" s="1891"/>
      <c r="U362" s="1891"/>
      <c r="V362" s="1891"/>
      <c r="W362" s="1891"/>
      <c r="X362" s="1891"/>
      <c r="Y362" s="1891"/>
      <c r="Z362" s="1891"/>
      <c r="AA362" s="1891"/>
      <c r="AB362" s="1891"/>
      <c r="AC362" s="1891"/>
      <c r="AD362" s="1891"/>
      <c r="AE362" s="1891"/>
      <c r="AF362" s="1891"/>
      <c r="AG362" s="1891"/>
      <c r="AH362" s="1891"/>
      <c r="AI362" s="1891"/>
      <c r="AJ362" s="1989">
        <f t="shared" si="198"/>
        <v>9</v>
      </c>
      <c r="AK362" s="1900">
        <f t="shared" si="179"/>
        <v>0</v>
      </c>
      <c r="AN362" s="1901">
        <f t="shared" si="199"/>
        <v>0</v>
      </c>
      <c r="AO362" s="1906">
        <f t="shared" ca="1" si="180"/>
        <v>0</v>
      </c>
      <c r="AT362" s="1891"/>
      <c r="AU362" s="1903">
        <f t="shared" si="181"/>
        <v>0</v>
      </c>
      <c r="AV362" s="1904">
        <f t="shared" si="182"/>
        <v>0</v>
      </c>
      <c r="AW362" s="1904">
        <f t="shared" si="183"/>
        <v>0</v>
      </c>
      <c r="AX362" s="1904"/>
      <c r="AY362" s="1904"/>
      <c r="AZ362" s="1904"/>
      <c r="BA362" s="1904"/>
      <c r="BB362" s="1897">
        <f t="shared" si="184"/>
        <v>0</v>
      </c>
      <c r="BC362" s="1897">
        <f t="shared" si="185"/>
        <v>0</v>
      </c>
      <c r="BD362" s="1898" t="e">
        <f>HLOOKUP($BD$63,anticipaplus,298,0)</f>
        <v>#N/A</v>
      </c>
      <c r="BE362" s="1891"/>
      <c r="BF362" s="1891"/>
      <c r="BG362" s="1965">
        <f t="shared" si="186"/>
        <v>0</v>
      </c>
      <c r="BH362" s="1361">
        <f t="shared" si="187"/>
        <v>297</v>
      </c>
      <c r="BI362" s="1362">
        <f t="shared" si="188"/>
        <v>0</v>
      </c>
      <c r="BJ362" s="1362">
        <f t="shared" si="189"/>
        <v>0</v>
      </c>
      <c r="BK362" s="1362">
        <f t="shared" si="195"/>
        <v>0</v>
      </c>
      <c r="BL362" s="1363">
        <f t="shared" si="190"/>
        <v>1000000</v>
      </c>
      <c r="BM362" s="1891"/>
      <c r="BN362" s="1361" t="str">
        <f t="shared" si="191"/>
        <v/>
      </c>
      <c r="BO362" s="1362">
        <f t="shared" si="192"/>
        <v>0</v>
      </c>
      <c r="BP362" s="1362">
        <f t="shared" si="193"/>
        <v>0</v>
      </c>
      <c r="BQ362" s="1362">
        <f t="shared" si="196"/>
        <v>0</v>
      </c>
      <c r="BR362" s="1363">
        <f t="shared" si="194"/>
        <v>0</v>
      </c>
      <c r="BT362" s="1414"/>
      <c r="CC362" s="1914"/>
      <c r="CD362" s="1914"/>
      <c r="CE362" s="1914"/>
      <c r="CF362" s="1914"/>
      <c r="CG362" s="1914"/>
      <c r="CH362" s="1915"/>
      <c r="CI362" s="1915"/>
      <c r="CJ362" s="1915"/>
      <c r="CK362" s="1915"/>
      <c r="CL362" s="1914"/>
      <c r="CM362" s="1915"/>
      <c r="CN362" s="1915"/>
      <c r="CO362" s="1915"/>
      <c r="CP362" s="1915"/>
      <c r="CQ362" s="1915"/>
      <c r="CR362" s="1914"/>
      <c r="CS362" s="1914"/>
      <c r="CT362" s="1914"/>
      <c r="CU362" s="1914"/>
      <c r="CV362" s="1914"/>
      <c r="CW362" s="1914"/>
      <c r="CX362" s="1914"/>
      <c r="CY362" s="1914"/>
      <c r="CZ362" s="1914"/>
      <c r="DA362" s="1914"/>
      <c r="DB362" s="1914"/>
      <c r="DC362" s="1914"/>
      <c r="DD362" s="1914"/>
      <c r="DE362" s="1914"/>
      <c r="DF362" s="1914"/>
      <c r="DG362" s="1914"/>
      <c r="DH362" s="1914"/>
      <c r="DI362" s="1914"/>
      <c r="DJ362" s="1914"/>
      <c r="DK362" s="1914"/>
      <c r="DL362" s="1914"/>
      <c r="DM362" s="1914"/>
      <c r="DN362" s="1914"/>
      <c r="DO362" s="1914"/>
      <c r="DP362" s="1914"/>
      <c r="DQ362" s="1914"/>
      <c r="DR362" s="1914"/>
      <c r="DS362" s="1914"/>
      <c r="DT362" s="1914"/>
    </row>
    <row r="363" spans="1:124">
      <c r="A363" s="1118">
        <f t="shared" ca="1" si="197"/>
        <v>1</v>
      </c>
      <c r="B363" s="1890">
        <f t="shared" si="213"/>
        <v>0</v>
      </c>
      <c r="C363" s="2160">
        <f t="shared" si="214"/>
        <v>0</v>
      </c>
      <c r="D363" s="2161">
        <f t="shared" si="215"/>
        <v>0</v>
      </c>
      <c r="E363" s="2162">
        <f t="shared" si="216"/>
        <v>0</v>
      </c>
      <c r="F363" s="2162">
        <f t="shared" si="217"/>
        <v>0</v>
      </c>
      <c r="G363" s="2162">
        <f t="shared" si="218"/>
        <v>0</v>
      </c>
      <c r="H363" s="2162">
        <f t="shared" si="219"/>
        <v>0</v>
      </c>
      <c r="I363" s="2162">
        <f t="shared" si="220"/>
        <v>0</v>
      </c>
      <c r="J363" s="2162">
        <f t="shared" si="221"/>
        <v>0</v>
      </c>
      <c r="K363" s="2162">
        <f t="shared" si="222"/>
        <v>0</v>
      </c>
      <c r="L363" s="2162">
        <f t="shared" si="223"/>
        <v>0</v>
      </c>
      <c r="M363" s="2162">
        <f t="shared" si="224"/>
        <v>0</v>
      </c>
      <c r="N363" s="2162">
        <f t="shared" si="225"/>
        <v>0</v>
      </c>
      <c r="O363" s="2163"/>
      <c r="P363" s="1891"/>
      <c r="Q363" s="1891"/>
      <c r="R363" s="1891"/>
      <c r="S363" s="1891"/>
      <c r="T363" s="1891"/>
      <c r="U363" s="1891"/>
      <c r="V363" s="1891"/>
      <c r="W363" s="1891"/>
      <c r="X363" s="1891"/>
      <c r="Y363" s="1891"/>
      <c r="Z363" s="1891"/>
      <c r="AA363" s="1891"/>
      <c r="AB363" s="1891"/>
      <c r="AC363" s="1891"/>
      <c r="AD363" s="1891"/>
      <c r="AE363" s="1891"/>
      <c r="AF363" s="1891"/>
      <c r="AG363" s="1891"/>
      <c r="AH363" s="1891"/>
      <c r="AI363" s="1891"/>
      <c r="AJ363" s="1989">
        <f t="shared" si="198"/>
        <v>10</v>
      </c>
      <c r="AK363" s="1900">
        <f t="shared" si="179"/>
        <v>0</v>
      </c>
      <c r="AN363" s="1901">
        <f t="shared" si="199"/>
        <v>0</v>
      </c>
      <c r="AO363" s="1906">
        <f t="shared" ca="1" si="180"/>
        <v>0</v>
      </c>
      <c r="AT363" s="1891"/>
      <c r="AU363" s="1903">
        <f t="shared" si="181"/>
        <v>0</v>
      </c>
      <c r="AV363" s="1904">
        <f t="shared" si="182"/>
        <v>0</v>
      </c>
      <c r="AW363" s="1904">
        <f t="shared" si="183"/>
        <v>0</v>
      </c>
      <c r="AX363" s="1904"/>
      <c r="AY363" s="1904"/>
      <c r="AZ363" s="1904"/>
      <c r="BA363" s="1904"/>
      <c r="BB363" s="1897">
        <f t="shared" si="184"/>
        <v>0</v>
      </c>
      <c r="BC363" s="1897">
        <f t="shared" si="185"/>
        <v>0</v>
      </c>
      <c r="BD363" s="1898" t="e">
        <f>HLOOKUP($BD$63,anticipaplus,299,0)</f>
        <v>#N/A</v>
      </c>
      <c r="BE363" s="1891"/>
      <c r="BF363" s="1891"/>
      <c r="BG363" s="1965">
        <f t="shared" si="186"/>
        <v>0</v>
      </c>
      <c r="BH363" s="1361">
        <f t="shared" si="187"/>
        <v>298</v>
      </c>
      <c r="BI363" s="1362">
        <f t="shared" si="188"/>
        <v>0</v>
      </c>
      <c r="BJ363" s="1362">
        <f t="shared" si="189"/>
        <v>0</v>
      </c>
      <c r="BK363" s="1362">
        <f t="shared" si="195"/>
        <v>0</v>
      </c>
      <c r="BL363" s="1363">
        <f t="shared" si="190"/>
        <v>1000000</v>
      </c>
      <c r="BM363" s="1891"/>
      <c r="BN363" s="1361" t="str">
        <f t="shared" si="191"/>
        <v/>
      </c>
      <c r="BO363" s="1362">
        <f t="shared" si="192"/>
        <v>0</v>
      </c>
      <c r="BP363" s="1362">
        <f t="shared" si="193"/>
        <v>0</v>
      </c>
      <c r="BQ363" s="1362">
        <f t="shared" si="196"/>
        <v>0</v>
      </c>
      <c r="BR363" s="1363">
        <f t="shared" si="194"/>
        <v>0</v>
      </c>
      <c r="BT363" s="1414"/>
      <c r="CC363" s="1914"/>
      <c r="CD363" s="1914"/>
      <c r="CE363" s="1914"/>
      <c r="CF363" s="1914"/>
      <c r="CG363" s="1914"/>
      <c r="CH363" s="1915"/>
      <c r="CI363" s="1915"/>
      <c r="CJ363" s="1915"/>
      <c r="CK363" s="1915"/>
      <c r="CL363" s="1914"/>
      <c r="CM363" s="1915"/>
      <c r="CN363" s="1915"/>
      <c r="CO363" s="1915"/>
      <c r="CP363" s="1915"/>
      <c r="CQ363" s="1915"/>
      <c r="CR363" s="1914"/>
      <c r="CS363" s="1914"/>
      <c r="CT363" s="1914"/>
      <c r="CU363" s="1914"/>
      <c r="CV363" s="1914"/>
      <c r="CW363" s="1914"/>
      <c r="CX363" s="1914"/>
      <c r="CY363" s="1914"/>
      <c r="CZ363" s="1914"/>
      <c r="DA363" s="1914"/>
      <c r="DB363" s="1914"/>
      <c r="DC363" s="1914"/>
      <c r="DD363" s="1914"/>
      <c r="DE363" s="1914"/>
      <c r="DF363" s="1914"/>
      <c r="DG363" s="1914"/>
      <c r="DH363" s="1914"/>
      <c r="DI363" s="1914"/>
      <c r="DJ363" s="1914"/>
      <c r="DK363" s="1914"/>
      <c r="DL363" s="1914"/>
      <c r="DM363" s="1914"/>
      <c r="DN363" s="1914"/>
      <c r="DO363" s="1914"/>
      <c r="DP363" s="1914"/>
      <c r="DQ363" s="1914"/>
      <c r="DR363" s="1914"/>
      <c r="DS363" s="1914"/>
      <c r="DT363" s="1914"/>
    </row>
    <row r="364" spans="1:124">
      <c r="A364" s="1118">
        <f t="shared" ca="1" si="197"/>
        <v>2</v>
      </c>
      <c r="B364" s="1890">
        <f t="shared" si="213"/>
        <v>0</v>
      </c>
      <c r="C364" s="2160">
        <f t="shared" si="214"/>
        <v>0</v>
      </c>
      <c r="D364" s="2161">
        <f t="shared" si="215"/>
        <v>0</v>
      </c>
      <c r="E364" s="2162">
        <f t="shared" si="216"/>
        <v>0</v>
      </c>
      <c r="F364" s="2162">
        <f t="shared" si="217"/>
        <v>0</v>
      </c>
      <c r="G364" s="2162">
        <f t="shared" si="218"/>
        <v>0</v>
      </c>
      <c r="H364" s="2162">
        <f t="shared" si="219"/>
        <v>0</v>
      </c>
      <c r="I364" s="2162">
        <f t="shared" si="220"/>
        <v>0</v>
      </c>
      <c r="J364" s="2162">
        <f t="shared" si="221"/>
        <v>0</v>
      </c>
      <c r="K364" s="2162">
        <f t="shared" si="222"/>
        <v>0</v>
      </c>
      <c r="L364" s="2162">
        <f t="shared" si="223"/>
        <v>0</v>
      </c>
      <c r="M364" s="2162">
        <f t="shared" si="224"/>
        <v>0</v>
      </c>
      <c r="N364" s="2162">
        <f t="shared" si="225"/>
        <v>0</v>
      </c>
      <c r="O364" s="2163"/>
      <c r="P364" s="1891"/>
      <c r="Q364" s="1891"/>
      <c r="R364" s="1891"/>
      <c r="S364" s="1891"/>
      <c r="T364" s="1891"/>
      <c r="U364" s="1891"/>
      <c r="V364" s="1891"/>
      <c r="W364" s="1891"/>
      <c r="X364" s="1891"/>
      <c r="Y364" s="1891"/>
      <c r="Z364" s="1891"/>
      <c r="AA364" s="1891"/>
      <c r="AB364" s="1891"/>
      <c r="AC364" s="1891"/>
      <c r="AD364" s="1891"/>
      <c r="AE364" s="1891"/>
      <c r="AF364" s="1891"/>
      <c r="AG364" s="1891"/>
      <c r="AH364" s="1891"/>
      <c r="AI364" s="1891"/>
      <c r="AJ364" s="1989">
        <f t="shared" si="198"/>
        <v>11</v>
      </c>
      <c r="AK364" s="1900">
        <f t="shared" si="179"/>
        <v>0</v>
      </c>
      <c r="AN364" s="1901">
        <f t="shared" si="199"/>
        <v>0</v>
      </c>
      <c r="AO364" s="1906">
        <f t="shared" ca="1" si="180"/>
        <v>0</v>
      </c>
      <c r="AT364" s="1891"/>
      <c r="AU364" s="1903">
        <f t="shared" si="181"/>
        <v>0</v>
      </c>
      <c r="AV364" s="1904">
        <f t="shared" si="182"/>
        <v>0</v>
      </c>
      <c r="AW364" s="1904">
        <f t="shared" si="183"/>
        <v>0</v>
      </c>
      <c r="AX364" s="1904"/>
      <c r="AY364" s="1904"/>
      <c r="AZ364" s="1904"/>
      <c r="BA364" s="1904"/>
      <c r="BB364" s="1897">
        <f t="shared" si="184"/>
        <v>0</v>
      </c>
      <c r="BC364" s="1897">
        <f t="shared" si="185"/>
        <v>0</v>
      </c>
      <c r="BD364" s="1898" t="e">
        <f>HLOOKUP($BD$63,anticipaplus,300,0)</f>
        <v>#N/A</v>
      </c>
      <c r="BE364" s="1891"/>
      <c r="BF364" s="1891"/>
      <c r="BG364" s="1965">
        <f t="shared" si="186"/>
        <v>0</v>
      </c>
      <c r="BH364" s="1361">
        <f t="shared" si="187"/>
        <v>299</v>
      </c>
      <c r="BI364" s="1362">
        <f t="shared" si="188"/>
        <v>0</v>
      </c>
      <c r="BJ364" s="1362">
        <f t="shared" si="189"/>
        <v>0</v>
      </c>
      <c r="BK364" s="1362">
        <f t="shared" si="195"/>
        <v>0</v>
      </c>
      <c r="BL364" s="1363">
        <f t="shared" si="190"/>
        <v>1000000</v>
      </c>
      <c r="BM364" s="1891"/>
      <c r="BN364" s="1361" t="str">
        <f t="shared" si="191"/>
        <v/>
      </c>
      <c r="BO364" s="1362">
        <f t="shared" si="192"/>
        <v>0</v>
      </c>
      <c r="BP364" s="1362">
        <f t="shared" si="193"/>
        <v>0</v>
      </c>
      <c r="BQ364" s="1362">
        <f t="shared" si="196"/>
        <v>0</v>
      </c>
      <c r="BR364" s="1363">
        <f t="shared" si="194"/>
        <v>0</v>
      </c>
      <c r="BT364" s="1414"/>
      <c r="CC364" s="1914"/>
      <c r="CD364" s="1914"/>
      <c r="CE364" s="1914"/>
      <c r="CF364" s="1914"/>
      <c r="CG364" s="1914"/>
      <c r="CH364" s="1915"/>
      <c r="CI364" s="1915"/>
      <c r="CJ364" s="1915"/>
      <c r="CK364" s="1915"/>
      <c r="CL364" s="1914"/>
      <c r="CM364" s="1915"/>
      <c r="CN364" s="1915"/>
      <c r="CO364" s="1915"/>
      <c r="CP364" s="1915"/>
      <c r="CQ364" s="1915"/>
      <c r="CR364" s="1914"/>
      <c r="CS364" s="1914"/>
      <c r="CT364" s="1914"/>
      <c r="CU364" s="1914"/>
      <c r="CV364" s="1914"/>
      <c r="CW364" s="1914"/>
      <c r="CX364" s="1914"/>
      <c r="CY364" s="1914"/>
      <c r="CZ364" s="1914"/>
      <c r="DA364" s="1914"/>
      <c r="DB364" s="1914"/>
      <c r="DC364" s="1914"/>
      <c r="DD364" s="1914"/>
      <c r="DE364" s="1914"/>
      <c r="DF364" s="1914"/>
      <c r="DG364" s="1914"/>
      <c r="DH364" s="1914"/>
      <c r="DI364" s="1914"/>
      <c r="DJ364" s="1914"/>
      <c r="DK364" s="1914"/>
      <c r="DL364" s="1914"/>
      <c r="DM364" s="1914"/>
      <c r="DN364" s="1914"/>
      <c r="DO364" s="1914"/>
      <c r="DP364" s="1914"/>
      <c r="DQ364" s="1914"/>
      <c r="DR364" s="1914"/>
      <c r="DS364" s="1914"/>
      <c r="DT364" s="1914"/>
    </row>
    <row r="365" spans="1:124">
      <c r="A365" s="1118">
        <f t="shared" ca="1" si="197"/>
        <v>3</v>
      </c>
      <c r="B365" s="1890">
        <f t="shared" si="213"/>
        <v>0</v>
      </c>
      <c r="C365" s="2160">
        <f t="shared" si="214"/>
        <v>0</v>
      </c>
      <c r="D365" s="2161">
        <f t="shared" si="215"/>
        <v>0</v>
      </c>
      <c r="E365" s="2162">
        <f t="shared" si="216"/>
        <v>0</v>
      </c>
      <c r="F365" s="2162">
        <f t="shared" si="217"/>
        <v>0</v>
      </c>
      <c r="G365" s="2162">
        <f t="shared" si="218"/>
        <v>0</v>
      </c>
      <c r="H365" s="2162">
        <f t="shared" si="219"/>
        <v>0</v>
      </c>
      <c r="I365" s="2162">
        <f t="shared" si="220"/>
        <v>0</v>
      </c>
      <c r="J365" s="2162">
        <f t="shared" si="221"/>
        <v>0</v>
      </c>
      <c r="K365" s="2162">
        <f t="shared" si="222"/>
        <v>0</v>
      </c>
      <c r="L365" s="2162">
        <f t="shared" si="223"/>
        <v>0</v>
      </c>
      <c r="M365" s="2162">
        <f t="shared" si="224"/>
        <v>0</v>
      </c>
      <c r="N365" s="2162">
        <f t="shared" si="225"/>
        <v>0</v>
      </c>
      <c r="O365" s="2163"/>
      <c r="P365" s="1891"/>
      <c r="Q365" s="1891"/>
      <c r="R365" s="1891"/>
      <c r="S365" s="1891"/>
      <c r="T365" s="1891"/>
      <c r="U365" s="1891"/>
      <c r="V365" s="1891"/>
      <c r="W365" s="1891"/>
      <c r="X365" s="1891"/>
      <c r="Y365" s="1891"/>
      <c r="Z365" s="1891"/>
      <c r="AA365" s="1891"/>
      <c r="AB365" s="1891"/>
      <c r="AC365" s="1891"/>
      <c r="AD365" s="1891"/>
      <c r="AE365" s="1891"/>
      <c r="AF365" s="1891"/>
      <c r="AG365" s="1891"/>
      <c r="AH365" s="1891"/>
      <c r="AI365" s="1891"/>
      <c r="AJ365" s="1990">
        <f t="shared" si="198"/>
        <v>12</v>
      </c>
      <c r="AK365" s="1991">
        <f t="shared" si="179"/>
        <v>0</v>
      </c>
      <c r="AN365" s="1901">
        <f t="shared" si="199"/>
        <v>0</v>
      </c>
      <c r="AO365" s="1906">
        <f t="shared" ca="1" si="180"/>
        <v>0</v>
      </c>
      <c r="AT365" s="1891"/>
      <c r="AU365" s="1903">
        <f t="shared" si="181"/>
        <v>0</v>
      </c>
      <c r="AV365" s="1904">
        <f t="shared" si="182"/>
        <v>0</v>
      </c>
      <c r="AW365" s="1904">
        <f t="shared" si="183"/>
        <v>0</v>
      </c>
      <c r="AX365" s="1904"/>
      <c r="AY365" s="1904"/>
      <c r="AZ365" s="1904"/>
      <c r="BA365" s="1904"/>
      <c r="BB365" s="1897">
        <f t="shared" si="184"/>
        <v>0</v>
      </c>
      <c r="BC365" s="1897">
        <f t="shared" si="185"/>
        <v>0</v>
      </c>
      <c r="BD365" s="1898" t="e">
        <f>HLOOKUP($BD$63,anticipaplus,301,0)</f>
        <v>#N/A</v>
      </c>
      <c r="BE365" s="1891"/>
      <c r="BF365" s="1891"/>
      <c r="BG365" s="1965">
        <f t="shared" si="186"/>
        <v>0</v>
      </c>
      <c r="BH365" s="1361">
        <f t="shared" si="187"/>
        <v>300</v>
      </c>
      <c r="BI365" s="1362">
        <f t="shared" si="188"/>
        <v>0</v>
      </c>
      <c r="BJ365" s="1362">
        <f t="shared" si="189"/>
        <v>0</v>
      </c>
      <c r="BK365" s="1362">
        <f t="shared" si="195"/>
        <v>0</v>
      </c>
      <c r="BL365" s="1363">
        <f t="shared" si="190"/>
        <v>1000000</v>
      </c>
      <c r="BM365" s="1891"/>
      <c r="BN365" s="1361" t="str">
        <f t="shared" si="191"/>
        <v/>
      </c>
      <c r="BO365" s="1362">
        <f t="shared" si="192"/>
        <v>0</v>
      </c>
      <c r="BP365" s="1362">
        <f t="shared" si="193"/>
        <v>0</v>
      </c>
      <c r="BQ365" s="1362">
        <f t="shared" si="196"/>
        <v>0</v>
      </c>
      <c r="BR365" s="1363">
        <f t="shared" si="194"/>
        <v>0</v>
      </c>
      <c r="BT365" s="1414"/>
      <c r="CC365" s="1914"/>
      <c r="CD365" s="1914"/>
      <c r="CE365" s="1914"/>
      <c r="CF365" s="1914"/>
      <c r="CG365" s="1914"/>
      <c r="CH365" s="1915"/>
      <c r="CI365" s="1915"/>
      <c r="CJ365" s="1915"/>
      <c r="CK365" s="1915"/>
      <c r="CL365" s="1914"/>
      <c r="CM365" s="1915"/>
      <c r="CN365" s="1915"/>
      <c r="CO365" s="1915"/>
      <c r="CP365" s="1915"/>
      <c r="CQ365" s="1915"/>
      <c r="CR365" s="1914"/>
      <c r="CS365" s="1914"/>
      <c r="CT365" s="1914"/>
      <c r="CU365" s="1914"/>
      <c r="CV365" s="1914"/>
      <c r="CW365" s="1914"/>
      <c r="CX365" s="1914"/>
      <c r="CY365" s="1914"/>
      <c r="CZ365" s="1914"/>
      <c r="DA365" s="1914"/>
      <c r="DB365" s="1914"/>
      <c r="DC365" s="1914"/>
      <c r="DD365" s="1914"/>
      <c r="DE365" s="1914"/>
      <c r="DF365" s="1914"/>
      <c r="DG365" s="1914"/>
      <c r="DH365" s="1914"/>
      <c r="DI365" s="1914"/>
      <c r="DJ365" s="1914"/>
      <c r="DK365" s="1914"/>
      <c r="DL365" s="1914"/>
      <c r="DM365" s="1914"/>
      <c r="DN365" s="1914"/>
      <c r="DO365" s="1914"/>
      <c r="DP365" s="1914"/>
      <c r="DQ365" s="1914"/>
      <c r="DR365" s="1914"/>
      <c r="DS365" s="1914"/>
      <c r="DT365" s="1914"/>
    </row>
    <row r="366" spans="1:124">
      <c r="C366" s="1118"/>
      <c r="D366" s="1118"/>
      <c r="E366" s="1692"/>
      <c r="F366" s="1394"/>
      <c r="G366" s="1692"/>
      <c r="H366" s="1692"/>
      <c r="I366" s="1692"/>
      <c r="J366" s="1692"/>
      <c r="K366" s="1692"/>
      <c r="L366" s="1692"/>
      <c r="M366" s="1692"/>
      <c r="N366" s="1692"/>
      <c r="O366" s="1692"/>
      <c r="P366" s="1891"/>
      <c r="Q366" s="1891"/>
      <c r="R366" s="1891"/>
      <c r="S366" s="1891"/>
      <c r="T366" s="1891"/>
      <c r="U366" s="1891"/>
      <c r="V366" s="1891"/>
      <c r="W366" s="1891"/>
      <c r="X366" s="1891"/>
      <c r="Y366" s="1891"/>
      <c r="Z366" s="1891"/>
      <c r="AA366" s="1891"/>
      <c r="AB366" s="1891"/>
      <c r="AC366" s="1891"/>
      <c r="AD366" s="1891"/>
      <c r="AE366" s="1891"/>
      <c r="AF366" s="1891"/>
      <c r="AG366" s="1891"/>
      <c r="AH366" s="1891"/>
      <c r="AI366" s="1891"/>
      <c r="AT366" s="1891"/>
      <c r="AU366" s="1891"/>
      <c r="AV366" s="1891"/>
      <c r="AW366" s="1904"/>
      <c r="AX366" s="1904"/>
      <c r="AY366" s="1904"/>
      <c r="AZ366" s="1904"/>
      <c r="BA366" s="1904"/>
      <c r="BB366" s="1891"/>
      <c r="BC366" s="1891"/>
      <c r="BE366" s="1891"/>
      <c r="BF366" s="1891"/>
      <c r="BH366" s="1101"/>
      <c r="BI366" s="1992"/>
      <c r="BJ366" s="1992"/>
      <c r="BK366" s="1992"/>
      <c r="BL366" s="1992"/>
      <c r="BM366" s="1891"/>
      <c r="BN366" s="1101"/>
      <c r="BO366" s="1992"/>
      <c r="BP366" s="1992"/>
      <c r="BQ366" s="1992"/>
      <c r="BR366" s="1992"/>
      <c r="CC366" s="1914"/>
      <c r="CD366" s="1914"/>
      <c r="CE366" s="1914"/>
      <c r="CF366" s="1914"/>
      <c r="CG366" s="1914"/>
      <c r="CH366" s="1915"/>
      <c r="CI366" s="1915"/>
      <c r="CJ366" s="1915"/>
      <c r="CK366" s="1915"/>
      <c r="CL366" s="1914"/>
      <c r="CM366" s="1915"/>
      <c r="CN366" s="1915"/>
      <c r="CO366" s="1915"/>
      <c r="CP366" s="1915"/>
      <c r="CQ366" s="1915"/>
      <c r="CR366" s="1914"/>
      <c r="CS366" s="1914"/>
      <c r="CT366" s="1914"/>
      <c r="CU366" s="1914"/>
      <c r="CV366" s="1914"/>
      <c r="CW366" s="1914"/>
      <c r="CX366" s="1914"/>
      <c r="CY366" s="1914"/>
      <c r="CZ366" s="1914"/>
      <c r="DA366" s="1914"/>
      <c r="DB366" s="1914"/>
      <c r="DC366" s="1914"/>
      <c r="DD366" s="1914"/>
      <c r="DE366" s="1914"/>
      <c r="DF366" s="1914"/>
      <c r="DG366" s="1914"/>
      <c r="DH366" s="1914"/>
      <c r="DI366" s="1914"/>
      <c r="DJ366" s="1914"/>
      <c r="DK366" s="1914"/>
      <c r="DL366" s="1914"/>
      <c r="DM366" s="1914"/>
      <c r="DN366" s="1914"/>
      <c r="DO366" s="1914"/>
      <c r="DP366" s="1914"/>
      <c r="DQ366" s="1914"/>
      <c r="DR366" s="1914"/>
      <c r="DS366" s="1914"/>
      <c r="DT366" s="1914"/>
    </row>
    <row r="367" spans="1:124">
      <c r="C367" s="1916" t="s">
        <v>466</v>
      </c>
      <c r="D367" s="1916"/>
      <c r="E367" s="1917">
        <f>SUM(E66:E305)</f>
        <v>0</v>
      </c>
      <c r="F367" s="1917">
        <f>SUM(F66:F305)</f>
        <v>0</v>
      </c>
      <c r="G367" s="1917">
        <f t="shared" ref="G367:O367" si="226">SUM(G66:G305)</f>
        <v>0</v>
      </c>
      <c r="H367" s="1917">
        <f t="shared" si="226"/>
        <v>0</v>
      </c>
      <c r="I367" s="1917">
        <f t="shared" si="226"/>
        <v>0</v>
      </c>
      <c r="J367" s="1917">
        <f t="shared" si="226"/>
        <v>0</v>
      </c>
      <c r="K367" s="1917">
        <f t="shared" si="226"/>
        <v>0</v>
      </c>
      <c r="L367" s="1917">
        <f t="shared" si="226"/>
        <v>0</v>
      </c>
      <c r="M367" s="1917">
        <f t="shared" si="226"/>
        <v>0</v>
      </c>
      <c r="N367" s="1917"/>
      <c r="O367" s="1917">
        <f t="shared" si="226"/>
        <v>0</v>
      </c>
      <c r="P367" s="1918">
        <v>0</v>
      </c>
      <c r="Q367" s="1918"/>
      <c r="R367" s="1918"/>
      <c r="S367" s="1918"/>
      <c r="T367" s="1918"/>
      <c r="U367" s="1918"/>
      <c r="V367" s="1918"/>
      <c r="W367" s="1918"/>
      <c r="X367" s="1918"/>
      <c r="Y367" s="1918"/>
      <c r="Z367" s="1918"/>
      <c r="AA367" s="1918"/>
      <c r="AB367" s="1918"/>
      <c r="AC367" s="1918"/>
      <c r="AD367" s="1918"/>
      <c r="AE367" s="1918"/>
      <c r="AF367" s="1918"/>
      <c r="AG367" s="1918"/>
      <c r="AH367" s="1918"/>
      <c r="AI367" s="1918"/>
      <c r="AN367" s="1891"/>
      <c r="AO367" s="1891"/>
      <c r="AT367" s="1891"/>
      <c r="AU367" s="1891"/>
      <c r="AV367" s="1891"/>
      <c r="AW367" s="1891"/>
      <c r="AX367" s="1891"/>
      <c r="AY367" s="1891"/>
      <c r="AZ367" s="1891"/>
      <c r="BA367" s="1891"/>
      <c r="BB367" s="1891"/>
      <c r="BC367" s="1891"/>
      <c r="BD367" s="1891"/>
      <c r="BE367" s="1891"/>
      <c r="BF367" s="1891"/>
      <c r="BM367" s="1891"/>
      <c r="BT367" s="1414"/>
      <c r="CC367" s="1914"/>
      <c r="CD367" s="1914"/>
      <c r="CE367" s="1914"/>
      <c r="CF367" s="1914"/>
      <c r="CG367" s="1914"/>
      <c r="CH367" s="1915"/>
      <c r="CI367" s="1915"/>
      <c r="CJ367" s="1915"/>
      <c r="CK367" s="1915"/>
      <c r="CL367" s="1914"/>
      <c r="CM367" s="1915"/>
      <c r="CN367" s="1915"/>
      <c r="CO367" s="1915"/>
      <c r="CP367" s="1915"/>
      <c r="CQ367" s="1915"/>
      <c r="CR367" s="1914"/>
      <c r="CS367" s="1914"/>
      <c r="CT367" s="1914"/>
      <c r="CU367" s="1914"/>
      <c r="CV367" s="1914"/>
      <c r="CW367" s="1914"/>
      <c r="CX367" s="1914"/>
      <c r="CY367" s="1914"/>
      <c r="CZ367" s="1914"/>
      <c r="DA367" s="1914"/>
      <c r="DB367" s="1914"/>
      <c r="DC367" s="1914"/>
      <c r="DD367" s="1914"/>
      <c r="DE367" s="1914"/>
      <c r="DF367" s="1914"/>
      <c r="DG367" s="1914"/>
      <c r="DH367" s="1914"/>
      <c r="DI367" s="1914"/>
      <c r="DJ367" s="1914"/>
      <c r="DK367" s="1914"/>
      <c r="DL367" s="1914"/>
      <c r="DM367" s="1914"/>
      <c r="DN367" s="1914"/>
      <c r="DO367" s="1914"/>
      <c r="DP367" s="1914"/>
      <c r="DQ367" s="1914"/>
      <c r="DR367" s="1914"/>
      <c r="DS367" s="1914"/>
      <c r="DT367" s="1914"/>
    </row>
    <row r="368" spans="1:124">
      <c r="C368" s="1135" t="s">
        <v>467</v>
      </c>
      <c r="D368" s="1135"/>
      <c r="E368" s="1119"/>
      <c r="F368" s="1374"/>
      <c r="G368" s="1374"/>
      <c r="H368" s="1374"/>
      <c r="I368" s="1374"/>
      <c r="J368" s="1374"/>
      <c r="K368" s="1374"/>
      <c r="L368" s="1374"/>
      <c r="M368" s="1374"/>
      <c r="N368" s="1401"/>
      <c r="O368" s="1119"/>
      <c r="P368" s="1891"/>
      <c r="Q368" s="1891"/>
      <c r="R368" s="1891"/>
      <c r="S368" s="1891"/>
      <c r="T368" s="1891"/>
      <c r="U368" s="1891"/>
      <c r="V368" s="1891"/>
      <c r="W368" s="1891"/>
      <c r="X368" s="1891"/>
      <c r="Y368" s="1891"/>
      <c r="Z368" s="1891"/>
      <c r="AA368" s="1891"/>
      <c r="AB368" s="1891"/>
      <c r="AC368" s="1891"/>
      <c r="AD368" s="1891"/>
      <c r="AE368" s="1891"/>
      <c r="AF368" s="1891"/>
      <c r="AG368" s="1891"/>
      <c r="AH368" s="1891"/>
      <c r="AI368" s="1891"/>
      <c r="AN368" s="1891"/>
      <c r="AO368" s="1891"/>
      <c r="AT368" s="1891"/>
      <c r="AU368" s="1891"/>
      <c r="AV368" s="1891"/>
      <c r="AW368" s="1891"/>
      <c r="AX368" s="1891"/>
      <c r="AY368" s="1891"/>
      <c r="AZ368" s="1891"/>
      <c r="BA368" s="1891"/>
      <c r="BB368" s="1891"/>
      <c r="BC368" s="1891"/>
      <c r="BD368" s="1891"/>
      <c r="BE368" s="1891"/>
      <c r="BF368" s="1891"/>
      <c r="BM368" s="1891"/>
      <c r="BT368" s="1414"/>
      <c r="CC368" s="1914"/>
      <c r="CD368" s="1914"/>
      <c r="CE368" s="1914"/>
      <c r="CF368" s="1914"/>
      <c r="CG368" s="1914"/>
      <c r="CH368" s="1915"/>
      <c r="CI368" s="1915"/>
      <c r="CJ368" s="1915"/>
      <c r="CK368" s="1915"/>
      <c r="CL368" s="1914"/>
      <c r="CM368" s="1915"/>
      <c r="CN368" s="1915"/>
      <c r="CO368" s="1915"/>
      <c r="CP368" s="1915"/>
      <c r="CQ368" s="1915"/>
      <c r="CR368" s="1914"/>
      <c r="CS368" s="1914"/>
      <c r="CT368" s="1914"/>
      <c r="CU368" s="1914"/>
      <c r="CV368" s="1914"/>
      <c r="CW368" s="1914"/>
      <c r="CX368" s="1914"/>
      <c r="CY368" s="1914"/>
      <c r="CZ368" s="1914"/>
      <c r="DA368" s="1914"/>
      <c r="DB368" s="1914"/>
      <c r="DC368" s="1914"/>
      <c r="DD368" s="1914"/>
      <c r="DE368" s="1914"/>
      <c r="DF368" s="1914"/>
      <c r="DG368" s="1914"/>
      <c r="DH368" s="1914"/>
      <c r="DI368" s="1914"/>
      <c r="DJ368" s="1914"/>
      <c r="DK368" s="1914"/>
      <c r="DL368" s="1914"/>
      <c r="DM368" s="1914"/>
      <c r="DN368" s="1914"/>
      <c r="DO368" s="1914"/>
      <c r="DP368" s="1914"/>
      <c r="DQ368" s="1914"/>
      <c r="DR368" s="1914"/>
      <c r="DS368" s="1914"/>
      <c r="DT368" s="1914"/>
    </row>
    <row r="369" spans="1:132" ht="30.75" customHeight="1">
      <c r="C369" s="2254" t="s">
        <v>499</v>
      </c>
      <c r="D369" s="2254"/>
      <c r="E369" s="2254"/>
      <c r="F369" s="2254"/>
      <c r="G369" s="2254"/>
      <c r="H369" s="2254"/>
      <c r="I369" s="2254"/>
      <c r="J369" s="2254"/>
      <c r="K369" s="2254"/>
      <c r="L369" s="2254"/>
      <c r="M369" s="2254"/>
      <c r="N369" s="2254"/>
      <c r="O369" s="2254"/>
      <c r="P369" s="1891"/>
      <c r="Q369" s="1891"/>
      <c r="R369" s="1891"/>
      <c r="S369" s="1891"/>
      <c r="T369" s="1891"/>
      <c r="U369" s="1891"/>
      <c r="V369" s="1891"/>
      <c r="W369" s="1891"/>
      <c r="X369" s="1891"/>
      <c r="Y369" s="1891"/>
      <c r="Z369" s="1891"/>
      <c r="AA369" s="1891"/>
      <c r="AB369" s="1891"/>
      <c r="AC369" s="1891"/>
      <c r="AD369" s="1891"/>
      <c r="AE369" s="1891"/>
      <c r="AF369" s="1891"/>
      <c r="AG369" s="1891"/>
      <c r="AH369" s="1891"/>
      <c r="AI369" s="1891"/>
      <c r="AN369" s="1891"/>
      <c r="AO369" s="1891"/>
      <c r="AT369" s="1891"/>
      <c r="AU369" s="1891"/>
      <c r="AV369" s="1891"/>
      <c r="AW369" s="1891"/>
      <c r="AX369" s="1891"/>
      <c r="AY369" s="1891"/>
      <c r="AZ369" s="1891"/>
      <c r="BA369" s="1891"/>
      <c r="BB369" s="1891"/>
      <c r="BC369" s="1891"/>
      <c r="BD369" s="1891"/>
      <c r="BE369" s="1891"/>
      <c r="BF369" s="1891"/>
      <c r="BM369" s="1891"/>
      <c r="BT369" s="1414"/>
      <c r="CC369" s="1914"/>
      <c r="CD369" s="1914"/>
      <c r="CE369" s="1914"/>
      <c r="CF369" s="1914"/>
      <c r="CG369" s="1914"/>
      <c r="CH369" s="1915"/>
      <c r="CI369" s="1915"/>
      <c r="CJ369" s="1915"/>
      <c r="CK369" s="1915"/>
      <c r="CL369" s="1914"/>
      <c r="CM369" s="1915"/>
      <c r="CN369" s="1915"/>
      <c r="CO369" s="1915"/>
      <c r="CP369" s="1915"/>
      <c r="CQ369" s="1915"/>
      <c r="CR369" s="1914"/>
      <c r="CS369" s="1914"/>
      <c r="CT369" s="1914"/>
      <c r="CU369" s="1914"/>
      <c r="CV369" s="1914"/>
      <c r="CW369" s="1914"/>
      <c r="CX369" s="1914"/>
      <c r="CY369" s="1914"/>
      <c r="CZ369" s="1914"/>
      <c r="DA369" s="1914"/>
      <c r="DB369" s="1914"/>
      <c r="DC369" s="1914"/>
      <c r="DD369" s="1914"/>
      <c r="DE369" s="1914"/>
      <c r="DF369" s="1914"/>
      <c r="DG369" s="1914"/>
      <c r="DH369" s="1914"/>
      <c r="DI369" s="1914"/>
      <c r="DJ369" s="1914"/>
      <c r="DK369" s="1914"/>
      <c r="DL369" s="1914"/>
      <c r="DM369" s="1914"/>
      <c r="DN369" s="1914"/>
      <c r="DO369" s="1914"/>
      <c r="DP369" s="1914"/>
      <c r="DQ369" s="1914"/>
      <c r="DR369" s="1914"/>
      <c r="DS369" s="1914"/>
      <c r="DT369" s="1914"/>
    </row>
    <row r="370" spans="1:132">
      <c r="C370" s="2254" t="s">
        <v>469</v>
      </c>
      <c r="D370" s="2254"/>
      <c r="E370" s="2254"/>
      <c r="F370" s="2254"/>
      <c r="G370" s="2254"/>
      <c r="H370" s="2254"/>
      <c r="I370" s="2254"/>
      <c r="J370" s="2254"/>
      <c r="K370" s="2254"/>
      <c r="L370" s="2254"/>
      <c r="M370" s="2254"/>
      <c r="N370" s="2254"/>
      <c r="O370" s="2254"/>
      <c r="P370" s="1891"/>
      <c r="Q370" s="1891"/>
      <c r="R370" s="1891"/>
      <c r="S370" s="1891"/>
      <c r="T370" s="1891"/>
      <c r="U370" s="1891"/>
      <c r="V370" s="1891"/>
      <c r="W370" s="1891"/>
      <c r="X370" s="1891"/>
      <c r="Y370" s="1891"/>
      <c r="Z370" s="1891"/>
      <c r="AA370" s="1891"/>
      <c r="AB370" s="1891"/>
      <c r="AC370" s="1891"/>
      <c r="AD370" s="1891"/>
      <c r="AE370" s="1891"/>
      <c r="AF370" s="1891"/>
      <c r="AG370" s="1891"/>
      <c r="AH370" s="1891"/>
      <c r="AI370" s="1891"/>
      <c r="AN370" s="1891"/>
      <c r="AO370" s="1891"/>
      <c r="AT370" s="1891"/>
      <c r="AU370" s="1891"/>
      <c r="AV370" s="1891"/>
      <c r="AW370" s="1891"/>
      <c r="AX370" s="1891"/>
      <c r="AY370" s="1891"/>
      <c r="AZ370" s="1891"/>
      <c r="BA370" s="1891"/>
      <c r="BB370" s="1891"/>
      <c r="BC370" s="1891"/>
      <c r="BD370" s="1891"/>
      <c r="BE370" s="1891"/>
      <c r="BF370" s="1891"/>
      <c r="BM370" s="1891"/>
      <c r="BT370" s="1414"/>
      <c r="CC370" s="1914"/>
      <c r="CD370" s="1914"/>
      <c r="CE370" s="1914"/>
      <c r="CF370" s="1914"/>
      <c r="CG370" s="1914"/>
      <c r="CH370" s="1915"/>
      <c r="CI370" s="1915"/>
      <c r="CJ370" s="1915"/>
      <c r="CK370" s="1915"/>
      <c r="CL370" s="1914"/>
      <c r="CM370" s="1915"/>
      <c r="CN370" s="1915"/>
      <c r="CO370" s="1915"/>
      <c r="CP370" s="1915"/>
      <c r="CQ370" s="1915"/>
      <c r="CR370" s="1914"/>
      <c r="CS370" s="1914"/>
      <c r="CT370" s="1914"/>
      <c r="CU370" s="1914"/>
      <c r="CV370" s="1914"/>
      <c r="CW370" s="1914"/>
      <c r="CX370" s="1914"/>
      <c r="CY370" s="1914"/>
      <c r="CZ370" s="1914"/>
      <c r="DA370" s="1914"/>
      <c r="DB370" s="1914"/>
      <c r="DC370" s="1914"/>
      <c r="DD370" s="1914"/>
      <c r="DE370" s="1914"/>
      <c r="DF370" s="1914"/>
      <c r="DG370" s="1914"/>
      <c r="DH370" s="1914"/>
      <c r="DI370" s="1914"/>
      <c r="DJ370" s="1914"/>
      <c r="DK370" s="1914"/>
      <c r="DL370" s="1914"/>
      <c r="DM370" s="1914"/>
      <c r="DN370" s="1914"/>
      <c r="DO370" s="1914"/>
      <c r="DP370" s="1914"/>
      <c r="DQ370" s="1914"/>
      <c r="DR370" s="1914"/>
      <c r="DS370" s="1914"/>
      <c r="DT370" s="1914"/>
    </row>
    <row r="371" spans="1:132">
      <c r="A371" s="1384"/>
      <c r="B371" s="1384"/>
      <c r="C371" s="2254" t="s">
        <v>470</v>
      </c>
      <c r="D371" s="2254"/>
      <c r="E371" s="2254"/>
      <c r="F371" s="2254"/>
      <c r="G371" s="2254"/>
      <c r="H371" s="2254"/>
      <c r="I371" s="2254"/>
      <c r="J371" s="2254"/>
      <c r="K371" s="2254"/>
      <c r="L371" s="2254"/>
      <c r="M371" s="2254"/>
      <c r="N371" s="2254"/>
      <c r="O371" s="2254"/>
      <c r="P371" s="1919"/>
      <c r="Q371" s="1919"/>
      <c r="R371" s="1919"/>
      <c r="S371" s="1919"/>
      <c r="T371" s="1919"/>
      <c r="U371" s="1919"/>
      <c r="V371" s="1919"/>
      <c r="W371" s="1919"/>
      <c r="X371" s="1919"/>
      <c r="Y371" s="1919"/>
      <c r="Z371" s="1919"/>
      <c r="AA371" s="1919"/>
      <c r="AB371" s="1919"/>
      <c r="AC371" s="1919"/>
      <c r="AD371" s="1919"/>
      <c r="AE371" s="1919"/>
      <c r="AF371" s="1919"/>
      <c r="AG371" s="1919"/>
      <c r="AH371" s="1919"/>
      <c r="AI371" s="1919"/>
      <c r="AJ371" s="1384"/>
      <c r="AK371" s="1384"/>
      <c r="AL371" s="1384"/>
      <c r="AM371" s="1384"/>
      <c r="AN371" s="1919"/>
      <c r="AO371" s="1919"/>
      <c r="AT371" s="1919"/>
      <c r="AU371" s="1919"/>
      <c r="AV371" s="1919"/>
      <c r="AW371" s="1919"/>
      <c r="AX371" s="1919"/>
      <c r="AY371" s="1919"/>
      <c r="AZ371" s="1919"/>
      <c r="BA371" s="1919"/>
      <c r="BB371" s="1919"/>
      <c r="BC371" s="1919"/>
      <c r="BD371" s="1919"/>
      <c r="BE371" s="1919"/>
      <c r="BF371" s="1919"/>
      <c r="BM371" s="1919"/>
      <c r="BN371" s="1919"/>
      <c r="BT371" s="1414"/>
      <c r="CC371" s="1914"/>
      <c r="CD371" s="1914"/>
      <c r="CE371" s="1914"/>
      <c r="CF371" s="1914"/>
      <c r="CG371" s="1914"/>
      <c r="CH371" s="1915"/>
      <c r="CI371" s="1915"/>
      <c r="CJ371" s="1915"/>
      <c r="CK371" s="1915"/>
      <c r="CL371" s="1914"/>
      <c r="CM371" s="1915"/>
      <c r="CN371" s="1915"/>
      <c r="CO371" s="1915"/>
      <c r="CP371" s="1915"/>
      <c r="CQ371" s="1915"/>
      <c r="CR371" s="1914"/>
      <c r="CS371" s="1914"/>
      <c r="CT371" s="1914"/>
      <c r="CU371" s="1914"/>
      <c r="CV371" s="1914"/>
      <c r="CW371" s="1914"/>
      <c r="CX371" s="1914"/>
      <c r="CY371" s="1914"/>
      <c r="CZ371" s="1914"/>
      <c r="DA371" s="1914"/>
      <c r="DB371" s="1914"/>
      <c r="DC371" s="1914"/>
      <c r="DD371" s="1914"/>
      <c r="DE371" s="1914"/>
      <c r="DF371" s="1914"/>
      <c r="DG371" s="1914"/>
      <c r="DH371" s="1914"/>
      <c r="DI371" s="1914"/>
      <c r="DJ371" s="1914"/>
      <c r="DK371" s="1914"/>
      <c r="DL371" s="1914"/>
      <c r="DM371" s="1914"/>
      <c r="DN371" s="1914"/>
      <c r="DO371" s="1914"/>
      <c r="DP371" s="1914"/>
      <c r="DQ371" s="1914"/>
      <c r="DR371" s="1914"/>
      <c r="DS371" s="1914"/>
      <c r="DT371" s="1914"/>
      <c r="DU371" s="1384"/>
      <c r="DV371" s="1384"/>
      <c r="DW371" s="1384"/>
      <c r="DX371" s="1384"/>
      <c r="DY371" s="1384"/>
      <c r="DZ371" s="1384"/>
      <c r="EA371" s="1384"/>
      <c r="EB371" s="1384"/>
    </row>
    <row r="372" spans="1:132" ht="12.75" customHeight="1">
      <c r="A372" s="1384"/>
      <c r="B372" s="1384"/>
      <c r="C372" s="2254" t="s">
        <v>471</v>
      </c>
      <c r="D372" s="2254"/>
      <c r="E372" s="2254"/>
      <c r="F372" s="2254"/>
      <c r="G372" s="2254"/>
      <c r="H372" s="2254"/>
      <c r="I372" s="2254"/>
      <c r="J372" s="2254"/>
      <c r="K372" s="2254"/>
      <c r="L372" s="2254"/>
      <c r="M372" s="2254"/>
      <c r="N372" s="2254"/>
      <c r="O372" s="2254"/>
      <c r="P372" s="1919"/>
      <c r="Q372" s="1919"/>
      <c r="R372" s="1919"/>
      <c r="S372" s="1919"/>
      <c r="T372" s="1919"/>
      <c r="U372" s="1919"/>
      <c r="V372" s="1919"/>
      <c r="W372" s="1919"/>
      <c r="X372" s="1919"/>
      <c r="Y372" s="1919"/>
      <c r="Z372" s="1919"/>
      <c r="AA372" s="1919"/>
      <c r="AB372" s="1919"/>
      <c r="AC372" s="1919"/>
      <c r="AD372" s="1919"/>
      <c r="AE372" s="1919"/>
      <c r="AF372" s="1919"/>
      <c r="AG372" s="1919"/>
      <c r="AH372" s="1919"/>
      <c r="AI372" s="1919"/>
      <c r="AJ372" s="1384"/>
      <c r="AK372" s="1384"/>
      <c r="AL372" s="1384"/>
      <c r="AM372" s="1384"/>
      <c r="AN372" s="1919"/>
      <c r="AO372" s="1919"/>
      <c r="AT372" s="1919"/>
      <c r="AU372" s="1919"/>
      <c r="AV372" s="1919"/>
      <c r="AW372" s="1919"/>
      <c r="AX372" s="1919"/>
      <c r="AY372" s="1919"/>
      <c r="AZ372" s="1919"/>
      <c r="BA372" s="1919"/>
      <c r="BB372" s="1919"/>
      <c r="BC372" s="1919"/>
      <c r="BD372" s="1919"/>
      <c r="BE372" s="1919"/>
      <c r="BF372" s="1919"/>
      <c r="BM372" s="1919"/>
      <c r="BN372" s="1919"/>
      <c r="BT372" s="1414"/>
      <c r="CC372" s="1914"/>
      <c r="CD372" s="1914"/>
      <c r="CE372" s="1914"/>
      <c r="CF372" s="1914"/>
      <c r="CG372" s="1914"/>
      <c r="CH372" s="1915"/>
      <c r="CI372" s="1915"/>
      <c r="CJ372" s="1915"/>
      <c r="CK372" s="1915"/>
      <c r="CL372" s="1914"/>
      <c r="CM372" s="1915"/>
      <c r="CN372" s="1915"/>
      <c r="CO372" s="1915"/>
      <c r="CP372" s="1915"/>
      <c r="CQ372" s="1915"/>
      <c r="CR372" s="1914"/>
      <c r="CS372" s="1914"/>
      <c r="CT372" s="1914"/>
      <c r="CU372" s="1914"/>
      <c r="CV372" s="1914"/>
      <c r="CW372" s="1914"/>
      <c r="CX372" s="1914"/>
      <c r="CY372" s="1914"/>
      <c r="CZ372" s="1914"/>
      <c r="DA372" s="1914"/>
      <c r="DB372" s="1914"/>
      <c r="DC372" s="1914"/>
      <c r="DD372" s="1914"/>
      <c r="DE372" s="1914"/>
      <c r="DF372" s="1914"/>
      <c r="DG372" s="1914"/>
      <c r="DH372" s="1914"/>
      <c r="DI372" s="1914"/>
      <c r="DJ372" s="1914"/>
      <c r="DK372" s="1914"/>
      <c r="DL372" s="1914"/>
      <c r="DM372" s="1914"/>
      <c r="DN372" s="1914"/>
      <c r="DO372" s="1914"/>
      <c r="DP372" s="1914"/>
      <c r="DQ372" s="1914"/>
      <c r="DR372" s="1914"/>
      <c r="DS372" s="1914"/>
      <c r="DT372" s="1914"/>
      <c r="DU372" s="1384"/>
      <c r="DV372" s="1384"/>
      <c r="DW372" s="1384"/>
      <c r="DX372" s="1384"/>
      <c r="DY372" s="1384"/>
      <c r="DZ372" s="1384"/>
      <c r="EA372" s="1384"/>
      <c r="EB372" s="1384"/>
    </row>
    <row r="373" spans="1:132" ht="25.5" customHeight="1">
      <c r="A373" s="1384"/>
      <c r="B373" s="1384"/>
      <c r="C373" s="2254" t="s">
        <v>472</v>
      </c>
      <c r="D373" s="2254"/>
      <c r="E373" s="2254"/>
      <c r="F373" s="2254"/>
      <c r="G373" s="2254"/>
      <c r="H373" s="2254"/>
      <c r="I373" s="2254"/>
      <c r="J373" s="2254"/>
      <c r="K373" s="2254"/>
      <c r="L373" s="2254"/>
      <c r="M373" s="2254"/>
      <c r="N373" s="2254"/>
      <c r="O373" s="2254"/>
      <c r="P373" s="1919"/>
      <c r="Q373" s="1919"/>
      <c r="R373" s="1919"/>
      <c r="S373" s="1919"/>
      <c r="T373" s="1919"/>
      <c r="U373" s="1919"/>
      <c r="V373" s="1919"/>
      <c r="W373" s="1919"/>
      <c r="X373" s="1919"/>
      <c r="Y373" s="1919"/>
      <c r="Z373" s="1919"/>
      <c r="AA373" s="1919"/>
      <c r="AB373" s="1919"/>
      <c r="AC373" s="1919"/>
      <c r="AD373" s="1919"/>
      <c r="AE373" s="1919"/>
      <c r="AF373" s="1919"/>
      <c r="AG373" s="1919"/>
      <c r="AH373" s="1919"/>
      <c r="AI373" s="1919"/>
      <c r="AJ373" s="1384"/>
      <c r="AK373" s="1384"/>
      <c r="AL373" s="1384"/>
      <c r="AM373" s="1384"/>
      <c r="AN373" s="1919"/>
      <c r="AO373" s="1919"/>
      <c r="AT373" s="1919"/>
      <c r="AU373" s="1919"/>
      <c r="AV373" s="1919"/>
      <c r="AW373" s="1919"/>
      <c r="AX373" s="1919"/>
      <c r="AY373" s="1919"/>
      <c r="AZ373" s="1919"/>
      <c r="BA373" s="1919"/>
      <c r="BB373" s="1919"/>
      <c r="BC373" s="1919"/>
      <c r="BD373" s="1919"/>
      <c r="BE373" s="1919"/>
      <c r="BF373" s="1919"/>
      <c r="BM373" s="1919"/>
      <c r="BN373" s="1919"/>
      <c r="BT373" s="1414"/>
      <c r="CC373" s="1914"/>
      <c r="CD373" s="1914"/>
      <c r="CE373" s="1914"/>
      <c r="CF373" s="1914"/>
      <c r="CG373" s="1914"/>
      <c r="CH373" s="1915"/>
      <c r="CI373" s="1915"/>
      <c r="CJ373" s="1915"/>
      <c r="CK373" s="1915"/>
      <c r="CL373" s="1914"/>
      <c r="CM373" s="1915"/>
      <c r="CN373" s="1915"/>
      <c r="CO373" s="1915"/>
      <c r="CP373" s="1915"/>
      <c r="CQ373" s="1915"/>
      <c r="CR373" s="1914"/>
      <c r="CS373" s="1914"/>
      <c r="CT373" s="1914"/>
      <c r="CU373" s="1914"/>
      <c r="CV373" s="1914"/>
      <c r="CW373" s="1914"/>
      <c r="CX373" s="1914"/>
      <c r="CY373" s="1914"/>
      <c r="CZ373" s="1914"/>
      <c r="DA373" s="1914"/>
      <c r="DB373" s="1914"/>
      <c r="DC373" s="1914"/>
      <c r="DD373" s="1914"/>
      <c r="DE373" s="1914"/>
      <c r="DF373" s="1914"/>
      <c r="DG373" s="1914"/>
      <c r="DH373" s="1914"/>
      <c r="DI373" s="1914"/>
      <c r="DJ373" s="1914"/>
      <c r="DK373" s="1914"/>
      <c r="DL373" s="1914"/>
      <c r="DM373" s="1914"/>
      <c r="DN373" s="1914"/>
      <c r="DO373" s="1914"/>
      <c r="DP373" s="1914"/>
      <c r="DQ373" s="1914"/>
      <c r="DR373" s="1914"/>
      <c r="DS373" s="1914"/>
      <c r="DT373" s="1914"/>
      <c r="DU373" s="1384"/>
      <c r="DV373" s="1384"/>
      <c r="DW373" s="1384"/>
      <c r="DX373" s="1384"/>
      <c r="DY373" s="1384"/>
      <c r="DZ373" s="1384"/>
      <c r="EA373" s="1384"/>
      <c r="EB373" s="1384"/>
    </row>
    <row r="374" spans="1:132" ht="12.75" customHeight="1">
      <c r="A374" s="1384"/>
      <c r="B374" s="1384"/>
      <c r="C374" s="2254" t="s">
        <v>604</v>
      </c>
      <c r="D374" s="2254"/>
      <c r="E374" s="2254"/>
      <c r="F374" s="2254"/>
      <c r="G374" s="2254"/>
      <c r="H374" s="2254"/>
      <c r="I374" s="2254"/>
      <c r="J374" s="2254"/>
      <c r="K374" s="2254"/>
      <c r="L374" s="2254"/>
      <c r="M374" s="2254"/>
      <c r="N374" s="2254"/>
      <c r="O374" s="2254"/>
      <c r="P374" s="1919"/>
      <c r="Q374" s="1919"/>
      <c r="R374" s="1919"/>
      <c r="S374" s="1919"/>
      <c r="T374" s="1919"/>
      <c r="U374" s="1919"/>
      <c r="V374" s="1919"/>
      <c r="W374" s="1919"/>
      <c r="X374" s="1919"/>
      <c r="Y374" s="1919"/>
      <c r="Z374" s="1919"/>
      <c r="AA374" s="1919"/>
      <c r="AB374" s="1919"/>
      <c r="AC374" s="1919"/>
      <c r="AD374" s="1919"/>
      <c r="AE374" s="1919"/>
      <c r="AF374" s="1919"/>
      <c r="AG374" s="1919"/>
      <c r="AH374" s="1919"/>
      <c r="AI374" s="1919"/>
      <c r="AJ374" s="1384"/>
      <c r="AK374" s="1384"/>
      <c r="AL374" s="1384"/>
      <c r="AM374" s="1384"/>
      <c r="AN374" s="1919"/>
      <c r="AO374" s="1919"/>
      <c r="AT374" s="1919"/>
      <c r="AU374" s="1919"/>
      <c r="AV374" s="1919"/>
      <c r="AW374" s="1919"/>
      <c r="AX374" s="1919"/>
      <c r="AY374" s="1919"/>
      <c r="AZ374" s="1919"/>
      <c r="BA374" s="1919"/>
      <c r="BB374" s="1919"/>
      <c r="BC374" s="1919"/>
      <c r="BD374" s="1919"/>
      <c r="BE374" s="1919"/>
      <c r="BF374" s="1919"/>
      <c r="BM374" s="1919"/>
      <c r="BN374" s="1919"/>
      <c r="BT374" s="1414"/>
      <c r="CC374" s="1914"/>
      <c r="CD374" s="1914"/>
      <c r="CE374" s="1914"/>
      <c r="CF374" s="1914"/>
      <c r="CG374" s="1914"/>
      <c r="CH374" s="1915"/>
      <c r="CI374" s="1915"/>
      <c r="CJ374" s="1915"/>
      <c r="CK374" s="1915"/>
      <c r="CL374" s="1914"/>
      <c r="CM374" s="1915"/>
      <c r="CN374" s="1915"/>
      <c r="CO374" s="1915"/>
      <c r="CP374" s="1915"/>
      <c r="CQ374" s="1915"/>
      <c r="CR374" s="1914"/>
      <c r="CS374" s="1914"/>
      <c r="CT374" s="1914"/>
      <c r="CU374" s="1914"/>
      <c r="CV374" s="1914"/>
      <c r="CW374" s="1914"/>
      <c r="CX374" s="1914"/>
      <c r="CY374" s="1914"/>
      <c r="CZ374" s="1914"/>
      <c r="DA374" s="1914"/>
      <c r="DB374" s="1914"/>
      <c r="DC374" s="1914"/>
      <c r="DD374" s="1914"/>
      <c r="DE374" s="1914"/>
      <c r="DF374" s="1914"/>
      <c r="DG374" s="1914"/>
      <c r="DH374" s="1914"/>
      <c r="DI374" s="1914"/>
      <c r="DJ374" s="1914"/>
      <c r="DK374" s="1914"/>
      <c r="DL374" s="1914"/>
      <c r="DM374" s="1914"/>
      <c r="DN374" s="1914"/>
      <c r="DO374" s="1914"/>
      <c r="DP374" s="1914"/>
      <c r="DQ374" s="1914"/>
      <c r="DR374" s="1914"/>
      <c r="DS374" s="1914"/>
      <c r="DT374" s="1914"/>
      <c r="DU374" s="1384"/>
      <c r="DV374" s="1384"/>
      <c r="DW374" s="1384"/>
      <c r="DX374" s="1384"/>
      <c r="DY374" s="1384"/>
      <c r="DZ374" s="1384"/>
      <c r="EA374" s="1384"/>
      <c r="EB374" s="1384"/>
    </row>
    <row r="375" spans="1:132" ht="27" customHeight="1">
      <c r="A375" s="1384"/>
      <c r="B375" s="1384"/>
      <c r="C375" s="2254" t="s">
        <v>605</v>
      </c>
      <c r="D375" s="2254"/>
      <c r="E375" s="2254"/>
      <c r="F375" s="2254"/>
      <c r="G375" s="2254"/>
      <c r="H375" s="2254"/>
      <c r="I375" s="2254"/>
      <c r="J375" s="2254"/>
      <c r="K375" s="2254"/>
      <c r="L375" s="2254"/>
      <c r="M375" s="2254"/>
      <c r="N375" s="2254"/>
      <c r="O375" s="2254"/>
      <c r="P375" s="1919"/>
      <c r="Q375" s="1919"/>
      <c r="R375" s="1919"/>
      <c r="S375" s="1919"/>
      <c r="T375" s="1919"/>
      <c r="U375" s="1919"/>
      <c r="V375" s="1919"/>
      <c r="W375" s="1919"/>
      <c r="X375" s="1919"/>
      <c r="Y375" s="1919"/>
      <c r="Z375" s="1919"/>
      <c r="AA375" s="1919"/>
      <c r="AB375" s="1919"/>
      <c r="AC375" s="1919"/>
      <c r="AD375" s="1919"/>
      <c r="AE375" s="1919"/>
      <c r="AF375" s="1919"/>
      <c r="AG375" s="1919"/>
      <c r="AH375" s="1919"/>
      <c r="AI375" s="1919"/>
      <c r="AJ375" s="1384"/>
      <c r="AK375" s="1384"/>
      <c r="AL375" s="1384"/>
      <c r="AM375" s="1384"/>
      <c r="AN375" s="1919"/>
      <c r="AO375" s="1919"/>
      <c r="AT375" s="1919"/>
      <c r="AU375" s="1919"/>
      <c r="AV375" s="1919"/>
      <c r="AW375" s="1919"/>
      <c r="AX375" s="1919"/>
      <c r="AY375" s="1919"/>
      <c r="AZ375" s="1919"/>
      <c r="BA375" s="1919"/>
      <c r="BB375" s="1919"/>
      <c r="BC375" s="1919"/>
      <c r="BD375" s="1919"/>
      <c r="BE375" s="1919"/>
      <c r="BF375" s="1919"/>
      <c r="BG375" s="1919"/>
      <c r="BH375" s="1919"/>
      <c r="BI375" s="1919"/>
      <c r="BJ375" s="1919"/>
      <c r="BK375" s="1919"/>
      <c r="BL375" s="1919"/>
      <c r="BM375" s="1919"/>
      <c r="BN375" s="1919"/>
      <c r="BT375" s="1414"/>
      <c r="CC375" s="1914"/>
      <c r="CD375" s="1914"/>
      <c r="CE375" s="1914"/>
      <c r="CF375" s="1914"/>
      <c r="CG375" s="1914"/>
      <c r="CH375" s="1915"/>
      <c r="CI375" s="1915"/>
      <c r="CJ375" s="1915"/>
      <c r="CK375" s="1915"/>
      <c r="CL375" s="1914"/>
      <c r="CM375" s="1915"/>
      <c r="CN375" s="1915"/>
      <c r="CO375" s="1915"/>
      <c r="CP375" s="1915"/>
      <c r="CQ375" s="1915"/>
      <c r="CR375" s="1914"/>
      <c r="CS375" s="1914"/>
      <c r="CT375" s="1914"/>
      <c r="CU375" s="1914"/>
      <c r="CV375" s="1914"/>
      <c r="CW375" s="1914"/>
      <c r="CX375" s="1914"/>
      <c r="CY375" s="1914"/>
      <c r="CZ375" s="1914"/>
      <c r="DA375" s="1914"/>
      <c r="DB375" s="1914"/>
      <c r="DC375" s="1914"/>
      <c r="DD375" s="1914"/>
      <c r="DE375" s="1914"/>
      <c r="DF375" s="1914"/>
      <c r="DG375" s="1914"/>
      <c r="DH375" s="1914"/>
      <c r="DI375" s="1914"/>
      <c r="DJ375" s="1914"/>
      <c r="DK375" s="1914"/>
      <c r="DL375" s="1914"/>
      <c r="DM375" s="1914"/>
      <c r="DN375" s="1914"/>
      <c r="DO375" s="1914"/>
      <c r="DP375" s="1914"/>
      <c r="DQ375" s="1914"/>
      <c r="DR375" s="1914"/>
      <c r="DS375" s="1914"/>
      <c r="DT375" s="1914"/>
      <c r="DU375" s="1384"/>
      <c r="DV375" s="1384"/>
      <c r="DW375" s="1384"/>
      <c r="DX375" s="1384"/>
      <c r="DY375" s="1384"/>
      <c r="DZ375" s="1384"/>
      <c r="EA375" s="1384"/>
      <c r="EB375" s="1384"/>
    </row>
    <row r="376" spans="1:132">
      <c r="A376" s="1384"/>
      <c r="B376" s="1384"/>
      <c r="C376" s="2254" t="s">
        <v>606</v>
      </c>
      <c r="D376" s="2254"/>
      <c r="E376" s="2254"/>
      <c r="F376" s="2254"/>
      <c r="G376" s="2254"/>
      <c r="H376" s="2254"/>
      <c r="I376" s="2254"/>
      <c r="J376" s="2254"/>
      <c r="K376" s="2254"/>
      <c r="L376" s="2254"/>
      <c r="M376" s="2254"/>
      <c r="N376" s="2254"/>
      <c r="O376" s="2254"/>
      <c r="P376" s="1919"/>
      <c r="Q376" s="1919"/>
      <c r="R376" s="1919"/>
      <c r="S376" s="1919"/>
      <c r="T376" s="1919"/>
      <c r="U376" s="1919"/>
      <c r="V376" s="1919"/>
      <c r="W376" s="1919"/>
      <c r="X376" s="1919"/>
      <c r="Y376" s="1919"/>
      <c r="Z376" s="1919"/>
      <c r="AA376" s="1919"/>
      <c r="AB376" s="1919"/>
      <c r="AC376" s="1919"/>
      <c r="AD376" s="1919"/>
      <c r="AE376" s="1919"/>
      <c r="AF376" s="1919"/>
      <c r="AG376" s="1919"/>
      <c r="AH376" s="1919"/>
      <c r="AI376" s="1919"/>
      <c r="AJ376" s="1384"/>
      <c r="AK376" s="1384"/>
      <c r="AL376" s="1384"/>
      <c r="AM376" s="1384"/>
      <c r="AN376" s="1919"/>
      <c r="AO376" s="1919"/>
      <c r="AT376" s="1919"/>
      <c r="AU376" s="1919"/>
      <c r="AV376" s="1919"/>
      <c r="AW376" s="1919"/>
      <c r="AX376" s="1919"/>
      <c r="AY376" s="1919"/>
      <c r="AZ376" s="1919"/>
      <c r="BA376" s="1919"/>
      <c r="BB376" s="1919"/>
      <c r="BC376" s="1919"/>
      <c r="BD376" s="1919"/>
      <c r="BE376" s="1919"/>
      <c r="BF376" s="1919"/>
      <c r="BG376" s="1919"/>
      <c r="BH376" s="1919"/>
      <c r="BI376" s="1919"/>
      <c r="BJ376" s="1919"/>
      <c r="BK376" s="1919"/>
      <c r="BL376" s="1919"/>
      <c r="BM376" s="1919"/>
      <c r="BN376" s="1919"/>
      <c r="BT376" s="1414"/>
      <c r="CC376" s="1914"/>
      <c r="CD376" s="1914"/>
      <c r="CE376" s="1914"/>
      <c r="CF376" s="1914"/>
      <c r="CG376" s="1914"/>
      <c r="CH376" s="1915"/>
      <c r="CI376" s="1915"/>
      <c r="CJ376" s="1915"/>
      <c r="CK376" s="1915"/>
      <c r="CL376" s="1914"/>
      <c r="CM376" s="1915"/>
      <c r="CN376" s="1915"/>
      <c r="CO376" s="1915"/>
      <c r="CP376" s="1915"/>
      <c r="CQ376" s="1915"/>
      <c r="CR376" s="1914"/>
      <c r="CS376" s="1914"/>
      <c r="CT376" s="1914"/>
      <c r="CU376" s="1914"/>
      <c r="CV376" s="1914"/>
      <c r="CW376" s="1914"/>
      <c r="CX376" s="1914"/>
      <c r="CY376" s="1914"/>
      <c r="CZ376" s="1914"/>
      <c r="DA376" s="1914"/>
      <c r="DB376" s="1914"/>
      <c r="DC376" s="1914"/>
      <c r="DD376" s="1914"/>
      <c r="DE376" s="1914"/>
      <c r="DF376" s="1914"/>
      <c r="DG376" s="1914"/>
      <c r="DH376" s="1914"/>
      <c r="DI376" s="1914"/>
      <c r="DJ376" s="1914"/>
      <c r="DK376" s="1914"/>
      <c r="DL376" s="1914"/>
      <c r="DM376" s="1914"/>
      <c r="DN376" s="1914"/>
      <c r="DO376" s="1914"/>
      <c r="DP376" s="1914"/>
      <c r="DQ376" s="1914"/>
      <c r="DR376" s="1914"/>
      <c r="DS376" s="1914"/>
      <c r="DT376" s="1914"/>
      <c r="DU376" s="1384"/>
      <c r="DV376" s="1384"/>
      <c r="DW376" s="1384"/>
      <c r="DX376" s="1384"/>
      <c r="DY376" s="1384"/>
      <c r="DZ376" s="1384"/>
      <c r="EA376" s="1384"/>
      <c r="EB376" s="1384"/>
    </row>
    <row r="377" spans="1:132" ht="12.75" customHeight="1">
      <c r="A377" s="1384"/>
      <c r="B377" s="1384"/>
      <c r="C377" s="2253" t="s">
        <v>475</v>
      </c>
      <c r="D377" s="2253"/>
      <c r="E377" s="2253"/>
      <c r="F377" s="2253"/>
      <c r="G377" s="2253"/>
      <c r="H377" s="2253"/>
      <c r="I377" s="2253"/>
      <c r="J377" s="2253"/>
      <c r="K377" s="2253"/>
      <c r="L377" s="2253"/>
      <c r="M377" s="2253"/>
      <c r="N377" s="2253"/>
      <c r="O377" s="2253"/>
      <c r="P377" s="1919"/>
      <c r="Q377" s="1919"/>
      <c r="R377" s="1919"/>
      <c r="S377" s="1919"/>
      <c r="T377" s="1919"/>
      <c r="U377" s="1919"/>
      <c r="V377" s="1919"/>
      <c r="W377" s="1919"/>
      <c r="X377" s="1919"/>
      <c r="Y377" s="1919"/>
      <c r="Z377" s="1919"/>
      <c r="AA377" s="1919"/>
      <c r="AB377" s="1919"/>
      <c r="AC377" s="1919"/>
      <c r="AD377" s="1919"/>
      <c r="AE377" s="1919"/>
      <c r="AF377" s="1919"/>
      <c r="AG377" s="1919"/>
      <c r="AH377" s="1919"/>
      <c r="AI377" s="1919"/>
      <c r="AJ377" s="1384"/>
      <c r="AK377" s="1384"/>
      <c r="AL377" s="1384"/>
      <c r="AM377" s="1384"/>
      <c r="AN377" s="1919"/>
      <c r="AO377" s="1919"/>
      <c r="AT377" s="1919"/>
      <c r="AU377" s="1919"/>
      <c r="AV377" s="1919"/>
      <c r="AW377" s="1919"/>
      <c r="AX377" s="1919"/>
      <c r="AY377" s="1919"/>
      <c r="AZ377" s="1919"/>
      <c r="BA377" s="1919"/>
      <c r="BB377" s="1919"/>
      <c r="BC377" s="1919"/>
      <c r="BD377" s="1919"/>
      <c r="BE377" s="1919"/>
      <c r="BF377" s="1919"/>
      <c r="BG377" s="1919"/>
      <c r="BH377" s="1919"/>
      <c r="BI377" s="1919"/>
      <c r="BJ377" s="1919"/>
      <c r="BK377" s="1919"/>
      <c r="BL377" s="1919"/>
      <c r="BM377" s="1919"/>
      <c r="BN377" s="1919"/>
      <c r="BT377" s="1414"/>
      <c r="CC377" s="1914"/>
      <c r="CD377" s="1914"/>
      <c r="CE377" s="1914"/>
      <c r="CF377" s="1914"/>
      <c r="CG377" s="1914"/>
      <c r="CH377" s="1915"/>
      <c r="CI377" s="1915"/>
      <c r="CJ377" s="1915"/>
      <c r="CK377" s="1915"/>
      <c r="CL377" s="1914"/>
      <c r="CM377" s="1915"/>
      <c r="CN377" s="1915"/>
      <c r="CO377" s="1915"/>
      <c r="CP377" s="1915"/>
      <c r="CQ377" s="1915"/>
      <c r="CR377" s="1914"/>
      <c r="CS377" s="1914"/>
      <c r="CT377" s="1914"/>
      <c r="CU377" s="1914"/>
      <c r="CV377" s="1914"/>
      <c r="CW377" s="1914"/>
      <c r="CX377" s="1914"/>
      <c r="CY377" s="1914"/>
      <c r="CZ377" s="1914"/>
      <c r="DA377" s="1914"/>
      <c r="DB377" s="1914"/>
      <c r="DC377" s="1914"/>
      <c r="DD377" s="1914"/>
      <c r="DE377" s="1914"/>
      <c r="DF377" s="1914"/>
      <c r="DG377" s="1914"/>
      <c r="DH377" s="1914"/>
      <c r="DI377" s="1914"/>
      <c r="DJ377" s="1914"/>
      <c r="DK377" s="1914"/>
      <c r="DL377" s="1914"/>
      <c r="DM377" s="1914"/>
      <c r="DN377" s="1914"/>
      <c r="DO377" s="1914"/>
      <c r="DP377" s="1914"/>
      <c r="DQ377" s="1914"/>
      <c r="DR377" s="1914"/>
      <c r="DS377" s="1914"/>
      <c r="DT377" s="1914"/>
      <c r="DU377" s="1384"/>
      <c r="DV377" s="1384"/>
      <c r="DW377" s="1384"/>
      <c r="DX377" s="1384"/>
      <c r="DY377" s="1384"/>
      <c r="DZ377" s="1384"/>
      <c r="EA377" s="1384"/>
      <c r="EB377" s="1384"/>
    </row>
    <row r="378" spans="1:132" ht="12.75" customHeight="1">
      <c r="A378" s="1384"/>
      <c r="B378" s="1384"/>
      <c r="C378" s="2255" t="s">
        <v>607</v>
      </c>
      <c r="D378" s="2255"/>
      <c r="E378" s="2255"/>
      <c r="F378" s="2255"/>
      <c r="G378" s="2255"/>
      <c r="H378" s="2255"/>
      <c r="I378" s="2255"/>
      <c r="J378" s="2255"/>
      <c r="K378" s="2255"/>
      <c r="L378" s="2255"/>
      <c r="M378" s="2255"/>
      <c r="N378" s="2255"/>
      <c r="O378" s="2255"/>
      <c r="P378" s="1919"/>
      <c r="Q378" s="1919"/>
      <c r="R378" s="1919"/>
      <c r="S378" s="1919"/>
      <c r="T378" s="1919"/>
      <c r="U378" s="1919"/>
      <c r="V378" s="1919"/>
      <c r="W378" s="1919"/>
      <c r="X378" s="1919"/>
      <c r="Y378" s="1919"/>
      <c r="Z378" s="1919"/>
      <c r="AA378" s="1919"/>
      <c r="AB378" s="1919"/>
      <c r="AC378" s="1919"/>
      <c r="AD378" s="1919"/>
      <c r="AE378" s="1919"/>
      <c r="AF378" s="1919"/>
      <c r="AG378" s="1919"/>
      <c r="AH378" s="1919"/>
      <c r="AI378" s="1919"/>
      <c r="AJ378" s="1384"/>
      <c r="AK378" s="1384"/>
      <c r="AL378" s="1384"/>
      <c r="AM378" s="1384"/>
      <c r="AN378" s="1919"/>
      <c r="AO378" s="1919"/>
      <c r="AT378" s="1919"/>
      <c r="AU378" s="1919"/>
      <c r="AV378" s="1919"/>
      <c r="AW378" s="1919"/>
      <c r="AX378" s="1919"/>
      <c r="AY378" s="1919"/>
      <c r="AZ378" s="1919"/>
      <c r="BA378" s="1919"/>
      <c r="BB378" s="1919"/>
      <c r="BC378" s="1919"/>
      <c r="BD378" s="1919"/>
      <c r="BE378" s="1919"/>
      <c r="BF378" s="1919"/>
      <c r="BG378" s="1919"/>
      <c r="BH378" s="1919"/>
      <c r="BI378" s="1919"/>
      <c r="BJ378" s="1919"/>
      <c r="BK378" s="1919"/>
      <c r="BL378" s="1919"/>
      <c r="BM378" s="1919"/>
      <c r="BN378" s="1919"/>
      <c r="BT378" s="1414"/>
      <c r="CC378" s="1914"/>
      <c r="CD378" s="1914"/>
      <c r="CE378" s="1914"/>
      <c r="CF378" s="1914"/>
      <c r="CG378" s="1914"/>
      <c r="CH378" s="1915"/>
      <c r="CI378" s="1915"/>
      <c r="CJ378" s="1915"/>
      <c r="CK378" s="1915"/>
      <c r="CL378" s="1914"/>
      <c r="CM378" s="1915"/>
      <c r="CN378" s="1915"/>
      <c r="CO378" s="1915"/>
      <c r="CP378" s="1915"/>
      <c r="CQ378" s="1915"/>
      <c r="CR378" s="1914"/>
      <c r="CS378" s="1914"/>
      <c r="CT378" s="1914"/>
      <c r="CU378" s="1914"/>
      <c r="CV378" s="1914"/>
      <c r="CW378" s="1914"/>
      <c r="CX378" s="1914"/>
      <c r="CY378" s="1914"/>
      <c r="CZ378" s="1914"/>
      <c r="DA378" s="1914"/>
      <c r="DB378" s="1914"/>
      <c r="DC378" s="1914"/>
      <c r="DD378" s="1914"/>
      <c r="DE378" s="1914"/>
      <c r="DF378" s="1914"/>
      <c r="DG378" s="1914"/>
      <c r="DH378" s="1914"/>
      <c r="DI378" s="1914"/>
      <c r="DJ378" s="1914"/>
      <c r="DK378" s="1914"/>
      <c r="DL378" s="1914"/>
      <c r="DM378" s="1914"/>
      <c r="DN378" s="1914"/>
      <c r="DO378" s="1914"/>
      <c r="DP378" s="1914"/>
      <c r="DQ378" s="1914"/>
      <c r="DR378" s="1914"/>
      <c r="DS378" s="1914"/>
      <c r="DT378" s="1914"/>
      <c r="DU378" s="1384"/>
      <c r="DV378" s="1384"/>
      <c r="DW378" s="1384"/>
      <c r="DX378" s="1384"/>
      <c r="DY378" s="1384"/>
      <c r="DZ378" s="1384"/>
      <c r="EA378" s="1384"/>
      <c r="EB378" s="1384"/>
    </row>
    <row r="379" spans="1:132" ht="12.75" customHeight="1">
      <c r="A379" s="1384"/>
      <c r="B379" s="1384"/>
      <c r="C379" s="2254" t="str">
        <f>IF(F10=AK3,"* Las aportaciones patronales que deba entregar el INFONAVIT al Banco no son responsabilidad de Banco Santander México, S.A. y su aplicación al crédito dependerá de la entrega de recursos que realice el INFONAVIT.","")</f>
        <v/>
      </c>
      <c r="D379" s="2254"/>
      <c r="E379" s="2254"/>
      <c r="F379" s="2254"/>
      <c r="G379" s="2254"/>
      <c r="H379" s="2254"/>
      <c r="I379" s="2254"/>
      <c r="J379" s="2254"/>
      <c r="K379" s="2254"/>
      <c r="L379" s="2254"/>
      <c r="M379" s="2254"/>
      <c r="N379" s="2254"/>
      <c r="O379" s="2254"/>
      <c r="P379" s="1919"/>
      <c r="Q379" s="1919"/>
      <c r="R379" s="1919"/>
      <c r="S379" s="1919"/>
      <c r="T379" s="1919"/>
      <c r="U379" s="1919"/>
      <c r="V379" s="1919"/>
      <c r="W379" s="1919"/>
      <c r="X379" s="1919"/>
      <c r="Y379" s="1919"/>
      <c r="Z379" s="1919"/>
      <c r="AA379" s="1919"/>
      <c r="AB379" s="1919"/>
      <c r="AC379" s="1919"/>
      <c r="AD379" s="1919"/>
      <c r="AE379" s="1919"/>
      <c r="AF379" s="1919"/>
      <c r="AG379" s="1919"/>
      <c r="AH379" s="1919"/>
      <c r="AI379" s="1919"/>
      <c r="AJ379" s="1384"/>
      <c r="AK379" s="1384"/>
      <c r="AL379" s="1384"/>
      <c r="AM379" s="1384"/>
      <c r="AN379" s="1919"/>
      <c r="AO379" s="1919"/>
      <c r="AT379" s="1919"/>
      <c r="AU379" s="1919"/>
      <c r="AV379" s="1919"/>
      <c r="AW379" s="1919"/>
      <c r="AX379" s="1919"/>
      <c r="AY379" s="1919"/>
      <c r="AZ379" s="1919"/>
      <c r="BA379" s="1919"/>
      <c r="BB379" s="1919"/>
      <c r="BC379" s="1919"/>
      <c r="BD379" s="1919"/>
      <c r="BE379" s="1919"/>
      <c r="BF379" s="1919"/>
      <c r="BG379" s="1919"/>
      <c r="BH379" s="1919"/>
      <c r="BI379" s="1919"/>
      <c r="BJ379" s="1919"/>
      <c r="BK379" s="1919"/>
      <c r="BL379" s="1919"/>
      <c r="BM379" s="1919"/>
      <c r="BN379" s="1919"/>
      <c r="BT379" s="1414"/>
      <c r="CC379" s="1914"/>
      <c r="CD379" s="1914"/>
      <c r="CE379" s="1914"/>
      <c r="CF379" s="1914"/>
      <c r="CG379" s="1914"/>
      <c r="CH379" s="1915"/>
      <c r="CI379" s="1915"/>
      <c r="CJ379" s="1915"/>
      <c r="CK379" s="1915"/>
      <c r="CL379" s="1914"/>
      <c r="CM379" s="1915"/>
      <c r="CN379" s="1915"/>
      <c r="CO379" s="1915"/>
      <c r="CP379" s="1915"/>
      <c r="CQ379" s="1915"/>
      <c r="CR379" s="1914"/>
      <c r="CS379" s="1914"/>
      <c r="CT379" s="1914"/>
      <c r="CU379" s="1914"/>
      <c r="CV379" s="1914"/>
      <c r="CW379" s="1914"/>
      <c r="CX379" s="1914"/>
      <c r="CY379" s="1914"/>
      <c r="CZ379" s="1914"/>
      <c r="DA379" s="1914"/>
      <c r="DB379" s="1914"/>
      <c r="DC379" s="1914"/>
      <c r="DD379" s="1914"/>
      <c r="DE379" s="1914"/>
      <c r="DF379" s="1914"/>
      <c r="DG379" s="1914"/>
      <c r="DH379" s="1914"/>
      <c r="DI379" s="1914"/>
      <c r="DJ379" s="1914"/>
      <c r="DK379" s="1914"/>
      <c r="DL379" s="1914"/>
      <c r="DM379" s="1914"/>
      <c r="DN379" s="1914"/>
      <c r="DO379" s="1914"/>
      <c r="DP379" s="1914"/>
      <c r="DQ379" s="1914"/>
      <c r="DR379" s="1914"/>
      <c r="DS379" s="1914"/>
      <c r="DT379" s="1914"/>
      <c r="DU379" s="1384"/>
      <c r="DV379" s="1384"/>
      <c r="DW379" s="1384"/>
      <c r="DX379" s="1384"/>
      <c r="DY379" s="1384"/>
      <c r="DZ379" s="1384"/>
      <c r="EA379" s="1384"/>
      <c r="EB379" s="1384"/>
    </row>
    <row r="380" spans="1:132">
      <c r="C380" s="2329" t="str">
        <f>IF(OR(F22=AN4,F24=AO3),"Le recordamos que al elegir contratar los seguros con otra Aseguradora, el pago mensual de su crédito no incluye el pago de las primas de seguros.","")</f>
        <v/>
      </c>
      <c r="D380" s="2329"/>
      <c r="E380" s="2329"/>
      <c r="F380" s="2329"/>
      <c r="G380" s="2329"/>
      <c r="H380" s="2329"/>
      <c r="I380" s="2329"/>
      <c r="J380" s="2329"/>
      <c r="K380" s="2329"/>
      <c r="L380" s="2329"/>
      <c r="M380" s="2329"/>
      <c r="N380" s="2329"/>
      <c r="O380" s="2329"/>
      <c r="P380" s="1891"/>
      <c r="Q380" s="1891"/>
      <c r="R380" s="1891"/>
      <c r="S380" s="1891"/>
      <c r="T380" s="1891"/>
      <c r="U380" s="1891"/>
      <c r="V380" s="1891"/>
      <c r="W380" s="1891"/>
      <c r="X380" s="1891"/>
      <c r="Y380" s="1891"/>
      <c r="Z380" s="1891"/>
      <c r="AA380" s="1891"/>
      <c r="AB380" s="1891"/>
      <c r="AC380" s="1891"/>
      <c r="AD380" s="1891"/>
      <c r="AE380" s="1891"/>
      <c r="AF380" s="1891"/>
      <c r="AG380" s="1891"/>
      <c r="AH380" s="1891"/>
      <c r="AI380" s="1891"/>
      <c r="AN380" s="1891"/>
      <c r="AO380" s="1891"/>
      <c r="AT380" s="1891"/>
      <c r="AU380" s="1891"/>
      <c r="AV380" s="1891"/>
      <c r="AW380" s="1891"/>
      <c r="AX380" s="1891"/>
      <c r="AY380" s="1891"/>
      <c r="AZ380" s="1891"/>
      <c r="BA380" s="1891"/>
      <c r="BB380" s="1891"/>
      <c r="BC380" s="1891"/>
      <c r="BD380" s="1891"/>
      <c r="BE380" s="1891"/>
      <c r="BF380" s="1891"/>
      <c r="BG380" s="1891"/>
      <c r="BH380" s="1891"/>
      <c r="BI380" s="1891"/>
      <c r="BJ380" s="1891"/>
      <c r="BK380" s="1891"/>
      <c r="BL380" s="1891"/>
      <c r="BM380" s="1891"/>
      <c r="BN380" s="1891"/>
      <c r="BT380" s="1414"/>
      <c r="CC380" s="1914"/>
      <c r="CD380" s="1914"/>
      <c r="CE380" s="1914"/>
      <c r="CF380" s="1914"/>
      <c r="CG380" s="1914"/>
      <c r="CH380" s="1915"/>
      <c r="CI380" s="1915"/>
      <c r="CJ380" s="1915"/>
      <c r="CK380" s="1915"/>
      <c r="CL380" s="1914"/>
      <c r="CM380" s="1915"/>
      <c r="CN380" s="1915"/>
      <c r="CO380" s="1915"/>
      <c r="CP380" s="1915"/>
      <c r="CQ380" s="1915"/>
      <c r="CR380" s="1914"/>
      <c r="CS380" s="1914"/>
      <c r="CT380" s="1914"/>
      <c r="CU380" s="1914"/>
      <c r="CV380" s="1914"/>
      <c r="CW380" s="1914"/>
      <c r="CX380" s="1914"/>
      <c r="CY380" s="1914"/>
      <c r="CZ380" s="1914"/>
      <c r="DA380" s="1914"/>
      <c r="DB380" s="1914"/>
      <c r="DC380" s="1914"/>
      <c r="DD380" s="1914"/>
      <c r="DE380" s="1914"/>
      <c r="DF380" s="1914"/>
      <c r="DG380" s="1914"/>
      <c r="DH380" s="1914"/>
      <c r="DI380" s="1914"/>
      <c r="DJ380" s="1914"/>
      <c r="DK380" s="1914"/>
      <c r="DL380" s="1914"/>
      <c r="DM380" s="1914"/>
      <c r="DN380" s="1914"/>
      <c r="DO380" s="1914"/>
      <c r="DP380" s="1914"/>
      <c r="DQ380" s="1914"/>
      <c r="DR380" s="1914"/>
      <c r="DS380" s="1914"/>
      <c r="DT380" s="1914"/>
    </row>
    <row r="381" spans="1:132">
      <c r="C381" s="2329" t="str">
        <f>IF(O367&gt;0,"Este documento simula pagos anticipados  unicamente a modo de ejemplo. La tabla real de amortización se le entregará por los medios establecidos en su contrato de Crédito Hipotecario. ","")</f>
        <v/>
      </c>
      <c r="D381" s="2329"/>
      <c r="E381" s="2329"/>
      <c r="F381" s="2329"/>
      <c r="G381" s="2329"/>
      <c r="H381" s="2329"/>
      <c r="I381" s="2329"/>
      <c r="J381" s="2329"/>
      <c r="K381" s="2329"/>
      <c r="L381" s="2329"/>
      <c r="M381" s="2329"/>
      <c r="N381" s="2329"/>
      <c r="O381" s="2329"/>
      <c r="P381" s="1891"/>
      <c r="Q381" s="1891"/>
      <c r="R381" s="1891"/>
      <c r="S381" s="1891"/>
      <c r="T381" s="1891"/>
      <c r="U381" s="1891"/>
      <c r="V381" s="1891"/>
      <c r="W381" s="1891"/>
      <c r="X381" s="1891"/>
      <c r="Y381" s="1891"/>
      <c r="Z381" s="1891"/>
      <c r="AA381" s="1891"/>
      <c r="AB381" s="1891"/>
      <c r="AC381" s="1891"/>
      <c r="AD381" s="1891"/>
      <c r="AE381" s="1891"/>
      <c r="AF381" s="1891"/>
      <c r="AG381" s="1891"/>
      <c r="AH381" s="1891"/>
      <c r="AI381" s="1891"/>
      <c r="AN381" s="1891"/>
      <c r="AO381" s="1891"/>
      <c r="AT381" s="1891"/>
      <c r="AU381" s="1891"/>
      <c r="AV381" s="1891"/>
      <c r="AW381" s="1891"/>
      <c r="AX381" s="1891"/>
      <c r="AY381" s="1891"/>
      <c r="AZ381" s="1891"/>
      <c r="BA381" s="1891"/>
      <c r="BB381" s="1891"/>
      <c r="BC381" s="1891"/>
      <c r="BD381" s="1891"/>
      <c r="BE381" s="1891"/>
      <c r="BF381" s="1891"/>
      <c r="BG381" s="1891"/>
      <c r="BH381" s="1891"/>
      <c r="BI381" s="1891"/>
      <c r="BJ381" s="1891"/>
      <c r="BK381" s="1891"/>
      <c r="BL381" s="1891"/>
      <c r="BM381" s="1891"/>
      <c r="BN381" s="1891"/>
      <c r="BT381" s="1414"/>
      <c r="CC381" s="1914"/>
      <c r="CD381" s="1914"/>
      <c r="CE381" s="1914"/>
      <c r="CF381" s="1914"/>
      <c r="CG381" s="1914"/>
      <c r="CH381" s="1915"/>
      <c r="CI381" s="1915"/>
      <c r="CJ381" s="1915"/>
      <c r="CK381" s="1915"/>
      <c r="CL381" s="1914"/>
      <c r="CM381" s="1915"/>
      <c r="CN381" s="1915"/>
      <c r="CO381" s="1915"/>
      <c r="CP381" s="1915"/>
      <c r="CQ381" s="1915"/>
      <c r="CR381" s="1914"/>
      <c r="CS381" s="1914"/>
      <c r="CT381" s="1914"/>
      <c r="CU381" s="1914"/>
      <c r="CV381" s="1914"/>
      <c r="CW381" s="1914"/>
      <c r="CX381" s="1914"/>
      <c r="CY381" s="1914"/>
      <c r="CZ381" s="1914"/>
      <c r="DA381" s="1914"/>
      <c r="DB381" s="1914"/>
      <c r="DC381" s="1914"/>
      <c r="DD381" s="1914"/>
      <c r="DE381" s="1914"/>
      <c r="DF381" s="1914"/>
      <c r="DG381" s="1914"/>
      <c r="DH381" s="1914"/>
      <c r="DI381" s="1914"/>
      <c r="DJ381" s="1914"/>
      <c r="DK381" s="1914"/>
      <c r="DL381" s="1914"/>
      <c r="DM381" s="1914"/>
      <c r="DN381" s="1914"/>
      <c r="DO381" s="1914"/>
      <c r="DP381" s="1914"/>
      <c r="DQ381" s="1914"/>
      <c r="DR381" s="1914"/>
      <c r="DS381" s="1914"/>
      <c r="DT381" s="1914"/>
    </row>
    <row r="382" spans="1:132">
      <c r="C382" s="1713"/>
      <c r="D382" s="1713"/>
      <c r="E382" s="1713"/>
      <c r="F382" s="1713"/>
      <c r="G382" s="1713"/>
      <c r="H382" s="1713"/>
      <c r="I382" s="1713"/>
      <c r="J382" s="1713"/>
      <c r="K382" s="1713"/>
      <c r="L382" s="1713"/>
      <c r="M382" s="1713"/>
      <c r="N382" s="1713"/>
      <c r="O382" s="1713"/>
      <c r="P382" s="1891"/>
      <c r="Q382" s="1891"/>
      <c r="R382" s="1891"/>
      <c r="S382" s="1891"/>
      <c r="T382" s="1891"/>
      <c r="U382" s="1891"/>
      <c r="V382" s="1891"/>
      <c r="W382" s="1891"/>
      <c r="X382" s="1891"/>
      <c r="Y382" s="1891"/>
      <c r="Z382" s="1891"/>
      <c r="AA382" s="1891"/>
      <c r="AB382" s="1891"/>
      <c r="AC382" s="1891"/>
      <c r="AD382" s="1891"/>
      <c r="AE382" s="1891"/>
      <c r="AF382" s="1891"/>
      <c r="AG382" s="1891"/>
      <c r="AH382" s="1891"/>
      <c r="AI382" s="1891"/>
      <c r="AN382" s="1891"/>
      <c r="AO382" s="1891"/>
      <c r="AT382" s="1891"/>
      <c r="AU382" s="1891"/>
      <c r="AV382" s="1891"/>
      <c r="AW382" s="1891"/>
      <c r="AX382" s="1891"/>
      <c r="AY382" s="1891"/>
      <c r="AZ382" s="1891"/>
      <c r="BA382" s="1891"/>
      <c r="BB382" s="1891"/>
      <c r="BC382" s="1891"/>
      <c r="BD382" s="1891"/>
      <c r="BE382" s="1891"/>
      <c r="BF382" s="1891"/>
      <c r="BG382" s="1891"/>
      <c r="BH382" s="1891"/>
      <c r="BI382" s="1891"/>
      <c r="BJ382" s="1891"/>
      <c r="BK382" s="1891"/>
      <c r="BL382" s="1891"/>
      <c r="BM382" s="1891"/>
      <c r="BN382" s="1891"/>
      <c r="BT382" s="1414"/>
      <c r="CC382" s="1914"/>
      <c r="CD382" s="1914"/>
      <c r="CE382" s="1914"/>
      <c r="CF382" s="1914"/>
      <c r="CG382" s="1914"/>
      <c r="CH382" s="1915"/>
      <c r="CI382" s="1915"/>
      <c r="CJ382" s="1915"/>
      <c r="CK382" s="1915"/>
      <c r="CL382" s="1914"/>
      <c r="CM382" s="1915"/>
      <c r="CN382" s="1915"/>
      <c r="CO382" s="1915"/>
      <c r="CP382" s="1915"/>
      <c r="CQ382" s="1915"/>
      <c r="CR382" s="1914"/>
      <c r="CS382" s="1914"/>
      <c r="CT382" s="1914"/>
      <c r="CU382" s="1914"/>
      <c r="CV382" s="1914"/>
      <c r="CW382" s="1914"/>
      <c r="CX382" s="1914"/>
      <c r="CY382" s="1914"/>
      <c r="CZ382" s="1914"/>
      <c r="DA382" s="1914"/>
      <c r="DB382" s="1914"/>
      <c r="DC382" s="1914"/>
      <c r="DD382" s="1914"/>
      <c r="DE382" s="1914"/>
      <c r="DF382" s="1914"/>
      <c r="DG382" s="1914"/>
      <c r="DH382" s="1914"/>
      <c r="DI382" s="1914"/>
      <c r="DJ382" s="1914"/>
      <c r="DK382" s="1914"/>
      <c r="DL382" s="1914"/>
      <c r="DM382" s="1914"/>
      <c r="DN382" s="1914"/>
      <c r="DO382" s="1914"/>
      <c r="DP382" s="1914"/>
      <c r="DQ382" s="1914"/>
      <c r="DR382" s="1914"/>
      <c r="DS382" s="1914"/>
      <c r="DT382" s="1914"/>
    </row>
    <row r="383" spans="1:132">
      <c r="C383" s="1384" t="str">
        <f>Captura!C404</f>
        <v>Versión. 2026-1 Ro (09 marzo 2026)</v>
      </c>
      <c r="D383" s="1713"/>
      <c r="E383" s="1713"/>
      <c r="F383" s="1713"/>
      <c r="G383" s="1713"/>
      <c r="H383" s="1713"/>
      <c r="I383" s="1713"/>
      <c r="J383" s="1713"/>
      <c r="K383" s="1713"/>
      <c r="L383" s="1713"/>
      <c r="M383" s="1713"/>
      <c r="N383" s="1713" t="str">
        <f>Captura!O404</f>
        <v>BHF-034 (032026)</v>
      </c>
      <c r="O383" s="1713"/>
      <c r="P383" s="1891"/>
      <c r="Q383" s="1891"/>
      <c r="R383" s="1891"/>
      <c r="S383" s="1891"/>
      <c r="T383" s="1891"/>
      <c r="U383" s="1891"/>
      <c r="V383" s="1891"/>
      <c r="W383" s="1891"/>
      <c r="X383" s="1891"/>
      <c r="Y383" s="1891"/>
      <c r="Z383" s="1891"/>
      <c r="AA383" s="1891"/>
      <c r="AB383" s="1891"/>
      <c r="AC383" s="1891"/>
      <c r="AD383" s="1891"/>
      <c r="AE383" s="1891"/>
      <c r="AF383" s="1891"/>
      <c r="AG383" s="1891"/>
      <c r="AH383" s="1891"/>
      <c r="AI383" s="1891"/>
      <c r="AJ383" s="1713"/>
      <c r="AK383" s="1713"/>
      <c r="AL383" s="1713"/>
      <c r="AM383" s="1713"/>
      <c r="AN383" s="1713"/>
      <c r="AO383" s="1713"/>
      <c r="AT383" s="1713"/>
      <c r="AU383" s="1713"/>
      <c r="AV383" s="1713"/>
      <c r="AW383" s="1891"/>
      <c r="AX383" s="1891"/>
      <c r="AY383" s="1891"/>
      <c r="AZ383" s="1891"/>
      <c r="BA383" s="1891"/>
      <c r="BB383" s="1891"/>
      <c r="BC383" s="1891"/>
      <c r="BD383" s="1891"/>
      <c r="BE383" s="1891"/>
      <c r="BF383" s="1891"/>
      <c r="BG383" s="1891"/>
      <c r="BH383" s="1891"/>
      <c r="BI383" s="1891"/>
      <c r="BJ383" s="1891"/>
      <c r="BK383" s="1891"/>
      <c r="BL383" s="1891"/>
      <c r="BM383" s="1891"/>
      <c r="BN383" s="1891"/>
      <c r="BT383" s="1414"/>
      <c r="CC383" s="1914"/>
      <c r="CD383" s="1914"/>
      <c r="CE383" s="1914"/>
      <c r="CF383" s="1914"/>
      <c r="CG383" s="1914"/>
      <c r="CH383" s="1915"/>
      <c r="CI383" s="1915"/>
      <c r="CJ383" s="1915"/>
      <c r="CK383" s="1915"/>
      <c r="CL383" s="1914"/>
      <c r="CM383" s="1915"/>
      <c r="CN383" s="1915"/>
      <c r="CO383" s="1915"/>
      <c r="CP383" s="1915"/>
      <c r="CQ383" s="1915"/>
      <c r="CR383" s="1914"/>
      <c r="CS383" s="1914"/>
      <c r="CT383" s="1914"/>
      <c r="CU383" s="1914"/>
      <c r="CV383" s="1914"/>
      <c r="CW383" s="1914"/>
      <c r="CX383" s="1914"/>
      <c r="CY383" s="1914"/>
      <c r="CZ383" s="1914"/>
      <c r="DA383" s="1914"/>
      <c r="DB383" s="1914"/>
      <c r="DC383" s="1914"/>
      <c r="DD383" s="1914"/>
      <c r="DE383" s="1914"/>
      <c r="DF383" s="1914"/>
      <c r="DG383" s="1914"/>
      <c r="DH383" s="1914"/>
      <c r="DI383" s="1914"/>
      <c r="DJ383" s="1914"/>
      <c r="DK383" s="1914"/>
      <c r="DL383" s="1914"/>
      <c r="DM383" s="1914"/>
      <c r="DN383" s="1914"/>
      <c r="DO383" s="1914"/>
      <c r="DP383" s="1914"/>
      <c r="DQ383" s="1914"/>
      <c r="DR383" s="1914"/>
      <c r="DS383" s="1914"/>
      <c r="DT383" s="1914"/>
    </row>
    <row r="384" spans="1:132">
      <c r="C384" s="1713"/>
      <c r="D384" s="1713"/>
      <c r="E384" s="1713"/>
      <c r="F384" s="1713"/>
      <c r="G384" s="1713"/>
      <c r="H384" s="1713"/>
      <c r="I384" s="1713"/>
      <c r="J384" s="1713"/>
      <c r="K384" s="1713"/>
      <c r="L384" s="1713"/>
      <c r="M384" s="1713"/>
      <c r="N384" s="1713"/>
      <c r="O384" s="1713"/>
      <c r="P384" s="1891"/>
      <c r="Q384" s="1891"/>
      <c r="R384" s="1891"/>
      <c r="S384" s="1891"/>
      <c r="T384" s="1891"/>
      <c r="U384" s="1891"/>
      <c r="V384" s="1891"/>
      <c r="W384" s="1891"/>
      <c r="X384" s="1891"/>
      <c r="Y384" s="1891"/>
      <c r="Z384" s="1891"/>
      <c r="AA384" s="1891"/>
      <c r="AB384" s="1891"/>
      <c r="AC384" s="1891"/>
      <c r="AD384" s="1891"/>
      <c r="AE384" s="1891"/>
      <c r="AF384" s="1891"/>
      <c r="AG384" s="1891"/>
      <c r="AH384" s="1891"/>
      <c r="AI384" s="1891"/>
      <c r="AJ384" s="1524"/>
      <c r="AK384" s="1524"/>
      <c r="AL384" s="1524"/>
      <c r="AM384" s="1524"/>
      <c r="AN384" s="1524"/>
      <c r="AO384" s="1524"/>
      <c r="AT384" s="1524"/>
      <c r="AU384" s="1524"/>
      <c r="AV384" s="1524"/>
      <c r="AW384" s="1891"/>
      <c r="AX384" s="1891"/>
      <c r="AY384" s="1891"/>
      <c r="AZ384" s="1891"/>
      <c r="BA384" s="1891"/>
      <c r="BB384" s="1891"/>
      <c r="BC384" s="1891"/>
      <c r="BD384" s="1891"/>
      <c r="BE384" s="1891"/>
      <c r="BF384" s="1891"/>
      <c r="BG384" s="1891"/>
      <c r="BH384" s="1891"/>
      <c r="BI384" s="1891"/>
      <c r="BJ384" s="1891"/>
      <c r="BK384" s="1891"/>
      <c r="BL384" s="1891"/>
      <c r="BM384" s="1891"/>
      <c r="BN384" s="1891"/>
      <c r="BT384" s="1414"/>
      <c r="CC384" s="1914"/>
      <c r="CD384" s="1914"/>
      <c r="CE384" s="1914"/>
      <c r="CF384" s="1914"/>
      <c r="CG384" s="1914"/>
      <c r="CH384" s="1915"/>
      <c r="CI384" s="1915"/>
      <c r="CJ384" s="1915"/>
      <c r="CK384" s="1915"/>
      <c r="CL384" s="1914"/>
      <c r="CM384" s="1915"/>
      <c r="CN384" s="1915"/>
      <c r="CO384" s="1915"/>
      <c r="CP384" s="1915"/>
      <c r="CQ384" s="1915"/>
      <c r="CR384" s="1914"/>
      <c r="CS384" s="1914"/>
      <c r="CT384" s="1914"/>
      <c r="CU384" s="1914"/>
      <c r="CV384" s="1914"/>
      <c r="CW384" s="1914"/>
      <c r="CX384" s="1914"/>
      <c r="CY384" s="1914"/>
      <c r="CZ384" s="1914"/>
      <c r="DA384" s="1914"/>
      <c r="DB384" s="1914"/>
      <c r="DC384" s="1914"/>
      <c r="DD384" s="1914"/>
      <c r="DE384" s="1914"/>
      <c r="DF384" s="1914"/>
      <c r="DG384" s="1914"/>
      <c r="DH384" s="1914"/>
      <c r="DI384" s="1914"/>
      <c r="DJ384" s="1914"/>
      <c r="DK384" s="1914"/>
      <c r="DL384" s="1914"/>
      <c r="DM384" s="1914"/>
      <c r="DN384" s="1914"/>
      <c r="DO384" s="1914"/>
      <c r="DP384" s="1914"/>
      <c r="DQ384" s="1914"/>
      <c r="DR384" s="1914"/>
      <c r="DS384" s="1914"/>
      <c r="DT384" s="1914"/>
    </row>
    <row r="385" spans="3:124">
      <c r="C385" s="1713"/>
      <c r="D385" s="1713"/>
      <c r="E385" s="1713"/>
      <c r="F385" s="1713"/>
      <c r="G385" s="1713"/>
      <c r="H385" s="1713"/>
      <c r="I385" s="1713"/>
      <c r="J385" s="1713"/>
      <c r="K385" s="1713"/>
      <c r="L385" s="1713"/>
      <c r="M385" s="1713"/>
      <c r="N385" s="1713"/>
      <c r="O385" s="1713"/>
      <c r="P385" s="1891"/>
      <c r="Q385" s="1891"/>
      <c r="R385" s="1891"/>
      <c r="S385" s="1891"/>
      <c r="T385" s="1891"/>
      <c r="U385" s="1891"/>
      <c r="V385" s="1891"/>
      <c r="W385" s="1891"/>
      <c r="X385" s="1891"/>
      <c r="Y385" s="1891"/>
      <c r="Z385" s="1891"/>
      <c r="AA385" s="1891"/>
      <c r="AB385" s="1891"/>
      <c r="AC385" s="1891"/>
      <c r="AD385" s="1891"/>
      <c r="AE385" s="1891"/>
      <c r="AF385" s="1891"/>
      <c r="AG385" s="1891"/>
      <c r="AH385" s="1891"/>
      <c r="AI385" s="1891"/>
      <c r="AN385" s="1891"/>
      <c r="AO385" s="1891"/>
      <c r="AT385" s="1891"/>
      <c r="AU385" s="1891"/>
      <c r="AV385" s="1891"/>
      <c r="AW385" s="1891"/>
      <c r="AX385" s="1891"/>
      <c r="AY385" s="1891"/>
      <c r="AZ385" s="1891"/>
      <c r="BA385" s="1891"/>
      <c r="BB385" s="1891"/>
      <c r="BC385" s="1891"/>
      <c r="BD385" s="1891"/>
      <c r="BE385" s="1891"/>
      <c r="BF385" s="1891"/>
      <c r="BG385" s="1891"/>
      <c r="BH385" s="1891"/>
      <c r="BI385" s="1891"/>
      <c r="BJ385" s="1891"/>
      <c r="BK385" s="1891"/>
      <c r="BL385" s="1891"/>
      <c r="BM385" s="1891"/>
      <c r="BN385" s="1891"/>
      <c r="BT385" s="1414"/>
      <c r="CC385" s="1914"/>
      <c r="CD385" s="1914"/>
      <c r="CE385" s="1914"/>
      <c r="CF385" s="1914"/>
      <c r="CG385" s="1914"/>
      <c r="CH385" s="1915"/>
      <c r="CI385" s="1915"/>
      <c r="CJ385" s="1915"/>
      <c r="CK385" s="1915"/>
      <c r="CL385" s="1914"/>
      <c r="CM385" s="1915"/>
      <c r="CN385" s="1915"/>
      <c r="CO385" s="1915"/>
      <c r="CP385" s="1915"/>
      <c r="CQ385" s="1915"/>
      <c r="CR385" s="1914"/>
      <c r="CS385" s="1914"/>
      <c r="CT385" s="1914"/>
      <c r="CU385" s="1914"/>
      <c r="CV385" s="1914"/>
      <c r="CW385" s="1914"/>
      <c r="CX385" s="1914"/>
      <c r="CY385" s="1914"/>
      <c r="CZ385" s="1914"/>
      <c r="DA385" s="1914"/>
      <c r="DB385" s="1914"/>
      <c r="DC385" s="1914"/>
      <c r="DD385" s="1914"/>
      <c r="DE385" s="1914"/>
      <c r="DF385" s="1914"/>
      <c r="DG385" s="1914"/>
      <c r="DH385" s="1914"/>
      <c r="DI385" s="1914"/>
      <c r="DJ385" s="1914"/>
      <c r="DK385" s="1914"/>
      <c r="DL385" s="1914"/>
      <c r="DM385" s="1914"/>
      <c r="DN385" s="1914"/>
      <c r="DO385" s="1914"/>
      <c r="DP385" s="1914"/>
      <c r="DQ385" s="1914"/>
      <c r="DR385" s="1914"/>
      <c r="DS385" s="1914"/>
      <c r="DT385" s="1914"/>
    </row>
    <row r="386" spans="3:124">
      <c r="C386" s="1118"/>
      <c r="D386" s="1118"/>
      <c r="E386" s="1118"/>
      <c r="G386" s="1687"/>
      <c r="H386" s="1687"/>
      <c r="I386" s="1687"/>
      <c r="J386" s="1920"/>
      <c r="K386" s="1687"/>
      <c r="L386" s="1687"/>
      <c r="M386" s="1687"/>
      <c r="O386" s="1687"/>
      <c r="P386" s="1891"/>
      <c r="Q386" s="1891"/>
      <c r="R386" s="1891"/>
      <c r="S386" s="1891"/>
      <c r="T386" s="1891"/>
      <c r="U386" s="1891"/>
      <c r="V386" s="1891"/>
      <c r="W386" s="1891"/>
      <c r="X386" s="1891"/>
      <c r="Y386" s="1891"/>
      <c r="Z386" s="1891"/>
      <c r="AA386" s="1891"/>
      <c r="AB386" s="1891"/>
      <c r="AC386" s="1891"/>
      <c r="AD386" s="1891"/>
      <c r="AE386" s="1891"/>
      <c r="AF386" s="1891"/>
      <c r="AG386" s="1891"/>
      <c r="AH386" s="1891"/>
      <c r="AI386" s="1891"/>
      <c r="AN386" s="1891"/>
      <c r="AO386" s="1891"/>
      <c r="AT386" s="1891"/>
      <c r="AU386" s="1891"/>
      <c r="AV386" s="1891"/>
      <c r="AW386" s="1891"/>
      <c r="AX386" s="1891"/>
      <c r="AY386" s="1891"/>
      <c r="AZ386" s="1891"/>
      <c r="BA386" s="1891"/>
      <c r="BB386" s="1891"/>
      <c r="BC386" s="1891"/>
      <c r="BD386" s="1891"/>
      <c r="BE386" s="1891"/>
      <c r="BF386" s="1891"/>
      <c r="BG386" s="1891"/>
      <c r="BH386" s="1891"/>
      <c r="BI386" s="1891"/>
      <c r="BJ386" s="1891"/>
      <c r="BK386" s="1891"/>
      <c r="BL386" s="1891"/>
      <c r="BM386" s="1891"/>
      <c r="BN386" s="1891"/>
      <c r="BT386" s="1414"/>
      <c r="CH386" s="1108"/>
      <c r="CM386" s="1108"/>
    </row>
    <row r="387" spans="3:124">
      <c r="C387" s="1118"/>
      <c r="D387" s="1118"/>
      <c r="E387" s="1118"/>
      <c r="G387" s="1687"/>
      <c r="H387" s="1687"/>
      <c r="I387" s="1687"/>
      <c r="J387" s="1920"/>
      <c r="K387" s="1687"/>
      <c r="L387" s="1687"/>
      <c r="M387" s="1687"/>
      <c r="O387" s="1687"/>
      <c r="P387" s="1891"/>
      <c r="Q387" s="1891"/>
      <c r="R387" s="1891"/>
      <c r="S387" s="1891"/>
      <c r="T387" s="1891"/>
      <c r="U387" s="1891"/>
      <c r="V387" s="1891"/>
      <c r="W387" s="1891"/>
      <c r="X387" s="1891"/>
      <c r="Y387" s="1891"/>
      <c r="Z387" s="1891"/>
      <c r="AA387" s="1891"/>
      <c r="AB387" s="1891"/>
      <c r="AC387" s="1891"/>
      <c r="AD387" s="1891"/>
      <c r="AE387" s="1891"/>
      <c r="AF387" s="1891"/>
      <c r="AG387" s="1891"/>
      <c r="AH387" s="1891"/>
      <c r="AI387" s="1891"/>
      <c r="AN387" s="1891"/>
      <c r="AO387" s="1891"/>
      <c r="AT387" s="1891"/>
      <c r="AU387" s="1891"/>
      <c r="AV387" s="1891"/>
      <c r="AW387" s="1891"/>
      <c r="AX387" s="1891"/>
      <c r="AY387" s="1891"/>
      <c r="AZ387" s="1891"/>
      <c r="BA387" s="1891"/>
      <c r="BB387" s="1891"/>
      <c r="BC387" s="1891"/>
      <c r="BD387" s="1891"/>
      <c r="BE387" s="1891"/>
      <c r="BF387" s="1891"/>
      <c r="BG387" s="1891"/>
      <c r="BH387" s="1891"/>
      <c r="BI387" s="1891"/>
      <c r="BJ387" s="1891"/>
      <c r="BK387" s="1891"/>
      <c r="BL387" s="1891"/>
      <c r="BM387" s="1891"/>
      <c r="BN387" s="1891"/>
      <c r="BO387" s="1891"/>
      <c r="BP387" s="1891"/>
      <c r="BQ387" s="1891"/>
      <c r="BR387" s="1891"/>
      <c r="BS387" s="1891"/>
      <c r="BT387" s="1850"/>
      <c r="CH387" s="1108"/>
      <c r="CM387" s="1108"/>
    </row>
    <row r="388" spans="3:124">
      <c r="C388" s="1118"/>
      <c r="D388" s="1118"/>
      <c r="E388" s="1118"/>
      <c r="G388" s="1687"/>
      <c r="H388" s="1687"/>
      <c r="I388" s="1687"/>
      <c r="J388" s="1920"/>
      <c r="K388" s="1687"/>
      <c r="L388" s="1687"/>
      <c r="M388" s="1687"/>
      <c r="O388" s="1687"/>
      <c r="P388" s="1891"/>
      <c r="Q388" s="1891"/>
      <c r="R388" s="1891"/>
      <c r="S388" s="1891"/>
      <c r="T388" s="1891"/>
      <c r="U388" s="1891"/>
      <c r="V388" s="1891"/>
      <c r="W388" s="1891"/>
      <c r="X388" s="1891"/>
      <c r="Y388" s="1891"/>
      <c r="Z388" s="1891"/>
      <c r="AA388" s="1891"/>
      <c r="AB388" s="1891"/>
      <c r="AC388" s="1891"/>
      <c r="AD388" s="1891"/>
      <c r="AE388" s="1891"/>
      <c r="AF388" s="1891"/>
      <c r="AG388" s="1891"/>
      <c r="AH388" s="1891"/>
      <c r="AI388" s="1891"/>
      <c r="AN388" s="1891"/>
      <c r="AO388" s="1891"/>
      <c r="AT388" s="1891"/>
      <c r="AU388" s="1891"/>
      <c r="AV388" s="1891"/>
      <c r="AW388" s="1891"/>
      <c r="AX388" s="1891"/>
      <c r="AY388" s="1891"/>
      <c r="AZ388" s="1891"/>
      <c r="BA388" s="1891"/>
      <c r="BB388" s="1891"/>
      <c r="BC388" s="1891"/>
      <c r="BD388" s="1891"/>
      <c r="BE388" s="1891"/>
      <c r="BF388" s="1891"/>
      <c r="BG388" s="1891"/>
      <c r="BH388" s="1891"/>
      <c r="BI388" s="1891"/>
      <c r="BJ388" s="1891"/>
      <c r="BK388" s="1891"/>
      <c r="BL388" s="1891"/>
      <c r="BM388" s="1891"/>
      <c r="BN388" s="1891"/>
      <c r="BO388" s="1891"/>
      <c r="BP388" s="1891"/>
      <c r="BQ388" s="1891"/>
      <c r="BR388" s="1891"/>
      <c r="BS388" s="1891"/>
      <c r="BT388" s="1850"/>
      <c r="CH388" s="1108"/>
      <c r="CM388" s="1108"/>
    </row>
    <row r="389" spans="3:124">
      <c r="C389" s="1118"/>
      <c r="D389" s="1118"/>
      <c r="E389" s="1118"/>
      <c r="G389" s="1687"/>
      <c r="H389" s="1687"/>
      <c r="I389" s="1687"/>
      <c r="J389" s="1920"/>
      <c r="K389" s="1687"/>
      <c r="L389" s="1687"/>
      <c r="M389" s="1687"/>
      <c r="O389" s="1687"/>
      <c r="P389" s="1891"/>
      <c r="Q389" s="1891"/>
      <c r="R389" s="1891"/>
      <c r="S389" s="1891"/>
      <c r="T389" s="1891"/>
      <c r="U389" s="1891"/>
      <c r="V389" s="1891"/>
      <c r="W389" s="1891"/>
      <c r="X389" s="1891"/>
      <c r="Y389" s="1891"/>
      <c r="Z389" s="1891"/>
      <c r="AA389" s="1891"/>
      <c r="AB389" s="1891"/>
      <c r="AC389" s="1891"/>
      <c r="AD389" s="1891"/>
      <c r="AE389" s="1891"/>
      <c r="AF389" s="1891"/>
      <c r="AG389" s="1891"/>
      <c r="AH389" s="1891"/>
      <c r="AI389" s="1891"/>
      <c r="AN389" s="1891"/>
      <c r="AO389" s="1891"/>
      <c r="AT389" s="1891"/>
      <c r="AU389" s="1891"/>
      <c r="AV389" s="1891"/>
      <c r="AW389" s="1891"/>
      <c r="AX389" s="1891"/>
      <c r="AY389" s="1891"/>
      <c r="AZ389" s="1891"/>
      <c r="BA389" s="1891"/>
      <c r="BB389" s="1891"/>
      <c r="BC389" s="1891"/>
      <c r="BD389" s="1891"/>
      <c r="BE389" s="1891"/>
      <c r="BF389" s="1891"/>
      <c r="BG389" s="1891"/>
      <c r="BH389" s="1891"/>
      <c r="BI389" s="1891"/>
      <c r="BJ389" s="1891"/>
      <c r="BK389" s="1891"/>
      <c r="BL389" s="1891"/>
      <c r="BM389" s="1891"/>
      <c r="BN389" s="1891"/>
      <c r="BO389" s="1891"/>
      <c r="BP389" s="1891"/>
      <c r="BQ389" s="1891"/>
      <c r="BR389" s="1891"/>
      <c r="BS389" s="1891"/>
      <c r="BT389" s="1850"/>
      <c r="CH389" s="1108"/>
      <c r="CM389" s="1108"/>
    </row>
    <row r="390" spans="3:124">
      <c r="C390" s="1118"/>
      <c r="D390" s="1118"/>
      <c r="E390" s="1118"/>
      <c r="G390" s="1687"/>
      <c r="H390" s="1687"/>
      <c r="I390" s="1687"/>
      <c r="J390" s="1920"/>
      <c r="K390" s="1687"/>
      <c r="L390" s="1687"/>
      <c r="M390" s="1687"/>
      <c r="O390" s="1687"/>
      <c r="P390" s="1891"/>
      <c r="Q390" s="1891"/>
      <c r="R390" s="1891"/>
      <c r="S390" s="1891"/>
      <c r="T390" s="1891"/>
      <c r="U390" s="1891"/>
      <c r="V390" s="1891"/>
      <c r="W390" s="1891"/>
      <c r="X390" s="1891"/>
      <c r="Y390" s="1891"/>
      <c r="Z390" s="1891"/>
      <c r="AA390" s="1891"/>
      <c r="AB390" s="1891"/>
      <c r="AC390" s="1891"/>
      <c r="AD390" s="1891"/>
      <c r="AE390" s="1891"/>
      <c r="AF390" s="1891"/>
      <c r="AG390" s="1891"/>
      <c r="AH390" s="1891"/>
      <c r="AI390" s="1891"/>
      <c r="AN390" s="1891"/>
      <c r="AO390" s="1891"/>
      <c r="AT390" s="1891"/>
      <c r="AU390" s="1891"/>
      <c r="AV390" s="1891"/>
      <c r="AW390" s="1891"/>
      <c r="AX390" s="1891"/>
      <c r="AY390" s="1891"/>
      <c r="AZ390" s="1891"/>
      <c r="BA390" s="1891"/>
      <c r="BB390" s="1891"/>
      <c r="BC390" s="1891"/>
      <c r="BD390" s="1891"/>
      <c r="BE390" s="1891"/>
      <c r="BF390" s="1891"/>
      <c r="BG390" s="1891"/>
      <c r="BH390" s="1891"/>
      <c r="BI390" s="1891"/>
      <c r="BJ390" s="1891"/>
      <c r="BK390" s="1891"/>
      <c r="BL390" s="1891"/>
      <c r="BM390" s="1891"/>
      <c r="BN390" s="1891"/>
      <c r="BO390" s="1891"/>
      <c r="BP390" s="1891"/>
      <c r="BQ390" s="1891"/>
      <c r="BR390" s="1891"/>
      <c r="BS390" s="1891"/>
      <c r="BT390" s="1414"/>
    </row>
    <row r="391" spans="3:124">
      <c r="C391" s="1118"/>
      <c r="D391" s="1118"/>
      <c r="E391" s="1118"/>
      <c r="G391" s="1687"/>
      <c r="H391" s="1687"/>
      <c r="I391" s="1687"/>
      <c r="J391" s="1920"/>
      <c r="K391" s="1687"/>
      <c r="L391" s="1687"/>
      <c r="M391" s="1687"/>
      <c r="O391" s="1687"/>
      <c r="P391" s="1891"/>
      <c r="Q391" s="1891"/>
      <c r="R391" s="1891"/>
      <c r="S391" s="1891"/>
      <c r="T391" s="1891"/>
      <c r="U391" s="1891"/>
      <c r="V391" s="1891"/>
      <c r="W391" s="1891"/>
      <c r="X391" s="1891"/>
      <c r="Y391" s="1891"/>
      <c r="Z391" s="1891"/>
      <c r="AA391" s="1891"/>
      <c r="AB391" s="1891"/>
      <c r="AC391" s="1891"/>
      <c r="AD391" s="1891"/>
      <c r="AE391" s="1891"/>
      <c r="AF391" s="1891"/>
      <c r="AG391" s="1891"/>
      <c r="AH391" s="1891"/>
      <c r="AI391" s="1891"/>
      <c r="AN391" s="1891"/>
      <c r="AO391" s="1891"/>
      <c r="AT391" s="1891"/>
      <c r="AU391" s="1891"/>
      <c r="AV391" s="1891"/>
      <c r="AW391" s="1891"/>
      <c r="AX391" s="1891"/>
      <c r="AY391" s="1891"/>
      <c r="AZ391" s="1891"/>
      <c r="BA391" s="1891"/>
      <c r="BB391" s="1891"/>
      <c r="BC391" s="1891"/>
      <c r="BD391" s="1891"/>
      <c r="BE391" s="1891"/>
      <c r="BF391" s="1891"/>
      <c r="BG391" s="1891"/>
      <c r="BH391" s="1891"/>
      <c r="BI391" s="1891"/>
      <c r="BJ391" s="1891"/>
      <c r="BK391" s="1891"/>
      <c r="BL391" s="1891"/>
      <c r="BM391" s="1891"/>
      <c r="BN391" s="1891"/>
      <c r="BO391" s="1891"/>
      <c r="BP391" s="1891"/>
      <c r="BQ391" s="1891"/>
      <c r="BR391" s="1891"/>
      <c r="BS391" s="1891"/>
      <c r="BT391" s="1414"/>
    </row>
    <row r="392" spans="3:124">
      <c r="BT392" s="1414"/>
    </row>
    <row r="393" spans="3:124">
      <c r="BT393" s="1414"/>
    </row>
    <row r="394" spans="3:124">
      <c r="BT394" s="1414"/>
    </row>
    <row r="395" spans="3:124">
      <c r="BT395" s="1414"/>
    </row>
    <row r="396" spans="3:124">
      <c r="BT396" s="1414"/>
    </row>
    <row r="397" spans="3:124">
      <c r="BT397" s="1414"/>
    </row>
    <row r="398" spans="3:124">
      <c r="BT398" s="1414"/>
    </row>
    <row r="399" spans="3:124">
      <c r="BT399" s="1414"/>
    </row>
    <row r="400" spans="3:124">
      <c r="BT400" s="1414"/>
    </row>
    <row r="401" spans="72:72">
      <c r="BT401" s="1414"/>
    </row>
    <row r="402" spans="72:72">
      <c r="BT402" s="1414"/>
    </row>
    <row r="403" spans="72:72">
      <c r="BT403" s="1414"/>
    </row>
    <row r="404" spans="72:72">
      <c r="BT404" s="1414"/>
    </row>
    <row r="405" spans="72:72">
      <c r="BT405" s="1414"/>
    </row>
    <row r="406" spans="72:72">
      <c r="BT406" s="1414"/>
    </row>
    <row r="407" spans="72:72">
      <c r="BT407" s="1414"/>
    </row>
    <row r="408" spans="72:72">
      <c r="BT408" s="1414"/>
    </row>
    <row r="409" spans="72:72">
      <c r="BT409" s="1414"/>
    </row>
    <row r="410" spans="72:72">
      <c r="BT410" s="1414"/>
    </row>
    <row r="411" spans="72:72">
      <c r="BT411" s="1414"/>
    </row>
    <row r="412" spans="72:72">
      <c r="BT412" s="1414"/>
    </row>
    <row r="413" spans="72:72">
      <c r="BT413" s="1414"/>
    </row>
    <row r="414" spans="72:72">
      <c r="BT414" s="1414"/>
    </row>
    <row r="415" spans="72:72">
      <c r="BT415" s="1414"/>
    </row>
    <row r="416" spans="72:72">
      <c r="BT416" s="1414"/>
    </row>
    <row r="417" spans="72:72">
      <c r="BT417" s="1414"/>
    </row>
    <row r="418" spans="72:72">
      <c r="BT418" s="1414"/>
    </row>
    <row r="419" spans="72:72">
      <c r="BT419" s="1414"/>
    </row>
    <row r="420" spans="72:72">
      <c r="BT420" s="1414"/>
    </row>
    <row r="421" spans="72:72">
      <c r="BT421" s="1414"/>
    </row>
    <row r="422" spans="72:72">
      <c r="BT422" s="1414"/>
    </row>
    <row r="423" spans="72:72">
      <c r="BT423" s="1414"/>
    </row>
    <row r="424" spans="72:72">
      <c r="BT424" s="1414"/>
    </row>
    <row r="425" spans="72:72">
      <c r="BT425" s="1414"/>
    </row>
    <row r="426" spans="72:72">
      <c r="BT426" s="1414"/>
    </row>
    <row r="427" spans="72:72">
      <c r="BT427" s="1414"/>
    </row>
    <row r="428" spans="72:72">
      <c r="BT428" s="1414"/>
    </row>
    <row r="429" spans="72:72">
      <c r="BT429" s="1414"/>
    </row>
    <row r="430" spans="72:72">
      <c r="BT430" s="1414"/>
    </row>
    <row r="431" spans="72:72">
      <c r="BT431" s="1414"/>
    </row>
    <row r="432" spans="72:72">
      <c r="BT432" s="1414"/>
    </row>
    <row r="433" spans="72:72">
      <c r="BT433" s="1414"/>
    </row>
    <row r="434" spans="72:72">
      <c r="BT434" s="1414"/>
    </row>
    <row r="435" spans="72:72">
      <c r="BT435" s="1414"/>
    </row>
    <row r="436" spans="72:72">
      <c r="BT436" s="1414"/>
    </row>
    <row r="437" spans="72:72">
      <c r="BT437" s="1414"/>
    </row>
    <row r="438" spans="72:72">
      <c r="BT438" s="1414"/>
    </row>
    <row r="439" spans="72:72">
      <c r="BT439" s="1414"/>
    </row>
    <row r="440" spans="72:72">
      <c r="BT440" s="1414"/>
    </row>
    <row r="441" spans="72:72">
      <c r="BT441" s="1414"/>
    </row>
    <row r="442" spans="72:72">
      <c r="BT442" s="1414"/>
    </row>
    <row r="443" spans="72:72">
      <c r="BT443" s="1414"/>
    </row>
    <row r="444" spans="72:72">
      <c r="BT444" s="1414"/>
    </row>
    <row r="445" spans="72:72">
      <c r="BT445" s="1414"/>
    </row>
    <row r="446" spans="72:72">
      <c r="BT446" s="1414"/>
    </row>
    <row r="447" spans="72:72">
      <c r="BT447" s="1414"/>
    </row>
    <row r="448" spans="72:72">
      <c r="BT448" s="1414"/>
    </row>
    <row r="449" spans="72:72">
      <c r="BT449" s="1414"/>
    </row>
    <row r="450" spans="72:72">
      <c r="BT450" s="1414"/>
    </row>
    <row r="451" spans="72:72">
      <c r="BT451" s="1414"/>
    </row>
    <row r="452" spans="72:72">
      <c r="BT452" s="1414"/>
    </row>
    <row r="453" spans="72:72">
      <c r="BT453" s="1414"/>
    </row>
    <row r="454" spans="72:72">
      <c r="BT454" s="1414"/>
    </row>
    <row r="455" spans="72:72">
      <c r="BT455" s="1414"/>
    </row>
    <row r="456" spans="72:72">
      <c r="BT456" s="1414"/>
    </row>
    <row r="457" spans="72:72">
      <c r="BT457" s="1414"/>
    </row>
    <row r="458" spans="72:72">
      <c r="BT458" s="1414"/>
    </row>
    <row r="459" spans="72:72">
      <c r="BT459" s="1414"/>
    </row>
    <row r="460" spans="72:72">
      <c r="BT460" s="1414"/>
    </row>
    <row r="461" spans="72:72">
      <c r="BT461" s="1414"/>
    </row>
    <row r="462" spans="72:72">
      <c r="BT462" s="1414"/>
    </row>
    <row r="463" spans="72:72">
      <c r="BT463" s="1414"/>
    </row>
    <row r="464" spans="72:72">
      <c r="BT464" s="1414"/>
    </row>
    <row r="465" spans="72:72">
      <c r="BT465" s="1414"/>
    </row>
    <row r="466" spans="72:72">
      <c r="BT466" s="1414"/>
    </row>
    <row r="467" spans="72:72">
      <c r="BT467" s="1414"/>
    </row>
    <row r="468" spans="72:72">
      <c r="BT468" s="1414"/>
    </row>
    <row r="469" spans="72:72">
      <c r="BT469" s="1414"/>
    </row>
    <row r="470" spans="72:72">
      <c r="BT470" s="1414"/>
    </row>
    <row r="471" spans="72:72">
      <c r="BT471" s="1414"/>
    </row>
    <row r="472" spans="72:72">
      <c r="BT472" s="1414"/>
    </row>
    <row r="473" spans="72:72">
      <c r="BT473" s="1414"/>
    </row>
    <row r="474" spans="72:72">
      <c r="BT474" s="1414"/>
    </row>
    <row r="475" spans="72:72">
      <c r="BT475" s="1414"/>
    </row>
    <row r="476" spans="72:72">
      <c r="BT476" s="1414"/>
    </row>
    <row r="477" spans="72:72">
      <c r="BT477" s="1414"/>
    </row>
    <row r="478" spans="72:72">
      <c r="BT478" s="1414"/>
    </row>
    <row r="479" spans="72:72">
      <c r="BT479" s="1414"/>
    </row>
    <row r="480" spans="72:72">
      <c r="BT480" s="1414"/>
    </row>
    <row r="481" spans="72:72">
      <c r="BT481" s="1414"/>
    </row>
    <row r="482" spans="72:72">
      <c r="BT482" s="1414"/>
    </row>
  </sheetData>
  <sheetProtection algorithmName="SHA-512" hashValue="PmXK1cH/hwIChUpJwfr6EGXPmO7D85Vg3OJP7IyeLNR2ERfpLP5AfBrF+KK0GK7Q6HHnUFAi2i0j4OFW6ptW5Q==" saltValue="ZHhKr/IfcopsjTSrajsspQ==" spinCount="100000" sheet="1" objects="1" scenarios="1"/>
  <sortState xmlns:xlrd2="http://schemas.microsoft.com/office/spreadsheetml/2017/richdata2" ref="CN2:CN9">
    <sortCondition ref="CN2:CN9"/>
  </sortState>
  <mergeCells count="74">
    <mergeCell ref="BY3:CA3"/>
    <mergeCell ref="BS4:BU4"/>
    <mergeCell ref="BV4:BX4"/>
    <mergeCell ref="BY4:CA4"/>
    <mergeCell ref="L20:O20"/>
    <mergeCell ref="AY3:AZ3"/>
    <mergeCell ref="AX1:BA1"/>
    <mergeCell ref="C381:O381"/>
    <mergeCell ref="BS1:BX1"/>
    <mergeCell ref="BS3:BU3"/>
    <mergeCell ref="BV3:BX3"/>
    <mergeCell ref="D31:G31"/>
    <mergeCell ref="M1:N1"/>
    <mergeCell ref="E5:H5"/>
    <mergeCell ref="D8:G8"/>
    <mergeCell ref="L8:N8"/>
    <mergeCell ref="D9:F9"/>
    <mergeCell ref="F10:G10"/>
    <mergeCell ref="I17:J18"/>
    <mergeCell ref="F22:G22"/>
    <mergeCell ref="D34:E36"/>
    <mergeCell ref="I34:J34"/>
    <mergeCell ref="I36:J36"/>
    <mergeCell ref="F24:G24"/>
    <mergeCell ref="C28:O28"/>
    <mergeCell ref="C29:O29"/>
    <mergeCell ref="H32:J32"/>
    <mergeCell ref="L32:N32"/>
    <mergeCell ref="F33:G33"/>
    <mergeCell ref="F34:G36"/>
    <mergeCell ref="D37:E37"/>
    <mergeCell ref="I37:J37"/>
    <mergeCell ref="L37:N38"/>
    <mergeCell ref="D38:E38"/>
    <mergeCell ref="D42:G42"/>
    <mergeCell ref="I42:O42"/>
    <mergeCell ref="F37:G37"/>
    <mergeCell ref="F38:G38"/>
    <mergeCell ref="C380:O380"/>
    <mergeCell ref="C372:O372"/>
    <mergeCell ref="C373:O373"/>
    <mergeCell ref="C374:O374"/>
    <mergeCell ref="C375:O375"/>
    <mergeCell ref="C376:O376"/>
    <mergeCell ref="C377:O377"/>
    <mergeCell ref="C378:O378"/>
    <mergeCell ref="C379:O379"/>
    <mergeCell ref="C371:O371"/>
    <mergeCell ref="D50:E50"/>
    <mergeCell ref="L50:M50"/>
    <mergeCell ref="N50:O50"/>
    <mergeCell ref="I51:O53"/>
    <mergeCell ref="D54:F54"/>
    <mergeCell ref="I54:O54"/>
    <mergeCell ref="D61:G61"/>
    <mergeCell ref="C369:O369"/>
    <mergeCell ref="C370:O370"/>
    <mergeCell ref="I55:J55"/>
    <mergeCell ref="N49:O49"/>
    <mergeCell ref="D43:G43"/>
    <mergeCell ref="I43:O43"/>
    <mergeCell ref="D46:E46"/>
    <mergeCell ref="F45:G45"/>
    <mergeCell ref="L45:M45"/>
    <mergeCell ref="N45:O45"/>
    <mergeCell ref="N44:O44"/>
    <mergeCell ref="D45:E45"/>
    <mergeCell ref="L46:M46"/>
    <mergeCell ref="N46:O46"/>
    <mergeCell ref="L47:M47"/>
    <mergeCell ref="N47:O47"/>
    <mergeCell ref="L48:M48"/>
    <mergeCell ref="N48:O48"/>
    <mergeCell ref="L49:M49"/>
  </mergeCells>
  <conditionalFormatting sqref="J386:J391 J366">
    <cfRule type="expression" dxfId="99" priority="66" stopIfTrue="1">
      <formula>#REF!=1</formula>
    </cfRule>
    <cfRule type="expression" dxfId="98" priority="67" stopIfTrue="1">
      <formula>#REF!&gt;0</formula>
    </cfRule>
  </conditionalFormatting>
  <conditionalFormatting sqref="O65">
    <cfRule type="expression" dxfId="97" priority="68" stopIfTrue="1">
      <formula>#REF!=1</formula>
    </cfRule>
    <cfRule type="expression" dxfId="96" priority="69" stopIfTrue="1">
      <formula>#REF!&gt;0</formula>
    </cfRule>
  </conditionalFormatting>
  <conditionalFormatting sqref="AK66:AM67 AL79:AM82 AL68:AM76 AL85:AM305 AK68:AK365">
    <cfRule type="cellIs" dxfId="95" priority="70" stopIfTrue="1" operator="greaterThan">
      <formula>0</formula>
    </cfRule>
  </conditionalFormatting>
  <conditionalFormatting sqref="K63">
    <cfRule type="cellIs" dxfId="94" priority="71" stopIfTrue="1" operator="greaterThan">
      <formula>""""""</formula>
    </cfRule>
  </conditionalFormatting>
  <conditionalFormatting sqref="M63">
    <cfRule type="cellIs" dxfId="93" priority="72" stopIfTrue="1" operator="greaterThan">
      <formula>""""""</formula>
    </cfRule>
  </conditionalFormatting>
  <conditionalFormatting sqref="AG63:AI63">
    <cfRule type="cellIs" dxfId="92" priority="75" stopIfTrue="1" operator="greaterThan">
      <formula>""""""</formula>
    </cfRule>
  </conditionalFormatting>
  <conditionalFormatting sqref="E60">
    <cfRule type="expression" dxfId="91" priority="76" stopIfTrue="1">
      <formula>#REF!&gt;0</formula>
    </cfRule>
  </conditionalFormatting>
  <conditionalFormatting sqref="M62">
    <cfRule type="cellIs" dxfId="90" priority="65" operator="greaterThan">
      <formula>""""""</formula>
    </cfRule>
  </conditionalFormatting>
  <conditionalFormatting sqref="F10">
    <cfRule type="containsBlanks" dxfId="89" priority="64">
      <formula>LEN(TRIM(F10))=0</formula>
    </cfRule>
  </conditionalFormatting>
  <conditionalFormatting sqref="G15">
    <cfRule type="expression" dxfId="88" priority="43">
      <formula>$E$15&gt;""</formula>
    </cfRule>
    <cfRule type="containsBlanks" dxfId="87" priority="63">
      <formula>LEN(TRIM(G15))=0</formula>
    </cfRule>
  </conditionalFormatting>
  <conditionalFormatting sqref="G16">
    <cfRule type="expression" dxfId="86" priority="46">
      <formula>$E$16&gt;""</formula>
    </cfRule>
    <cfRule type="containsBlanks" dxfId="85" priority="62">
      <formula>LEN(TRIM(G16))=0</formula>
    </cfRule>
  </conditionalFormatting>
  <conditionalFormatting sqref="F22">
    <cfRule type="containsBlanks" dxfId="84" priority="60">
      <formula>LEN(TRIM(F22))=0</formula>
    </cfRule>
  </conditionalFormatting>
  <conditionalFormatting sqref="F24">
    <cfRule type="containsBlanks" dxfId="83" priority="59">
      <formula>LEN(TRIM(F24))=0</formula>
    </cfRule>
  </conditionalFormatting>
  <conditionalFormatting sqref="G21">
    <cfRule type="containsBlanks" dxfId="82" priority="58">
      <formula>LEN(TRIM(G21))=0</formula>
    </cfRule>
  </conditionalFormatting>
  <conditionalFormatting sqref="M12">
    <cfRule type="containsBlanks" dxfId="81" priority="57">
      <formula>LEN(TRIM(M12))=0</formula>
    </cfRule>
  </conditionalFormatting>
  <conditionalFormatting sqref="C28:O28">
    <cfRule type="cellIs" dxfId="80" priority="56" operator="greaterThan">
      <formula>""""""</formula>
    </cfRule>
  </conditionalFormatting>
  <conditionalFormatting sqref="I63">
    <cfRule type="cellIs" dxfId="79" priority="55" stopIfTrue="1" operator="greaterThan">
      <formula>""""""</formula>
    </cfRule>
  </conditionalFormatting>
  <conditionalFormatting sqref="J63">
    <cfRule type="cellIs" dxfId="78" priority="54" stopIfTrue="1" operator="greaterThan">
      <formula>""""""</formula>
    </cfRule>
  </conditionalFormatting>
  <conditionalFormatting sqref="H63">
    <cfRule type="cellIs" dxfId="77" priority="53" stopIfTrue="1" operator="greaterThan">
      <formula>""""""</formula>
    </cfRule>
  </conditionalFormatting>
  <conditionalFormatting sqref="P63:AF63">
    <cfRule type="cellIs" dxfId="76" priority="52" stopIfTrue="1" operator="greaterThan">
      <formula>""""""</formula>
    </cfRule>
  </conditionalFormatting>
  <conditionalFormatting sqref="P68:AF68">
    <cfRule type="cellIs" dxfId="75" priority="51" operator="greaterThan">
      <formula>0</formula>
    </cfRule>
  </conditionalFormatting>
  <conditionalFormatting sqref="N68">
    <cfRule type="expression" dxfId="74" priority="50">
      <formula>$P$68&gt;0</formula>
    </cfRule>
  </conditionalFormatting>
  <conditionalFormatting sqref="N74">
    <cfRule type="expression" dxfId="73" priority="49">
      <formula>$P$74&gt;0</formula>
    </cfRule>
  </conditionalFormatting>
  <conditionalFormatting sqref="K18">
    <cfRule type="expression" dxfId="72" priority="45">
      <formula>AND($I$17="",$K$18&gt;0)</formula>
    </cfRule>
    <cfRule type="expression" dxfId="71" priority="77" stopIfTrue="1">
      <formula>AND($I$17&gt;"",$K$18=0)</formula>
    </cfRule>
  </conditionalFormatting>
  <conditionalFormatting sqref="F44">
    <cfRule type="cellIs" dxfId="70" priority="48" operator="greaterThan">
      <formula>0</formula>
    </cfRule>
  </conditionalFormatting>
  <conditionalFormatting sqref="E16">
    <cfRule type="cellIs" dxfId="69" priority="47" operator="greaterThan">
      <formula>""""""</formula>
    </cfRule>
  </conditionalFormatting>
  <conditionalFormatting sqref="E15">
    <cfRule type="cellIs" dxfId="68" priority="44" operator="greaterThan">
      <formula>""""""</formula>
    </cfRule>
  </conditionalFormatting>
  <conditionalFormatting sqref="I34:J34">
    <cfRule type="expression" dxfId="67" priority="78">
      <formula>$H$32=""</formula>
    </cfRule>
    <cfRule type="expression" dxfId="66" priority="79">
      <formula>$H$32&gt;""</formula>
    </cfRule>
  </conditionalFormatting>
  <conditionalFormatting sqref="G13">
    <cfRule type="containsBlanks" dxfId="65" priority="42">
      <formula>LEN(TRIM(G13))=0</formula>
    </cfRule>
  </conditionalFormatting>
  <conditionalFormatting sqref="I22">
    <cfRule type="expression" dxfId="64" priority="39">
      <formula>AND($H$22="",$I$22&gt;0)</formula>
    </cfRule>
    <cfRule type="expression" dxfId="63" priority="40">
      <formula>AND($H$22&lt;&gt;"",$I$22=0)</formula>
    </cfRule>
    <cfRule type="cellIs" dxfId="62" priority="41" operator="greaterThan">
      <formula>0</formula>
    </cfRule>
  </conditionalFormatting>
  <conditionalFormatting sqref="G12">
    <cfRule type="containsBlanks" dxfId="61" priority="36">
      <formula>LEN(TRIM(G12))=0</formula>
    </cfRule>
  </conditionalFormatting>
  <conditionalFormatting sqref="G17">
    <cfRule type="cellIs" dxfId="60" priority="34" operator="greaterThan">
      <formula>0</formula>
    </cfRule>
    <cfRule type="containsBlanks" dxfId="59" priority="35">
      <formula>LEN(TRIM(G17))=0</formula>
    </cfRule>
  </conditionalFormatting>
  <conditionalFormatting sqref="P71:AF71">
    <cfRule type="cellIs" dxfId="58" priority="33" operator="greaterThan">
      <formula>0</formula>
    </cfRule>
  </conditionalFormatting>
  <conditionalFormatting sqref="P74:AF74">
    <cfRule type="cellIs" dxfId="57" priority="32" operator="greaterThan">
      <formula>0</formula>
    </cfRule>
  </conditionalFormatting>
  <conditionalFormatting sqref="N71">
    <cfRule type="expression" dxfId="56" priority="31">
      <formula>$P$71&gt;0</formula>
    </cfRule>
  </conditionalFormatting>
  <conditionalFormatting sqref="N84">
    <cfRule type="expression" dxfId="55" priority="30">
      <formula>$P$84&gt;0</formula>
    </cfRule>
  </conditionalFormatting>
  <conditionalFormatting sqref="P69:AF69">
    <cfRule type="cellIs" dxfId="54" priority="29" operator="greaterThan">
      <formula>0</formula>
    </cfRule>
  </conditionalFormatting>
  <conditionalFormatting sqref="P73:AF73">
    <cfRule type="cellIs" dxfId="53" priority="28" operator="greaterThan">
      <formula>0</formula>
    </cfRule>
  </conditionalFormatting>
  <conditionalFormatting sqref="P77:AF77">
    <cfRule type="cellIs" dxfId="52" priority="27" operator="greaterThan">
      <formula>0</formula>
    </cfRule>
  </conditionalFormatting>
  <conditionalFormatting sqref="P81:AF81">
    <cfRule type="cellIs" dxfId="51" priority="26" operator="greaterThan">
      <formula>0</formula>
    </cfRule>
  </conditionalFormatting>
  <conditionalFormatting sqref="N69">
    <cfRule type="expression" dxfId="50" priority="25">
      <formula>$P$69&gt;0</formula>
    </cfRule>
  </conditionalFormatting>
  <conditionalFormatting sqref="N73">
    <cfRule type="expression" dxfId="49" priority="24">
      <formula>$P$73&gt;0</formula>
    </cfRule>
  </conditionalFormatting>
  <conditionalFormatting sqref="N81">
    <cfRule type="expression" dxfId="48" priority="23">
      <formula>$P$81&gt;0</formula>
    </cfRule>
  </conditionalFormatting>
  <conditionalFormatting sqref="N77">
    <cfRule type="expression" dxfId="47" priority="22">
      <formula>$P$77&gt;0</formula>
    </cfRule>
  </conditionalFormatting>
  <conditionalFormatting sqref="G18">
    <cfRule type="containsBlanks" dxfId="46" priority="20">
      <formula>LEN(TRIM(G18))=0</formula>
    </cfRule>
  </conditionalFormatting>
  <conditionalFormatting sqref="I55:J55">
    <cfRule type="cellIs" dxfId="45" priority="19" operator="greaterThan">
      <formula>""</formula>
    </cfRule>
  </conditionalFormatting>
  <conditionalFormatting sqref="BH58:BH59">
    <cfRule type="cellIs" dxfId="44" priority="18" stopIfTrue="1" operator="greaterThan">
      <formula>0</formula>
    </cfRule>
  </conditionalFormatting>
  <conditionalFormatting sqref="BI366:BL366 BI67:BK365 BO366:BR366 BP68:BQ365 BO67:BO365">
    <cfRule type="cellIs" dxfId="43" priority="16" stopIfTrue="1" operator="lessThanOrEqual">
      <formula>0</formula>
    </cfRule>
  </conditionalFormatting>
  <conditionalFormatting sqref="BI66:BL66 BL67:BL365">
    <cfRule type="cellIs" dxfId="42" priority="17" stopIfTrue="1" operator="lessThanOrEqual">
      <formula>0</formula>
    </cfRule>
  </conditionalFormatting>
  <conditionalFormatting sqref="G14">
    <cfRule type="expression" dxfId="41" priority="14">
      <formula>$D$14&gt;""</formula>
    </cfRule>
  </conditionalFormatting>
  <conditionalFormatting sqref="BP67:BQ67">
    <cfRule type="cellIs" dxfId="40" priority="11" stopIfTrue="1" operator="lessThanOrEqual">
      <formula>0</formula>
    </cfRule>
  </conditionalFormatting>
  <conditionalFormatting sqref="BO66:BR66 BR67:BR365">
    <cfRule type="cellIs" dxfId="39" priority="12" stopIfTrue="1" operator="lessThanOrEqual">
      <formula>0</formula>
    </cfRule>
  </conditionalFormatting>
  <conditionalFormatting sqref="K20">
    <cfRule type="expression" dxfId="38" priority="5">
      <formula>$J$20=""</formula>
    </cfRule>
    <cfRule type="cellIs" dxfId="37" priority="6" operator="greaterThan">
      <formula>0</formula>
    </cfRule>
    <cfRule type="expression" dxfId="36" priority="7">
      <formula>$J$20&lt;&gt;""</formula>
    </cfRule>
  </conditionalFormatting>
  <conditionalFormatting sqref="I10">
    <cfRule type="expression" dxfId="35" priority="1">
      <formula>$H$10&gt;""</formula>
    </cfRule>
  </conditionalFormatting>
  <dataValidations count="11">
    <dataValidation type="list" allowBlank="1" showInputMessage="1" showErrorMessage="1" sqref="G18" xr:uid="{4DAF4692-9B6C-4E06-B8E4-4B3BE884CE73}">
      <formula1>$AT$11:$AT$12</formula1>
    </dataValidation>
    <dataValidation type="list" allowBlank="1" showInputMessage="1" showErrorMessage="1" sqref="G21" xr:uid="{E0AF22F1-5580-4DCD-9CBF-7E6083D37B11}">
      <formula1>$AP$2:$AP$5</formula1>
    </dataValidation>
    <dataValidation type="list" allowBlank="1" showInputMessage="1" showErrorMessage="1" sqref="I34:J34" xr:uid="{F8A0FD4E-A945-41D3-9BE2-1FF151F5EC69}">
      <formula1>_xlfn.ANCHORARRAY($AU$15)</formula1>
    </dataValidation>
    <dataValidation type="list" allowBlank="1" showInputMessage="1" showErrorMessage="1" sqref="G16" xr:uid="{AFA1A569-0752-4039-A203-C9C3F1191E46}">
      <formula1>OFFSET(CE1,1,,COUNTIF(ofertaplus,"&gt;0"))</formula1>
    </dataValidation>
    <dataValidation type="list" allowBlank="1" showInputMessage="1" showErrorMessage="1" sqref="G15" xr:uid="{1EDF7641-8D15-445C-8D4C-5D166301053D}">
      <formula1>OFFSET($AI$1,1,,COUNTIF(pla,"&gt;0"))</formula1>
    </dataValidation>
    <dataValidation type="list" allowBlank="1" showInputMessage="1" showErrorMessage="1" sqref="O64" xr:uid="{D138E03A-A867-4D45-948B-641CA6844C80}">
      <formula1>$AU$60:$AU$61</formula1>
    </dataValidation>
    <dataValidation type="list" allowBlank="1" showInputMessage="1" showErrorMessage="1" sqref="F24" xr:uid="{3B889E3A-AEFA-4CA7-8656-F0C619F45032}">
      <formula1>$AO$2:$AO$3</formula1>
    </dataValidation>
    <dataValidation type="list" allowBlank="1" showInputMessage="1" showErrorMessage="1" sqref="F44" xr:uid="{6D88B524-9861-48CC-AB15-290AE060B95D}">
      <formula1>edad</formula1>
    </dataValidation>
    <dataValidation type="list" allowBlank="1" showInputMessage="1" showErrorMessage="1" sqref="F22:G22" xr:uid="{40FC9C0C-848A-47B7-B134-2826575939F8}">
      <formula1>$AN$8:$AN$10</formula1>
    </dataValidation>
    <dataValidation type="list" allowBlank="1" showInputMessage="1" showErrorMessage="1" sqref="I10" xr:uid="{50EC7B13-C2D5-44FB-820A-AEC2A2F9F524}">
      <formula1>$AQ$15:$AQ$16</formula1>
    </dataValidation>
    <dataValidation type="list" allowBlank="1" showInputMessage="1" showErrorMessage="1" sqref="F10:G10" xr:uid="{FABF56B2-46B0-4F5D-BD8D-02805EE31E45}">
      <formula1>$AK$2:$AK$14</formula1>
    </dataValidation>
  </dataValidations>
  <pageMargins left="0" right="0" top="0.15748031496062992" bottom="0.15748031496062992" header="0.31496062992125984" footer="0.31496062992125984"/>
  <pageSetup scale="60" orientation="landscape" horizontalDpi="4294967294" verticalDpi="4294967294"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Option Button 1">
              <controlPr defaultSize="0" autoFill="0" autoLine="0" autoPict="0">
                <anchor moveWithCells="1">
                  <from>
                    <xdr:col>5</xdr:col>
                    <xdr:colOff>548640</xdr:colOff>
                    <xdr:row>44</xdr:row>
                    <xdr:rowOff>213360</xdr:rowOff>
                  </from>
                  <to>
                    <xdr:col>5</xdr:col>
                    <xdr:colOff>868680</xdr:colOff>
                    <xdr:row>44</xdr:row>
                    <xdr:rowOff>419100</xdr:rowOff>
                  </to>
                </anchor>
              </controlPr>
            </control>
          </mc:Choice>
        </mc:AlternateContent>
        <mc:AlternateContent xmlns:mc="http://schemas.openxmlformats.org/markup-compatibility/2006">
          <mc:Choice Requires="x14">
            <control shapeId="18434" r:id="rId5" name="Option Button 2">
              <controlPr defaultSize="0" autoFill="0" autoLine="0" autoPict="0">
                <anchor moveWithCells="1">
                  <from>
                    <xdr:col>6</xdr:col>
                    <xdr:colOff>594360</xdr:colOff>
                    <xdr:row>44</xdr:row>
                    <xdr:rowOff>213360</xdr:rowOff>
                  </from>
                  <to>
                    <xdr:col>6</xdr:col>
                    <xdr:colOff>914400</xdr:colOff>
                    <xdr:row>45</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A1:JD324"/>
  <sheetViews>
    <sheetView showGridLines="0" showZeros="0" zoomScale="70" zoomScaleNormal="70" workbookViewId="0">
      <selection activeCell="G47" sqref="G47"/>
    </sheetView>
  </sheetViews>
  <sheetFormatPr baseColWidth="10" defaultColWidth="11.44140625" defaultRowHeight="14.4"/>
  <cols>
    <col min="1" max="2" width="5.21875" customWidth="1"/>
    <col min="3" max="3" width="13.44140625" customWidth="1"/>
    <col min="4" max="4" width="18.44140625" customWidth="1"/>
    <col min="5" max="5" width="32.5546875" customWidth="1"/>
    <col min="6" max="6" width="22.77734375" customWidth="1"/>
    <col min="7" max="7" width="16.77734375" customWidth="1"/>
    <col min="8" max="8" width="13.21875" customWidth="1"/>
    <col min="9" max="10" width="22.77734375" customWidth="1"/>
    <col min="11" max="11" width="18.77734375" customWidth="1"/>
    <col min="12" max="12" width="22.77734375" customWidth="1"/>
    <col min="13" max="13" width="22.21875" customWidth="1"/>
    <col min="14" max="14" width="9.5546875" customWidth="1"/>
    <col min="15" max="15" width="19.44140625" customWidth="1"/>
    <col min="20" max="20" width="19.5546875" customWidth="1"/>
    <col min="21" max="21" width="19.21875" bestFit="1" customWidth="1"/>
    <col min="22" max="22" width="21.21875" bestFit="1" customWidth="1"/>
    <col min="26" max="26" width="15.21875" customWidth="1"/>
    <col min="27" max="27" width="15.77734375" customWidth="1"/>
    <col min="28" max="28" width="22.21875" customWidth="1"/>
    <col min="29" max="29" width="18.21875" customWidth="1"/>
    <col min="30" max="30" width="16.5546875" customWidth="1"/>
    <col min="31" max="33" width="14.77734375" customWidth="1"/>
    <col min="34" max="34" width="18.77734375" customWidth="1"/>
    <col min="35" max="35" width="14.77734375" customWidth="1"/>
    <col min="37" max="37" width="18.21875" customWidth="1"/>
    <col min="41" max="41" width="15.44140625" bestFit="1" customWidth="1"/>
    <col min="46" max="46" width="5.77734375" customWidth="1"/>
    <col min="47" max="47" width="22" customWidth="1"/>
    <col min="48" max="52" width="19.77734375" customWidth="1"/>
    <col min="53" max="53" width="17" customWidth="1"/>
    <col min="54" max="54" width="32.77734375" customWidth="1"/>
    <col min="55" max="55" width="19.77734375" customWidth="1"/>
    <col min="57" max="57" width="24.44140625" customWidth="1"/>
    <col min="68" max="68" width="19.5546875" customWidth="1"/>
    <col min="69" max="69" width="17.5546875" customWidth="1"/>
    <col min="70" max="70" width="20.5546875" customWidth="1"/>
    <col min="71" max="76" width="17.5546875" customWidth="1"/>
    <col min="77" max="77" width="23.44140625" customWidth="1"/>
    <col min="78" max="78" width="17.5546875" customWidth="1"/>
    <col min="79" max="79" width="17.77734375" customWidth="1"/>
    <col min="81" max="81" width="15.44140625" customWidth="1"/>
    <col min="85" max="85" width="14.21875" customWidth="1"/>
    <col min="87" max="87" width="25.21875" customWidth="1"/>
    <col min="88" max="88" width="27.21875" customWidth="1"/>
    <col min="93" max="93" width="12" customWidth="1"/>
    <col min="95" max="95" width="17.77734375" customWidth="1"/>
    <col min="96" max="96" width="19.5546875" bestFit="1" customWidth="1"/>
    <col min="97" max="97" width="21" customWidth="1"/>
    <col min="98" max="99" width="17.77734375" customWidth="1"/>
    <col min="100" max="100" width="23.44140625" customWidth="1"/>
    <col min="101" max="101" width="19.77734375" customWidth="1"/>
    <col min="102" max="102" width="16.77734375" customWidth="1"/>
    <col min="103" max="103" width="24.77734375" customWidth="1"/>
    <col min="104" max="105" width="22" customWidth="1"/>
    <col min="106" max="106" width="21.5546875" customWidth="1"/>
    <col min="108" max="108" width="15.5546875" customWidth="1"/>
    <col min="109" max="109" width="9.21875" customWidth="1"/>
    <col min="110" max="110" width="19.5546875" customWidth="1"/>
    <col min="112" max="112" width="14.44140625" customWidth="1"/>
    <col min="114" max="114" width="13" customWidth="1"/>
    <col min="118" max="119" width="18.77734375" customWidth="1"/>
    <col min="120" max="120" width="30.44140625" bestFit="1" customWidth="1"/>
    <col min="123" max="123" width="12" customWidth="1"/>
    <col min="125" max="125" width="18.21875" customWidth="1"/>
    <col min="126" max="126" width="14.77734375" customWidth="1"/>
    <col min="127" max="127" width="13.44140625" customWidth="1"/>
    <col min="128" max="129" width="18.21875" customWidth="1"/>
    <col min="130" max="130" width="23.77734375" customWidth="1"/>
    <col min="139" max="139" width="16" customWidth="1"/>
    <col min="140" max="140" width="19.5546875" customWidth="1"/>
    <col min="141" max="141" width="21" customWidth="1"/>
    <col min="142" max="143" width="17.77734375" customWidth="1"/>
    <col min="144" max="144" width="23.44140625" customWidth="1"/>
    <col min="145" max="145" width="13.21875" customWidth="1"/>
    <col min="146" max="146" width="21.44140625" customWidth="1"/>
    <col min="147" max="147" width="10.44140625" customWidth="1"/>
    <col min="148" max="149" width="22" customWidth="1"/>
    <col min="150" max="150" width="21.5546875" customWidth="1"/>
    <col min="152" max="152" width="13.5546875" customWidth="1"/>
    <col min="153" max="153" width="11.77734375" bestFit="1" customWidth="1"/>
    <col min="161" max="162" width="16.77734375" customWidth="1"/>
    <col min="163" max="163" width="30.44140625" bestFit="1" customWidth="1"/>
    <col min="166" max="166" width="13.77734375" customWidth="1"/>
    <col min="169" max="169" width="12.77734375" customWidth="1"/>
    <col min="172" max="172" width="16.44140625" customWidth="1"/>
    <col min="173" max="173" width="15.44140625" customWidth="1"/>
    <col min="183" max="183" width="13.5546875" customWidth="1"/>
    <col min="184" max="184" width="19.5546875" bestFit="1" customWidth="1"/>
    <col min="185" max="185" width="16.21875" customWidth="1"/>
    <col min="186" max="187" width="17.77734375" customWidth="1"/>
    <col min="188" max="188" width="23.44140625" customWidth="1"/>
    <col min="189" max="189" width="11.21875" customWidth="1"/>
    <col min="190" max="190" width="14.77734375" customWidth="1"/>
    <col min="191" max="191" width="16.21875" customWidth="1"/>
    <col min="192" max="193" width="22" customWidth="1"/>
    <col min="194" max="194" width="21.5546875" customWidth="1"/>
    <col min="196" max="196" width="14.77734375" customWidth="1"/>
    <col min="197" max="197" width="11.77734375" bestFit="1" customWidth="1"/>
    <col min="205" max="206" width="16.21875" customWidth="1"/>
    <col min="207" max="207" width="30.44140625" bestFit="1" customWidth="1"/>
    <col min="210" max="210" width="18" customWidth="1"/>
    <col min="213" max="213" width="14.77734375" customWidth="1"/>
    <col min="214" max="214" width="12.77734375" customWidth="1"/>
    <col min="217" max="217" width="14.21875" customWidth="1"/>
    <col min="221" max="222" width="5.21875" customWidth="1"/>
    <col min="223" max="233" width="22.77734375" customWidth="1"/>
    <col min="234" max="234" width="16.21875" customWidth="1"/>
    <col min="235" max="235" width="19.44140625" customWidth="1"/>
    <col min="239" max="239" width="13" customWidth="1"/>
    <col min="240" max="240" width="19.5546875" customWidth="1"/>
    <col min="241" max="241" width="19.21875" bestFit="1" customWidth="1"/>
    <col min="242" max="242" width="21.21875" bestFit="1" customWidth="1"/>
    <col min="246" max="247" width="5.21875" customWidth="1"/>
    <col min="248" max="258" width="22.77734375" customWidth="1"/>
    <col min="259" max="259" width="16.21875" customWidth="1"/>
    <col min="260" max="260" width="19.44140625" customWidth="1"/>
    <col min="264" max="264" width="13" customWidth="1"/>
    <col min="265" max="265" width="19.5546875" customWidth="1"/>
  </cols>
  <sheetData>
    <row r="1" spans="3:258" ht="23.4">
      <c r="C1" s="379" t="s">
        <v>608</v>
      </c>
      <c r="D1" s="380"/>
      <c r="E1" s="380"/>
      <c r="F1" s="283"/>
      <c r="G1" s="283"/>
      <c r="H1" s="283"/>
      <c r="I1" s="283"/>
      <c r="J1" s="283" t="s">
        <v>609</v>
      </c>
      <c r="K1" s="2392">
        <f ca="1">TODAY()</f>
        <v>46098</v>
      </c>
      <c r="L1" s="2393"/>
      <c r="X1" s="398"/>
      <c r="Z1" s="399" t="s">
        <v>610</v>
      </c>
      <c r="AA1" s="391"/>
      <c r="AB1" s="391"/>
      <c r="AC1" s="391"/>
      <c r="AD1" s="391"/>
      <c r="AE1" s="283"/>
      <c r="AF1" s="283"/>
      <c r="AG1" s="283" t="s">
        <v>609</v>
      </c>
      <c r="AH1" s="2392">
        <f ca="1">TODAY()</f>
        <v>46098</v>
      </c>
      <c r="AI1" s="2393"/>
      <c r="AS1" s="200"/>
      <c r="AU1" s="201" t="s">
        <v>611</v>
      </c>
      <c r="AV1" s="203"/>
      <c r="AW1" s="203"/>
      <c r="AX1" s="203"/>
      <c r="AY1" s="203"/>
      <c r="AZ1" s="38"/>
      <c r="BA1" s="38"/>
      <c r="BB1" s="38"/>
      <c r="BC1" s="38"/>
      <c r="BD1" s="38"/>
      <c r="BM1" s="221"/>
      <c r="BP1" s="281" t="s">
        <v>612</v>
      </c>
      <c r="BQ1" s="282"/>
      <c r="BR1" s="282"/>
      <c r="BS1" s="282"/>
      <c r="BT1" s="283"/>
      <c r="BU1" s="283"/>
      <c r="BV1" s="283"/>
      <c r="BW1" s="283"/>
      <c r="BX1" s="283" t="s">
        <v>609</v>
      </c>
      <c r="BY1" s="2392">
        <f ca="1">TODAY()</f>
        <v>46098</v>
      </c>
      <c r="BZ1" s="2393"/>
      <c r="CL1" s="161"/>
      <c r="CP1" s="199" t="s">
        <v>613</v>
      </c>
      <c r="CX1" t="s">
        <v>609</v>
      </c>
      <c r="CY1" s="2384">
        <f ca="1">TODAY()</f>
        <v>46098</v>
      </c>
      <c r="CZ1" s="2384"/>
      <c r="DA1" s="155"/>
      <c r="ED1" s="182"/>
      <c r="EH1" s="199" t="s">
        <v>614</v>
      </c>
      <c r="EP1" t="s">
        <v>609</v>
      </c>
      <c r="EQ1" s="2384">
        <f ca="1">TODAY()</f>
        <v>46098</v>
      </c>
      <c r="ER1" s="2384"/>
      <c r="ES1" s="155"/>
      <c r="FV1" s="359"/>
      <c r="FZ1" s="199" t="s">
        <v>615</v>
      </c>
      <c r="GH1" t="s">
        <v>609</v>
      </c>
      <c r="GI1" s="2384">
        <f ca="1">TODAY()</f>
        <v>46098</v>
      </c>
      <c r="GJ1" s="2384"/>
      <c r="GK1" s="155"/>
      <c r="HL1" s="182"/>
      <c r="HO1" s="199" t="s">
        <v>616</v>
      </c>
      <c r="HP1" s="77"/>
      <c r="HW1" t="s">
        <v>609</v>
      </c>
      <c r="HX1" s="2384">
        <f ca="1">TODAY()</f>
        <v>46098</v>
      </c>
      <c r="HY1" s="2384"/>
      <c r="IK1" s="217"/>
      <c r="IN1" s="199" t="s">
        <v>617</v>
      </c>
      <c r="IO1" s="77"/>
      <c r="IV1" t="s">
        <v>609</v>
      </c>
      <c r="IW1" s="2384">
        <f ca="1">TODAY()</f>
        <v>46098</v>
      </c>
      <c r="IX1" s="2384"/>
    </row>
    <row r="2" spans="3:258">
      <c r="C2" s="284"/>
      <c r="L2" s="73"/>
      <c r="X2" s="398"/>
      <c r="Z2" s="284"/>
      <c r="AI2" s="73"/>
      <c r="AS2" s="200"/>
      <c r="AV2" s="77"/>
      <c r="BM2" s="221"/>
      <c r="BP2" s="284"/>
      <c r="BZ2" s="73"/>
      <c r="CL2" s="161"/>
      <c r="ED2" s="182"/>
      <c r="FV2" s="359"/>
      <c r="HL2" s="182"/>
      <c r="IK2" s="217"/>
    </row>
    <row r="3" spans="3:258">
      <c r="C3" s="284"/>
      <c r="D3" s="2390" t="s">
        <v>618</v>
      </c>
      <c r="E3" s="2390"/>
      <c r="F3" s="2390"/>
      <c r="J3" s="28" t="s">
        <v>418</v>
      </c>
      <c r="K3" s="28"/>
      <c r="L3" s="383"/>
      <c r="X3" s="398"/>
      <c r="Z3" s="284"/>
      <c r="AA3" s="2395" t="s">
        <v>618</v>
      </c>
      <c r="AB3" s="2395"/>
      <c r="AC3" s="2395"/>
      <c r="AD3" s="2395"/>
      <c r="AG3" s="39" t="s">
        <v>418</v>
      </c>
      <c r="AH3" s="39"/>
      <c r="AI3" s="392"/>
      <c r="AS3" s="200"/>
      <c r="AV3" s="2388" t="s">
        <v>618</v>
      </c>
      <c r="AW3" s="2388"/>
      <c r="AX3" s="2388"/>
      <c r="AY3" s="2388"/>
      <c r="BB3" s="204" t="s">
        <v>418</v>
      </c>
      <c r="BC3" s="204"/>
      <c r="BM3" s="221"/>
      <c r="BP3" s="284"/>
      <c r="BQ3" s="2391" t="s">
        <v>618</v>
      </c>
      <c r="BR3" s="2391"/>
      <c r="BS3" s="2391"/>
      <c r="BX3" s="285" t="s">
        <v>418</v>
      </c>
      <c r="BY3" s="285"/>
      <c r="BZ3" s="285"/>
      <c r="CL3" s="161"/>
      <c r="CQ3" s="2394" t="s">
        <v>618</v>
      </c>
      <c r="CR3" s="2394"/>
      <c r="CS3" s="2394"/>
      <c r="CX3" s="142" t="s">
        <v>418</v>
      </c>
      <c r="CY3" s="142"/>
      <c r="CZ3" s="142"/>
      <c r="DA3" s="142"/>
      <c r="ED3" s="182"/>
      <c r="EI3" s="2389" t="s">
        <v>618</v>
      </c>
      <c r="EJ3" s="2389"/>
      <c r="EK3" s="2389"/>
      <c r="EP3" s="350" t="s">
        <v>418</v>
      </c>
      <c r="EQ3" s="350"/>
      <c r="ER3" s="350"/>
      <c r="ES3" s="350"/>
      <c r="FV3" s="359"/>
      <c r="GA3" s="2386" t="s">
        <v>618</v>
      </c>
      <c r="GB3" s="2386"/>
      <c r="GC3" s="2386"/>
      <c r="GH3" s="360" t="s">
        <v>418</v>
      </c>
      <c r="GI3" s="360"/>
      <c r="GJ3" s="360"/>
      <c r="GK3" s="360"/>
      <c r="HL3" s="182"/>
      <c r="HQ3" s="2387" t="s">
        <v>618</v>
      </c>
      <c r="HR3" s="2387"/>
      <c r="HS3" s="2387"/>
      <c r="HW3" s="972" t="s">
        <v>418</v>
      </c>
      <c r="HX3" s="972"/>
      <c r="HY3" s="972"/>
      <c r="IK3" s="217"/>
      <c r="IP3" s="2385" t="s">
        <v>618</v>
      </c>
      <c r="IQ3" s="2385"/>
      <c r="IR3" s="2385"/>
      <c r="IV3" s="224" t="s">
        <v>418</v>
      </c>
      <c r="IW3" s="28"/>
      <c r="IX3" s="28"/>
    </row>
    <row r="4" spans="3:258">
      <c r="C4" s="284"/>
      <c r="D4" t="s">
        <v>619</v>
      </c>
      <c r="L4" s="73"/>
      <c r="X4" s="398"/>
      <c r="Z4" s="284"/>
      <c r="AA4" t="s">
        <v>619</v>
      </c>
      <c r="AI4" s="393"/>
      <c r="AS4" s="200"/>
      <c r="AV4" t="s">
        <v>619</v>
      </c>
      <c r="BD4" s="29"/>
      <c r="BM4" s="221"/>
      <c r="BP4" s="284"/>
      <c r="BQ4" t="s">
        <v>619</v>
      </c>
      <c r="BZ4" s="73"/>
      <c r="CL4" s="161"/>
      <c r="CQ4" t="s">
        <v>619</v>
      </c>
      <c r="ED4" s="182"/>
      <c r="EI4" t="s">
        <v>619</v>
      </c>
      <c r="FV4" s="359"/>
      <c r="GA4" t="s">
        <v>619</v>
      </c>
      <c r="HL4" s="182"/>
      <c r="HQ4" t="s">
        <v>619</v>
      </c>
      <c r="IK4" s="217"/>
      <c r="IP4" t="s">
        <v>619</v>
      </c>
    </row>
    <row r="5" spans="3:258">
      <c r="C5" s="284"/>
      <c r="E5" t="s">
        <v>487</v>
      </c>
      <c r="F5" s="29">
        <f>Cal!C107</f>
        <v>0</v>
      </c>
      <c r="J5" t="s">
        <v>10</v>
      </c>
      <c r="L5" s="286">
        <f>Cal!AB111/1.16</f>
        <v>0</v>
      </c>
      <c r="X5" s="398"/>
      <c r="Z5" s="284"/>
      <c r="AB5" t="s">
        <v>487</v>
      </c>
      <c r="AG5" t="s">
        <v>10</v>
      </c>
      <c r="AI5" s="394">
        <v>0</v>
      </c>
      <c r="AJ5" s="29"/>
      <c r="AS5" s="200"/>
      <c r="AW5" t="s">
        <v>487</v>
      </c>
      <c r="BB5" t="s">
        <v>10</v>
      </c>
      <c r="BC5" s="29"/>
      <c r="BM5" s="221"/>
      <c r="BP5" s="284"/>
      <c r="BR5" t="s">
        <v>487</v>
      </c>
      <c r="BS5" s="29">
        <f>Plus!G12</f>
        <v>0</v>
      </c>
      <c r="BX5" t="s">
        <v>10</v>
      </c>
      <c r="BZ5" s="286">
        <f>Plus!N10/1.16</f>
        <v>0</v>
      </c>
      <c r="CL5" s="161"/>
      <c r="CR5" t="s">
        <v>487</v>
      </c>
      <c r="CS5" s="29">
        <f>Plus!G12</f>
        <v>0</v>
      </c>
      <c r="CX5" t="s">
        <v>10</v>
      </c>
      <c r="CZ5" s="29">
        <f>Plus!N10/1.16</f>
        <v>0</v>
      </c>
      <c r="DA5" s="29"/>
      <c r="ED5" s="182"/>
      <c r="EJ5" t="s">
        <v>487</v>
      </c>
      <c r="EK5" s="29">
        <f>Plus!G12</f>
        <v>0</v>
      </c>
      <c r="EP5" t="s">
        <v>10</v>
      </c>
      <c r="ER5" s="29"/>
      <c r="ES5" s="29"/>
      <c r="FV5" s="359"/>
      <c r="GB5" t="s">
        <v>487</v>
      </c>
      <c r="GC5" s="29">
        <f>Plus!G12</f>
        <v>0</v>
      </c>
      <c r="GH5" t="s">
        <v>10</v>
      </c>
      <c r="GJ5" s="29"/>
      <c r="GK5" s="29"/>
      <c r="HL5" s="182"/>
      <c r="HR5" t="s">
        <v>487</v>
      </c>
      <c r="HS5" s="973">
        <f>Cal!BO107</f>
        <v>0</v>
      </c>
      <c r="HW5" t="s">
        <v>10</v>
      </c>
      <c r="HY5" s="29">
        <f>Cal!BO111/1.16</f>
        <v>0</v>
      </c>
      <c r="IK5" s="217"/>
      <c r="IQ5" t="s">
        <v>487</v>
      </c>
      <c r="IR5" s="29"/>
      <c r="IV5" t="s">
        <v>10</v>
      </c>
      <c r="IX5" s="29"/>
    </row>
    <row r="6" spans="3:258">
      <c r="C6" s="284"/>
      <c r="E6" t="s">
        <v>2</v>
      </c>
      <c r="F6">
        <f>Adm!B4</f>
        <v>0</v>
      </c>
      <c r="J6" t="s">
        <v>620</v>
      </c>
      <c r="L6" s="73"/>
      <c r="X6" s="398"/>
      <c r="Z6" s="284"/>
      <c r="AB6" t="s">
        <v>2</v>
      </c>
      <c r="AC6" t="s">
        <v>621</v>
      </c>
      <c r="AG6" t="s">
        <v>620</v>
      </c>
      <c r="AI6" s="393">
        <v>0</v>
      </c>
      <c r="AS6" s="200"/>
      <c r="AW6" t="s">
        <v>2</v>
      </c>
      <c r="AX6" t="s">
        <v>622</v>
      </c>
      <c r="BB6" t="s">
        <v>620</v>
      </c>
      <c r="BD6" s="40"/>
      <c r="BM6" s="221"/>
      <c r="BP6" s="284"/>
      <c r="BR6" t="s">
        <v>2</v>
      </c>
      <c r="BS6" s="74">
        <f>Plus!F10</f>
        <v>0</v>
      </c>
      <c r="BX6" t="s">
        <v>620</v>
      </c>
      <c r="BZ6" s="73"/>
      <c r="CL6" s="161"/>
      <c r="CR6" t="s">
        <v>2</v>
      </c>
      <c r="CS6" s="74">
        <f>Plus!F10</f>
        <v>0</v>
      </c>
      <c r="CX6" t="s">
        <v>620</v>
      </c>
      <c r="CZ6" s="31"/>
      <c r="DA6" s="31"/>
      <c r="ED6" s="182"/>
      <c r="EJ6" t="s">
        <v>2</v>
      </c>
      <c r="EK6" s="74">
        <f>Plus!F10</f>
        <v>0</v>
      </c>
      <c r="EP6" t="s">
        <v>620</v>
      </c>
      <c r="ER6" s="31"/>
      <c r="ES6" s="31"/>
      <c r="FV6" s="359"/>
      <c r="GB6" t="s">
        <v>2</v>
      </c>
      <c r="GC6" s="74">
        <f>Plus!F10</f>
        <v>0</v>
      </c>
      <c r="GH6" t="s">
        <v>620</v>
      </c>
      <c r="GJ6" s="31"/>
      <c r="GK6" s="31"/>
      <c r="HL6" s="182"/>
      <c r="HR6" t="s">
        <v>2</v>
      </c>
      <c r="HW6" t="s">
        <v>620</v>
      </c>
      <c r="IK6" s="217"/>
      <c r="IQ6" t="s">
        <v>2</v>
      </c>
      <c r="IV6" t="s">
        <v>620</v>
      </c>
    </row>
    <row r="7" spans="3:258">
      <c r="C7" s="284"/>
      <c r="D7" s="19"/>
      <c r="E7" t="s">
        <v>413</v>
      </c>
      <c r="F7" s="31">
        <f>Cal!AB108</f>
        <v>0</v>
      </c>
      <c r="J7" t="s">
        <v>623</v>
      </c>
      <c r="L7" s="287">
        <f>Cal!AB110</f>
        <v>0</v>
      </c>
      <c r="X7" s="398"/>
      <c r="Z7" s="284"/>
      <c r="AA7" s="19" t="s">
        <v>413</v>
      </c>
      <c r="AG7" t="s">
        <v>623</v>
      </c>
      <c r="AI7" s="395">
        <f>Cal!AC111/1.16</f>
        <v>0</v>
      </c>
      <c r="AJ7" s="40"/>
      <c r="AS7" s="200"/>
      <c r="AV7" s="19" t="s">
        <v>413</v>
      </c>
      <c r="BB7" t="s">
        <v>623</v>
      </c>
      <c r="BC7" s="40"/>
      <c r="BM7" s="221"/>
      <c r="BP7" s="284"/>
      <c r="BQ7" s="19" t="s">
        <v>413</v>
      </c>
      <c r="BS7" s="31">
        <f>Plus!G13</f>
        <v>0</v>
      </c>
      <c r="BX7" t="s">
        <v>623</v>
      </c>
      <c r="BZ7" s="287">
        <f>IF(Plus!AS2&gt;0,Plus!K12/1.16,Plus!K12)</f>
        <v>0</v>
      </c>
      <c r="CL7" s="161"/>
      <c r="CQ7" s="19" t="s">
        <v>413</v>
      </c>
      <c r="CS7" s="31">
        <f>Plus!G13</f>
        <v>0</v>
      </c>
      <c r="CX7" t="s">
        <v>623</v>
      </c>
      <c r="CZ7" s="35">
        <f>IF(Plus!AS2&gt;0,Plus!K12/1.16,Plus!K12)</f>
        <v>0</v>
      </c>
      <c r="DA7" s="35"/>
      <c r="ED7" s="182"/>
      <c r="EI7" s="19" t="s">
        <v>413</v>
      </c>
      <c r="EK7" s="31">
        <f>Plus!G13</f>
        <v>0</v>
      </c>
      <c r="EP7" t="s">
        <v>623</v>
      </c>
      <c r="ER7" s="35"/>
      <c r="ES7" s="35"/>
      <c r="FV7" s="359"/>
      <c r="GA7" t="s">
        <v>624</v>
      </c>
      <c r="GH7" t="s">
        <v>623</v>
      </c>
      <c r="GJ7" s="35"/>
      <c r="GK7" s="35"/>
      <c r="HL7" s="182"/>
      <c r="HQ7" t="s">
        <v>624</v>
      </c>
      <c r="HW7" t="s">
        <v>623</v>
      </c>
      <c r="HY7" s="35">
        <f>Cal!BO110</f>
        <v>0</v>
      </c>
      <c r="IK7" s="217"/>
      <c r="IP7" t="s">
        <v>624</v>
      </c>
      <c r="IV7" t="s">
        <v>623</v>
      </c>
      <c r="IX7" s="35">
        <f>Cal!BP110</f>
        <v>0</v>
      </c>
    </row>
    <row r="8" spans="3:258">
      <c r="C8" s="284"/>
      <c r="E8" t="s">
        <v>625</v>
      </c>
      <c r="F8">
        <f>Cal!AB109</f>
        <v>0</v>
      </c>
      <c r="J8" t="s">
        <v>363</v>
      </c>
      <c r="L8" s="288">
        <f>Cal!AB113/1.16</f>
        <v>0</v>
      </c>
      <c r="X8" s="398"/>
      <c r="Z8" s="284"/>
      <c r="AB8" t="s">
        <v>625</v>
      </c>
      <c r="AC8">
        <f>Cal!AC109</f>
        <v>0</v>
      </c>
      <c r="AI8" s="393"/>
      <c r="AS8" s="200"/>
      <c r="AW8" t="s">
        <v>625</v>
      </c>
      <c r="AX8">
        <f>Cal!AD109</f>
        <v>0</v>
      </c>
      <c r="BM8" s="221"/>
      <c r="BP8" s="284"/>
      <c r="BR8" t="s">
        <v>626</v>
      </c>
      <c r="BS8" s="40">
        <f>Plus!G15</f>
        <v>0</v>
      </c>
      <c r="BX8" t="s">
        <v>363</v>
      </c>
      <c r="BZ8" s="288">
        <f>Plus!K14/1.16</f>
        <v>0</v>
      </c>
      <c r="CL8" s="161"/>
      <c r="CR8" t="s">
        <v>626</v>
      </c>
      <c r="CS8" s="40">
        <f>Plus!G15</f>
        <v>0</v>
      </c>
      <c r="CX8" t="s">
        <v>363</v>
      </c>
      <c r="CZ8" s="75">
        <f>Plus!K14/1.16</f>
        <v>0</v>
      </c>
      <c r="DA8" s="75"/>
      <c r="ED8" s="182"/>
      <c r="EJ8" t="s">
        <v>626</v>
      </c>
      <c r="EK8" s="40">
        <f>Plus!G15</f>
        <v>0</v>
      </c>
      <c r="EP8" t="s">
        <v>363</v>
      </c>
      <c r="ER8" s="75"/>
      <c r="ES8" s="75"/>
      <c r="FV8" s="359"/>
      <c r="GB8" t="s">
        <v>626</v>
      </c>
      <c r="GC8" s="40">
        <f>Plus!G15</f>
        <v>0</v>
      </c>
      <c r="GH8" t="s">
        <v>363</v>
      </c>
      <c r="GJ8" s="75"/>
      <c r="GK8" s="75"/>
      <c r="HL8" s="182"/>
      <c r="HR8" t="s">
        <v>625</v>
      </c>
      <c r="HS8">
        <f>Cal!BO109</f>
        <v>0</v>
      </c>
      <c r="HW8" t="s">
        <v>363</v>
      </c>
      <c r="HY8" s="75"/>
      <c r="IK8" s="217"/>
      <c r="IQ8" t="s">
        <v>625</v>
      </c>
      <c r="IR8">
        <f>Cal!BP109</f>
        <v>0</v>
      </c>
      <c r="IV8" t="s">
        <v>363</v>
      </c>
      <c r="IX8" s="75"/>
    </row>
    <row r="9" spans="3:258">
      <c r="C9" s="284"/>
      <c r="E9" t="s">
        <v>627</v>
      </c>
      <c r="F9" s="133">
        <f>Adm!AE6</f>
        <v>0</v>
      </c>
      <c r="G9" t="s">
        <v>603</v>
      </c>
      <c r="L9" s="73"/>
      <c r="X9" s="398"/>
      <c r="Z9" s="284"/>
      <c r="AB9" t="s">
        <v>627</v>
      </c>
      <c r="AC9" s="165">
        <f>Adm!AE6</f>
        <v>0</v>
      </c>
      <c r="AG9" t="s">
        <v>556</v>
      </c>
      <c r="AI9" s="396">
        <f>SUM(AI5:AI8)</f>
        <v>0</v>
      </c>
      <c r="AS9" s="200"/>
      <c r="AW9" t="s">
        <v>627</v>
      </c>
      <c r="AX9" s="165">
        <f>Adm!AE6</f>
        <v>0</v>
      </c>
      <c r="BB9" t="s">
        <v>556</v>
      </c>
      <c r="BC9" s="32">
        <f>SUM(BC5:BC8)</f>
        <v>0</v>
      </c>
      <c r="BM9" s="221"/>
      <c r="BP9" s="284"/>
      <c r="BR9" t="s">
        <v>627</v>
      </c>
      <c r="BS9" s="30">
        <f>IF(Plus!I34&lt;&gt;"",Plus!AV5,Plus!AV3)</f>
        <v>0</v>
      </c>
      <c r="BT9" t="s">
        <v>603</v>
      </c>
      <c r="BZ9" s="73"/>
      <c r="CL9" s="161"/>
      <c r="CR9" t="s">
        <v>627</v>
      </c>
      <c r="CS9" s="250">
        <f>Plus!AV3</f>
        <v>0</v>
      </c>
      <c r="CT9" t="s">
        <v>603</v>
      </c>
      <c r="ED9" s="182"/>
      <c r="EJ9" t="s">
        <v>627</v>
      </c>
      <c r="EK9" s="133">
        <f>Plus!$AV$5</f>
        <v>0</v>
      </c>
      <c r="FV9" s="359"/>
      <c r="GB9" t="s">
        <v>627</v>
      </c>
      <c r="GC9" s="133">
        <f>Plus!$AV$5</f>
        <v>0</v>
      </c>
      <c r="HL9" s="182"/>
      <c r="HR9" t="s">
        <v>627</v>
      </c>
      <c r="HS9" s="250">
        <f>Cal!BO116</f>
        <v>0</v>
      </c>
      <c r="HT9" s="192" t="s">
        <v>628</v>
      </c>
      <c r="HU9" s="192" t="s">
        <v>629</v>
      </c>
      <c r="IK9" s="217"/>
      <c r="IQ9" t="s">
        <v>627</v>
      </c>
      <c r="IR9" s="250">
        <f>Cal!BP116</f>
        <v>0</v>
      </c>
      <c r="IS9" s="192" t="s">
        <v>628</v>
      </c>
      <c r="IT9" s="192" t="s">
        <v>629</v>
      </c>
    </row>
    <row r="10" spans="3:258">
      <c r="C10" s="284"/>
      <c r="E10" s="16" t="s">
        <v>513</v>
      </c>
      <c r="F10">
        <f>Adm!D4</f>
        <v>0</v>
      </c>
      <c r="J10" t="s">
        <v>556</v>
      </c>
      <c r="L10" s="289">
        <f>SUM(L5:L9)</f>
        <v>0</v>
      </c>
      <c r="X10" s="398"/>
      <c r="Z10" s="284"/>
      <c r="AB10" s="16" t="s">
        <v>513</v>
      </c>
      <c r="AI10" s="393"/>
      <c r="AS10" s="200"/>
      <c r="AW10" s="16" t="s">
        <v>513</v>
      </c>
      <c r="BM10" s="221"/>
      <c r="BP10" s="284"/>
      <c r="BR10" s="16" t="s">
        <v>513</v>
      </c>
      <c r="BS10" s="223">
        <f>Plus!G18</f>
        <v>0</v>
      </c>
      <c r="BX10" t="s">
        <v>630</v>
      </c>
      <c r="BZ10" s="286">
        <f>Plus!K13</f>
        <v>0</v>
      </c>
      <c r="CL10" s="161"/>
      <c r="CR10" s="16" t="s">
        <v>513</v>
      </c>
      <c r="CS10" s="30">
        <f>Plus!G18</f>
        <v>0</v>
      </c>
      <c r="CX10" t="s">
        <v>630</v>
      </c>
      <c r="CZ10" s="29">
        <f>Plus!K13</f>
        <v>0</v>
      </c>
      <c r="DA10" s="29"/>
      <c r="ED10" s="182"/>
      <c r="EJ10" s="16" t="s">
        <v>513</v>
      </c>
      <c r="EK10" s="30">
        <f>Plus!G18</f>
        <v>0</v>
      </c>
      <c r="EP10" t="s">
        <v>630</v>
      </c>
      <c r="ER10" s="29"/>
      <c r="ES10" s="29"/>
      <c r="FV10" s="359"/>
      <c r="GB10" s="16" t="s">
        <v>513</v>
      </c>
      <c r="GC10" s="30">
        <f>Plus!G18</f>
        <v>0</v>
      </c>
      <c r="GH10" t="s">
        <v>630</v>
      </c>
      <c r="GJ10" s="29"/>
      <c r="GK10" s="29"/>
      <c r="HL10" s="182"/>
      <c r="HT10" s="193" t="e">
        <f>VLOOKUP(Cal!BO116,Adm!HF4:HH5,2,0)</f>
        <v>#N/A</v>
      </c>
      <c r="HU10" s="194"/>
      <c r="HW10" t="s">
        <v>556</v>
      </c>
      <c r="HY10" s="32">
        <f>SUM(HY5:HY9)</f>
        <v>0</v>
      </c>
      <c r="IK10" s="217"/>
      <c r="IS10" s="193" t="e">
        <f>VLOOKUP(Cal!BP116,Adm!HF4:HH5,2,0)</f>
        <v>#N/A</v>
      </c>
      <c r="IT10" s="194"/>
      <c r="IV10" t="s">
        <v>556</v>
      </c>
      <c r="IX10" s="32">
        <f>SUM(IX5:IX9)</f>
        <v>0</v>
      </c>
    </row>
    <row r="11" spans="3:258">
      <c r="C11" s="284"/>
      <c r="E11" t="s">
        <v>631</v>
      </c>
      <c r="F11" s="1027">
        <f>Adm!AF4</f>
        <v>0</v>
      </c>
      <c r="L11" s="73"/>
      <c r="X11" s="398"/>
      <c r="Z11" s="284"/>
      <c r="AB11" t="s">
        <v>631</v>
      </c>
      <c r="AC11" s="1027">
        <f>Adm!AF4</f>
        <v>0</v>
      </c>
      <c r="AI11" s="393"/>
      <c r="AS11" s="200"/>
      <c r="AW11" t="s">
        <v>631</v>
      </c>
      <c r="AX11" s="1027">
        <f>Adm!AF4</f>
        <v>0</v>
      </c>
      <c r="BD11" s="32"/>
      <c r="BM11" s="221"/>
      <c r="BP11" s="284"/>
      <c r="BR11" t="s">
        <v>631</v>
      </c>
      <c r="BS11" s="74">
        <f>Plus!BS2</f>
        <v>0</v>
      </c>
      <c r="BZ11" s="73"/>
      <c r="CL11" s="161"/>
      <c r="CR11" t="s">
        <v>631</v>
      </c>
      <c r="CS11" s="74">
        <f>IF(Plus!$AT$2=Plus!$AT$7,0,IF(Plus!G15=180,VLOOKUP(CS9,milplus_15,2,0),IF(Plus!G15=240,VLOOKUP(CS9,milplus_20,2,0),IF(Plus!G15=240,VLOOKUP(CS9,milplus_20,2,0),IF(Plus!G15=300,VLOOKUP(CS9,milplus_30,2,0),0)))))</f>
        <v>0</v>
      </c>
      <c r="CZ11" s="31"/>
      <c r="DA11" s="31"/>
      <c r="ED11" s="182"/>
      <c r="EJ11" t="s">
        <v>631</v>
      </c>
      <c r="EK11" s="74">
        <f>Plus!BS2</f>
        <v>0</v>
      </c>
      <c r="ER11" s="31"/>
      <c r="ES11" s="31"/>
      <c r="FV11" s="359"/>
      <c r="GB11" t="s">
        <v>631</v>
      </c>
      <c r="GC11" s="74">
        <f>Plus!BS2</f>
        <v>0</v>
      </c>
      <c r="GJ11" s="31"/>
      <c r="GK11" s="31"/>
      <c r="HL11" s="182"/>
      <c r="HR11" t="s">
        <v>631</v>
      </c>
      <c r="HS11" s="75">
        <f>Cal!BO117</f>
        <v>0</v>
      </c>
      <c r="IK11" s="217"/>
      <c r="IQ11" t="s">
        <v>631</v>
      </c>
      <c r="IR11" s="75">
        <f>Cal!BP117</f>
        <v>0</v>
      </c>
    </row>
    <row r="12" spans="3:258">
      <c r="C12" s="284"/>
      <c r="E12" t="s">
        <v>431</v>
      </c>
      <c r="F12" s="165">
        <f>Adm!AP3</f>
        <v>0</v>
      </c>
      <c r="X12" s="398"/>
      <c r="Z12" s="284"/>
      <c r="AB12" t="s">
        <v>431</v>
      </c>
      <c r="AC12" s="165">
        <f>Adm!AP3</f>
        <v>0</v>
      </c>
      <c r="AJ12" s="32"/>
      <c r="AS12" s="200"/>
      <c r="AW12" t="s">
        <v>431</v>
      </c>
      <c r="AX12" s="165">
        <f>Adm!AP3</f>
        <v>0</v>
      </c>
      <c r="BM12" s="221"/>
      <c r="BP12" s="284"/>
      <c r="BR12" t="s">
        <v>431</v>
      </c>
      <c r="BS12" s="30">
        <f>Plus!BT2</f>
        <v>0</v>
      </c>
      <c r="BX12" t="s">
        <v>556</v>
      </c>
      <c r="BZ12" s="289">
        <f>SUM(BZ5:BZ10)</f>
        <v>0</v>
      </c>
      <c r="CL12" s="161"/>
      <c r="CR12" t="s">
        <v>431</v>
      </c>
      <c r="CS12" s="30">
        <f>IF(Plus!$AT$2=Plus!$AT$7,0,IF(Plus!G15=180,VLOOKUP(CS9,milplus_15,3,0),IF(Plus!G15=300,VLOOKUP(CS9,milplus_30,3,0),0)))</f>
        <v>0</v>
      </c>
      <c r="CX12" t="s">
        <v>556</v>
      </c>
      <c r="CZ12" s="147">
        <f>SUM(CZ5:CZ11)</f>
        <v>0</v>
      </c>
      <c r="DA12" s="32"/>
      <c r="ED12" s="182"/>
      <c r="EJ12" t="s">
        <v>431</v>
      </c>
      <c r="EK12" s="30">
        <f>Plus!BT2</f>
        <v>0</v>
      </c>
      <c r="EP12" t="s">
        <v>556</v>
      </c>
      <c r="ER12" s="147">
        <f>SUM(ER5:ER11)</f>
        <v>0</v>
      </c>
      <c r="ES12" s="32"/>
      <c r="FV12" s="359"/>
      <c r="GB12" t="s">
        <v>431</v>
      </c>
      <c r="GC12" s="30">
        <f>Plus!BT2</f>
        <v>0</v>
      </c>
      <c r="GH12" t="s">
        <v>556</v>
      </c>
      <c r="GJ12" s="147">
        <f>SUM(GJ5:GJ11)</f>
        <v>0</v>
      </c>
      <c r="GK12" s="32"/>
      <c r="HL12" s="182"/>
      <c r="HR12" t="s">
        <v>431</v>
      </c>
      <c r="HS12" s="30">
        <f>Cal!BO127</f>
        <v>0</v>
      </c>
      <c r="IK12" s="217"/>
      <c r="IQ12" t="s">
        <v>431</v>
      </c>
      <c r="IR12" s="30">
        <f>Cal!BP127</f>
        <v>0</v>
      </c>
    </row>
    <row r="13" spans="3:258">
      <c r="C13" s="284"/>
      <c r="L13" s="73"/>
      <c r="X13" s="398"/>
      <c r="Z13" s="284"/>
      <c r="AI13" s="73"/>
      <c r="AS13" s="200"/>
      <c r="AU13" s="388"/>
      <c r="AV13" s="388"/>
      <c r="AW13" s="388"/>
      <c r="BM13" s="221"/>
      <c r="BP13" s="284"/>
      <c r="BZ13" s="73"/>
      <c r="CL13" s="161"/>
      <c r="ED13" s="182"/>
      <c r="FV13" s="359"/>
      <c r="HL13" s="182"/>
      <c r="IK13" s="217"/>
    </row>
    <row r="14" spans="3:258">
      <c r="C14" s="284"/>
      <c r="D14" t="s">
        <v>632</v>
      </c>
      <c r="F14" s="953">
        <f>Cal!AB119</f>
        <v>0</v>
      </c>
      <c r="L14" s="73"/>
      <c r="X14" s="398"/>
      <c r="Z14" s="397"/>
      <c r="AA14" t="s">
        <v>632</v>
      </c>
      <c r="AC14" s="146">
        <f>Cal!AC119</f>
        <v>0</v>
      </c>
      <c r="AI14" s="73"/>
      <c r="AS14" s="200"/>
      <c r="AV14" t="s">
        <v>632</v>
      </c>
      <c r="AX14" s="146">
        <f>Sustitución!K17</f>
        <v>0</v>
      </c>
      <c r="BM14" s="221"/>
      <c r="BP14" s="284"/>
      <c r="BQ14" t="s">
        <v>632</v>
      </c>
      <c r="BS14" s="31">
        <f>Plus!G17</f>
        <v>0</v>
      </c>
      <c r="BZ14" s="73"/>
      <c r="CL14" s="161"/>
      <c r="CQ14" s="140" t="s">
        <v>632</v>
      </c>
      <c r="CR14" s="140"/>
      <c r="CS14" s="141">
        <f>Plus!G17</f>
        <v>0</v>
      </c>
      <c r="ED14" s="182"/>
      <c r="EI14" s="140" t="s">
        <v>632</v>
      </c>
      <c r="EJ14" s="140"/>
      <c r="EK14" s="141">
        <f>Plus!G17</f>
        <v>0</v>
      </c>
      <c r="FV14" s="359"/>
      <c r="GA14" s="140" t="s">
        <v>632</v>
      </c>
      <c r="GB14" s="140"/>
      <c r="GC14" s="141">
        <f>Plus!G17</f>
        <v>0</v>
      </c>
      <c r="HL14" s="182"/>
      <c r="HQ14" t="s">
        <v>632</v>
      </c>
      <c r="HS14" s="974">
        <f>Cal!BO119</f>
        <v>0</v>
      </c>
      <c r="IK14" s="217"/>
      <c r="IP14" t="s">
        <v>632</v>
      </c>
      <c r="IR14" s="978">
        <f>Cal!BP119</f>
        <v>0</v>
      </c>
    </row>
    <row r="15" spans="3:258">
      <c r="C15" s="284"/>
      <c r="E15" t="s">
        <v>603</v>
      </c>
      <c r="J15" t="s">
        <v>633</v>
      </c>
      <c r="L15" s="290">
        <f>VLOOKUP(Adm!T4,Adm!T7:'Adm'!V10,MATCH("Santander",Adm!T6:'Adm'!V6,0))</f>
        <v>5.1539999999999995E-4</v>
      </c>
      <c r="X15" s="398"/>
      <c r="Z15" s="284"/>
      <c r="AG15" t="s">
        <v>633</v>
      </c>
      <c r="AI15" s="290">
        <f>VLOOKUP(Adm!T4,Adm!T7:'Adm'!V10,MATCH("Santander",Adm!T6:'Adm'!V6,0))</f>
        <v>5.1539999999999995E-4</v>
      </c>
      <c r="AS15" s="200"/>
      <c r="BM15" s="221"/>
      <c r="BP15" s="284"/>
      <c r="BS15" s="31"/>
      <c r="BX15" t="s">
        <v>633</v>
      </c>
      <c r="BZ15" s="290">
        <f>VLOOKUP(Plus!G21,Plus!AP2:AQ5,2,0)</f>
        <v>5.1539999999999995E-4</v>
      </c>
      <c r="CL15" s="161"/>
      <c r="CS15" s="29"/>
      <c r="ED15" s="182"/>
      <c r="EK15" s="29"/>
      <c r="FV15" s="359"/>
      <c r="GB15" t="s">
        <v>630</v>
      </c>
      <c r="GC15" s="29"/>
      <c r="HL15" s="182"/>
      <c r="HS15" s="29"/>
      <c r="HW15" t="s">
        <v>633</v>
      </c>
      <c r="HY15" s="249">
        <f>VLOOKUP(Adm!GT4,Adm!GT6:GV9,MATCH("FREE",Adm!GT5:GV5,0))</f>
        <v>2.33E-4</v>
      </c>
      <c r="IK15" s="217"/>
      <c r="IR15" s="29"/>
      <c r="IV15" t="s">
        <v>633</v>
      </c>
      <c r="IX15" s="249">
        <f>VLOOKUP(Adm!GT4,Adm!GT6:GV9,MATCH("FREE",Adm!GT5:GV5,0))</f>
        <v>2.33E-4</v>
      </c>
    </row>
    <row r="16" spans="3:258">
      <c r="C16" s="284"/>
      <c r="E16" t="s">
        <v>603</v>
      </c>
      <c r="J16" t="s">
        <v>634</v>
      </c>
      <c r="L16" s="950">
        <f>Adm!X7</f>
        <v>2.9999999999999997E-4</v>
      </c>
      <c r="X16" s="398"/>
      <c r="Z16" s="284"/>
      <c r="AI16" s="73"/>
      <c r="AS16" s="200"/>
      <c r="BA16" t="s">
        <v>633</v>
      </c>
      <c r="BC16" s="249">
        <f>VLOOKUP(Adm!T4,Adm!T7:'Adm'!V10,MATCH("Santander",Adm!T6:'Adm'!V6,0))</f>
        <v>5.1539999999999995E-4</v>
      </c>
      <c r="BM16" s="221"/>
      <c r="BP16" s="284"/>
      <c r="BR16" t="s">
        <v>635</v>
      </c>
      <c r="BS16" s="31">
        <f>Plus!G17</f>
        <v>0</v>
      </c>
      <c r="BX16" t="s">
        <v>634</v>
      </c>
      <c r="BZ16" s="290">
        <f>Plus!AR2</f>
        <v>2.9999999999999997E-4</v>
      </c>
      <c r="CL16" s="161"/>
      <c r="CR16" s="148" t="str">
        <f>IF(OR(CR2=DG3,CR2=DG4),"Primer Disposición","")</f>
        <v>Primer Disposición</v>
      </c>
      <c r="CS16" s="31">
        <f>Plus!K20</f>
        <v>0</v>
      </c>
      <c r="ED16" s="182"/>
      <c r="EJ16" s="148" t="str">
        <f>IF(OR(EJ2=EY3,EJ2=EY4),"Primer Disposición","")</f>
        <v>Primer Disposición</v>
      </c>
      <c r="EK16" s="31">
        <f>Plus!K20</f>
        <v>0</v>
      </c>
      <c r="FV16" s="359"/>
      <c r="GB16" s="148" t="str">
        <f>IF(OR(GB2=GQ3,GB2=GQ4),"Primer Disposición","")</f>
        <v>Primer Disposición</v>
      </c>
      <c r="GC16" s="31">
        <f>Plus!K20</f>
        <v>0</v>
      </c>
      <c r="HL16" s="182"/>
      <c r="HR16" t="s">
        <v>603</v>
      </c>
      <c r="HW16" t="s">
        <v>634</v>
      </c>
      <c r="HY16" s="249">
        <f>Adm!GW6</f>
        <v>1.8560000000000001E-4</v>
      </c>
      <c r="IK16" s="217"/>
      <c r="IQ16" t="s">
        <v>603</v>
      </c>
      <c r="IV16" t="s">
        <v>634</v>
      </c>
      <c r="IX16">
        <f>Adm!GW6</f>
        <v>1.8560000000000001E-4</v>
      </c>
    </row>
    <row r="17" spans="1:264">
      <c r="C17" s="284"/>
      <c r="E17" t="s">
        <v>603</v>
      </c>
      <c r="L17" s="73"/>
      <c r="X17" s="398"/>
      <c r="Z17" s="284"/>
      <c r="AI17" s="73"/>
      <c r="AS17" s="200"/>
      <c r="BM17" s="221"/>
      <c r="BP17" s="284"/>
      <c r="BR17" t="s">
        <v>603</v>
      </c>
      <c r="BZ17" s="73"/>
      <c r="CL17" s="161"/>
      <c r="CR17" s="148" t="str">
        <f>IF(OR(CR2=DG3,CR2=DG4),"Disposiciones Siguientes 2 y 3","")</f>
        <v>Disposiciones Siguientes 2 y 3</v>
      </c>
      <c r="CS17" s="31">
        <f>Plus!BF5</f>
        <v>0</v>
      </c>
      <c r="DU17" s="2165"/>
      <c r="DV17" s="330" t="s">
        <v>427</v>
      </c>
      <c r="DW17" s="205">
        <v>1000000</v>
      </c>
      <c r="DX17" s="2165"/>
      <c r="DY17" s="2165"/>
      <c r="DZ17" s="2165"/>
      <c r="ED17" s="182"/>
      <c r="EJ17" s="148" t="str">
        <f>IF(OR(EJ2=EY3,EJ2=EY4),"Disposiciones Siguientes 2 y 3","")</f>
        <v>Disposiciones Siguientes 2 y 3</v>
      </c>
      <c r="EK17" s="31">
        <f>Plus!BF5</f>
        <v>0</v>
      </c>
      <c r="FL17" s="2165"/>
      <c r="FM17" s="264" t="s">
        <v>427</v>
      </c>
      <c r="FN17" s="205">
        <v>1000000</v>
      </c>
      <c r="FO17" s="2165"/>
      <c r="FP17" s="2165"/>
      <c r="FQ17" s="2165"/>
      <c r="FV17" s="359"/>
      <c r="GB17" s="148" t="str">
        <f>IF(OR(GB2=GQ3,GB2=GQ4),"Disposiciones Siguientes 2 y 3","")</f>
        <v>Disposiciones Siguientes 2 y 3</v>
      </c>
      <c r="GC17" s="31">
        <f>Plus!BF5</f>
        <v>0</v>
      </c>
      <c r="HD17" s="2165"/>
      <c r="HE17" s="365" t="s">
        <v>427</v>
      </c>
      <c r="HF17" s="205">
        <v>1000000</v>
      </c>
      <c r="HG17" s="2165"/>
      <c r="HH17" s="2165"/>
      <c r="HI17" s="2165"/>
      <c r="HL17" s="182"/>
      <c r="HR17" t="s">
        <v>603</v>
      </c>
      <c r="IK17" s="217"/>
      <c r="IQ17" t="s">
        <v>603</v>
      </c>
    </row>
    <row r="18" spans="1:264">
      <c r="C18" s="284"/>
      <c r="E18" t="s">
        <v>603</v>
      </c>
      <c r="H18" s="156"/>
      <c r="L18" s="73"/>
      <c r="X18" s="398"/>
      <c r="Z18" s="284"/>
      <c r="AI18" s="73"/>
      <c r="AS18" s="200"/>
      <c r="BM18" s="221"/>
      <c r="BP18" s="284"/>
      <c r="BR18" t="s">
        <v>603</v>
      </c>
      <c r="BZ18" s="73"/>
      <c r="CL18" s="161"/>
      <c r="CR18" s="122" t="str">
        <f>IF(OR(CR2=DG3,CR2=DG4),"4ta Disposición","")</f>
        <v>4ta Disposición</v>
      </c>
      <c r="CS18" s="31">
        <f>Plus!BF6</f>
        <v>0</v>
      </c>
      <c r="CU18" s="74"/>
      <c r="DU18" s="20"/>
      <c r="DV18" s="331" t="s">
        <v>74</v>
      </c>
      <c r="DW18" s="206">
        <f>Plus!AV3</f>
        <v>0</v>
      </c>
      <c r="DX18" s="20"/>
      <c r="DY18" s="20"/>
      <c r="DZ18" s="20"/>
      <c r="ED18" s="182"/>
      <c r="EJ18" s="122" t="str">
        <f>IF(OR(EJ2=EY3,EJ2=EY4),"4ta Disposición","")</f>
        <v>4ta Disposición</v>
      </c>
      <c r="EK18" s="31">
        <f>Plus!BF6</f>
        <v>0</v>
      </c>
      <c r="EM18" s="74"/>
      <c r="FL18" s="20"/>
      <c r="FM18" s="265" t="s">
        <v>74</v>
      </c>
      <c r="FN18" s="206">
        <f>Plus!$AV$5</f>
        <v>0</v>
      </c>
      <c r="FO18" s="20"/>
      <c r="FP18" s="20"/>
      <c r="FQ18" s="20"/>
      <c r="FV18" s="359"/>
      <c r="GB18" s="122" t="str">
        <f>IF(OR(GB2=GQ3,GB2=GQ4),"4ta Disposición","")</f>
        <v>4ta Disposición</v>
      </c>
      <c r="GC18" s="31">
        <f>Plus!BF6</f>
        <v>0</v>
      </c>
      <c r="GE18" s="74"/>
      <c r="HD18" s="20"/>
      <c r="HE18" s="366" t="s">
        <v>74</v>
      </c>
      <c r="HF18" s="206">
        <f>Plus!$AV$5</f>
        <v>0</v>
      </c>
      <c r="HG18" s="20"/>
      <c r="HH18" s="20"/>
      <c r="HI18" s="20"/>
      <c r="HL18" s="182"/>
      <c r="HR18" t="s">
        <v>603</v>
      </c>
      <c r="HU18" s="156">
        <f>Adm!MR3</f>
        <v>0</v>
      </c>
      <c r="IK18" s="217"/>
      <c r="IQ18" t="s">
        <v>603</v>
      </c>
      <c r="IT18" s="156">
        <f>Adm!NR3</f>
        <v>0</v>
      </c>
    </row>
    <row r="19" spans="1:264">
      <c r="C19" s="284"/>
      <c r="L19" s="73"/>
      <c r="X19" s="398"/>
      <c r="Z19" s="284"/>
      <c r="AI19" s="73"/>
      <c r="AS19" s="200"/>
      <c r="BM19" s="221"/>
      <c r="BP19" s="284"/>
      <c r="BZ19" s="73"/>
      <c r="CL19" s="161"/>
      <c r="CR19" s="122" t="str">
        <f>IF(OR(CR3=DG4,CR3=DG5),"Ultima Disposición","")</f>
        <v>Ultima Disposición</v>
      </c>
      <c r="CS19" s="31">
        <f>Plus!BF7</f>
        <v>0</v>
      </c>
      <c r="DN19" s="157" t="s">
        <v>7</v>
      </c>
      <c r="DO19" s="89" t="s">
        <v>599</v>
      </c>
      <c r="DP19" s="115" t="s">
        <v>426</v>
      </c>
      <c r="DQ19" s="115"/>
      <c r="DR19" s="138"/>
      <c r="DS19" s="139"/>
      <c r="DU19" s="20"/>
      <c r="DV19" s="332" t="s">
        <v>434</v>
      </c>
      <c r="DW19" s="207" t="b">
        <f>IF(Plus!$G$15=180,VLOOKUP(DW18,milplus_15,2,0),IF(Plus!$G$15=240,VLOOKUP(DW18,milplus_20,2,0)))</f>
        <v>0</v>
      </c>
      <c r="DX19" s="20"/>
      <c r="DY19" s="20"/>
      <c r="DZ19" s="20"/>
      <c r="ED19" s="182"/>
      <c r="EJ19" t="str">
        <f>IF(OR(EJ2=EY3,EJ2=EY4),"Ultima Disposición","")</f>
        <v>Ultima Disposición</v>
      </c>
      <c r="EK19" s="31">
        <f>Plus!BF7</f>
        <v>0</v>
      </c>
      <c r="FE19" s="343" t="s">
        <v>7</v>
      </c>
      <c r="FF19" s="89" t="s">
        <v>599</v>
      </c>
      <c r="FG19" s="115" t="s">
        <v>426</v>
      </c>
      <c r="FH19" s="115"/>
      <c r="FI19" s="138"/>
      <c r="FJ19" s="139"/>
      <c r="FL19" s="20"/>
      <c r="FM19" s="347" t="s">
        <v>434</v>
      </c>
      <c r="FN19" s="207">
        <f>Plus!$BS$2</f>
        <v>0</v>
      </c>
      <c r="FO19" s="20"/>
      <c r="FP19" s="20"/>
      <c r="FQ19" s="20"/>
      <c r="FV19" s="359"/>
      <c r="GB19" t="str">
        <f>IF(OR(GB2=GQ3,GB2=GQ4),"Ultima Disposición","")</f>
        <v>Ultima Disposición</v>
      </c>
      <c r="GC19" s="75">
        <f>Plus!BF7</f>
        <v>0</v>
      </c>
      <c r="GW19" s="352" t="s">
        <v>7</v>
      </c>
      <c r="GX19" s="89" t="s">
        <v>599</v>
      </c>
      <c r="GY19" s="115" t="s">
        <v>426</v>
      </c>
      <c r="GZ19" s="115"/>
      <c r="HA19" s="138"/>
      <c r="HB19" s="139"/>
      <c r="HD19" s="20"/>
      <c r="HE19" s="368" t="s">
        <v>434</v>
      </c>
      <c r="HF19" s="207">
        <f>Plus!$BS$2</f>
        <v>0</v>
      </c>
      <c r="HG19" s="20"/>
      <c r="HH19" s="20"/>
      <c r="HI19" s="20"/>
      <c r="HL19" s="182"/>
      <c r="IK19" s="217"/>
    </row>
    <row r="20" spans="1:264" ht="21">
      <c r="C20" s="381"/>
      <c r="D20" s="37" t="s">
        <v>636</v>
      </c>
      <c r="E20" s="382" t="e">
        <f>(1+IRR(O24:O324,0.01))^12-1</f>
        <v>#NUM!</v>
      </c>
      <c r="F20" t="s">
        <v>436</v>
      </c>
      <c r="L20" s="73"/>
      <c r="X20" s="398"/>
      <c r="Z20" s="284"/>
      <c r="AA20" s="37" t="s">
        <v>636</v>
      </c>
      <c r="AB20" s="378" t="e">
        <f>(1+IRR(AK24:AK264,0.01))^12-1</f>
        <v>#NUM!</v>
      </c>
      <c r="AC20" t="s">
        <v>436</v>
      </c>
      <c r="AI20" s="73"/>
      <c r="AS20" s="200"/>
      <c r="AV20" s="37" t="s">
        <v>636</v>
      </c>
      <c r="AW20" s="36" t="e">
        <f>(1+IRR(BE24:BE264,0.01))^12-1</f>
        <v>#NUM!</v>
      </c>
      <c r="AX20" t="s">
        <v>436</v>
      </c>
      <c r="BM20" s="221"/>
      <c r="BP20" s="284"/>
      <c r="BQ20" s="37" t="s">
        <v>636</v>
      </c>
      <c r="BR20" s="370" t="e">
        <f>(1+IRR(CC24:CC264,0.01))^12-1</f>
        <v>#NUM!</v>
      </c>
      <c r="BS20" t="s">
        <v>436</v>
      </c>
      <c r="BZ20" s="73"/>
      <c r="CL20" s="161"/>
      <c r="CP20" s="126"/>
      <c r="CQ20" s="37"/>
      <c r="CR20" s="36"/>
      <c r="DN20" s="158" t="s">
        <v>601</v>
      </c>
      <c r="DO20" s="20"/>
      <c r="DP20" s="20"/>
      <c r="DQ20" s="20"/>
      <c r="DR20" s="20"/>
      <c r="DS20" s="88"/>
      <c r="DU20" s="20"/>
      <c r="DV20" s="331" t="s">
        <v>438</v>
      </c>
      <c r="DW20" s="208" t="b">
        <f>IF(Plus!$G$15=180,VLOOKUP(DW18,milplus_15,3,0),IF(Plus!$G$15=240,VLOOKUP(DW18,milplus_20,3,0)))</f>
        <v>0</v>
      </c>
      <c r="DX20" s="20"/>
      <c r="DY20" s="20"/>
      <c r="DZ20" s="20"/>
      <c r="ED20" s="182"/>
      <c r="EH20" s="126"/>
      <c r="EI20" s="37"/>
      <c r="EJ20" s="36"/>
      <c r="FE20" s="344" t="s">
        <v>601</v>
      </c>
      <c r="FF20" s="20"/>
      <c r="FG20" s="20"/>
      <c r="FH20" s="20"/>
      <c r="FI20" s="20"/>
      <c r="FJ20" s="88"/>
      <c r="FL20" s="20"/>
      <c r="FM20" s="265" t="s">
        <v>438</v>
      </c>
      <c r="FN20" s="208" t="b">
        <f>IF(Plus!$G$15=180,VLOOKUP(FN18,milplus_15,3,0),IF(Plus!$G$15=240,VLOOKUP(FN18,milplus_20,3,0)))</f>
        <v>0</v>
      </c>
      <c r="FO20" s="20"/>
      <c r="FP20" s="20"/>
      <c r="FQ20" s="20"/>
      <c r="FV20" s="359"/>
      <c r="FZ20" s="126"/>
      <c r="GA20" s="37"/>
      <c r="GB20" s="36"/>
      <c r="GW20" s="353" t="s">
        <v>601</v>
      </c>
      <c r="GX20" s="20"/>
      <c r="GY20" s="20"/>
      <c r="GZ20" s="20"/>
      <c r="HA20" s="20"/>
      <c r="HB20" s="88"/>
      <c r="HD20" s="20"/>
      <c r="HE20" s="366" t="s">
        <v>438</v>
      </c>
      <c r="HF20" s="208" t="b">
        <f>IF(Plus!$G$15=180,VLOOKUP(HF18,milplus_15,3,0),IF(Plus!$G$15=240,VLOOKUP(HF18,milplus_20,3,0)))</f>
        <v>0</v>
      </c>
      <c r="HG20" s="20"/>
      <c r="HH20" s="20"/>
      <c r="HI20" s="20"/>
      <c r="HL20" s="182"/>
      <c r="HO20" s="126"/>
      <c r="HP20" s="126"/>
      <c r="HQ20" s="37" t="s">
        <v>636</v>
      </c>
      <c r="HR20" s="36" t="e">
        <f>(1+IRR(IA24:IA264,0.01))^12-1</f>
        <v>#NUM!</v>
      </c>
      <c r="HS20" t="s">
        <v>436</v>
      </c>
      <c r="IK20" s="217"/>
      <c r="IN20" s="126"/>
      <c r="IO20" s="126"/>
      <c r="IP20" s="37" t="s">
        <v>636</v>
      </c>
      <c r="IQ20" s="36" t="e">
        <f>(1+IRR(IZ24:IZ264,0.01))^12-1</f>
        <v>#NUM!</v>
      </c>
      <c r="IR20" t="s">
        <v>436</v>
      </c>
    </row>
    <row r="21" spans="1:264">
      <c r="C21" s="291"/>
      <c r="D21" s="292"/>
      <c r="E21" s="292"/>
      <c r="F21" s="292"/>
      <c r="G21" s="292"/>
      <c r="H21" s="292"/>
      <c r="I21" s="292"/>
      <c r="J21" s="292"/>
      <c r="K21" s="292"/>
      <c r="L21" s="293"/>
      <c r="O21" s="42">
        <f>SUM(O24:O324)</f>
        <v>0</v>
      </c>
      <c r="X21" s="398"/>
      <c r="Z21" s="291"/>
      <c r="AA21" s="292"/>
      <c r="AB21" s="292"/>
      <c r="AC21" s="292"/>
      <c r="AD21" s="292"/>
      <c r="AE21" s="292"/>
      <c r="AF21" s="292"/>
      <c r="AG21" s="292"/>
      <c r="AH21" s="292"/>
      <c r="AI21" s="293"/>
      <c r="AK21" s="35">
        <f>SUM(AK24:AK264)</f>
        <v>0</v>
      </c>
      <c r="AS21" s="200"/>
      <c r="BE21" s="35">
        <f>SUM(BE24:BE264)</f>
        <v>0</v>
      </c>
      <c r="BM21" s="221"/>
      <c r="BP21" s="291"/>
      <c r="BQ21" s="292"/>
      <c r="BR21" s="292"/>
      <c r="BS21" s="292"/>
      <c r="BT21" s="292"/>
      <c r="BU21" s="292"/>
      <c r="BV21" s="292"/>
      <c r="BW21" s="292"/>
      <c r="BX21" s="292"/>
      <c r="BY21" s="292"/>
      <c r="BZ21" s="293"/>
      <c r="CC21" s="42">
        <f>SUM(CC24:CC264)</f>
        <v>0</v>
      </c>
      <c r="CL21" s="161"/>
      <c r="CV21" s="369"/>
      <c r="DD21" s="42"/>
      <c r="DN21" s="116">
        <f>IF(Plus!$O$64=Plus!$AU$60,1,IF(Plus!$O$64=Plus!$AU$61,2,0))</f>
        <v>0</v>
      </c>
      <c r="DO21" s="100" t="s">
        <v>432</v>
      </c>
      <c r="DP21" s="108">
        <f>IF(Plus!$G$18=Plus!$AT$7,1,2)</f>
        <v>2</v>
      </c>
      <c r="DQ21" s="20"/>
      <c r="DR21" s="20"/>
      <c r="DS21" s="159" t="s">
        <v>433</v>
      </c>
      <c r="DU21" s="20"/>
      <c r="DV21" s="331" t="s">
        <v>7</v>
      </c>
      <c r="DW21" s="259">
        <f>Plus!$G$15</f>
        <v>0</v>
      </c>
      <c r="DX21" s="20"/>
      <c r="DY21" s="20"/>
      <c r="DZ21" s="20"/>
      <c r="ED21" s="182"/>
      <c r="EV21" s="42"/>
      <c r="FE21" s="116">
        <f>IF(Plus!$O$64=Plus!$AU$60,1,IF(Plus!$O$64=Plus!$AU$61,2,0))</f>
        <v>0</v>
      </c>
      <c r="FF21" s="100" t="s">
        <v>432</v>
      </c>
      <c r="FG21" s="108">
        <f>IF(Plus!$G$18=Plus!$AT$7,1,2)</f>
        <v>2</v>
      </c>
      <c r="FH21" s="20"/>
      <c r="FI21" s="20"/>
      <c r="FJ21" s="345" t="s">
        <v>433</v>
      </c>
      <c r="FL21" s="20"/>
      <c r="FM21" s="265" t="s">
        <v>7</v>
      </c>
      <c r="FN21" s="259">
        <f>Plus!$G$15</f>
        <v>0</v>
      </c>
      <c r="FO21" s="20"/>
      <c r="FP21" s="20"/>
      <c r="FQ21" s="20"/>
      <c r="FV21" s="359"/>
      <c r="GN21" s="42"/>
      <c r="GW21" s="116">
        <f>IF(Plus!$O$64=Plus!$AU$60,1,IF(Plus!$O$64=Plus!$AU$61,2,0))</f>
        <v>0</v>
      </c>
      <c r="GX21" s="100" t="s">
        <v>432</v>
      </c>
      <c r="GY21" s="108">
        <f>IF(Plus!$G$18=Plus!$AT$7,1,2)</f>
        <v>2</v>
      </c>
      <c r="GZ21" s="20"/>
      <c r="HA21" s="20"/>
      <c r="HB21" s="354" t="s">
        <v>433</v>
      </c>
      <c r="HD21" s="20"/>
      <c r="HE21" s="366" t="s">
        <v>7</v>
      </c>
      <c r="HF21" s="259">
        <f>Plus!$G$15</f>
        <v>0</v>
      </c>
      <c r="HG21" s="20"/>
      <c r="HH21" s="20"/>
      <c r="HI21" s="20"/>
      <c r="HL21" s="182"/>
      <c r="IA21" s="42"/>
      <c r="IK21" s="217"/>
      <c r="IZ21" s="42"/>
    </row>
    <row r="22" spans="1:264" ht="39.6">
      <c r="F22" s="34" t="s">
        <v>637</v>
      </c>
      <c r="U22" s="61" t="s">
        <v>440</v>
      </c>
      <c r="V22" s="61" t="s">
        <v>441</v>
      </c>
      <c r="X22" s="398"/>
      <c r="AS22" s="200"/>
      <c r="BM22" s="221"/>
      <c r="BS22" s="34" t="s">
        <v>637</v>
      </c>
      <c r="BX22" s="31"/>
      <c r="CI22" s="280" t="s">
        <v>440</v>
      </c>
      <c r="CJ22" s="280" t="s">
        <v>441</v>
      </c>
      <c r="CL22" s="161"/>
      <c r="CS22" s="34" t="s">
        <v>637</v>
      </c>
      <c r="CX22" s="31"/>
      <c r="DJ22" s="61" t="s">
        <v>440</v>
      </c>
      <c r="DK22" s="61" t="s">
        <v>441</v>
      </c>
      <c r="DN22" s="117" t="s">
        <v>442</v>
      </c>
      <c r="DO22" s="107"/>
      <c r="DP22" s="107"/>
      <c r="DQ22" s="107"/>
      <c r="DR22" s="20"/>
      <c r="DS22" s="160"/>
      <c r="DU22" s="20"/>
      <c r="DV22" s="20"/>
      <c r="DW22" s="20"/>
      <c r="DX22" s="20"/>
      <c r="DY22" s="20"/>
      <c r="DZ22" s="20"/>
      <c r="ED22" s="182"/>
      <c r="EK22" s="34" t="s">
        <v>637</v>
      </c>
      <c r="EP22" s="31"/>
      <c r="FB22" s="61" t="s">
        <v>440</v>
      </c>
      <c r="FC22" s="61" t="s">
        <v>441</v>
      </c>
      <c r="FE22" s="117" t="s">
        <v>442</v>
      </c>
      <c r="FF22" s="107"/>
      <c r="FG22" s="107"/>
      <c r="FH22" s="107"/>
      <c r="FI22" s="20"/>
      <c r="FJ22" s="346"/>
      <c r="FL22" s="20"/>
      <c r="FM22" s="20"/>
      <c r="FN22" s="20"/>
      <c r="FO22" s="20"/>
      <c r="FP22" s="20"/>
      <c r="FQ22" s="20"/>
      <c r="FV22" s="359"/>
      <c r="GC22" s="34" t="s">
        <v>637</v>
      </c>
      <c r="GH22" s="31"/>
      <c r="GT22" s="61" t="s">
        <v>440</v>
      </c>
      <c r="GU22" s="61" t="s">
        <v>441</v>
      </c>
      <c r="GW22" s="117" t="s">
        <v>442</v>
      </c>
      <c r="GX22" s="107"/>
      <c r="GY22" s="107"/>
      <c r="GZ22" s="107"/>
      <c r="HA22" s="20"/>
      <c r="HB22" s="355"/>
      <c r="HD22" s="20"/>
      <c r="HE22" s="20"/>
      <c r="HF22" s="20"/>
      <c r="HG22" s="20"/>
      <c r="HH22" s="20"/>
      <c r="HI22" s="20"/>
      <c r="HL22" s="182"/>
      <c r="HS22" s="34" t="s">
        <v>637</v>
      </c>
      <c r="IG22" s="61" t="s">
        <v>440</v>
      </c>
      <c r="IH22" s="61" t="s">
        <v>441</v>
      </c>
      <c r="IK22" s="217"/>
      <c r="IR22" s="34" t="s">
        <v>637</v>
      </c>
    </row>
    <row r="23" spans="1:264" ht="36" customHeight="1">
      <c r="A23" s="62" t="s">
        <v>444</v>
      </c>
      <c r="C23" s="18" t="s">
        <v>446</v>
      </c>
      <c r="D23" s="18" t="s">
        <v>448</v>
      </c>
      <c r="E23" s="18" t="s">
        <v>449</v>
      </c>
      <c r="F23" s="18" t="s">
        <v>450</v>
      </c>
      <c r="G23" s="253" t="s">
        <v>638</v>
      </c>
      <c r="H23" s="18" t="s">
        <v>639</v>
      </c>
      <c r="I23" s="951" t="s">
        <v>640</v>
      </c>
      <c r="J23" s="21" t="s">
        <v>452</v>
      </c>
      <c r="K23" s="21" t="s">
        <v>641</v>
      </c>
      <c r="L23" s="21" t="s">
        <v>453</v>
      </c>
      <c r="M23" s="60" t="s">
        <v>642</v>
      </c>
      <c r="N23" s="60"/>
      <c r="O23" s="385" t="s">
        <v>643</v>
      </c>
      <c r="R23" s="386" t="s">
        <v>444</v>
      </c>
      <c r="S23" s="387" t="s">
        <v>454</v>
      </c>
      <c r="T23" s="2166"/>
      <c r="U23" s="954">
        <f>Cal!AB128</f>
        <v>0</v>
      </c>
      <c r="V23" s="2167"/>
      <c r="X23" s="398"/>
      <c r="Z23" s="376" t="s">
        <v>446</v>
      </c>
      <c r="AA23" s="376" t="s">
        <v>448</v>
      </c>
      <c r="AB23" s="376" t="s">
        <v>449</v>
      </c>
      <c r="AC23" s="376" t="s">
        <v>450</v>
      </c>
      <c r="AD23" s="376" t="s">
        <v>482</v>
      </c>
      <c r="AE23" s="377" t="s">
        <v>644</v>
      </c>
      <c r="AF23" s="377" t="s">
        <v>645</v>
      </c>
      <c r="AG23" s="376" t="s">
        <v>452</v>
      </c>
      <c r="AH23" s="389" t="s">
        <v>641</v>
      </c>
      <c r="AI23" s="376" t="s">
        <v>453</v>
      </c>
      <c r="AK23" s="41" t="s">
        <v>643</v>
      </c>
      <c r="AN23" s="89" t="s">
        <v>444</v>
      </c>
      <c r="AO23" s="87" t="s">
        <v>454</v>
      </c>
      <c r="AS23" s="200"/>
      <c r="AU23" s="202" t="s">
        <v>446</v>
      </c>
      <c r="AV23" s="202" t="s">
        <v>448</v>
      </c>
      <c r="AW23" s="202" t="s">
        <v>449</v>
      </c>
      <c r="AX23" s="202" t="s">
        <v>450</v>
      </c>
      <c r="AY23" s="202" t="s">
        <v>482</v>
      </c>
      <c r="AZ23" s="955" t="s">
        <v>639</v>
      </c>
      <c r="BA23" s="202" t="s">
        <v>646</v>
      </c>
      <c r="BB23" s="202" t="s">
        <v>452</v>
      </c>
      <c r="BC23" s="202" t="s">
        <v>453</v>
      </c>
      <c r="BE23" s="202" t="s">
        <v>643</v>
      </c>
      <c r="BH23" s="89" t="s">
        <v>444</v>
      </c>
      <c r="BI23" s="87" t="s">
        <v>454</v>
      </c>
      <c r="BM23" s="221"/>
      <c r="BO23" s="294" t="s">
        <v>444</v>
      </c>
      <c r="BP23" s="218" t="s">
        <v>446</v>
      </c>
      <c r="BQ23" s="218" t="s">
        <v>448</v>
      </c>
      <c r="BR23" s="218" t="s">
        <v>449</v>
      </c>
      <c r="BS23" s="218" t="s">
        <v>450</v>
      </c>
      <c r="BT23" s="218" t="s">
        <v>482</v>
      </c>
      <c r="BU23" s="218" t="s">
        <v>647</v>
      </c>
      <c r="BV23" s="219" t="s">
        <v>640</v>
      </c>
      <c r="BW23" s="228" t="s">
        <v>648</v>
      </c>
      <c r="BX23" s="219" t="s">
        <v>452</v>
      </c>
      <c r="BY23" s="228" t="s">
        <v>641</v>
      </c>
      <c r="BZ23" s="219" t="s">
        <v>453</v>
      </c>
      <c r="CA23" s="279" t="s">
        <v>642</v>
      </c>
      <c r="CB23" s="60"/>
      <c r="CC23" s="220" t="s">
        <v>643</v>
      </c>
      <c r="CF23" s="277" t="s">
        <v>444</v>
      </c>
      <c r="CG23" s="278" t="s">
        <v>454</v>
      </c>
      <c r="CH23" s="2166"/>
      <c r="CI23" s="2168">
        <f>Plus!AN73</f>
        <v>0</v>
      </c>
      <c r="CJ23" s="2167"/>
      <c r="CL23" s="161"/>
      <c r="CN23" s="62" t="s">
        <v>444</v>
      </c>
      <c r="CO23" s="106" t="s">
        <v>445</v>
      </c>
      <c r="CP23" s="304" t="s">
        <v>446</v>
      </c>
      <c r="CQ23" s="304" t="s">
        <v>448</v>
      </c>
      <c r="CR23" s="304" t="s">
        <v>449</v>
      </c>
      <c r="CS23" s="304" t="s">
        <v>450</v>
      </c>
      <c r="CT23" s="304" t="e">
        <f>IF(Adm!#REF!="no","","Seguro Vida")</f>
        <v>#REF!</v>
      </c>
      <c r="CU23" s="304" t="e">
        <f>IF(Adm!#REF!="no","","Seguro Daños")</f>
        <v>#REF!</v>
      </c>
      <c r="CV23" s="305" t="s">
        <v>640</v>
      </c>
      <c r="CW23" s="316" t="s">
        <v>649</v>
      </c>
      <c r="CX23" s="305" t="s">
        <v>452</v>
      </c>
      <c r="CY23" s="316" t="s">
        <v>641</v>
      </c>
      <c r="CZ23" s="305" t="s">
        <v>453</v>
      </c>
      <c r="DA23" s="60" t="s">
        <v>650</v>
      </c>
      <c r="DB23" s="143" t="s">
        <v>642</v>
      </c>
      <c r="DC23" s="60"/>
      <c r="DD23" s="144" t="s">
        <v>643</v>
      </c>
      <c r="DG23" s="317" t="s">
        <v>444</v>
      </c>
      <c r="DH23" s="318" t="s">
        <v>454</v>
      </c>
      <c r="DI23" s="2166"/>
      <c r="DJ23" s="2169">
        <f>Plus!AN73</f>
        <v>0</v>
      </c>
      <c r="DK23" s="2167"/>
      <c r="DN23" s="103" t="s">
        <v>455</v>
      </c>
      <c r="DO23" s="96" t="s">
        <v>456</v>
      </c>
      <c r="DP23" s="97" t="s">
        <v>457</v>
      </c>
      <c r="DQ23" s="98" t="s">
        <v>458</v>
      </c>
      <c r="DR23" s="99" t="s">
        <v>459</v>
      </c>
      <c r="DS23" s="104" t="s">
        <v>460</v>
      </c>
      <c r="DU23" s="328"/>
      <c r="DV23" s="329" t="s">
        <v>444</v>
      </c>
      <c r="DW23" s="329" t="s">
        <v>448</v>
      </c>
      <c r="DX23" s="329" t="s">
        <v>449</v>
      </c>
      <c r="DY23" s="329" t="s">
        <v>461</v>
      </c>
      <c r="DZ23" s="329" t="s">
        <v>462</v>
      </c>
      <c r="ED23" s="182"/>
      <c r="EF23" s="62" t="s">
        <v>444</v>
      </c>
      <c r="EG23" s="106" t="s">
        <v>445</v>
      </c>
      <c r="EH23" s="335" t="s">
        <v>446</v>
      </c>
      <c r="EI23" s="335" t="s">
        <v>448</v>
      </c>
      <c r="EJ23" s="335" t="s">
        <v>449</v>
      </c>
      <c r="EK23" s="335" t="s">
        <v>450</v>
      </c>
      <c r="EL23" s="335" t="e">
        <f>IF(Adm!#REF!="no","","Seguro Vida")</f>
        <v>#REF!</v>
      </c>
      <c r="EM23" s="335" t="e">
        <f>IF(Adm!#REF!="no","","Seguro Daños")</f>
        <v>#REF!</v>
      </c>
      <c r="EN23" s="336" t="s">
        <v>640</v>
      </c>
      <c r="EO23" s="222" t="s">
        <v>649</v>
      </c>
      <c r="EP23" s="336" t="s">
        <v>452</v>
      </c>
      <c r="EQ23" s="222" t="s">
        <v>641</v>
      </c>
      <c r="ER23" s="336" t="s">
        <v>453</v>
      </c>
      <c r="ES23" s="60" t="s">
        <v>650</v>
      </c>
      <c r="ET23" s="143" t="s">
        <v>642</v>
      </c>
      <c r="EU23" s="60"/>
      <c r="EV23" s="341" t="s">
        <v>643</v>
      </c>
      <c r="EY23" s="89" t="s">
        <v>444</v>
      </c>
      <c r="EZ23" s="87" t="s">
        <v>454</v>
      </c>
      <c r="FA23" s="2166"/>
      <c r="FB23" s="2170">
        <f>Plus!AN73</f>
        <v>0</v>
      </c>
      <c r="FC23" s="2167"/>
      <c r="FE23" s="103" t="s">
        <v>455</v>
      </c>
      <c r="FF23" s="96" t="s">
        <v>456</v>
      </c>
      <c r="FG23" s="97" t="s">
        <v>457</v>
      </c>
      <c r="FH23" s="98" t="s">
        <v>458</v>
      </c>
      <c r="FI23" s="99" t="s">
        <v>459</v>
      </c>
      <c r="FJ23" s="104" t="s">
        <v>460</v>
      </c>
      <c r="FL23" s="348"/>
      <c r="FM23" s="349" t="s">
        <v>444</v>
      </c>
      <c r="FN23" s="349" t="s">
        <v>448</v>
      </c>
      <c r="FO23" s="349" t="s">
        <v>449</v>
      </c>
      <c r="FP23" s="349" t="s">
        <v>461</v>
      </c>
      <c r="FQ23" s="349" t="s">
        <v>462</v>
      </c>
      <c r="FV23" s="359"/>
      <c r="FX23" s="62" t="s">
        <v>444</v>
      </c>
      <c r="FY23" s="106" t="s">
        <v>445</v>
      </c>
      <c r="FZ23" s="361" t="s">
        <v>446</v>
      </c>
      <c r="GA23" s="361" t="s">
        <v>448</v>
      </c>
      <c r="GB23" s="361" t="s">
        <v>449</v>
      </c>
      <c r="GC23" s="361" t="s">
        <v>450</v>
      </c>
      <c r="GD23" s="361" t="e">
        <f>IF(Adm!#REF!="no","","Seguro Vida")</f>
        <v>#REF!</v>
      </c>
      <c r="GE23" s="361" t="e">
        <f>IF(Adm!#REF!="no","","Seguro Daños")</f>
        <v>#REF!</v>
      </c>
      <c r="GF23" s="362" t="s">
        <v>640</v>
      </c>
      <c r="GG23" s="222" t="s">
        <v>649</v>
      </c>
      <c r="GH23" s="362" t="s">
        <v>452</v>
      </c>
      <c r="GI23" s="222" t="s">
        <v>641</v>
      </c>
      <c r="GJ23" s="362" t="s">
        <v>453</v>
      </c>
      <c r="GK23" s="162" t="s">
        <v>650</v>
      </c>
      <c r="GL23" s="162" t="s">
        <v>642</v>
      </c>
      <c r="GM23" s="60"/>
      <c r="GN23" s="363" t="s">
        <v>643</v>
      </c>
      <c r="GQ23" s="89" t="s">
        <v>444</v>
      </c>
      <c r="GR23" s="87" t="s">
        <v>454</v>
      </c>
      <c r="GS23" s="2166"/>
      <c r="GT23" s="2171">
        <f>Plus!AN73</f>
        <v>0</v>
      </c>
      <c r="GU23" s="2167"/>
      <c r="GW23" s="103" t="s">
        <v>455</v>
      </c>
      <c r="GX23" s="96" t="s">
        <v>456</v>
      </c>
      <c r="GY23" s="97" t="s">
        <v>457</v>
      </c>
      <c r="GZ23" s="98" t="s">
        <v>458</v>
      </c>
      <c r="HA23" s="99" t="s">
        <v>459</v>
      </c>
      <c r="HB23" s="104" t="s">
        <v>460</v>
      </c>
      <c r="HD23" s="365"/>
      <c r="HE23" s="367" t="s">
        <v>444</v>
      </c>
      <c r="HF23" s="367" t="s">
        <v>448</v>
      </c>
      <c r="HG23" s="367" t="s">
        <v>449</v>
      </c>
      <c r="HH23" s="367" t="s">
        <v>461</v>
      </c>
      <c r="HI23" s="367" t="s">
        <v>462</v>
      </c>
      <c r="HL23" s="182"/>
      <c r="HM23" s="62" t="s">
        <v>444</v>
      </c>
      <c r="HO23" s="970" t="s">
        <v>446</v>
      </c>
      <c r="HP23" s="970" t="s">
        <v>651</v>
      </c>
      <c r="HQ23" s="970" t="s">
        <v>448</v>
      </c>
      <c r="HR23" s="970" t="s">
        <v>449</v>
      </c>
      <c r="HS23" s="970" t="s">
        <v>450</v>
      </c>
      <c r="HT23" s="970" t="str">
        <f>IF(Adm!LZ4="no","","Seguro Vida")</f>
        <v>Seguro Vida</v>
      </c>
      <c r="HU23" s="970" t="str">
        <f>IF(Adm!LZ5="no","","Seguro Daños")</f>
        <v>Seguro Daños</v>
      </c>
      <c r="HV23" s="191" t="s">
        <v>640</v>
      </c>
      <c r="HW23" s="971" t="s">
        <v>452</v>
      </c>
      <c r="HX23" s="971" t="s">
        <v>641</v>
      </c>
      <c r="HY23" s="971" t="s">
        <v>453</v>
      </c>
      <c r="HZ23" s="60"/>
      <c r="IA23" s="17" t="s">
        <v>643</v>
      </c>
      <c r="IC23" s="89" t="s">
        <v>444</v>
      </c>
      <c r="ID23" s="2382" t="s">
        <v>454</v>
      </c>
      <c r="IE23" s="2383"/>
      <c r="IF23" s="2166"/>
      <c r="IG23" s="2172">
        <f>Cal!BO128</f>
        <v>0</v>
      </c>
      <c r="IH23" s="2167"/>
      <c r="IK23" s="217"/>
      <c r="IL23" s="62" t="s">
        <v>444</v>
      </c>
      <c r="IN23" s="225" t="s">
        <v>446</v>
      </c>
      <c r="IO23" s="225" t="s">
        <v>651</v>
      </c>
      <c r="IP23" s="225" t="s">
        <v>448</v>
      </c>
      <c r="IQ23" s="225" t="s">
        <v>449</v>
      </c>
      <c r="IR23" s="225" t="s">
        <v>450</v>
      </c>
      <c r="IS23" s="225" t="str">
        <f>IF(Adm!MZ4="no","","Seguro Vida")</f>
        <v>Seguro Vida</v>
      </c>
      <c r="IT23" s="227" t="str">
        <f>IF(Adm!MZ5="no","","Seguro Daños")</f>
        <v>Seguro Daños</v>
      </c>
      <c r="IU23" s="191" t="s">
        <v>640</v>
      </c>
      <c r="IV23" s="226" t="s">
        <v>452</v>
      </c>
      <c r="IW23" s="228" t="s">
        <v>641</v>
      </c>
      <c r="IX23" s="226" t="s">
        <v>453</v>
      </c>
      <c r="IY23" s="60"/>
      <c r="IZ23" s="226" t="s">
        <v>643</v>
      </c>
      <c r="JB23" s="89" t="s">
        <v>444</v>
      </c>
      <c r="JC23" s="2382" t="s">
        <v>454</v>
      </c>
      <c r="JD23" s="2383"/>
    </row>
    <row r="24" spans="1:264">
      <c r="A24" s="2173">
        <f ca="1">MONTH(K1)</f>
        <v>3</v>
      </c>
      <c r="C24" s="33">
        <v>0</v>
      </c>
      <c r="D24" s="33"/>
      <c r="E24" s="33"/>
      <c r="F24" s="33"/>
      <c r="G24" s="33"/>
      <c r="H24" s="33"/>
      <c r="I24" s="33"/>
      <c r="J24" s="33"/>
      <c r="K24" s="33"/>
      <c r="L24" s="33">
        <f>Captura!N87</f>
        <v>0</v>
      </c>
      <c r="O24" s="406">
        <f>-L24+L10</f>
        <v>0</v>
      </c>
      <c r="R24" s="92">
        <v>12</v>
      </c>
      <c r="S24" s="88" t="s">
        <v>463</v>
      </c>
      <c r="U24" s="69"/>
      <c r="V24" s="72"/>
      <c r="X24" s="398"/>
      <c r="Z24" s="266">
        <v>0</v>
      </c>
      <c r="AA24" s="267"/>
      <c r="AB24" s="267"/>
      <c r="AC24" s="267"/>
      <c r="AD24" s="267"/>
      <c r="AE24" s="267"/>
      <c r="AF24" s="267"/>
      <c r="AG24" s="267"/>
      <c r="AH24" s="267"/>
      <c r="AI24" s="400">
        <f>Liquidez!K17</f>
        <v>0</v>
      </c>
      <c r="AK24" s="409">
        <f>-AI24+AI9</f>
        <v>0</v>
      </c>
      <c r="AN24" s="92">
        <v>12</v>
      </c>
      <c r="AO24" s="88" t="s">
        <v>463</v>
      </c>
      <c r="AS24" s="200"/>
      <c r="AU24" s="266">
        <v>0</v>
      </c>
      <c r="AV24" s="267"/>
      <c r="AW24" s="267"/>
      <c r="AX24" s="267"/>
      <c r="AY24" s="267"/>
      <c r="AZ24" s="267"/>
      <c r="BA24" s="267"/>
      <c r="BB24" s="267"/>
      <c r="BC24" s="400">
        <f>Sustitución!K17</f>
        <v>0</v>
      </c>
      <c r="BE24" s="424">
        <f>-BC24+BC9</f>
        <v>0</v>
      </c>
      <c r="BH24" s="92">
        <v>12</v>
      </c>
      <c r="BI24" s="88" t="s">
        <v>463</v>
      </c>
      <c r="BM24" s="221"/>
      <c r="BO24" s="2174">
        <f ca="1">MONTH(BY1)</f>
        <v>3</v>
      </c>
      <c r="BP24" s="266">
        <v>0</v>
      </c>
      <c r="BQ24" s="267"/>
      <c r="BR24" s="267"/>
      <c r="BS24" s="267"/>
      <c r="BT24" s="267"/>
      <c r="BU24" s="267"/>
      <c r="BV24" s="267"/>
      <c r="BW24" s="267"/>
      <c r="BX24" s="267"/>
      <c r="BY24" s="267"/>
      <c r="BZ24" s="301">
        <f>Plus!N65</f>
        <v>0</v>
      </c>
      <c r="CC24" s="412">
        <f>-BZ24+BZ12</f>
        <v>0</v>
      </c>
      <c r="CF24" s="92">
        <v>12</v>
      </c>
      <c r="CG24" s="88" t="s">
        <v>463</v>
      </c>
      <c r="CI24" s="69"/>
      <c r="CJ24" s="72"/>
      <c r="CL24" s="161"/>
      <c r="CN24" s="2175">
        <f ca="1">MONTH(CY1)</f>
        <v>3</v>
      </c>
      <c r="CO24" s="307">
        <f>CS8</f>
        <v>0</v>
      </c>
      <c r="CP24" s="266">
        <v>0</v>
      </c>
      <c r="CQ24" s="267"/>
      <c r="CR24" s="267"/>
      <c r="CS24" s="267"/>
      <c r="CT24" s="267"/>
      <c r="CU24" s="267"/>
      <c r="CV24" s="267"/>
      <c r="CW24" s="267"/>
      <c r="CX24" s="267"/>
      <c r="CY24" s="267"/>
      <c r="CZ24" s="301">
        <f>IF(Plus!G16=0,0,IF(Plus!C28&lt;&gt;"",0,IF(OR(Plus!F10=Plus!AK10,Plus!F10=Plus!AK11),Plus!K20,Plus!G17)))</f>
        <v>0</v>
      </c>
      <c r="DA24" s="301"/>
      <c r="DD24" s="406">
        <f>-CZ24+CZ12</f>
        <v>0</v>
      </c>
      <c r="DG24" s="92">
        <v>12</v>
      </c>
      <c r="DH24" s="88" t="s">
        <v>463</v>
      </c>
      <c r="DJ24" s="69"/>
      <c r="DK24" s="72"/>
      <c r="DN24" s="319"/>
      <c r="DO24" s="320"/>
      <c r="DP24" s="320"/>
      <c r="DQ24" s="320"/>
      <c r="DR24" s="320"/>
      <c r="DS24" s="321" t="s">
        <v>464</v>
      </c>
      <c r="DU24" s="101">
        <v>1</v>
      </c>
      <c r="DV24" s="209"/>
      <c r="DW24" s="210"/>
      <c r="DX24" s="210"/>
      <c r="DY24" s="210"/>
      <c r="DZ24" s="325">
        <f>DW17</f>
        <v>1000000</v>
      </c>
      <c r="ED24" s="182"/>
      <c r="EF24" s="2175">
        <f ca="1">MONTH(EQ1)</f>
        <v>3</v>
      </c>
      <c r="EG24" s="338">
        <f>EK8</f>
        <v>0</v>
      </c>
      <c r="EH24" s="266">
        <v>0</v>
      </c>
      <c r="EI24" s="267"/>
      <c r="EJ24" s="267"/>
      <c r="EK24" s="267"/>
      <c r="EL24" s="267"/>
      <c r="EM24" s="267"/>
      <c r="EN24" s="267"/>
      <c r="EO24" s="267"/>
      <c r="EP24" s="267"/>
      <c r="EQ24" s="267"/>
      <c r="ER24" s="301">
        <f>IF(Plus!$G$16=0,0,IF(Plus!$C$28&lt;&gt;"",0,IF(OR(Plus!$F$10=Plus!$AK$10,Plus!$F$10=Plus!$AK$11),Plus!$K$20,Plus!$G$17)))</f>
        <v>0</v>
      </c>
      <c r="ES24" s="339"/>
      <c r="EV24" s="415">
        <f>-ER24+ER12</f>
        <v>0</v>
      </c>
      <c r="EY24" s="92">
        <v>12</v>
      </c>
      <c r="EZ24" s="88" t="s">
        <v>463</v>
      </c>
      <c r="FB24" s="69"/>
      <c r="FC24" s="72"/>
      <c r="FE24" s="118"/>
      <c r="FF24" s="111"/>
      <c r="FG24" s="111"/>
      <c r="FH24" s="111"/>
      <c r="FI24" s="111"/>
      <c r="FJ24" s="105" t="s">
        <v>464</v>
      </c>
      <c r="FL24" s="101">
        <v>1</v>
      </c>
      <c r="FM24" s="209"/>
      <c r="FN24" s="210"/>
      <c r="FO24" s="210"/>
      <c r="FP24" s="210"/>
      <c r="FQ24" s="325">
        <f>FN17</f>
        <v>1000000</v>
      </c>
      <c r="FV24" s="359"/>
      <c r="FX24" s="2175">
        <f ca="1">MONTH(GI1)</f>
        <v>3</v>
      </c>
      <c r="FY24" s="338">
        <f>GC8</f>
        <v>0</v>
      </c>
      <c r="FZ24" s="266">
        <v>0</v>
      </c>
      <c r="GA24" s="267"/>
      <c r="GB24" s="267"/>
      <c r="GC24" s="267"/>
      <c r="GD24" s="267"/>
      <c r="GE24" s="267"/>
      <c r="GF24" s="267"/>
      <c r="GG24" s="267"/>
      <c r="GH24" s="267"/>
      <c r="GI24" s="267"/>
      <c r="GJ24" s="301">
        <f>IF(Plus!$G$16=0,0,IF(Plus!$C$28&lt;&gt;"",0,IF(OR(Plus!$F$10=Plus!$AK$10,Plus!$F$10=Plus!$AK$11),Plus!$K$20,Plus!$G$17)))</f>
        <v>0</v>
      </c>
      <c r="GK24" s="339"/>
      <c r="GN24" s="418">
        <f>-GJ24+GJ12</f>
        <v>0</v>
      </c>
      <c r="GQ24" s="92">
        <v>12</v>
      </c>
      <c r="GR24" s="88" t="s">
        <v>463</v>
      </c>
      <c r="GT24" s="69"/>
      <c r="GU24" s="72"/>
      <c r="GW24" s="118"/>
      <c r="GX24" s="111"/>
      <c r="GY24" s="111"/>
      <c r="GZ24" s="111"/>
      <c r="HA24" s="111"/>
      <c r="HB24" s="105" t="s">
        <v>464</v>
      </c>
      <c r="HD24" s="101">
        <v>1</v>
      </c>
      <c r="HE24" s="209"/>
      <c r="HF24" s="210"/>
      <c r="HG24" s="210"/>
      <c r="HH24" s="210"/>
      <c r="HI24" s="325">
        <f>HF17</f>
        <v>1000000</v>
      </c>
      <c r="HL24" s="182"/>
      <c r="HM24" s="2173">
        <f ca="1">MONTH(HX1)</f>
        <v>3</v>
      </c>
      <c r="HO24" s="266">
        <v>0</v>
      </c>
      <c r="HP24" s="267"/>
      <c r="HQ24" s="267"/>
      <c r="HR24" s="267"/>
      <c r="HS24" s="267"/>
      <c r="HT24" s="267"/>
      <c r="HU24" s="267"/>
      <c r="HV24" s="267"/>
      <c r="HW24" s="267"/>
      <c r="HX24" s="267"/>
      <c r="HY24" s="297">
        <f>Free!M70</f>
        <v>0</v>
      </c>
      <c r="IA24" s="406">
        <f>-HY24+HY10</f>
        <v>0</v>
      </c>
      <c r="IC24" s="92">
        <v>12</v>
      </c>
      <c r="ID24" s="20" t="s">
        <v>463</v>
      </c>
      <c r="IE24" s="975" t="s">
        <v>443</v>
      </c>
      <c r="IG24" s="69"/>
      <c r="IH24" s="72"/>
      <c r="IK24" s="217"/>
      <c r="IL24" s="2173">
        <f ca="1">MONTH(IW1)</f>
        <v>3</v>
      </c>
      <c r="IN24" s="266">
        <v>0</v>
      </c>
      <c r="IO24" s="267"/>
      <c r="IP24" s="267"/>
      <c r="IQ24" s="267"/>
      <c r="IR24" s="267"/>
      <c r="IS24" s="267"/>
      <c r="IT24" s="267"/>
      <c r="IU24" s="267"/>
      <c r="IV24" s="267"/>
      <c r="IW24" s="267"/>
      <c r="IX24" s="301">
        <f>IR14</f>
        <v>0</v>
      </c>
      <c r="IZ24" s="415">
        <f>-IX24+IX10</f>
        <v>0</v>
      </c>
      <c r="JB24" s="92">
        <v>12</v>
      </c>
      <c r="JC24" s="20" t="s">
        <v>463</v>
      </c>
      <c r="JD24" s="73" t="s">
        <v>443</v>
      </c>
    </row>
    <row r="25" spans="1:264">
      <c r="A25" s="26">
        <f t="shared" ref="A25:A88" ca="1" si="0">IF(A24=12,1,A24+1)</f>
        <v>4</v>
      </c>
      <c r="C25" s="33">
        <f t="shared" ref="C25:C88" si="1">IF(L24&lt;0.01,0,C24+1)</f>
        <v>0</v>
      </c>
      <c r="D25" s="123">
        <f>IF(L24&lt;0.01,0,L24*$F$9*30.4166/360)</f>
        <v>0</v>
      </c>
      <c r="E25" s="123">
        <f>IF(L24&lt;0.01,0,IF(Adm!$B$4=Adm!$A$118,0,F25-D25))</f>
        <v>0</v>
      </c>
      <c r="F25" s="196">
        <f>IF(L24&lt;0.1,0,IF(Adm!$B$4=Adm!$A$118,D25,IF(Adm!D4=Adm!D7,L24*F11/1000,PMT(((F9/360)*(365/12)),Cal!AB109,-L24))))</f>
        <v>0</v>
      </c>
      <c r="G25" s="123">
        <f>IF(L24&lt;0.01,0,IF(Adm!$S$4=Adm!$S$8,L24*$L$15,L24*Adm!$V$4))</f>
        <v>0</v>
      </c>
      <c r="H25" s="952">
        <f>IF(L24&lt;0.01,0,IF(Adm!$S$5=Adm!$S$8,Adm!$AA$11*$L$16/1.16,IF(Adm!$B$4=Adm!$A$119,0,IF(Adm!$B$4=Adm!$A$118,Adm!$AA$11*Adm!$W$4/1.16,Adm!$AA$11*Adm!$X$4/1.16))))</f>
        <v>0</v>
      </c>
      <c r="I25" s="123">
        <f>IF(L24&lt;0.01,0,Cal!$AB$126/1.16)</f>
        <v>0</v>
      </c>
      <c r="J25" s="123">
        <f t="shared" ref="J25:J88" si="2">IF(L24&lt;0.01,0,F25+G25+H25+I25)</f>
        <v>0</v>
      </c>
      <c r="K25" s="123">
        <f>IF(Adm!$G$4="si",MIN(L24+D25+G25+H25+I25-J25,V25),0)</f>
        <v>0</v>
      </c>
      <c r="L25" s="123">
        <f>IF(L24&lt;0.01,0,L24-E25-K25)</f>
        <v>0</v>
      </c>
      <c r="M25" s="74"/>
      <c r="N25" s="74"/>
      <c r="O25" s="407">
        <f>J25+K25</f>
        <v>0</v>
      </c>
      <c r="R25" s="90">
        <f>IF(R24=12,1,R24+1)</f>
        <v>1</v>
      </c>
      <c r="S25" s="121"/>
      <c r="U25" s="70">
        <f>IF(AND(Adm!G4="si",Captura!L84&gt;0,Captura!L84&lt;Adm!G9),Captura!L84,IF(AND(Adm!G4="si",Captura!L84&gt;0,Captura!L84&gt;Adm!G9),Adm!G9,IF(AND(Adm!G4="si",Captura!L84=0,Captura!Y86&lt;Adm!G9),Captura!Y86,IF(AND(Adm!G4="si",Captura!L84=0,Captura!Y86&gt;Adm!G9),Adm!G9,0))))</f>
        <v>0</v>
      </c>
      <c r="V25" s="73">
        <v>0</v>
      </c>
      <c r="X25" s="398"/>
      <c r="Z25" s="268">
        <f t="shared" ref="Z25:Z88" si="3">IF(AI24&lt;0.01,0,Z24+1)</f>
        <v>0</v>
      </c>
      <c r="AA25" s="2176">
        <f>IF(AI24&lt;0.01,0,AI24*$AC$9*30.4166/360)</f>
        <v>0</v>
      </c>
      <c r="AB25" s="33">
        <f>IF(AI24&lt;0.01,0,AC25-AA25)</f>
        <v>0</v>
      </c>
      <c r="AC25" s="33">
        <f>IF(AI24&lt;0.01,0,IF(Adm!D4=Adm!D7,AI24*AC11/1000,PMT(((AC9/360)*(365/12)),Cal!AC109,-AI24)))</f>
        <v>0</v>
      </c>
      <c r="AD25" s="33">
        <f>IF(AI24&lt;0.01,0,IF(Adm!$S$4=Adm!$S$8,AI24*$AI$15,AI24*Adm!$V$4))</f>
        <v>0</v>
      </c>
      <c r="AE25" s="33"/>
      <c r="AF25" s="33"/>
      <c r="AG25" s="33">
        <f t="shared" ref="AG25:AG88" si="4">IF(AI24&lt;0.01,0,AC25+AD25+AE25+AF25)</f>
        <v>0</v>
      </c>
      <c r="AH25" s="33"/>
      <c r="AI25" s="401">
        <f t="shared" ref="AI25:AI88" si="5">AI24-AB25</f>
        <v>0</v>
      </c>
      <c r="AK25" s="410">
        <f t="shared" ref="AK25:AK88" si="6">AG25</f>
        <v>0</v>
      </c>
      <c r="AN25" s="90">
        <f>IF(AN24=12,1,AN24+1)</f>
        <v>1</v>
      </c>
      <c r="AO25" s="59"/>
      <c r="AS25" s="200"/>
      <c r="AU25" s="268">
        <f t="shared" ref="AU25:AU88" si="7">IF(BC24&lt;0.01,0,AU24+1)</f>
        <v>0</v>
      </c>
      <c r="AV25" s="2177">
        <f>IF(BC24&lt;0.01,0,BC24*$AX$9*30.4166/360)</f>
        <v>0</v>
      </c>
      <c r="AW25" s="123">
        <f t="shared" ref="AW25:AW88" si="8">IF(BC24&lt;0.01,0,AX25-AV25)</f>
        <v>0</v>
      </c>
      <c r="AX25" s="196">
        <f>IF(BC24&lt;0.01,0,IF(Adm!D4=Adm!D7,BC24*AX11/1000,PMT(((AX9/360)*(365/12)),AX8,-BC24)))</f>
        <v>0</v>
      </c>
      <c r="AY25" s="123">
        <f>IF(BC24&lt;0.01,0,IF(Adm!$S$4=Adm!$S$8,BC24*$BC$16,BC24*Adm!$V$4))</f>
        <v>0</v>
      </c>
      <c r="AZ25" s="123"/>
      <c r="BA25" s="123">
        <f>IF(BC24&lt;0.01,0,Adm!$Q$6)</f>
        <v>0</v>
      </c>
      <c r="BB25" s="123">
        <f>IF(BC24&lt;0.01,0,AX25+AY25+AZ25+BA25)</f>
        <v>0</v>
      </c>
      <c r="BC25" s="297">
        <f>BC24-AW25</f>
        <v>0</v>
      </c>
      <c r="BE25" s="425">
        <f t="shared" ref="BE25:BE88" si="9">BB25</f>
        <v>0</v>
      </c>
      <c r="BH25" s="90">
        <f>IF(BH24=12,1,BH24+1)</f>
        <v>1</v>
      </c>
      <c r="BI25" s="121"/>
      <c r="BM25" s="221"/>
      <c r="BO25" s="295">
        <f t="shared" ref="BO25:BO88" ca="1" si="10">IF(BO24=12,1,BO24+1)</f>
        <v>4</v>
      </c>
      <c r="BP25" s="268">
        <f t="shared" ref="BP25:BP88" si="11">IF(BZ24&lt;0.01,0,BP24+1)</f>
        <v>0</v>
      </c>
      <c r="BQ25" s="123">
        <f>IF(BZ24&lt;0.01,0,BZ24*$BS$9*30.4166/360)</f>
        <v>0</v>
      </c>
      <c r="BR25" s="123">
        <f>IF(BZ24&lt;0.01,0,IF(OR(Plus!$F$10=Plus!$AK$10,Plus!$F$10=Plus!$AK$11),0,BS25-BQ25))</f>
        <v>0</v>
      </c>
      <c r="BS25" s="123">
        <f>IF(BZ24&lt;0.1,0,IF(Plus!$AT$2=Plus!$AT$8,BZ24*CAT!BS11/1000,IF(OR(Plus!$F$10=Plus!$AK$10,Plus!$F$10=Plus!$AK$11),BQ25,PMT(((CAT!BS9/360)*(365/12)),CAT!BS8,-BZ24))))</f>
        <v>0</v>
      </c>
      <c r="BT25" s="123">
        <f>IF(BZ24&lt;0.01,0,IF(Plus!$F$22=Plus!$AN$4,BZ24*$BZ$15,IF(Plus!$F$22=Plus!$AN$3,BZ24*Plus!$F$23/1000,BZ24*VLOOKUP(Plus!$G$21,Plus!$AP$2:'Plus'!$AQ$5,2,0))))</f>
        <v>0</v>
      </c>
      <c r="BU25" s="123">
        <f>IF(BZ24&lt;0.01,0,IF(Plus!$F$24=Plus!$AO$3,Plus!$G$13*$BZ$16/1.16,IF(Plus!$F$10=Plus!$AK$7,0,IF(OR(Plus!$F$10=Plus!$AK$10,Plus!$F$10=Plus!$AK$11),Plus!$G$13*Plus!$AR$4/1.16,Plus!$G$13*Plus!$AR$2/1.16))))</f>
        <v>0</v>
      </c>
      <c r="BV25" s="123">
        <f>IF(BZ24&lt;0.01,0,IF(OR(Plus!$F$10=Plus!$AK$7,Plus!$F$10=Plus!$AK$13),0,Plus!$BD$2))</f>
        <v>0</v>
      </c>
      <c r="BW25" s="123"/>
      <c r="BX25" s="123">
        <f t="shared" ref="BX25:BX88" si="12">IF(BZ24&lt;0.01,0,BS25+BT25+BU25+BV25)</f>
        <v>0</v>
      </c>
      <c r="BY25" s="123">
        <f>IF(Plus!$F$10=Plus!$AK$3,MIN(BZ24+BQ25+BT25+BU25+BV25-BX25,CJ25),0)</f>
        <v>0</v>
      </c>
      <c r="BZ25" s="297">
        <f>IF(BZ24&lt;0.01,0,BZ24-BR25-BY25)</f>
        <v>0</v>
      </c>
      <c r="CA25" s="74"/>
      <c r="CB25" s="74"/>
      <c r="CC25" s="413">
        <f>BX25+BY25</f>
        <v>0</v>
      </c>
      <c r="CF25" s="90">
        <f>IF(CF24=12,1,CF24+1)</f>
        <v>1</v>
      </c>
      <c r="CG25" s="59"/>
      <c r="CI25" s="70">
        <f>Plus!AN75</f>
        <v>0</v>
      </c>
      <c r="CJ25" s="73">
        <v>0</v>
      </c>
      <c r="CL25" s="161"/>
      <c r="CN25" s="308">
        <f t="shared" ref="CN25:CN88" ca="1" si="13">IF(CN24=12,1,CN24+1)</f>
        <v>4</v>
      </c>
      <c r="CO25" s="309">
        <f>IF(CZ24&gt;0,CO24-1,0)</f>
        <v>0</v>
      </c>
      <c r="CP25" s="268">
        <f t="shared" ref="CP25:CP88" si="14">IF(CZ24&lt;0.01,0,CP24+1)</f>
        <v>0</v>
      </c>
      <c r="CQ25" s="123">
        <f>IF(CZ24&lt;0.01,0,CZ24*$CS$9*30.4166/360)</f>
        <v>0</v>
      </c>
      <c r="CR25" s="123">
        <f>IF(CZ24&lt;0.01,0,IF(OR(Plus!$F$10=Plus!$AK$10,Plus!$F$10=Plus!$AK$11),0,CS25-CQ25))</f>
        <v>0</v>
      </c>
      <c r="CS25" s="123">
        <f>IF(CZ24&lt;0.1,0,IF(CZ24&lt;0.01,0,IF(Plus!$AT$2=Plus!$AT$8,CZ24*CS11/1000,IF(OR(Plus!F10=Plus!AK10,Plus!F10=Plus!AK11),CQ25,PMT(((CS9/360)*(365/12)),CS8,-CZ24)))))</f>
        <v>0</v>
      </c>
      <c r="CT25" s="33">
        <f>IF(CZ24&lt;0.01,0,IF(Plus!$F$22=Plus!$AN$4,0,IF(Plus!$F$22=Plus!$AN$3,CZ24*Plus!$F$23/1000,CZ24*VLOOKUP(Plus!$G$21,Plus!$AP$2:'Plus'!$AQ$5,2,0))))</f>
        <v>0</v>
      </c>
      <c r="CU25" s="123">
        <f>IF(CZ24&lt;0.01,0,IF(Plus!$F$24=Plus!$AO$3,0,IF(OR(Plus!$F$10=Plus!$AK$7,Plus!$F$10=Plus!$AK$13),0,IF(OR(Plus!$F$10=Plus!$AK$10,Plus!$F$10=Plus!$AK$11),Plus!$G$13*Plus!$AR$4,Plus!$G$13*Plus!$AR$2))))</f>
        <v>0</v>
      </c>
      <c r="CV25" s="123">
        <f>IF(CZ24&lt;0.01,0,IF(OR(Plus!$F$10=Plus!$AK$7,Plus!$F$10=Plus!$AK$13),0,Plus!$BD$2*1.16))</f>
        <v>0</v>
      </c>
      <c r="CW25" s="123">
        <f>IF(CZ24&lt;0.01,0,IF(Plus!$AS$2&gt;0,CQ25*Plus!$AS$3,0))</f>
        <v>0</v>
      </c>
      <c r="CX25" s="123">
        <f>IF(CZ24&lt;0.01,0,CS25+CT25+CU25+CV25+CW25)</f>
        <v>0</v>
      </c>
      <c r="CY25" s="123">
        <f>IF(Plus!$F$10=Plus!$AK$3,MIN(CZ24+CQ25+CT25+CU25+CV25-CX25,DK25),0)</f>
        <v>0</v>
      </c>
      <c r="CZ25" s="297">
        <f>IF(CZ24&lt;0.01,0,CZ24+DB25-CR25-CY25-DA25)</f>
        <v>0</v>
      </c>
      <c r="DA25" s="306">
        <f>Plus!O66</f>
        <v>0</v>
      </c>
      <c r="DB25" s="74"/>
      <c r="DC25" s="74"/>
      <c r="DD25" s="407">
        <f>CS25+CT25+(CU25/1.16)+(CV25/1.16)+CY25</f>
        <v>0</v>
      </c>
      <c r="DG25" s="90">
        <f>IF(DG24=12,1,DG24+1)</f>
        <v>1</v>
      </c>
      <c r="DH25" s="121"/>
      <c r="DJ25" s="154">
        <f>IF(AND(Plus!$F$10=Plus!$AK$3,Plus!$AN$73&gt;0,Plus!$AN$73&lt;Adm!$G$9),Plus!$AN$73,IF(AND(Plus!$F$10=Plus!$AK$3,Plus!$AN$73&gt;0,Plus!$AN$73&gt;Adm!$G$9),Adm!$G$9,0))</f>
        <v>0</v>
      </c>
      <c r="DK25" s="73">
        <v>0</v>
      </c>
      <c r="DN25" s="119"/>
      <c r="DO25" s="112"/>
      <c r="DP25" s="112"/>
      <c r="DQ25" s="109">
        <f>IF(AND(DR25&gt;0.01,$DN$21=2),DR25,0)</f>
        <v>0</v>
      </c>
      <c r="DR25" s="109">
        <f>IF(AND($DN$21=2,DA24&lt;0.01),0,IF($DN$21=2,(CZ24*DS25)+CQ25,0))</f>
        <v>0</v>
      </c>
      <c r="DS25" s="113">
        <f>DU25</f>
        <v>0</v>
      </c>
      <c r="DU25" s="102">
        <f>DX25/DZ24</f>
        <v>0</v>
      </c>
      <c r="DV25" s="211">
        <v>1</v>
      </c>
      <c r="DW25" s="212">
        <f>DZ24*$DW$18*30.4166/360</f>
        <v>0</v>
      </c>
      <c r="DX25" s="212">
        <f t="shared" ref="DX25:DX88" si="15">DY25-DW25</f>
        <v>0</v>
      </c>
      <c r="DY25" s="212">
        <f>DZ24*DW19/1000</f>
        <v>0</v>
      </c>
      <c r="DZ25" s="213">
        <f t="shared" ref="DZ25:DZ88" si="16">IF(DZ24&lt;0.001,0,DZ24-DX25-EA27)</f>
        <v>1000000</v>
      </c>
      <c r="ED25" s="182"/>
      <c r="EF25" s="308">
        <f t="shared" ref="EF25:EF88" ca="1" si="17">IF(EF24=12,1,EF24+1)</f>
        <v>4</v>
      </c>
      <c r="EG25" s="309">
        <f>IF(ER24&gt;0,EG24-1,0)</f>
        <v>0</v>
      </c>
      <c r="EH25" s="268">
        <f t="shared" ref="EH25:EH88" si="18">IF(ER24&lt;0.01,0,EH24+1)</f>
        <v>0</v>
      </c>
      <c r="EI25" s="33">
        <f>IF(ER24&lt;0.01,0,ER24*$EK$9*30.4166/360)</f>
        <v>0</v>
      </c>
      <c r="EJ25" s="33">
        <f>IF(CZ24&lt;0.01,0,IF(OR(Plus!$F$10=Plus!$AK$10,Plus!$F$10=Plus!$AK$11),0,EK25-EI25))</f>
        <v>0</v>
      </c>
      <c r="EK25" s="33">
        <f>IF(ER24&lt;0.1,0,IF(ER24&lt;0.01,0,IF(Plus!$AT$2=Plus!$AT$8,ER24*EK11/1000,IF(OR(Plus!$F$10=Plus!$AK$10,Plus!$F$10=Plus!$AK$11),EI25,IF(Plus!$G$18=Plus!$AT$3,ER24*EK11/1000,PMT(((EK9/360)*(365/12)),EK8,-ER24))))))</f>
        <v>0</v>
      </c>
      <c r="EL25" s="33">
        <f>IF(ER24&lt;0.01,0,IF(Plus!$F$22=Plus!$AN$4,0,IF(Plus!$F$22=Plus!$AN$3,ER24*Plus!$F$23/1000,ER24*VLOOKUP(Plus!$G$21,Plus!$AP$2:'Plus'!$AQ$5,2,0))))</f>
        <v>0</v>
      </c>
      <c r="EM25" s="33">
        <f>IF(ER24&lt;0.01,0,IF(Plus!$F$24=Plus!$AO$3,0,IF(OR(Plus!$F$10=Plus!$AK$7,Plus!$F$10=Plus!$AK$13),0,IF(OR(Plus!$F$10=Plus!$AK$10,Plus!$F$10=Plus!$AK$11),Plus!$G$13*Plus!$AR$4,Plus!$G$13*Plus!$AR$2))))</f>
        <v>0</v>
      </c>
      <c r="EN25" s="33">
        <f>IF(ER24&lt;0.01,0,IF(OR(Plus!$F$10=Plus!$AK$7,Plus!$F$10=Plus!$AK$13),0,Plus!$BD$2*1.16))</f>
        <v>0</v>
      </c>
      <c r="EO25" s="33">
        <f>IF(ER24&lt;0.01,0,IF(Plus!$AS$2&gt;0,EI25*Plus!$AS$3,0))</f>
        <v>0</v>
      </c>
      <c r="EP25" s="33">
        <f>IF(ER24&lt;0.01,0,EK25+EL25+EM25+EN25+EO25)</f>
        <v>0</v>
      </c>
      <c r="EQ25" s="33">
        <f>IF(Plus!$F$10=Plus!$AK$3,MIN(ER24+EI25+EL25+EM25+EN25-EP25,FC25),0)</f>
        <v>0</v>
      </c>
      <c r="ER25" s="297">
        <f>IF(ER24&lt;0.01,0,ER24+ET25-EJ25-EQ25-ES25)</f>
        <v>0</v>
      </c>
      <c r="ES25" s="340">
        <f>Plus!O66</f>
        <v>0</v>
      </c>
      <c r="ET25" s="74"/>
      <c r="EU25" s="74"/>
      <c r="EV25" s="416">
        <f>EK25+EL25+(EM25/1.16)+(EN25/1.16)+EQ25</f>
        <v>0</v>
      </c>
      <c r="EY25" s="90">
        <f>IF(EY24=12,1,EY24+1)</f>
        <v>1</v>
      </c>
      <c r="EZ25" s="121"/>
      <c r="FB25" s="342">
        <f>IF(AND(Plus!$F$10=Plus!$AK$3,Plus!$AN$73&gt;0,Plus!$AN$73&lt;Adm!$G$9),Plus!$AN$73,IF(AND(Plus!$F$10=Plus!$AK$3,Plus!$AN$73&gt;0,Plus!$AN$73&gt;Adm!$G$9),Adm!$G$9,0))</f>
        <v>0</v>
      </c>
      <c r="FC25" s="73">
        <v>0</v>
      </c>
      <c r="FE25" s="119"/>
      <c r="FF25" s="112"/>
      <c r="FG25" s="112"/>
      <c r="FH25" s="109">
        <f>IF(AND(FI25&gt;0.01,$FE$21=2),FI25,0)</f>
        <v>0</v>
      </c>
      <c r="FI25" s="109">
        <f t="shared" ref="FI25:FI88" si="19">IF(AND($FE$21=2,ES24&lt;0.01),0,IF($FE$21=2,(ER24*FJ25)+EI25,0))</f>
        <v>0</v>
      </c>
      <c r="FJ25" s="113">
        <f>FL25</f>
        <v>0</v>
      </c>
      <c r="FL25" s="102">
        <f>FO25/FQ24</f>
        <v>0</v>
      </c>
      <c r="FM25" s="211">
        <v>1</v>
      </c>
      <c r="FN25" s="212">
        <f>FQ24*$FN$18*30.4166/360</f>
        <v>0</v>
      </c>
      <c r="FO25" s="212">
        <f t="shared" ref="FO25:FO88" si="20">FP25-FN25</f>
        <v>0</v>
      </c>
      <c r="FP25" s="212">
        <f>FQ24*FN19/1000</f>
        <v>0</v>
      </c>
      <c r="FQ25" s="213">
        <f t="shared" ref="FQ25:FQ88" si="21">IF(FQ24&lt;0.001,0,FQ24-FO25-FR27)</f>
        <v>1000000</v>
      </c>
      <c r="FV25" s="359"/>
      <c r="FX25" s="308">
        <f t="shared" ref="FX25:FX88" ca="1" si="22">IF(FX24=12,1,FX24+1)</f>
        <v>4</v>
      </c>
      <c r="FY25" s="309">
        <f>IF(GJ24&gt;0,FY24-1,0)</f>
        <v>0</v>
      </c>
      <c r="FZ25" s="268">
        <f t="shared" ref="FZ25:FZ88" si="23">IF(GJ24&lt;0.01,0,FZ24+1)</f>
        <v>0</v>
      </c>
      <c r="GA25" s="33">
        <f>IF(GJ24&lt;0.01,0,GJ24*$EK$9*30.4166/360)</f>
        <v>0</v>
      </c>
      <c r="GB25" s="33">
        <f>IF(GJ24&lt;0.01,0,IF(OR(Plus!$F$10=Plus!$AK$10,Plus!$F$10=Plus!$AK$11),0,GC25-GA25))</f>
        <v>0</v>
      </c>
      <c r="GC25" s="33">
        <f>IF(GJ24&lt;0.1,0,IF(GJ24&lt;0.01,0,IF(Plus!$AT$2=Plus!$AT$8,GJ24*GC11/1000,IF(OR(Plus!$F$10=Plus!$AK$10,Plus!$F$10=Plus!$AK$11),GA25,IF(Plus!$G$18=Plus!$AT$3,GJ24*GC11/1000,PMT(((GC9/360)*(365/12)),GC8,-GJ24))))))</f>
        <v>0</v>
      </c>
      <c r="GD25" s="33">
        <f>IF(GJ24&lt;0.01,0,IF(Plus!$F$22=Plus!$AN$4,0,IF(Plus!$F$22=Plus!$AN$3,GJ24*Plus!$F$23/1000,GJ24*VLOOKUP(Plus!$G$21,Plus!$AP$2:$AQ$5,2,0))))</f>
        <v>0</v>
      </c>
      <c r="GE25" s="33">
        <f>IF(GJ24&lt;0.01,0,IF(Plus!$F$24=Plus!$AO$3,0,IF(OR(Plus!$F$10=Plus!$AK$7,Plus!$F$10=Plus!$AK$13,Plus!$F$10=Plus!$AK$14),0,IF(OR(Plus!$F$10=Plus!$AK$10,Plus!$F$10=Plus!$AK$11),Plus!$G$13*Adm!$W$7,Plus!$G$13*Adm!$X$4))))</f>
        <v>0</v>
      </c>
      <c r="GF25" s="33">
        <f>IF(GJ24&lt;0.01,0,IF(OR(Plus!$F$10=Plus!$AK$7,Plus!$F$10=Plus!$AK$13),0,Plus!$BD$2*1.16))</f>
        <v>0</v>
      </c>
      <c r="GG25" s="33">
        <f>IF(GJ24&lt;0.01,0,IF(Plus!$AS$2&gt;0,GA25*Plus!$AS$3,0))</f>
        <v>0</v>
      </c>
      <c r="GH25" s="33">
        <f>IF(GJ24&lt;0.01,0,GC25+GD25+GE25+GF25+GG25)</f>
        <v>0</v>
      </c>
      <c r="GI25" s="33">
        <f>IF(Plus!$F$10=Plus!$AK$3,MIN(GJ24+GA25+GD25+GE25+GF25-GH25,GU25),0)</f>
        <v>0</v>
      </c>
      <c r="GJ25" s="297">
        <f>IF(GJ24&lt;0.01,0,GJ24-GB25-GI25-GK25)</f>
        <v>0</v>
      </c>
      <c r="GK25" s="340">
        <f>Plus!O66</f>
        <v>0</v>
      </c>
      <c r="GL25" s="74"/>
      <c r="GM25" s="74"/>
      <c r="GN25" s="419">
        <f>GC25+GD25+(GE25/1.16)+(GF25/1.16)+GI25</f>
        <v>0</v>
      </c>
      <c r="GQ25" s="90">
        <f>IF(GQ24=12,1,GQ24+1)</f>
        <v>1</v>
      </c>
      <c r="GR25" s="121"/>
      <c r="GT25" s="351">
        <f>IF(AND(Plus!$F$10=Plus!$AK$3,Plus!$AN$73&gt;0,Plus!$AN$73&lt;Adm!$G$9),Plus!$AN$73,IF(AND(Plus!$F$10=Plus!$AK$3,Plus!$AN$73&gt;0,Plus!$AN$73&gt;Adm!$G$9),Adm!$G$9,0))</f>
        <v>0</v>
      </c>
      <c r="GU25" s="73">
        <v>0</v>
      </c>
      <c r="GW25" s="119"/>
      <c r="GX25" s="112"/>
      <c r="GY25" s="112"/>
      <c r="GZ25" s="109">
        <f>IF(AND(HA25&gt;0.01,$FE$21=2),HA25,0)</f>
        <v>0</v>
      </c>
      <c r="HA25" s="109">
        <f t="shared" ref="HA25:HA88" si="24">IF(AND($FE$21=2,GK24&lt;0.01),0,IF($FE$21=2,(GJ24*HB25)+GA25,0))</f>
        <v>0</v>
      </c>
      <c r="HB25" s="113">
        <f>HD25</f>
        <v>0</v>
      </c>
      <c r="HD25" s="102">
        <f>HG25/HI24</f>
        <v>0</v>
      </c>
      <c r="HE25" s="211">
        <v>1</v>
      </c>
      <c r="HF25" s="212">
        <f>HI24*$FN$18*30.4166/360</f>
        <v>0</v>
      </c>
      <c r="HG25" s="212">
        <f t="shared" ref="HG25:HG88" si="25">HH25-HF25</f>
        <v>0</v>
      </c>
      <c r="HH25" s="212">
        <f>HI24*HF19/1000</f>
        <v>0</v>
      </c>
      <c r="HI25" s="213">
        <f t="shared" ref="HI25:HI88" si="26">IF(HI24&lt;0.001,0,HI24-HG25-HJ27)</f>
        <v>1000000</v>
      </c>
      <c r="HL25" s="182"/>
      <c r="HM25" s="26">
        <f t="shared" ref="HM25:HM88" ca="1" si="27">IF(HM24=12,1,HM24+1)</f>
        <v>4</v>
      </c>
      <c r="HO25" s="268">
        <f t="shared" ref="HO25:HO88" si="28">IF(HY24&lt;0.01,0,HO24+1)</f>
        <v>0</v>
      </c>
      <c r="HP25" s="421">
        <f>IF(HY24&lt;0.01,0,HS9)</f>
        <v>0</v>
      </c>
      <c r="HQ25" s="123">
        <f>IF(HY24&lt;0.01,0,HY24*HP25*30.4166/360)</f>
        <v>0</v>
      </c>
      <c r="HR25" s="123">
        <f>IF(HY24&lt;0.01,0,HS25-HQ25)</f>
        <v>0</v>
      </c>
      <c r="HS25" s="123">
        <f>IF(HY24&lt;0.1,0,HY24*HS11/1000)</f>
        <v>0</v>
      </c>
      <c r="HT25" s="123">
        <f>IF(HY24&lt;0.01,0,IF(Adm!$GS$4=Adm!$GS$8,HY24*$HY$15,IF(Adm!$GS$12=Adm!$GS$13,0,HY24*Adm!$GV$4)))</f>
        <v>0</v>
      </c>
      <c r="HU25" s="123">
        <f>IF(HY24&lt;0.01,0,IF(Adm!$GS$5=Adm!$GS$8,Cal!$BO$108*$HY$16/1.16,IF(Adm!$GS$12=Adm!$GS$13,0,Cal!$BO$108*Adm!$GW$4/1.16)))</f>
        <v>0</v>
      </c>
      <c r="HV25" s="123">
        <f>IF(HY24&lt;0.01,0,0)</f>
        <v>0</v>
      </c>
      <c r="HW25" s="123">
        <f>IF(HY24&lt;0.01,0,HS25+HT25+HU25+HV25)</f>
        <v>0</v>
      </c>
      <c r="HX25" s="123">
        <f>IF(Adm!$GH$6="si",MIN(HY24+HQ25+HT25+HU25+HV25-HW25,IH25),0)</f>
        <v>0</v>
      </c>
      <c r="HY25" s="297">
        <f>IF(HY24&lt;0.01,0,HY24-HR25-HX25)</f>
        <v>0</v>
      </c>
      <c r="HZ25" s="74"/>
      <c r="IA25" s="407">
        <f>HW25+HX25</f>
        <v>0</v>
      </c>
      <c r="IC25" s="90">
        <f>IF(IC24=12,1,IC24+1)</f>
        <v>1</v>
      </c>
      <c r="ID25" s="58"/>
      <c r="IE25" s="73"/>
      <c r="IG25" s="70">
        <f>Free!AA71</f>
        <v>0</v>
      </c>
      <c r="IH25" s="73">
        <v>0</v>
      </c>
      <c r="IK25" s="217"/>
      <c r="IL25" s="26">
        <f t="shared" ref="IL25:IL88" ca="1" si="29">IF(IL24=12,1,IL24+1)</f>
        <v>4</v>
      </c>
      <c r="IN25" s="268">
        <f t="shared" ref="IN25:IN88" si="30">IF(IX24&lt;0.01,0,IN24+1)</f>
        <v>0</v>
      </c>
      <c r="IO25" s="421">
        <f>IF(IX24&lt;0.01,0,IR9)</f>
        <v>0</v>
      </c>
      <c r="IP25" s="123">
        <f>IF(IX24&lt;0.01,0,IX24*IO25*30.4166/360)</f>
        <v>0</v>
      </c>
      <c r="IQ25" s="123">
        <f>IF(IX24&lt;0.01,0,IR25-IP25)</f>
        <v>0</v>
      </c>
      <c r="IR25" s="123">
        <f>IF(IX24&lt;0.1,0,IX24*IR11/1000)</f>
        <v>0</v>
      </c>
      <c r="IS25" s="123">
        <f>IF(IX24&lt;0.01,0,IF(Adm!$GS$4=Adm!$GS$8,IX24*$IX$15,IF(Adm!$GS$12=Adm!$GS$13,0,IX24*Adm!$GV$4)))</f>
        <v>0</v>
      </c>
      <c r="IT25" s="123"/>
      <c r="IU25" s="123">
        <f>IF(IX24&lt;0.01,0,0)</f>
        <v>0</v>
      </c>
      <c r="IV25" s="123">
        <f>IF(IX24&lt;0.01,0,IR25+IS25+IT25+IU25)</f>
        <v>0</v>
      </c>
      <c r="IW25" s="123"/>
      <c r="IX25" s="297">
        <f>IF(IX24&lt;0.01,0,IX24-IQ25-IW25)</f>
        <v>0</v>
      </c>
      <c r="IY25" s="74"/>
      <c r="IZ25" s="416">
        <f>IV25+IW25</f>
        <v>0</v>
      </c>
      <c r="JB25" s="90">
        <f>IF(JB24=12,1,JB24+1)</f>
        <v>1</v>
      </c>
      <c r="JC25" s="58"/>
      <c r="JD25" s="73"/>
    </row>
    <row r="26" spans="1:264">
      <c r="A26" s="26">
        <f t="shared" ca="1" si="0"/>
        <v>5</v>
      </c>
      <c r="C26" s="33">
        <f t="shared" si="1"/>
        <v>0</v>
      </c>
      <c r="D26" s="123">
        <f t="shared" ref="D26:D89" si="31">IF(L25&lt;0.01,0,L25*$F$9*30.4166/360)</f>
        <v>0</v>
      </c>
      <c r="E26" s="123">
        <f>IF(L25&lt;0.01,0,IF(Adm!$B$4=Adm!$A$118,0,F26-D26))</f>
        <v>0</v>
      </c>
      <c r="F26" s="123">
        <f>IF(L24&lt;0.1,0,MIN(L24+D26,IF(Adm!$B$4=Adm!$A$118,D26,F25*(1+S26))))</f>
        <v>0</v>
      </c>
      <c r="G26" s="123">
        <f>IF(L25&lt;0.01,0,IF(Adm!$S$4=Adm!$S$8,L25*$L$15,L25*Adm!$V$4))</f>
        <v>0</v>
      </c>
      <c r="H26" s="952">
        <f>IF(L25&lt;0.01,0,IF(Adm!$S$5=Adm!$S$8,Adm!$AA$11*$L$16/1.16,IF(Adm!$B$4=Adm!$A$119,0,IF(Adm!$B$4=Adm!$A$118,Adm!$AA$11*Adm!$W$4/1.16,Adm!$AA$11*Adm!$X$4/1.16))))</f>
        <v>0</v>
      </c>
      <c r="I26" s="123">
        <f>IF(L25&lt;0.01,0,Cal!$AB$126/1.16)</f>
        <v>0</v>
      </c>
      <c r="J26" s="123">
        <f t="shared" si="2"/>
        <v>0</v>
      </c>
      <c r="K26" s="123">
        <f>IF(Adm!$G$4="si",MIN(L25+D26+G26+H26+I26-J26,V26),0)</f>
        <v>0</v>
      </c>
      <c r="L26" s="123">
        <f t="shared" ref="L26:L89" si="32">IF(L25&lt;0.01,0,L25-E26-K26)</f>
        <v>0</v>
      </c>
      <c r="M26" s="74"/>
      <c r="N26" s="74"/>
      <c r="O26" s="407">
        <f t="shared" ref="O26:O89" si="33">J26+K26</f>
        <v>0</v>
      </c>
      <c r="R26" s="90">
        <f t="shared" ref="R26:R89" si="34">IF(R25=12,1,R25+1)</f>
        <v>2</v>
      </c>
      <c r="S26" s="121">
        <f>IF(R26=1,Cal!$AB$127,0)</f>
        <v>0</v>
      </c>
      <c r="U26" s="70">
        <f>U25</f>
        <v>0</v>
      </c>
      <c r="V26" s="2178">
        <f t="shared" ref="V26:V89" ca="1" si="35">IF(MOD(A26,2)=0,U26*0.05*2,0)</f>
        <v>0</v>
      </c>
      <c r="X26" s="398"/>
      <c r="Z26" s="268">
        <f t="shared" si="3"/>
        <v>0</v>
      </c>
      <c r="AA26" s="2176">
        <f t="shared" ref="AA26:AA89" si="36">IF(AI25&lt;0.01,0,AI25*$AC$9*30.4166/360)</f>
        <v>0</v>
      </c>
      <c r="AB26" s="33">
        <f t="shared" ref="AB26:AB89" si="37">IF(AI25&lt;0.01,0,AC26-AA26)</f>
        <v>0</v>
      </c>
      <c r="AC26" s="33">
        <f t="shared" ref="AC26:AC89" si="38">IF(AI25&lt;0.1,0,MIN(AI25+AA26,AC25*(1+AO26)))</f>
        <v>0</v>
      </c>
      <c r="AD26" s="33">
        <f>IF(AI25&lt;0.01,0,IF(Adm!$S$4=Adm!$S$8,AI25*$AI$15,AI25*Adm!$V$4))</f>
        <v>0</v>
      </c>
      <c r="AE26" s="33"/>
      <c r="AF26" s="33"/>
      <c r="AG26" s="33">
        <f t="shared" si="4"/>
        <v>0</v>
      </c>
      <c r="AH26" s="33"/>
      <c r="AI26" s="401">
        <f t="shared" si="5"/>
        <v>0</v>
      </c>
      <c r="AK26" s="410">
        <f t="shared" si="6"/>
        <v>0</v>
      </c>
      <c r="AN26" s="90">
        <f t="shared" ref="AN26:AN89" si="39">IF(AN25=12,1,AN25+1)</f>
        <v>2</v>
      </c>
      <c r="AO26" s="121">
        <f>IF(AN26=1,Cal!$AC$127,0)</f>
        <v>0</v>
      </c>
      <c r="AS26" s="200"/>
      <c r="AU26" s="268">
        <f t="shared" si="7"/>
        <v>0</v>
      </c>
      <c r="AV26" s="2177">
        <f t="shared" ref="AV26:AV89" si="40">IF(BC25&lt;0.01,0,BC25*$AX$9*30.4166/360)</f>
        <v>0</v>
      </c>
      <c r="AW26" s="123">
        <f t="shared" si="8"/>
        <v>0</v>
      </c>
      <c r="AX26" s="123">
        <f t="shared" ref="AX26:AX89" si="41">IF(BC25&lt;0.1,0,MIN(BC25+AV26,AX25*(1+BI26)))</f>
        <v>0</v>
      </c>
      <c r="AY26" s="123">
        <f>IF(BC25&lt;0.01,0,IF(Adm!$S$4=Adm!$S$8,BC25*$BC$16,BC25*Adm!$V$4))</f>
        <v>0</v>
      </c>
      <c r="AZ26" s="123"/>
      <c r="BA26" s="123">
        <f>IF(BC25&lt;0.01,0,Adm!$Q$6)</f>
        <v>0</v>
      </c>
      <c r="BB26" s="123">
        <f t="shared" ref="BB26:BB88" si="42">IF(BC25&lt;0.01,0,AX26+AY26+AZ26+BA26)</f>
        <v>0</v>
      </c>
      <c r="BC26" s="297">
        <f t="shared" ref="BC26:BC89" si="43">BC25-AW26</f>
        <v>0</v>
      </c>
      <c r="BE26" s="425">
        <f t="shared" si="9"/>
        <v>0</v>
      </c>
      <c r="BH26" s="90">
        <f t="shared" ref="BH26:BH89" si="44">IF(BH25=12,1,BH25+1)</f>
        <v>2</v>
      </c>
      <c r="BI26" s="121">
        <f>IF(BH26=1,Cal!$AD$127,0)</f>
        <v>0</v>
      </c>
      <c r="BM26" s="221"/>
      <c r="BO26" s="295">
        <f t="shared" ca="1" si="10"/>
        <v>5</v>
      </c>
      <c r="BP26" s="268">
        <f t="shared" si="11"/>
        <v>0</v>
      </c>
      <c r="BQ26" s="123">
        <f t="shared" ref="BQ26:BQ89" si="45">IF(BZ25&lt;0.01,0,BZ25*$BS$9*30.4166/360)</f>
        <v>0</v>
      </c>
      <c r="BR26" s="123">
        <f>IF(BZ25&lt;0.01,0,IF(OR(Plus!$F$10=Plus!$AK$10,Plus!$F$10=Plus!$AK$11),0,BS26-BQ26))</f>
        <v>0</v>
      </c>
      <c r="BS26" s="123">
        <f>IF(BZ24&lt;0.1,0,MIN(BZ24+BQ26,IF(OR(Plus!$F$10=Plus!$AK$10,Plus!$F$10=Plus!$AK$11),BQ26,BS25*(1+CG26))))</f>
        <v>0</v>
      </c>
      <c r="BT26" s="123">
        <f>IF(BZ25&lt;0.01,0,IF(Plus!$F$22=Plus!$AN$4,BZ25*$BZ$15,IF(Plus!$F$22=Plus!$AN$3,BZ25*Plus!$F$23/1000,BZ25*VLOOKUP(Plus!$G$21,Plus!$AP$2:'Plus'!$AQ$5,2,0))))</f>
        <v>0</v>
      </c>
      <c r="BU26" s="123">
        <f>IF(BZ25&lt;0.01,0,IF(Plus!$F$24=Plus!$AO$3,Plus!$G$13*$BZ$16/1.16,IF(Plus!$F$10=Plus!$AK$7,0,IF(OR(Plus!$F$10=Plus!$AK$10,Plus!$F$10=Plus!$AK$11),Plus!$G$13*Plus!$AR$4/1.16,Plus!$G$13*Plus!$AR$2/1.16))))</f>
        <v>0</v>
      </c>
      <c r="BV26" s="123">
        <f>IF(BZ25&lt;0.01,0,Plus!$BD$2)</f>
        <v>0</v>
      </c>
      <c r="BW26" s="123"/>
      <c r="BX26" s="123">
        <f t="shared" si="12"/>
        <v>0</v>
      </c>
      <c r="BY26" s="123">
        <f>IF(Plus!$F$10=Plus!$AK$3,MIN(BZ25+BQ26+BT26+BU26+BV26-BX26,CJ26),0)</f>
        <v>0</v>
      </c>
      <c r="BZ26" s="297">
        <f t="shared" ref="BZ26" si="46">IF(BZ25&lt;0.01,0,BZ25-BR26-BY26)</f>
        <v>0</v>
      </c>
      <c r="CA26" s="74"/>
      <c r="CB26" s="74"/>
      <c r="CC26" s="413">
        <f t="shared" ref="CC26:CC89" si="47">BX26+BY26</f>
        <v>0</v>
      </c>
      <c r="CF26" s="90">
        <f t="shared" ref="CF26:CF89" si="48">IF(CF25=12,1,CF25+1)</f>
        <v>2</v>
      </c>
      <c r="CG26" s="121">
        <f>IF(CF26=1,$BS$12,0)</f>
        <v>0</v>
      </c>
      <c r="CI26" s="70">
        <f>CI25</f>
        <v>0</v>
      </c>
      <c r="CJ26" s="2178">
        <f t="shared" ref="CJ26:CJ89" ca="1" si="49">IF(MOD(BO26,2)=0,CI26*0.05*2,0)</f>
        <v>0</v>
      </c>
      <c r="CL26" s="161"/>
      <c r="CN26" s="308">
        <f t="shared" ca="1" si="13"/>
        <v>5</v>
      </c>
      <c r="CO26" s="309">
        <f t="shared" ref="CO26:CO89" si="50">IF(CZ25&gt;0,CO25-1,0)</f>
        <v>0</v>
      </c>
      <c r="CP26" s="268">
        <f t="shared" si="14"/>
        <v>0</v>
      </c>
      <c r="CQ26" s="123">
        <f t="shared" ref="CQ26:CQ89" si="51">IF(CZ25&lt;0.01,0,CZ25*$CS$9*30.4166/360)</f>
        <v>0</v>
      </c>
      <c r="CR26" s="123">
        <f>IF(CZ25&lt;0.01,0,MIN(CZ25,IF(OR(Plus!$F$10=Plus!$AK$10,Plus!$F$10=Plus!$AK$11),0,CS26-CQ26)))</f>
        <v>0</v>
      </c>
      <c r="CS26" s="123">
        <f>IF(CZ24&lt;0.1,0,MIN(CZ25+CQ26,IF(DN26&gt;0,DN26,IF(OR(Plus!$F$10=Plus!$AK$10,Plus!$F$10=Plus!$AK$11),CQ26,CS25*(1+DH26)))))</f>
        <v>0</v>
      </c>
      <c r="CT26" s="33">
        <f>IF(CZ25&lt;0.01,0,IF(Plus!$F$22=Plus!$AN$4,0,IF(Plus!$F$22=Plus!$AN$3,CZ25*Plus!$F$23/1000,CZ25*VLOOKUP(Plus!$G$21,Plus!$AP$2:'Plus'!$AQ$5,2,0))))</f>
        <v>0</v>
      </c>
      <c r="CU26" s="123">
        <f>IF(CZ25&lt;0.01,0,IF(Plus!$F$24=Plus!$AO$3,0,IF(OR(Plus!$F$10=Plus!$AK$7,Plus!$F$10=Plus!$AK$13),0,IF(OR(Plus!$F$10=Plus!$AK$10,Plus!$F$10=Plus!$AK$11),Plus!$G$13*Plus!$AR$4,Plus!$G$13*Plus!$AR$2))))</f>
        <v>0</v>
      </c>
      <c r="CV26" s="123">
        <f>IF(CZ25&lt;0.01,0,IF(OR(Plus!$F$10=Plus!$AK$7,Plus!$F$10=Plus!$AK$13),0,Plus!$BD$2*1.16))</f>
        <v>0</v>
      </c>
      <c r="CW26" s="123">
        <f>IF(CZ25&lt;0.01,0,IF(Plus!$AS$2&gt;0,CQ26*Plus!$AS$3,0))</f>
        <v>0</v>
      </c>
      <c r="CX26" s="123">
        <f t="shared" ref="CX26:CX89" si="52">IF(CZ25&lt;0.01,0,CS26+CT26+CU26+CV26+CW26)</f>
        <v>0</v>
      </c>
      <c r="CY26" s="123">
        <f>IF(Plus!$F$10=Plus!$AK$3,MIN(CZ25+CQ26+CT26+CU26+CV26-CX26,DK26),0)</f>
        <v>0</v>
      </c>
      <c r="CZ26" s="297">
        <f t="shared" ref="CZ26:CZ40" si="53">IF(CZ25&lt;0.01,0,CZ25+DB26-CR26-CY26-DA26)</f>
        <v>0</v>
      </c>
      <c r="DA26" s="306">
        <f>Plus!O67</f>
        <v>0</v>
      </c>
      <c r="DB26" s="74"/>
      <c r="DC26" s="74"/>
      <c r="DD26" s="407">
        <f t="shared" ref="DD26:DD89" si="54">CS26+CT26+(CU26/1.16)+(CV26/1.16)+CY26</f>
        <v>0</v>
      </c>
      <c r="DG26" s="90">
        <f t="shared" ref="DG26:DG89" si="55">IF(DG25=12,1,DG25+1)</f>
        <v>2</v>
      </c>
      <c r="DH26" s="121">
        <f>IF(DG26=1,$CS$12,0)</f>
        <v>0</v>
      </c>
      <c r="DJ26" s="149">
        <f>DJ25</f>
        <v>0</v>
      </c>
      <c r="DK26" s="2179">
        <f t="shared" ref="DK26:DK89" ca="1" si="56">IF(MOD(CN26,2)=0,DJ26*0.05*2,0)</f>
        <v>0</v>
      </c>
      <c r="DN26" s="120">
        <f>IF(DO26&gt;1,DO26,IF(DQ26&gt;1,DQ26,0))</f>
        <v>0</v>
      </c>
      <c r="DO26" s="110">
        <f t="shared" ref="DO26:DO89" si="57">IF(AND($DP$21=1,DA25&gt;0.1),DP26,0)</f>
        <v>0</v>
      </c>
      <c r="DP26" s="110">
        <f>IF(AND($DP$21=1,$DN$21=2),PMT((($CS$9/360)*(365/12)),CO25,-CZ25),0)</f>
        <v>0</v>
      </c>
      <c r="DQ26" s="109">
        <f t="shared" ref="DQ26:DQ89" si="58">IF(AND(DR26&gt;0.01,$DN$21=2),DR26,0)</f>
        <v>0</v>
      </c>
      <c r="DR26" s="109">
        <f t="shared" ref="DR26:DR89" si="59">IF(AND($DN$21=2,DA25&lt;0.01),0,IF($DN$21=2,(CZ25*DS26)+CQ26,0))</f>
        <v>0</v>
      </c>
      <c r="DS26" s="113">
        <f t="shared" ref="DS26:DS89" si="60">DU26</f>
        <v>0</v>
      </c>
      <c r="DU26" s="102">
        <f t="shared" ref="DU26:DU89" si="61">DX26/DZ25</f>
        <v>0</v>
      </c>
      <c r="DV26" s="211">
        <f>IF(DZ25&lt;=0,"",DV25+1)</f>
        <v>2</v>
      </c>
      <c r="DW26" s="212">
        <f t="shared" ref="DW26:DW89" si="62">DZ25*$DW$18*30.4166/360</f>
        <v>0</v>
      </c>
      <c r="DX26" s="212">
        <f t="shared" si="15"/>
        <v>0</v>
      </c>
      <c r="DY26" s="212">
        <f>MIN(DZ25+DW26,DY25)</f>
        <v>0</v>
      </c>
      <c r="DZ26" s="213">
        <f t="shared" si="16"/>
        <v>1000000</v>
      </c>
      <c r="ED26" s="182"/>
      <c r="EF26" s="308">
        <f t="shared" ca="1" si="17"/>
        <v>5</v>
      </c>
      <c r="EG26" s="309">
        <f t="shared" ref="EG26:EG89" si="63">IF(ER25&gt;0,EG25-1,0)</f>
        <v>0</v>
      </c>
      <c r="EH26" s="268">
        <f t="shared" si="18"/>
        <v>0</v>
      </c>
      <c r="EI26" s="33">
        <f t="shared" ref="EI26:EI89" si="64">IF(ER25&lt;0.01,0,ER25*$EK$9*30.4166/360)</f>
        <v>0</v>
      </c>
      <c r="EJ26" s="33">
        <f>IF(CZ25&lt;0.01,0,IF(OR(Plus!$F$10=Plus!$AK$10,Plus!$F$10=Plus!$AK$11),0,EK26-EI26))</f>
        <v>0</v>
      </c>
      <c r="EK26" s="33">
        <f>IF(ER24&lt;0.1,0,MIN(ER25+EI26,IF(FE26&gt;0,FE26,IF(OR(Plus!$F$10=Plus!$AK$10,Plus!$F$10=Plus!$AK$11),EI26,EK25*(1+EZ26)))))</f>
        <v>0</v>
      </c>
      <c r="EL26" s="33">
        <f>IF(ER25&lt;0.01,0,IF(Plus!$F$22=Plus!$AN$4,0,IF(Plus!$F$22=Plus!$AN$3,ER25*Plus!$F$23/1000,ER25*VLOOKUP(Plus!$G$21,Plus!$AP$2:'Plus'!$AQ$5,2,0))))</f>
        <v>0</v>
      </c>
      <c r="EM26" s="33">
        <f>IF(ER25&lt;0.01,0,IF(Plus!$F$24=Plus!$AO$3,0,IF(OR(Plus!$F$10=Plus!$AK$7,Plus!$F$10=Plus!$AK$13),0,IF(OR(Plus!$F$10=Plus!$AK$10,Plus!$F$10=Plus!$AK$11),Plus!$G$13*Plus!$AR$4,Plus!$G$13*Plus!$AR$2))))</f>
        <v>0</v>
      </c>
      <c r="EN26" s="33">
        <f>IF(ER25&lt;0.01,0,IF(OR(Plus!$F$10=Plus!$AK$7,Plus!$F$10=Plus!$AK$13),0,Plus!$BD$2*1.16))</f>
        <v>0</v>
      </c>
      <c r="EO26" s="33">
        <f>IF(ER25&lt;0.01,0,IF(Plus!$AS$2&gt;0,EI26*Plus!$AS$3,0))</f>
        <v>0</v>
      </c>
      <c r="EP26" s="33">
        <f t="shared" ref="EP26:EP89" si="65">IF(ER25&lt;0.01,0,EK26+EL26+EM26+EN26+EO26)</f>
        <v>0</v>
      </c>
      <c r="EQ26" s="33">
        <f>IF(Plus!$F$10=Plus!$AK$3,MIN(ER25+EI26+EL26+EM26+EN26-EP26,FC26),0)</f>
        <v>0</v>
      </c>
      <c r="ER26" s="297">
        <f t="shared" ref="ER26:ER39" si="66">IF(ER25&lt;0.01,0,ER25+ET26-EJ26-EQ26-ES26)</f>
        <v>0</v>
      </c>
      <c r="ES26" s="340">
        <f>Plus!O67</f>
        <v>0</v>
      </c>
      <c r="ET26" s="74"/>
      <c r="EU26" s="74"/>
      <c r="EV26" s="416">
        <f t="shared" ref="EV26" si="67">EK26+EL26+(EM26/1.16)+(EN26/1.16)+EQ26</f>
        <v>0</v>
      </c>
      <c r="EY26" s="90">
        <f t="shared" ref="EY26:EY89" si="68">IF(EY25=12,1,EY25+1)</f>
        <v>2</v>
      </c>
      <c r="EZ26" s="121">
        <f>IF(EY26=1,$EK$12,0)</f>
        <v>0</v>
      </c>
      <c r="FB26" s="149">
        <f>FB25</f>
        <v>0</v>
      </c>
      <c r="FC26" s="2179">
        <f t="shared" ref="FC26:FC89" ca="1" si="69">IF(MOD(EF26,2)=0,FB26*0.05*2,0)</f>
        <v>0</v>
      </c>
      <c r="FE26" s="120">
        <f>IF(FF26&gt;1,FF26,IF(FH26&gt;1,FH26,0))</f>
        <v>0</v>
      </c>
      <c r="FF26" s="110">
        <f t="shared" ref="FF26:FF89" si="70">IF(AND($FG$21=1,ES25&gt;0.1),FG26,0)</f>
        <v>0</v>
      </c>
      <c r="FG26" s="110">
        <f t="shared" ref="FG26:FG89" si="71">IF(AND($FG$21=1,$FE$21=2),PMT((($EK$9/360)*(365/12)),EG25,-ER25),0)</f>
        <v>0</v>
      </c>
      <c r="FH26" s="109">
        <f t="shared" ref="FH26:FH89" si="72">IF(AND(FI26&gt;0.01,$FE$21=2),FI26,0)</f>
        <v>0</v>
      </c>
      <c r="FI26" s="109">
        <f t="shared" si="19"/>
        <v>0</v>
      </c>
      <c r="FJ26" s="113">
        <f t="shared" ref="FJ26:FJ89" si="73">FL26</f>
        <v>0</v>
      </c>
      <c r="FL26" s="102">
        <f t="shared" ref="FL26:FL89" si="74">FO26/FQ25</f>
        <v>0</v>
      </c>
      <c r="FM26" s="211">
        <f>IF(FQ25&lt;=0,"",FM25+1)</f>
        <v>2</v>
      </c>
      <c r="FN26" s="212">
        <f t="shared" ref="FN26:FN89" si="75">FQ25*$FN$18*30.4166/360</f>
        <v>0</v>
      </c>
      <c r="FO26" s="212">
        <f t="shared" si="20"/>
        <v>0</v>
      </c>
      <c r="FP26" s="212">
        <f>MIN(FQ25+FN26,FP25)</f>
        <v>0</v>
      </c>
      <c r="FQ26" s="213">
        <f t="shared" si="21"/>
        <v>1000000</v>
      </c>
      <c r="FV26" s="359"/>
      <c r="FX26" s="308">
        <f t="shared" ca="1" si="22"/>
        <v>5</v>
      </c>
      <c r="FY26" s="309">
        <f t="shared" ref="FY26:FY89" si="76">IF(GJ25&gt;0,FY25-1,0)</f>
        <v>0</v>
      </c>
      <c r="FZ26" s="268">
        <f t="shared" si="23"/>
        <v>0</v>
      </c>
      <c r="GA26" s="33">
        <f t="shared" ref="GA26:GA89" si="77">IF(GJ25&lt;0.01,0,GJ25*$EK$9*30.4166/360)</f>
        <v>0</v>
      </c>
      <c r="GB26" s="33">
        <f>IF(GJ25&lt;0.01,0,IF(OR(Plus!$F$10=Plus!$AK$10,Plus!$F$10=Plus!$AK$11),0,GC26-GA26))</f>
        <v>0</v>
      </c>
      <c r="GC26" s="33">
        <f>IF(GJ24&lt;0.1,0,MIN(GJ25+GA26,IF(GW26&gt;0,GW26,IF(OR(Plus!$F$10=Plus!$AK$10,Plus!$F$10=Plus!$AK$11),GA26,GC25*(1+GR26)))))</f>
        <v>0</v>
      </c>
      <c r="GD26" s="33">
        <f>IF(GJ25&lt;0.01,0,IF(Plus!$F$22=Plus!$AN$4,0,IF(Plus!$F$22=Plus!$AN$3,GJ25*Plus!$F$23/1000,GJ25*VLOOKUP(Plus!$G$21,Plus!$AP$2:$AQ$5,2,0))))</f>
        <v>0</v>
      </c>
      <c r="GE26" s="33">
        <f>IF(GJ25&lt;0.01,0,IF(Plus!$F$24=Plus!$AO$3,0,IF(OR(Plus!$F$10=Plus!$AK$7,Plus!$F$10=Plus!$AK$13,Plus!$F$10=Plus!$AK$14),0,IF(OR(Plus!$F$10=Plus!$AK$10,Plus!$F$10=Plus!$AK$11),Plus!$G$13*Adm!$W$7,Plus!$G$13*Adm!$X$4))))</f>
        <v>0</v>
      </c>
      <c r="GF26" s="33">
        <f>IF(GJ25&lt;0.01,0,IF(OR(Plus!$F$10=Plus!$AK$7,Plus!$F$10=Plus!$AK$13),0,Plus!$BD$2*1.16))</f>
        <v>0</v>
      </c>
      <c r="GG26" s="33">
        <f>IF(GJ25&lt;0.01,0,IF(Plus!$AS$2&gt;0,GA26*Plus!$AS$3,0))</f>
        <v>0</v>
      </c>
      <c r="GH26" s="33">
        <f t="shared" ref="GH26:GH89" si="78">IF(GJ25&lt;0.01,0,GC26+GD26+GE26+GF26+GG26)</f>
        <v>0</v>
      </c>
      <c r="GI26" s="33">
        <f>IF(Plus!$F$10=Plus!$AK$3,MIN(GJ25+GA26+GD26+GE26+GF26-GH26,GU26),0)</f>
        <v>0</v>
      </c>
      <c r="GJ26" s="311">
        <f>IF(GJ25&lt;0.01,0,GJ25-GB26-GI26-GK26)</f>
        <v>0</v>
      </c>
      <c r="GK26" s="340">
        <f>Plus!O67</f>
        <v>0</v>
      </c>
      <c r="GL26" s="74"/>
      <c r="GM26" s="74"/>
      <c r="GN26" s="419">
        <f t="shared" ref="GN26" si="79">GC26+GD26+(GE26/1.16)+(GF26/1.16)+GI26</f>
        <v>0</v>
      </c>
      <c r="GQ26" s="90">
        <f t="shared" ref="GQ26:GQ89" si="80">IF(GQ25=12,1,GQ25+1)</f>
        <v>2</v>
      </c>
      <c r="GR26" s="121">
        <f>IF(GQ26=1,$GC$12,0)</f>
        <v>0</v>
      </c>
      <c r="GT26" s="149">
        <f>GT25</f>
        <v>0</v>
      </c>
      <c r="GU26" s="2179">
        <f t="shared" ref="GU26:GU89" ca="1" si="81">IF(MOD(FX26,2)=0,GT26*0.05*2,0)</f>
        <v>0</v>
      </c>
      <c r="GW26" s="120">
        <f>IF(GX26&gt;1,GX26,IF(GZ26&gt;1,GZ26,0))</f>
        <v>0</v>
      </c>
      <c r="GX26" s="110">
        <f t="shared" ref="GX26:GX89" si="82">IF(AND($FG$21=1,GK25&gt;0.1),GY26,0)</f>
        <v>0</v>
      </c>
      <c r="GY26" s="110">
        <f t="shared" ref="GY26:GY89" si="83">IF(AND($FG$21=1,$FE$21=2),PMT((($EK$9/360)*(365/12)),FY25,-GJ25),0)</f>
        <v>0</v>
      </c>
      <c r="GZ26" s="109">
        <f t="shared" ref="GZ26:GZ89" si="84">IF(AND(HA26&gt;0.01,$FE$21=2),HA26,0)</f>
        <v>0</v>
      </c>
      <c r="HA26" s="109">
        <f t="shared" si="24"/>
        <v>0</v>
      </c>
      <c r="HB26" s="113">
        <f t="shared" ref="HB26:HB89" si="85">HD26</f>
        <v>0</v>
      </c>
      <c r="HD26" s="102">
        <f t="shared" ref="HD26:HD89" si="86">HG26/HI25</f>
        <v>0</v>
      </c>
      <c r="HE26" s="211">
        <f>IF(HI25&lt;=0,"",HE25+1)</f>
        <v>2</v>
      </c>
      <c r="HF26" s="212">
        <f t="shared" ref="HF26:HF89" si="87">HI25*$FN$18*30.4166/360</f>
        <v>0</v>
      </c>
      <c r="HG26" s="212">
        <f t="shared" si="25"/>
        <v>0</v>
      </c>
      <c r="HH26" s="212">
        <f>MIN(HI25+HF26,HH25)</f>
        <v>0</v>
      </c>
      <c r="HI26" s="213">
        <f t="shared" si="26"/>
        <v>1000000</v>
      </c>
      <c r="HL26" s="182"/>
      <c r="HM26" s="26">
        <f t="shared" ca="1" si="27"/>
        <v>5</v>
      </c>
      <c r="HO26" s="268">
        <f t="shared" si="28"/>
        <v>0</v>
      </c>
      <c r="HP26" s="421">
        <f>IF(HY25&lt;0.01,0,HP25)</f>
        <v>0</v>
      </c>
      <c r="HQ26" s="123">
        <f t="shared" ref="HQ26:HQ89" si="88">IF(HY25&lt;0.01,0,HY25*HP26*30.4166/360)</f>
        <v>0</v>
      </c>
      <c r="HR26" s="123">
        <f t="shared" ref="HR26:HR89" si="89">IF(HY25&lt;0.01,0,HS26-HQ26)</f>
        <v>0</v>
      </c>
      <c r="HS26" s="123">
        <f t="shared" ref="HS26:HS89" si="90">IF(HY24&lt;0.1,0,MIN(HY25+HQ26,HS25*(1+ID26)))</f>
        <v>0</v>
      </c>
      <c r="HT26" s="123">
        <f>IF(HY25&lt;0.01,0,IF(Adm!$GS$4=Adm!$GS$8,HY25*$HY$15,IF(Adm!$GS$12=Adm!$GS$13,0,HY25*Adm!$GV$4)))</f>
        <v>0</v>
      </c>
      <c r="HU26" s="123">
        <f>IF(HY25&lt;0.01,0,IF(Adm!$GS$5=Adm!$GS$8,Cal!$BO$108*$HY$16/1.16,IF(Adm!$GS$12=Adm!$GS$13,0,Cal!$BO$108*Adm!$GW$4/1.16)))</f>
        <v>0</v>
      </c>
      <c r="HV26" s="123">
        <f t="shared" ref="HV26:HV89" si="91">IF(HY25&lt;0.01,0,0)</f>
        <v>0</v>
      </c>
      <c r="HW26" s="123">
        <f t="shared" ref="HW26:HW88" si="92">IF(HY25&lt;0.01,0,HS26+HT26+HU26+HV26)</f>
        <v>0</v>
      </c>
      <c r="HX26" s="123">
        <f>IF(Adm!$GH$6="si",MIN(HY25+HQ26+HT26+HU26+HV26-HW26,IH26),0)</f>
        <v>0</v>
      </c>
      <c r="HY26" s="297">
        <f t="shared" ref="HY26:HY89" si="93">IF(HY25&lt;0.01,0,HY25-HR26-HX26)</f>
        <v>0</v>
      </c>
      <c r="HZ26" s="74"/>
      <c r="IA26" s="407">
        <f t="shared" ref="IA26:IA89" si="94">HW26+HX26</f>
        <v>0</v>
      </c>
      <c r="IC26" s="90">
        <f t="shared" ref="IC26:IC89" si="95">IF(IC25=12,1,IC25+1)</f>
        <v>2</v>
      </c>
      <c r="ID26" s="124">
        <f>IF(IC26=1,Cal!$BO$127,0)</f>
        <v>0</v>
      </c>
      <c r="IE26" s="73"/>
      <c r="IG26" s="70">
        <f>IG25</f>
        <v>0</v>
      </c>
      <c r="IH26" s="2178">
        <f t="shared" ref="IH26:IH89" ca="1" si="96">IF(MOD(HM26,2)=0,IG26*0.05*2,0)</f>
        <v>0</v>
      </c>
      <c r="IK26" s="217"/>
      <c r="IL26" s="26">
        <f t="shared" ca="1" si="29"/>
        <v>5</v>
      </c>
      <c r="IN26" s="268">
        <f t="shared" si="30"/>
        <v>0</v>
      </c>
      <c r="IO26" s="421">
        <f>IF(IX25&lt;0.01,0,IO25)</f>
        <v>0</v>
      </c>
      <c r="IP26" s="123">
        <f t="shared" ref="IP26:IP89" si="97">IF(IX25&lt;0.01,0,IX25*IO26*30.4166/360)</f>
        <v>0</v>
      </c>
      <c r="IQ26" s="123">
        <f t="shared" ref="IQ26:IQ89" si="98">IF(IX25&lt;0.01,0,IR26-IP26)</f>
        <v>0</v>
      </c>
      <c r="IR26" s="123">
        <f t="shared" ref="IR26:IR89" si="99">IF(IX24&lt;0.1,0,MIN(IX25+IP26,IR25*(1+JC26)))</f>
        <v>0</v>
      </c>
      <c r="IS26" s="123">
        <f>IF(IX25&lt;0.01,0,IF(Adm!$GS$4=Adm!$GS$8,IX25*$IX$15,IF(Adm!$GS$12=Adm!$GS$13,0,IX25*Adm!$GV$4)))</f>
        <v>0</v>
      </c>
      <c r="IT26" s="123"/>
      <c r="IU26" s="123">
        <f t="shared" ref="IU26:IU89" si="100">IF(IX25&lt;0.01,0,0)</f>
        <v>0</v>
      </c>
      <c r="IV26" s="123">
        <f t="shared" ref="IV26:IV89" si="101">IF(IX25&lt;0.01,0,IR26+IS26+IT26+IU26)</f>
        <v>0</v>
      </c>
      <c r="IW26" s="123"/>
      <c r="IX26" s="297">
        <f t="shared" ref="IX26:IX89" si="102">IF(IX25&lt;0.01,0,IX25-IQ26-IW26)</f>
        <v>0</v>
      </c>
      <c r="IY26" s="74"/>
      <c r="IZ26" s="416">
        <f t="shared" ref="IZ26:IZ89" si="103">IV26+IW26</f>
        <v>0</v>
      </c>
      <c r="JB26" s="90">
        <f t="shared" ref="JB26:JB89" si="104">IF(JB25=12,1,JB25+1)</f>
        <v>2</v>
      </c>
      <c r="JC26" s="124">
        <f>IF(JB26=1,Cal!$BP$127,0)</f>
        <v>0</v>
      </c>
      <c r="JD26" s="73"/>
    </row>
    <row r="27" spans="1:264">
      <c r="A27" s="26">
        <f t="shared" ca="1" si="0"/>
        <v>6</v>
      </c>
      <c r="C27" s="452">
        <f t="shared" si="1"/>
        <v>0</v>
      </c>
      <c r="D27" s="123">
        <f t="shared" si="31"/>
        <v>0</v>
      </c>
      <c r="E27" s="123">
        <f>IF(L26&lt;0.01,0,IF(Adm!$B$4=Adm!$A$118,0,F27-D27))</f>
        <v>0</v>
      </c>
      <c r="F27" s="123">
        <f>IF(L25&lt;0.1,0,MIN(L25+D27,IF(Adm!$B$4=Adm!$A$118,D27,F26*(1+S27))))</f>
        <v>0</v>
      </c>
      <c r="G27" s="123">
        <f>IF(L26&lt;0.01,0,IF(Adm!$S$4=Adm!$S$8,L26*$L$15,L26*Adm!$V$4))</f>
        <v>0</v>
      </c>
      <c r="H27" s="952">
        <f>IF(L26&lt;0.01,0,IF(Adm!$S$5=Adm!$S$8,Adm!$AA$11*$L$16/1.16,IF(Adm!$B$4=Adm!$A$119,0,IF(Adm!$B$4=Adm!$A$118,Adm!$AA$11*Adm!$W$4/1.16,Adm!$AA$11*Adm!$X$4/1.16))))</f>
        <v>0</v>
      </c>
      <c r="I27" s="123">
        <f>IF(L26&lt;0.01,0,Cal!$AB$126/1.16)</f>
        <v>0</v>
      </c>
      <c r="J27" s="123">
        <f t="shared" si="2"/>
        <v>0</v>
      </c>
      <c r="K27" s="123">
        <f>IF(Adm!$G$4="si",MIN(L26+D27+G27+H27+I27-J27,V27),0)</f>
        <v>0</v>
      </c>
      <c r="L27" s="123">
        <f>IF(L26&lt;0.01,0,L26-E27-K27)+M27</f>
        <v>0</v>
      </c>
      <c r="M27" s="453">
        <f>IF(AND(Adm!$B$4=Adm!$A$118,Adm!$E$13=12),Cal!$C$121,0)</f>
        <v>0</v>
      </c>
      <c r="N27" s="74"/>
      <c r="O27" s="407">
        <f>J27+K27-M27</f>
        <v>0</v>
      </c>
      <c r="R27" s="90">
        <f t="shared" si="34"/>
        <v>3</v>
      </c>
      <c r="S27" s="121">
        <f>IF(R27=1,Cal!$AB$127,0)</f>
        <v>0</v>
      </c>
      <c r="U27" s="70">
        <f t="shared" ref="U27:U90" si="105">U26</f>
        <v>0</v>
      </c>
      <c r="V27" s="2178">
        <f t="shared" ca="1" si="35"/>
        <v>0</v>
      </c>
      <c r="X27" s="398"/>
      <c r="Z27" s="268">
        <f t="shared" si="3"/>
        <v>0</v>
      </c>
      <c r="AA27" s="2176">
        <f t="shared" si="36"/>
        <v>0</v>
      </c>
      <c r="AB27" s="33">
        <f t="shared" si="37"/>
        <v>0</v>
      </c>
      <c r="AC27" s="33">
        <f t="shared" si="38"/>
        <v>0</v>
      </c>
      <c r="AD27" s="33">
        <f>IF(AI26&lt;0.01,0,IF(Adm!$S$4=Adm!$S$8,AI26*$AI$15,AI26*Adm!$V$4))</f>
        <v>0</v>
      </c>
      <c r="AE27" s="33"/>
      <c r="AF27" s="33"/>
      <c r="AG27" s="33">
        <f t="shared" si="4"/>
        <v>0</v>
      </c>
      <c r="AH27" s="33"/>
      <c r="AI27" s="401">
        <f t="shared" si="5"/>
        <v>0</v>
      </c>
      <c r="AK27" s="410">
        <f t="shared" si="6"/>
        <v>0</v>
      </c>
      <c r="AN27" s="90">
        <f t="shared" si="39"/>
        <v>3</v>
      </c>
      <c r="AO27" s="121">
        <f>IF(AN27=1,Cal!$AC$127,0)</f>
        <v>0</v>
      </c>
      <c r="AS27" s="200"/>
      <c r="AU27" s="268">
        <f t="shared" si="7"/>
        <v>0</v>
      </c>
      <c r="AV27" s="2177">
        <f t="shared" si="40"/>
        <v>0</v>
      </c>
      <c r="AW27" s="123">
        <f t="shared" si="8"/>
        <v>0</v>
      </c>
      <c r="AX27" s="123">
        <f t="shared" si="41"/>
        <v>0</v>
      </c>
      <c r="AY27" s="123">
        <f>IF(BC26&lt;0.01,0,IF(Adm!$S$4=Adm!$S$8,BC26*$BC$16,BC26*Adm!$V$4))</f>
        <v>0</v>
      </c>
      <c r="AZ27" s="123"/>
      <c r="BA27" s="123">
        <f>IF(BC26&lt;0.01,0,Adm!$Q$6)</f>
        <v>0</v>
      </c>
      <c r="BB27" s="123">
        <f t="shared" si="42"/>
        <v>0</v>
      </c>
      <c r="BC27" s="297">
        <f t="shared" si="43"/>
        <v>0</v>
      </c>
      <c r="BE27" s="425">
        <f t="shared" si="9"/>
        <v>0</v>
      </c>
      <c r="BH27" s="90">
        <f t="shared" si="44"/>
        <v>3</v>
      </c>
      <c r="BI27" s="121">
        <f>IF(BH27=1,Cal!$AD$127,0)</f>
        <v>0</v>
      </c>
      <c r="BM27" s="221"/>
      <c r="BO27" s="295">
        <f t="shared" ca="1" si="10"/>
        <v>6</v>
      </c>
      <c r="BP27" s="268">
        <f t="shared" si="11"/>
        <v>0</v>
      </c>
      <c r="BQ27" s="123">
        <f t="shared" si="45"/>
        <v>0</v>
      </c>
      <c r="BR27" s="123">
        <f>IF(BZ26&lt;0.01,0,IF(OR(Plus!$F$10=Plus!$AK$10,Plus!$F$10=Plus!$AK$11),0,BS27-BQ27))</f>
        <v>0</v>
      </c>
      <c r="BS27" s="123">
        <f>IF(BZ25&lt;0.1,0,MIN(BZ25+BQ27,IF(OR(Plus!$F$10=Plus!$AK$10,Plus!$F$10=Plus!$AK$11),BQ27,BS26*(1+CG27))))</f>
        <v>0</v>
      </c>
      <c r="BT27" s="123">
        <f>IF(BZ26&lt;0.01,0,IF(Plus!$F$22=Plus!$AN$4,BZ26*$BZ$15,IF(Plus!$F$22=Plus!$AN$3,BZ26*Plus!$F$23/1000,BZ26*VLOOKUP(Plus!$G$21,Plus!$AP$2:'Plus'!$AQ$5,2,0))))</f>
        <v>0</v>
      </c>
      <c r="BU27" s="123">
        <f>IF(BZ26&lt;0.01,0,IF(Plus!$F$24=Plus!$AO$3,Plus!$G$13*$BZ$16/1.16,IF(Plus!$F$10=Plus!$AK$7,0,IF(OR(Plus!$F$10=Plus!$AK$10,Plus!$F$10=Plus!$AK$11),Plus!$G$13*Plus!$AR$4/1.16,Plus!$G$13*Plus!$AR$2/1.16))))</f>
        <v>0</v>
      </c>
      <c r="BV27" s="123">
        <f>IF(BZ26&lt;0.01,0,Plus!$BD$2)</f>
        <v>0</v>
      </c>
      <c r="BW27" s="123"/>
      <c r="BX27" s="123">
        <f t="shared" si="12"/>
        <v>0</v>
      </c>
      <c r="BY27" s="123">
        <f>IF(Plus!$F$10=Plus!$AK$3,MIN(BZ26+BQ27+BT27+BU27+BV27-BX27,CJ27),0)</f>
        <v>0</v>
      </c>
      <c r="BZ27" s="297">
        <f>IF(BZ26&lt;0.01,0,BZ26-BR27-BY27)+CA27</f>
        <v>0</v>
      </c>
      <c r="CA27" s="276">
        <f>Plus!P68</f>
        <v>0</v>
      </c>
      <c r="CB27" s="74"/>
      <c r="CC27" s="413">
        <f>BX27+BY27-CA27</f>
        <v>0</v>
      </c>
      <c r="CF27" s="90">
        <f t="shared" si="48"/>
        <v>3</v>
      </c>
      <c r="CG27" s="121">
        <f t="shared" ref="CG27:CG90" si="106">IF(CF27=1,$BS$12,0)</f>
        <v>0</v>
      </c>
      <c r="CI27" s="70">
        <f t="shared" ref="CI27:CI90" si="107">CI26</f>
        <v>0</v>
      </c>
      <c r="CJ27" s="2178">
        <f t="shared" ca="1" si="49"/>
        <v>0</v>
      </c>
      <c r="CL27" s="161"/>
      <c r="CN27" s="308">
        <f t="shared" ca="1" si="13"/>
        <v>6</v>
      </c>
      <c r="CO27" s="309">
        <f t="shared" si="50"/>
        <v>0</v>
      </c>
      <c r="CP27" s="268">
        <f t="shared" si="14"/>
        <v>0</v>
      </c>
      <c r="CQ27" s="123">
        <f t="shared" si="51"/>
        <v>0</v>
      </c>
      <c r="CR27" s="123">
        <f>IF(CZ26&lt;0.01,0,MIN(CZ26,IF(OR(Plus!$F$10=Plus!$AK$10,Plus!$F$10=Plus!$AK$11),0,CS27-CQ27)))</f>
        <v>0</v>
      </c>
      <c r="CS27" s="123">
        <f>IF(CZ25&lt;0.1,0,MIN(CZ26+CQ27,IF(DN27&gt;0,DN27,IF(OR(Plus!$F$10=Plus!$AK$10,Plus!$F$10=Plus!$AK$11),CQ27,CS26*(1+DH27)))))</f>
        <v>0</v>
      </c>
      <c r="CT27" s="33">
        <f>IF(CZ26&lt;0.01,0,IF(Plus!$F$22=Plus!$AN$4,0,IF(Plus!$F$22=Plus!$AN$3,CZ26*Plus!$F$23/1000,CZ26*VLOOKUP(Plus!$G$21,Plus!$AP$2:'Plus'!$AQ$5,2,0))))</f>
        <v>0</v>
      </c>
      <c r="CU27" s="123">
        <f>IF(CZ26&lt;0.01,0,IF(Plus!$F$24=Plus!$AO$3,0,IF(OR(Plus!$F$10=Plus!$AK$7,Plus!$F$10=Plus!$AK$13),0,IF(OR(Plus!$F$10=Plus!$AK$10,Plus!$F$10=Plus!$AK$11),Plus!$G$13*Plus!$AR$4,Plus!$G$13*Plus!$AR$2))))</f>
        <v>0</v>
      </c>
      <c r="CV27" s="123">
        <f>IF(CZ26&lt;0.01,0,IF(OR(Plus!$F$10=Plus!$AK$7,Plus!$F$10=Plus!$AK$13),0,Plus!$BD$2*1.16))</f>
        <v>0</v>
      </c>
      <c r="CW27" s="123">
        <f>IF(CZ26&lt;0.01,0,IF(Plus!$AS$2&gt;0,CQ27*Plus!$AS$3,0))</f>
        <v>0</v>
      </c>
      <c r="CX27" s="123">
        <f t="shared" si="52"/>
        <v>0</v>
      </c>
      <c r="CY27" s="123">
        <f>IF(Plus!$F$10=Plus!$AK$3,MIN(CZ26+CQ27+CT27+CU27+CV27-CX27,DK27),0)</f>
        <v>0</v>
      </c>
      <c r="CZ27" s="297">
        <f t="shared" si="53"/>
        <v>0</v>
      </c>
      <c r="DA27" s="306">
        <f>Plus!O68</f>
        <v>0</v>
      </c>
      <c r="DB27" s="314">
        <f>Plus!P68</f>
        <v>0</v>
      </c>
      <c r="DC27" s="74"/>
      <c r="DD27" s="407">
        <f>CS27+CT27+(CU27/1.16)+(CV27/1.16)+CY27-DB27</f>
        <v>0</v>
      </c>
      <c r="DG27" s="90">
        <f t="shared" si="55"/>
        <v>3</v>
      </c>
      <c r="DH27" s="121">
        <f t="shared" ref="DH27:DH90" si="108">IF(DG27=1,$CS$12,0)</f>
        <v>0</v>
      </c>
      <c r="DJ27" s="149">
        <f t="shared" ref="DJ27:DJ90" si="109">DJ26</f>
        <v>0</v>
      </c>
      <c r="DK27" s="2179">
        <f t="shared" ca="1" si="56"/>
        <v>0</v>
      </c>
      <c r="DN27" s="120">
        <f t="shared" ref="DN27:DN90" si="110">IF(DO27&gt;1,DO27,IF(DQ27&gt;1,DQ27,0))</f>
        <v>0</v>
      </c>
      <c r="DO27" s="110">
        <f t="shared" si="57"/>
        <v>0</v>
      </c>
      <c r="DP27" s="110">
        <f>IF(AND($DP$21=1,$DN$21=2),PMT((($CS$9/360)*(365/12)),CO26,-CZ26),0)</f>
        <v>0</v>
      </c>
      <c r="DQ27" s="109">
        <f t="shared" si="58"/>
        <v>0</v>
      </c>
      <c r="DR27" s="109">
        <f t="shared" si="59"/>
        <v>0</v>
      </c>
      <c r="DS27" s="113">
        <f t="shared" si="60"/>
        <v>0</v>
      </c>
      <c r="DU27" s="102">
        <f t="shared" si="61"/>
        <v>0</v>
      </c>
      <c r="DV27" s="211">
        <f>IF(DZ26&lt;=0,"",DV26+1)</f>
        <v>3</v>
      </c>
      <c r="DW27" s="212">
        <f t="shared" si="62"/>
        <v>0</v>
      </c>
      <c r="DX27" s="212">
        <f t="shared" si="15"/>
        <v>0</v>
      </c>
      <c r="DY27" s="212">
        <f t="shared" ref="DY27:DY90" si="111">MIN(DZ26+DW27,DY26)</f>
        <v>0</v>
      </c>
      <c r="DZ27" s="213">
        <f t="shared" si="16"/>
        <v>1000000</v>
      </c>
      <c r="ED27" s="182"/>
      <c r="EF27" s="308">
        <f t="shared" ca="1" si="17"/>
        <v>6</v>
      </c>
      <c r="EG27" s="309">
        <f t="shared" si="63"/>
        <v>0</v>
      </c>
      <c r="EH27" s="268">
        <f t="shared" si="18"/>
        <v>0</v>
      </c>
      <c r="EI27" s="33">
        <f t="shared" si="64"/>
        <v>0</v>
      </c>
      <c r="EJ27" s="33">
        <f>IF(CZ26&lt;0.01,0,IF(OR(Plus!$F$10=Plus!$AK$10,Plus!$F$10=Plus!$AK$11),0,EK27-EI27))</f>
        <v>0</v>
      </c>
      <c r="EK27" s="33">
        <f>IF(ER25&lt;0.1,0,MIN(ER26+EI27,IF(FE27&gt;0,FE27,IF(OR(Plus!$F$10=Plus!$AK$10,Plus!$F$10=Plus!$AK$11),EI27,EK26*(1+EZ27)))))</f>
        <v>0</v>
      </c>
      <c r="EL27" s="33">
        <f>IF(ER26&lt;0.01,0,IF(Plus!$F$22=Plus!$AN$4,0,IF(Plus!$F$22=Plus!$AN$3,ER26*Plus!$F$23/1000,ER26*VLOOKUP(Plus!$G$21,Plus!$AP$2:'Plus'!$AQ$5,2,0))))</f>
        <v>0</v>
      </c>
      <c r="EM27" s="33">
        <f>IF(ER26&lt;0.01,0,IF(Plus!$F$24=Plus!$AO$3,0,IF(OR(Plus!$F$10=Plus!$AK$7,Plus!$F$10=Plus!$AK$13),0,IF(OR(Plus!$F$10=Plus!$AK$10,Plus!$F$10=Plus!$AK$11),Plus!$G$13*Plus!$AR$4,Plus!$G$13*Plus!$AR$2))))</f>
        <v>0</v>
      </c>
      <c r="EN27" s="33">
        <f>IF(ER26&lt;0.01,0,IF(OR(Plus!$F$10=Plus!$AK$7,Plus!$F$10=Plus!$AK$13),0,Plus!$BD$2*1.16))</f>
        <v>0</v>
      </c>
      <c r="EO27" s="33">
        <f>IF(ER26&lt;0.01,0,IF(Plus!$AS$2&gt;0,EI27*Plus!$AS$3,0))</f>
        <v>0</v>
      </c>
      <c r="EP27" s="33">
        <f t="shared" si="65"/>
        <v>0</v>
      </c>
      <c r="EQ27" s="33">
        <f>IF(Plus!$F$10=Plus!$AK$3,MIN(ER26+EI27+EL27+EM27+EN27-EP27,FC27),0)</f>
        <v>0</v>
      </c>
      <c r="ER27" s="297">
        <f t="shared" si="66"/>
        <v>0</v>
      </c>
      <c r="ES27" s="340">
        <f>Plus!O68</f>
        <v>0</v>
      </c>
      <c r="ET27" s="356">
        <f>Plus!P68</f>
        <v>0</v>
      </c>
      <c r="EU27" s="74"/>
      <c r="EV27" s="416">
        <f>EK27+EL27+(EM27/1.16)+(EN27/1.16)+EQ27-ET27</f>
        <v>0</v>
      </c>
      <c r="EY27" s="90">
        <f t="shared" si="68"/>
        <v>3</v>
      </c>
      <c r="EZ27" s="121">
        <f t="shared" ref="EZ27:EZ90" si="112">IF(EY27=1,$EK$12,0)</f>
        <v>0</v>
      </c>
      <c r="FB27" s="149">
        <f t="shared" ref="FB27:FB90" si="113">FB26</f>
        <v>0</v>
      </c>
      <c r="FC27" s="2179">
        <f t="shared" ca="1" si="69"/>
        <v>0</v>
      </c>
      <c r="FE27" s="120">
        <f t="shared" ref="FE27:FE90" si="114">IF(FF27&gt;1,FF27,IF(FH27&gt;1,FH27,0))</f>
        <v>0</v>
      </c>
      <c r="FF27" s="110">
        <f t="shared" si="70"/>
        <v>0</v>
      </c>
      <c r="FG27" s="110">
        <f t="shared" si="71"/>
        <v>0</v>
      </c>
      <c r="FH27" s="109">
        <f t="shared" si="72"/>
        <v>0</v>
      </c>
      <c r="FI27" s="109">
        <f t="shared" si="19"/>
        <v>0</v>
      </c>
      <c r="FJ27" s="113">
        <f t="shared" si="73"/>
        <v>0</v>
      </c>
      <c r="FL27" s="102">
        <f t="shared" si="74"/>
        <v>0</v>
      </c>
      <c r="FM27" s="211">
        <f>IF(FQ26&lt;=0,"",FM26+1)</f>
        <v>3</v>
      </c>
      <c r="FN27" s="212">
        <f t="shared" si="75"/>
        <v>0</v>
      </c>
      <c r="FO27" s="212">
        <f t="shared" si="20"/>
        <v>0</v>
      </c>
      <c r="FP27" s="212">
        <f t="shared" ref="FP27:FP36" si="115">MIN(FQ26+FN27,FP26)</f>
        <v>0</v>
      </c>
      <c r="FQ27" s="213">
        <f t="shared" si="21"/>
        <v>1000000</v>
      </c>
      <c r="FV27" s="359"/>
      <c r="FX27" s="308">
        <f t="shared" ca="1" si="22"/>
        <v>6</v>
      </c>
      <c r="FY27" s="309">
        <f t="shared" si="76"/>
        <v>0</v>
      </c>
      <c r="FZ27" s="268">
        <f t="shared" si="23"/>
        <v>0</v>
      </c>
      <c r="GA27" s="33">
        <f t="shared" si="77"/>
        <v>0</v>
      </c>
      <c r="GB27" s="33">
        <f>IF(GJ26&lt;0.01,0,IF(OR(Plus!$F$10=Plus!$AK$10,Plus!$F$10=Plus!$AK$11),0,GC27-GA27))</f>
        <v>0</v>
      </c>
      <c r="GC27" s="33">
        <f>IF(GJ25&lt;0.1,0,MIN(GJ26+GA27,IF(GW27&gt;0,GW27,IF(OR(Plus!$F$10=Plus!$AK$10,Plus!$F$10=Plus!$AK$11),GA27,GC26*(1+GR27)))))</f>
        <v>0</v>
      </c>
      <c r="GD27" s="33">
        <f>IF(GJ26&lt;0.01,0,IF(Plus!$F$22=Plus!$AN$4,0,IF(Plus!$F$22=Plus!$AN$3,GJ26*Plus!$F$23/1000,GJ26*VLOOKUP(Plus!$G$21,Plus!$AP$2:$AQ$5,2,0))))</f>
        <v>0</v>
      </c>
      <c r="GE27" s="33">
        <f>IF(GJ26&lt;0.01,0,IF(Plus!$F$24=Plus!$AO$3,0,IF(OR(Plus!$F$10=Plus!$AK$7,Plus!$F$10=Plus!$AK$13,Plus!$F$10=Plus!$AK$14),0,IF(OR(Plus!$F$10=Plus!$AK$10,Plus!$F$10=Plus!$AK$11),Plus!$G$13*Adm!$W$7,Plus!$G$13*Adm!$X$4))))</f>
        <v>0</v>
      </c>
      <c r="GF27" s="33">
        <f>IF(GJ26&lt;0.01,0,IF(OR(Plus!$F$10=Plus!$AK$7,Plus!$F$10=Plus!$AK$13),0,Plus!$BD$2*1.16))</f>
        <v>0</v>
      </c>
      <c r="GG27" s="33">
        <f>IF(GJ26&lt;0.01,0,IF(Plus!$AS$2&gt;0,GA27*Plus!$AS$3,0))</f>
        <v>0</v>
      </c>
      <c r="GH27" s="33">
        <f t="shared" si="78"/>
        <v>0</v>
      </c>
      <c r="GI27" s="33">
        <f>IF(Plus!$F$10=Plus!$AK$3,MIN(GJ26+GA27+GD27+GE27+GF27-GH27,GU27),0)</f>
        <v>0</v>
      </c>
      <c r="GJ27" s="312">
        <f>IF(GJ26&lt;0.01,0,GJ26-GB27-GI27+GL27-GK27)</f>
        <v>0</v>
      </c>
      <c r="GK27" s="340">
        <f>Plus!O68</f>
        <v>0</v>
      </c>
      <c r="GL27" s="364">
        <f>Plus!P68</f>
        <v>0</v>
      </c>
      <c r="GM27" s="74"/>
      <c r="GN27" s="419">
        <f>GC27+GD27+(GE27/1.16)+(GF27/1.16)+GI27-GL27</f>
        <v>0</v>
      </c>
      <c r="GQ27" s="90">
        <f t="shared" si="80"/>
        <v>3</v>
      </c>
      <c r="GR27" s="121">
        <f t="shared" ref="GR27:GR90" si="116">IF(GQ27=1,$GC$12,0)</f>
        <v>0</v>
      </c>
      <c r="GT27" s="149">
        <f t="shared" ref="GT27:GT90" si="117">GT26</f>
        <v>0</v>
      </c>
      <c r="GU27" s="2179">
        <f t="shared" ca="1" si="81"/>
        <v>0</v>
      </c>
      <c r="GW27" s="120">
        <f t="shared" ref="GW27:GW90" si="118">IF(GX27&gt;1,GX27,IF(GZ27&gt;1,GZ27,0))</f>
        <v>0</v>
      </c>
      <c r="GX27" s="110">
        <f t="shared" si="82"/>
        <v>0</v>
      </c>
      <c r="GY27" s="110">
        <f t="shared" si="83"/>
        <v>0</v>
      </c>
      <c r="GZ27" s="109">
        <f t="shared" si="84"/>
        <v>0</v>
      </c>
      <c r="HA27" s="109">
        <f t="shared" si="24"/>
        <v>0</v>
      </c>
      <c r="HB27" s="113">
        <f t="shared" si="85"/>
        <v>0</v>
      </c>
      <c r="HD27" s="102">
        <f t="shared" si="86"/>
        <v>0</v>
      </c>
      <c r="HE27" s="211">
        <f>IF(HI26&lt;=0,"",HE26+1)</f>
        <v>3</v>
      </c>
      <c r="HF27" s="212">
        <f t="shared" si="87"/>
        <v>0</v>
      </c>
      <c r="HG27" s="212">
        <f t="shared" si="25"/>
        <v>0</v>
      </c>
      <c r="HH27" s="212">
        <f t="shared" ref="HH27:HH36" si="119">MIN(HI26+HF27,HH26)</f>
        <v>0</v>
      </c>
      <c r="HI27" s="213">
        <f t="shared" si="26"/>
        <v>1000000</v>
      </c>
      <c r="HL27" s="182"/>
      <c r="HM27" s="26">
        <f t="shared" ca="1" si="27"/>
        <v>6</v>
      </c>
      <c r="HO27" s="268">
        <f t="shared" si="28"/>
        <v>0</v>
      </c>
      <c r="HP27" s="421">
        <f t="shared" ref="HP27:HP60" si="120">IF(HY26&lt;0.01,0,HP26)</f>
        <v>0</v>
      </c>
      <c r="HQ27" s="123">
        <f t="shared" si="88"/>
        <v>0</v>
      </c>
      <c r="HR27" s="123">
        <f t="shared" si="89"/>
        <v>0</v>
      </c>
      <c r="HS27" s="123">
        <f t="shared" si="90"/>
        <v>0</v>
      </c>
      <c r="HT27" s="123">
        <f>IF(HY26&lt;0.01,0,IF(Adm!$GS$4=Adm!$GS$8,HY26*$HY$15,IF(Adm!$GS$12=Adm!$GS$13,0,HY26*Adm!$GV$4)))</f>
        <v>0</v>
      </c>
      <c r="HU27" s="123">
        <f>IF(HY26&lt;0.01,0,IF(Adm!$GS$5=Adm!$GS$8,Cal!$BO$108*$HY$16/1.16,IF(Adm!$GS$12=Adm!$GS$13,0,Cal!$BO$108*Adm!$GW$4/1.16)))</f>
        <v>0</v>
      </c>
      <c r="HV27" s="123">
        <f t="shared" si="91"/>
        <v>0</v>
      </c>
      <c r="HW27" s="123">
        <f t="shared" si="92"/>
        <v>0</v>
      </c>
      <c r="HX27" s="123">
        <f>IF(Adm!$GH$6="si",MIN(HY26+HQ27+HT27+HU27+HV27-HW27,IH27),0)</f>
        <v>0</v>
      </c>
      <c r="HY27" s="297">
        <f t="shared" si="93"/>
        <v>0</v>
      </c>
      <c r="HZ27" s="74"/>
      <c r="IA27" s="407">
        <f t="shared" si="94"/>
        <v>0</v>
      </c>
      <c r="IC27" s="90">
        <f t="shared" si="95"/>
        <v>3</v>
      </c>
      <c r="ID27" s="124">
        <f>IF(IC27=1,Cal!$BO$127,0)</f>
        <v>0</v>
      </c>
      <c r="IE27" s="73"/>
      <c r="IG27" s="70">
        <f t="shared" ref="IG27:IG90" si="121">IG26</f>
        <v>0</v>
      </c>
      <c r="IH27" s="2178">
        <f t="shared" ca="1" si="96"/>
        <v>0</v>
      </c>
      <c r="IK27" s="217"/>
      <c r="IL27" s="26">
        <f t="shared" ca="1" si="29"/>
        <v>6</v>
      </c>
      <c r="IN27" s="268">
        <f t="shared" si="30"/>
        <v>0</v>
      </c>
      <c r="IO27" s="421">
        <f t="shared" ref="IO27:IO60" si="122">IF(IX26&lt;0.01,0,IO26)</f>
        <v>0</v>
      </c>
      <c r="IP27" s="123">
        <f t="shared" si="97"/>
        <v>0</v>
      </c>
      <c r="IQ27" s="123">
        <f t="shared" si="98"/>
        <v>0</v>
      </c>
      <c r="IR27" s="123">
        <f t="shared" si="99"/>
        <v>0</v>
      </c>
      <c r="IS27" s="123">
        <f>IF(IX26&lt;0.01,0,IF(Adm!$GS$4=Adm!$GS$8,IX26*$IX$15,IF(Adm!$GS$12=Adm!$GS$13,0,IX26*Adm!$GV$4)))</f>
        <v>0</v>
      </c>
      <c r="IT27" s="123"/>
      <c r="IU27" s="123">
        <f t="shared" si="100"/>
        <v>0</v>
      </c>
      <c r="IV27" s="123">
        <f t="shared" si="101"/>
        <v>0</v>
      </c>
      <c r="IW27" s="123"/>
      <c r="IX27" s="297">
        <f t="shared" si="102"/>
        <v>0</v>
      </c>
      <c r="IY27" s="74"/>
      <c r="IZ27" s="416">
        <f t="shared" si="103"/>
        <v>0</v>
      </c>
      <c r="JB27" s="90">
        <f t="shared" si="104"/>
        <v>3</v>
      </c>
      <c r="JC27" s="124">
        <f>IF(JB27=1,Cal!$BP$127,0)</f>
        <v>0</v>
      </c>
      <c r="JD27" s="73"/>
    </row>
    <row r="28" spans="1:264">
      <c r="A28" s="26">
        <f t="shared" ca="1" si="0"/>
        <v>7</v>
      </c>
      <c r="C28" s="254">
        <f t="shared" si="1"/>
        <v>0</v>
      </c>
      <c r="D28" s="123">
        <f t="shared" si="31"/>
        <v>0</v>
      </c>
      <c r="E28" s="123">
        <f>IF(L27&lt;0.01,0,IF(Adm!$B$4=Adm!$A$118,0,F28-D28))</f>
        <v>0</v>
      </c>
      <c r="F28" s="123">
        <f>IF(L26&lt;0.1,0,MIN(L26+D28,IF(Adm!$B$4=Adm!$A$118,D28,F27*(1+S28))))</f>
        <v>0</v>
      </c>
      <c r="G28" s="123">
        <f>IF(L27&lt;0.01,0,IF(Adm!$S$4=Adm!$S$8,L27*$L$15,L27*Adm!$V$4))</f>
        <v>0</v>
      </c>
      <c r="H28" s="952">
        <f>IF(L27&lt;0.01,0,IF(Adm!$S$5=Adm!$S$8,Adm!$AA$11*$L$16/1.16,IF(Adm!$B$4=Adm!$A$119,0,IF(Adm!$B$4=Adm!$A$118,Adm!$AA$11*Adm!$W$4/1.16,Adm!$AA$11*Adm!$X$4/1.16))))</f>
        <v>0</v>
      </c>
      <c r="I28" s="123">
        <f>IF(L27&lt;0.01,0,Cal!$AB$126/1.16)</f>
        <v>0</v>
      </c>
      <c r="J28" s="123">
        <f t="shared" si="2"/>
        <v>0</v>
      </c>
      <c r="K28" s="123">
        <f>IF(Adm!$G$4="si",MIN(L27+D28+G28+H28+I28-J28,V28),0)</f>
        <v>0</v>
      </c>
      <c r="L28" s="123">
        <f>IF(L27&lt;0.01,0,L27-E28-K28)+M28</f>
        <v>0</v>
      </c>
      <c r="M28" s="255">
        <f>IF(AND(Adm!$B$4=Adm!$A$118,Adm!$E$13=18),Cal!$C$121,0)</f>
        <v>0</v>
      </c>
      <c r="N28" s="74"/>
      <c r="O28" s="407">
        <f>J28+K28-M28</f>
        <v>0</v>
      </c>
      <c r="R28" s="90">
        <f t="shared" si="34"/>
        <v>4</v>
      </c>
      <c r="S28" s="121">
        <f>IF(R28=1,Cal!$AB$127,0)</f>
        <v>0</v>
      </c>
      <c r="U28" s="70">
        <f t="shared" si="105"/>
        <v>0</v>
      </c>
      <c r="V28" s="2178">
        <f t="shared" ca="1" si="35"/>
        <v>0</v>
      </c>
      <c r="X28" s="398"/>
      <c r="Z28" s="268">
        <f t="shared" si="3"/>
        <v>0</v>
      </c>
      <c r="AA28" s="2176">
        <f t="shared" si="36"/>
        <v>0</v>
      </c>
      <c r="AB28" s="33">
        <f t="shared" si="37"/>
        <v>0</v>
      </c>
      <c r="AC28" s="33">
        <f t="shared" si="38"/>
        <v>0</v>
      </c>
      <c r="AD28" s="33">
        <f>IF(AI27&lt;0.01,0,IF(Adm!$S$4=Adm!$S$8,AI27*$AI$15,AI27*Adm!$V$4))</f>
        <v>0</v>
      </c>
      <c r="AE28" s="33"/>
      <c r="AF28" s="33"/>
      <c r="AG28" s="33">
        <f t="shared" si="4"/>
        <v>0</v>
      </c>
      <c r="AH28" s="33"/>
      <c r="AI28" s="401">
        <f t="shared" si="5"/>
        <v>0</v>
      </c>
      <c r="AK28" s="410">
        <f t="shared" si="6"/>
        <v>0</v>
      </c>
      <c r="AN28" s="90">
        <f t="shared" si="39"/>
        <v>4</v>
      </c>
      <c r="AO28" s="121">
        <f>IF(AN28=1,Cal!$AC$127,0)</f>
        <v>0</v>
      </c>
      <c r="AS28" s="200"/>
      <c r="AU28" s="268">
        <f t="shared" si="7"/>
        <v>0</v>
      </c>
      <c r="AV28" s="2177">
        <f t="shared" si="40"/>
        <v>0</v>
      </c>
      <c r="AW28" s="123">
        <f t="shared" si="8"/>
        <v>0</v>
      </c>
      <c r="AX28" s="123">
        <f t="shared" si="41"/>
        <v>0</v>
      </c>
      <c r="AY28" s="123">
        <f>IF(BC27&lt;0.01,0,IF(Adm!$S$4=Adm!$S$8,BC27*$BC$16,BC27*Adm!$V$4))</f>
        <v>0</v>
      </c>
      <c r="AZ28" s="123"/>
      <c r="BA28" s="123">
        <f>IF(BC27&lt;0.01,0,Adm!$Q$6)</f>
        <v>0</v>
      </c>
      <c r="BB28" s="123">
        <f t="shared" si="42"/>
        <v>0</v>
      </c>
      <c r="BC28" s="297">
        <f t="shared" si="43"/>
        <v>0</v>
      </c>
      <c r="BE28" s="425">
        <f t="shared" si="9"/>
        <v>0</v>
      </c>
      <c r="BH28" s="90">
        <f t="shared" si="44"/>
        <v>4</v>
      </c>
      <c r="BI28" s="121">
        <f>IF(BH28=1,Cal!$AD$127,0)</f>
        <v>0</v>
      </c>
      <c r="BM28" s="221"/>
      <c r="BO28" s="295">
        <f t="shared" ca="1" si="10"/>
        <v>7</v>
      </c>
      <c r="BP28" s="268">
        <f t="shared" si="11"/>
        <v>0</v>
      </c>
      <c r="BQ28" s="123">
        <f t="shared" si="45"/>
        <v>0</v>
      </c>
      <c r="BR28" s="123">
        <f>IF(BZ27&lt;0.01,0,IF(OR(Plus!$F$10=Plus!$AK$10,Plus!$F$10=Plus!$AK$11),0,BS28-BQ28))</f>
        <v>0</v>
      </c>
      <c r="BS28" s="123">
        <f>IF(BZ26&lt;0.1,0,MIN(BZ26+BQ28,IF(OR(Plus!$F$10=Plus!$AK$10,Plus!$F$10=Plus!$AK$11),BQ28,BS27*(1+CG28))))</f>
        <v>0</v>
      </c>
      <c r="BT28" s="123">
        <f>IF(BZ27&lt;0.01,0,IF(Plus!$F$22=Plus!$AN$4,BZ27*$BZ$15,IF(Plus!$F$22=Plus!$AN$3,BZ27*Plus!$F$23/1000,BZ27*VLOOKUP(Plus!$G$21,Plus!$AP$2:'Plus'!$AQ$5,2,0))))</f>
        <v>0</v>
      </c>
      <c r="BU28" s="123">
        <f>IF(BZ27&lt;0.01,0,IF(Plus!$F$24=Plus!$AO$3,Plus!$G$13*$BZ$16/1.16,IF(Plus!$F$10=Plus!$AK$7,0,IF(OR(Plus!$F$10=Plus!$AK$10,Plus!$F$10=Plus!$AK$11),Plus!$G$13*Plus!$AR$4/1.16,Plus!$G$13*Plus!$AR$2/1.16))))</f>
        <v>0</v>
      </c>
      <c r="BV28" s="123">
        <f>IF(BZ27&lt;0.01,0,Plus!$BD$2)</f>
        <v>0</v>
      </c>
      <c r="BW28" s="123"/>
      <c r="BX28" s="123">
        <f t="shared" si="12"/>
        <v>0</v>
      </c>
      <c r="BY28" s="123">
        <f>IF(Plus!$F$10=Plus!$AK$3,MIN(BZ27+BQ28+BT28+BU28+BV28-BX28,CJ28),0)</f>
        <v>0</v>
      </c>
      <c r="BZ28" s="297">
        <f t="shared" ref="BZ28:BZ40" si="123">IF(BZ27&lt;0.01,0,BZ27-BR28-BY28)+CA28</f>
        <v>0</v>
      </c>
      <c r="CA28" s="276">
        <f>Plus!P69</f>
        <v>0</v>
      </c>
      <c r="CB28" s="74"/>
      <c r="CC28" s="413">
        <f>BX28+BY28-CA28</f>
        <v>0</v>
      </c>
      <c r="CF28" s="90">
        <f t="shared" si="48"/>
        <v>4</v>
      </c>
      <c r="CG28" s="121">
        <f t="shared" si="106"/>
        <v>0</v>
      </c>
      <c r="CI28" s="70">
        <f t="shared" si="107"/>
        <v>0</v>
      </c>
      <c r="CJ28" s="2178">
        <f t="shared" ca="1" si="49"/>
        <v>0</v>
      </c>
      <c r="CL28" s="161"/>
      <c r="CN28" s="308">
        <f t="shared" ca="1" si="13"/>
        <v>7</v>
      </c>
      <c r="CO28" s="309">
        <f t="shared" si="50"/>
        <v>0</v>
      </c>
      <c r="CP28" s="268">
        <f t="shared" si="14"/>
        <v>0</v>
      </c>
      <c r="CQ28" s="123">
        <f t="shared" si="51"/>
        <v>0</v>
      </c>
      <c r="CR28" s="123">
        <f>IF(CZ27&lt;0.01,0,MIN(CZ27,IF(OR(Plus!$F$10=Plus!$AK$10,Plus!$F$10=Plus!$AK$11),0,CS28-CQ28)))</f>
        <v>0</v>
      </c>
      <c r="CS28" s="123">
        <f>IF(CZ26&lt;0.1,0,MIN(CZ27+CQ28,IF(DN28&gt;0,DN28,IF(OR(Plus!$F$10=Plus!$AK$10,Plus!$F$10=Plus!$AK$11),CQ28,CS27*(1+DH28)))))</f>
        <v>0</v>
      </c>
      <c r="CT28" s="33">
        <f>IF(CZ27&lt;0.01,0,IF(Plus!$F$22=Plus!$AN$4,0,IF(Plus!$F$22=Plus!$AN$3,CZ27*Plus!$F$23/1000,CZ27*VLOOKUP(Plus!$G$21,Plus!$AP$2:'Plus'!$AQ$5,2,0))))</f>
        <v>0</v>
      </c>
      <c r="CU28" s="123">
        <f>IF(CZ27&lt;0.01,0,IF(Plus!$F$24=Plus!$AO$3,0,IF(OR(Plus!$F$10=Plus!$AK$7,Plus!$F$10=Plus!$AK$13),0,IF(OR(Plus!$F$10=Plus!$AK$10,Plus!$F$10=Plus!$AK$11),Plus!$G$13*Plus!$AR$4,Plus!$G$13*Plus!$AR$2))))</f>
        <v>0</v>
      </c>
      <c r="CV28" s="123">
        <f>IF(CZ27&lt;0.01,0,IF(OR(Plus!$F$10=Plus!$AK$7,Plus!$F$10=Plus!$AK$13),0,Plus!$BD$2*1.16))</f>
        <v>0</v>
      </c>
      <c r="CW28" s="123">
        <f>IF(CZ27&lt;0.01,0,IF(Plus!$AS$2&gt;0,CQ28*Plus!$AS$3,0))</f>
        <v>0</v>
      </c>
      <c r="CX28" s="123">
        <f t="shared" si="52"/>
        <v>0</v>
      </c>
      <c r="CY28" s="123">
        <f>IF(Plus!$F$10=Plus!$AK$3,MIN(CZ27+CQ28+CT28+CU28+CV28-CX28,DK28),0)</f>
        <v>0</v>
      </c>
      <c r="CZ28" s="297">
        <f t="shared" si="53"/>
        <v>0</v>
      </c>
      <c r="DA28" s="306">
        <f>Plus!O69</f>
        <v>0</v>
      </c>
      <c r="DB28" s="314">
        <f>Plus!P69</f>
        <v>0</v>
      </c>
      <c r="DC28" s="74"/>
      <c r="DD28" s="407">
        <f t="shared" si="54"/>
        <v>0</v>
      </c>
      <c r="DG28" s="90">
        <f t="shared" si="55"/>
        <v>4</v>
      </c>
      <c r="DH28" s="121">
        <f t="shared" si="108"/>
        <v>0</v>
      </c>
      <c r="DJ28" s="149">
        <f t="shared" si="109"/>
        <v>0</v>
      </c>
      <c r="DK28" s="2179">
        <f t="shared" ca="1" si="56"/>
        <v>0</v>
      </c>
      <c r="DN28" s="120">
        <f t="shared" si="110"/>
        <v>0</v>
      </c>
      <c r="DO28" s="110">
        <f t="shared" si="57"/>
        <v>0</v>
      </c>
      <c r="DP28" s="110">
        <f t="shared" ref="DP28:DP91" si="124">IF(AND($DP$21=1,$DN$21=2),PMT((($CS$9/360)*(365/12)),CO27,-CZ27),0)</f>
        <v>0</v>
      </c>
      <c r="DQ28" s="109">
        <f t="shared" si="58"/>
        <v>0</v>
      </c>
      <c r="DR28" s="109">
        <f t="shared" si="59"/>
        <v>0</v>
      </c>
      <c r="DS28" s="113">
        <f t="shared" si="60"/>
        <v>0</v>
      </c>
      <c r="DU28" s="102">
        <f t="shared" si="61"/>
        <v>0</v>
      </c>
      <c r="DV28" s="211">
        <f t="shared" ref="DV28:DV91" si="125">IF(DZ27&lt;=0,"",DV27+1)</f>
        <v>4</v>
      </c>
      <c r="DW28" s="212">
        <f t="shared" si="62"/>
        <v>0</v>
      </c>
      <c r="DX28" s="212">
        <f t="shared" si="15"/>
        <v>0</v>
      </c>
      <c r="DY28" s="212">
        <f t="shared" si="111"/>
        <v>0</v>
      </c>
      <c r="DZ28" s="213">
        <f t="shared" si="16"/>
        <v>1000000</v>
      </c>
      <c r="ED28" s="182"/>
      <c r="EF28" s="308">
        <f t="shared" ca="1" si="17"/>
        <v>7</v>
      </c>
      <c r="EG28" s="309">
        <f t="shared" si="63"/>
        <v>0</v>
      </c>
      <c r="EH28" s="268">
        <f t="shared" si="18"/>
        <v>0</v>
      </c>
      <c r="EI28" s="33">
        <f t="shared" si="64"/>
        <v>0</v>
      </c>
      <c r="EJ28" s="33">
        <f>IF(CZ27&lt;0.01,0,IF(OR(Plus!$F$10=Plus!$AK$10,Plus!$F$10=Plus!$AK$11),0,EK28-EI28))</f>
        <v>0</v>
      </c>
      <c r="EK28" s="33">
        <f>IF(ER26&lt;0.1,0,MIN(ER27+EI28,IF(FE28&gt;0,FE28,IF(OR(Plus!$F$10=Plus!$AK$10,Plus!$F$10=Plus!$AK$11),EI28,EK27*(1+EZ28)))))</f>
        <v>0</v>
      </c>
      <c r="EL28" s="33">
        <f>IF(ER27&lt;0.01,0,IF(Plus!$F$22=Plus!$AN$4,0,IF(Plus!$F$22=Plus!$AN$3,ER27*Plus!$F$23/1000,ER27*VLOOKUP(Plus!$G$21,Plus!$AP$2:'Plus'!$AQ$5,2,0))))</f>
        <v>0</v>
      </c>
      <c r="EM28" s="33">
        <f>IF(ER27&lt;0.01,0,IF(Plus!$F$24=Plus!$AO$3,0,IF(OR(Plus!$F$10=Plus!$AK$7,Plus!$F$10=Plus!$AK$13),0,IF(OR(Plus!$F$10=Plus!$AK$10,Plus!$F$10=Plus!$AK$11),Plus!$G$13*Plus!$AR$4,Plus!$G$13*Plus!$AR$2))))</f>
        <v>0</v>
      </c>
      <c r="EN28" s="33">
        <f>IF(ER27&lt;0.01,0,IF(OR(Plus!$F$10=Plus!$AK$7,Plus!$F$10=Plus!$AK$13),0,Plus!$BD$2*1.16))</f>
        <v>0</v>
      </c>
      <c r="EO28" s="33">
        <f>IF(ER27&lt;0.01,0,IF(Plus!$AS$2&gt;0,EI28*Plus!$AS$3,0))</f>
        <v>0</v>
      </c>
      <c r="EP28" s="33">
        <f t="shared" si="65"/>
        <v>0</v>
      </c>
      <c r="EQ28" s="33">
        <f>IF(Plus!$F$10=Plus!$AK$3,MIN(ER27+EI28+EL28+EM28+EN28-EP28,FC28),0)</f>
        <v>0</v>
      </c>
      <c r="ER28" s="297">
        <f t="shared" si="66"/>
        <v>0</v>
      </c>
      <c r="ES28" s="340">
        <f>Plus!O69</f>
        <v>0</v>
      </c>
      <c r="ET28" s="356">
        <f>Plus!P69</f>
        <v>0</v>
      </c>
      <c r="EU28" s="74"/>
      <c r="EV28" s="416">
        <f t="shared" ref="EV28" si="126">EK28+EL28+(EM28/1.16)+(EN28/1.16)+EQ28</f>
        <v>0</v>
      </c>
      <c r="EY28" s="90">
        <f t="shared" si="68"/>
        <v>4</v>
      </c>
      <c r="EZ28" s="121">
        <f t="shared" si="112"/>
        <v>0</v>
      </c>
      <c r="FB28" s="149">
        <f t="shared" si="113"/>
        <v>0</v>
      </c>
      <c r="FC28" s="2179">
        <f t="shared" ca="1" si="69"/>
        <v>0</v>
      </c>
      <c r="FE28" s="120">
        <f t="shared" si="114"/>
        <v>0</v>
      </c>
      <c r="FF28" s="110">
        <f t="shared" si="70"/>
        <v>0</v>
      </c>
      <c r="FG28" s="110">
        <f t="shared" si="71"/>
        <v>0</v>
      </c>
      <c r="FH28" s="109">
        <f t="shared" si="72"/>
        <v>0</v>
      </c>
      <c r="FI28" s="109">
        <f t="shared" si="19"/>
        <v>0</v>
      </c>
      <c r="FJ28" s="113">
        <f t="shared" si="73"/>
        <v>0</v>
      </c>
      <c r="FL28" s="102">
        <f t="shared" si="74"/>
        <v>0</v>
      </c>
      <c r="FM28" s="211">
        <f t="shared" ref="FM28:FM91" si="127">IF(FQ27&lt;=0,"",FM27+1)</f>
        <v>4</v>
      </c>
      <c r="FN28" s="212">
        <f t="shared" si="75"/>
        <v>0</v>
      </c>
      <c r="FO28" s="212">
        <f t="shared" si="20"/>
        <v>0</v>
      </c>
      <c r="FP28" s="212">
        <f t="shared" si="115"/>
        <v>0</v>
      </c>
      <c r="FQ28" s="213">
        <f t="shared" si="21"/>
        <v>1000000</v>
      </c>
      <c r="FV28" s="359"/>
      <c r="FX28" s="308">
        <f t="shared" ca="1" si="22"/>
        <v>7</v>
      </c>
      <c r="FY28" s="309">
        <f t="shared" si="76"/>
        <v>0</v>
      </c>
      <c r="FZ28" s="268">
        <f t="shared" si="23"/>
        <v>0</v>
      </c>
      <c r="GA28" s="33">
        <f t="shared" si="77"/>
        <v>0</v>
      </c>
      <c r="GB28" s="33">
        <f>IF(GJ27&lt;0.01,0,IF(OR(Plus!$F$10=Plus!$AK$10,Plus!$F$10=Plus!$AK$11),0,GC28-GA28))</f>
        <v>0</v>
      </c>
      <c r="GC28" s="33">
        <f>IF(GJ26&lt;0.1,0,MIN(GJ27+GA28,IF(GW28&gt;0,GW28,IF(OR(Plus!$F$10=Plus!$AK$10,Plus!$F$10=Plus!$AK$11),GA28,GC27*(1+GR28)))))</f>
        <v>0</v>
      </c>
      <c r="GD28" s="33">
        <f>IF(GJ27&lt;0.01,0,IF(Plus!$F$22=Plus!$AN$4,0,IF(Plus!$F$22=Plus!$AN$3,GJ27*Plus!$F$23/1000,GJ27*VLOOKUP(Plus!$G$21,Plus!$AP$2:$AQ$5,2,0))))</f>
        <v>0</v>
      </c>
      <c r="GE28" s="33">
        <f>IF(GJ27&lt;0.01,0,IF(Plus!$F$24=Plus!$AO$3,0,IF(OR(Plus!$F$10=Plus!$AK$7,Plus!$F$10=Plus!$AK$13,Plus!$F$10=Plus!$AK$14),0,IF(OR(Plus!$F$10=Plus!$AK$10,Plus!$F$10=Plus!$AK$11),Plus!$G$13*Adm!$W$7,Plus!$G$13*Adm!$X$4))))</f>
        <v>0</v>
      </c>
      <c r="GF28" s="33">
        <f>IF(GJ27&lt;0.01,0,IF(OR(Plus!$F$10=Plus!$AK$7,Plus!$F$10=Plus!$AK$13),0,Plus!$BD$2*1.16))</f>
        <v>0</v>
      </c>
      <c r="GG28" s="33">
        <f>IF(GJ27&lt;0.01,0,IF(Plus!$AS$2&gt;0,GA28*Plus!$AS$3,0))</f>
        <v>0</v>
      </c>
      <c r="GH28" s="33">
        <f t="shared" si="78"/>
        <v>0</v>
      </c>
      <c r="GI28" s="33">
        <f>IF(Plus!$F$10=Plus!$AK$3,MIN(GJ27+GA28+GD28+GE28+GF28-GH28,GU28),0)</f>
        <v>0</v>
      </c>
      <c r="GJ28" s="311">
        <f>IF(GJ27&lt;0.01,0,GJ27-GB28-GI28-GK28)</f>
        <v>0</v>
      </c>
      <c r="GK28" s="340">
        <f>Plus!O69</f>
        <v>0</v>
      </c>
      <c r="GL28" s="364">
        <f>Plus!P69</f>
        <v>0</v>
      </c>
      <c r="GM28" s="74"/>
      <c r="GN28" s="419">
        <f t="shared" ref="GN28" si="128">GC28+GD28+(GE28/1.16)+(GF28/1.16)+GI28</f>
        <v>0</v>
      </c>
      <c r="GQ28" s="90">
        <f t="shared" si="80"/>
        <v>4</v>
      </c>
      <c r="GR28" s="121">
        <f t="shared" si="116"/>
        <v>0</v>
      </c>
      <c r="GT28" s="149">
        <f t="shared" si="117"/>
        <v>0</v>
      </c>
      <c r="GU28" s="2179">
        <f t="shared" ca="1" si="81"/>
        <v>0</v>
      </c>
      <c r="GW28" s="120">
        <f t="shared" si="118"/>
        <v>0</v>
      </c>
      <c r="GX28" s="110">
        <f t="shared" si="82"/>
        <v>0</v>
      </c>
      <c r="GY28" s="110">
        <f t="shared" si="83"/>
        <v>0</v>
      </c>
      <c r="GZ28" s="109">
        <f t="shared" si="84"/>
        <v>0</v>
      </c>
      <c r="HA28" s="109">
        <f t="shared" si="24"/>
        <v>0</v>
      </c>
      <c r="HB28" s="113">
        <f t="shared" si="85"/>
        <v>0</v>
      </c>
      <c r="HD28" s="102">
        <f t="shared" si="86"/>
        <v>0</v>
      </c>
      <c r="HE28" s="211">
        <f t="shared" ref="HE28:HE91" si="129">IF(HI27&lt;=0,"",HE27+1)</f>
        <v>4</v>
      </c>
      <c r="HF28" s="212">
        <f t="shared" si="87"/>
        <v>0</v>
      </c>
      <c r="HG28" s="212">
        <f t="shared" si="25"/>
        <v>0</v>
      </c>
      <c r="HH28" s="212">
        <f t="shared" si="119"/>
        <v>0</v>
      </c>
      <c r="HI28" s="213">
        <f t="shared" si="26"/>
        <v>1000000</v>
      </c>
      <c r="HL28" s="182"/>
      <c r="HM28" s="26">
        <f t="shared" ca="1" si="27"/>
        <v>7</v>
      </c>
      <c r="HO28" s="268">
        <f t="shared" si="28"/>
        <v>0</v>
      </c>
      <c r="HP28" s="421">
        <f t="shared" si="120"/>
        <v>0</v>
      </c>
      <c r="HQ28" s="123">
        <f t="shared" si="88"/>
        <v>0</v>
      </c>
      <c r="HR28" s="123">
        <f t="shared" si="89"/>
        <v>0</v>
      </c>
      <c r="HS28" s="123">
        <f t="shared" si="90"/>
        <v>0</v>
      </c>
      <c r="HT28" s="123">
        <f>IF(HY27&lt;0.01,0,IF(Adm!$GS$4=Adm!$GS$8,HY27*$HY$15,IF(Adm!$GS$12=Adm!$GS$13,0,HY27*Adm!$GV$4)))</f>
        <v>0</v>
      </c>
      <c r="HU28" s="123">
        <f>IF(HY27&lt;0.01,0,IF(Adm!$GS$5=Adm!$GS$8,Cal!$BO$108*$HY$16/1.16,IF(Adm!$GS$12=Adm!$GS$13,0,Cal!$BO$108*Adm!$GW$4/1.16)))</f>
        <v>0</v>
      </c>
      <c r="HV28" s="123">
        <f t="shared" si="91"/>
        <v>0</v>
      </c>
      <c r="HW28" s="123">
        <f t="shared" si="92"/>
        <v>0</v>
      </c>
      <c r="HX28" s="123">
        <f>IF(Adm!$GH$6="si",MIN(HY27+HQ28+HT28+HU28+HV28-HW28,IH28),0)</f>
        <v>0</v>
      </c>
      <c r="HY28" s="297">
        <f t="shared" si="93"/>
        <v>0</v>
      </c>
      <c r="HZ28" s="74"/>
      <c r="IA28" s="407">
        <f t="shared" si="94"/>
        <v>0</v>
      </c>
      <c r="IC28" s="90">
        <f t="shared" si="95"/>
        <v>4</v>
      </c>
      <c r="ID28" s="124">
        <f>IF(IC28=1,Cal!$BO$127,0)</f>
        <v>0</v>
      </c>
      <c r="IE28" s="73"/>
      <c r="IG28" s="70">
        <f t="shared" si="121"/>
        <v>0</v>
      </c>
      <c r="IH28" s="2178">
        <f t="shared" ca="1" si="96"/>
        <v>0</v>
      </c>
      <c r="IK28" s="217"/>
      <c r="IL28" s="26">
        <f t="shared" ca="1" si="29"/>
        <v>7</v>
      </c>
      <c r="IN28" s="268">
        <f t="shared" si="30"/>
        <v>0</v>
      </c>
      <c r="IO28" s="421">
        <f t="shared" si="122"/>
        <v>0</v>
      </c>
      <c r="IP28" s="123">
        <f t="shared" si="97"/>
        <v>0</v>
      </c>
      <c r="IQ28" s="123">
        <f t="shared" si="98"/>
        <v>0</v>
      </c>
      <c r="IR28" s="123">
        <f t="shared" si="99"/>
        <v>0</v>
      </c>
      <c r="IS28" s="123">
        <f>IF(IX27&lt;0.01,0,IF(Adm!$GS$4=Adm!$GS$8,IX27*$IX$15,IF(Adm!$GS$12=Adm!$GS$13,0,IX27*Adm!$GV$4)))</f>
        <v>0</v>
      </c>
      <c r="IT28" s="123"/>
      <c r="IU28" s="123">
        <f t="shared" si="100"/>
        <v>0</v>
      </c>
      <c r="IV28" s="123">
        <f t="shared" si="101"/>
        <v>0</v>
      </c>
      <c r="IW28" s="123"/>
      <c r="IX28" s="297">
        <f t="shared" si="102"/>
        <v>0</v>
      </c>
      <c r="IY28" s="74"/>
      <c r="IZ28" s="416">
        <f t="shared" si="103"/>
        <v>0</v>
      </c>
      <c r="JB28" s="90">
        <f t="shared" si="104"/>
        <v>4</v>
      </c>
      <c r="JC28" s="124">
        <f>IF(JB28=1,Cal!$BP$127,0)</f>
        <v>0</v>
      </c>
      <c r="JD28" s="73"/>
    </row>
    <row r="29" spans="1:264">
      <c r="A29" s="26">
        <f t="shared" ca="1" si="0"/>
        <v>8</v>
      </c>
      <c r="C29" s="33">
        <f t="shared" si="1"/>
        <v>0</v>
      </c>
      <c r="D29" s="123">
        <f t="shared" si="31"/>
        <v>0</v>
      </c>
      <c r="E29" s="123">
        <f>IF(L28&lt;0.01,0,IF(Adm!$B$4=Adm!$A$118,0,F29-D29))</f>
        <v>0</v>
      </c>
      <c r="F29" s="123">
        <f>IF(L27&lt;0.1,0,MIN(L27+D29,IF(Adm!$B$4=Adm!$A$118,D29,F28*(1+S29))))</f>
        <v>0</v>
      </c>
      <c r="G29" s="123">
        <f>IF(L28&lt;0.01,0,IF(Adm!$S$4=Adm!$S$8,L28*$L$15,L28*Adm!$V$4))</f>
        <v>0</v>
      </c>
      <c r="H29" s="952">
        <f>IF(L28&lt;0.01,0,IF(Adm!$S$5=Adm!$S$8,Adm!$AA$11*$L$16/1.16,IF(Adm!$B$4=Adm!$A$119,0,IF(Adm!$B$4=Adm!$A$118,Adm!$AA$11*Adm!$W$4/1.16,Adm!$AA$11*Adm!$X$4/1.16))))</f>
        <v>0</v>
      </c>
      <c r="I29" s="123">
        <f>IF(L28&lt;0.01,0,Cal!$AB$126/1.16)</f>
        <v>0</v>
      </c>
      <c r="J29" s="123">
        <f t="shared" si="2"/>
        <v>0</v>
      </c>
      <c r="K29" s="123">
        <f>IF(Adm!$G$4="si",MIN(L28+D29+G29+H29+I29-J29,V29),0)</f>
        <v>0</v>
      </c>
      <c r="L29" s="123">
        <f>IF(L28&lt;0.01,0,L28-E29-K29)</f>
        <v>0</v>
      </c>
      <c r="M29" s="74"/>
      <c r="N29" s="74"/>
      <c r="O29" s="407">
        <f t="shared" si="33"/>
        <v>0</v>
      </c>
      <c r="R29" s="90">
        <f t="shared" si="34"/>
        <v>5</v>
      </c>
      <c r="S29" s="121">
        <f>IF(R29=1,Cal!$AB$127,0)</f>
        <v>0</v>
      </c>
      <c r="U29" s="70">
        <f t="shared" si="105"/>
        <v>0</v>
      </c>
      <c r="V29" s="2178">
        <f t="shared" ca="1" si="35"/>
        <v>0</v>
      </c>
      <c r="X29" s="398"/>
      <c r="Z29" s="268">
        <f t="shared" si="3"/>
        <v>0</v>
      </c>
      <c r="AA29" s="2176">
        <f t="shared" si="36"/>
        <v>0</v>
      </c>
      <c r="AB29" s="33">
        <f t="shared" si="37"/>
        <v>0</v>
      </c>
      <c r="AC29" s="33">
        <f t="shared" si="38"/>
        <v>0</v>
      </c>
      <c r="AD29" s="33">
        <f>IF(AI28&lt;0.01,0,IF(Adm!$S$4=Adm!$S$8,AI28*$AI$15,AI28*Adm!$V$4))</f>
        <v>0</v>
      </c>
      <c r="AE29" s="33"/>
      <c r="AF29" s="33"/>
      <c r="AG29" s="33">
        <f t="shared" si="4"/>
        <v>0</v>
      </c>
      <c r="AH29" s="33"/>
      <c r="AI29" s="401">
        <f t="shared" si="5"/>
        <v>0</v>
      </c>
      <c r="AK29" s="410">
        <f t="shared" si="6"/>
        <v>0</v>
      </c>
      <c r="AN29" s="90">
        <f t="shared" si="39"/>
        <v>5</v>
      </c>
      <c r="AO29" s="121">
        <f>IF(AN29=1,Cal!$AC$127,0)</f>
        <v>0</v>
      </c>
      <c r="AS29" s="200"/>
      <c r="AU29" s="268">
        <f t="shared" si="7"/>
        <v>0</v>
      </c>
      <c r="AV29" s="2177">
        <f t="shared" si="40"/>
        <v>0</v>
      </c>
      <c r="AW29" s="123">
        <f t="shared" si="8"/>
        <v>0</v>
      </c>
      <c r="AX29" s="123">
        <f t="shared" si="41"/>
        <v>0</v>
      </c>
      <c r="AY29" s="123">
        <f>IF(BC28&lt;0.01,0,IF(Adm!$S$4=Adm!$S$8,BC28*$BC$16,BC28*Adm!$V$4))</f>
        <v>0</v>
      </c>
      <c r="AZ29" s="123"/>
      <c r="BA29" s="123">
        <f>IF(BC28&lt;0.01,0,Adm!$Q$6)</f>
        <v>0</v>
      </c>
      <c r="BB29" s="123">
        <f t="shared" si="42"/>
        <v>0</v>
      </c>
      <c r="BC29" s="297">
        <f t="shared" si="43"/>
        <v>0</v>
      </c>
      <c r="BE29" s="425">
        <f t="shared" si="9"/>
        <v>0</v>
      </c>
      <c r="BH29" s="90">
        <f t="shared" si="44"/>
        <v>5</v>
      </c>
      <c r="BI29" s="121">
        <f>IF(BH29=1,Cal!$AD$127,0)</f>
        <v>0</v>
      </c>
      <c r="BM29" s="221"/>
      <c r="BO29" s="295">
        <f t="shared" ca="1" si="10"/>
        <v>8</v>
      </c>
      <c r="BP29" s="268">
        <f t="shared" si="11"/>
        <v>0</v>
      </c>
      <c r="BQ29" s="123">
        <f t="shared" si="45"/>
        <v>0</v>
      </c>
      <c r="BR29" s="123">
        <f>IF(BZ28&lt;0.01,0,IF(OR(Plus!$F$10=Plus!$AK$10,Plus!$F$10=Plus!$AK$11),0,BS29-BQ29))</f>
        <v>0</v>
      </c>
      <c r="BS29" s="123">
        <f>IF(BZ27&lt;0.1,0,MIN(BZ27+BQ29,IF(OR(Plus!$F$10=Plus!$AK$10,Plus!$F$10=Plus!$AK$11),BQ29,BS28*(1+CG29))))</f>
        <v>0</v>
      </c>
      <c r="BT29" s="123">
        <f>IF(BZ28&lt;0.01,0,IF(Plus!$F$22=Plus!$AN$4,BZ28*$BZ$15,IF(Plus!$F$22=Plus!$AN$3,BZ28*Plus!$F$23/1000,BZ28*VLOOKUP(Plus!$G$21,Plus!$AP$2:'Plus'!$AQ$5,2,0))))</f>
        <v>0</v>
      </c>
      <c r="BU29" s="123">
        <f>IF(BZ28&lt;0.01,0,IF(Plus!$F$24=Plus!$AO$3,Plus!$G$13*$BZ$16/1.16,IF(Plus!$F$10=Plus!$AK$7,0,IF(OR(Plus!$F$10=Plus!$AK$10,Plus!$F$10=Plus!$AK$11),Plus!$G$13*Plus!$AR$4/1.16,Plus!$G$13*Plus!$AR$2/1.16))))</f>
        <v>0</v>
      </c>
      <c r="BV29" s="123">
        <f>IF(BZ28&lt;0.01,0,Plus!$BD$2)</f>
        <v>0</v>
      </c>
      <c r="BW29" s="123"/>
      <c r="BX29" s="123">
        <f t="shared" si="12"/>
        <v>0</v>
      </c>
      <c r="BY29" s="123">
        <f>IF(Plus!$F$10=Plus!$AK$3,MIN(BZ28+BQ29+BT29+BU29+BV29-BX29,CJ29),0)</f>
        <v>0</v>
      </c>
      <c r="BZ29" s="297">
        <f>IF(BZ28&lt;0.01,0,BZ28-BR29-BY29)</f>
        <v>0</v>
      </c>
      <c r="CA29" s="74"/>
      <c r="CB29" s="74"/>
      <c r="CC29" s="413">
        <f t="shared" si="47"/>
        <v>0</v>
      </c>
      <c r="CF29" s="90">
        <f t="shared" si="48"/>
        <v>5</v>
      </c>
      <c r="CG29" s="121">
        <f t="shared" si="106"/>
        <v>0</v>
      </c>
      <c r="CI29" s="70">
        <f t="shared" si="107"/>
        <v>0</v>
      </c>
      <c r="CJ29" s="2178">
        <f t="shared" ca="1" si="49"/>
        <v>0</v>
      </c>
      <c r="CL29" s="161"/>
      <c r="CN29" s="308">
        <f t="shared" ca="1" si="13"/>
        <v>8</v>
      </c>
      <c r="CO29" s="309">
        <f t="shared" si="50"/>
        <v>0</v>
      </c>
      <c r="CP29" s="268">
        <f t="shared" si="14"/>
        <v>0</v>
      </c>
      <c r="CQ29" s="123">
        <f t="shared" si="51"/>
        <v>0</v>
      </c>
      <c r="CR29" s="123">
        <f>IF(CZ28&lt;0.01,0,MIN(CZ28,IF(OR(Plus!$F$10=Plus!$AK$10,Plus!$F$10=Plus!$AK$11),0,CS29-CQ29)))</f>
        <v>0</v>
      </c>
      <c r="CS29" s="123">
        <f>IF(CZ27&lt;0.1,0,MIN(CZ28+CQ29,IF(DN29&gt;0,DN29,IF(OR(Plus!$F$10=Plus!$AK$10,Plus!$F$10=Plus!$AK$11),CQ29,CS28*(1+DH29)))))</f>
        <v>0</v>
      </c>
      <c r="CT29" s="33">
        <f>IF(CZ28&lt;0.01,0,IF(Plus!$F$22=Plus!$AN$4,0,IF(Plus!$F$22=Plus!$AN$3,CZ28*Plus!$F$23/1000,CZ28*VLOOKUP(Plus!$G$21,Plus!$AP$2:'Plus'!$AQ$5,2,0))))</f>
        <v>0</v>
      </c>
      <c r="CU29" s="123">
        <f>IF(CZ28&lt;0.01,0,IF(Plus!$F$24=Plus!$AO$3,0,IF(OR(Plus!$F$10=Plus!$AK$7,Plus!$F$10=Plus!$AK$13),0,IF(OR(Plus!$F$10=Plus!$AK$10,Plus!$F$10=Plus!$AK$11),Plus!$G$13*Plus!$AR$4,Plus!$G$13*Plus!$AR$2))))</f>
        <v>0</v>
      </c>
      <c r="CV29" s="123">
        <f>IF(CZ28&lt;0.01,0,IF(OR(Plus!$F$10=Plus!$AK$7,Plus!$F$10=Plus!$AK$13),0,Plus!$BD$2*1.16))</f>
        <v>0</v>
      </c>
      <c r="CW29" s="123">
        <f>IF(CZ28&lt;0.01,0,IF(Plus!$AS$2&gt;0,CQ29*Plus!$AS$3,0))</f>
        <v>0</v>
      </c>
      <c r="CX29" s="123">
        <f t="shared" si="52"/>
        <v>0</v>
      </c>
      <c r="CY29" s="123">
        <f>IF(Plus!$F$10=Plus!$AK$3,MIN(CZ28+CQ29+CT29+CU29+CV29-CX29,DK29),0)</f>
        <v>0</v>
      </c>
      <c r="CZ29" s="297">
        <f t="shared" si="53"/>
        <v>0</v>
      </c>
      <c r="DA29" s="306">
        <f>Plus!O70</f>
        <v>0</v>
      </c>
      <c r="DB29" s="74"/>
      <c r="DC29" s="74"/>
      <c r="DD29" s="407">
        <f>CS29+CT29+(CU29/1.16)+(CV29/1.16)+CY29-DB29</f>
        <v>0</v>
      </c>
      <c r="DG29" s="90">
        <f t="shared" si="55"/>
        <v>5</v>
      </c>
      <c r="DH29" s="121">
        <f t="shared" si="108"/>
        <v>0</v>
      </c>
      <c r="DJ29" s="149">
        <f t="shared" si="109"/>
        <v>0</v>
      </c>
      <c r="DK29" s="2179">
        <f t="shared" ca="1" si="56"/>
        <v>0</v>
      </c>
      <c r="DN29" s="120">
        <f t="shared" si="110"/>
        <v>0</v>
      </c>
      <c r="DO29" s="110">
        <f t="shared" si="57"/>
        <v>0</v>
      </c>
      <c r="DP29" s="110">
        <f t="shared" si="124"/>
        <v>0</v>
      </c>
      <c r="DQ29" s="109">
        <f t="shared" si="58"/>
        <v>0</v>
      </c>
      <c r="DR29" s="109">
        <f t="shared" si="59"/>
        <v>0</v>
      </c>
      <c r="DS29" s="113">
        <f t="shared" si="60"/>
        <v>0</v>
      </c>
      <c r="DU29" s="102">
        <f t="shared" si="61"/>
        <v>0</v>
      </c>
      <c r="DV29" s="211">
        <f t="shared" si="125"/>
        <v>5</v>
      </c>
      <c r="DW29" s="212">
        <f t="shared" si="62"/>
        <v>0</v>
      </c>
      <c r="DX29" s="212">
        <f t="shared" si="15"/>
        <v>0</v>
      </c>
      <c r="DY29" s="212">
        <f t="shared" si="111"/>
        <v>0</v>
      </c>
      <c r="DZ29" s="213">
        <f t="shared" si="16"/>
        <v>1000000</v>
      </c>
      <c r="ED29" s="182"/>
      <c r="EF29" s="308">
        <f t="shared" ca="1" si="17"/>
        <v>8</v>
      </c>
      <c r="EG29" s="309">
        <f t="shared" si="63"/>
        <v>0</v>
      </c>
      <c r="EH29" s="268">
        <f t="shared" si="18"/>
        <v>0</v>
      </c>
      <c r="EI29" s="33">
        <f t="shared" si="64"/>
        <v>0</v>
      </c>
      <c r="EJ29" s="33">
        <f>IF(CZ28&lt;0.01,0,IF(OR(Plus!$F$10=Plus!$AK$10,Plus!$F$10=Plus!$AK$11),0,EK29-EI29))</f>
        <v>0</v>
      </c>
      <c r="EK29" s="33">
        <f>IF(ER27&lt;0.1,0,MIN(ER28+EI29,IF(FE29&gt;0,FE29,IF(OR(Plus!$F$10=Plus!$AK$10,Plus!$F$10=Plus!$AK$11),EI29,EK28*(1+EZ29)))))</f>
        <v>0</v>
      </c>
      <c r="EL29" s="33">
        <f>IF(ER28&lt;0.01,0,IF(Plus!$F$22=Plus!$AN$4,0,IF(Plus!$F$22=Plus!$AN$3,ER28*Plus!$F$23/1000,ER28*VLOOKUP(Plus!$G$21,Plus!$AP$2:'Plus'!$AQ$5,2,0))))</f>
        <v>0</v>
      </c>
      <c r="EM29" s="33">
        <f>IF(ER28&lt;0.01,0,IF(Plus!$F$24=Plus!$AO$3,0,IF(OR(Plus!$F$10=Plus!$AK$7,Plus!$F$10=Plus!$AK$13),0,IF(OR(Plus!$F$10=Plus!$AK$10,Plus!$F$10=Plus!$AK$11),Plus!$G$13*Plus!$AR$4,Plus!$G$13*Plus!$AR$2))))</f>
        <v>0</v>
      </c>
      <c r="EN29" s="33">
        <f>IF(ER28&lt;0.01,0,IF(OR(Plus!$F$10=Plus!$AK$7,Plus!$F$10=Plus!$AK$13),0,Plus!$BD$2*1.16))</f>
        <v>0</v>
      </c>
      <c r="EO29" s="33">
        <f>IF(ER28&lt;0.01,0,IF(Plus!$AS$2&gt;0,EI29*Plus!$AS$3,0))</f>
        <v>0</v>
      </c>
      <c r="EP29" s="33">
        <f t="shared" si="65"/>
        <v>0</v>
      </c>
      <c r="EQ29" s="33">
        <f>IF(Plus!$F$10=Plus!$AK$3,MIN(ER28+EI29+EL29+EM29+EN29-EP29,FC29),0)</f>
        <v>0</v>
      </c>
      <c r="ER29" s="297">
        <f t="shared" si="66"/>
        <v>0</v>
      </c>
      <c r="ES29" s="340">
        <f>Plus!O70</f>
        <v>0</v>
      </c>
      <c r="ET29" s="74"/>
      <c r="EU29" s="74"/>
      <c r="EV29" s="416">
        <f>EK29+EL29+(EM29/1.16)+(EN29/1.16)+EQ29-ET29</f>
        <v>0</v>
      </c>
      <c r="EY29" s="90">
        <f t="shared" si="68"/>
        <v>5</v>
      </c>
      <c r="EZ29" s="121">
        <f t="shared" si="112"/>
        <v>0</v>
      </c>
      <c r="FB29" s="149">
        <f t="shared" si="113"/>
        <v>0</v>
      </c>
      <c r="FC29" s="2179">
        <f t="shared" ca="1" si="69"/>
        <v>0</v>
      </c>
      <c r="FE29" s="120">
        <f t="shared" si="114"/>
        <v>0</v>
      </c>
      <c r="FF29" s="110">
        <f t="shared" si="70"/>
        <v>0</v>
      </c>
      <c r="FG29" s="110">
        <f t="shared" si="71"/>
        <v>0</v>
      </c>
      <c r="FH29" s="109">
        <f t="shared" si="72"/>
        <v>0</v>
      </c>
      <c r="FI29" s="109">
        <f t="shared" si="19"/>
        <v>0</v>
      </c>
      <c r="FJ29" s="113">
        <f t="shared" si="73"/>
        <v>0</v>
      </c>
      <c r="FL29" s="102">
        <f t="shared" si="74"/>
        <v>0</v>
      </c>
      <c r="FM29" s="211">
        <f t="shared" si="127"/>
        <v>5</v>
      </c>
      <c r="FN29" s="212">
        <f t="shared" si="75"/>
        <v>0</v>
      </c>
      <c r="FO29" s="212">
        <f t="shared" si="20"/>
        <v>0</v>
      </c>
      <c r="FP29" s="212">
        <f t="shared" si="115"/>
        <v>0</v>
      </c>
      <c r="FQ29" s="213">
        <f t="shared" si="21"/>
        <v>1000000</v>
      </c>
      <c r="FV29" s="359"/>
      <c r="FX29" s="308">
        <f t="shared" ca="1" si="22"/>
        <v>8</v>
      </c>
      <c r="FY29" s="309">
        <f t="shared" si="76"/>
        <v>0</v>
      </c>
      <c r="FZ29" s="268">
        <f t="shared" si="23"/>
        <v>0</v>
      </c>
      <c r="GA29" s="33">
        <f t="shared" si="77"/>
        <v>0</v>
      </c>
      <c r="GB29" s="33">
        <f>IF(GJ28&lt;0.01,0,IF(OR(Plus!$F$10=Plus!$AK$10,Plus!$F$10=Plus!$AK$11),0,GC29-GA29))</f>
        <v>0</v>
      </c>
      <c r="GC29" s="33">
        <f>IF(GJ27&lt;0.1,0,MIN(GJ28+GA29,IF(GW29&gt;0,GW29,IF(OR(Plus!$F$10=Plus!$AK$10,Plus!$F$10=Plus!$AK$11),GA29,GC28*(1+GR29)))))</f>
        <v>0</v>
      </c>
      <c r="GD29" s="33">
        <f>IF(GJ28&lt;0.01,0,IF(Plus!$F$22=Plus!$AN$4,0,IF(Plus!$F$22=Plus!$AN$3,GJ28*Plus!$F$23/1000,GJ28*VLOOKUP(Plus!$G$21,Plus!$AP$2:$AQ$5,2,0))))</f>
        <v>0</v>
      </c>
      <c r="GE29" s="33">
        <f>IF(GJ28&lt;0.01,0,IF(Plus!$F$24=Plus!$AO$3,0,IF(OR(Plus!$F$10=Plus!$AK$7,Plus!$F$10=Plus!$AK$13,Plus!$F$10=Plus!$AK$14),0,IF(OR(Plus!$F$10=Plus!$AK$10,Plus!$F$10=Plus!$AK$11),Plus!$G$13*Adm!$W$7,Plus!$G$13*Adm!$X$4))))</f>
        <v>0</v>
      </c>
      <c r="GF29" s="33">
        <f>IF(GJ28&lt;0.01,0,IF(OR(Plus!$F$10=Plus!$AK$7,Plus!$F$10=Plus!$AK$13),0,Plus!$BD$2*1.16))</f>
        <v>0</v>
      </c>
      <c r="GG29" s="33">
        <f>IF(GJ28&lt;0.01,0,IF(Plus!$AS$2&gt;0,GA29*Plus!$AS$3,0))</f>
        <v>0</v>
      </c>
      <c r="GH29" s="33">
        <f t="shared" si="78"/>
        <v>0</v>
      </c>
      <c r="GI29" s="33">
        <f>IF(Plus!$F$10=Plus!$AK$3,MIN(GJ28+GA29+GD29+GE29+GF29-GH29,GU29),0)</f>
        <v>0</v>
      </c>
      <c r="GJ29" s="312">
        <f>IF(GJ28&lt;0.01,0,GJ28-GB29-GI29+GL29-GK29)</f>
        <v>0</v>
      </c>
      <c r="GK29" s="340">
        <f>Plus!O70</f>
        <v>0</v>
      </c>
      <c r="GL29" s="74"/>
      <c r="GM29" s="74"/>
      <c r="GN29" s="419">
        <f>GC29+GD29+(GE29/1.16)+(GF29/1.16)+GI29-GL29</f>
        <v>0</v>
      </c>
      <c r="GQ29" s="90">
        <f t="shared" si="80"/>
        <v>5</v>
      </c>
      <c r="GR29" s="121">
        <f t="shared" si="116"/>
        <v>0</v>
      </c>
      <c r="GT29" s="149">
        <f t="shared" si="117"/>
        <v>0</v>
      </c>
      <c r="GU29" s="2179">
        <f t="shared" ca="1" si="81"/>
        <v>0</v>
      </c>
      <c r="GW29" s="120">
        <f t="shared" si="118"/>
        <v>0</v>
      </c>
      <c r="GX29" s="110">
        <f t="shared" si="82"/>
        <v>0</v>
      </c>
      <c r="GY29" s="110">
        <f t="shared" si="83"/>
        <v>0</v>
      </c>
      <c r="GZ29" s="109">
        <f t="shared" si="84"/>
        <v>0</v>
      </c>
      <c r="HA29" s="109">
        <f t="shared" si="24"/>
        <v>0</v>
      </c>
      <c r="HB29" s="113">
        <f t="shared" si="85"/>
        <v>0</v>
      </c>
      <c r="HD29" s="102">
        <f t="shared" si="86"/>
        <v>0</v>
      </c>
      <c r="HE29" s="211">
        <f t="shared" si="129"/>
        <v>5</v>
      </c>
      <c r="HF29" s="212">
        <f t="shared" si="87"/>
        <v>0</v>
      </c>
      <c r="HG29" s="212">
        <f t="shared" si="25"/>
        <v>0</v>
      </c>
      <c r="HH29" s="212">
        <f t="shared" si="119"/>
        <v>0</v>
      </c>
      <c r="HI29" s="213">
        <f t="shared" si="26"/>
        <v>1000000</v>
      </c>
      <c r="HL29" s="182"/>
      <c r="HM29" s="26">
        <f t="shared" ca="1" si="27"/>
        <v>8</v>
      </c>
      <c r="HO29" s="268">
        <f t="shared" si="28"/>
        <v>0</v>
      </c>
      <c r="HP29" s="421">
        <f t="shared" si="120"/>
        <v>0</v>
      </c>
      <c r="HQ29" s="123">
        <f t="shared" si="88"/>
        <v>0</v>
      </c>
      <c r="HR29" s="123">
        <f t="shared" si="89"/>
        <v>0</v>
      </c>
      <c r="HS29" s="123">
        <f t="shared" si="90"/>
        <v>0</v>
      </c>
      <c r="HT29" s="123">
        <f>IF(HY28&lt;0.01,0,IF(Adm!$GS$4=Adm!$GS$8,HY28*$HY$15,IF(Adm!$GS$12=Adm!$GS$13,0,HY28*Adm!$GV$4)))</f>
        <v>0</v>
      </c>
      <c r="HU29" s="123">
        <f>IF(HY28&lt;0.01,0,IF(Adm!$GS$5=Adm!$GS$8,Cal!$BO$108*$HY$16/1.16,IF(Adm!$GS$12=Adm!$GS$13,0,Cal!$BO$108*Adm!$GW$4/1.16)))</f>
        <v>0</v>
      </c>
      <c r="HV29" s="123">
        <f t="shared" si="91"/>
        <v>0</v>
      </c>
      <c r="HW29" s="123">
        <f t="shared" si="92"/>
        <v>0</v>
      </c>
      <c r="HX29" s="123">
        <f>IF(Adm!$GH$6="si",MIN(HY28+HQ29+HT29+HU29+HV29-HW29,IH29),0)</f>
        <v>0</v>
      </c>
      <c r="HY29" s="297">
        <f t="shared" si="93"/>
        <v>0</v>
      </c>
      <c r="HZ29" s="74"/>
      <c r="IA29" s="407">
        <f t="shared" si="94"/>
        <v>0</v>
      </c>
      <c r="IC29" s="90">
        <f t="shared" si="95"/>
        <v>5</v>
      </c>
      <c r="ID29" s="124">
        <f>IF(IC29=1,Cal!$BO$127,0)</f>
        <v>0</v>
      </c>
      <c r="IE29" s="73"/>
      <c r="IG29" s="70">
        <f t="shared" si="121"/>
        <v>0</v>
      </c>
      <c r="IH29" s="2178">
        <f t="shared" ca="1" si="96"/>
        <v>0</v>
      </c>
      <c r="IK29" s="217"/>
      <c r="IL29" s="26">
        <f t="shared" ca="1" si="29"/>
        <v>8</v>
      </c>
      <c r="IN29" s="268">
        <f t="shared" si="30"/>
        <v>0</v>
      </c>
      <c r="IO29" s="421">
        <f t="shared" si="122"/>
        <v>0</v>
      </c>
      <c r="IP29" s="123">
        <f t="shared" si="97"/>
        <v>0</v>
      </c>
      <c r="IQ29" s="123">
        <f t="shared" si="98"/>
        <v>0</v>
      </c>
      <c r="IR29" s="123">
        <f t="shared" si="99"/>
        <v>0</v>
      </c>
      <c r="IS29" s="123">
        <f>IF(IX28&lt;0.01,0,IF(Adm!$GS$4=Adm!$GS$8,IX28*$IX$15,IF(Adm!$GS$12=Adm!$GS$13,0,IX28*Adm!$GV$4)))</f>
        <v>0</v>
      </c>
      <c r="IT29" s="123"/>
      <c r="IU29" s="123">
        <f t="shared" si="100"/>
        <v>0</v>
      </c>
      <c r="IV29" s="123">
        <f t="shared" si="101"/>
        <v>0</v>
      </c>
      <c r="IW29" s="123"/>
      <c r="IX29" s="297">
        <f t="shared" si="102"/>
        <v>0</v>
      </c>
      <c r="IY29" s="74"/>
      <c r="IZ29" s="416">
        <f t="shared" si="103"/>
        <v>0</v>
      </c>
      <c r="JB29" s="90">
        <f t="shared" si="104"/>
        <v>5</v>
      </c>
      <c r="JC29" s="124">
        <f>IF(JB29=1,Cal!$BP$127,0)</f>
        <v>0</v>
      </c>
      <c r="JD29" s="73"/>
    </row>
    <row r="30" spans="1:264">
      <c r="A30" s="26">
        <f t="shared" ca="1" si="0"/>
        <v>9</v>
      </c>
      <c r="C30" s="452">
        <f t="shared" si="1"/>
        <v>0</v>
      </c>
      <c r="D30" s="123">
        <f t="shared" si="31"/>
        <v>0</v>
      </c>
      <c r="E30" s="123">
        <f>IF(L29&lt;0.01,0,IF(Adm!$B$4=Adm!$A$118,0,F30-D30))</f>
        <v>0</v>
      </c>
      <c r="F30" s="123">
        <f>IF(L28&lt;0.1,0,MIN(L28+D30,IF(Adm!$B$4=Adm!$A$118,D30,F29*(1+S30))))</f>
        <v>0</v>
      </c>
      <c r="G30" s="123">
        <f>IF(L29&lt;0.01,0,IF(Adm!$S$4=Adm!$S$8,L29*$L$15,L29*Adm!$V$4))</f>
        <v>0</v>
      </c>
      <c r="H30" s="952">
        <f>IF(L29&lt;0.01,0,IF(Adm!$S$5=Adm!$S$8,Adm!$AA$11*$L$16/1.16,IF(Adm!$B$4=Adm!$A$119,0,IF(Adm!$B$4=Adm!$A$118,Adm!$AA$11*Adm!$W$4/1.16,Adm!$AA$11*Adm!$X$4/1.16))))</f>
        <v>0</v>
      </c>
      <c r="I30" s="123">
        <f>IF(L29&lt;0.01,0,Cal!$AB$126/1.16)</f>
        <v>0</v>
      </c>
      <c r="J30" s="123">
        <f t="shared" si="2"/>
        <v>0</v>
      </c>
      <c r="K30" s="123">
        <f>IF(Adm!$G$4="si",MIN(L29+D30+G30+H30+I30-J30,V30),0)</f>
        <v>0</v>
      </c>
      <c r="L30" s="123">
        <f>IF(L29&lt;0.01,0,L29-E30-K30)+M30</f>
        <v>0</v>
      </c>
      <c r="M30" s="453">
        <f>IF(AND(Adm!$B$4=Adm!$A$118,Adm!$E$13=12),Cal!$C$121,0)</f>
        <v>0</v>
      </c>
      <c r="N30" s="74"/>
      <c r="O30" s="407">
        <f>J30+K30-M30</f>
        <v>0</v>
      </c>
      <c r="R30" s="90">
        <f t="shared" si="34"/>
        <v>6</v>
      </c>
      <c r="S30" s="121">
        <f>IF(R30=1,Cal!$AB$127,0)</f>
        <v>0</v>
      </c>
      <c r="U30" s="70">
        <f t="shared" si="105"/>
        <v>0</v>
      </c>
      <c r="V30" s="2178">
        <f t="shared" ca="1" si="35"/>
        <v>0</v>
      </c>
      <c r="X30" s="398"/>
      <c r="Z30" s="268">
        <f t="shared" si="3"/>
        <v>0</v>
      </c>
      <c r="AA30" s="2176">
        <f t="shared" si="36"/>
        <v>0</v>
      </c>
      <c r="AB30" s="33">
        <f t="shared" si="37"/>
        <v>0</v>
      </c>
      <c r="AC30" s="33">
        <f t="shared" si="38"/>
        <v>0</v>
      </c>
      <c r="AD30" s="33">
        <f>IF(AI29&lt;0.01,0,IF(Adm!$S$4=Adm!$S$8,AI29*$AI$15,AI29*Adm!$V$4))</f>
        <v>0</v>
      </c>
      <c r="AE30" s="33"/>
      <c r="AF30" s="33"/>
      <c r="AG30" s="33">
        <f t="shared" si="4"/>
        <v>0</v>
      </c>
      <c r="AH30" s="33"/>
      <c r="AI30" s="401">
        <f t="shared" si="5"/>
        <v>0</v>
      </c>
      <c r="AK30" s="410">
        <f t="shared" si="6"/>
        <v>0</v>
      </c>
      <c r="AN30" s="90">
        <f t="shared" si="39"/>
        <v>6</v>
      </c>
      <c r="AO30" s="121">
        <f>IF(AN30=1,Cal!$AC$127,0)</f>
        <v>0</v>
      </c>
      <c r="AS30" s="200"/>
      <c r="AU30" s="268">
        <f t="shared" si="7"/>
        <v>0</v>
      </c>
      <c r="AV30" s="2177">
        <f t="shared" si="40"/>
        <v>0</v>
      </c>
      <c r="AW30" s="123">
        <f t="shared" si="8"/>
        <v>0</v>
      </c>
      <c r="AX30" s="123">
        <f t="shared" si="41"/>
        <v>0</v>
      </c>
      <c r="AY30" s="123">
        <f>IF(BC29&lt;0.01,0,IF(Adm!$S$4=Adm!$S$8,BC29*$BC$16,BC29*Adm!$V$4))</f>
        <v>0</v>
      </c>
      <c r="AZ30" s="123"/>
      <c r="BA30" s="123">
        <f>IF(BC29&lt;0.01,0,Adm!$Q$6)</f>
        <v>0</v>
      </c>
      <c r="BB30" s="123">
        <f t="shared" si="42"/>
        <v>0</v>
      </c>
      <c r="BC30" s="297">
        <f t="shared" si="43"/>
        <v>0</v>
      </c>
      <c r="BE30" s="425">
        <f t="shared" si="9"/>
        <v>0</v>
      </c>
      <c r="BH30" s="90">
        <f t="shared" si="44"/>
        <v>6</v>
      </c>
      <c r="BI30" s="121">
        <f>IF(BH30=1,Cal!$AD$127,0)</f>
        <v>0</v>
      </c>
      <c r="BM30" s="221"/>
      <c r="BO30" s="295">
        <f t="shared" ca="1" si="10"/>
        <v>9</v>
      </c>
      <c r="BP30" s="268">
        <f t="shared" si="11"/>
        <v>0</v>
      </c>
      <c r="BQ30" s="123">
        <f t="shared" si="45"/>
        <v>0</v>
      </c>
      <c r="BR30" s="123">
        <f>IF(BZ29&lt;0.01,0,IF(OR(Plus!$F$10=Plus!$AK$10,Plus!$F$10=Plus!$AK$11),0,BS30-BQ30))</f>
        <v>0</v>
      </c>
      <c r="BS30" s="123">
        <f>IF(BZ28&lt;0.1,0,MIN(BZ28+BQ30,IF(OR(Plus!$F$10=Plus!$AK$10,Plus!$F$10=Plus!$AK$11),BQ30,BS29*(1+CG30))))</f>
        <v>0</v>
      </c>
      <c r="BT30" s="123">
        <f>IF(BZ29&lt;0.01,0,IF(Plus!$F$22=Plus!$AN$4,BZ29*$BZ$15,IF(Plus!$F$22=Plus!$AN$3,BZ29*Plus!$F$23/1000,BZ29*VLOOKUP(Plus!$G$21,Plus!$AP$2:'Plus'!$AQ$5,2,0))))</f>
        <v>0</v>
      </c>
      <c r="BU30" s="123">
        <f>IF(BZ29&lt;0.01,0,IF(Plus!$F$24=Plus!$AO$3,Plus!$G$13*$BZ$16/1.16,IF(Plus!$F$10=Plus!$AK$7,0,IF(OR(Plus!$F$10=Plus!$AK$10,Plus!$F$10=Plus!$AK$11),Plus!$G$13*Plus!$AR$4/1.16,Plus!$G$13*Plus!$AR$2/1.16))))</f>
        <v>0</v>
      </c>
      <c r="BV30" s="123">
        <f>IF(BZ29&lt;0.01,0,Plus!$BD$2)</f>
        <v>0</v>
      </c>
      <c r="BW30" s="123"/>
      <c r="BX30" s="123">
        <f t="shared" si="12"/>
        <v>0</v>
      </c>
      <c r="BY30" s="123">
        <f>IF(Plus!$F$10=Plus!$AK$3,MIN(BZ29+BQ30+BT30+BU30+BV30-BX30,CJ30),0)</f>
        <v>0</v>
      </c>
      <c r="BZ30" s="297">
        <f t="shared" si="123"/>
        <v>0</v>
      </c>
      <c r="CA30" s="276">
        <f>Plus!P71</f>
        <v>0</v>
      </c>
      <c r="CB30" s="74"/>
      <c r="CC30" s="413">
        <f>BX30+BY30-CA30</f>
        <v>0</v>
      </c>
      <c r="CF30" s="90">
        <f t="shared" si="48"/>
        <v>6</v>
      </c>
      <c r="CG30" s="121">
        <f t="shared" si="106"/>
        <v>0</v>
      </c>
      <c r="CI30" s="70">
        <f t="shared" si="107"/>
        <v>0</v>
      </c>
      <c r="CJ30" s="2178">
        <f t="shared" ca="1" si="49"/>
        <v>0</v>
      </c>
      <c r="CL30" s="161"/>
      <c r="CN30" s="308">
        <f t="shared" ca="1" si="13"/>
        <v>9</v>
      </c>
      <c r="CO30" s="309">
        <f t="shared" si="50"/>
        <v>0</v>
      </c>
      <c r="CP30" s="268">
        <f t="shared" si="14"/>
        <v>0</v>
      </c>
      <c r="CQ30" s="123">
        <f t="shared" si="51"/>
        <v>0</v>
      </c>
      <c r="CR30" s="123">
        <f>IF(CZ29&lt;0.01,0,MIN(CZ29,IF(OR(Plus!$F$10=Plus!$AK$10,Plus!$F$10=Plus!$AK$11),0,CS30-CQ30)))</f>
        <v>0</v>
      </c>
      <c r="CS30" s="123">
        <f>IF(CZ28&lt;0.1,0,MIN(CZ29+CQ30,IF(DN30&gt;0,DN30,IF(OR(Plus!$F$10=Plus!$AK$10,Plus!$F$10=Plus!$AK$11),CQ30,CS29*(1+DH30)))))</f>
        <v>0</v>
      </c>
      <c r="CT30" s="33">
        <f>IF(CZ29&lt;0.01,0,IF(Plus!$F$22=Plus!$AN$4,0,IF(Plus!$F$22=Plus!$AN$3,CZ29*Plus!$F$23/1000,CZ29*VLOOKUP(Plus!$G$21,Plus!$AP$2:'Plus'!$AQ$5,2,0))))</f>
        <v>0</v>
      </c>
      <c r="CU30" s="123">
        <f>IF(CZ29&lt;0.01,0,IF(Plus!$F$24=Plus!$AO$3,0,IF(OR(Plus!$F$10=Plus!$AK$7,Plus!$F$10=Plus!$AK$13),0,IF(OR(Plus!$F$10=Plus!$AK$10,Plus!$F$10=Plus!$AK$11),Plus!$G$13*Plus!$AR$4,Plus!$G$13*Plus!$AR$2))))</f>
        <v>0</v>
      </c>
      <c r="CV30" s="123">
        <f>IF(CZ29&lt;0.01,0,IF(OR(Plus!$F$10=Plus!$AK$7,Plus!$F$10=Plus!$AK$13),0,Plus!$BD$2*1.16))</f>
        <v>0</v>
      </c>
      <c r="CW30" s="123">
        <f>IF(CZ29&lt;0.01,0,IF(Plus!$AS$2&gt;0,CQ30*Plus!$AS$3,0))</f>
        <v>0</v>
      </c>
      <c r="CX30" s="123">
        <f t="shared" si="52"/>
        <v>0</v>
      </c>
      <c r="CY30" s="123">
        <f>IF(Plus!$F$10=Plus!$AK$3,MIN(CZ29+CQ30+CT30+CU30+CV30-CX30,DK30),0)</f>
        <v>0</v>
      </c>
      <c r="CZ30" s="297">
        <f t="shared" si="53"/>
        <v>0</v>
      </c>
      <c r="DA30" s="306">
        <f>Plus!O71</f>
        <v>0</v>
      </c>
      <c r="DB30" s="314">
        <f>Plus!P71</f>
        <v>0</v>
      </c>
      <c r="DC30" s="74"/>
      <c r="DD30" s="407">
        <f t="shared" si="54"/>
        <v>0</v>
      </c>
      <c r="DG30" s="90">
        <f t="shared" si="55"/>
        <v>6</v>
      </c>
      <c r="DH30" s="121">
        <f t="shared" si="108"/>
        <v>0</v>
      </c>
      <c r="DJ30" s="149">
        <f t="shared" si="109"/>
        <v>0</v>
      </c>
      <c r="DK30" s="2179">
        <f t="shared" ca="1" si="56"/>
        <v>0</v>
      </c>
      <c r="DN30" s="120">
        <f t="shared" si="110"/>
        <v>0</v>
      </c>
      <c r="DO30" s="110">
        <f t="shared" si="57"/>
        <v>0</v>
      </c>
      <c r="DP30" s="110">
        <f t="shared" si="124"/>
        <v>0</v>
      </c>
      <c r="DQ30" s="109">
        <f t="shared" si="58"/>
        <v>0</v>
      </c>
      <c r="DR30" s="109">
        <f t="shared" si="59"/>
        <v>0</v>
      </c>
      <c r="DS30" s="113">
        <f t="shared" si="60"/>
        <v>0</v>
      </c>
      <c r="DU30" s="102">
        <f t="shared" si="61"/>
        <v>0</v>
      </c>
      <c r="DV30" s="211">
        <f t="shared" si="125"/>
        <v>6</v>
      </c>
      <c r="DW30" s="212">
        <f t="shared" si="62"/>
        <v>0</v>
      </c>
      <c r="DX30" s="212">
        <f t="shared" si="15"/>
        <v>0</v>
      </c>
      <c r="DY30" s="212">
        <f t="shared" si="111"/>
        <v>0</v>
      </c>
      <c r="DZ30" s="213">
        <f t="shared" si="16"/>
        <v>1000000</v>
      </c>
      <c r="ED30" s="182"/>
      <c r="EF30" s="308">
        <f t="shared" ca="1" si="17"/>
        <v>9</v>
      </c>
      <c r="EG30" s="309">
        <f t="shared" si="63"/>
        <v>0</v>
      </c>
      <c r="EH30" s="268">
        <f t="shared" si="18"/>
        <v>0</v>
      </c>
      <c r="EI30" s="33">
        <f t="shared" si="64"/>
        <v>0</v>
      </c>
      <c r="EJ30" s="33">
        <f>IF(CZ29&lt;0.01,0,IF(OR(Plus!$F$10=Plus!$AK$10,Plus!$F$10=Plus!$AK$11),0,EK30-EI30))</f>
        <v>0</v>
      </c>
      <c r="EK30" s="33">
        <f>IF(ER28&lt;0.1,0,MIN(ER29+EI30,IF(FE30&gt;0,FE30,IF(OR(Plus!$F$10=Plus!$AK$10,Plus!$F$10=Plus!$AK$11),EI30,EK29*(1+EZ30)))))</f>
        <v>0</v>
      </c>
      <c r="EL30" s="33">
        <f>IF(ER29&lt;0.01,0,IF(Plus!$F$22=Plus!$AN$4,0,IF(Plus!$F$22=Plus!$AN$3,ER29*Plus!$F$23/1000,ER29*VLOOKUP(Plus!$G$21,Plus!$AP$2:'Plus'!$AQ$5,2,0))))</f>
        <v>0</v>
      </c>
      <c r="EM30" s="33">
        <f>IF(ER29&lt;0.01,0,IF(Plus!$F$24=Plus!$AO$3,0,IF(OR(Plus!$F$10=Plus!$AK$7,Plus!$F$10=Plus!$AK$13),0,IF(OR(Plus!$F$10=Plus!$AK$10,Plus!$F$10=Plus!$AK$11),Plus!$G$13*Plus!$AR$4,Plus!$G$13*Plus!$AR$2))))</f>
        <v>0</v>
      </c>
      <c r="EN30" s="33">
        <f>IF(ER29&lt;0.01,0,IF(OR(Plus!$F$10=Plus!$AK$7,Plus!$F$10=Plus!$AK$13),0,Plus!$BD$2*1.16))</f>
        <v>0</v>
      </c>
      <c r="EO30" s="33">
        <f>IF(ER29&lt;0.01,0,IF(Plus!$AS$2&gt;0,EI30*Plus!$AS$3,0))</f>
        <v>0</v>
      </c>
      <c r="EP30" s="33">
        <f t="shared" si="65"/>
        <v>0</v>
      </c>
      <c r="EQ30" s="33">
        <f>IF(Plus!$F$10=Plus!$AK$3,MIN(ER29+EI30+EL30+EM30+EN30-EP30,FC30),0)</f>
        <v>0</v>
      </c>
      <c r="ER30" s="297">
        <f t="shared" si="66"/>
        <v>0</v>
      </c>
      <c r="ES30" s="340">
        <f>Plus!O71</f>
        <v>0</v>
      </c>
      <c r="ET30" s="356">
        <f>Plus!P71</f>
        <v>0</v>
      </c>
      <c r="EU30" s="74"/>
      <c r="EV30" s="416">
        <f t="shared" ref="EV30" si="130">EK30+EL30+(EM30/1.16)+(EN30/1.16)+EQ30</f>
        <v>0</v>
      </c>
      <c r="EY30" s="90">
        <f t="shared" si="68"/>
        <v>6</v>
      </c>
      <c r="EZ30" s="121">
        <f t="shared" si="112"/>
        <v>0</v>
      </c>
      <c r="FB30" s="149">
        <f t="shared" si="113"/>
        <v>0</v>
      </c>
      <c r="FC30" s="2179">
        <f t="shared" ca="1" si="69"/>
        <v>0</v>
      </c>
      <c r="FE30" s="120">
        <f t="shared" si="114"/>
        <v>0</v>
      </c>
      <c r="FF30" s="110">
        <f t="shared" si="70"/>
        <v>0</v>
      </c>
      <c r="FG30" s="110">
        <f t="shared" si="71"/>
        <v>0</v>
      </c>
      <c r="FH30" s="109">
        <f t="shared" si="72"/>
        <v>0</v>
      </c>
      <c r="FI30" s="109">
        <f t="shared" si="19"/>
        <v>0</v>
      </c>
      <c r="FJ30" s="113">
        <f t="shared" si="73"/>
        <v>0</v>
      </c>
      <c r="FL30" s="102">
        <f t="shared" si="74"/>
        <v>0</v>
      </c>
      <c r="FM30" s="211">
        <f t="shared" si="127"/>
        <v>6</v>
      </c>
      <c r="FN30" s="212">
        <f t="shared" si="75"/>
        <v>0</v>
      </c>
      <c r="FO30" s="212">
        <f t="shared" si="20"/>
        <v>0</v>
      </c>
      <c r="FP30" s="212">
        <f t="shared" si="115"/>
        <v>0</v>
      </c>
      <c r="FQ30" s="213">
        <f t="shared" si="21"/>
        <v>1000000</v>
      </c>
      <c r="FV30" s="359"/>
      <c r="FX30" s="308">
        <f t="shared" ca="1" si="22"/>
        <v>9</v>
      </c>
      <c r="FY30" s="309">
        <f t="shared" si="76"/>
        <v>0</v>
      </c>
      <c r="FZ30" s="268">
        <f t="shared" si="23"/>
        <v>0</v>
      </c>
      <c r="GA30" s="33">
        <f t="shared" si="77"/>
        <v>0</v>
      </c>
      <c r="GB30" s="33">
        <f>IF(GJ29&lt;0.01,0,IF(OR(Plus!$F$10=Plus!$AK$10,Plus!$F$10=Plus!$AK$11),0,GC30-GA30))</f>
        <v>0</v>
      </c>
      <c r="GC30" s="33">
        <f>IF(GJ28&lt;0.1,0,MIN(GJ29+GA30,IF(GW30&gt;0,GW30,IF(OR(Plus!$F$10=Plus!$AK$10,Plus!$F$10=Plus!$AK$11),GA30,GC29*(1+GR30)))))</f>
        <v>0</v>
      </c>
      <c r="GD30" s="33">
        <f>IF(GJ29&lt;0.01,0,IF(Plus!$F$22=Plus!$AN$4,0,IF(Plus!$F$22=Plus!$AN$3,GJ29*Plus!$F$23/1000,GJ29*VLOOKUP(Plus!$G$21,Plus!$AP$2:$AQ$5,2,0))))</f>
        <v>0</v>
      </c>
      <c r="GE30" s="33">
        <f>IF(GJ29&lt;0.01,0,IF(Plus!$F$24=Plus!$AO$3,0,IF(OR(Plus!$F$10=Plus!$AK$7,Plus!$F$10=Plus!$AK$13,Plus!$F$10=Plus!$AK$14),0,IF(OR(Plus!$F$10=Plus!$AK$10,Plus!$F$10=Plus!$AK$11),Plus!$G$13*Adm!$W$7,Plus!$G$13*Adm!$X$4))))</f>
        <v>0</v>
      </c>
      <c r="GF30" s="33">
        <f>IF(GJ29&lt;0.01,0,IF(OR(Plus!$F$10=Plus!$AK$7,Plus!$F$10=Plus!$AK$13),0,Plus!$BD$2*1.16))</f>
        <v>0</v>
      </c>
      <c r="GG30" s="33">
        <f>IF(GJ29&lt;0.01,0,IF(Plus!$AS$2&gt;0,GA30*Plus!$AS$3,0))</f>
        <v>0</v>
      </c>
      <c r="GH30" s="33">
        <f t="shared" si="78"/>
        <v>0</v>
      </c>
      <c r="GI30" s="33">
        <f>IF(Plus!$F$10=Plus!$AK$3,MIN(GJ29+GA30+GD30+GE30+GF30-GH30,GU30),0)</f>
        <v>0</v>
      </c>
      <c r="GJ30" s="311">
        <f>IF(GJ29&lt;0.01,0,GJ29-GB30-GI30-GK30)</f>
        <v>0</v>
      </c>
      <c r="GK30" s="340">
        <f>Plus!O71</f>
        <v>0</v>
      </c>
      <c r="GL30" s="364">
        <f>Plus!P71</f>
        <v>0</v>
      </c>
      <c r="GM30" s="74"/>
      <c r="GN30" s="419">
        <f t="shared" ref="GN30" si="131">GC30+GD30+(GE30/1.16)+(GF30/1.16)+GI30</f>
        <v>0</v>
      </c>
      <c r="GQ30" s="90">
        <f t="shared" si="80"/>
        <v>6</v>
      </c>
      <c r="GR30" s="121">
        <f t="shared" si="116"/>
        <v>0</v>
      </c>
      <c r="GT30" s="149">
        <f t="shared" si="117"/>
        <v>0</v>
      </c>
      <c r="GU30" s="2179">
        <f t="shared" ca="1" si="81"/>
        <v>0</v>
      </c>
      <c r="GW30" s="120">
        <f t="shared" si="118"/>
        <v>0</v>
      </c>
      <c r="GX30" s="110">
        <f t="shared" si="82"/>
        <v>0</v>
      </c>
      <c r="GY30" s="110">
        <f t="shared" si="83"/>
        <v>0</v>
      </c>
      <c r="GZ30" s="109">
        <f t="shared" si="84"/>
        <v>0</v>
      </c>
      <c r="HA30" s="109">
        <f t="shared" si="24"/>
        <v>0</v>
      </c>
      <c r="HB30" s="113">
        <f t="shared" si="85"/>
        <v>0</v>
      </c>
      <c r="HD30" s="102">
        <f t="shared" si="86"/>
        <v>0</v>
      </c>
      <c r="HE30" s="211">
        <f t="shared" si="129"/>
        <v>6</v>
      </c>
      <c r="HF30" s="212">
        <f t="shared" si="87"/>
        <v>0</v>
      </c>
      <c r="HG30" s="212">
        <f t="shared" si="25"/>
        <v>0</v>
      </c>
      <c r="HH30" s="212">
        <f t="shared" si="119"/>
        <v>0</v>
      </c>
      <c r="HI30" s="213">
        <f t="shared" si="26"/>
        <v>1000000</v>
      </c>
      <c r="HL30" s="182"/>
      <c r="HM30" s="26">
        <f t="shared" ca="1" si="27"/>
        <v>9</v>
      </c>
      <c r="HO30" s="268">
        <f t="shared" si="28"/>
        <v>0</v>
      </c>
      <c r="HP30" s="421">
        <f t="shared" si="120"/>
        <v>0</v>
      </c>
      <c r="HQ30" s="123">
        <f t="shared" si="88"/>
        <v>0</v>
      </c>
      <c r="HR30" s="123">
        <f t="shared" si="89"/>
        <v>0</v>
      </c>
      <c r="HS30" s="123">
        <f t="shared" si="90"/>
        <v>0</v>
      </c>
      <c r="HT30" s="123">
        <f>IF(HY29&lt;0.01,0,IF(Adm!$GS$4=Adm!$GS$8,HY29*$HY$15,IF(Adm!$GS$12=Adm!$GS$13,0,HY29*Adm!$GV$4)))</f>
        <v>0</v>
      </c>
      <c r="HU30" s="123">
        <f>IF(HY29&lt;0.01,0,IF(Adm!$GS$5=Adm!$GS$8,Cal!$BO$108*$HY$16/1.16,IF(Adm!$GS$12=Adm!$GS$13,0,Cal!$BO$108*Adm!$GW$4/1.16)))</f>
        <v>0</v>
      </c>
      <c r="HV30" s="123">
        <f t="shared" si="91"/>
        <v>0</v>
      </c>
      <c r="HW30" s="123">
        <f t="shared" si="92"/>
        <v>0</v>
      </c>
      <c r="HX30" s="123">
        <f>IF(Adm!$GH$6="si",MIN(HY29+HQ30+HT30+HU30+HV30-HW30,IH30),0)</f>
        <v>0</v>
      </c>
      <c r="HY30" s="297">
        <f t="shared" si="93"/>
        <v>0</v>
      </c>
      <c r="HZ30" s="74"/>
      <c r="IA30" s="407">
        <f t="shared" si="94"/>
        <v>0</v>
      </c>
      <c r="IC30" s="90">
        <f t="shared" si="95"/>
        <v>6</v>
      </c>
      <c r="ID30" s="124">
        <f>IF(IC30=1,Cal!$BO$127,0)</f>
        <v>0</v>
      </c>
      <c r="IE30" s="73"/>
      <c r="IG30" s="70">
        <f t="shared" si="121"/>
        <v>0</v>
      </c>
      <c r="IH30" s="2178">
        <f t="shared" ca="1" si="96"/>
        <v>0</v>
      </c>
      <c r="IK30" s="217"/>
      <c r="IL30" s="26">
        <f t="shared" ca="1" si="29"/>
        <v>9</v>
      </c>
      <c r="IN30" s="268">
        <f t="shared" si="30"/>
        <v>0</v>
      </c>
      <c r="IO30" s="421">
        <f t="shared" si="122"/>
        <v>0</v>
      </c>
      <c r="IP30" s="123">
        <f t="shared" si="97"/>
        <v>0</v>
      </c>
      <c r="IQ30" s="123">
        <f t="shared" si="98"/>
        <v>0</v>
      </c>
      <c r="IR30" s="123">
        <f t="shared" si="99"/>
        <v>0</v>
      </c>
      <c r="IS30" s="123">
        <f>IF(IX29&lt;0.01,0,IF(Adm!$GS$4=Adm!$GS$8,IX29*$IX$15,IF(Adm!$GS$12=Adm!$GS$13,0,IX29*Adm!$GV$4)))</f>
        <v>0</v>
      </c>
      <c r="IT30" s="123"/>
      <c r="IU30" s="123">
        <f t="shared" si="100"/>
        <v>0</v>
      </c>
      <c r="IV30" s="123">
        <f t="shared" si="101"/>
        <v>0</v>
      </c>
      <c r="IW30" s="123"/>
      <c r="IX30" s="297">
        <f t="shared" si="102"/>
        <v>0</v>
      </c>
      <c r="IY30" s="74"/>
      <c r="IZ30" s="416">
        <f t="shared" si="103"/>
        <v>0</v>
      </c>
      <c r="JB30" s="90">
        <f t="shared" si="104"/>
        <v>6</v>
      </c>
      <c r="JC30" s="124">
        <f>IF(JB30=1,Cal!$BP$127,0)</f>
        <v>0</v>
      </c>
      <c r="JD30" s="73"/>
    </row>
    <row r="31" spans="1:264">
      <c r="A31" s="26">
        <f t="shared" ca="1" si="0"/>
        <v>10</v>
      </c>
      <c r="C31" s="33">
        <f t="shared" si="1"/>
        <v>0</v>
      </c>
      <c r="D31" s="123">
        <f t="shared" si="31"/>
        <v>0</v>
      </c>
      <c r="E31" s="123">
        <f>IF(L30&lt;0.01,0,IF(Adm!$B$4=Adm!$A$118,0,F31-D31))</f>
        <v>0</v>
      </c>
      <c r="F31" s="123">
        <f>IF(L29&lt;0.1,0,MIN(L29+D31,IF(Adm!$B$4=Adm!$A$118,D31,F30*(1+S31))))</f>
        <v>0</v>
      </c>
      <c r="G31" s="123">
        <f>IF(L30&lt;0.01,0,IF(Adm!$S$4=Adm!$S$8,L30*$L$15,L30*Adm!$V$4))</f>
        <v>0</v>
      </c>
      <c r="H31" s="952">
        <f>IF(L30&lt;0.01,0,IF(Adm!$S$5=Adm!$S$8,Adm!$AA$11*$L$16/1.16,IF(Adm!$B$4=Adm!$A$119,0,IF(Adm!$B$4=Adm!$A$118,Adm!$AA$11*Adm!$W$4/1.16,Adm!$AA$11*Adm!$X$4/1.16))))</f>
        <v>0</v>
      </c>
      <c r="I31" s="123">
        <f>IF(L30&lt;0.01,0,Cal!$AB$126/1.16)</f>
        <v>0</v>
      </c>
      <c r="J31" s="123">
        <f t="shared" si="2"/>
        <v>0</v>
      </c>
      <c r="K31" s="123">
        <f>IF(Adm!$G$4="si",MIN(L30+D31+G31+H31+I31-J31,V31),0)</f>
        <v>0</v>
      </c>
      <c r="L31" s="123">
        <f>IF(L30&lt;0.01,0,L30-E31-K31)</f>
        <v>0</v>
      </c>
      <c r="M31" s="74"/>
      <c r="N31" s="74"/>
      <c r="O31" s="407">
        <f t="shared" si="33"/>
        <v>0</v>
      </c>
      <c r="R31" s="90">
        <f t="shared" si="34"/>
        <v>7</v>
      </c>
      <c r="S31" s="121">
        <f>IF(R31=1,Cal!$AB$127,0)</f>
        <v>0</v>
      </c>
      <c r="U31" s="70">
        <f t="shared" si="105"/>
        <v>0</v>
      </c>
      <c r="V31" s="2178">
        <f t="shared" ca="1" si="35"/>
        <v>0</v>
      </c>
      <c r="X31" s="398"/>
      <c r="Z31" s="268">
        <f t="shared" si="3"/>
        <v>0</v>
      </c>
      <c r="AA31" s="2176">
        <f t="shared" si="36"/>
        <v>0</v>
      </c>
      <c r="AB31" s="33">
        <f t="shared" si="37"/>
        <v>0</v>
      </c>
      <c r="AC31" s="33">
        <f t="shared" si="38"/>
        <v>0</v>
      </c>
      <c r="AD31" s="33">
        <f>IF(AI30&lt;0.01,0,IF(Adm!$S$4=Adm!$S$8,AI30*$AI$15,AI30*Adm!$V$4))</f>
        <v>0</v>
      </c>
      <c r="AE31" s="33"/>
      <c r="AF31" s="33"/>
      <c r="AG31" s="33">
        <f t="shared" si="4"/>
        <v>0</v>
      </c>
      <c r="AH31" s="33"/>
      <c r="AI31" s="401">
        <f t="shared" si="5"/>
        <v>0</v>
      </c>
      <c r="AK31" s="410">
        <f t="shared" si="6"/>
        <v>0</v>
      </c>
      <c r="AN31" s="90">
        <f t="shared" si="39"/>
        <v>7</v>
      </c>
      <c r="AO31" s="121">
        <f>IF(AN31=1,Cal!$AC$127,0)</f>
        <v>0</v>
      </c>
      <c r="AS31" s="200"/>
      <c r="AU31" s="268">
        <f t="shared" si="7"/>
        <v>0</v>
      </c>
      <c r="AV31" s="2177">
        <f t="shared" si="40"/>
        <v>0</v>
      </c>
      <c r="AW31" s="123">
        <f t="shared" si="8"/>
        <v>0</v>
      </c>
      <c r="AX31" s="123">
        <f t="shared" si="41"/>
        <v>0</v>
      </c>
      <c r="AY31" s="123">
        <f>IF(BC30&lt;0.01,0,IF(Adm!$S$4=Adm!$S$8,BC30*$BC$16,BC30*Adm!$V$4))</f>
        <v>0</v>
      </c>
      <c r="AZ31" s="123"/>
      <c r="BA31" s="123">
        <f>IF(BC30&lt;0.01,0,Adm!$Q$6)</f>
        <v>0</v>
      </c>
      <c r="BB31" s="123">
        <f t="shared" si="42"/>
        <v>0</v>
      </c>
      <c r="BC31" s="297">
        <f t="shared" si="43"/>
        <v>0</v>
      </c>
      <c r="BE31" s="425">
        <f t="shared" si="9"/>
        <v>0</v>
      </c>
      <c r="BH31" s="90">
        <f t="shared" si="44"/>
        <v>7</v>
      </c>
      <c r="BI31" s="121">
        <f>IF(BH31=1,Cal!$AD$127,0)</f>
        <v>0</v>
      </c>
      <c r="BM31" s="221"/>
      <c r="BO31" s="295">
        <f t="shared" ca="1" si="10"/>
        <v>10</v>
      </c>
      <c r="BP31" s="268">
        <f t="shared" si="11"/>
        <v>0</v>
      </c>
      <c r="BQ31" s="123">
        <f t="shared" si="45"/>
        <v>0</v>
      </c>
      <c r="BR31" s="123">
        <f>IF(BZ30&lt;0.01,0,IF(OR(Plus!$F$10=Plus!$AK$10,Plus!$F$10=Plus!$AK$11),0,BS31-BQ31))</f>
        <v>0</v>
      </c>
      <c r="BS31" s="123">
        <f>IF(BZ29&lt;0.1,0,MIN(BZ29+BQ31,IF(OR(Plus!$F$10=Plus!$AK$10,Plus!$F$10=Plus!$AK$11),BQ31,BS30*(1+CG31))))</f>
        <v>0</v>
      </c>
      <c r="BT31" s="123">
        <f>IF(BZ30&lt;0.01,0,IF(Plus!$F$22=Plus!$AN$4,BZ30*$BZ$15,IF(Plus!$F$22=Plus!$AN$3,BZ30*Plus!$F$23/1000,BZ30*VLOOKUP(Plus!$G$21,Plus!$AP$2:'Plus'!$AQ$5,2,0))))</f>
        <v>0</v>
      </c>
      <c r="BU31" s="123">
        <f>IF(BZ30&lt;0.01,0,IF(Plus!$F$24=Plus!$AO$3,Plus!$G$13*$BZ$16/1.16,IF(Plus!$F$10=Plus!$AK$7,0,IF(OR(Plus!$F$10=Plus!$AK$10,Plus!$F$10=Plus!$AK$11),Plus!$G$13*Plus!$AR$4/1.16,Plus!$G$13*Plus!$AR$2/1.16))))</f>
        <v>0</v>
      </c>
      <c r="BV31" s="123">
        <f>IF(BZ30&lt;0.01,0,Plus!$BD$2)</f>
        <v>0</v>
      </c>
      <c r="BW31" s="123"/>
      <c r="BX31" s="123">
        <f t="shared" si="12"/>
        <v>0</v>
      </c>
      <c r="BY31" s="123">
        <f>IF(Plus!$F$10=Plus!$AK$3,MIN(BZ30+BQ31+BT31+BU31+BV31-BX31,CJ31),0)</f>
        <v>0</v>
      </c>
      <c r="BZ31" s="297">
        <f>IF(BZ30&lt;0.01,0,BZ30-BR31-BY31)</f>
        <v>0</v>
      </c>
      <c r="CA31" s="74"/>
      <c r="CB31" s="74"/>
      <c r="CC31" s="413">
        <f t="shared" si="47"/>
        <v>0</v>
      </c>
      <c r="CF31" s="90">
        <f t="shared" si="48"/>
        <v>7</v>
      </c>
      <c r="CG31" s="121">
        <f t="shared" si="106"/>
        <v>0</v>
      </c>
      <c r="CI31" s="70">
        <f t="shared" si="107"/>
        <v>0</v>
      </c>
      <c r="CJ31" s="2178">
        <f t="shared" ca="1" si="49"/>
        <v>0</v>
      </c>
      <c r="CL31" s="161"/>
      <c r="CN31" s="308">
        <f t="shared" ca="1" si="13"/>
        <v>10</v>
      </c>
      <c r="CO31" s="309">
        <f t="shared" si="50"/>
        <v>0</v>
      </c>
      <c r="CP31" s="268">
        <f t="shared" si="14"/>
        <v>0</v>
      </c>
      <c r="CQ31" s="123">
        <f t="shared" si="51"/>
        <v>0</v>
      </c>
      <c r="CR31" s="123">
        <f>IF(CZ30&lt;0.01,0,MIN(CZ30,IF(OR(Plus!$F$10=Plus!$AK$10,Plus!$F$10=Plus!$AK$11),0,CS31-CQ31)))</f>
        <v>0</v>
      </c>
      <c r="CS31" s="123">
        <f>IF(CZ29&lt;0.1,0,MIN(CZ30+CQ31,IF(DN31&gt;0,DN31,IF(OR(Plus!$F$10=Plus!$AK$10,Plus!$F$10=Plus!$AK$11),CQ31,CS30*(1+DH31)))))</f>
        <v>0</v>
      </c>
      <c r="CT31" s="33">
        <f>IF(CZ30&lt;0.01,0,IF(Plus!$F$22=Plus!$AN$4,0,IF(Plus!$F$22=Plus!$AN$3,CZ30*Plus!$F$23/1000,CZ30*VLOOKUP(Plus!$G$21,Plus!$AP$2:'Plus'!$AQ$5,2,0))))</f>
        <v>0</v>
      </c>
      <c r="CU31" s="123">
        <f>IF(CZ30&lt;0.01,0,IF(Plus!$F$24=Plus!$AO$3,0,IF(OR(Plus!$F$10=Plus!$AK$7,Plus!$F$10=Plus!$AK$13),0,IF(OR(Plus!$F$10=Plus!$AK$10,Plus!$F$10=Plus!$AK$11),Plus!$G$13*Plus!$AR$4,Plus!$G$13*Plus!$AR$2))))</f>
        <v>0</v>
      </c>
      <c r="CV31" s="123">
        <f>IF(CZ30&lt;0.01,0,IF(OR(Plus!$F$10=Plus!$AK$7,Plus!$F$10=Plus!$AK$13),0,Plus!$BD$2*1.16))</f>
        <v>0</v>
      </c>
      <c r="CW31" s="123">
        <f>IF(CZ30&lt;0.01,0,IF(Plus!$AS$2&gt;0,CQ31*Plus!$AS$3,0))</f>
        <v>0</v>
      </c>
      <c r="CX31" s="123">
        <f t="shared" si="52"/>
        <v>0</v>
      </c>
      <c r="CY31" s="123">
        <f>IF(Plus!$F$10=Plus!$AK$3,MIN(CZ30+CQ31+CT31+CU31+CV31-CX31,DK31),0)</f>
        <v>0</v>
      </c>
      <c r="CZ31" s="297">
        <f t="shared" si="53"/>
        <v>0</v>
      </c>
      <c r="DA31" s="306">
        <f>Plus!O72</f>
        <v>0</v>
      </c>
      <c r="DB31" s="74"/>
      <c r="DC31" s="74"/>
      <c r="DD31" s="407">
        <f>CS31+CT31+(CU31/1.16)+(CV31/1.16)+CY31-DB31</f>
        <v>0</v>
      </c>
      <c r="DG31" s="90">
        <f t="shared" si="55"/>
        <v>7</v>
      </c>
      <c r="DH31" s="121">
        <f t="shared" si="108"/>
        <v>0</v>
      </c>
      <c r="DJ31" s="149">
        <f t="shared" si="109"/>
        <v>0</v>
      </c>
      <c r="DK31" s="2179">
        <f t="shared" ca="1" si="56"/>
        <v>0</v>
      </c>
      <c r="DN31" s="120">
        <f t="shared" si="110"/>
        <v>0</v>
      </c>
      <c r="DO31" s="110">
        <f t="shared" si="57"/>
        <v>0</v>
      </c>
      <c r="DP31" s="110">
        <f t="shared" si="124"/>
        <v>0</v>
      </c>
      <c r="DQ31" s="109">
        <f t="shared" si="58"/>
        <v>0</v>
      </c>
      <c r="DR31" s="109">
        <f t="shared" si="59"/>
        <v>0</v>
      </c>
      <c r="DS31" s="113">
        <f t="shared" si="60"/>
        <v>0</v>
      </c>
      <c r="DU31" s="102">
        <f t="shared" si="61"/>
        <v>0</v>
      </c>
      <c r="DV31" s="211">
        <f t="shared" si="125"/>
        <v>7</v>
      </c>
      <c r="DW31" s="212">
        <f t="shared" si="62"/>
        <v>0</v>
      </c>
      <c r="DX31" s="212">
        <f t="shared" si="15"/>
        <v>0</v>
      </c>
      <c r="DY31" s="212">
        <f t="shared" si="111"/>
        <v>0</v>
      </c>
      <c r="DZ31" s="213">
        <f t="shared" si="16"/>
        <v>1000000</v>
      </c>
      <c r="ED31" s="182"/>
      <c r="EF31" s="308">
        <f t="shared" ca="1" si="17"/>
        <v>10</v>
      </c>
      <c r="EG31" s="309">
        <f t="shared" si="63"/>
        <v>0</v>
      </c>
      <c r="EH31" s="268">
        <f t="shared" si="18"/>
        <v>0</v>
      </c>
      <c r="EI31" s="33">
        <f t="shared" si="64"/>
        <v>0</v>
      </c>
      <c r="EJ31" s="33">
        <f>IF(CZ30&lt;0.01,0,IF(OR(Plus!$F$10=Plus!$AK$10,Plus!$F$10=Plus!$AK$11),0,EK31-EI31))</f>
        <v>0</v>
      </c>
      <c r="EK31" s="33">
        <f>IF(ER29&lt;0.1,0,MIN(ER30+EI31,IF(FE31&gt;0,FE31,IF(OR(Plus!$F$10=Plus!$AK$10,Plus!$F$10=Plus!$AK$11),EI31,EK30*(1+EZ31)))))</f>
        <v>0</v>
      </c>
      <c r="EL31" s="33">
        <f>IF(ER30&lt;0.01,0,IF(Plus!$F$22=Plus!$AN$4,0,IF(Plus!$F$22=Plus!$AN$3,ER30*Plus!$F$23/1000,ER30*VLOOKUP(Plus!$G$21,Plus!$AP$2:'Plus'!$AQ$5,2,0))))</f>
        <v>0</v>
      </c>
      <c r="EM31" s="33">
        <f>IF(ER30&lt;0.01,0,IF(Plus!$F$24=Plus!$AO$3,0,IF(OR(Plus!$F$10=Plus!$AK$7,Plus!$F$10=Plus!$AK$13),0,IF(OR(Plus!$F$10=Plus!$AK$10,Plus!$F$10=Plus!$AK$11),Plus!$G$13*Plus!$AR$4,Plus!$G$13*Plus!$AR$2))))</f>
        <v>0</v>
      </c>
      <c r="EN31" s="33">
        <f>IF(ER30&lt;0.01,0,IF(OR(Plus!$F$10=Plus!$AK$7,Plus!$F$10=Plus!$AK$13),0,Plus!$BD$2*1.16))</f>
        <v>0</v>
      </c>
      <c r="EO31" s="33">
        <f>IF(ER30&lt;0.01,0,IF(Plus!$AS$2&gt;0,EI31*Plus!$AS$3,0))</f>
        <v>0</v>
      </c>
      <c r="EP31" s="33">
        <f t="shared" si="65"/>
        <v>0</v>
      </c>
      <c r="EQ31" s="33">
        <f>IF(Plus!$F$10=Plus!$AK$3,MIN(ER30+EI31+EL31+EM31+EN31-EP31,FC31),0)</f>
        <v>0</v>
      </c>
      <c r="ER31" s="297">
        <f t="shared" si="66"/>
        <v>0</v>
      </c>
      <c r="ES31" s="340">
        <f>Plus!O72</f>
        <v>0</v>
      </c>
      <c r="ET31" s="74"/>
      <c r="EU31" s="74"/>
      <c r="EV31" s="416">
        <f>EK31+EL31+(EM31/1.16)+(EN31/1.16)+EQ31-ET31</f>
        <v>0</v>
      </c>
      <c r="EY31" s="90">
        <f t="shared" si="68"/>
        <v>7</v>
      </c>
      <c r="EZ31" s="121">
        <f t="shared" si="112"/>
        <v>0</v>
      </c>
      <c r="FB31" s="149">
        <f t="shared" si="113"/>
        <v>0</v>
      </c>
      <c r="FC31" s="2179">
        <f t="shared" ca="1" si="69"/>
        <v>0</v>
      </c>
      <c r="FE31" s="120">
        <f t="shared" si="114"/>
        <v>0</v>
      </c>
      <c r="FF31" s="110">
        <f t="shared" si="70"/>
        <v>0</v>
      </c>
      <c r="FG31" s="110">
        <f t="shared" si="71"/>
        <v>0</v>
      </c>
      <c r="FH31" s="109">
        <f t="shared" si="72"/>
        <v>0</v>
      </c>
      <c r="FI31" s="109">
        <f t="shared" si="19"/>
        <v>0</v>
      </c>
      <c r="FJ31" s="113">
        <f t="shared" si="73"/>
        <v>0</v>
      </c>
      <c r="FL31" s="102">
        <f t="shared" si="74"/>
        <v>0</v>
      </c>
      <c r="FM31" s="211">
        <f t="shared" si="127"/>
        <v>7</v>
      </c>
      <c r="FN31" s="212">
        <f t="shared" si="75"/>
        <v>0</v>
      </c>
      <c r="FO31" s="212">
        <f t="shared" si="20"/>
        <v>0</v>
      </c>
      <c r="FP31" s="212">
        <f t="shared" si="115"/>
        <v>0</v>
      </c>
      <c r="FQ31" s="213">
        <f t="shared" si="21"/>
        <v>1000000</v>
      </c>
      <c r="FV31" s="359"/>
      <c r="FX31" s="308">
        <f t="shared" ca="1" si="22"/>
        <v>10</v>
      </c>
      <c r="FY31" s="309">
        <f t="shared" si="76"/>
        <v>0</v>
      </c>
      <c r="FZ31" s="268">
        <f t="shared" si="23"/>
        <v>0</v>
      </c>
      <c r="GA31" s="33">
        <f t="shared" si="77"/>
        <v>0</v>
      </c>
      <c r="GB31" s="33">
        <f>IF(GJ30&lt;0.01,0,IF(OR(Plus!$F$10=Plus!$AK$10,Plus!$F$10=Plus!$AK$11),0,GC31-GA31))</f>
        <v>0</v>
      </c>
      <c r="GC31" s="33">
        <f>IF(GJ29&lt;0.1,0,MIN(GJ30+GA31,IF(GW31&gt;0,GW31,IF(OR(Plus!$F$10=Plus!$AK$10,Plus!$F$10=Plus!$AK$11),GA31,GC30*(1+GR31)))))</f>
        <v>0</v>
      </c>
      <c r="GD31" s="33">
        <f>IF(GJ30&lt;0.01,0,IF(Plus!$F$22=Plus!$AN$4,0,IF(Plus!$F$22=Plus!$AN$3,GJ30*Plus!$F$23/1000,GJ30*VLOOKUP(Plus!$G$21,Plus!$AP$2:$AQ$5,2,0))))</f>
        <v>0</v>
      </c>
      <c r="GE31" s="33">
        <f>IF(GJ30&lt;0.01,0,IF(Plus!$F$24=Plus!$AO$3,0,IF(OR(Plus!$F$10=Plus!$AK$7,Plus!$F$10=Plus!$AK$13,Plus!$F$10=Plus!$AK$14),0,IF(OR(Plus!$F$10=Plus!$AK$10,Plus!$F$10=Plus!$AK$11),Plus!$G$13*Adm!$W$7,Plus!$G$13*Adm!$X$4))))</f>
        <v>0</v>
      </c>
      <c r="GF31" s="33">
        <f>IF(GJ30&lt;0.01,0,IF(OR(Plus!$F$10=Plus!$AK$7,Plus!$F$10=Plus!$AK$13),0,Plus!$BD$2*1.16))</f>
        <v>0</v>
      </c>
      <c r="GG31" s="33">
        <f>IF(GJ30&lt;0.01,0,IF(Plus!$AS$2&gt;0,GA31*Plus!$AS$3,0))</f>
        <v>0</v>
      </c>
      <c r="GH31" s="33">
        <f t="shared" si="78"/>
        <v>0</v>
      </c>
      <c r="GI31" s="33">
        <f>IF(Plus!$F$10=Plus!$AK$3,MIN(GJ30+GA31+GD31+GE31+GF31-GH31,GU31),0)</f>
        <v>0</v>
      </c>
      <c r="GJ31" s="312">
        <f>IF(GJ30&lt;0.01,0,GJ30-GB31-GI31+GL31-GK31)</f>
        <v>0</v>
      </c>
      <c r="GK31" s="340">
        <f>Plus!O72</f>
        <v>0</v>
      </c>
      <c r="GL31" s="74"/>
      <c r="GM31" s="74"/>
      <c r="GN31" s="419">
        <f>GC31+GD31+(GE31/1.16)+(GF31/1.16)+GI31-GL31</f>
        <v>0</v>
      </c>
      <c r="GQ31" s="90">
        <f t="shared" si="80"/>
        <v>7</v>
      </c>
      <c r="GR31" s="121">
        <f t="shared" si="116"/>
        <v>0</v>
      </c>
      <c r="GT31" s="149">
        <f t="shared" si="117"/>
        <v>0</v>
      </c>
      <c r="GU31" s="2179">
        <f t="shared" ca="1" si="81"/>
        <v>0</v>
      </c>
      <c r="GW31" s="120">
        <f t="shared" si="118"/>
        <v>0</v>
      </c>
      <c r="GX31" s="110">
        <f t="shared" si="82"/>
        <v>0</v>
      </c>
      <c r="GY31" s="110">
        <f t="shared" si="83"/>
        <v>0</v>
      </c>
      <c r="GZ31" s="109">
        <f t="shared" si="84"/>
        <v>0</v>
      </c>
      <c r="HA31" s="109">
        <f t="shared" si="24"/>
        <v>0</v>
      </c>
      <c r="HB31" s="113">
        <f t="shared" si="85"/>
        <v>0</v>
      </c>
      <c r="HD31" s="102">
        <f t="shared" si="86"/>
        <v>0</v>
      </c>
      <c r="HE31" s="211">
        <f t="shared" si="129"/>
        <v>7</v>
      </c>
      <c r="HF31" s="212">
        <f t="shared" si="87"/>
        <v>0</v>
      </c>
      <c r="HG31" s="212">
        <f t="shared" si="25"/>
        <v>0</v>
      </c>
      <c r="HH31" s="212">
        <f t="shared" si="119"/>
        <v>0</v>
      </c>
      <c r="HI31" s="213">
        <f t="shared" si="26"/>
        <v>1000000</v>
      </c>
      <c r="HL31" s="182"/>
      <c r="HM31" s="26">
        <f t="shared" ca="1" si="27"/>
        <v>10</v>
      </c>
      <c r="HO31" s="268">
        <f t="shared" si="28"/>
        <v>0</v>
      </c>
      <c r="HP31" s="421">
        <f t="shared" si="120"/>
        <v>0</v>
      </c>
      <c r="HQ31" s="123">
        <f t="shared" si="88"/>
        <v>0</v>
      </c>
      <c r="HR31" s="123">
        <f t="shared" si="89"/>
        <v>0</v>
      </c>
      <c r="HS31" s="123">
        <f t="shared" si="90"/>
        <v>0</v>
      </c>
      <c r="HT31" s="123">
        <f>IF(HY30&lt;0.01,0,IF(Adm!$GS$4=Adm!$GS$8,HY30*$HY$15,IF(Adm!$GS$12=Adm!$GS$13,0,HY30*Adm!$GV$4)))</f>
        <v>0</v>
      </c>
      <c r="HU31" s="123">
        <f>IF(HY30&lt;0.01,0,IF(Adm!$GS$5=Adm!$GS$8,Cal!$BO$108*$HY$16/1.16,IF(Adm!$GS$12=Adm!$GS$13,0,Cal!$BO$108*Adm!$GW$4/1.16)))</f>
        <v>0</v>
      </c>
      <c r="HV31" s="123">
        <f t="shared" si="91"/>
        <v>0</v>
      </c>
      <c r="HW31" s="123">
        <f t="shared" si="92"/>
        <v>0</v>
      </c>
      <c r="HX31" s="123">
        <f>IF(Adm!$GH$6="si",MIN(HY30+HQ31+HT31+HU31+HV31-HW31,IH31),0)</f>
        <v>0</v>
      </c>
      <c r="HY31" s="297">
        <f t="shared" si="93"/>
        <v>0</v>
      </c>
      <c r="HZ31" s="74"/>
      <c r="IA31" s="407">
        <f t="shared" si="94"/>
        <v>0</v>
      </c>
      <c r="IC31" s="90">
        <f t="shared" si="95"/>
        <v>7</v>
      </c>
      <c r="ID31" s="124">
        <f>IF(IC31=1,Cal!$BO$127,0)</f>
        <v>0</v>
      </c>
      <c r="IE31" s="73"/>
      <c r="IG31" s="70">
        <f t="shared" si="121"/>
        <v>0</v>
      </c>
      <c r="IH31" s="2178">
        <f t="shared" ca="1" si="96"/>
        <v>0</v>
      </c>
      <c r="IK31" s="217"/>
      <c r="IL31" s="26">
        <f t="shared" ca="1" si="29"/>
        <v>10</v>
      </c>
      <c r="IN31" s="268">
        <f t="shared" si="30"/>
        <v>0</v>
      </c>
      <c r="IO31" s="421">
        <f t="shared" si="122"/>
        <v>0</v>
      </c>
      <c r="IP31" s="123">
        <f t="shared" si="97"/>
        <v>0</v>
      </c>
      <c r="IQ31" s="123">
        <f t="shared" si="98"/>
        <v>0</v>
      </c>
      <c r="IR31" s="123">
        <f t="shared" si="99"/>
        <v>0</v>
      </c>
      <c r="IS31" s="123">
        <f>IF(IX30&lt;0.01,0,IF(Adm!$GS$4=Adm!$GS$8,IX30*$IX$15,IF(Adm!$GS$12=Adm!$GS$13,0,IX30*Adm!$GV$4)))</f>
        <v>0</v>
      </c>
      <c r="IT31" s="123"/>
      <c r="IU31" s="123">
        <f t="shared" si="100"/>
        <v>0</v>
      </c>
      <c r="IV31" s="123">
        <f t="shared" si="101"/>
        <v>0</v>
      </c>
      <c r="IW31" s="123"/>
      <c r="IX31" s="297">
        <f t="shared" si="102"/>
        <v>0</v>
      </c>
      <c r="IY31" s="74"/>
      <c r="IZ31" s="416">
        <f t="shared" si="103"/>
        <v>0</v>
      </c>
      <c r="JB31" s="90">
        <f t="shared" si="104"/>
        <v>7</v>
      </c>
      <c r="JC31" s="124">
        <f>IF(JB31=1,Cal!$BP$127,0)</f>
        <v>0</v>
      </c>
      <c r="JD31" s="73"/>
    </row>
    <row r="32" spans="1:264">
      <c r="A32" s="26">
        <f t="shared" ca="1" si="0"/>
        <v>11</v>
      </c>
      <c r="C32" s="254">
        <f t="shared" si="1"/>
        <v>0</v>
      </c>
      <c r="D32" s="123">
        <f t="shared" si="31"/>
        <v>0</v>
      </c>
      <c r="E32" s="123">
        <f>IF(L31&lt;0.01,0,IF(Adm!$B$4=Adm!$A$118,0,F32-D32))</f>
        <v>0</v>
      </c>
      <c r="F32" s="123">
        <f>IF(L30&lt;0.1,0,MIN(L30+D32,IF(Adm!$B$4=Adm!$A$118,D32,F31*(1+S32))))</f>
        <v>0</v>
      </c>
      <c r="G32" s="123">
        <f>IF(L31&lt;0.01,0,IF(Adm!$S$4=Adm!$S$8,L31*$L$15,L31*Adm!$V$4))</f>
        <v>0</v>
      </c>
      <c r="H32" s="952">
        <f>IF(L31&lt;0.01,0,IF(Adm!$S$5=Adm!$S$8,Adm!$AA$11*$L$16/1.16,IF(Adm!$B$4=Adm!$A$119,0,IF(Adm!$B$4=Adm!$A$118,Adm!$AA$11*Adm!$W$4/1.16,Adm!$AA$11*Adm!$X$4/1.16))))</f>
        <v>0</v>
      </c>
      <c r="I32" s="123">
        <f>IF(L31&lt;0.01,0,Cal!$AB$126/1.16)</f>
        <v>0</v>
      </c>
      <c r="J32" s="123">
        <f t="shared" si="2"/>
        <v>0</v>
      </c>
      <c r="K32" s="123">
        <f>IF(Adm!$G$4="si",MIN(L31+D32+G32+H32+I32-J32,V32),0)</f>
        <v>0</v>
      </c>
      <c r="L32" s="123">
        <f>IF(L31&lt;0.01,0,L31-E32-K32)+M32</f>
        <v>0</v>
      </c>
      <c r="M32" s="255">
        <f>IF(AND(Adm!$B$4=Adm!$A$118,Adm!$E$13=18),Cal!$C$121,0)</f>
        <v>0</v>
      </c>
      <c r="N32" s="74"/>
      <c r="O32" s="407">
        <f>J32+K32-M32</f>
        <v>0</v>
      </c>
      <c r="R32" s="90">
        <f t="shared" si="34"/>
        <v>8</v>
      </c>
      <c r="S32" s="121">
        <f>IF(R32=1,Cal!$AB$127,0)</f>
        <v>0</v>
      </c>
      <c r="U32" s="70">
        <f t="shared" si="105"/>
        <v>0</v>
      </c>
      <c r="V32" s="2178">
        <f t="shared" ca="1" si="35"/>
        <v>0</v>
      </c>
      <c r="X32" s="398"/>
      <c r="Z32" s="268">
        <f t="shared" si="3"/>
        <v>0</v>
      </c>
      <c r="AA32" s="2176">
        <f t="shared" si="36"/>
        <v>0</v>
      </c>
      <c r="AB32" s="33">
        <f t="shared" si="37"/>
        <v>0</v>
      </c>
      <c r="AC32" s="33">
        <f t="shared" si="38"/>
        <v>0</v>
      </c>
      <c r="AD32" s="33">
        <f>IF(AI31&lt;0.01,0,IF(Adm!$S$4=Adm!$S$8,AI31*$AI$15,AI31*Adm!$V$4))</f>
        <v>0</v>
      </c>
      <c r="AE32" s="33"/>
      <c r="AF32" s="33"/>
      <c r="AG32" s="33">
        <f t="shared" si="4"/>
        <v>0</v>
      </c>
      <c r="AH32" s="33"/>
      <c r="AI32" s="401">
        <f t="shared" si="5"/>
        <v>0</v>
      </c>
      <c r="AK32" s="410">
        <f t="shared" si="6"/>
        <v>0</v>
      </c>
      <c r="AN32" s="90">
        <f t="shared" si="39"/>
        <v>8</v>
      </c>
      <c r="AO32" s="121">
        <f>IF(AN32=1,Cal!$AC$127,0)</f>
        <v>0</v>
      </c>
      <c r="AS32" s="200"/>
      <c r="AU32" s="268">
        <f t="shared" si="7"/>
        <v>0</v>
      </c>
      <c r="AV32" s="2177">
        <f t="shared" si="40"/>
        <v>0</v>
      </c>
      <c r="AW32" s="123">
        <f t="shared" si="8"/>
        <v>0</v>
      </c>
      <c r="AX32" s="123">
        <f t="shared" si="41"/>
        <v>0</v>
      </c>
      <c r="AY32" s="123">
        <f>IF(BC31&lt;0.01,0,IF(Adm!$S$4=Adm!$S$8,BC31*$BC$16,BC31*Adm!$V$4))</f>
        <v>0</v>
      </c>
      <c r="AZ32" s="123"/>
      <c r="BA32" s="123">
        <f>IF(BC31&lt;0.01,0,Adm!$Q$6)</f>
        <v>0</v>
      </c>
      <c r="BB32" s="123">
        <f t="shared" si="42"/>
        <v>0</v>
      </c>
      <c r="BC32" s="297">
        <f t="shared" si="43"/>
        <v>0</v>
      </c>
      <c r="BE32" s="425">
        <f t="shared" si="9"/>
        <v>0</v>
      </c>
      <c r="BH32" s="90">
        <f t="shared" si="44"/>
        <v>8</v>
      </c>
      <c r="BI32" s="121">
        <f>IF(BH32=1,Cal!$AD$127,0)</f>
        <v>0</v>
      </c>
      <c r="BM32" s="221"/>
      <c r="BO32" s="295">
        <f t="shared" ca="1" si="10"/>
        <v>11</v>
      </c>
      <c r="BP32" s="268">
        <f t="shared" si="11"/>
        <v>0</v>
      </c>
      <c r="BQ32" s="123">
        <f t="shared" si="45"/>
        <v>0</v>
      </c>
      <c r="BR32" s="123">
        <f>IF(BZ31&lt;0.01,0,IF(OR(Plus!$F$10=Plus!$AK$10,Plus!$F$10=Plus!$AK$11),0,BS32-BQ32))</f>
        <v>0</v>
      </c>
      <c r="BS32" s="123">
        <f>IF(BZ30&lt;0.1,0,MIN(BZ30+BQ32,IF(OR(Plus!$F$10=Plus!$AK$10,Plus!$F$10=Plus!$AK$11),BQ32,BS31*(1+CG32))))</f>
        <v>0</v>
      </c>
      <c r="BT32" s="123">
        <f>IF(BZ31&lt;0.01,0,IF(Plus!$F$22=Plus!$AN$4,BZ31*$BZ$15,IF(Plus!$F$22=Plus!$AN$3,BZ31*Plus!$F$23/1000,BZ31*VLOOKUP(Plus!$G$21,Plus!$AP$2:'Plus'!$AQ$5,2,0))))</f>
        <v>0</v>
      </c>
      <c r="BU32" s="123">
        <f>IF(BZ31&lt;0.01,0,IF(Plus!$F$24=Plus!$AO$3,Plus!$G$13*$BZ$16/1.16,IF(Plus!$F$10=Plus!$AK$7,0,IF(OR(Plus!$F$10=Plus!$AK$10,Plus!$F$10=Plus!$AK$11),Plus!$G$13*Plus!$AR$4/1.16,Plus!$G$13*Plus!$AR$2/1.16))))</f>
        <v>0</v>
      </c>
      <c r="BV32" s="123">
        <f>IF(BZ31&lt;0.01,0,Plus!$BD$2)</f>
        <v>0</v>
      </c>
      <c r="BW32" s="123"/>
      <c r="BX32" s="123">
        <f t="shared" si="12"/>
        <v>0</v>
      </c>
      <c r="BY32" s="123">
        <f>IF(Plus!$F$10=Plus!$AK$3,MIN(BZ31+BQ32+BT32+BU32+BV32-BX32,CJ32),0)</f>
        <v>0</v>
      </c>
      <c r="BZ32" s="297">
        <f t="shared" si="123"/>
        <v>0</v>
      </c>
      <c r="CA32" s="276">
        <f>Plus!P73</f>
        <v>0</v>
      </c>
      <c r="CB32" s="74"/>
      <c r="CC32" s="413">
        <f>BX32+BY32-CA32</f>
        <v>0</v>
      </c>
      <c r="CF32" s="90">
        <f t="shared" si="48"/>
        <v>8</v>
      </c>
      <c r="CG32" s="121">
        <f t="shared" si="106"/>
        <v>0</v>
      </c>
      <c r="CI32" s="70">
        <f t="shared" si="107"/>
        <v>0</v>
      </c>
      <c r="CJ32" s="2178">
        <f t="shared" ca="1" si="49"/>
        <v>0</v>
      </c>
      <c r="CL32" s="161"/>
      <c r="CN32" s="308">
        <f t="shared" ca="1" si="13"/>
        <v>11</v>
      </c>
      <c r="CO32" s="309">
        <f t="shared" si="50"/>
        <v>0</v>
      </c>
      <c r="CP32" s="268">
        <f t="shared" si="14"/>
        <v>0</v>
      </c>
      <c r="CQ32" s="123">
        <f t="shared" si="51"/>
        <v>0</v>
      </c>
      <c r="CR32" s="123">
        <f>IF(CZ31&lt;0.01,0,MIN(CZ31,IF(OR(Plus!$F$10=Plus!$AK$10,Plus!$F$10=Plus!$AK$11),0,CS32-CQ32)))</f>
        <v>0</v>
      </c>
      <c r="CS32" s="123">
        <f>IF(CZ30&lt;0.1,0,MIN(CZ31+CQ32,IF(DN32&gt;0,DN32,IF(OR(Plus!$F$10=Plus!$AK$10,Plus!$F$10=Plus!$AK$11),CQ32,CS31*(1+DH32)))))</f>
        <v>0</v>
      </c>
      <c r="CT32" s="33">
        <f>IF(CZ31&lt;0.01,0,IF(Plus!$F$22=Plus!$AN$4,0,IF(Plus!$F$22=Plus!$AN$3,CZ31*Plus!$F$23/1000,CZ31*VLOOKUP(Plus!$G$21,Plus!$AP$2:'Plus'!$AQ$5,2,0))))</f>
        <v>0</v>
      </c>
      <c r="CU32" s="123">
        <f>IF(CZ31&lt;0.01,0,IF(Plus!$F$24=Plus!$AO$3,0,IF(OR(Plus!$F$10=Plus!$AK$7,Plus!$F$10=Plus!$AK$13),0,IF(OR(Plus!$F$10=Plus!$AK$10,Plus!$F$10=Plus!$AK$11),Plus!$G$13*Plus!$AR$4,Plus!$G$13*Plus!$AR$2))))</f>
        <v>0</v>
      </c>
      <c r="CV32" s="123">
        <f>IF(CZ31&lt;0.01,0,IF(OR(Plus!$F$10=Plus!$AK$7,Plus!$F$10=Plus!$AK$13),0,Plus!$BD$2*1.16))</f>
        <v>0</v>
      </c>
      <c r="CW32" s="123">
        <f>IF(CZ31&lt;0.01,0,IF(Plus!$AS$2&gt;0,CQ32*Plus!$AS$3,0))</f>
        <v>0</v>
      </c>
      <c r="CX32" s="123">
        <f t="shared" si="52"/>
        <v>0</v>
      </c>
      <c r="CY32" s="123">
        <f>IF(Plus!$F$10=Plus!$AK$3,MIN(CZ31+CQ32+CT32+CU32+CV32-CX32,DK32),0)</f>
        <v>0</v>
      </c>
      <c r="CZ32" s="297">
        <f t="shared" si="53"/>
        <v>0</v>
      </c>
      <c r="DA32" s="306">
        <f>Plus!O73</f>
        <v>0</v>
      </c>
      <c r="DB32" s="314">
        <f>Plus!P73</f>
        <v>0</v>
      </c>
      <c r="DC32" s="74"/>
      <c r="DD32" s="407">
        <f t="shared" si="54"/>
        <v>0</v>
      </c>
      <c r="DG32" s="90">
        <f t="shared" si="55"/>
        <v>8</v>
      </c>
      <c r="DH32" s="121">
        <f t="shared" si="108"/>
        <v>0</v>
      </c>
      <c r="DJ32" s="149">
        <f t="shared" si="109"/>
        <v>0</v>
      </c>
      <c r="DK32" s="2179">
        <f t="shared" ca="1" si="56"/>
        <v>0</v>
      </c>
      <c r="DN32" s="120">
        <f t="shared" si="110"/>
        <v>0</v>
      </c>
      <c r="DO32" s="110">
        <f t="shared" si="57"/>
        <v>0</v>
      </c>
      <c r="DP32" s="110">
        <f t="shared" si="124"/>
        <v>0</v>
      </c>
      <c r="DQ32" s="109">
        <f t="shared" si="58"/>
        <v>0</v>
      </c>
      <c r="DR32" s="109">
        <f t="shared" si="59"/>
        <v>0</v>
      </c>
      <c r="DS32" s="113">
        <f t="shared" si="60"/>
        <v>0</v>
      </c>
      <c r="DU32" s="102">
        <f t="shared" si="61"/>
        <v>0</v>
      </c>
      <c r="DV32" s="211">
        <f t="shared" si="125"/>
        <v>8</v>
      </c>
      <c r="DW32" s="212">
        <f t="shared" si="62"/>
        <v>0</v>
      </c>
      <c r="DX32" s="212">
        <f t="shared" si="15"/>
        <v>0</v>
      </c>
      <c r="DY32" s="212">
        <f t="shared" si="111"/>
        <v>0</v>
      </c>
      <c r="DZ32" s="213">
        <f t="shared" si="16"/>
        <v>1000000</v>
      </c>
      <c r="ED32" s="182"/>
      <c r="EF32" s="308">
        <f t="shared" ca="1" si="17"/>
        <v>11</v>
      </c>
      <c r="EG32" s="309">
        <f t="shared" si="63"/>
        <v>0</v>
      </c>
      <c r="EH32" s="268">
        <f t="shared" si="18"/>
        <v>0</v>
      </c>
      <c r="EI32" s="33">
        <f t="shared" si="64"/>
        <v>0</v>
      </c>
      <c r="EJ32" s="33">
        <f>IF(CZ31&lt;0.01,0,IF(OR(Plus!$F$10=Plus!$AK$10,Plus!$F$10=Plus!$AK$11),0,EK32-EI32))</f>
        <v>0</v>
      </c>
      <c r="EK32" s="33">
        <f>IF(ER30&lt;0.1,0,MIN(ER31+EI32,IF(FE32&gt;0,FE32,IF(OR(Plus!$F$10=Plus!$AK$10,Plus!$F$10=Plus!$AK$11),EI32,EK31*(1+EZ32)))))</f>
        <v>0</v>
      </c>
      <c r="EL32" s="33">
        <f>IF(ER31&lt;0.01,0,IF(Plus!$F$22=Plus!$AN$4,0,IF(Plus!$F$22=Plus!$AN$3,ER31*Plus!$F$23/1000,ER31*VLOOKUP(Plus!$G$21,Plus!$AP$2:'Plus'!$AQ$5,2,0))))</f>
        <v>0</v>
      </c>
      <c r="EM32" s="33">
        <f>IF(ER31&lt;0.01,0,IF(Plus!$F$24=Plus!$AO$3,0,IF(OR(Plus!$F$10=Plus!$AK$7,Plus!$F$10=Plus!$AK$13),0,IF(OR(Plus!$F$10=Plus!$AK$10,Plus!$F$10=Plus!$AK$11),Plus!$G$13*Plus!$AR$4,Plus!$G$13*Plus!$AR$2))))</f>
        <v>0</v>
      </c>
      <c r="EN32" s="33">
        <f>IF(ER31&lt;0.01,0,IF(OR(Plus!$F$10=Plus!$AK$7,Plus!$F$10=Plus!$AK$13),0,Plus!$BD$2*1.16))</f>
        <v>0</v>
      </c>
      <c r="EO32" s="33">
        <f>IF(ER31&lt;0.01,0,IF(Plus!$AS$2&gt;0,EI32*Plus!$AS$3,0))</f>
        <v>0</v>
      </c>
      <c r="EP32" s="33">
        <f t="shared" si="65"/>
        <v>0</v>
      </c>
      <c r="EQ32" s="33">
        <f>IF(Plus!$F$10=Plus!$AK$3,MIN(ER31+EI32+EL32+EM32+EN32-EP32,FC32),0)</f>
        <v>0</v>
      </c>
      <c r="ER32" s="297">
        <f t="shared" si="66"/>
        <v>0</v>
      </c>
      <c r="ES32" s="340">
        <f>Plus!O73</f>
        <v>0</v>
      </c>
      <c r="ET32" s="356">
        <f>Plus!P73</f>
        <v>0</v>
      </c>
      <c r="EU32" s="74"/>
      <c r="EV32" s="416">
        <f t="shared" ref="EV32" si="132">EK32+EL32+(EM32/1.16)+(EN32/1.16)+EQ32</f>
        <v>0</v>
      </c>
      <c r="EY32" s="90">
        <f t="shared" si="68"/>
        <v>8</v>
      </c>
      <c r="EZ32" s="121">
        <f t="shared" si="112"/>
        <v>0</v>
      </c>
      <c r="FB32" s="149">
        <f t="shared" si="113"/>
        <v>0</v>
      </c>
      <c r="FC32" s="2179">
        <f t="shared" ca="1" si="69"/>
        <v>0</v>
      </c>
      <c r="FE32" s="120">
        <f t="shared" si="114"/>
        <v>0</v>
      </c>
      <c r="FF32" s="110">
        <f t="shared" si="70"/>
        <v>0</v>
      </c>
      <c r="FG32" s="110">
        <f t="shared" si="71"/>
        <v>0</v>
      </c>
      <c r="FH32" s="109">
        <f t="shared" si="72"/>
        <v>0</v>
      </c>
      <c r="FI32" s="109">
        <f t="shared" si="19"/>
        <v>0</v>
      </c>
      <c r="FJ32" s="113">
        <f t="shared" si="73"/>
        <v>0</v>
      </c>
      <c r="FL32" s="102">
        <f t="shared" si="74"/>
        <v>0</v>
      </c>
      <c r="FM32" s="211">
        <f t="shared" si="127"/>
        <v>8</v>
      </c>
      <c r="FN32" s="212">
        <f t="shared" si="75"/>
        <v>0</v>
      </c>
      <c r="FO32" s="212">
        <f t="shared" si="20"/>
        <v>0</v>
      </c>
      <c r="FP32" s="212">
        <f t="shared" si="115"/>
        <v>0</v>
      </c>
      <c r="FQ32" s="213">
        <f t="shared" si="21"/>
        <v>1000000</v>
      </c>
      <c r="FV32" s="359"/>
      <c r="FX32" s="308">
        <f t="shared" ca="1" si="22"/>
        <v>11</v>
      </c>
      <c r="FY32" s="309">
        <f t="shared" si="76"/>
        <v>0</v>
      </c>
      <c r="FZ32" s="268">
        <f t="shared" si="23"/>
        <v>0</v>
      </c>
      <c r="GA32" s="33">
        <f t="shared" si="77"/>
        <v>0</v>
      </c>
      <c r="GB32" s="33">
        <f>IF(GJ31&lt;0.01,0,IF(OR(Plus!$F$10=Plus!$AK$10,Plus!$F$10=Plus!$AK$11),0,GC32-GA32))</f>
        <v>0</v>
      </c>
      <c r="GC32" s="33">
        <f>IF(GJ30&lt;0.1,0,MIN(GJ31+GA32,IF(GW32&gt;0,GW32,IF(OR(Plus!$F$10=Plus!$AK$10,Plus!$F$10=Plus!$AK$11),GA32,GC31*(1+GR32)))))</f>
        <v>0</v>
      </c>
      <c r="GD32" s="33">
        <f>IF(GJ31&lt;0.01,0,IF(Plus!$F$22=Plus!$AN$4,0,IF(Plus!$F$22=Plus!$AN$3,GJ31*Plus!$F$23/1000,GJ31*VLOOKUP(Plus!$G$21,Plus!$AP$2:$AQ$5,2,0))))</f>
        <v>0</v>
      </c>
      <c r="GE32" s="33">
        <f>IF(GJ31&lt;0.01,0,IF(Plus!$F$24=Plus!$AO$3,0,IF(OR(Plus!$F$10=Plus!$AK$7,Plus!$F$10=Plus!$AK$13,Plus!$F$10=Plus!$AK$14),0,IF(OR(Plus!$F$10=Plus!$AK$10,Plus!$F$10=Plus!$AK$11),Plus!$G$13*Adm!$W$7,Plus!$G$13*Adm!$X$4))))</f>
        <v>0</v>
      </c>
      <c r="GF32" s="33">
        <f>IF(GJ31&lt;0.01,0,IF(OR(Plus!$F$10=Plus!$AK$7,Plus!$F$10=Plus!$AK$13),0,Plus!$BD$2*1.16))</f>
        <v>0</v>
      </c>
      <c r="GG32" s="33">
        <f>IF(GJ31&lt;0.01,0,IF(Plus!$AS$2&gt;0,GA32*Plus!$AS$3,0))</f>
        <v>0</v>
      </c>
      <c r="GH32" s="33">
        <f t="shared" si="78"/>
        <v>0</v>
      </c>
      <c r="GI32" s="33">
        <f>IF(Plus!$F$10=Plus!$AK$3,MIN(GJ31+GA32+GD32+GE32+GF32-GH32,GU32),0)</f>
        <v>0</v>
      </c>
      <c r="GJ32" s="311">
        <f>IF(GJ31&lt;0.01,0,GJ31-GB32-GI32-GK32)</f>
        <v>0</v>
      </c>
      <c r="GK32" s="340">
        <f>Plus!O73</f>
        <v>0</v>
      </c>
      <c r="GL32" s="364">
        <f>Plus!P73</f>
        <v>0</v>
      </c>
      <c r="GM32" s="74"/>
      <c r="GN32" s="419">
        <f t="shared" ref="GN32" si="133">GC32+GD32+(GE32/1.16)+(GF32/1.16)+GI32</f>
        <v>0</v>
      </c>
      <c r="GQ32" s="90">
        <f t="shared" si="80"/>
        <v>8</v>
      </c>
      <c r="GR32" s="121">
        <f t="shared" si="116"/>
        <v>0</v>
      </c>
      <c r="GT32" s="149">
        <f t="shared" si="117"/>
        <v>0</v>
      </c>
      <c r="GU32" s="2179">
        <f t="shared" ca="1" si="81"/>
        <v>0</v>
      </c>
      <c r="GW32" s="120">
        <f t="shared" si="118"/>
        <v>0</v>
      </c>
      <c r="GX32" s="110">
        <f t="shared" si="82"/>
        <v>0</v>
      </c>
      <c r="GY32" s="110">
        <f t="shared" si="83"/>
        <v>0</v>
      </c>
      <c r="GZ32" s="109">
        <f t="shared" si="84"/>
        <v>0</v>
      </c>
      <c r="HA32" s="109">
        <f t="shared" si="24"/>
        <v>0</v>
      </c>
      <c r="HB32" s="113">
        <f t="shared" si="85"/>
        <v>0</v>
      </c>
      <c r="HD32" s="102">
        <f t="shared" si="86"/>
        <v>0</v>
      </c>
      <c r="HE32" s="211">
        <f t="shared" si="129"/>
        <v>8</v>
      </c>
      <c r="HF32" s="212">
        <f t="shared" si="87"/>
        <v>0</v>
      </c>
      <c r="HG32" s="212">
        <f t="shared" si="25"/>
        <v>0</v>
      </c>
      <c r="HH32" s="212">
        <f t="shared" si="119"/>
        <v>0</v>
      </c>
      <c r="HI32" s="213">
        <f t="shared" si="26"/>
        <v>1000000</v>
      </c>
      <c r="HL32" s="182"/>
      <c r="HM32" s="26">
        <f t="shared" ca="1" si="27"/>
        <v>11</v>
      </c>
      <c r="HO32" s="268">
        <f t="shared" si="28"/>
        <v>0</v>
      </c>
      <c r="HP32" s="421">
        <f t="shared" si="120"/>
        <v>0</v>
      </c>
      <c r="HQ32" s="123">
        <f t="shared" si="88"/>
        <v>0</v>
      </c>
      <c r="HR32" s="123">
        <f t="shared" si="89"/>
        <v>0</v>
      </c>
      <c r="HS32" s="123">
        <f t="shared" si="90"/>
        <v>0</v>
      </c>
      <c r="HT32" s="123">
        <f>IF(HY31&lt;0.01,0,IF(Adm!$GS$4=Adm!$GS$8,HY31*$HY$15,IF(Adm!$GS$12=Adm!$GS$13,0,HY31*Adm!$GV$4)))</f>
        <v>0</v>
      </c>
      <c r="HU32" s="123">
        <f>IF(HY31&lt;0.01,0,IF(Adm!$GS$5=Adm!$GS$8,Cal!$BO$108*$HY$16/1.16,IF(Adm!$GS$12=Adm!$GS$13,0,Cal!$BO$108*Adm!$GW$4/1.16)))</f>
        <v>0</v>
      </c>
      <c r="HV32" s="123">
        <f t="shared" si="91"/>
        <v>0</v>
      </c>
      <c r="HW32" s="123">
        <f t="shared" si="92"/>
        <v>0</v>
      </c>
      <c r="HX32" s="123">
        <f>IF(Adm!$GH$6="si",MIN(HY31+HQ32+HT32+HU32+HV32-HW32,IH32),0)</f>
        <v>0</v>
      </c>
      <c r="HY32" s="297">
        <f t="shared" si="93"/>
        <v>0</v>
      </c>
      <c r="HZ32" s="74"/>
      <c r="IA32" s="407">
        <f t="shared" si="94"/>
        <v>0</v>
      </c>
      <c r="IC32" s="90">
        <f t="shared" si="95"/>
        <v>8</v>
      </c>
      <c r="ID32" s="124">
        <f>IF(IC32=1,Cal!$BO$127,0)</f>
        <v>0</v>
      </c>
      <c r="IE32" s="73"/>
      <c r="IG32" s="70">
        <f t="shared" si="121"/>
        <v>0</v>
      </c>
      <c r="IH32" s="2178">
        <f t="shared" ca="1" si="96"/>
        <v>0</v>
      </c>
      <c r="IK32" s="217"/>
      <c r="IL32" s="26">
        <f t="shared" ca="1" si="29"/>
        <v>11</v>
      </c>
      <c r="IN32" s="268">
        <f t="shared" si="30"/>
        <v>0</v>
      </c>
      <c r="IO32" s="421">
        <f t="shared" si="122"/>
        <v>0</v>
      </c>
      <c r="IP32" s="123">
        <f t="shared" si="97"/>
        <v>0</v>
      </c>
      <c r="IQ32" s="123">
        <f t="shared" si="98"/>
        <v>0</v>
      </c>
      <c r="IR32" s="123">
        <f t="shared" si="99"/>
        <v>0</v>
      </c>
      <c r="IS32" s="123">
        <f>IF(IX31&lt;0.01,0,IF(Adm!$GS$4=Adm!$GS$8,IX31*$IX$15,IF(Adm!$GS$12=Adm!$GS$13,0,IX31*Adm!$GV$4)))</f>
        <v>0</v>
      </c>
      <c r="IT32" s="123"/>
      <c r="IU32" s="123">
        <f t="shared" si="100"/>
        <v>0</v>
      </c>
      <c r="IV32" s="123">
        <f t="shared" si="101"/>
        <v>0</v>
      </c>
      <c r="IW32" s="123"/>
      <c r="IX32" s="297">
        <f t="shared" si="102"/>
        <v>0</v>
      </c>
      <c r="IY32" s="74"/>
      <c r="IZ32" s="416">
        <f t="shared" si="103"/>
        <v>0</v>
      </c>
      <c r="JB32" s="90">
        <f t="shared" si="104"/>
        <v>8</v>
      </c>
      <c r="JC32" s="124">
        <f>IF(JB32=1,Cal!$BP$127,0)</f>
        <v>0</v>
      </c>
      <c r="JD32" s="73"/>
    </row>
    <row r="33" spans="1:264">
      <c r="A33" s="26">
        <f t="shared" ca="1" si="0"/>
        <v>12</v>
      </c>
      <c r="C33" s="452">
        <f t="shared" si="1"/>
        <v>0</v>
      </c>
      <c r="D33" s="123">
        <f t="shared" si="31"/>
        <v>0</v>
      </c>
      <c r="E33" s="123">
        <f>IF(L32&lt;0.01,0,IF(Adm!$B$4=Adm!$A$118,0,F33-D33))</f>
        <v>0</v>
      </c>
      <c r="F33" s="123">
        <f>IF(L31&lt;0.1,0,MIN(L31+D33,IF(Adm!$B$4=Adm!$A$118,D33,F32*(1+S33))))</f>
        <v>0</v>
      </c>
      <c r="G33" s="123">
        <f>IF(L32&lt;0.01,0,IF(Adm!$S$4=Adm!$S$8,L32*$L$15,L32*Adm!$V$4))</f>
        <v>0</v>
      </c>
      <c r="H33" s="952">
        <f>IF(L32&lt;0.01,0,IF(Adm!$S$5=Adm!$S$8,Adm!$AA$11*$L$16/1.16,IF(Adm!$B$4=Adm!$A$119,0,IF(Adm!$B$4=Adm!$A$118,Adm!$AA$11*Adm!$W$4/1.16,Adm!$AA$11*Adm!$X$4/1.16))))</f>
        <v>0</v>
      </c>
      <c r="I33" s="123">
        <f>IF(L32&lt;0.01,0,Cal!$AB$126/1.16)</f>
        <v>0</v>
      </c>
      <c r="J33" s="123">
        <f t="shared" si="2"/>
        <v>0</v>
      </c>
      <c r="K33" s="123">
        <f>IF(Adm!$G$4="si",MIN(L32+D33+G33+H33+I33-J33,V33),0)</f>
        <v>0</v>
      </c>
      <c r="L33" s="123">
        <f>IF(L32&lt;0.01,0,L32-E33-K33)+M33</f>
        <v>0</v>
      </c>
      <c r="M33" s="453">
        <f>IF(AND(Adm!$B$4=Adm!$A$118,Adm!$E$13=12),Cal!$C$121,0)</f>
        <v>0</v>
      </c>
      <c r="N33" s="74"/>
      <c r="O33" s="407">
        <f>J33+K33-M33</f>
        <v>0</v>
      </c>
      <c r="R33" s="90">
        <f t="shared" si="34"/>
        <v>9</v>
      </c>
      <c r="S33" s="121">
        <f>IF(R33=1,Cal!$AB$127,0)</f>
        <v>0</v>
      </c>
      <c r="U33" s="70">
        <f t="shared" si="105"/>
        <v>0</v>
      </c>
      <c r="V33" s="2178">
        <f t="shared" ca="1" si="35"/>
        <v>0</v>
      </c>
      <c r="X33" s="398"/>
      <c r="Z33" s="268">
        <f t="shared" si="3"/>
        <v>0</v>
      </c>
      <c r="AA33" s="2176">
        <f t="shared" si="36"/>
        <v>0</v>
      </c>
      <c r="AB33" s="33">
        <f t="shared" si="37"/>
        <v>0</v>
      </c>
      <c r="AC33" s="33">
        <f t="shared" si="38"/>
        <v>0</v>
      </c>
      <c r="AD33" s="33">
        <f>IF(AI32&lt;0.01,0,IF(Adm!$S$4=Adm!$S$8,AI32*$AI$15,AI32*Adm!$V$4))</f>
        <v>0</v>
      </c>
      <c r="AE33" s="33"/>
      <c r="AF33" s="33"/>
      <c r="AG33" s="33">
        <f t="shared" si="4"/>
        <v>0</v>
      </c>
      <c r="AH33" s="33"/>
      <c r="AI33" s="401">
        <f t="shared" si="5"/>
        <v>0</v>
      </c>
      <c r="AK33" s="410">
        <f t="shared" si="6"/>
        <v>0</v>
      </c>
      <c r="AN33" s="90">
        <f t="shared" si="39"/>
        <v>9</v>
      </c>
      <c r="AO33" s="121">
        <f>IF(AN33=1,Cal!$AC$127,0)</f>
        <v>0</v>
      </c>
      <c r="AS33" s="200"/>
      <c r="AU33" s="268">
        <f t="shared" si="7"/>
        <v>0</v>
      </c>
      <c r="AV33" s="2177">
        <f t="shared" si="40"/>
        <v>0</v>
      </c>
      <c r="AW33" s="123">
        <f t="shared" si="8"/>
        <v>0</v>
      </c>
      <c r="AX33" s="123">
        <f t="shared" si="41"/>
        <v>0</v>
      </c>
      <c r="AY33" s="123">
        <f>IF(BC32&lt;0.01,0,IF(Adm!$S$4=Adm!$S$8,BC32*$BC$16,BC32*Adm!$V$4))</f>
        <v>0</v>
      </c>
      <c r="AZ33" s="123"/>
      <c r="BA33" s="123">
        <f>IF(BC32&lt;0.01,0,Adm!$Q$6)</f>
        <v>0</v>
      </c>
      <c r="BB33" s="123">
        <f t="shared" si="42"/>
        <v>0</v>
      </c>
      <c r="BC33" s="297">
        <f t="shared" si="43"/>
        <v>0</v>
      </c>
      <c r="BE33" s="425">
        <f t="shared" si="9"/>
        <v>0</v>
      </c>
      <c r="BH33" s="90">
        <f t="shared" si="44"/>
        <v>9</v>
      </c>
      <c r="BI33" s="121">
        <f>IF(BH33=1,Cal!$AD$127,0)</f>
        <v>0</v>
      </c>
      <c r="BM33" s="221"/>
      <c r="BO33" s="295">
        <f t="shared" ca="1" si="10"/>
        <v>12</v>
      </c>
      <c r="BP33" s="268">
        <f t="shared" si="11"/>
        <v>0</v>
      </c>
      <c r="BQ33" s="123">
        <f t="shared" si="45"/>
        <v>0</v>
      </c>
      <c r="BR33" s="123">
        <f>IF(BZ32&lt;0.01,0,IF(OR(Plus!$F$10=Plus!$AK$10,Plus!$F$10=Plus!$AK$11),0,BS33-BQ33))</f>
        <v>0</v>
      </c>
      <c r="BS33" s="123">
        <f>IF(BZ31&lt;0.1,0,MIN(BZ31+BQ33,IF(OR(Plus!$F$10=Plus!$AK$10,Plus!$F$10=Plus!$AK$11),BQ33,BS32*(1+CG33))))</f>
        <v>0</v>
      </c>
      <c r="BT33" s="123">
        <f>IF(BZ32&lt;0.01,0,IF(Plus!$F$22=Plus!$AN$4,BZ32*$BZ$15,IF(Plus!$F$22=Plus!$AN$3,BZ32*Plus!$F$23/1000,BZ32*VLOOKUP(Plus!$G$21,Plus!$AP$2:'Plus'!$AQ$5,2,0))))</f>
        <v>0</v>
      </c>
      <c r="BU33" s="123">
        <f>IF(BZ32&lt;0.01,0,IF(Plus!$F$24=Plus!$AO$3,Plus!$G$13*$BZ$16/1.16,IF(Plus!$F$10=Plus!$AK$7,0,IF(OR(Plus!$F$10=Plus!$AK$10,Plus!$F$10=Plus!$AK$11),Plus!$G$13*Plus!$AR$4/1.16,Plus!$G$13*Plus!$AR$2/1.16))))</f>
        <v>0</v>
      </c>
      <c r="BV33" s="123">
        <f>IF(BZ32&lt;0.01,0,Plus!$BD$2)</f>
        <v>0</v>
      </c>
      <c r="BW33" s="123"/>
      <c r="BX33" s="123">
        <f t="shared" si="12"/>
        <v>0</v>
      </c>
      <c r="BY33" s="123">
        <f>IF(Plus!$F$10=Plus!$AK$3,MIN(BZ32+BQ33+BT33+BU33+BV33-BX33,CJ33),0)</f>
        <v>0</v>
      </c>
      <c r="BZ33" s="298">
        <f t="shared" si="123"/>
        <v>0</v>
      </c>
      <c r="CA33" s="276">
        <f>Plus!P74</f>
        <v>0</v>
      </c>
      <c r="CB33" s="74"/>
      <c r="CC33" s="413">
        <f>BX33+BY33-CA33</f>
        <v>0</v>
      </c>
      <c r="CF33" s="90">
        <f t="shared" si="48"/>
        <v>9</v>
      </c>
      <c r="CG33" s="121">
        <f t="shared" si="106"/>
        <v>0</v>
      </c>
      <c r="CI33" s="70">
        <f t="shared" si="107"/>
        <v>0</v>
      </c>
      <c r="CJ33" s="2178">
        <f t="shared" ca="1" si="49"/>
        <v>0</v>
      </c>
      <c r="CL33" s="161"/>
      <c r="CN33" s="308">
        <f t="shared" ca="1" si="13"/>
        <v>12</v>
      </c>
      <c r="CO33" s="309">
        <f t="shared" si="50"/>
        <v>0</v>
      </c>
      <c r="CP33" s="268">
        <f t="shared" si="14"/>
        <v>0</v>
      </c>
      <c r="CQ33" s="123">
        <f t="shared" si="51"/>
        <v>0</v>
      </c>
      <c r="CR33" s="123">
        <f>IF(CZ32&lt;0.01,0,MIN(CZ32,IF(OR(Plus!$F$10=Plus!$AK$10,Plus!$F$10=Plus!$AK$11),0,CS33-CQ33)))</f>
        <v>0</v>
      </c>
      <c r="CS33" s="123">
        <f>IF(CZ31&lt;0.1,0,MIN(CZ32+CQ33,IF(DN33&gt;0,DN33,IF(OR(Plus!$F$10=Plus!$AK$10,Plus!$F$10=Plus!$AK$11),CQ33,CS32*(1+DH33)))))</f>
        <v>0</v>
      </c>
      <c r="CT33" s="33">
        <f>IF(CZ32&lt;0.01,0,IF(Plus!$F$22=Plus!$AN$4,0,IF(Plus!$F$22=Plus!$AN$3,CZ32*Plus!$F$23/1000,CZ32*VLOOKUP(Plus!$G$21,Plus!$AP$2:'Plus'!$AQ$5,2,0))))</f>
        <v>0</v>
      </c>
      <c r="CU33" s="123">
        <f>IF(CZ32&lt;0.01,0,IF(Plus!$F$24=Plus!$AO$3,0,IF(OR(Plus!$F$10=Plus!$AK$7,Plus!$F$10=Plus!$AK$13),0,IF(OR(Plus!$F$10=Plus!$AK$10,Plus!$F$10=Plus!$AK$11),Plus!$G$13*Plus!$AR$4,Plus!$G$13*Plus!$AR$2))))</f>
        <v>0</v>
      </c>
      <c r="CV33" s="123">
        <f>IF(CZ32&lt;0.01,0,IF(OR(Plus!$F$10=Plus!$AK$7,Plus!$F$10=Plus!$AK$13),0,Plus!$BD$2*1.16))</f>
        <v>0</v>
      </c>
      <c r="CW33" s="123">
        <f>IF(CZ32&lt;0.01,0,IF(Plus!$AS$2&gt;0,CQ33*Plus!$AS$3,0))</f>
        <v>0</v>
      </c>
      <c r="CX33" s="123">
        <f t="shared" si="52"/>
        <v>0</v>
      </c>
      <c r="CY33" s="123">
        <f>IF(Plus!$F$10=Plus!$AK$3,MIN(CZ32+CQ33+CT33+CU33+CV33-CX33,DK33),0)</f>
        <v>0</v>
      </c>
      <c r="CZ33" s="1083">
        <f t="shared" si="53"/>
        <v>0</v>
      </c>
      <c r="DA33" s="306">
        <f>Plus!O74</f>
        <v>0</v>
      </c>
      <c r="DB33" s="314">
        <f>Plus!P74</f>
        <v>0</v>
      </c>
      <c r="DC33" s="74"/>
      <c r="DD33" s="407">
        <f>CS33+CT33+(CU33/1.16)+(CV33/1.16)+CY33-DB33</f>
        <v>0</v>
      </c>
      <c r="DG33" s="90">
        <f t="shared" si="55"/>
        <v>9</v>
      </c>
      <c r="DH33" s="121">
        <f t="shared" si="108"/>
        <v>0</v>
      </c>
      <c r="DJ33" s="149">
        <f t="shared" si="109"/>
        <v>0</v>
      </c>
      <c r="DK33" s="2179">
        <f t="shared" ca="1" si="56"/>
        <v>0</v>
      </c>
      <c r="DN33" s="120">
        <f t="shared" si="110"/>
        <v>0</v>
      </c>
      <c r="DO33" s="110">
        <f t="shared" si="57"/>
        <v>0</v>
      </c>
      <c r="DP33" s="110">
        <f t="shared" si="124"/>
        <v>0</v>
      </c>
      <c r="DQ33" s="109">
        <f t="shared" si="58"/>
        <v>0</v>
      </c>
      <c r="DR33" s="109">
        <f t="shared" si="59"/>
        <v>0</v>
      </c>
      <c r="DS33" s="113">
        <f t="shared" si="60"/>
        <v>0</v>
      </c>
      <c r="DU33" s="102">
        <f t="shared" si="61"/>
        <v>0</v>
      </c>
      <c r="DV33" s="211">
        <f t="shared" si="125"/>
        <v>9</v>
      </c>
      <c r="DW33" s="212">
        <f t="shared" si="62"/>
        <v>0</v>
      </c>
      <c r="DX33" s="212">
        <f t="shared" si="15"/>
        <v>0</v>
      </c>
      <c r="DY33" s="212">
        <f t="shared" si="111"/>
        <v>0</v>
      </c>
      <c r="DZ33" s="213">
        <f t="shared" si="16"/>
        <v>1000000</v>
      </c>
      <c r="ED33" s="182"/>
      <c r="EF33" s="308">
        <f t="shared" ca="1" si="17"/>
        <v>12</v>
      </c>
      <c r="EG33" s="309">
        <f t="shared" si="63"/>
        <v>0</v>
      </c>
      <c r="EH33" s="268">
        <f t="shared" si="18"/>
        <v>0</v>
      </c>
      <c r="EI33" s="33">
        <f t="shared" si="64"/>
        <v>0</v>
      </c>
      <c r="EJ33" s="33">
        <f>IF(CZ32&lt;0.01,0,IF(OR(Plus!$F$10=Plus!$AK$10,Plus!$F$10=Plus!$AK$11),0,EK33-EI33))</f>
        <v>0</v>
      </c>
      <c r="EK33" s="33">
        <f>IF(ER31&lt;0.1,0,MIN(ER32+EI33,IF(FE33&gt;0,FE33,IF(OR(Plus!$F$10=Plus!$AK$10,Plus!$F$10=Plus!$AK$11),EI33,EK32*(1+EZ33)))))</f>
        <v>0</v>
      </c>
      <c r="EL33" s="33">
        <f>IF(ER32&lt;0.01,0,IF(Plus!$F$22=Plus!$AN$4,0,IF(Plus!$F$22=Plus!$AN$3,ER32*Plus!$F$23/1000,ER32*VLOOKUP(Plus!$G$21,Plus!$AP$2:'Plus'!$AQ$5,2,0))))</f>
        <v>0</v>
      </c>
      <c r="EM33" s="33">
        <f>IF(ER32&lt;0.01,0,IF(Plus!$F$24=Plus!$AO$3,0,IF(OR(Plus!$F$10=Plus!$AK$7,Plus!$F$10=Plus!$AK$13),0,IF(OR(Plus!$F$10=Plus!$AK$10,Plus!$F$10=Plus!$AK$11),Plus!$G$13*Plus!$AR$4,Plus!$G$13*Plus!$AR$2))))</f>
        <v>0</v>
      </c>
      <c r="EN33" s="33">
        <f>IF(ER32&lt;0.01,0,IF(OR(Plus!$F$10=Plus!$AK$7,Plus!$F$10=Plus!$AK$13),0,Plus!$BD$2*1.16))</f>
        <v>0</v>
      </c>
      <c r="EO33" s="33">
        <f>IF(ER32&lt;0.01,0,IF(Plus!$AS$2&gt;0,EI33*Plus!$AS$3,0))</f>
        <v>0</v>
      </c>
      <c r="EP33" s="33">
        <f t="shared" si="65"/>
        <v>0</v>
      </c>
      <c r="EQ33" s="33">
        <f>IF(Plus!$F$10=Plus!$AK$3,MIN(ER32+EI33+EL33+EM33+EN33-EP33,FC33),0)</f>
        <v>0</v>
      </c>
      <c r="ER33" s="1084">
        <f t="shared" si="66"/>
        <v>0</v>
      </c>
      <c r="ES33" s="340">
        <f>Plus!O74</f>
        <v>0</v>
      </c>
      <c r="ET33" s="356">
        <f>Plus!P74</f>
        <v>0</v>
      </c>
      <c r="EU33" s="74"/>
      <c r="EV33" s="416">
        <f>EK33+EL33+(EM33/1.16)+(EN33/1.16)+EQ33-ET33</f>
        <v>0</v>
      </c>
      <c r="EY33" s="90">
        <f t="shared" si="68"/>
        <v>9</v>
      </c>
      <c r="EZ33" s="121">
        <f t="shared" si="112"/>
        <v>0</v>
      </c>
      <c r="FB33" s="149">
        <f t="shared" si="113"/>
        <v>0</v>
      </c>
      <c r="FC33" s="2179">
        <f t="shared" ca="1" si="69"/>
        <v>0</v>
      </c>
      <c r="FE33" s="120">
        <f t="shared" si="114"/>
        <v>0</v>
      </c>
      <c r="FF33" s="110">
        <f t="shared" si="70"/>
        <v>0</v>
      </c>
      <c r="FG33" s="110">
        <f t="shared" si="71"/>
        <v>0</v>
      </c>
      <c r="FH33" s="109">
        <f t="shared" si="72"/>
        <v>0</v>
      </c>
      <c r="FI33" s="109">
        <f t="shared" si="19"/>
        <v>0</v>
      </c>
      <c r="FJ33" s="113">
        <f t="shared" si="73"/>
        <v>0</v>
      </c>
      <c r="FL33" s="102">
        <f t="shared" si="74"/>
        <v>0</v>
      </c>
      <c r="FM33" s="211">
        <f t="shared" si="127"/>
        <v>9</v>
      </c>
      <c r="FN33" s="212">
        <f t="shared" si="75"/>
        <v>0</v>
      </c>
      <c r="FO33" s="212">
        <f t="shared" si="20"/>
        <v>0</v>
      </c>
      <c r="FP33" s="212">
        <f t="shared" si="115"/>
        <v>0</v>
      </c>
      <c r="FQ33" s="213">
        <f t="shared" si="21"/>
        <v>1000000</v>
      </c>
      <c r="FV33" s="359"/>
      <c r="FX33" s="308">
        <f t="shared" ca="1" si="22"/>
        <v>12</v>
      </c>
      <c r="FY33" s="309">
        <f t="shared" si="76"/>
        <v>0</v>
      </c>
      <c r="FZ33" s="268">
        <f t="shared" si="23"/>
        <v>0</v>
      </c>
      <c r="GA33" s="33">
        <f t="shared" si="77"/>
        <v>0</v>
      </c>
      <c r="GB33" s="33">
        <f>IF(GJ32&lt;0.01,0,IF(OR(Plus!$F$10=Plus!$AK$10,Plus!$F$10=Plus!$AK$11),0,GC33-GA33))</f>
        <v>0</v>
      </c>
      <c r="GC33" s="33">
        <f>IF(GJ31&lt;0.1,0,MIN(GJ32+GA33,IF(GW33&gt;0,GW33,IF(OR(Plus!$F$10=Plus!$AK$10,Plus!$F$10=Plus!$AK$11),GA33,GC32*(1+GR33)))))</f>
        <v>0</v>
      </c>
      <c r="GD33" s="33">
        <f>IF(GJ32&lt;0.01,0,IF(Plus!$F$22=Plus!$AN$4,0,IF(Plus!$F$22=Plus!$AN$3,GJ32*Plus!$F$23/1000,GJ32*VLOOKUP(Plus!$G$21,Plus!$AP$2:$AQ$5,2,0))))</f>
        <v>0</v>
      </c>
      <c r="GE33" s="33">
        <f>IF(GJ32&lt;0.01,0,IF(Plus!$F$24=Plus!$AO$3,0,IF(OR(Plus!$F$10=Plus!$AK$7,Plus!$F$10=Plus!$AK$13,Plus!$F$10=Plus!$AK$14),0,IF(OR(Plus!$F$10=Plus!$AK$10,Plus!$F$10=Plus!$AK$11),Plus!$G$13*Adm!$W$7,Plus!$G$13*Adm!$X$4))))</f>
        <v>0</v>
      </c>
      <c r="GF33" s="33">
        <f>IF(GJ32&lt;0.01,0,IF(OR(Plus!$F$10=Plus!$AK$7,Plus!$F$10=Plus!$AK$13),0,Plus!$BD$2*1.16))</f>
        <v>0</v>
      </c>
      <c r="GG33" s="33">
        <f>IF(GJ32&lt;0.01,0,IF(Plus!$AS$2&gt;0,GA33*Plus!$AS$3,0))</f>
        <v>0</v>
      </c>
      <c r="GH33" s="33">
        <f t="shared" si="78"/>
        <v>0</v>
      </c>
      <c r="GI33" s="33">
        <f>IF(Plus!$F$10=Plus!$AK$3,MIN(GJ32+GA33+GD33+GE33+GF33-GH33,GU33),0)</f>
        <v>0</v>
      </c>
      <c r="GJ33" s="312">
        <f>IF(GJ32&lt;0.01,0,GJ32-GB33-GI33+GL33-GK33)</f>
        <v>0</v>
      </c>
      <c r="GK33" s="340">
        <f>Plus!O74</f>
        <v>0</v>
      </c>
      <c r="GL33" s="364">
        <f>Plus!P74</f>
        <v>0</v>
      </c>
      <c r="GM33" s="74"/>
      <c r="GN33" s="419">
        <f>GC33+GD33+(GE33/1.16)+(GF33/1.16)+GI33-GL33</f>
        <v>0</v>
      </c>
      <c r="GQ33" s="90">
        <f t="shared" si="80"/>
        <v>9</v>
      </c>
      <c r="GR33" s="121">
        <f t="shared" si="116"/>
        <v>0</v>
      </c>
      <c r="GT33" s="149">
        <f t="shared" si="117"/>
        <v>0</v>
      </c>
      <c r="GU33" s="2179">
        <f t="shared" ca="1" si="81"/>
        <v>0</v>
      </c>
      <c r="GW33" s="120">
        <f t="shared" si="118"/>
        <v>0</v>
      </c>
      <c r="GX33" s="110">
        <f t="shared" si="82"/>
        <v>0</v>
      </c>
      <c r="GY33" s="110">
        <f t="shared" si="83"/>
        <v>0</v>
      </c>
      <c r="GZ33" s="109">
        <f t="shared" si="84"/>
        <v>0</v>
      </c>
      <c r="HA33" s="109">
        <f t="shared" si="24"/>
        <v>0</v>
      </c>
      <c r="HB33" s="113">
        <f t="shared" si="85"/>
        <v>0</v>
      </c>
      <c r="HD33" s="102">
        <f t="shared" si="86"/>
        <v>0</v>
      </c>
      <c r="HE33" s="211">
        <f t="shared" si="129"/>
        <v>9</v>
      </c>
      <c r="HF33" s="212">
        <f t="shared" si="87"/>
        <v>0</v>
      </c>
      <c r="HG33" s="212">
        <f t="shared" si="25"/>
        <v>0</v>
      </c>
      <c r="HH33" s="212">
        <f t="shared" si="119"/>
        <v>0</v>
      </c>
      <c r="HI33" s="213">
        <f t="shared" si="26"/>
        <v>1000000</v>
      </c>
      <c r="HL33" s="182"/>
      <c r="HM33" s="26">
        <f t="shared" ca="1" si="27"/>
        <v>12</v>
      </c>
      <c r="HO33" s="268">
        <f t="shared" si="28"/>
        <v>0</v>
      </c>
      <c r="HP33" s="421">
        <f t="shared" si="120"/>
        <v>0</v>
      </c>
      <c r="HQ33" s="123">
        <f t="shared" si="88"/>
        <v>0</v>
      </c>
      <c r="HR33" s="123">
        <f t="shared" si="89"/>
        <v>0</v>
      </c>
      <c r="HS33" s="123">
        <f t="shared" si="90"/>
        <v>0</v>
      </c>
      <c r="HT33" s="123">
        <f>IF(HY32&lt;0.01,0,IF(Adm!$GS$4=Adm!$GS$8,HY32*$HY$15,IF(Adm!$GS$12=Adm!$GS$13,0,HY32*Adm!$GV$4)))</f>
        <v>0</v>
      </c>
      <c r="HU33" s="123">
        <f>IF(HY32&lt;0.01,0,IF(Adm!$GS$5=Adm!$GS$8,Cal!$BO$108*$HY$16/1.16,IF(Adm!$GS$12=Adm!$GS$13,0,Cal!$BO$108*Adm!$GW$4/1.16)))</f>
        <v>0</v>
      </c>
      <c r="HV33" s="123">
        <f t="shared" si="91"/>
        <v>0</v>
      </c>
      <c r="HW33" s="123">
        <f t="shared" si="92"/>
        <v>0</v>
      </c>
      <c r="HX33" s="123">
        <f>IF(Adm!$GH$6="si",MIN(HY32+HQ33+HT33+HU33+HV33-HW33,IH33),0)</f>
        <v>0</v>
      </c>
      <c r="HY33" s="297">
        <f t="shared" si="93"/>
        <v>0</v>
      </c>
      <c r="HZ33" s="74"/>
      <c r="IA33" s="407">
        <f t="shared" si="94"/>
        <v>0</v>
      </c>
      <c r="IC33" s="90">
        <f t="shared" si="95"/>
        <v>9</v>
      </c>
      <c r="ID33" s="124">
        <f>IF(IC33=1,Cal!$BO$127,0)</f>
        <v>0</v>
      </c>
      <c r="IE33" s="73"/>
      <c r="IG33" s="70">
        <f t="shared" si="121"/>
        <v>0</v>
      </c>
      <c r="IH33" s="2178">
        <f t="shared" ca="1" si="96"/>
        <v>0</v>
      </c>
      <c r="IK33" s="217"/>
      <c r="IL33" s="26">
        <f t="shared" ca="1" si="29"/>
        <v>12</v>
      </c>
      <c r="IN33" s="268">
        <f t="shared" si="30"/>
        <v>0</v>
      </c>
      <c r="IO33" s="421">
        <f t="shared" si="122"/>
        <v>0</v>
      </c>
      <c r="IP33" s="123">
        <f t="shared" si="97"/>
        <v>0</v>
      </c>
      <c r="IQ33" s="123">
        <f t="shared" si="98"/>
        <v>0</v>
      </c>
      <c r="IR33" s="123">
        <f t="shared" si="99"/>
        <v>0</v>
      </c>
      <c r="IS33" s="123">
        <f>IF(IX32&lt;0.01,0,IF(Adm!$GS$4=Adm!$GS$8,IX32*$IX$15,IF(Adm!$GS$12=Adm!$GS$13,0,IX32*Adm!$GV$4)))</f>
        <v>0</v>
      </c>
      <c r="IT33" s="123"/>
      <c r="IU33" s="123">
        <f t="shared" si="100"/>
        <v>0</v>
      </c>
      <c r="IV33" s="123">
        <f t="shared" si="101"/>
        <v>0</v>
      </c>
      <c r="IW33" s="123"/>
      <c r="IX33" s="297">
        <f t="shared" si="102"/>
        <v>0</v>
      </c>
      <c r="IY33" s="74"/>
      <c r="IZ33" s="416">
        <f t="shared" si="103"/>
        <v>0</v>
      </c>
      <c r="JB33" s="90">
        <f t="shared" si="104"/>
        <v>9</v>
      </c>
      <c r="JC33" s="124">
        <f>IF(JB33=1,Cal!$BP$127,0)</f>
        <v>0</v>
      </c>
      <c r="JD33" s="73"/>
    </row>
    <row r="34" spans="1:264">
      <c r="A34" s="26">
        <f t="shared" ca="1" si="0"/>
        <v>1</v>
      </c>
      <c r="C34" s="33">
        <f t="shared" si="1"/>
        <v>0</v>
      </c>
      <c r="D34" s="123">
        <f t="shared" si="31"/>
        <v>0</v>
      </c>
      <c r="E34" s="123">
        <f>IF(L33&lt;0.01,0,IF(Adm!$B$4=Adm!$A$118,0,F34-D34))</f>
        <v>0</v>
      </c>
      <c r="F34" s="123">
        <f>IF(L32&lt;0.1,0,MIN(L32+D34,IF(Adm!$B$4=Adm!$A$118,D34,F33*(1+S34))))</f>
        <v>0</v>
      </c>
      <c r="G34" s="123">
        <f>IF(L33&lt;0.01,0,IF(Adm!$S$4=Adm!$S$8,L33*$L$15,L33*Adm!$V$4))</f>
        <v>0</v>
      </c>
      <c r="H34" s="952">
        <f>IF(L33&lt;0.01,0,IF(Adm!$S$5=Adm!$S$8,Adm!$AA$11*$L$16/1.16,IF(Adm!$B$4=Adm!$A$119,0,IF(Adm!$B$4=Adm!$A$118,Adm!$AA$11*Adm!$W$4/1.16,Adm!$AA$11*Adm!$X$4/1.16))))</f>
        <v>0</v>
      </c>
      <c r="I34" s="123">
        <f>IF(L33&lt;0.01,0,Cal!$AB$126/1.16)</f>
        <v>0</v>
      </c>
      <c r="J34" s="123">
        <f t="shared" si="2"/>
        <v>0</v>
      </c>
      <c r="K34" s="123">
        <f>IF(Adm!$G$4="si",MIN(L33+D34+G34+H34+I34-J34,V34),0)</f>
        <v>0</v>
      </c>
      <c r="L34" s="123">
        <f t="shared" si="32"/>
        <v>0</v>
      </c>
      <c r="M34" s="74"/>
      <c r="N34" s="74"/>
      <c r="O34" s="407">
        <f t="shared" si="33"/>
        <v>0</v>
      </c>
      <c r="R34" s="90">
        <f t="shared" si="34"/>
        <v>10</v>
      </c>
      <c r="S34" s="121">
        <f>IF(R34=1,Cal!$AB$127,0)</f>
        <v>0</v>
      </c>
      <c r="U34" s="70">
        <f t="shared" si="105"/>
        <v>0</v>
      </c>
      <c r="V34" s="2178">
        <f t="shared" ca="1" si="35"/>
        <v>0</v>
      </c>
      <c r="X34" s="398"/>
      <c r="Z34" s="268">
        <f t="shared" si="3"/>
        <v>0</v>
      </c>
      <c r="AA34" s="2176">
        <f t="shared" si="36"/>
        <v>0</v>
      </c>
      <c r="AB34" s="33">
        <f t="shared" si="37"/>
        <v>0</v>
      </c>
      <c r="AC34" s="33">
        <f t="shared" si="38"/>
        <v>0</v>
      </c>
      <c r="AD34" s="33">
        <f>IF(AI33&lt;0.01,0,IF(Adm!$S$4=Adm!$S$8,AI33*$AI$15,AI33*Adm!$V$4))</f>
        <v>0</v>
      </c>
      <c r="AE34" s="33"/>
      <c r="AF34" s="33"/>
      <c r="AG34" s="33">
        <f t="shared" si="4"/>
        <v>0</v>
      </c>
      <c r="AH34" s="33"/>
      <c r="AI34" s="401">
        <f t="shared" si="5"/>
        <v>0</v>
      </c>
      <c r="AK34" s="410">
        <f t="shared" si="6"/>
        <v>0</v>
      </c>
      <c r="AN34" s="90">
        <f t="shared" si="39"/>
        <v>10</v>
      </c>
      <c r="AO34" s="121">
        <f>IF(AN34=1,Cal!$AC$127,0)</f>
        <v>0</v>
      </c>
      <c r="AS34" s="200"/>
      <c r="AU34" s="268">
        <f t="shared" si="7"/>
        <v>0</v>
      </c>
      <c r="AV34" s="2177">
        <f t="shared" si="40"/>
        <v>0</v>
      </c>
      <c r="AW34" s="123">
        <f t="shared" si="8"/>
        <v>0</v>
      </c>
      <c r="AX34" s="123">
        <f t="shared" si="41"/>
        <v>0</v>
      </c>
      <c r="AY34" s="123">
        <f>IF(BC33&lt;0.01,0,IF(Adm!$S$4=Adm!$S$8,BC33*$BC$16,BC33*Adm!$V$4))</f>
        <v>0</v>
      </c>
      <c r="AZ34" s="123"/>
      <c r="BA34" s="123">
        <f>IF(BC33&lt;0.01,0,Adm!$Q$6)</f>
        <v>0</v>
      </c>
      <c r="BB34" s="123">
        <f t="shared" si="42"/>
        <v>0</v>
      </c>
      <c r="BC34" s="297">
        <f t="shared" si="43"/>
        <v>0</v>
      </c>
      <c r="BE34" s="425">
        <f t="shared" si="9"/>
        <v>0</v>
      </c>
      <c r="BH34" s="90">
        <f t="shared" si="44"/>
        <v>10</v>
      </c>
      <c r="BI34" s="121">
        <f>IF(BH34=1,Cal!$AD$127,0)</f>
        <v>0</v>
      </c>
      <c r="BM34" s="221"/>
      <c r="BO34" s="295">
        <f t="shared" ca="1" si="10"/>
        <v>1</v>
      </c>
      <c r="BP34" s="268">
        <f t="shared" si="11"/>
        <v>0</v>
      </c>
      <c r="BQ34" s="123">
        <f t="shared" si="45"/>
        <v>0</v>
      </c>
      <c r="BR34" s="123">
        <f>IF(BZ33&lt;0.01,0,IF(OR(Plus!$F$10=Plus!$AK$10,Plus!$F$10=Plus!$AK$11),0,BS34-BQ34))</f>
        <v>0</v>
      </c>
      <c r="BS34" s="123">
        <f>IF(BZ32&lt;0.1,0,MIN(BZ32+BQ34,IF(OR(Plus!$F$10=Plus!$AK$10,Plus!$F$10=Plus!$AK$11),BQ34,BS33*(1+CG34))))</f>
        <v>0</v>
      </c>
      <c r="BT34" s="123">
        <f>IF(BZ33&lt;0.01,0,IF(Plus!$F$22=Plus!$AN$4,BZ33*$BZ$15,IF(Plus!$F$22=Plus!$AN$3,BZ33*Plus!$F$23/1000,BZ33*VLOOKUP(Plus!$G$21,Plus!$AP$2:'Plus'!$AQ$5,2,0))))</f>
        <v>0</v>
      </c>
      <c r="BU34" s="123">
        <f>IF(BZ33&lt;0.01,0,IF(Plus!$F$24=Plus!$AO$3,Plus!$G$13*$BZ$16/1.16,IF(Plus!$F$10=Plus!$AK$7,0,IF(OR(Plus!$F$10=Plus!$AK$10,Plus!$F$10=Plus!$AK$11),Plus!$G$13*Plus!$AR$4/1.16,Plus!$G$13*Plus!$AR$2/1.16))))</f>
        <v>0</v>
      </c>
      <c r="BV34" s="123">
        <f>IF(BZ33&lt;0.01,0,Plus!$BD$2)</f>
        <v>0</v>
      </c>
      <c r="BW34" s="123"/>
      <c r="BX34" s="123">
        <f t="shared" si="12"/>
        <v>0</v>
      </c>
      <c r="BY34" s="123">
        <f>IF(Plus!$F$10=Plus!$AK$3,MIN(BZ33+BQ34+BT34+BU34+BV34-BX34,CJ34),0)</f>
        <v>0</v>
      </c>
      <c r="BZ34" s="297">
        <f>IF(BZ33&lt;0.01,0,BZ33-BR34-BY34)</f>
        <v>0</v>
      </c>
      <c r="CA34" s="74"/>
      <c r="CB34" s="74"/>
      <c r="CC34" s="413">
        <f t="shared" si="47"/>
        <v>0</v>
      </c>
      <c r="CF34" s="90">
        <f t="shared" si="48"/>
        <v>10</v>
      </c>
      <c r="CG34" s="121">
        <f t="shared" si="106"/>
        <v>0</v>
      </c>
      <c r="CI34" s="70">
        <f t="shared" si="107"/>
        <v>0</v>
      </c>
      <c r="CJ34" s="2178">
        <f t="shared" ca="1" si="49"/>
        <v>0</v>
      </c>
      <c r="CL34" s="161"/>
      <c r="CN34" s="308">
        <f t="shared" ca="1" si="13"/>
        <v>1</v>
      </c>
      <c r="CO34" s="309">
        <f t="shared" si="50"/>
        <v>0</v>
      </c>
      <c r="CP34" s="268">
        <f t="shared" si="14"/>
        <v>0</v>
      </c>
      <c r="CQ34" s="123">
        <f t="shared" si="51"/>
        <v>0</v>
      </c>
      <c r="CR34" s="123">
        <f>IF(CZ33&lt;0.01,0,MIN(CZ33,IF(OR(Plus!$F$10=Plus!$AK$10,Plus!$F$10=Plus!$AK$11),0,CS34-CQ34)))</f>
        <v>0</v>
      </c>
      <c r="CS34" s="123">
        <f>IF(CZ32&lt;0.1,0,MIN(CZ33+CQ34,IF(DN34&gt;0,DN34,IF(OR(Plus!$F$10=Plus!$AK$10,Plus!$F$10=Plus!$AK$11),CQ34,CS33*(1+DH34)))))</f>
        <v>0</v>
      </c>
      <c r="CT34" s="33">
        <f>IF(CZ33&lt;0.01,0,IF(Plus!$F$22=Plus!$AN$4,0,IF(Plus!$F$22=Plus!$AN$3,CZ33*Plus!$F$23/1000,CZ33*VLOOKUP(Plus!$G$21,Plus!$AP$2:'Plus'!$AQ$5,2,0))))</f>
        <v>0</v>
      </c>
      <c r="CU34" s="123">
        <f>IF(CZ33&lt;0.01,0,IF(Plus!$F$24=Plus!$AO$3,0,IF(OR(Plus!$F$10=Plus!$AK$7,Plus!$F$10=Plus!$AK$13),0,IF(OR(Plus!$F$10=Plus!$AK$10,Plus!$F$10=Plus!$AK$11),Plus!$G$13*Plus!$AR$4,Plus!$G$13*Plus!$AR$2))))</f>
        <v>0</v>
      </c>
      <c r="CV34" s="123">
        <f>IF(CZ33&lt;0.01,0,IF(OR(Plus!$F$10=Plus!$AK$7,Plus!$F$10=Plus!$AK$13),0,Plus!$BD$2*1.16))</f>
        <v>0</v>
      </c>
      <c r="CW34" s="123">
        <f>IF(CZ33&lt;0.01,0,IF(Plus!$AS$2&gt;0,CQ34*Plus!$AS$3,0))</f>
        <v>0</v>
      </c>
      <c r="CX34" s="123">
        <f t="shared" si="52"/>
        <v>0</v>
      </c>
      <c r="CY34" s="123">
        <f>IF(Plus!$F$10=Plus!$AK$3,MIN(CZ33+CQ34+CT34+CU34+CV34-CX34,DK34),0)</f>
        <v>0</v>
      </c>
      <c r="CZ34" s="297">
        <f t="shared" si="53"/>
        <v>0</v>
      </c>
      <c r="DA34" s="306">
        <f>Plus!O75</f>
        <v>0</v>
      </c>
      <c r="DB34" s="74"/>
      <c r="DC34" s="74"/>
      <c r="DD34" s="407">
        <f t="shared" si="54"/>
        <v>0</v>
      </c>
      <c r="DG34" s="90">
        <f t="shared" si="55"/>
        <v>10</v>
      </c>
      <c r="DH34" s="121">
        <f t="shared" si="108"/>
        <v>0</v>
      </c>
      <c r="DJ34" s="149">
        <f t="shared" si="109"/>
        <v>0</v>
      </c>
      <c r="DK34" s="2179">
        <f t="shared" ca="1" si="56"/>
        <v>0</v>
      </c>
      <c r="DN34" s="120">
        <f t="shared" si="110"/>
        <v>0</v>
      </c>
      <c r="DO34" s="110">
        <f t="shared" si="57"/>
        <v>0</v>
      </c>
      <c r="DP34" s="110">
        <f t="shared" si="124"/>
        <v>0</v>
      </c>
      <c r="DQ34" s="109">
        <f t="shared" si="58"/>
        <v>0</v>
      </c>
      <c r="DR34" s="109">
        <f t="shared" si="59"/>
        <v>0</v>
      </c>
      <c r="DS34" s="113">
        <f t="shared" si="60"/>
        <v>0</v>
      </c>
      <c r="DU34" s="102">
        <f t="shared" si="61"/>
        <v>0</v>
      </c>
      <c r="DV34" s="211">
        <f t="shared" si="125"/>
        <v>10</v>
      </c>
      <c r="DW34" s="212">
        <f t="shared" si="62"/>
        <v>0</v>
      </c>
      <c r="DX34" s="212">
        <f t="shared" si="15"/>
        <v>0</v>
      </c>
      <c r="DY34" s="212">
        <f t="shared" si="111"/>
        <v>0</v>
      </c>
      <c r="DZ34" s="213">
        <f t="shared" si="16"/>
        <v>1000000</v>
      </c>
      <c r="ED34" s="182"/>
      <c r="EF34" s="308">
        <f t="shared" ca="1" si="17"/>
        <v>1</v>
      </c>
      <c r="EG34" s="309">
        <f t="shared" si="63"/>
        <v>0</v>
      </c>
      <c r="EH34" s="268">
        <f t="shared" si="18"/>
        <v>0</v>
      </c>
      <c r="EI34" s="33">
        <f t="shared" si="64"/>
        <v>0</v>
      </c>
      <c r="EJ34" s="33">
        <f>IF(CZ33&lt;0.01,0,IF(OR(Plus!$F$10=Plus!$AK$10,Plus!$F$10=Plus!$AK$11),0,EK34-EI34))</f>
        <v>0</v>
      </c>
      <c r="EK34" s="33">
        <f>IF(ER32&lt;0.1,0,MIN(ER33+EI34,IF(FE34&gt;0,FE34,IF(OR(Plus!$F$10=Plus!$AK$10,Plus!$F$10=Plus!$AK$11),EI34,EK33*(1+EZ34)))))</f>
        <v>0</v>
      </c>
      <c r="EL34" s="33">
        <f>IF(ER33&lt;0.01,0,IF(Plus!$F$22=Plus!$AN$4,0,IF(Plus!$F$22=Plus!$AN$3,ER33*Plus!$F$23/1000,ER33*VLOOKUP(Plus!$G$21,Plus!$AP$2:'Plus'!$AQ$5,2,0))))</f>
        <v>0</v>
      </c>
      <c r="EM34" s="33">
        <f>IF(ER33&lt;0.01,0,IF(Plus!$F$24=Plus!$AO$3,0,IF(OR(Plus!$F$10=Plus!$AK$7,Plus!$F$10=Plus!$AK$13),0,IF(OR(Plus!$F$10=Plus!$AK$10,Plus!$F$10=Plus!$AK$11),Plus!$G$13*Plus!$AR$4,Plus!$G$13*Plus!$AR$2))))</f>
        <v>0</v>
      </c>
      <c r="EN34" s="33">
        <f>IF(ER33&lt;0.01,0,IF(OR(Plus!$F$10=Plus!$AK$7,Plus!$F$10=Plus!$AK$13),0,Plus!$BD$2*1.16))</f>
        <v>0</v>
      </c>
      <c r="EO34" s="33">
        <f>IF(ER33&lt;0.01,0,IF(Plus!$AS$2&gt;0,EI34*Plus!$AS$3,0))</f>
        <v>0</v>
      </c>
      <c r="EP34" s="33">
        <f t="shared" si="65"/>
        <v>0</v>
      </c>
      <c r="EQ34" s="33">
        <f>IF(Plus!$F$10=Plus!$AK$3,MIN(ER33+EI34+EL34+EM34+EN34-EP34,FC34),0)</f>
        <v>0</v>
      </c>
      <c r="ER34" s="297">
        <f t="shared" si="66"/>
        <v>0</v>
      </c>
      <c r="ES34" s="340">
        <f>Plus!O75</f>
        <v>0</v>
      </c>
      <c r="ET34" s="74"/>
      <c r="EU34" s="74"/>
      <c r="EV34" s="416">
        <f t="shared" ref="EV34:EV97" si="134">EK34+EL34+(EM34/1.16)+(EN34/1.16)+EQ34</f>
        <v>0</v>
      </c>
      <c r="EY34" s="90">
        <f t="shared" si="68"/>
        <v>10</v>
      </c>
      <c r="EZ34" s="121">
        <f t="shared" si="112"/>
        <v>0</v>
      </c>
      <c r="FB34" s="149">
        <f t="shared" si="113"/>
        <v>0</v>
      </c>
      <c r="FC34" s="2179">
        <f t="shared" ca="1" si="69"/>
        <v>0</v>
      </c>
      <c r="FE34" s="120">
        <f t="shared" si="114"/>
        <v>0</v>
      </c>
      <c r="FF34" s="110">
        <f t="shared" si="70"/>
        <v>0</v>
      </c>
      <c r="FG34" s="110">
        <f t="shared" si="71"/>
        <v>0</v>
      </c>
      <c r="FH34" s="109">
        <f t="shared" si="72"/>
        <v>0</v>
      </c>
      <c r="FI34" s="109">
        <f t="shared" si="19"/>
        <v>0</v>
      </c>
      <c r="FJ34" s="113">
        <f t="shared" si="73"/>
        <v>0</v>
      </c>
      <c r="FL34" s="102">
        <f t="shared" si="74"/>
        <v>0</v>
      </c>
      <c r="FM34" s="211">
        <f t="shared" si="127"/>
        <v>10</v>
      </c>
      <c r="FN34" s="212">
        <f t="shared" si="75"/>
        <v>0</v>
      </c>
      <c r="FO34" s="212">
        <f t="shared" si="20"/>
        <v>0</v>
      </c>
      <c r="FP34" s="212">
        <f t="shared" si="115"/>
        <v>0</v>
      </c>
      <c r="FQ34" s="213">
        <f t="shared" si="21"/>
        <v>1000000</v>
      </c>
      <c r="FV34" s="359"/>
      <c r="FX34" s="308">
        <f t="shared" ca="1" si="22"/>
        <v>1</v>
      </c>
      <c r="FY34" s="309">
        <f t="shared" si="76"/>
        <v>0</v>
      </c>
      <c r="FZ34" s="268">
        <f t="shared" si="23"/>
        <v>0</v>
      </c>
      <c r="GA34" s="33">
        <f t="shared" si="77"/>
        <v>0</v>
      </c>
      <c r="GB34" s="33">
        <f>IF(GJ33&lt;0.01,0,IF(OR(Plus!$F$10=Plus!$AK$10,Plus!$F$10=Plus!$AK$11),0,GC34-GA34))</f>
        <v>0</v>
      </c>
      <c r="GC34" s="33">
        <f>IF(GJ32&lt;0.1,0,MIN(GJ33+GA34,IF(GW34&gt;0,GW34,IF(OR(Plus!$F$10=Plus!$AK$10,Plus!$F$10=Plus!$AK$11),GA34,GC33*(1+GR34)))))</f>
        <v>0</v>
      </c>
      <c r="GD34" s="33">
        <f>IF(GJ33&lt;0.01,0,IF(Plus!$F$22=Plus!$AN$4,0,IF(Plus!$F$22=Plus!$AN$3,GJ33*Plus!$F$23/1000,GJ33*VLOOKUP(Plus!$G$21,Plus!$AP$2:$AQ$5,2,0))))</f>
        <v>0</v>
      </c>
      <c r="GE34" s="33">
        <f>IF(GJ33&lt;0.01,0,IF(Plus!$F$24=Plus!$AO$3,0,IF(OR(Plus!$F$10=Plus!$AK$7,Plus!$F$10=Plus!$AK$13,Plus!$F$10=Plus!$AK$14),0,IF(OR(Plus!$F$10=Plus!$AK$10,Plus!$F$10=Plus!$AK$11),Plus!$G$13*Adm!$W$7,Plus!$G$13*Adm!$X$4))))</f>
        <v>0</v>
      </c>
      <c r="GF34" s="33">
        <f>IF(GJ33&lt;0.01,0,IF(OR(Plus!$F$10=Plus!$AK$7,Plus!$F$10=Plus!$AK$13),0,Plus!$BD$2*1.16))</f>
        <v>0</v>
      </c>
      <c r="GG34" s="33">
        <f>IF(GJ33&lt;0.01,0,IF(Plus!$AS$2&gt;0,GA34*Plus!$AS$3,0))</f>
        <v>0</v>
      </c>
      <c r="GH34" s="33">
        <f t="shared" si="78"/>
        <v>0</v>
      </c>
      <c r="GI34" s="33">
        <f>IF(Plus!$F$10=Plus!$AK$3,MIN(GJ33+GA34+GD34+GE34+GF34-GH34,GU34),0)</f>
        <v>0</v>
      </c>
      <c r="GJ34" s="311">
        <f>IF(GJ33&lt;0.01,0,GJ33-GB34-GI34-GK34)</f>
        <v>0</v>
      </c>
      <c r="GK34" s="340">
        <f>Plus!O75</f>
        <v>0</v>
      </c>
      <c r="GL34" s="74"/>
      <c r="GM34" s="74"/>
      <c r="GN34" s="419">
        <f t="shared" ref="GN34:GN97" si="135">GC34+GD34+(GE34/1.16)+(GF34/1.16)+GI34</f>
        <v>0</v>
      </c>
      <c r="GQ34" s="90">
        <f t="shared" si="80"/>
        <v>10</v>
      </c>
      <c r="GR34" s="121">
        <f t="shared" si="116"/>
        <v>0</v>
      </c>
      <c r="GT34" s="149">
        <f t="shared" si="117"/>
        <v>0</v>
      </c>
      <c r="GU34" s="2179">
        <f t="shared" ca="1" si="81"/>
        <v>0</v>
      </c>
      <c r="GW34" s="120">
        <f t="shared" si="118"/>
        <v>0</v>
      </c>
      <c r="GX34" s="110">
        <f t="shared" si="82"/>
        <v>0</v>
      </c>
      <c r="GY34" s="110">
        <f t="shared" si="83"/>
        <v>0</v>
      </c>
      <c r="GZ34" s="109">
        <f t="shared" si="84"/>
        <v>0</v>
      </c>
      <c r="HA34" s="109">
        <f t="shared" si="24"/>
        <v>0</v>
      </c>
      <c r="HB34" s="113">
        <f t="shared" si="85"/>
        <v>0</v>
      </c>
      <c r="HD34" s="102">
        <f t="shared" si="86"/>
        <v>0</v>
      </c>
      <c r="HE34" s="211">
        <f t="shared" si="129"/>
        <v>10</v>
      </c>
      <c r="HF34" s="212">
        <f t="shared" si="87"/>
        <v>0</v>
      </c>
      <c r="HG34" s="212">
        <f t="shared" si="25"/>
        <v>0</v>
      </c>
      <c r="HH34" s="212">
        <f t="shared" si="119"/>
        <v>0</v>
      </c>
      <c r="HI34" s="213">
        <f t="shared" si="26"/>
        <v>1000000</v>
      </c>
      <c r="HL34" s="182"/>
      <c r="HM34" s="26">
        <f t="shared" ca="1" si="27"/>
        <v>1</v>
      </c>
      <c r="HO34" s="268">
        <f t="shared" si="28"/>
        <v>0</v>
      </c>
      <c r="HP34" s="421">
        <f t="shared" si="120"/>
        <v>0</v>
      </c>
      <c r="HQ34" s="123">
        <f t="shared" si="88"/>
        <v>0</v>
      </c>
      <c r="HR34" s="123">
        <f t="shared" si="89"/>
        <v>0</v>
      </c>
      <c r="HS34" s="123">
        <f t="shared" si="90"/>
        <v>0</v>
      </c>
      <c r="HT34" s="123">
        <f>IF(HY33&lt;0.01,0,IF(Adm!$GS$4=Adm!$GS$8,HY33*$HY$15,IF(Adm!$GS$12=Adm!$GS$13,0,HY33*Adm!$GV$4)))</f>
        <v>0</v>
      </c>
      <c r="HU34" s="123">
        <f>IF(HY33&lt;0.01,0,IF(Adm!$GS$5=Adm!$GS$8,Cal!$BO$108*$HY$16/1.16,IF(Adm!$GS$12=Adm!$GS$13,0,Cal!$BO$108*Adm!$GW$4/1.16)))</f>
        <v>0</v>
      </c>
      <c r="HV34" s="123">
        <f t="shared" si="91"/>
        <v>0</v>
      </c>
      <c r="HW34" s="123">
        <f t="shared" si="92"/>
        <v>0</v>
      </c>
      <c r="HX34" s="123">
        <f>IF(Adm!$GH$6="si",MIN(HY33+HQ34+HT34+HU34+HV34-HW34,IH34),0)</f>
        <v>0</v>
      </c>
      <c r="HY34" s="297">
        <f t="shared" si="93"/>
        <v>0</v>
      </c>
      <c r="HZ34" s="74"/>
      <c r="IA34" s="407">
        <f t="shared" si="94"/>
        <v>0</v>
      </c>
      <c r="IC34" s="90">
        <f t="shared" si="95"/>
        <v>10</v>
      </c>
      <c r="ID34" s="124">
        <f>IF(IC34=1,Cal!$BO$127,0)</f>
        <v>0</v>
      </c>
      <c r="IE34" s="73"/>
      <c r="IG34" s="70">
        <f t="shared" si="121"/>
        <v>0</v>
      </c>
      <c r="IH34" s="2178">
        <f t="shared" ca="1" si="96"/>
        <v>0</v>
      </c>
      <c r="IK34" s="217"/>
      <c r="IL34" s="26">
        <f t="shared" ca="1" si="29"/>
        <v>1</v>
      </c>
      <c r="IN34" s="268">
        <f t="shared" si="30"/>
        <v>0</v>
      </c>
      <c r="IO34" s="421">
        <f t="shared" si="122"/>
        <v>0</v>
      </c>
      <c r="IP34" s="123">
        <f t="shared" si="97"/>
        <v>0</v>
      </c>
      <c r="IQ34" s="123">
        <f t="shared" si="98"/>
        <v>0</v>
      </c>
      <c r="IR34" s="123">
        <f t="shared" si="99"/>
        <v>0</v>
      </c>
      <c r="IS34" s="123">
        <f>IF(IX33&lt;0.01,0,IF(Adm!$GS$4=Adm!$GS$8,IX33*$IX$15,IF(Adm!$GS$12=Adm!$GS$13,0,IX33*Adm!$GV$4)))</f>
        <v>0</v>
      </c>
      <c r="IT34" s="123"/>
      <c r="IU34" s="123">
        <f t="shared" si="100"/>
        <v>0</v>
      </c>
      <c r="IV34" s="123">
        <f t="shared" si="101"/>
        <v>0</v>
      </c>
      <c r="IW34" s="123"/>
      <c r="IX34" s="297">
        <f t="shared" si="102"/>
        <v>0</v>
      </c>
      <c r="IY34" s="74"/>
      <c r="IZ34" s="416">
        <f t="shared" si="103"/>
        <v>0</v>
      </c>
      <c r="JB34" s="90">
        <f t="shared" si="104"/>
        <v>10</v>
      </c>
      <c r="JC34" s="124">
        <f>IF(JB34=1,Cal!$BP$127,0)</f>
        <v>0</v>
      </c>
      <c r="JD34" s="73"/>
    </row>
    <row r="35" spans="1:264">
      <c r="A35" s="26">
        <f t="shared" ca="1" si="0"/>
        <v>2</v>
      </c>
      <c r="C35" s="33">
        <f t="shared" si="1"/>
        <v>0</v>
      </c>
      <c r="D35" s="123">
        <f t="shared" si="31"/>
        <v>0</v>
      </c>
      <c r="E35" s="123">
        <f>IF(L34&lt;0.01,0,IF(Adm!$B$4=Adm!$A$118,0,F35-D35))</f>
        <v>0</v>
      </c>
      <c r="F35" s="123">
        <f>IF(L33&lt;0.1,0,MIN(L33+D35,IF(Adm!$B$4=Adm!$A$118,D35,F34*(1+S35))))</f>
        <v>0</v>
      </c>
      <c r="G35" s="123">
        <f>IF(L34&lt;0.01,0,IF(Adm!$S$4=Adm!$S$8,L34*$L$15,L34*Adm!$V$4))</f>
        <v>0</v>
      </c>
      <c r="H35" s="952">
        <f>IF(L34&lt;0.01,0,IF(Adm!$S$5=Adm!$S$8,Adm!$AA$11*$L$16/1.16,IF(Adm!$B$4=Adm!$A$119,0,IF(Adm!$B$4=Adm!$A$118,Adm!$AA$11*Adm!$W$4/1.16,Adm!$AA$11*Adm!$X$4/1.16))))</f>
        <v>0</v>
      </c>
      <c r="I35" s="123">
        <f>IF(L34&lt;0.01,0,Cal!$AB$126/1.16)</f>
        <v>0</v>
      </c>
      <c r="J35" s="123">
        <f t="shared" si="2"/>
        <v>0</v>
      </c>
      <c r="K35" s="123">
        <f>IF(Adm!$G$4="si",MIN(L34+D35+G35+H35+I35-J35,V35),0)</f>
        <v>0</v>
      </c>
      <c r="L35" s="123">
        <f t="shared" si="32"/>
        <v>0</v>
      </c>
      <c r="M35" s="74"/>
      <c r="N35" s="74"/>
      <c r="O35" s="407">
        <f t="shared" si="33"/>
        <v>0</v>
      </c>
      <c r="R35" s="90">
        <f t="shared" si="34"/>
        <v>11</v>
      </c>
      <c r="S35" s="121">
        <f>IF(R35=1,Cal!$AB$127,0)</f>
        <v>0</v>
      </c>
      <c r="U35" s="70">
        <f t="shared" si="105"/>
        <v>0</v>
      </c>
      <c r="V35" s="2178">
        <f t="shared" ca="1" si="35"/>
        <v>0</v>
      </c>
      <c r="X35" s="398"/>
      <c r="Z35" s="268">
        <f t="shared" si="3"/>
        <v>0</v>
      </c>
      <c r="AA35" s="2176">
        <f t="shared" si="36"/>
        <v>0</v>
      </c>
      <c r="AB35" s="33">
        <f t="shared" si="37"/>
        <v>0</v>
      </c>
      <c r="AC35" s="33">
        <f t="shared" si="38"/>
        <v>0</v>
      </c>
      <c r="AD35" s="33">
        <f>IF(AI34&lt;0.01,0,IF(Adm!$S$4=Adm!$S$8,AI34*$AI$15,AI34*Adm!$V$4))</f>
        <v>0</v>
      </c>
      <c r="AE35" s="33"/>
      <c r="AF35" s="33"/>
      <c r="AG35" s="33">
        <f t="shared" si="4"/>
        <v>0</v>
      </c>
      <c r="AH35" s="33"/>
      <c r="AI35" s="401">
        <f t="shared" si="5"/>
        <v>0</v>
      </c>
      <c r="AK35" s="410">
        <f t="shared" si="6"/>
        <v>0</v>
      </c>
      <c r="AN35" s="90">
        <f t="shared" si="39"/>
        <v>11</v>
      </c>
      <c r="AO35" s="121">
        <f>IF(AN35=1,Cal!$AC$127,0)</f>
        <v>0</v>
      </c>
      <c r="AS35" s="200"/>
      <c r="AU35" s="268">
        <f t="shared" si="7"/>
        <v>0</v>
      </c>
      <c r="AV35" s="2177">
        <f t="shared" si="40"/>
        <v>0</v>
      </c>
      <c r="AW35" s="123">
        <f t="shared" si="8"/>
        <v>0</v>
      </c>
      <c r="AX35" s="123">
        <f t="shared" si="41"/>
        <v>0</v>
      </c>
      <c r="AY35" s="123">
        <f>IF(BC34&lt;0.01,0,IF(Adm!$S$4=Adm!$S$8,BC34*$BC$16,BC34*Adm!$V$4))</f>
        <v>0</v>
      </c>
      <c r="AZ35" s="123"/>
      <c r="BA35" s="123">
        <f>IF(BC34&lt;0.01,0,Adm!$Q$6)</f>
        <v>0</v>
      </c>
      <c r="BB35" s="123">
        <f t="shared" si="42"/>
        <v>0</v>
      </c>
      <c r="BC35" s="297">
        <f t="shared" si="43"/>
        <v>0</v>
      </c>
      <c r="BE35" s="425">
        <f t="shared" si="9"/>
        <v>0</v>
      </c>
      <c r="BH35" s="90">
        <f t="shared" si="44"/>
        <v>11</v>
      </c>
      <c r="BI35" s="121">
        <f>IF(BH35=1,Cal!$AD$127,0)</f>
        <v>0</v>
      </c>
      <c r="BM35" s="221"/>
      <c r="BO35" s="295">
        <f t="shared" ca="1" si="10"/>
        <v>2</v>
      </c>
      <c r="BP35" s="268">
        <f t="shared" si="11"/>
        <v>0</v>
      </c>
      <c r="BQ35" s="123">
        <f t="shared" si="45"/>
        <v>0</v>
      </c>
      <c r="BR35" s="123">
        <f>IF(BZ34&lt;0.01,0,IF(OR(Plus!$F$10=Plus!$AK$10,Plus!$F$10=Plus!$AK$11),0,BS35-BQ35))</f>
        <v>0</v>
      </c>
      <c r="BS35" s="123">
        <f>IF(BZ33&lt;0.1,0,MIN(BZ33+BQ35,IF(OR(Plus!$F$10=Plus!$AK$10,Plus!$F$10=Plus!$AK$11),BQ35,BS34*(1+CG35))))</f>
        <v>0</v>
      </c>
      <c r="BT35" s="123">
        <f>IF(BZ34&lt;0.01,0,IF(Plus!$F$22=Plus!$AN$4,BZ34*$BZ$15,IF(Plus!$F$22=Plus!$AN$3,BZ34*Plus!$F$23/1000,BZ34*VLOOKUP(Plus!$G$21,Plus!$AP$2:'Plus'!$AQ$5,2,0))))</f>
        <v>0</v>
      </c>
      <c r="BU35" s="123">
        <f>IF(BZ34&lt;0.01,0,IF(Plus!$F$24=Plus!$AO$3,Plus!$G$13*$BZ$16/1.16,IF(Plus!$F$10=Plus!$AK$7,0,IF(OR(Plus!$F$10=Plus!$AK$10,Plus!$F$10=Plus!$AK$11),Plus!$G$13*Plus!$AR$4/1.16,Plus!$G$13*Plus!$AR$2/1.16))))</f>
        <v>0</v>
      </c>
      <c r="BV35" s="123">
        <f>IF(BZ34&lt;0.01,0,Plus!$BD$2)</f>
        <v>0</v>
      </c>
      <c r="BW35" s="123"/>
      <c r="BX35" s="123">
        <f t="shared" si="12"/>
        <v>0</v>
      </c>
      <c r="BY35" s="123">
        <f>IF(Plus!$F$10=Plus!$AK$3,MIN(BZ34+BQ35+BT35+BU35+BV35-BX35,CJ35),0)</f>
        <v>0</v>
      </c>
      <c r="BZ35" s="297">
        <f>IF(BZ34&lt;0.01,0,BZ34-BR35-BY35)</f>
        <v>0</v>
      </c>
      <c r="CA35" s="74"/>
      <c r="CB35" s="74"/>
      <c r="CC35" s="413">
        <f t="shared" si="47"/>
        <v>0</v>
      </c>
      <c r="CF35" s="90">
        <f t="shared" si="48"/>
        <v>11</v>
      </c>
      <c r="CG35" s="121">
        <f t="shared" si="106"/>
        <v>0</v>
      </c>
      <c r="CI35" s="70">
        <f t="shared" si="107"/>
        <v>0</v>
      </c>
      <c r="CJ35" s="2178">
        <f t="shared" ca="1" si="49"/>
        <v>0</v>
      </c>
      <c r="CL35" s="161"/>
      <c r="CN35" s="308">
        <f t="shared" ca="1" si="13"/>
        <v>2</v>
      </c>
      <c r="CO35" s="309">
        <f t="shared" si="50"/>
        <v>0</v>
      </c>
      <c r="CP35" s="268">
        <f t="shared" si="14"/>
        <v>0</v>
      </c>
      <c r="CQ35" s="123">
        <f t="shared" si="51"/>
        <v>0</v>
      </c>
      <c r="CR35" s="123">
        <f>IF(CZ34&lt;0.01,0,MIN(CZ34,IF(OR(Plus!$F$10=Plus!$AK$10,Plus!$F$10=Plus!$AK$11),0,CS35-CQ35)))</f>
        <v>0</v>
      </c>
      <c r="CS35" s="123">
        <f>IF(CZ33&lt;0.1,0,MIN(CZ34+CQ35,IF(DN35&gt;0,DN35,IF(OR(Plus!$F$10=Plus!$AK$10,Plus!$F$10=Plus!$AK$11),CQ35,CS34*(1+DH35)))))</f>
        <v>0</v>
      </c>
      <c r="CT35" s="33">
        <f>IF(CZ34&lt;0.01,0,IF(Plus!$F$22=Plus!$AN$4,0,IF(Plus!$F$22=Plus!$AN$3,CZ34*Plus!$F$23/1000,CZ34*VLOOKUP(Plus!$G$21,Plus!$AP$2:'Plus'!$AQ$5,2,0))))</f>
        <v>0</v>
      </c>
      <c r="CU35" s="123">
        <f>IF(CZ34&lt;0.01,0,IF(Plus!$F$24=Plus!$AO$3,0,IF(OR(Plus!$F$10=Plus!$AK$7,Plus!$F$10=Plus!$AK$13),0,IF(OR(Plus!$F$10=Plus!$AK$10,Plus!$F$10=Plus!$AK$11),Plus!$G$13*Plus!$AR$4,Plus!$G$13*Plus!$AR$2))))</f>
        <v>0</v>
      </c>
      <c r="CV35" s="123">
        <f>IF(CZ34&lt;0.01,0,IF(OR(Plus!$F$10=Plus!$AK$7,Plus!$F$10=Plus!$AK$13),0,Plus!$BD$2*1.16))</f>
        <v>0</v>
      </c>
      <c r="CW35" s="123">
        <f>IF(CZ34&lt;0.01,0,IF(Plus!$AS$2&gt;0,CQ35*Plus!$AS$3,0))</f>
        <v>0</v>
      </c>
      <c r="CX35" s="123">
        <f t="shared" si="52"/>
        <v>0</v>
      </c>
      <c r="CY35" s="123">
        <f>IF(Plus!$F$10=Plus!$AK$3,MIN(CZ34+CQ35+CT35+CU35+CV35-CX35,DK35),0)</f>
        <v>0</v>
      </c>
      <c r="CZ35" s="297">
        <f t="shared" si="53"/>
        <v>0</v>
      </c>
      <c r="DA35" s="306">
        <f>Plus!O76</f>
        <v>0</v>
      </c>
      <c r="DB35" s="74"/>
      <c r="DC35" s="74"/>
      <c r="DD35" s="407">
        <f t="shared" si="54"/>
        <v>0</v>
      </c>
      <c r="DG35" s="90">
        <f t="shared" si="55"/>
        <v>11</v>
      </c>
      <c r="DH35" s="121">
        <f t="shared" si="108"/>
        <v>0</v>
      </c>
      <c r="DJ35" s="149">
        <f t="shared" si="109"/>
        <v>0</v>
      </c>
      <c r="DK35" s="2179">
        <f t="shared" ca="1" si="56"/>
        <v>0</v>
      </c>
      <c r="DN35" s="120">
        <f t="shared" si="110"/>
        <v>0</v>
      </c>
      <c r="DO35" s="110">
        <f t="shared" si="57"/>
        <v>0</v>
      </c>
      <c r="DP35" s="110">
        <f t="shared" si="124"/>
        <v>0</v>
      </c>
      <c r="DQ35" s="109">
        <f t="shared" si="58"/>
        <v>0</v>
      </c>
      <c r="DR35" s="109">
        <f t="shared" si="59"/>
        <v>0</v>
      </c>
      <c r="DS35" s="113">
        <f t="shared" si="60"/>
        <v>0</v>
      </c>
      <c r="DU35" s="102">
        <f t="shared" si="61"/>
        <v>0</v>
      </c>
      <c r="DV35" s="211">
        <f t="shared" si="125"/>
        <v>11</v>
      </c>
      <c r="DW35" s="212">
        <f t="shared" si="62"/>
        <v>0</v>
      </c>
      <c r="DX35" s="212">
        <f t="shared" si="15"/>
        <v>0</v>
      </c>
      <c r="DY35" s="212">
        <f t="shared" si="111"/>
        <v>0</v>
      </c>
      <c r="DZ35" s="213">
        <f t="shared" si="16"/>
        <v>1000000</v>
      </c>
      <c r="ED35" s="182"/>
      <c r="EF35" s="308">
        <f t="shared" ca="1" si="17"/>
        <v>2</v>
      </c>
      <c r="EG35" s="309">
        <f t="shared" si="63"/>
        <v>0</v>
      </c>
      <c r="EH35" s="268">
        <f t="shared" si="18"/>
        <v>0</v>
      </c>
      <c r="EI35" s="33">
        <f t="shared" si="64"/>
        <v>0</v>
      </c>
      <c r="EJ35" s="33">
        <f>IF(CZ34&lt;0.01,0,IF(OR(Plus!$F$10=Plus!$AK$10,Plus!$F$10=Plus!$AK$11),0,EK35-EI35))</f>
        <v>0</v>
      </c>
      <c r="EK35" s="33">
        <f>IF(ER33&lt;0.1,0,MIN(ER34+EI35,IF(FE35&gt;0,FE35,IF(OR(Plus!$F$10=Plus!$AK$10,Plus!$F$10=Plus!$AK$11),EI35,EK34*(1+EZ35)))))</f>
        <v>0</v>
      </c>
      <c r="EL35" s="33">
        <f>IF(ER34&lt;0.01,0,IF(Plus!$F$22=Plus!$AN$4,0,IF(Plus!$F$22=Plus!$AN$3,ER34*Plus!$F$23/1000,ER34*VLOOKUP(Plus!$G$21,Plus!$AP$2:'Plus'!$AQ$5,2,0))))</f>
        <v>0</v>
      </c>
      <c r="EM35" s="33">
        <f>IF(ER34&lt;0.01,0,IF(Plus!$F$24=Plus!$AO$3,0,IF(OR(Plus!$F$10=Plus!$AK$7,Plus!$F$10=Plus!$AK$13),0,IF(OR(Plus!$F$10=Plus!$AK$10,Plus!$F$10=Plus!$AK$11),Plus!$G$13*Plus!$AR$4,Plus!$G$13*Plus!$AR$2))))</f>
        <v>0</v>
      </c>
      <c r="EN35" s="33">
        <f>IF(ER34&lt;0.01,0,IF(OR(Plus!$F$10=Plus!$AK$7,Plus!$F$10=Plus!$AK$13),0,Plus!$BD$2*1.16))</f>
        <v>0</v>
      </c>
      <c r="EO35" s="33">
        <f>IF(ER34&lt;0.01,0,IF(Plus!$AS$2&gt;0,EI35*Plus!$AS$3,0))</f>
        <v>0</v>
      </c>
      <c r="EP35" s="33">
        <f t="shared" si="65"/>
        <v>0</v>
      </c>
      <c r="EQ35" s="33">
        <f>IF(Plus!$F$10=Plus!$AK$3,MIN(ER34+EI35+EL35+EM35+EN35-EP35,FC35),0)</f>
        <v>0</v>
      </c>
      <c r="ER35" s="297">
        <f t="shared" si="66"/>
        <v>0</v>
      </c>
      <c r="ES35" s="340">
        <f>Plus!O76</f>
        <v>0</v>
      </c>
      <c r="ET35" s="74"/>
      <c r="EU35" s="74"/>
      <c r="EV35" s="416">
        <f t="shared" si="134"/>
        <v>0</v>
      </c>
      <c r="EY35" s="90">
        <f t="shared" si="68"/>
        <v>11</v>
      </c>
      <c r="EZ35" s="121">
        <f t="shared" si="112"/>
        <v>0</v>
      </c>
      <c r="FB35" s="149">
        <f t="shared" si="113"/>
        <v>0</v>
      </c>
      <c r="FC35" s="2179">
        <f t="shared" ca="1" si="69"/>
        <v>0</v>
      </c>
      <c r="FE35" s="120">
        <f t="shared" si="114"/>
        <v>0</v>
      </c>
      <c r="FF35" s="110">
        <f t="shared" si="70"/>
        <v>0</v>
      </c>
      <c r="FG35" s="110">
        <f t="shared" si="71"/>
        <v>0</v>
      </c>
      <c r="FH35" s="109">
        <f t="shared" si="72"/>
        <v>0</v>
      </c>
      <c r="FI35" s="109">
        <f t="shared" si="19"/>
        <v>0</v>
      </c>
      <c r="FJ35" s="113">
        <f t="shared" si="73"/>
        <v>0</v>
      </c>
      <c r="FL35" s="102">
        <f t="shared" si="74"/>
        <v>0</v>
      </c>
      <c r="FM35" s="211">
        <f t="shared" si="127"/>
        <v>11</v>
      </c>
      <c r="FN35" s="212">
        <f t="shared" si="75"/>
        <v>0</v>
      </c>
      <c r="FO35" s="212">
        <f t="shared" si="20"/>
        <v>0</v>
      </c>
      <c r="FP35" s="212">
        <f t="shared" si="115"/>
        <v>0</v>
      </c>
      <c r="FQ35" s="213">
        <f t="shared" si="21"/>
        <v>1000000</v>
      </c>
      <c r="FV35" s="359"/>
      <c r="FX35" s="308">
        <f t="shared" ca="1" si="22"/>
        <v>2</v>
      </c>
      <c r="FY35" s="309">
        <f t="shared" si="76"/>
        <v>0</v>
      </c>
      <c r="FZ35" s="268">
        <f t="shared" si="23"/>
        <v>0</v>
      </c>
      <c r="GA35" s="33">
        <f t="shared" si="77"/>
        <v>0</v>
      </c>
      <c r="GB35" s="33">
        <f>IF(GJ34&lt;0.01,0,IF(OR(Plus!$F$10=Plus!$AK$10,Plus!$F$10=Plus!$AK$11),0,GC35-GA35))</f>
        <v>0</v>
      </c>
      <c r="GC35" s="33">
        <f>IF(GJ33&lt;0.1,0,MIN(GJ34+GA35,IF(GW35&gt;0,GW35,IF(OR(Plus!$F$10=Plus!$AK$10,Plus!$F$10=Plus!$AK$11),GA35,GC34*(1+GR35)))))</f>
        <v>0</v>
      </c>
      <c r="GD35" s="33">
        <f>IF(GJ34&lt;0.01,0,IF(Plus!$F$22=Plus!$AN$4,0,IF(Plus!$F$22=Plus!$AN$3,GJ34*Plus!$F$23/1000,GJ34*VLOOKUP(Plus!$G$21,Plus!$AP$2:$AQ$5,2,0))))</f>
        <v>0</v>
      </c>
      <c r="GE35" s="33">
        <f>IF(GJ34&lt;0.01,0,IF(Plus!$F$24=Plus!$AO$3,0,IF(OR(Plus!$F$10=Plus!$AK$7,Plus!$F$10=Plus!$AK$13,Plus!$F$10=Plus!$AK$14),0,IF(OR(Plus!$F$10=Plus!$AK$10,Plus!$F$10=Plus!$AK$11),Plus!$G$13*Adm!$W$7,Plus!$G$13*Adm!$X$4))))</f>
        <v>0</v>
      </c>
      <c r="GF35" s="33">
        <f>IF(GJ34&lt;0.01,0,IF(OR(Plus!$F$10=Plus!$AK$7,Plus!$F$10=Plus!$AK$13),0,Plus!$BD$2*1.16))</f>
        <v>0</v>
      </c>
      <c r="GG35" s="33">
        <f>IF(GJ34&lt;0.01,0,IF(Plus!$AS$2&gt;0,GA35*Plus!$AS$3,0))</f>
        <v>0</v>
      </c>
      <c r="GH35" s="33">
        <f t="shared" si="78"/>
        <v>0</v>
      </c>
      <c r="GI35" s="33">
        <f>IF(Plus!$F$10=Plus!$AK$3,MIN(GJ34+GA35+GD35+GE35+GF35-GH35,GU35),0)</f>
        <v>0</v>
      </c>
      <c r="GJ35" s="311">
        <f t="shared" ref="GJ35:GJ98" si="136">IF(GJ34&lt;0.01,0,GJ34-GB35-GI35-GK35)</f>
        <v>0</v>
      </c>
      <c r="GK35" s="340">
        <f>Plus!O76</f>
        <v>0</v>
      </c>
      <c r="GL35" s="74"/>
      <c r="GM35" s="74"/>
      <c r="GN35" s="419">
        <f t="shared" si="135"/>
        <v>0</v>
      </c>
      <c r="GQ35" s="90">
        <f t="shared" si="80"/>
        <v>11</v>
      </c>
      <c r="GR35" s="121">
        <f t="shared" si="116"/>
        <v>0</v>
      </c>
      <c r="GT35" s="149">
        <f t="shared" si="117"/>
        <v>0</v>
      </c>
      <c r="GU35" s="2179">
        <f t="shared" ca="1" si="81"/>
        <v>0</v>
      </c>
      <c r="GW35" s="120">
        <f t="shared" si="118"/>
        <v>0</v>
      </c>
      <c r="GX35" s="110">
        <f t="shared" si="82"/>
        <v>0</v>
      </c>
      <c r="GY35" s="110">
        <f t="shared" si="83"/>
        <v>0</v>
      </c>
      <c r="GZ35" s="109">
        <f t="shared" si="84"/>
        <v>0</v>
      </c>
      <c r="HA35" s="109">
        <f t="shared" si="24"/>
        <v>0</v>
      </c>
      <c r="HB35" s="113">
        <f t="shared" si="85"/>
        <v>0</v>
      </c>
      <c r="HD35" s="102">
        <f t="shared" si="86"/>
        <v>0</v>
      </c>
      <c r="HE35" s="211">
        <f t="shared" si="129"/>
        <v>11</v>
      </c>
      <c r="HF35" s="212">
        <f t="shared" si="87"/>
        <v>0</v>
      </c>
      <c r="HG35" s="212">
        <f t="shared" si="25"/>
        <v>0</v>
      </c>
      <c r="HH35" s="212">
        <f t="shared" si="119"/>
        <v>0</v>
      </c>
      <c r="HI35" s="213">
        <f t="shared" si="26"/>
        <v>1000000</v>
      </c>
      <c r="HL35" s="182"/>
      <c r="HM35" s="26">
        <f t="shared" ca="1" si="27"/>
        <v>2</v>
      </c>
      <c r="HO35" s="268">
        <f t="shared" si="28"/>
        <v>0</v>
      </c>
      <c r="HP35" s="421">
        <f t="shared" si="120"/>
        <v>0</v>
      </c>
      <c r="HQ35" s="123">
        <f t="shared" si="88"/>
        <v>0</v>
      </c>
      <c r="HR35" s="123">
        <f t="shared" si="89"/>
        <v>0</v>
      </c>
      <c r="HS35" s="123">
        <f t="shared" si="90"/>
        <v>0</v>
      </c>
      <c r="HT35" s="123">
        <f>IF(HY34&lt;0.01,0,IF(Adm!$GS$4=Adm!$GS$8,HY34*$HY$15,IF(Adm!$GS$12=Adm!$GS$13,0,HY34*Adm!$GV$4)))</f>
        <v>0</v>
      </c>
      <c r="HU35" s="123">
        <f>IF(HY34&lt;0.01,0,IF(Adm!$GS$5=Adm!$GS$8,Cal!$BO$108*$HY$16/1.16,IF(Adm!$GS$12=Adm!$GS$13,0,Cal!$BO$108*Adm!$GW$4/1.16)))</f>
        <v>0</v>
      </c>
      <c r="HV35" s="123">
        <f t="shared" si="91"/>
        <v>0</v>
      </c>
      <c r="HW35" s="123">
        <f t="shared" si="92"/>
        <v>0</v>
      </c>
      <c r="HX35" s="123">
        <f>IF(Adm!$GH$6="si",MIN(HY34+HQ35+HT35+HU35+HV35-HW35,IH35),0)</f>
        <v>0</v>
      </c>
      <c r="HY35" s="297">
        <f t="shared" si="93"/>
        <v>0</v>
      </c>
      <c r="HZ35" s="74"/>
      <c r="IA35" s="407">
        <f t="shared" si="94"/>
        <v>0</v>
      </c>
      <c r="IC35" s="90">
        <f t="shared" si="95"/>
        <v>11</v>
      </c>
      <c r="ID35" s="124">
        <f>IF(IC35=1,Cal!$BO$127,0)</f>
        <v>0</v>
      </c>
      <c r="IE35" s="73"/>
      <c r="IG35" s="70">
        <f t="shared" si="121"/>
        <v>0</v>
      </c>
      <c r="IH35" s="2178">
        <f t="shared" ca="1" si="96"/>
        <v>0</v>
      </c>
      <c r="IK35" s="217"/>
      <c r="IL35" s="26">
        <f t="shared" ca="1" si="29"/>
        <v>2</v>
      </c>
      <c r="IN35" s="268">
        <f t="shared" si="30"/>
        <v>0</v>
      </c>
      <c r="IO35" s="421">
        <f t="shared" si="122"/>
        <v>0</v>
      </c>
      <c r="IP35" s="123">
        <f t="shared" si="97"/>
        <v>0</v>
      </c>
      <c r="IQ35" s="123">
        <f t="shared" si="98"/>
        <v>0</v>
      </c>
      <c r="IR35" s="123">
        <f t="shared" si="99"/>
        <v>0</v>
      </c>
      <c r="IS35" s="123">
        <f>IF(IX34&lt;0.01,0,IF(Adm!$GS$4=Adm!$GS$8,IX34*$IX$15,IF(Adm!$GS$12=Adm!$GS$13,0,IX34*Adm!$GV$4)))</f>
        <v>0</v>
      </c>
      <c r="IT35" s="123"/>
      <c r="IU35" s="123">
        <f t="shared" si="100"/>
        <v>0</v>
      </c>
      <c r="IV35" s="123">
        <f t="shared" si="101"/>
        <v>0</v>
      </c>
      <c r="IW35" s="123"/>
      <c r="IX35" s="297">
        <f t="shared" si="102"/>
        <v>0</v>
      </c>
      <c r="IY35" s="74"/>
      <c r="IZ35" s="416">
        <f t="shared" si="103"/>
        <v>0</v>
      </c>
      <c r="JB35" s="90">
        <f t="shared" si="104"/>
        <v>11</v>
      </c>
      <c r="JC35" s="124">
        <f>IF(JB35=1,Cal!$BP$127,0)</f>
        <v>0</v>
      </c>
      <c r="JD35" s="73"/>
    </row>
    <row r="36" spans="1:264">
      <c r="A36" s="26">
        <f t="shared" ca="1" si="0"/>
        <v>3</v>
      </c>
      <c r="C36" s="254">
        <f t="shared" si="1"/>
        <v>0</v>
      </c>
      <c r="D36" s="123">
        <f t="shared" si="31"/>
        <v>0</v>
      </c>
      <c r="E36" s="123">
        <f>IF(L35&lt;0.01,0,IF(Adm!$B$4=Adm!$A$118,0,F36-D36))</f>
        <v>0</v>
      </c>
      <c r="F36" s="123">
        <f>IF(L34&lt;0.1,0,MIN(L34+D36,IF(Adm!$B$4=Adm!$A$118,D36,F35*(1+S36))))</f>
        <v>0</v>
      </c>
      <c r="G36" s="123">
        <f>IF(L35&lt;0.01,0,IF(Adm!$S$4=Adm!$S$8,L35*$L$15,L35*Adm!$V$4))</f>
        <v>0</v>
      </c>
      <c r="H36" s="952">
        <f>IF(L35&lt;0.01,0,IF(Adm!$S$5=Adm!$S$8,Adm!$AA$11*$L$16/1.16,IF(Adm!$B$4=Adm!$A$119,0,IF(Adm!$B$4=Adm!$A$118,Adm!$AA$11*Adm!$W$4/1.16,Adm!$AA$11*Adm!$X$4/1.16))))</f>
        <v>0</v>
      </c>
      <c r="I36" s="123">
        <f>IF(L35&lt;0.01,0,Cal!$AB$126/1.16)</f>
        <v>0</v>
      </c>
      <c r="J36" s="123">
        <f t="shared" si="2"/>
        <v>0</v>
      </c>
      <c r="K36" s="123">
        <f>IF(Adm!$G$4="si",MIN(L35+D36+G36+H36+I36-J36,V36),0)</f>
        <v>0</v>
      </c>
      <c r="L36" s="123">
        <f>IF(L35&lt;0.01,0,L35-E36-K36)+M36</f>
        <v>0</v>
      </c>
      <c r="M36" s="255">
        <f>IF(AND(Adm!$B$4=Adm!$A$118,Adm!$E$13=18),Cal!$C$121,0)</f>
        <v>0</v>
      </c>
      <c r="N36" s="74"/>
      <c r="O36" s="407">
        <f>J36+K36-M36</f>
        <v>0</v>
      </c>
      <c r="Q36" s="384" t="s">
        <v>465</v>
      </c>
      <c r="R36" s="90">
        <f t="shared" si="34"/>
        <v>12</v>
      </c>
      <c r="S36" s="121">
        <f>IF(R36=1,Cal!$AB$127,0)</f>
        <v>0</v>
      </c>
      <c r="U36" s="70">
        <f t="shared" si="105"/>
        <v>0</v>
      </c>
      <c r="V36" s="2178">
        <f t="shared" ca="1" si="35"/>
        <v>0</v>
      </c>
      <c r="X36" s="398"/>
      <c r="Z36" s="268">
        <f t="shared" si="3"/>
        <v>0</v>
      </c>
      <c r="AA36" s="2176">
        <f t="shared" si="36"/>
        <v>0</v>
      </c>
      <c r="AB36" s="33">
        <f t="shared" si="37"/>
        <v>0</v>
      </c>
      <c r="AC36" s="33">
        <f t="shared" si="38"/>
        <v>0</v>
      </c>
      <c r="AD36" s="33">
        <f>IF(AI35&lt;0.01,0,IF(Adm!$S$4=Adm!$S$8,AI35*$AI$15,AI35*Adm!$V$4))</f>
        <v>0</v>
      </c>
      <c r="AE36" s="33"/>
      <c r="AF36" s="33"/>
      <c r="AG36" s="33">
        <f t="shared" si="4"/>
        <v>0</v>
      </c>
      <c r="AH36" s="33"/>
      <c r="AI36" s="401">
        <f t="shared" si="5"/>
        <v>0</v>
      </c>
      <c r="AK36" s="410">
        <f t="shared" si="6"/>
        <v>0</v>
      </c>
      <c r="AN36" s="90">
        <f t="shared" si="39"/>
        <v>12</v>
      </c>
      <c r="AO36" s="121">
        <f>IF(AN36=1,Cal!$AC$127,0)</f>
        <v>0</v>
      </c>
      <c r="AS36" s="200"/>
      <c r="AU36" s="268">
        <f t="shared" si="7"/>
        <v>0</v>
      </c>
      <c r="AV36" s="2177">
        <f t="shared" si="40"/>
        <v>0</v>
      </c>
      <c r="AW36" s="123">
        <f t="shared" si="8"/>
        <v>0</v>
      </c>
      <c r="AX36" s="123">
        <f t="shared" si="41"/>
        <v>0</v>
      </c>
      <c r="AY36" s="123">
        <f>IF(BC35&lt;0.01,0,IF(Adm!$S$4=Adm!$S$8,BC35*$BC$16,BC35*Adm!$V$4))</f>
        <v>0</v>
      </c>
      <c r="AZ36" s="123"/>
      <c r="BA36" s="123">
        <f>IF(BC35&lt;0.01,0,Adm!$Q$6)</f>
        <v>0</v>
      </c>
      <c r="BB36" s="123">
        <f t="shared" si="42"/>
        <v>0</v>
      </c>
      <c r="BC36" s="297">
        <f t="shared" si="43"/>
        <v>0</v>
      </c>
      <c r="BE36" s="425">
        <f t="shared" si="9"/>
        <v>0</v>
      </c>
      <c r="BH36" s="90">
        <f t="shared" si="44"/>
        <v>12</v>
      </c>
      <c r="BI36" s="121">
        <f>IF(BH36=1,Cal!$AD$127,0)</f>
        <v>0</v>
      </c>
      <c r="BM36" s="221"/>
      <c r="BO36" s="295">
        <f t="shared" ca="1" si="10"/>
        <v>3</v>
      </c>
      <c r="BP36" s="268">
        <f t="shared" si="11"/>
        <v>0</v>
      </c>
      <c r="BQ36" s="123">
        <f t="shared" si="45"/>
        <v>0</v>
      </c>
      <c r="BR36" s="123">
        <f>IF(BZ35&lt;0.01,0,IF(OR(Plus!$F$10=Plus!$AK$10,Plus!$F$10=Plus!$AK$11),0,BS36-BQ36))</f>
        <v>0</v>
      </c>
      <c r="BS36" s="123">
        <f>IF(BZ34&lt;0.1,0,MIN(BZ34+BQ36,IF(OR(Plus!$F$10=Plus!$AK$10,Plus!$F$10=Plus!$AK$11),BQ36,BS35*(1+CG36))))</f>
        <v>0</v>
      </c>
      <c r="BT36" s="123">
        <f>IF(BZ35&lt;0.01,0,IF(Plus!$F$22=Plus!$AN$4,BZ35*$BZ$15,IF(Plus!$F$22=Plus!$AN$3,BZ35*Plus!$F$23/1000,BZ35*VLOOKUP(Plus!$G$21,Plus!$AP$2:'Plus'!$AQ$5,2,0))))</f>
        <v>0</v>
      </c>
      <c r="BU36" s="123">
        <f>IF(BZ35&lt;0.01,0,IF(Plus!$F$24=Plus!$AO$3,Plus!$G$13*$BZ$16/1.16,IF(Plus!$F$10=Plus!$AK$7,0,IF(OR(Plus!$F$10=Plus!$AK$10,Plus!$F$10=Plus!$AK$11),Plus!$G$13*Plus!$AR$4/1.16,Plus!$G$13*Plus!$AR$2/1.16))))</f>
        <v>0</v>
      </c>
      <c r="BV36" s="123">
        <f>IF(BZ35&lt;0.01,0,Plus!$BD$2)</f>
        <v>0</v>
      </c>
      <c r="BW36" s="123"/>
      <c r="BX36" s="123">
        <f t="shared" si="12"/>
        <v>0</v>
      </c>
      <c r="BY36" s="123">
        <f>IF(Plus!$F$10=Plus!$AK$3,MIN(BZ35+BQ36+BT36+BU36+BV36-BX36,CJ36),0)</f>
        <v>0</v>
      </c>
      <c r="BZ36" s="297">
        <f t="shared" si="123"/>
        <v>0</v>
      </c>
      <c r="CA36" s="276">
        <f>Plus!P77</f>
        <v>0</v>
      </c>
      <c r="CB36" s="74"/>
      <c r="CC36" s="413">
        <f>BX36+BY36-CA36</f>
        <v>0</v>
      </c>
      <c r="CE36" s="275" t="s">
        <v>465</v>
      </c>
      <c r="CF36" s="90">
        <f t="shared" si="48"/>
        <v>12</v>
      </c>
      <c r="CG36" s="121">
        <f t="shared" si="106"/>
        <v>0</v>
      </c>
      <c r="CI36" s="70">
        <f t="shared" si="107"/>
        <v>0</v>
      </c>
      <c r="CJ36" s="2178">
        <f t="shared" ca="1" si="49"/>
        <v>0</v>
      </c>
      <c r="CL36" s="161"/>
      <c r="CN36" s="308">
        <f t="shared" ca="1" si="13"/>
        <v>3</v>
      </c>
      <c r="CO36" s="309">
        <f t="shared" si="50"/>
        <v>0</v>
      </c>
      <c r="CP36" s="268">
        <f t="shared" si="14"/>
        <v>0</v>
      </c>
      <c r="CQ36" s="123">
        <f t="shared" si="51"/>
        <v>0</v>
      </c>
      <c r="CR36" s="123">
        <f>IF(CZ35&lt;0.01,0,MIN(CZ35,IF(OR(Plus!$F$10=Plus!$AK$10,Plus!$F$10=Plus!$AK$11),0,CS36-CQ36)))</f>
        <v>0</v>
      </c>
      <c r="CS36" s="123">
        <f>IF(CZ34&lt;0.1,0,MIN(CZ35+CQ36,IF(DN36&gt;0,DN36,IF(OR(Plus!$F$10=Plus!$AK$10,Plus!$F$10=Plus!$AK$11),CQ36,CS35*(1+DH36)))))</f>
        <v>0</v>
      </c>
      <c r="CT36" s="33">
        <f>IF(CZ35&lt;0.01,0,IF(Plus!$F$22=Plus!$AN$4,0,IF(Plus!$F$22=Plus!$AN$3,CZ35*Plus!$F$23/1000,CZ35*VLOOKUP(Plus!$G$21,Plus!$AP$2:'Plus'!$AQ$5,2,0))))</f>
        <v>0</v>
      </c>
      <c r="CU36" s="123">
        <f>IF(CZ35&lt;0.01,0,IF(Plus!$F$24=Plus!$AO$3,0,IF(OR(Plus!$F$10=Plus!$AK$7,Plus!$F$10=Plus!$AK$13),0,IF(OR(Plus!$F$10=Plus!$AK$10,Plus!$F$10=Plus!$AK$11),Plus!$G$13*Plus!$AR$4,Plus!$G$13*Plus!$AR$2))))</f>
        <v>0</v>
      </c>
      <c r="CV36" s="123">
        <f>IF(CZ35&lt;0.01,0,IF(OR(Plus!$F$10=Plus!$AK$7,Plus!$F$10=Plus!$AK$13),0,Plus!$BD$2*1.16))</f>
        <v>0</v>
      </c>
      <c r="CW36" s="123">
        <f>IF(CZ35&lt;0.01,0,IF(Plus!$AS$2&gt;0,CQ36*Plus!$AS$3,0))</f>
        <v>0</v>
      </c>
      <c r="CX36" s="123">
        <f t="shared" si="52"/>
        <v>0</v>
      </c>
      <c r="CY36" s="123">
        <f>IF(Plus!$F$10=Plus!$AK$3,MIN(CZ35+CQ36+CT36+CU36+CV36-CX36,DK36),0)</f>
        <v>0</v>
      </c>
      <c r="CZ36" s="297">
        <f t="shared" si="53"/>
        <v>0</v>
      </c>
      <c r="DA36" s="306">
        <f>Plus!O77</f>
        <v>0</v>
      </c>
      <c r="DB36" s="314">
        <f>Plus!P77</f>
        <v>0</v>
      </c>
      <c r="DC36" s="74"/>
      <c r="DD36" s="407">
        <f t="shared" si="54"/>
        <v>0</v>
      </c>
      <c r="DF36" s="275" t="s">
        <v>465</v>
      </c>
      <c r="DG36" s="90">
        <f t="shared" si="55"/>
        <v>12</v>
      </c>
      <c r="DH36" s="121">
        <f t="shared" si="108"/>
        <v>0</v>
      </c>
      <c r="DJ36" s="149">
        <f t="shared" si="109"/>
        <v>0</v>
      </c>
      <c r="DK36" s="2179">
        <f t="shared" ca="1" si="56"/>
        <v>0</v>
      </c>
      <c r="DN36" s="120">
        <f t="shared" si="110"/>
        <v>0</v>
      </c>
      <c r="DO36" s="110">
        <f t="shared" si="57"/>
        <v>0</v>
      </c>
      <c r="DP36" s="110">
        <f t="shared" si="124"/>
        <v>0</v>
      </c>
      <c r="DQ36" s="109">
        <f t="shared" si="58"/>
        <v>0</v>
      </c>
      <c r="DR36" s="109">
        <f t="shared" si="59"/>
        <v>0</v>
      </c>
      <c r="DS36" s="113">
        <f t="shared" si="60"/>
        <v>0</v>
      </c>
      <c r="DU36" s="102">
        <f t="shared" si="61"/>
        <v>0</v>
      </c>
      <c r="DV36" s="211">
        <f t="shared" si="125"/>
        <v>12</v>
      </c>
      <c r="DW36" s="212">
        <f t="shared" si="62"/>
        <v>0</v>
      </c>
      <c r="DX36" s="212">
        <f t="shared" si="15"/>
        <v>0</v>
      </c>
      <c r="DY36" s="212">
        <f t="shared" si="111"/>
        <v>0</v>
      </c>
      <c r="DZ36" s="213">
        <f t="shared" si="16"/>
        <v>1000000</v>
      </c>
      <c r="ED36" s="182"/>
      <c r="EF36" s="308">
        <f t="shared" ca="1" si="17"/>
        <v>3</v>
      </c>
      <c r="EG36" s="309">
        <f t="shared" si="63"/>
        <v>0</v>
      </c>
      <c r="EH36" s="268">
        <f t="shared" si="18"/>
        <v>0</v>
      </c>
      <c r="EI36" s="33">
        <f t="shared" si="64"/>
        <v>0</v>
      </c>
      <c r="EJ36" s="33">
        <f>IF(CZ35&lt;0.01,0,IF(OR(Plus!$F$10=Plus!$AK$10,Plus!$F$10=Plus!$AK$11),0,EK36-EI36))</f>
        <v>0</v>
      </c>
      <c r="EK36" s="33">
        <f>IF(ER34&lt;0.1,0,MIN(ER35+EI36,IF(FE36&gt;0,FE36,IF(OR(Plus!$F$10=Plus!$AK$10,Plus!$F$10=Plus!$AK$11),EI36,EK35*(1+EZ36)))))</f>
        <v>0</v>
      </c>
      <c r="EL36" s="33">
        <f>IF(ER35&lt;0.01,0,IF(Plus!$F$22=Plus!$AN$4,0,IF(Plus!$F$22=Plus!$AN$3,ER35*Plus!$F$23/1000,ER35*VLOOKUP(Plus!$G$21,Plus!$AP$2:'Plus'!$AQ$5,2,0))))</f>
        <v>0</v>
      </c>
      <c r="EM36" s="33">
        <f>IF(ER35&lt;0.01,0,IF(Plus!$F$24=Plus!$AO$3,0,IF(OR(Plus!$F$10=Plus!$AK$7,Plus!$F$10=Plus!$AK$13),0,IF(OR(Plus!$F$10=Plus!$AK$10,Plus!$F$10=Plus!$AK$11),Plus!$G$13*Plus!$AR$4,Plus!$G$13*Plus!$AR$2))))</f>
        <v>0</v>
      </c>
      <c r="EN36" s="33">
        <f>IF(ER35&lt;0.01,0,IF(OR(Plus!$F$10=Plus!$AK$7,Plus!$F$10=Plus!$AK$13),0,Plus!$BD$2*1.16))</f>
        <v>0</v>
      </c>
      <c r="EO36" s="33">
        <f>IF(ER35&lt;0.01,0,IF(Plus!$AS$2&gt;0,EI36*Plus!$AS$3,0))</f>
        <v>0</v>
      </c>
      <c r="EP36" s="33">
        <f t="shared" si="65"/>
        <v>0</v>
      </c>
      <c r="EQ36" s="33">
        <f>IF(Plus!$F$10=Plus!$AK$3,MIN(ER35+EI36+EL36+EM36+EN36-EP36,FC36),0)</f>
        <v>0</v>
      </c>
      <c r="ER36" s="297">
        <f t="shared" si="66"/>
        <v>0</v>
      </c>
      <c r="ES36" s="340">
        <f>Plus!O77</f>
        <v>0</v>
      </c>
      <c r="ET36" s="356">
        <f>Plus!P77</f>
        <v>0</v>
      </c>
      <c r="EU36" s="74"/>
      <c r="EV36" s="416">
        <f t="shared" si="134"/>
        <v>0</v>
      </c>
      <c r="EX36" s="20" t="s">
        <v>465</v>
      </c>
      <c r="EY36" s="90">
        <f t="shared" si="68"/>
        <v>12</v>
      </c>
      <c r="EZ36" s="121">
        <f t="shared" si="112"/>
        <v>0</v>
      </c>
      <c r="FB36" s="149">
        <f t="shared" si="113"/>
        <v>0</v>
      </c>
      <c r="FC36" s="2179">
        <f t="shared" ca="1" si="69"/>
        <v>0</v>
      </c>
      <c r="FE36" s="120">
        <f t="shared" si="114"/>
        <v>0</v>
      </c>
      <c r="FF36" s="110">
        <f t="shared" si="70"/>
        <v>0</v>
      </c>
      <c r="FG36" s="110">
        <f t="shared" si="71"/>
        <v>0</v>
      </c>
      <c r="FH36" s="109">
        <f t="shared" si="72"/>
        <v>0</v>
      </c>
      <c r="FI36" s="109">
        <f t="shared" si="19"/>
        <v>0</v>
      </c>
      <c r="FJ36" s="113">
        <f t="shared" si="73"/>
        <v>0</v>
      </c>
      <c r="FL36" s="102">
        <f t="shared" si="74"/>
        <v>0</v>
      </c>
      <c r="FM36" s="211">
        <f t="shared" si="127"/>
        <v>12</v>
      </c>
      <c r="FN36" s="212">
        <f t="shared" si="75"/>
        <v>0</v>
      </c>
      <c r="FO36" s="212">
        <f t="shared" si="20"/>
        <v>0</v>
      </c>
      <c r="FP36" s="212">
        <f t="shared" si="115"/>
        <v>0</v>
      </c>
      <c r="FQ36" s="213">
        <f t="shared" si="21"/>
        <v>1000000</v>
      </c>
      <c r="FV36" s="359"/>
      <c r="FX36" s="308">
        <f t="shared" ca="1" si="22"/>
        <v>3</v>
      </c>
      <c r="FY36" s="309">
        <f t="shared" si="76"/>
        <v>0</v>
      </c>
      <c r="FZ36" s="268">
        <f t="shared" si="23"/>
        <v>0</v>
      </c>
      <c r="GA36" s="33">
        <f t="shared" si="77"/>
        <v>0</v>
      </c>
      <c r="GB36" s="33">
        <f>IF(GJ35&lt;0.01,0,IF(OR(Plus!$F$10=Plus!$AK$10,Plus!$F$10=Plus!$AK$11),0,GC36-GA36))</f>
        <v>0</v>
      </c>
      <c r="GC36" s="33">
        <f>IF(GJ34&lt;0.1,0,MIN(GJ35+GA36,IF(GW36&gt;0,GW36,IF(OR(Plus!$F$10=Plus!$AK$10,Plus!$F$10=Plus!$AK$11),GA36,GC35*(1+GR36)))))</f>
        <v>0</v>
      </c>
      <c r="GD36" s="33">
        <f>IF(GJ35&lt;0.01,0,IF(Plus!$F$22=Plus!$AN$4,0,IF(Plus!$F$22=Plus!$AN$3,GJ35*Plus!$F$23/1000,GJ35*VLOOKUP(Plus!$G$21,Plus!$AP$2:$AQ$5,2,0))))</f>
        <v>0</v>
      </c>
      <c r="GE36" s="33">
        <f>IF(GJ35&lt;0.01,0,IF(Plus!$F$24=Plus!$AO$3,0,IF(OR(Plus!$F$10=Plus!$AK$7,Plus!$F$10=Plus!$AK$13,Plus!$F$10=Plus!$AK$14),0,IF(OR(Plus!$F$10=Plus!$AK$10,Plus!$F$10=Plus!$AK$11),Plus!$G$13*Adm!$W$7,Plus!$G$13*Adm!$X$4))))</f>
        <v>0</v>
      </c>
      <c r="GF36" s="33">
        <f>IF(GJ35&lt;0.01,0,IF(OR(Plus!$F$10=Plus!$AK$7,Plus!$F$10=Plus!$AK$13),0,Plus!$BD$2*1.16))</f>
        <v>0</v>
      </c>
      <c r="GG36" s="33">
        <f>IF(GJ35&lt;0.01,0,IF(Plus!$AS$2&gt;0,GA36*Plus!$AS$3,0))</f>
        <v>0</v>
      </c>
      <c r="GH36" s="33">
        <f t="shared" si="78"/>
        <v>0</v>
      </c>
      <c r="GI36" s="33">
        <f>IF(Plus!$F$10=Plus!$AK$3,MIN(GJ35+GA36+GD36+GE36+GF36-GH36,GU36),0)</f>
        <v>0</v>
      </c>
      <c r="GJ36" s="311">
        <f t="shared" si="136"/>
        <v>0</v>
      </c>
      <c r="GK36" s="340">
        <f>Plus!O77</f>
        <v>0</v>
      </c>
      <c r="GL36" s="364">
        <f>Plus!P77</f>
        <v>0</v>
      </c>
      <c r="GM36" s="74"/>
      <c r="GN36" s="419">
        <f t="shared" si="135"/>
        <v>0</v>
      </c>
      <c r="GP36" s="20" t="s">
        <v>465</v>
      </c>
      <c r="GQ36" s="90">
        <f t="shared" si="80"/>
        <v>12</v>
      </c>
      <c r="GR36" s="121">
        <f t="shared" si="116"/>
        <v>0</v>
      </c>
      <c r="GT36" s="149">
        <f t="shared" si="117"/>
        <v>0</v>
      </c>
      <c r="GU36" s="2179">
        <f t="shared" ca="1" si="81"/>
        <v>0</v>
      </c>
      <c r="GW36" s="120">
        <f t="shared" si="118"/>
        <v>0</v>
      </c>
      <c r="GX36" s="110">
        <f t="shared" si="82"/>
        <v>0</v>
      </c>
      <c r="GY36" s="110">
        <f t="shared" si="83"/>
        <v>0</v>
      </c>
      <c r="GZ36" s="109">
        <f t="shared" si="84"/>
        <v>0</v>
      </c>
      <c r="HA36" s="109">
        <f t="shared" si="24"/>
        <v>0</v>
      </c>
      <c r="HB36" s="113">
        <f t="shared" si="85"/>
        <v>0</v>
      </c>
      <c r="HD36" s="102">
        <f t="shared" si="86"/>
        <v>0</v>
      </c>
      <c r="HE36" s="211">
        <f t="shared" si="129"/>
        <v>12</v>
      </c>
      <c r="HF36" s="212">
        <f t="shared" si="87"/>
        <v>0</v>
      </c>
      <c r="HG36" s="212">
        <f t="shared" si="25"/>
        <v>0</v>
      </c>
      <c r="HH36" s="212">
        <f t="shared" si="119"/>
        <v>0</v>
      </c>
      <c r="HI36" s="213">
        <f t="shared" si="26"/>
        <v>1000000</v>
      </c>
      <c r="HL36" s="182"/>
      <c r="HM36" s="26">
        <f t="shared" ca="1" si="27"/>
        <v>3</v>
      </c>
      <c r="HO36" s="268">
        <f t="shared" si="28"/>
        <v>0</v>
      </c>
      <c r="HP36" s="421">
        <f t="shared" si="120"/>
        <v>0</v>
      </c>
      <c r="HQ36" s="123">
        <f t="shared" si="88"/>
        <v>0</v>
      </c>
      <c r="HR36" s="123">
        <f t="shared" si="89"/>
        <v>0</v>
      </c>
      <c r="HS36" s="123">
        <f t="shared" si="90"/>
        <v>0</v>
      </c>
      <c r="HT36" s="123">
        <f>IF(HY35&lt;0.01,0,IF(Adm!$GS$4=Adm!$GS$8,HY35*$HY$15,IF(Adm!$GS$12=Adm!$GS$13,0,HY35*Adm!$GV$4)))</f>
        <v>0</v>
      </c>
      <c r="HU36" s="123">
        <f>IF(HY35&lt;0.01,0,IF(Adm!$GS$5=Adm!$GS$8,Cal!$BO$108*$HY$16/1.16,IF(Adm!$GS$12=Adm!$GS$13,0,Cal!$BO$108*Adm!$GW$4/1.16)))</f>
        <v>0</v>
      </c>
      <c r="HV36" s="123">
        <f t="shared" si="91"/>
        <v>0</v>
      </c>
      <c r="HW36" s="123">
        <f t="shared" si="92"/>
        <v>0</v>
      </c>
      <c r="HX36" s="123">
        <f>IF(Adm!$GH$6="si",MIN(HY35+HQ36+HT36+HU36+HV36-HW36,IH36),0)</f>
        <v>0</v>
      </c>
      <c r="HY36" s="297">
        <f t="shared" si="93"/>
        <v>0</v>
      </c>
      <c r="HZ36" s="74"/>
      <c r="IA36" s="407">
        <f t="shared" si="94"/>
        <v>0</v>
      </c>
      <c r="IC36" s="90">
        <f t="shared" si="95"/>
        <v>12</v>
      </c>
      <c r="ID36" s="124">
        <f>IF(IC36=1,Cal!$BO$127,0)</f>
        <v>0</v>
      </c>
      <c r="IE36" s="73"/>
      <c r="IG36" s="70">
        <f t="shared" si="121"/>
        <v>0</v>
      </c>
      <c r="IH36" s="2178">
        <f t="shared" ca="1" si="96"/>
        <v>0</v>
      </c>
      <c r="IK36" s="217"/>
      <c r="IL36" s="26">
        <f t="shared" ca="1" si="29"/>
        <v>3</v>
      </c>
      <c r="IN36" s="268">
        <f t="shared" si="30"/>
        <v>0</v>
      </c>
      <c r="IO36" s="421">
        <f t="shared" si="122"/>
        <v>0</v>
      </c>
      <c r="IP36" s="123">
        <f t="shared" si="97"/>
        <v>0</v>
      </c>
      <c r="IQ36" s="123">
        <f t="shared" si="98"/>
        <v>0</v>
      </c>
      <c r="IR36" s="123">
        <f t="shared" si="99"/>
        <v>0</v>
      </c>
      <c r="IS36" s="123">
        <f>IF(IX35&lt;0.01,0,IF(Adm!$GS$4=Adm!$GS$8,IX35*$IX$15,IF(Adm!$GS$12=Adm!$GS$13,0,IX35*Adm!$GV$4)))</f>
        <v>0</v>
      </c>
      <c r="IT36" s="123"/>
      <c r="IU36" s="123">
        <f t="shared" si="100"/>
        <v>0</v>
      </c>
      <c r="IV36" s="123">
        <f t="shared" si="101"/>
        <v>0</v>
      </c>
      <c r="IW36" s="123"/>
      <c r="IX36" s="297">
        <f t="shared" si="102"/>
        <v>0</v>
      </c>
      <c r="IY36" s="74"/>
      <c r="IZ36" s="416">
        <f t="shared" si="103"/>
        <v>0</v>
      </c>
      <c r="JB36" s="90">
        <f t="shared" si="104"/>
        <v>12</v>
      </c>
      <c r="JC36" s="124">
        <f>IF(JB36=1,Cal!$BP$127,0)</f>
        <v>0</v>
      </c>
      <c r="JD36" s="73"/>
    </row>
    <row r="37" spans="1:264">
      <c r="A37" s="26">
        <f t="shared" ca="1" si="0"/>
        <v>4</v>
      </c>
      <c r="C37" s="454">
        <f t="shared" si="1"/>
        <v>0</v>
      </c>
      <c r="D37" s="123">
        <f t="shared" si="31"/>
        <v>0</v>
      </c>
      <c r="E37" s="123">
        <f>IF(L36&lt;0.01,0,IF(AND(Adm!$B$4=Adm!$A$118,Adm!$E$13=18),0,F37-D37))</f>
        <v>0</v>
      </c>
      <c r="F37" s="455">
        <f>IF(L36&lt;0.1,0,MIN(L36+D37,IF(AND(Adm!$B$4=Adm!$A$118,Adm!$E$13=12),Q37,F36*(1+S37))))</f>
        <v>0</v>
      </c>
      <c r="G37" s="123">
        <f>IF(L36&lt;0.01,0,IF(Adm!$S$4=Adm!$S$8,L36*$L$15,L36*Adm!$V$4))</f>
        <v>0</v>
      </c>
      <c r="H37" s="952">
        <f>IF(L36&lt;0.01,0,IF(Adm!$S$5=Adm!$S$8,Adm!$AA$11*$L$16/1.16,IF(Adm!$B$4=Adm!$A$119,0,IF(Adm!$B$4=Adm!$A$118,Adm!$AA$11*Adm!$W$4/1.16,Adm!$AA$11*Adm!$X$4/1.16))))</f>
        <v>0</v>
      </c>
      <c r="I37" s="123">
        <f>IF(L36&lt;0.01,0,Cal!$AB$126/1.16)</f>
        <v>0</v>
      </c>
      <c r="J37" s="123">
        <f t="shared" si="2"/>
        <v>0</v>
      </c>
      <c r="K37" s="123">
        <f>IF(Adm!$G$4="si",MIN(L36+D37+G37+H37+I37-J37,V37),0)</f>
        <v>0</v>
      </c>
      <c r="L37" s="123">
        <f t="shared" si="32"/>
        <v>0</v>
      </c>
      <c r="M37" s="74"/>
      <c r="N37" s="74"/>
      <c r="O37" s="407">
        <f t="shared" si="33"/>
        <v>0</v>
      </c>
      <c r="Q37" s="2180">
        <f>IF(AND(Adm!B4=Adm!A118,Adm!$E$13=12),PMT(((Adm!AE6/360)*(365/12)),Adm!H4-12,-L33),0)</f>
        <v>0</v>
      </c>
      <c r="R37" s="90">
        <f t="shared" si="34"/>
        <v>1</v>
      </c>
      <c r="S37" s="121">
        <f>IF(R37=1,Cal!$AB$127,0)</f>
        <v>0</v>
      </c>
      <c r="U37" s="70">
        <f t="shared" si="105"/>
        <v>0</v>
      </c>
      <c r="V37" s="2178">
        <f t="shared" ca="1" si="35"/>
        <v>0</v>
      </c>
      <c r="X37" s="398"/>
      <c r="Z37" s="268">
        <f t="shared" si="3"/>
        <v>0</v>
      </c>
      <c r="AA37" s="2176">
        <f t="shared" si="36"/>
        <v>0</v>
      </c>
      <c r="AB37" s="33">
        <f t="shared" si="37"/>
        <v>0</v>
      </c>
      <c r="AC37" s="33">
        <f t="shared" si="38"/>
        <v>0</v>
      </c>
      <c r="AD37" s="33">
        <f>IF(AI36&lt;0.01,0,IF(Adm!$S$4=Adm!$S$8,AI36*$AI$15,AI36*Adm!$V$4))</f>
        <v>0</v>
      </c>
      <c r="AE37" s="33"/>
      <c r="AF37" s="33"/>
      <c r="AG37" s="33">
        <f t="shared" si="4"/>
        <v>0</v>
      </c>
      <c r="AH37" s="33"/>
      <c r="AI37" s="401">
        <f t="shared" si="5"/>
        <v>0</v>
      </c>
      <c r="AK37" s="410">
        <f t="shared" si="6"/>
        <v>0</v>
      </c>
      <c r="AN37" s="90">
        <f t="shared" si="39"/>
        <v>1</v>
      </c>
      <c r="AO37" s="121">
        <f>IF(AN37=1,Cal!$AC$127,0)</f>
        <v>0</v>
      </c>
      <c r="AS37" s="200"/>
      <c r="AU37" s="268">
        <f t="shared" si="7"/>
        <v>0</v>
      </c>
      <c r="AV37" s="2177">
        <f t="shared" si="40"/>
        <v>0</v>
      </c>
      <c r="AW37" s="123">
        <f t="shared" si="8"/>
        <v>0</v>
      </c>
      <c r="AX37" s="123">
        <f t="shared" si="41"/>
        <v>0</v>
      </c>
      <c r="AY37" s="123">
        <f>IF(BC36&lt;0.01,0,IF(Adm!$S$4=Adm!$S$8,BC36*$BC$16,BC36*Adm!$V$4))</f>
        <v>0</v>
      </c>
      <c r="AZ37" s="123"/>
      <c r="BA37" s="123">
        <f>IF(BC36&lt;0.01,0,Adm!$Q$6)</f>
        <v>0</v>
      </c>
      <c r="BB37" s="123">
        <f t="shared" si="42"/>
        <v>0</v>
      </c>
      <c r="BC37" s="297">
        <f t="shared" si="43"/>
        <v>0</v>
      </c>
      <c r="BE37" s="425">
        <f t="shared" si="9"/>
        <v>0</v>
      </c>
      <c r="BH37" s="90">
        <f t="shared" si="44"/>
        <v>1</v>
      </c>
      <c r="BI37" s="121">
        <f>IF(BH37=1,Cal!$AD$127,0)</f>
        <v>0</v>
      </c>
      <c r="BM37" s="221"/>
      <c r="BO37" s="295">
        <f t="shared" ca="1" si="10"/>
        <v>4</v>
      </c>
      <c r="BP37" s="269">
        <f t="shared" si="11"/>
        <v>0</v>
      </c>
      <c r="BQ37" s="123">
        <f t="shared" si="45"/>
        <v>0</v>
      </c>
      <c r="BR37" s="123">
        <f>IF(BZ36&lt;0.01,0,IF(AND(OR(Plus!$F$10=Plus!$AK$10,Plus!$F$10=Plus!$AK$11),Plus!$BE$2=18),0,BS37-BQ37))</f>
        <v>0</v>
      </c>
      <c r="BS37" s="123">
        <f>IF(BZ36&lt;0.1,0,MIN(BZ36+BQ37,IF(AND(OR(Plus!$F$10=Plus!$AK$10,Plus!$F$10=Plus!$AK$11),Plus!$BE$2=12),CE37,BS36*(1+CG37))))</f>
        <v>0</v>
      </c>
      <c r="BT37" s="123">
        <f>IF(BZ36&lt;0.01,0,IF(Plus!$F$22=Plus!$AN$4,BZ36*$BZ$15,IF(Plus!$F$22=Plus!$AN$3,BZ36*Plus!$F$23/1000,BZ36*VLOOKUP(Plus!$G$21,Plus!$AP$2:'Plus'!$AQ$5,2,0))))</f>
        <v>0</v>
      </c>
      <c r="BU37" s="123">
        <f>IF(BZ36&lt;0.01,0,IF(Plus!$F$24=Plus!$AO$3,Plus!$G$13*Plus!$AR$2/1.16,IF(Plus!$F$10=Plus!$AK$7,0,Plus!$G$13*Plus!$AR$2/1.16)))</f>
        <v>0</v>
      </c>
      <c r="BV37" s="123">
        <f>IF(BZ36&lt;0.01,0,Plus!$BD$2)</f>
        <v>0</v>
      </c>
      <c r="BW37" s="123"/>
      <c r="BX37" s="123">
        <f t="shared" si="12"/>
        <v>0</v>
      </c>
      <c r="BY37" s="123">
        <f>IF(Plus!$F$10=Plus!$AK$3,MIN(BZ36+BQ37+BT37+BU37+BV37-BX37,CJ37),0)</f>
        <v>0</v>
      </c>
      <c r="BZ37" s="297">
        <f>IF(BZ36&lt;0.01,0,BZ36-BR37-BY37)</f>
        <v>0</v>
      </c>
      <c r="CA37" s="74"/>
      <c r="CB37" s="74"/>
      <c r="CC37" s="413">
        <f t="shared" si="47"/>
        <v>0</v>
      </c>
      <c r="CE37" s="2181">
        <f>IF(AND(OR(Plus!$F$10=Plus!$AK$10,Plus!$F$10=Plus!$AK$11),Plus!$BE$2=12),PMT(((BS9/360)*(365/12)),BS8-12,-BZ36),0)</f>
        <v>0</v>
      </c>
      <c r="CF37" s="90">
        <f t="shared" si="48"/>
        <v>1</v>
      </c>
      <c r="CG37" s="121">
        <f t="shared" si="106"/>
        <v>0</v>
      </c>
      <c r="CI37" s="70">
        <f t="shared" si="107"/>
        <v>0</v>
      </c>
      <c r="CJ37" s="2178">
        <f t="shared" ca="1" si="49"/>
        <v>0</v>
      </c>
      <c r="CL37" s="161"/>
      <c r="CN37" s="308">
        <f t="shared" ca="1" si="13"/>
        <v>4</v>
      </c>
      <c r="CO37" s="309">
        <f t="shared" si="50"/>
        <v>0</v>
      </c>
      <c r="CP37" s="269">
        <f t="shared" si="14"/>
        <v>0</v>
      </c>
      <c r="CQ37" s="123">
        <f t="shared" si="51"/>
        <v>0</v>
      </c>
      <c r="CR37" s="123">
        <f>IF(CZ36&lt;0.01,0,MIN(CZ36,CS37-CQ37))</f>
        <v>0</v>
      </c>
      <c r="CS37" s="403">
        <f>IF(CZ35&lt;0.1,0,MIN(CZ36+CQ37,IF(DN37&gt;0,DN37,IF(AND(OR(Plus!$F$10=Plus!$AK$10,Plus!$F$10=Plus!$AK$11),Plus!BE2=12),DF37,CS36*(1+DH37)))))</f>
        <v>0</v>
      </c>
      <c r="CT37" s="33">
        <f>IF(CZ36&lt;0.01,0,IF(Plus!$F$22=Plus!$AN$4,0,IF(Plus!$F$22=Plus!$AN$3,CZ36*Plus!$F$23/1000,CZ36*VLOOKUP(Plus!$G$21,Plus!$AP$2:'Plus'!$AQ$5,2,0))))</f>
        <v>0</v>
      </c>
      <c r="CU37" s="123">
        <f>IF(CZ36&lt;0.01,0,IF(Plus!$F$24=Plus!$AO$3,0,IF(OR(Plus!$F$10=Plus!$AK$7,Plus!$F$10=Plus!$AK$13),0,IF(OR(Plus!$F$10=Plus!$AK$10,Plus!$F$10=Plus!$AK$11),Plus!$G$13*Plus!$AR$4,Plus!$G$13*Plus!$AR$2))))</f>
        <v>0</v>
      </c>
      <c r="CV37" s="123">
        <f>IF(CZ36&lt;0.01,0,IF(OR(Plus!$F$10=Plus!$AK$7,Plus!$F$10=Plus!$AK$13),0,Plus!$BD$2*1.16))</f>
        <v>0</v>
      </c>
      <c r="CW37" s="123">
        <f>IF(CZ36&lt;0.01,0,IF(Plus!$AS$2&gt;0,CQ37*Plus!$AS$3,0))</f>
        <v>0</v>
      </c>
      <c r="CX37" s="123">
        <f t="shared" si="52"/>
        <v>0</v>
      </c>
      <c r="CY37" s="123">
        <f>IF(Plus!$F$10=Plus!$AK$3,MIN(CZ36+CQ37+CT37+CU37+CV37-CX37,DK37),0)</f>
        <v>0</v>
      </c>
      <c r="CZ37" s="297">
        <f t="shared" si="53"/>
        <v>0</v>
      </c>
      <c r="DA37" s="306">
        <f>Plus!O78</f>
        <v>0</v>
      </c>
      <c r="DB37" s="74"/>
      <c r="DC37" s="74"/>
      <c r="DD37" s="407">
        <f t="shared" si="54"/>
        <v>0</v>
      </c>
      <c r="DF37" s="2181">
        <f>IF(AND(OR(Plus!$F$10=Plus!$AK$10,Plus!$F$10=Plus!$AK$11),Plus!$BE$2=12),PMT(((CS9/360)*(365/12)),CS8-12,-CZ36),0)</f>
        <v>0</v>
      </c>
      <c r="DG37" s="90">
        <f t="shared" si="55"/>
        <v>1</v>
      </c>
      <c r="DH37" s="121">
        <f t="shared" si="108"/>
        <v>0</v>
      </c>
      <c r="DJ37" s="149">
        <f t="shared" si="109"/>
        <v>0</v>
      </c>
      <c r="DK37" s="2179">
        <f t="shared" ca="1" si="56"/>
        <v>0</v>
      </c>
      <c r="DN37" s="120">
        <f t="shared" si="110"/>
        <v>0</v>
      </c>
      <c r="DO37" s="110">
        <f t="shared" si="57"/>
        <v>0</v>
      </c>
      <c r="DP37" s="110">
        <f t="shared" si="124"/>
        <v>0</v>
      </c>
      <c r="DQ37" s="109">
        <f t="shared" si="58"/>
        <v>0</v>
      </c>
      <c r="DR37" s="109">
        <f t="shared" si="59"/>
        <v>0</v>
      </c>
      <c r="DS37" s="113">
        <f t="shared" si="60"/>
        <v>0</v>
      </c>
      <c r="DU37" s="102">
        <f t="shared" si="61"/>
        <v>0</v>
      </c>
      <c r="DV37" s="333">
        <f t="shared" si="125"/>
        <v>13</v>
      </c>
      <c r="DW37" s="334">
        <f t="shared" si="62"/>
        <v>0</v>
      </c>
      <c r="DX37" s="334">
        <f t="shared" si="15"/>
        <v>0</v>
      </c>
      <c r="DY37" s="334">
        <f>MIN(DZ36+DW37,DY36*(1+$DW$20))</f>
        <v>0</v>
      </c>
      <c r="DZ37" s="213">
        <f t="shared" si="16"/>
        <v>1000000</v>
      </c>
      <c r="ED37" s="182"/>
      <c r="EF37" s="308">
        <f t="shared" ca="1" si="17"/>
        <v>4</v>
      </c>
      <c r="EG37" s="309">
        <f t="shared" si="63"/>
        <v>0</v>
      </c>
      <c r="EH37" s="269">
        <f t="shared" si="18"/>
        <v>0</v>
      </c>
      <c r="EI37" s="33">
        <f t="shared" si="64"/>
        <v>0</v>
      </c>
      <c r="EJ37" s="33">
        <f>IF(ER36&lt;0.01,0,MIN(ER36,EK37-EI37))</f>
        <v>0</v>
      </c>
      <c r="EK37" s="404">
        <f>IF(ER35&lt;0.1,0,MIN(ER36+EI37,IF(FE37&gt;0,FE37,IF(OR(Plus!$F$10=Plus!$AK$10,Plus!$F$10=Plus!$AK$11),EX37,EK36*(1+EZ37)))))</f>
        <v>0</v>
      </c>
      <c r="EL37" s="33">
        <f>IF(ER36&lt;0.01,0,IF(Plus!$F$22=Plus!$AN$4,0,IF(Plus!$F$22=Plus!$AN$3,ER36*Plus!$F$23/1000,ER36*VLOOKUP(Plus!$G$21,Plus!$AP$2:'Plus'!$AQ$5,2,0))))</f>
        <v>0</v>
      </c>
      <c r="EM37" s="33">
        <f>IF(ER36&lt;0.01,0,IF(Plus!$F$24=Plus!$AO$3,0,IF(OR(Plus!$F$10=Plus!$AK$7,Plus!$F$10=Plus!$AK$13),0,IF(OR(Plus!$F$10=Plus!$AK$10,Plus!$F$10=Plus!$AK$11),Plus!$G$13*Plus!$AR$4,Plus!$G$13*Plus!$AR$2))))</f>
        <v>0</v>
      </c>
      <c r="EN37" s="33">
        <f>IF(ER36&lt;0.01,0,IF(OR(Plus!$F$10=Plus!$AK$7,Plus!$F$10=Plus!$AK$13),0,Plus!$BD$2*1.16))</f>
        <v>0</v>
      </c>
      <c r="EO37" s="33">
        <f>IF(ER36&lt;0.01,0,IF(Plus!$AS$2&gt;0,EI37*Plus!$AS$3,0))</f>
        <v>0</v>
      </c>
      <c r="EP37" s="33">
        <f t="shared" si="65"/>
        <v>0</v>
      </c>
      <c r="EQ37" s="33">
        <f>IF(Plus!$F$10=Plus!$AK$3,MIN(ER36+EI37+EL37+EM37+EN37-EP37,FC37),0)</f>
        <v>0</v>
      </c>
      <c r="ER37" s="297">
        <f t="shared" si="66"/>
        <v>0</v>
      </c>
      <c r="ES37" s="340">
        <f>Plus!O78</f>
        <v>0</v>
      </c>
      <c r="ET37" s="74"/>
      <c r="EU37" s="74"/>
      <c r="EV37" s="416">
        <f t="shared" si="134"/>
        <v>0</v>
      </c>
      <c r="EX37" s="2181">
        <f>IF(AND(OR(Plus!$F$10=Plus!$AK$10,Plus!$F$10=Plus!$AK$11),Plus!$BE$2=12),PMT(((EK9/360)*(365/12)),EK8-12,-ER36),0)</f>
        <v>0</v>
      </c>
      <c r="EY37" s="90">
        <f t="shared" si="68"/>
        <v>1</v>
      </c>
      <c r="EZ37" s="121">
        <f t="shared" si="112"/>
        <v>0</v>
      </c>
      <c r="FB37" s="149">
        <f t="shared" si="113"/>
        <v>0</v>
      </c>
      <c r="FC37" s="2179">
        <f t="shared" ca="1" si="69"/>
        <v>0</v>
      </c>
      <c r="FE37" s="120">
        <f t="shared" si="114"/>
        <v>0</v>
      </c>
      <c r="FF37" s="110">
        <f t="shared" si="70"/>
        <v>0</v>
      </c>
      <c r="FG37" s="110">
        <f t="shared" si="71"/>
        <v>0</v>
      </c>
      <c r="FH37" s="109">
        <f t="shared" si="72"/>
        <v>0</v>
      </c>
      <c r="FI37" s="109">
        <f t="shared" si="19"/>
        <v>0</v>
      </c>
      <c r="FJ37" s="113">
        <f t="shared" si="73"/>
        <v>0</v>
      </c>
      <c r="FL37" s="102">
        <f t="shared" si="74"/>
        <v>0</v>
      </c>
      <c r="FM37" s="326">
        <f t="shared" si="127"/>
        <v>13</v>
      </c>
      <c r="FN37" s="327">
        <f t="shared" si="75"/>
        <v>0</v>
      </c>
      <c r="FO37" s="327">
        <f t="shared" si="20"/>
        <v>0</v>
      </c>
      <c r="FP37" s="327">
        <f>MIN(FQ36+FN37,FP36*(1+$FN$20))</f>
        <v>0</v>
      </c>
      <c r="FQ37" s="213">
        <f t="shared" si="21"/>
        <v>1000000</v>
      </c>
      <c r="FV37" s="359"/>
      <c r="FX37" s="308">
        <f t="shared" ca="1" si="22"/>
        <v>4</v>
      </c>
      <c r="FY37" s="309">
        <f t="shared" si="76"/>
        <v>0</v>
      </c>
      <c r="FZ37" s="269">
        <f t="shared" si="23"/>
        <v>0</v>
      </c>
      <c r="GA37" s="33">
        <f t="shared" si="77"/>
        <v>0</v>
      </c>
      <c r="GB37" s="33">
        <f>IF(GJ36&lt;0.01,0,MIN(GJ36,GC37-GA37))</f>
        <v>0</v>
      </c>
      <c r="GC37" s="405">
        <f>IF(GJ35&lt;0.1,0,MIN(GJ36+GA37,IF(GW37&gt;0,GW37,IF(OR(Plus!$F$10=Plus!$AK$10,Plus!$F$10=Plus!$AK$11),GP37,GC36*(1+GR37)))))</f>
        <v>0</v>
      </c>
      <c r="GD37" s="33">
        <f>IF(GJ36&lt;0.01,0,IF(Plus!$F$22=Plus!$AN$4,0,IF(Plus!$F$22=Plus!$AN$3,GJ36*Plus!$F$23/1000,GJ36*VLOOKUP(Plus!$G$21,Plus!$AP$2:$AQ$5,2,0))))</f>
        <v>0</v>
      </c>
      <c r="GE37" s="33">
        <f>IF(GJ36&lt;0.01,0,IF(Plus!$F$24=Plus!$AO$3,0,IF(OR(Plus!$F$10=Plus!$AK$7,Plus!$F$10=Plus!$AK$13,Plus!$F$10=Plus!$AK$14),0,IF(OR(Plus!$F$10=Plus!$AK$10,Plus!$F$10=Plus!$AK$11),Plus!$G$13*Adm!$W$7,Plus!$G$13*Adm!$X$4))))</f>
        <v>0</v>
      </c>
      <c r="GF37" s="33">
        <f>IF(GJ36&lt;0.01,0,IF(OR(Plus!$F$10=Plus!$AK$7,Plus!$F$10=Plus!$AK$13),0,Plus!$BD$2*1.16))</f>
        <v>0</v>
      </c>
      <c r="GG37" s="33">
        <f>IF(GJ36&lt;0.01,0,IF(Plus!$AS$2&gt;0,GA37*Plus!$AS$3,0))</f>
        <v>0</v>
      </c>
      <c r="GH37" s="33">
        <f t="shared" si="78"/>
        <v>0</v>
      </c>
      <c r="GI37" s="33">
        <f>IF(Plus!$F$10=Plus!$AK$3,MIN(GJ36+GA37+GD37+GE37+GF37-GH37,GU37),0)</f>
        <v>0</v>
      </c>
      <c r="GJ37" s="311">
        <f t="shared" si="136"/>
        <v>0</v>
      </c>
      <c r="GK37" s="340">
        <f>Plus!O78</f>
        <v>0</v>
      </c>
      <c r="GL37" s="74"/>
      <c r="GM37" s="74"/>
      <c r="GN37" s="419">
        <f t="shared" si="135"/>
        <v>0</v>
      </c>
      <c r="GP37" s="2181">
        <f>IF(AND(OR(Plus!$F$10=Plus!$AK$10,Plus!$F$10=Plus!$AK$11),Plus!$BE$2=12),PMT(((GC9/360)*(365/12)),GC8-12,-GJ36),0)</f>
        <v>0</v>
      </c>
      <c r="GQ37" s="90">
        <f t="shared" si="80"/>
        <v>1</v>
      </c>
      <c r="GR37" s="121">
        <f t="shared" si="116"/>
        <v>0</v>
      </c>
      <c r="GT37" s="149">
        <f t="shared" si="117"/>
        <v>0</v>
      </c>
      <c r="GU37" s="2179">
        <f t="shared" ca="1" si="81"/>
        <v>0</v>
      </c>
      <c r="GW37" s="120">
        <f t="shared" si="118"/>
        <v>0</v>
      </c>
      <c r="GX37" s="110">
        <f t="shared" si="82"/>
        <v>0</v>
      </c>
      <c r="GY37" s="110">
        <f t="shared" si="83"/>
        <v>0</v>
      </c>
      <c r="GZ37" s="109">
        <f t="shared" si="84"/>
        <v>0</v>
      </c>
      <c r="HA37" s="109">
        <f t="shared" si="24"/>
        <v>0</v>
      </c>
      <c r="HB37" s="113">
        <f t="shared" si="85"/>
        <v>0</v>
      </c>
      <c r="HD37" s="102">
        <f t="shared" si="86"/>
        <v>0</v>
      </c>
      <c r="HE37" s="326">
        <f t="shared" si="129"/>
        <v>13</v>
      </c>
      <c r="HF37" s="327">
        <f t="shared" si="87"/>
        <v>0</v>
      </c>
      <c r="HG37" s="327">
        <f t="shared" si="25"/>
        <v>0</v>
      </c>
      <c r="HH37" s="327">
        <f>MIN(HI36+HF37,HH36*(1+$FN$20))</f>
        <v>0</v>
      </c>
      <c r="HI37" s="213">
        <f t="shared" si="26"/>
        <v>1000000</v>
      </c>
      <c r="HL37" s="182"/>
      <c r="HM37" s="26">
        <f t="shared" ca="1" si="27"/>
        <v>4</v>
      </c>
      <c r="HO37" s="268">
        <f t="shared" si="28"/>
        <v>0</v>
      </c>
      <c r="HP37" s="421">
        <f t="shared" si="120"/>
        <v>0</v>
      </c>
      <c r="HQ37" s="123">
        <f t="shared" si="88"/>
        <v>0</v>
      </c>
      <c r="HR37" s="123">
        <f t="shared" si="89"/>
        <v>0</v>
      </c>
      <c r="HS37" s="123">
        <f t="shared" si="90"/>
        <v>0</v>
      </c>
      <c r="HT37" s="123">
        <f>IF(HY36&lt;0.01,0,IF(Adm!$GS$4=Adm!$GS$8,HY36*$HY$15,IF(Adm!$GS$12=Adm!$GS$13,0,HY36*Adm!$GV$4)))</f>
        <v>0</v>
      </c>
      <c r="HU37" s="123">
        <f>IF(HY36&lt;0.01,0,IF(Adm!$GS$5=Adm!$GS$8,Cal!$BO$108*$HY$16/1.16,IF(Adm!$GS$12=Adm!$GS$13,0,Cal!$BO$108*Adm!$GW$4/1.16)))</f>
        <v>0</v>
      </c>
      <c r="HV37" s="123">
        <f t="shared" si="91"/>
        <v>0</v>
      </c>
      <c r="HW37" s="123">
        <f t="shared" si="92"/>
        <v>0</v>
      </c>
      <c r="HX37" s="123">
        <f>IF(Adm!$GH$6="si",MIN(HY36+HQ37+HT37+HU37+HV37-HW37,IH37),0)</f>
        <v>0</v>
      </c>
      <c r="HY37" s="297">
        <f t="shared" si="93"/>
        <v>0</v>
      </c>
      <c r="HZ37" s="74"/>
      <c r="IA37" s="407">
        <f t="shared" si="94"/>
        <v>0</v>
      </c>
      <c r="IC37" s="90">
        <f t="shared" si="95"/>
        <v>1</v>
      </c>
      <c r="ID37" s="124">
        <f>IF(IC37=1,Cal!$BO$127,0)</f>
        <v>0</v>
      </c>
      <c r="IE37" s="73"/>
      <c r="IG37" s="70">
        <f t="shared" si="121"/>
        <v>0</v>
      </c>
      <c r="IH37" s="2178">
        <f t="shared" ca="1" si="96"/>
        <v>0</v>
      </c>
      <c r="IK37" s="217"/>
      <c r="IL37" s="26">
        <f t="shared" ca="1" si="29"/>
        <v>4</v>
      </c>
      <c r="IN37" s="268">
        <f t="shared" si="30"/>
        <v>0</v>
      </c>
      <c r="IO37" s="421">
        <f t="shared" si="122"/>
        <v>0</v>
      </c>
      <c r="IP37" s="123">
        <f t="shared" si="97"/>
        <v>0</v>
      </c>
      <c r="IQ37" s="123">
        <f t="shared" si="98"/>
        <v>0</v>
      </c>
      <c r="IR37" s="123">
        <f t="shared" si="99"/>
        <v>0</v>
      </c>
      <c r="IS37" s="123">
        <f>IF(IX36&lt;0.01,0,IF(Adm!$GS$4=Adm!$GS$8,IX36*$IX$15,IF(Adm!$GS$12=Adm!$GS$13,0,IX36*Adm!$GV$4)))</f>
        <v>0</v>
      </c>
      <c r="IT37" s="123"/>
      <c r="IU37" s="123">
        <f t="shared" si="100"/>
        <v>0</v>
      </c>
      <c r="IV37" s="123">
        <f t="shared" si="101"/>
        <v>0</v>
      </c>
      <c r="IW37" s="123"/>
      <c r="IX37" s="297">
        <f t="shared" si="102"/>
        <v>0</v>
      </c>
      <c r="IY37" s="74"/>
      <c r="IZ37" s="416">
        <f t="shared" si="103"/>
        <v>0</v>
      </c>
      <c r="JB37" s="90">
        <f t="shared" si="104"/>
        <v>1</v>
      </c>
      <c r="JC37" s="124">
        <f>IF(JB37=1,Cal!$BP$127,0)</f>
        <v>0</v>
      </c>
      <c r="JD37" s="73"/>
    </row>
    <row r="38" spans="1:264">
      <c r="A38" s="26">
        <f t="shared" ca="1" si="0"/>
        <v>5</v>
      </c>
      <c r="C38" s="33">
        <f t="shared" si="1"/>
        <v>0</v>
      </c>
      <c r="D38" s="123">
        <f t="shared" si="31"/>
        <v>0</v>
      </c>
      <c r="E38" s="123">
        <f>IF(L37&lt;0.01,0,IF(AND(Adm!$B$4=Adm!$A$118,Adm!$E$13=18),0,F38-D38))</f>
        <v>0</v>
      </c>
      <c r="F38" s="123">
        <f>IF(L37&lt;0.1,0,MIN(L37+D38,F37*(1+S38)))</f>
        <v>0</v>
      </c>
      <c r="G38" s="123">
        <f>IF(L37&lt;0.01,0,IF(Adm!$S$4=Adm!$S$8,L37*$L$15,L37*Adm!$V$4))</f>
        <v>0</v>
      </c>
      <c r="H38" s="952">
        <f>IF(L37&lt;0.01,0,IF(Adm!$S$5=Adm!$S$8,Adm!$AA$11*$L$16/1.16,IF(Adm!$B$4=Adm!$A$119,0,IF(Adm!$B$4=Adm!$A$118,Adm!$AA$11*Adm!$W$4/1.16,Adm!$AA$11*Adm!$X$4/1.16))))</f>
        <v>0</v>
      </c>
      <c r="I38" s="123">
        <f>IF(L37&lt;0.01,0,Cal!$AB$126/1.16)</f>
        <v>0</v>
      </c>
      <c r="J38" s="123">
        <f t="shared" si="2"/>
        <v>0</v>
      </c>
      <c r="K38" s="123">
        <f>IF(Adm!$G$4="si",MIN(L37+D38+G38+H38+I38-J38,V38),0)</f>
        <v>0</v>
      </c>
      <c r="L38" s="123">
        <f t="shared" si="32"/>
        <v>0</v>
      </c>
      <c r="M38" s="74"/>
      <c r="N38" s="74"/>
      <c r="O38" s="407">
        <f t="shared" si="33"/>
        <v>0</v>
      </c>
      <c r="R38" s="90">
        <f t="shared" si="34"/>
        <v>2</v>
      </c>
      <c r="S38" s="121">
        <f>IF(R38=1,Cal!$AB$127,0)</f>
        <v>0</v>
      </c>
      <c r="U38" s="70">
        <f t="shared" si="105"/>
        <v>0</v>
      </c>
      <c r="V38" s="2178">
        <f t="shared" ca="1" si="35"/>
        <v>0</v>
      </c>
      <c r="X38" s="398"/>
      <c r="Z38" s="268">
        <f t="shared" si="3"/>
        <v>0</v>
      </c>
      <c r="AA38" s="2176">
        <f t="shared" si="36"/>
        <v>0</v>
      </c>
      <c r="AB38" s="33">
        <f t="shared" si="37"/>
        <v>0</v>
      </c>
      <c r="AC38" s="33">
        <f t="shared" si="38"/>
        <v>0</v>
      </c>
      <c r="AD38" s="33">
        <f>IF(AI37&lt;0.01,0,IF(Adm!$S$4=Adm!$S$8,AI37*$AI$15,AI37*Adm!$V$4))</f>
        <v>0</v>
      </c>
      <c r="AE38" s="33"/>
      <c r="AF38" s="33"/>
      <c r="AG38" s="33">
        <f t="shared" si="4"/>
        <v>0</v>
      </c>
      <c r="AH38" s="33"/>
      <c r="AI38" s="401">
        <f t="shared" si="5"/>
        <v>0</v>
      </c>
      <c r="AK38" s="410">
        <f t="shared" si="6"/>
        <v>0</v>
      </c>
      <c r="AN38" s="90">
        <f t="shared" si="39"/>
        <v>2</v>
      </c>
      <c r="AO38" s="121">
        <f>IF(AN38=1,Cal!$AC$127,0)</f>
        <v>0</v>
      </c>
      <c r="AS38" s="200"/>
      <c r="AU38" s="268">
        <f t="shared" si="7"/>
        <v>0</v>
      </c>
      <c r="AV38" s="2177">
        <f t="shared" si="40"/>
        <v>0</v>
      </c>
      <c r="AW38" s="123">
        <f t="shared" si="8"/>
        <v>0</v>
      </c>
      <c r="AX38" s="123">
        <f t="shared" si="41"/>
        <v>0</v>
      </c>
      <c r="AY38" s="123">
        <f>IF(BC37&lt;0.01,0,IF(Adm!$S$4=Adm!$S$8,BC37*$BC$16,BC37*Adm!$V$4))</f>
        <v>0</v>
      </c>
      <c r="AZ38" s="123"/>
      <c r="BA38" s="123">
        <f>IF(BC37&lt;0.01,0,Adm!$Q$6)</f>
        <v>0</v>
      </c>
      <c r="BB38" s="123">
        <f t="shared" si="42"/>
        <v>0</v>
      </c>
      <c r="BC38" s="297">
        <f t="shared" si="43"/>
        <v>0</v>
      </c>
      <c r="BE38" s="425">
        <f t="shared" si="9"/>
        <v>0</v>
      </c>
      <c r="BH38" s="90">
        <f t="shared" si="44"/>
        <v>2</v>
      </c>
      <c r="BI38" s="121">
        <f>IF(BH38=1,Cal!$AD$127,0)</f>
        <v>0</v>
      </c>
      <c r="BM38" s="221"/>
      <c r="BO38" s="295">
        <f t="shared" ca="1" si="10"/>
        <v>5</v>
      </c>
      <c r="BP38" s="268">
        <f t="shared" si="11"/>
        <v>0</v>
      </c>
      <c r="BQ38" s="123">
        <f t="shared" si="45"/>
        <v>0</v>
      </c>
      <c r="BR38" s="123">
        <f>IF(BZ37&lt;0.01,0,IF(AND(OR(Plus!$F$10=Plus!$AK$10,Plus!$F$10=Plus!$AK$11),Plus!$BE$2=18),0,BS38-BQ38))</f>
        <v>0</v>
      </c>
      <c r="BS38" s="123">
        <f>IF(BZ37&lt;0.1,0,MIN(BZ37+BQ38,BS37*(1+CG38)))</f>
        <v>0</v>
      </c>
      <c r="BT38" s="123">
        <f>IF(BZ37&lt;0.01,0,IF(Plus!$F$22=Plus!$AN$4,BZ37*$BZ$15,IF(Plus!$F$22=Plus!$AN$3,BZ37*Plus!$F$23/1000,BZ37*VLOOKUP(Plus!$G$21,Plus!$AP$2:'Plus'!$AQ$5,2,0))))</f>
        <v>0</v>
      </c>
      <c r="BU38" s="123">
        <f>IF(BZ37&lt;0.01,0,IF(Plus!$F$24=Plus!$AO$3,Plus!$G$13*Plus!$AR$2/1.16,IF(Plus!$F$10=Plus!$AK$7,0,Plus!$G$13*Plus!$AR$2/1.16)))</f>
        <v>0</v>
      </c>
      <c r="BV38" s="123">
        <f>IF(BZ37&lt;0.01,0,Plus!$BD$2)</f>
        <v>0</v>
      </c>
      <c r="BW38" s="123"/>
      <c r="BX38" s="123">
        <f t="shared" si="12"/>
        <v>0</v>
      </c>
      <c r="BY38" s="123">
        <f>IF(Plus!$F$10=Plus!$AK$3,MIN(BZ37+BQ38+BT38+BU38+BV38-BX38,CJ38),0)</f>
        <v>0</v>
      </c>
      <c r="BZ38" s="297">
        <f>IF(BZ37&lt;0.01,0,BZ37-BR38-BY38)</f>
        <v>0</v>
      </c>
      <c r="CA38" s="74"/>
      <c r="CB38" s="74"/>
      <c r="CC38" s="413">
        <f t="shared" si="47"/>
        <v>0</v>
      </c>
      <c r="CF38" s="90">
        <f t="shared" si="48"/>
        <v>2</v>
      </c>
      <c r="CG38" s="121">
        <f t="shared" si="106"/>
        <v>0</v>
      </c>
      <c r="CI38" s="70">
        <f t="shared" si="107"/>
        <v>0</v>
      </c>
      <c r="CJ38" s="2178">
        <f t="shared" ca="1" si="49"/>
        <v>0</v>
      </c>
      <c r="CL38" s="161"/>
      <c r="CN38" s="308">
        <f t="shared" ca="1" si="13"/>
        <v>5</v>
      </c>
      <c r="CO38" s="309">
        <f t="shared" si="50"/>
        <v>0</v>
      </c>
      <c r="CP38" s="268">
        <f t="shared" si="14"/>
        <v>0</v>
      </c>
      <c r="CQ38" s="123">
        <f t="shared" si="51"/>
        <v>0</v>
      </c>
      <c r="CR38" s="123">
        <f t="shared" ref="CR38:CR101" si="137">IF(CZ37&lt;0.01,0,MIN(CZ37,CS38-CQ38))</f>
        <v>0</v>
      </c>
      <c r="CS38" s="123">
        <f t="shared" ref="CS38:CS101" si="138">IF(CZ36&lt;0.1,0,MIN(CZ37+CQ38,IF(DN38&gt;0,DN38,CS37*(1+DH38))))</f>
        <v>0</v>
      </c>
      <c r="CT38" s="33">
        <f>IF(CZ37&lt;0.01,0,IF(Plus!$F$22=Plus!$AN$4,0,IF(Plus!$F$22=Plus!$AN$3,CZ37*Plus!$F$23/1000,CZ37*VLOOKUP(Plus!$G$21,Plus!$AP$2:'Plus'!$AQ$5,2,0))))</f>
        <v>0</v>
      </c>
      <c r="CU38" s="123">
        <f>IF(CZ37&lt;0.01,0,IF(Plus!$F$24=Plus!$AO$3,0,IF(OR(Plus!$F$10=Plus!$AK$7,Plus!$F$10=Plus!$AK$13),0,IF(OR(Plus!$F$10=Plus!$AK$10,Plus!$F$10=Plus!$AK$11),Plus!$G$13*Plus!$AR$4,Plus!$G$13*Plus!$AR$2))))</f>
        <v>0</v>
      </c>
      <c r="CV38" s="123">
        <f>IF(CZ37&lt;0.01,0,IF(OR(Plus!$F$10=Plus!$AK$7,Plus!$F$10=Plus!$AK$13),0,Plus!$BD$2*1.16))</f>
        <v>0</v>
      </c>
      <c r="CW38" s="123">
        <f>IF(CZ37&lt;0.01,0,IF(Plus!$AS$2&gt;0,CQ38*Plus!$AS$3,0))</f>
        <v>0</v>
      </c>
      <c r="CX38" s="123">
        <f t="shared" si="52"/>
        <v>0</v>
      </c>
      <c r="CY38" s="123">
        <f>IF(Plus!$F$10=Plus!$AK$3,MIN(CZ37+CQ38+CT38+CU38+CV38-CX38,DK38),0)</f>
        <v>0</v>
      </c>
      <c r="CZ38" s="297">
        <f t="shared" si="53"/>
        <v>0</v>
      </c>
      <c r="DA38" s="306">
        <f>Plus!O79</f>
        <v>0</v>
      </c>
      <c r="DB38" s="74"/>
      <c r="DC38" s="74"/>
      <c r="DD38" s="407">
        <f t="shared" si="54"/>
        <v>0</v>
      </c>
      <c r="DF38" s="390"/>
      <c r="DG38" s="90">
        <f t="shared" si="55"/>
        <v>2</v>
      </c>
      <c r="DH38" s="121">
        <f t="shared" si="108"/>
        <v>0</v>
      </c>
      <c r="DJ38" s="149">
        <f t="shared" si="109"/>
        <v>0</v>
      </c>
      <c r="DK38" s="2179">
        <f t="shared" ca="1" si="56"/>
        <v>0</v>
      </c>
      <c r="DN38" s="120">
        <f t="shared" si="110"/>
        <v>0</v>
      </c>
      <c r="DO38" s="110">
        <f t="shared" si="57"/>
        <v>0</v>
      </c>
      <c r="DP38" s="110">
        <f t="shared" si="124"/>
        <v>0</v>
      </c>
      <c r="DQ38" s="109">
        <f t="shared" si="58"/>
        <v>0</v>
      </c>
      <c r="DR38" s="109">
        <f t="shared" si="59"/>
        <v>0</v>
      </c>
      <c r="DS38" s="113">
        <f t="shared" si="60"/>
        <v>0</v>
      </c>
      <c r="DU38" s="102">
        <f t="shared" si="61"/>
        <v>0</v>
      </c>
      <c r="DV38" s="211">
        <f t="shared" si="125"/>
        <v>14</v>
      </c>
      <c r="DW38" s="212">
        <f t="shared" si="62"/>
        <v>0</v>
      </c>
      <c r="DX38" s="212">
        <f t="shared" si="15"/>
        <v>0</v>
      </c>
      <c r="DY38" s="212">
        <f t="shared" si="111"/>
        <v>0</v>
      </c>
      <c r="DZ38" s="213">
        <f t="shared" si="16"/>
        <v>1000000</v>
      </c>
      <c r="ED38" s="182"/>
      <c r="EF38" s="308">
        <f t="shared" ca="1" si="17"/>
        <v>5</v>
      </c>
      <c r="EG38" s="309">
        <f t="shared" si="63"/>
        <v>0</v>
      </c>
      <c r="EH38" s="268">
        <f t="shared" si="18"/>
        <v>0</v>
      </c>
      <c r="EI38" s="33">
        <f t="shared" si="64"/>
        <v>0</v>
      </c>
      <c r="EJ38" s="33">
        <f t="shared" ref="EJ38:EJ101" si="139">IF(ER37&lt;0.01,0,MIN(ER37,EK38-EI38))</f>
        <v>0</v>
      </c>
      <c r="EK38" s="33">
        <f>IF(ER36&lt;0.1,0,MIN(ER37+EI38,IF(FE38&gt;0,FE38,EK37*(1+EZ38))))</f>
        <v>0</v>
      </c>
      <c r="EL38" s="33">
        <f>IF(ER37&lt;0.01,0,IF(Plus!$F$22=Plus!$AN$4,0,IF(Plus!$F$22=Plus!$AN$3,ER37*Plus!$F$23/1000,ER37*VLOOKUP(Plus!$G$21,Plus!$AP$2:'Plus'!$AQ$5,2,0))))</f>
        <v>0</v>
      </c>
      <c r="EM38" s="33">
        <f>IF(ER37&lt;0.01,0,IF(Plus!$F$24=Plus!$AO$3,0,IF(OR(Plus!$F$10=Plus!$AK$7,Plus!$F$10=Plus!$AK$13),0,IF(OR(Plus!$F$10=Plus!$AK$10,Plus!$F$10=Plus!$AK$11),Plus!$G$13*Plus!$AR$4,Plus!$G$13*Plus!$AR$2))))</f>
        <v>0</v>
      </c>
      <c r="EN38" s="33">
        <f>IF(ER37&lt;0.01,0,IF(OR(Plus!$F$10=Plus!$AK$7,Plus!$F$10=Plus!$AK$13),0,Plus!$BD$2*1.16))</f>
        <v>0</v>
      </c>
      <c r="EO38" s="33">
        <f>IF(ER37&lt;0.01,0,IF(Plus!$AS$2&gt;0,EI38*Plus!$AS$3,0))</f>
        <v>0</v>
      </c>
      <c r="EP38" s="33">
        <f t="shared" si="65"/>
        <v>0</v>
      </c>
      <c r="EQ38" s="33">
        <f>IF(Plus!$F$10=Plus!$AK$3,MIN(ER37+EI38+EL38+EM38+EN38-EP38,FC38),0)</f>
        <v>0</v>
      </c>
      <c r="ER38" s="297">
        <f t="shared" si="66"/>
        <v>0</v>
      </c>
      <c r="ES38" s="340">
        <f>Plus!O79</f>
        <v>0</v>
      </c>
      <c r="ET38" s="74"/>
      <c r="EU38" s="74"/>
      <c r="EV38" s="416">
        <f t="shared" si="134"/>
        <v>0</v>
      </c>
      <c r="EY38" s="90">
        <f t="shared" si="68"/>
        <v>2</v>
      </c>
      <c r="EZ38" s="121">
        <f t="shared" si="112"/>
        <v>0</v>
      </c>
      <c r="FB38" s="149">
        <f t="shared" si="113"/>
        <v>0</v>
      </c>
      <c r="FC38" s="2179">
        <f t="shared" ca="1" si="69"/>
        <v>0</v>
      </c>
      <c r="FE38" s="120">
        <f t="shared" si="114"/>
        <v>0</v>
      </c>
      <c r="FF38" s="110">
        <f t="shared" si="70"/>
        <v>0</v>
      </c>
      <c r="FG38" s="110">
        <f t="shared" si="71"/>
        <v>0</v>
      </c>
      <c r="FH38" s="109">
        <f t="shared" si="72"/>
        <v>0</v>
      </c>
      <c r="FI38" s="109">
        <f t="shared" si="19"/>
        <v>0</v>
      </c>
      <c r="FJ38" s="113">
        <f t="shared" si="73"/>
        <v>0</v>
      </c>
      <c r="FL38" s="102">
        <f t="shared" si="74"/>
        <v>0</v>
      </c>
      <c r="FM38" s="211">
        <f t="shared" si="127"/>
        <v>14</v>
      </c>
      <c r="FN38" s="212">
        <f t="shared" si="75"/>
        <v>0</v>
      </c>
      <c r="FO38" s="212">
        <f t="shared" si="20"/>
        <v>0</v>
      </c>
      <c r="FP38" s="212">
        <f t="shared" ref="FP38:FP48" si="140">MIN(FQ37+FN38,FP37)</f>
        <v>0</v>
      </c>
      <c r="FQ38" s="213">
        <f t="shared" si="21"/>
        <v>1000000</v>
      </c>
      <c r="FV38" s="359"/>
      <c r="FX38" s="308">
        <f t="shared" ca="1" si="22"/>
        <v>5</v>
      </c>
      <c r="FY38" s="309">
        <f t="shared" si="76"/>
        <v>0</v>
      </c>
      <c r="FZ38" s="268">
        <f t="shared" si="23"/>
        <v>0</v>
      </c>
      <c r="GA38" s="33">
        <f t="shared" si="77"/>
        <v>0</v>
      </c>
      <c r="GB38" s="33">
        <f t="shared" ref="GB38:GB101" si="141">IF(GJ37&lt;0.01,0,MIN(GJ37,GC38-GA38))</f>
        <v>0</v>
      </c>
      <c r="GC38" s="33">
        <f t="shared" ref="GC38:GC101" si="142">IF(GJ36&lt;0.1,0,MIN(GJ37+GA38,IF(GW38&gt;0,GW38,GC37*(1+GR38))))</f>
        <v>0</v>
      </c>
      <c r="GD38" s="33">
        <f>IF(GJ37&lt;0.01,0,IF(Plus!$F$22=Plus!$AN$4,0,IF(Plus!$F$22=Plus!$AN$3,GJ37*Plus!$F$23/1000,GJ37*VLOOKUP(Plus!$G$21,Plus!$AP$2:$AQ$5,2,0))))</f>
        <v>0</v>
      </c>
      <c r="GE38" s="33">
        <f>IF(GJ37&lt;0.01,0,IF(Plus!$F$24=Plus!$AO$3,0,IF(OR(Plus!$F$10=Plus!$AK$7,Plus!$F$10=Plus!$AK$13,Plus!$F$10=Plus!$AK$14),0,IF(OR(Plus!$F$10=Plus!$AK$10,Plus!$F$10=Plus!$AK$11),Plus!$G$13*Adm!$W$7,Plus!$G$13*Adm!$X$4))))</f>
        <v>0</v>
      </c>
      <c r="GF38" s="33">
        <f>IF(GJ37&lt;0.01,0,IF(OR(Plus!$F$10=Plus!$AK$7,Plus!$F$10=Plus!$AK$13),0,Plus!$BD$2*1.16))</f>
        <v>0</v>
      </c>
      <c r="GG38" s="33">
        <f>IF(GJ37&lt;0.01,0,IF(Plus!$AS$2&gt;0,GA38*Plus!$AS$3,0))</f>
        <v>0</v>
      </c>
      <c r="GH38" s="33">
        <f t="shared" si="78"/>
        <v>0</v>
      </c>
      <c r="GI38" s="33">
        <f>IF(Plus!$F$10=Plus!$AK$3,MIN(GJ37+GA38+GD38+GE38+GF38-GH38,GU38),0)</f>
        <v>0</v>
      </c>
      <c r="GJ38" s="311">
        <f t="shared" si="136"/>
        <v>0</v>
      </c>
      <c r="GK38" s="340">
        <f>Plus!O79</f>
        <v>0</v>
      </c>
      <c r="GL38" s="74"/>
      <c r="GM38" s="74"/>
      <c r="GN38" s="419">
        <f t="shared" si="135"/>
        <v>0</v>
      </c>
      <c r="GQ38" s="90">
        <f t="shared" si="80"/>
        <v>2</v>
      </c>
      <c r="GR38" s="121">
        <f t="shared" si="116"/>
        <v>0</v>
      </c>
      <c r="GT38" s="149">
        <f t="shared" si="117"/>
        <v>0</v>
      </c>
      <c r="GU38" s="2179">
        <f t="shared" ca="1" si="81"/>
        <v>0</v>
      </c>
      <c r="GW38" s="120">
        <f t="shared" si="118"/>
        <v>0</v>
      </c>
      <c r="GX38" s="110">
        <f t="shared" si="82"/>
        <v>0</v>
      </c>
      <c r="GY38" s="110">
        <f t="shared" si="83"/>
        <v>0</v>
      </c>
      <c r="GZ38" s="109">
        <f t="shared" si="84"/>
        <v>0</v>
      </c>
      <c r="HA38" s="109">
        <f t="shared" si="24"/>
        <v>0</v>
      </c>
      <c r="HB38" s="113">
        <f t="shared" si="85"/>
        <v>0</v>
      </c>
      <c r="HD38" s="102">
        <f t="shared" si="86"/>
        <v>0</v>
      </c>
      <c r="HE38" s="211">
        <f t="shared" si="129"/>
        <v>14</v>
      </c>
      <c r="HF38" s="212">
        <f t="shared" si="87"/>
        <v>0</v>
      </c>
      <c r="HG38" s="212">
        <f t="shared" si="25"/>
        <v>0</v>
      </c>
      <c r="HH38" s="212">
        <f t="shared" ref="HH38:HH48" si="143">MIN(HI37+HF38,HH37)</f>
        <v>0</v>
      </c>
      <c r="HI38" s="213">
        <f t="shared" si="26"/>
        <v>1000000</v>
      </c>
      <c r="HL38" s="182"/>
      <c r="HM38" s="26">
        <f t="shared" ca="1" si="27"/>
        <v>5</v>
      </c>
      <c r="HO38" s="268">
        <f t="shared" si="28"/>
        <v>0</v>
      </c>
      <c r="HP38" s="421">
        <f t="shared" si="120"/>
        <v>0</v>
      </c>
      <c r="HQ38" s="123">
        <f t="shared" si="88"/>
        <v>0</v>
      </c>
      <c r="HR38" s="123">
        <f t="shared" si="89"/>
        <v>0</v>
      </c>
      <c r="HS38" s="123">
        <f t="shared" si="90"/>
        <v>0</v>
      </c>
      <c r="HT38" s="123">
        <f>IF(HY37&lt;0.01,0,IF(Adm!$GS$4=Adm!$GS$8,HY37*$HY$15,IF(Adm!$GS$12=Adm!$GS$13,0,HY37*Adm!$GV$4)))</f>
        <v>0</v>
      </c>
      <c r="HU38" s="123">
        <f>IF(HY37&lt;0.01,0,IF(Adm!$GS$5=Adm!$GS$8,Cal!$BO$108*$HY$16/1.16,IF(Adm!$GS$12=Adm!$GS$13,0,Cal!$BO$108*Adm!$GW$4/1.16)))</f>
        <v>0</v>
      </c>
      <c r="HV38" s="123">
        <f t="shared" si="91"/>
        <v>0</v>
      </c>
      <c r="HW38" s="123">
        <f t="shared" si="92"/>
        <v>0</v>
      </c>
      <c r="HX38" s="123">
        <f>IF(Adm!$GH$6="si",MIN(HY37+HQ38+HT38+HU38+HV38-HW38,IH38),0)</f>
        <v>0</v>
      </c>
      <c r="HY38" s="297">
        <f t="shared" si="93"/>
        <v>0</v>
      </c>
      <c r="HZ38" s="74"/>
      <c r="IA38" s="407">
        <f t="shared" si="94"/>
        <v>0</v>
      </c>
      <c r="IC38" s="90">
        <f t="shared" si="95"/>
        <v>2</v>
      </c>
      <c r="ID38" s="124">
        <f>IF(IC38=1,Cal!$BO$127,0)</f>
        <v>0</v>
      </c>
      <c r="IE38" s="73"/>
      <c r="IG38" s="70">
        <f t="shared" si="121"/>
        <v>0</v>
      </c>
      <c r="IH38" s="2178">
        <f t="shared" ca="1" si="96"/>
        <v>0</v>
      </c>
      <c r="IK38" s="217"/>
      <c r="IL38" s="26">
        <f t="shared" ca="1" si="29"/>
        <v>5</v>
      </c>
      <c r="IN38" s="268">
        <f t="shared" si="30"/>
        <v>0</v>
      </c>
      <c r="IO38" s="421">
        <f t="shared" si="122"/>
        <v>0</v>
      </c>
      <c r="IP38" s="123">
        <f t="shared" si="97"/>
        <v>0</v>
      </c>
      <c r="IQ38" s="123">
        <f t="shared" si="98"/>
        <v>0</v>
      </c>
      <c r="IR38" s="123">
        <f t="shared" si="99"/>
        <v>0</v>
      </c>
      <c r="IS38" s="123">
        <f>IF(IX37&lt;0.01,0,IF(Adm!$GS$4=Adm!$GS$8,IX37*$IX$15,IF(Adm!$GS$12=Adm!$GS$13,0,IX37*Adm!$GV$4)))</f>
        <v>0</v>
      </c>
      <c r="IT38" s="123"/>
      <c r="IU38" s="123">
        <f t="shared" si="100"/>
        <v>0</v>
      </c>
      <c r="IV38" s="123">
        <f t="shared" si="101"/>
        <v>0</v>
      </c>
      <c r="IW38" s="123"/>
      <c r="IX38" s="297">
        <f t="shared" si="102"/>
        <v>0</v>
      </c>
      <c r="IY38" s="74"/>
      <c r="IZ38" s="416">
        <f t="shared" si="103"/>
        <v>0</v>
      </c>
      <c r="JB38" s="90">
        <f t="shared" si="104"/>
        <v>2</v>
      </c>
      <c r="JC38" s="124">
        <f>IF(JB38=1,Cal!$BP$127,0)</f>
        <v>0</v>
      </c>
      <c r="JD38" s="73"/>
    </row>
    <row r="39" spans="1:264">
      <c r="A39" s="26">
        <f t="shared" ca="1" si="0"/>
        <v>6</v>
      </c>
      <c r="C39" s="33">
        <f t="shared" si="1"/>
        <v>0</v>
      </c>
      <c r="D39" s="123">
        <f t="shared" si="31"/>
        <v>0</v>
      </c>
      <c r="E39" s="123">
        <f>IF(L38&lt;0.01,0,IF(AND(Adm!$B$4=Adm!$A$118,Adm!$E$13=18),0,F39-D39))</f>
        <v>0</v>
      </c>
      <c r="F39" s="123">
        <f>IF(L38&lt;0.1,0,MIN(L38+D39,F38*(1+S39)))</f>
        <v>0</v>
      </c>
      <c r="G39" s="123">
        <f>IF(L38&lt;0.01,0,IF(Adm!$S$4=Adm!$S$8,L38*$L$15,L38*Adm!$V$4))</f>
        <v>0</v>
      </c>
      <c r="H39" s="952">
        <f>IF(L38&lt;0.01,0,IF(Adm!$S$5=Adm!$S$8,Adm!$AA$11*$L$16/1.16,IF(Adm!$B$4=Adm!$A$119,0,IF(Adm!$B$4=Adm!$A$118,Adm!$AA$11*Adm!$W$4/1.16,Adm!$AA$11*Adm!$X$4/1.16))))</f>
        <v>0</v>
      </c>
      <c r="I39" s="123">
        <f>IF(L38&lt;0.01,0,Cal!$AB$126/1.16)</f>
        <v>0</v>
      </c>
      <c r="J39" s="123">
        <f t="shared" si="2"/>
        <v>0</v>
      </c>
      <c r="K39" s="123">
        <f>IF(Adm!$G$4="si",MIN(L38+D39+G39+H39+I39-J39,V39),0)</f>
        <v>0</v>
      </c>
      <c r="L39" s="123">
        <f t="shared" si="32"/>
        <v>0</v>
      </c>
      <c r="M39" s="74"/>
      <c r="N39" s="74"/>
      <c r="O39" s="407">
        <f t="shared" si="33"/>
        <v>0</v>
      </c>
      <c r="R39" s="90">
        <f t="shared" si="34"/>
        <v>3</v>
      </c>
      <c r="S39" s="121">
        <f>IF(R39=1,Cal!$AB$127,0)</f>
        <v>0</v>
      </c>
      <c r="U39" s="70">
        <f t="shared" si="105"/>
        <v>0</v>
      </c>
      <c r="V39" s="2178">
        <f t="shared" ca="1" si="35"/>
        <v>0</v>
      </c>
      <c r="X39" s="398"/>
      <c r="Z39" s="268">
        <f t="shared" si="3"/>
        <v>0</v>
      </c>
      <c r="AA39" s="2176">
        <f t="shared" si="36"/>
        <v>0</v>
      </c>
      <c r="AB39" s="33">
        <f t="shared" si="37"/>
        <v>0</v>
      </c>
      <c r="AC39" s="33">
        <f t="shared" si="38"/>
        <v>0</v>
      </c>
      <c r="AD39" s="33">
        <f>IF(AI38&lt;0.01,0,IF(Adm!$S$4=Adm!$S$8,AI38*$AI$15,AI38*Adm!$V$4))</f>
        <v>0</v>
      </c>
      <c r="AE39" s="33"/>
      <c r="AF39" s="33"/>
      <c r="AG39" s="33">
        <f t="shared" si="4"/>
        <v>0</v>
      </c>
      <c r="AH39" s="33"/>
      <c r="AI39" s="401">
        <f t="shared" si="5"/>
        <v>0</v>
      </c>
      <c r="AK39" s="410">
        <f t="shared" si="6"/>
        <v>0</v>
      </c>
      <c r="AN39" s="90">
        <f t="shared" si="39"/>
        <v>3</v>
      </c>
      <c r="AO39" s="121">
        <f>IF(AN39=1,Cal!$AC$127,0)</f>
        <v>0</v>
      </c>
      <c r="AS39" s="200"/>
      <c r="AU39" s="268">
        <f t="shared" si="7"/>
        <v>0</v>
      </c>
      <c r="AV39" s="2177">
        <f t="shared" si="40"/>
        <v>0</v>
      </c>
      <c r="AW39" s="123">
        <f t="shared" si="8"/>
        <v>0</v>
      </c>
      <c r="AX39" s="123">
        <f t="shared" si="41"/>
        <v>0</v>
      </c>
      <c r="AY39" s="123">
        <f>IF(BC38&lt;0.01,0,IF(Adm!$S$4=Adm!$S$8,BC38*$BC$16,BC38*Adm!$V$4))</f>
        <v>0</v>
      </c>
      <c r="AZ39" s="123"/>
      <c r="BA39" s="123">
        <f>IF(BC38&lt;0.01,0,Adm!$Q$6)</f>
        <v>0</v>
      </c>
      <c r="BB39" s="123">
        <f t="shared" si="42"/>
        <v>0</v>
      </c>
      <c r="BC39" s="297">
        <f t="shared" si="43"/>
        <v>0</v>
      </c>
      <c r="BE39" s="425">
        <f t="shared" si="9"/>
        <v>0</v>
      </c>
      <c r="BH39" s="90">
        <f t="shared" si="44"/>
        <v>3</v>
      </c>
      <c r="BI39" s="121">
        <f>IF(BH39=1,Cal!$AD$127,0)</f>
        <v>0</v>
      </c>
      <c r="BM39" s="221"/>
      <c r="BO39" s="295">
        <f t="shared" ca="1" si="10"/>
        <v>6</v>
      </c>
      <c r="BP39" s="268">
        <f t="shared" si="11"/>
        <v>0</v>
      </c>
      <c r="BQ39" s="123">
        <f t="shared" si="45"/>
        <v>0</v>
      </c>
      <c r="BR39" s="123">
        <f>IF(BZ38&lt;0.01,0,IF(AND(OR(Plus!$F$10=Plus!$AK$10,Plus!$F$10=Plus!$AK$11),Plus!$BE$2=18),0,BS39-BQ39))</f>
        <v>0</v>
      </c>
      <c r="BS39" s="123">
        <f>IF(BZ38&lt;0.1,0,MIN(BZ38+BQ39,BS38*(1+CG39)))</f>
        <v>0</v>
      </c>
      <c r="BT39" s="123">
        <f>IF(BZ38&lt;0.01,0,IF(Plus!$F$22=Plus!$AN$4,BZ38*$BZ$15,IF(Plus!$F$22=Plus!$AN$3,BZ38*Plus!$F$23/1000,BZ38*VLOOKUP(Plus!$G$21,Plus!$AP$2:'Plus'!$AQ$5,2,0))))</f>
        <v>0</v>
      </c>
      <c r="BU39" s="123">
        <f>IF(BZ38&lt;0.01,0,IF(Plus!$F$24=Plus!$AO$3,Plus!$G$13*Plus!$AR$2/1.16,IF(Plus!$F$10=Plus!$AK$7,0,Plus!$G$13*Plus!$AR$2/1.16)))</f>
        <v>0</v>
      </c>
      <c r="BV39" s="123">
        <f>IF(BZ38&lt;0.01,0,Plus!$BD$2)</f>
        <v>0</v>
      </c>
      <c r="BW39" s="123"/>
      <c r="BX39" s="123">
        <f t="shared" si="12"/>
        <v>0</v>
      </c>
      <c r="BY39" s="123">
        <f>IF(Plus!$F$10=Plus!$AK$3,MIN(BZ38+BQ39+BT39+BU39+BV39-BX39,CJ39),0)</f>
        <v>0</v>
      </c>
      <c r="BZ39" s="297">
        <f>IF(BZ38&lt;0.01,0,BZ38-BR39-BY39)</f>
        <v>0</v>
      </c>
      <c r="CA39" s="74"/>
      <c r="CB39" s="74"/>
      <c r="CC39" s="413">
        <f t="shared" si="47"/>
        <v>0</v>
      </c>
      <c r="CF39" s="90">
        <f t="shared" si="48"/>
        <v>3</v>
      </c>
      <c r="CG39" s="121">
        <f t="shared" si="106"/>
        <v>0</v>
      </c>
      <c r="CI39" s="70">
        <f t="shared" si="107"/>
        <v>0</v>
      </c>
      <c r="CJ39" s="2178">
        <f t="shared" ca="1" si="49"/>
        <v>0</v>
      </c>
      <c r="CL39" s="161"/>
      <c r="CN39" s="308">
        <f t="shared" ca="1" si="13"/>
        <v>6</v>
      </c>
      <c r="CO39" s="309">
        <f t="shared" si="50"/>
        <v>0</v>
      </c>
      <c r="CP39" s="268">
        <f t="shared" si="14"/>
        <v>0</v>
      </c>
      <c r="CQ39" s="123">
        <f t="shared" si="51"/>
        <v>0</v>
      </c>
      <c r="CR39" s="123">
        <f t="shared" si="137"/>
        <v>0</v>
      </c>
      <c r="CS39" s="123">
        <f t="shared" si="138"/>
        <v>0</v>
      </c>
      <c r="CT39" s="33">
        <f>IF(CZ38&lt;0.01,0,IF(Plus!$F$22=Plus!$AN$4,0,IF(Plus!$F$22=Plus!$AN$3,CZ38*Plus!$F$23/1000,CZ38*VLOOKUP(Plus!$G$21,Plus!$AP$2:'Plus'!$AQ$5,2,0))))</f>
        <v>0</v>
      </c>
      <c r="CU39" s="123">
        <f>IF(CZ38&lt;0.01,0,IF(Plus!$F$24=Plus!$AO$3,0,IF(OR(Plus!$F$10=Plus!$AK$7,Plus!$F$10=Plus!$AK$13),0,IF(OR(Plus!$F$10=Plus!$AK$10,Plus!$F$10=Plus!$AK$11),Plus!$G$13*Plus!$AR$4,Plus!$G$13*Plus!$AR$2))))</f>
        <v>0</v>
      </c>
      <c r="CV39" s="123">
        <f>IF(CZ38&lt;0.01,0,IF(OR(Plus!$F$10=Plus!$AK$7,Plus!$F$10=Plus!$AK$13),0,Plus!$BD$2*1.16))</f>
        <v>0</v>
      </c>
      <c r="CW39" s="123">
        <f>IF(CZ38&lt;0.01,0,IF(Plus!$AS$2&gt;0,CQ39*Plus!$AS$3,0))</f>
        <v>0</v>
      </c>
      <c r="CX39" s="123">
        <f t="shared" si="52"/>
        <v>0</v>
      </c>
      <c r="CY39" s="123">
        <f>IF(Plus!$F$10=Plus!$AK$3,MIN(CZ38+CQ39+CT39+CU39+CV39-CX39,DK39),0)</f>
        <v>0</v>
      </c>
      <c r="CZ39" s="297">
        <f t="shared" si="53"/>
        <v>0</v>
      </c>
      <c r="DA39" s="306">
        <f>Plus!O80</f>
        <v>0</v>
      </c>
      <c r="DB39" s="74"/>
      <c r="DC39" s="74"/>
      <c r="DD39" s="407">
        <f t="shared" si="54"/>
        <v>0</v>
      </c>
      <c r="DG39" s="90">
        <f t="shared" si="55"/>
        <v>3</v>
      </c>
      <c r="DH39" s="121">
        <f t="shared" si="108"/>
        <v>0</v>
      </c>
      <c r="DJ39" s="149">
        <f t="shared" si="109"/>
        <v>0</v>
      </c>
      <c r="DK39" s="2179">
        <f t="shared" ca="1" si="56"/>
        <v>0</v>
      </c>
      <c r="DN39" s="120">
        <f t="shared" si="110"/>
        <v>0</v>
      </c>
      <c r="DO39" s="110">
        <f t="shared" si="57"/>
        <v>0</v>
      </c>
      <c r="DP39" s="110">
        <f t="shared" si="124"/>
        <v>0</v>
      </c>
      <c r="DQ39" s="109">
        <f t="shared" si="58"/>
        <v>0</v>
      </c>
      <c r="DR39" s="109">
        <f t="shared" si="59"/>
        <v>0</v>
      </c>
      <c r="DS39" s="113">
        <f t="shared" si="60"/>
        <v>0</v>
      </c>
      <c r="DU39" s="102">
        <f t="shared" si="61"/>
        <v>0</v>
      </c>
      <c r="DV39" s="211">
        <f t="shared" si="125"/>
        <v>15</v>
      </c>
      <c r="DW39" s="212">
        <f t="shared" si="62"/>
        <v>0</v>
      </c>
      <c r="DX39" s="212">
        <f t="shared" si="15"/>
        <v>0</v>
      </c>
      <c r="DY39" s="212">
        <f t="shared" si="111"/>
        <v>0</v>
      </c>
      <c r="DZ39" s="213">
        <f t="shared" si="16"/>
        <v>1000000</v>
      </c>
      <c r="ED39" s="182"/>
      <c r="EF39" s="308">
        <f t="shared" ca="1" si="17"/>
        <v>6</v>
      </c>
      <c r="EG39" s="309">
        <f t="shared" si="63"/>
        <v>0</v>
      </c>
      <c r="EH39" s="268">
        <f t="shared" si="18"/>
        <v>0</v>
      </c>
      <c r="EI39" s="33">
        <f t="shared" si="64"/>
        <v>0</v>
      </c>
      <c r="EJ39" s="33">
        <f t="shared" si="139"/>
        <v>0</v>
      </c>
      <c r="EK39" s="33">
        <f>IF(ER37&lt;0.1,0,MIN(ER38+EI39,IF(FE39&gt;0,FE39,EK38*(1+EZ39))))</f>
        <v>0</v>
      </c>
      <c r="EL39" s="33">
        <f>IF(ER38&lt;0.01,0,IF(Plus!$F$22=Plus!$AN$4,0,IF(Plus!$F$22=Plus!$AN$3,ER38*Plus!$F$23/1000,ER38*VLOOKUP(Plus!$G$21,Plus!$AP$2:'Plus'!$AQ$5,2,0))))</f>
        <v>0</v>
      </c>
      <c r="EM39" s="33">
        <f>IF(ER38&lt;0.01,0,IF(Plus!$F$24=Plus!$AO$3,0,IF(OR(Plus!$F$10=Plus!$AK$7,Plus!$F$10=Plus!$AK$13),0,IF(OR(Plus!$F$10=Plus!$AK$10,Plus!$F$10=Plus!$AK$11),Plus!$G$13*Plus!$AR$4,Plus!$G$13*Plus!$AR$2))))</f>
        <v>0</v>
      </c>
      <c r="EN39" s="33">
        <f>IF(ER38&lt;0.01,0,IF(OR(Plus!$F$10=Plus!$AK$7,Plus!$F$10=Plus!$AK$13),0,Plus!$BD$2*1.16))</f>
        <v>0</v>
      </c>
      <c r="EO39" s="33">
        <f>IF(ER38&lt;0.01,0,IF(Plus!$AS$2&gt;0,EI39*Plus!$AS$3,0))</f>
        <v>0</v>
      </c>
      <c r="EP39" s="33">
        <f t="shared" si="65"/>
        <v>0</v>
      </c>
      <c r="EQ39" s="33">
        <f>IF(Plus!$F$10=Plus!$AK$3,MIN(ER38+EI39+EL39+EM39+EN39-EP39,FC39),0)</f>
        <v>0</v>
      </c>
      <c r="ER39" s="297">
        <f t="shared" si="66"/>
        <v>0</v>
      </c>
      <c r="ES39" s="340">
        <f>Plus!O80</f>
        <v>0</v>
      </c>
      <c r="ET39" s="74"/>
      <c r="EU39" s="74"/>
      <c r="EV39" s="416">
        <f t="shared" si="134"/>
        <v>0</v>
      </c>
      <c r="EY39" s="90">
        <f t="shared" si="68"/>
        <v>3</v>
      </c>
      <c r="EZ39" s="121">
        <f t="shared" si="112"/>
        <v>0</v>
      </c>
      <c r="FB39" s="149">
        <f t="shared" si="113"/>
        <v>0</v>
      </c>
      <c r="FC39" s="2179">
        <f t="shared" ca="1" si="69"/>
        <v>0</v>
      </c>
      <c r="FE39" s="120">
        <f t="shared" si="114"/>
        <v>0</v>
      </c>
      <c r="FF39" s="110">
        <f t="shared" si="70"/>
        <v>0</v>
      </c>
      <c r="FG39" s="110">
        <f t="shared" si="71"/>
        <v>0</v>
      </c>
      <c r="FH39" s="109">
        <f t="shared" si="72"/>
        <v>0</v>
      </c>
      <c r="FI39" s="109">
        <f t="shared" si="19"/>
        <v>0</v>
      </c>
      <c r="FJ39" s="113">
        <f t="shared" si="73"/>
        <v>0</v>
      </c>
      <c r="FL39" s="102">
        <f t="shared" si="74"/>
        <v>0</v>
      </c>
      <c r="FM39" s="211">
        <f t="shared" si="127"/>
        <v>15</v>
      </c>
      <c r="FN39" s="212">
        <f t="shared" si="75"/>
        <v>0</v>
      </c>
      <c r="FO39" s="212">
        <f t="shared" si="20"/>
        <v>0</v>
      </c>
      <c r="FP39" s="212">
        <f t="shared" si="140"/>
        <v>0</v>
      </c>
      <c r="FQ39" s="213">
        <f t="shared" si="21"/>
        <v>1000000</v>
      </c>
      <c r="FV39" s="359"/>
      <c r="FX39" s="308">
        <f t="shared" ca="1" si="22"/>
        <v>6</v>
      </c>
      <c r="FY39" s="309">
        <f t="shared" si="76"/>
        <v>0</v>
      </c>
      <c r="FZ39" s="268">
        <f t="shared" si="23"/>
        <v>0</v>
      </c>
      <c r="GA39" s="33">
        <f t="shared" si="77"/>
        <v>0</v>
      </c>
      <c r="GB39" s="33">
        <f t="shared" si="141"/>
        <v>0</v>
      </c>
      <c r="GC39" s="33">
        <f t="shared" si="142"/>
        <v>0</v>
      </c>
      <c r="GD39" s="33">
        <f>IF(GJ38&lt;0.01,0,IF(Plus!$F$22=Plus!$AN$4,0,IF(Plus!$F$22=Plus!$AN$3,GJ38*Plus!$F$23/1000,GJ38*VLOOKUP(Plus!$G$21,Plus!$AP$2:$AQ$5,2,0))))</f>
        <v>0</v>
      </c>
      <c r="GE39" s="33">
        <f>IF(GJ38&lt;0.01,0,IF(Plus!$F$24=Plus!$AO$3,0,IF(OR(Plus!$F$10=Plus!$AK$7,Plus!$F$10=Plus!$AK$13,Plus!$F$10=Plus!$AK$14),0,IF(OR(Plus!$F$10=Plus!$AK$10,Plus!$F$10=Plus!$AK$11),Plus!$G$13*Adm!$W$7,Plus!$G$13*Adm!$X$4))))</f>
        <v>0</v>
      </c>
      <c r="GF39" s="33">
        <f>IF(GJ38&lt;0.01,0,IF(OR(Plus!$F$10=Plus!$AK$7,Plus!$F$10=Plus!$AK$13),0,Plus!$BD$2*1.16))</f>
        <v>0</v>
      </c>
      <c r="GG39" s="33">
        <f>IF(GJ38&lt;0.01,0,IF(Plus!$AS$2&gt;0,GA39*Plus!$AS$3,0))</f>
        <v>0</v>
      </c>
      <c r="GH39" s="33">
        <f t="shared" si="78"/>
        <v>0</v>
      </c>
      <c r="GI39" s="33">
        <f>IF(Plus!$F$10=Plus!$AK$3,MIN(GJ38+GA39+GD39+GE39+GF39-GH39,GU39),0)</f>
        <v>0</v>
      </c>
      <c r="GJ39" s="311">
        <f t="shared" si="136"/>
        <v>0</v>
      </c>
      <c r="GK39" s="340">
        <f>Plus!O80</f>
        <v>0</v>
      </c>
      <c r="GL39" s="74"/>
      <c r="GM39" s="74"/>
      <c r="GN39" s="419">
        <f t="shared" si="135"/>
        <v>0</v>
      </c>
      <c r="GQ39" s="90">
        <f t="shared" si="80"/>
        <v>3</v>
      </c>
      <c r="GR39" s="121">
        <f t="shared" si="116"/>
        <v>0</v>
      </c>
      <c r="GT39" s="149">
        <f t="shared" si="117"/>
        <v>0</v>
      </c>
      <c r="GU39" s="2179">
        <f t="shared" ca="1" si="81"/>
        <v>0</v>
      </c>
      <c r="GW39" s="120">
        <f t="shared" si="118"/>
        <v>0</v>
      </c>
      <c r="GX39" s="110">
        <f t="shared" si="82"/>
        <v>0</v>
      </c>
      <c r="GY39" s="110">
        <f t="shared" si="83"/>
        <v>0</v>
      </c>
      <c r="GZ39" s="109">
        <f t="shared" si="84"/>
        <v>0</v>
      </c>
      <c r="HA39" s="109">
        <f t="shared" si="24"/>
        <v>0</v>
      </c>
      <c r="HB39" s="113">
        <f t="shared" si="85"/>
        <v>0</v>
      </c>
      <c r="HD39" s="102">
        <f t="shared" si="86"/>
        <v>0</v>
      </c>
      <c r="HE39" s="211">
        <f t="shared" si="129"/>
        <v>15</v>
      </c>
      <c r="HF39" s="212">
        <f t="shared" si="87"/>
        <v>0</v>
      </c>
      <c r="HG39" s="212">
        <f t="shared" si="25"/>
        <v>0</v>
      </c>
      <c r="HH39" s="212">
        <f t="shared" si="143"/>
        <v>0</v>
      </c>
      <c r="HI39" s="213">
        <f t="shared" si="26"/>
        <v>1000000</v>
      </c>
      <c r="HL39" s="182"/>
      <c r="HM39" s="26">
        <f t="shared" ca="1" si="27"/>
        <v>6</v>
      </c>
      <c r="HO39" s="268">
        <f t="shared" si="28"/>
        <v>0</v>
      </c>
      <c r="HP39" s="421">
        <f t="shared" si="120"/>
        <v>0</v>
      </c>
      <c r="HQ39" s="123">
        <f t="shared" si="88"/>
        <v>0</v>
      </c>
      <c r="HR39" s="123">
        <f t="shared" si="89"/>
        <v>0</v>
      </c>
      <c r="HS39" s="123">
        <f t="shared" si="90"/>
        <v>0</v>
      </c>
      <c r="HT39" s="123">
        <f>IF(HY38&lt;0.01,0,IF(Adm!$GS$4=Adm!$GS$8,HY38*$HY$15,IF(Adm!$GS$12=Adm!$GS$13,0,HY38*Adm!$GV$4)))</f>
        <v>0</v>
      </c>
      <c r="HU39" s="123">
        <f>IF(HY38&lt;0.01,0,IF(Adm!$GS$5=Adm!$GS$8,Cal!$BO$108*$HY$16/1.16,IF(Adm!$GS$12=Adm!$GS$13,0,Cal!$BO$108*Adm!$GW$4/1.16)))</f>
        <v>0</v>
      </c>
      <c r="HV39" s="123">
        <f t="shared" si="91"/>
        <v>0</v>
      </c>
      <c r="HW39" s="123">
        <f t="shared" si="92"/>
        <v>0</v>
      </c>
      <c r="HX39" s="123">
        <f>IF(Adm!$GH$6="si",MIN(HY38+HQ39+HT39+HU39+HV39-HW39,IH39),0)</f>
        <v>0</v>
      </c>
      <c r="HY39" s="297">
        <f t="shared" si="93"/>
        <v>0</v>
      </c>
      <c r="HZ39" s="74"/>
      <c r="IA39" s="407">
        <f t="shared" si="94"/>
        <v>0</v>
      </c>
      <c r="IC39" s="90">
        <f t="shared" si="95"/>
        <v>3</v>
      </c>
      <c r="ID39" s="124">
        <f>IF(IC39=1,Cal!$BO$127,0)</f>
        <v>0</v>
      </c>
      <c r="IE39" s="73"/>
      <c r="IG39" s="70">
        <f t="shared" si="121"/>
        <v>0</v>
      </c>
      <c r="IH39" s="2178">
        <f t="shared" ca="1" si="96"/>
        <v>0</v>
      </c>
      <c r="IK39" s="217"/>
      <c r="IL39" s="26">
        <f t="shared" ca="1" si="29"/>
        <v>6</v>
      </c>
      <c r="IN39" s="268">
        <f t="shared" si="30"/>
        <v>0</v>
      </c>
      <c r="IO39" s="421">
        <f t="shared" si="122"/>
        <v>0</v>
      </c>
      <c r="IP39" s="123">
        <f t="shared" si="97"/>
        <v>0</v>
      </c>
      <c r="IQ39" s="123">
        <f t="shared" si="98"/>
        <v>0</v>
      </c>
      <c r="IR39" s="123">
        <f t="shared" si="99"/>
        <v>0</v>
      </c>
      <c r="IS39" s="123">
        <f>IF(IX38&lt;0.01,0,IF(Adm!$GS$4=Adm!$GS$8,IX38*$IX$15,IF(Adm!$GS$12=Adm!$GS$13,0,IX38*Adm!$GV$4)))</f>
        <v>0</v>
      </c>
      <c r="IT39" s="123"/>
      <c r="IU39" s="123">
        <f t="shared" si="100"/>
        <v>0</v>
      </c>
      <c r="IV39" s="123">
        <f t="shared" si="101"/>
        <v>0</v>
      </c>
      <c r="IW39" s="123"/>
      <c r="IX39" s="297">
        <f t="shared" si="102"/>
        <v>0</v>
      </c>
      <c r="IY39" s="74"/>
      <c r="IZ39" s="416">
        <f t="shared" si="103"/>
        <v>0</v>
      </c>
      <c r="JB39" s="90">
        <f t="shared" si="104"/>
        <v>3</v>
      </c>
      <c r="JC39" s="124">
        <f>IF(JB39=1,Cal!$BP$127,0)</f>
        <v>0</v>
      </c>
      <c r="JD39" s="73"/>
    </row>
    <row r="40" spans="1:264">
      <c r="A40" s="26">
        <f t="shared" ca="1" si="0"/>
        <v>7</v>
      </c>
      <c r="C40" s="254">
        <f t="shared" si="1"/>
        <v>0</v>
      </c>
      <c r="D40" s="123">
        <f t="shared" si="31"/>
        <v>0</v>
      </c>
      <c r="E40" s="123">
        <f>IF(L39&lt;0.01,0,IF(AND(Adm!$B$4=Adm!$A$118,Adm!$E$13=18),0,F40-D40))</f>
        <v>0</v>
      </c>
      <c r="F40" s="123">
        <f>IF(L39&lt;0.1,0,MIN(L39+D40,F39*(1+S40)))</f>
        <v>0</v>
      </c>
      <c r="G40" s="123">
        <f>IF(L39&lt;0.01,0,IF(Adm!$S$4=Adm!$S$8,L39*$L$15,L39*Adm!$V$4))</f>
        <v>0</v>
      </c>
      <c r="H40" s="952">
        <f>IF(L39&lt;0.01,0,IF(Adm!$S$5=Adm!$S$8,Adm!$AA$11*$L$16/1.16,IF(Adm!$B$4=Adm!$A$119,0,IF(Adm!$B$4=Adm!$A$118,Adm!$AA$11*Adm!$W$4/1.16,Adm!$AA$11*Adm!$X$4/1.16))))</f>
        <v>0</v>
      </c>
      <c r="I40" s="123">
        <f>IF(L39&lt;0.01,0,Cal!$AB$126/1.16)</f>
        <v>0</v>
      </c>
      <c r="J40" s="123">
        <f t="shared" si="2"/>
        <v>0</v>
      </c>
      <c r="K40" s="123">
        <f>IF(Adm!$G$4="si",MIN(L39+D40+G40+H40+I40-J40,V40),0)</f>
        <v>0</v>
      </c>
      <c r="L40" s="123">
        <f>IF(L39&lt;0.01,0,L39-E40-K40)+M40</f>
        <v>0</v>
      </c>
      <c r="M40" s="255">
        <f>IF(AND(Adm!$B$4=Adm!$A$118,Adm!$E$13=18),Cal!$C$122,0)</f>
        <v>0</v>
      </c>
      <c r="N40" s="74"/>
      <c r="O40" s="407">
        <f>J40+K40-M40</f>
        <v>0</v>
      </c>
      <c r="R40" s="90">
        <f t="shared" si="34"/>
        <v>4</v>
      </c>
      <c r="S40" s="121">
        <f>IF(R40=1,Cal!$AB$127,0)</f>
        <v>0</v>
      </c>
      <c r="U40" s="70">
        <f t="shared" si="105"/>
        <v>0</v>
      </c>
      <c r="V40" s="2178">
        <f t="shared" ca="1" si="35"/>
        <v>0</v>
      </c>
      <c r="X40" s="398"/>
      <c r="Z40" s="268">
        <f t="shared" si="3"/>
        <v>0</v>
      </c>
      <c r="AA40" s="2176">
        <f t="shared" si="36"/>
        <v>0</v>
      </c>
      <c r="AB40" s="33">
        <f t="shared" si="37"/>
        <v>0</v>
      </c>
      <c r="AC40" s="33">
        <f t="shared" si="38"/>
        <v>0</v>
      </c>
      <c r="AD40" s="33">
        <f>IF(AI39&lt;0.01,0,IF(Adm!$S$4=Adm!$S$8,AI39*$AI$15,AI39*Adm!$V$4))</f>
        <v>0</v>
      </c>
      <c r="AE40" s="33"/>
      <c r="AF40" s="33"/>
      <c r="AG40" s="33">
        <f t="shared" si="4"/>
        <v>0</v>
      </c>
      <c r="AH40" s="33"/>
      <c r="AI40" s="401">
        <f t="shared" si="5"/>
        <v>0</v>
      </c>
      <c r="AK40" s="410">
        <f t="shared" si="6"/>
        <v>0</v>
      </c>
      <c r="AN40" s="90">
        <f t="shared" si="39"/>
        <v>4</v>
      </c>
      <c r="AO40" s="121">
        <f>IF(AN40=1,Cal!$AC$127,0)</f>
        <v>0</v>
      </c>
      <c r="AS40" s="200"/>
      <c r="AU40" s="268">
        <f t="shared" si="7"/>
        <v>0</v>
      </c>
      <c r="AV40" s="2177">
        <f t="shared" si="40"/>
        <v>0</v>
      </c>
      <c r="AW40" s="123">
        <f t="shared" si="8"/>
        <v>0</v>
      </c>
      <c r="AX40" s="123">
        <f t="shared" si="41"/>
        <v>0</v>
      </c>
      <c r="AY40" s="123">
        <f>IF(BC39&lt;0.01,0,IF(Adm!$S$4=Adm!$S$8,BC39*$BC$16,BC39*Adm!$V$4))</f>
        <v>0</v>
      </c>
      <c r="AZ40" s="123"/>
      <c r="BA40" s="123">
        <f>IF(BC39&lt;0.01,0,Adm!$Q$6)</f>
        <v>0</v>
      </c>
      <c r="BB40" s="123">
        <f t="shared" si="42"/>
        <v>0</v>
      </c>
      <c r="BC40" s="297">
        <f t="shared" si="43"/>
        <v>0</v>
      </c>
      <c r="BE40" s="425">
        <f t="shared" si="9"/>
        <v>0</v>
      </c>
      <c r="BH40" s="90">
        <f t="shared" si="44"/>
        <v>4</v>
      </c>
      <c r="BI40" s="121">
        <f>IF(BH40=1,Cal!$AD$127,0)</f>
        <v>0</v>
      </c>
      <c r="BM40" s="221"/>
      <c r="BO40" s="295">
        <f t="shared" ca="1" si="10"/>
        <v>7</v>
      </c>
      <c r="BP40" s="268">
        <f t="shared" si="11"/>
        <v>0</v>
      </c>
      <c r="BQ40" s="123">
        <f t="shared" si="45"/>
        <v>0</v>
      </c>
      <c r="BR40" s="123">
        <f>IF(BZ39&lt;0.01,0,IF(AND(OR(Plus!$F$10=Plus!$AK$10,Plus!$F$10=Plus!$AK$11),Plus!$BE$2=18),0,BS40-BQ40))</f>
        <v>0</v>
      </c>
      <c r="BS40" s="123">
        <f>IF(BZ39&lt;0.1,0,MIN(BZ39+BQ40,BS39*(1+CG40)))</f>
        <v>0</v>
      </c>
      <c r="BT40" s="123">
        <f>IF(BZ39&lt;0.01,0,IF(Plus!$F$22=Plus!$AN$4,BZ39*$BZ$15,IF(Plus!$F$22=Plus!$AN$3,BZ39*Plus!$F$23/1000,BZ39*VLOOKUP(Plus!$G$21,Plus!$AP$2:'Plus'!$AQ$5,2,0))))</f>
        <v>0</v>
      </c>
      <c r="BU40" s="123">
        <f>IF(BZ39&lt;0.01,0,IF(Plus!$F$24=Plus!$AO$3,Plus!$G$13*Plus!$AR$2/1.16,IF(Plus!$F$10=Plus!$AK$7,0,Plus!$G$13*Plus!$AR$2/1.16)))</f>
        <v>0</v>
      </c>
      <c r="BV40" s="123">
        <f>IF(BZ39&lt;0.01,0,Plus!$BD$2)</f>
        <v>0</v>
      </c>
      <c r="BW40" s="123"/>
      <c r="BX40" s="123">
        <f t="shared" si="12"/>
        <v>0</v>
      </c>
      <c r="BY40" s="123">
        <f>IF(Plus!$F$10=Plus!$AK$3,MIN(BZ39+BQ40+BT40+BU40+BV40-BX40,CJ40),0)</f>
        <v>0</v>
      </c>
      <c r="BZ40" s="298">
        <f t="shared" si="123"/>
        <v>0</v>
      </c>
      <c r="CA40" s="276">
        <f>Plus!P81</f>
        <v>0</v>
      </c>
      <c r="CB40" s="74"/>
      <c r="CC40" s="413">
        <f>BX40+BY40-CA40</f>
        <v>0</v>
      </c>
      <c r="CF40" s="90">
        <f t="shared" si="48"/>
        <v>4</v>
      </c>
      <c r="CG40" s="121">
        <f t="shared" si="106"/>
        <v>0</v>
      </c>
      <c r="CI40" s="70">
        <f t="shared" si="107"/>
        <v>0</v>
      </c>
      <c r="CJ40" s="2178">
        <f t="shared" ca="1" si="49"/>
        <v>0</v>
      </c>
      <c r="CL40" s="161"/>
      <c r="CN40" s="308">
        <f t="shared" ca="1" si="13"/>
        <v>7</v>
      </c>
      <c r="CO40" s="309">
        <f t="shared" si="50"/>
        <v>0</v>
      </c>
      <c r="CP40" s="268">
        <f t="shared" si="14"/>
        <v>0</v>
      </c>
      <c r="CQ40" s="123">
        <f t="shared" si="51"/>
        <v>0</v>
      </c>
      <c r="CR40" s="123">
        <f t="shared" si="137"/>
        <v>0</v>
      </c>
      <c r="CS40" s="123">
        <f t="shared" si="138"/>
        <v>0</v>
      </c>
      <c r="CT40" s="33">
        <f>IF(CZ39&lt;0.01,0,IF(Plus!$F$22=Plus!$AN$4,0,IF(Plus!$F$22=Plus!$AN$3,CZ39*Plus!$F$23/1000,CZ39*VLOOKUP(Plus!$G$21,Plus!$AP$2:'Plus'!$AQ$5,2,0))))</f>
        <v>0</v>
      </c>
      <c r="CU40" s="123">
        <f>IF(CZ39&lt;0.01,0,IF(Plus!$F$24=Plus!$AO$3,0,IF(OR(Plus!$F$10=Plus!$AK$7,Plus!$F$10=Plus!$AK$13),0,IF(OR(Plus!$F$10=Plus!$AK$10,Plus!$F$10=Plus!$AK$11),Plus!$G$13*Plus!$AR$4,Plus!$G$13*Plus!$AR$2))))</f>
        <v>0</v>
      </c>
      <c r="CV40" s="123">
        <f>IF(CZ39&lt;0.01,0,IF(OR(Plus!$F$10=Plus!$AK$7,Plus!$F$10=Plus!$AK$13),0,Plus!$BD$2*1.16))</f>
        <v>0</v>
      </c>
      <c r="CW40" s="123">
        <f>IF(CZ39&lt;0.01,0,IF(Plus!$AS$2&gt;0,CQ40*Plus!$AS$3,0))</f>
        <v>0</v>
      </c>
      <c r="CX40" s="123">
        <f t="shared" si="52"/>
        <v>0</v>
      </c>
      <c r="CY40" s="123">
        <f>IF(Plus!$F$10=Plus!$AK$3,MIN(CZ39+CQ40+CT40+CU40+CV40-CX40,DK40),0)</f>
        <v>0</v>
      </c>
      <c r="CZ40" s="1083">
        <f t="shared" si="53"/>
        <v>0</v>
      </c>
      <c r="DA40" s="306">
        <f>Plus!O81</f>
        <v>0</v>
      </c>
      <c r="DB40" s="314">
        <f>Plus!P81</f>
        <v>0</v>
      </c>
      <c r="DC40" s="74"/>
      <c r="DD40" s="407">
        <f t="shared" si="54"/>
        <v>0</v>
      </c>
      <c r="DG40" s="90">
        <f t="shared" si="55"/>
        <v>4</v>
      </c>
      <c r="DH40" s="121">
        <f t="shared" si="108"/>
        <v>0</v>
      </c>
      <c r="DJ40" s="149">
        <f t="shared" si="109"/>
        <v>0</v>
      </c>
      <c r="DK40" s="2179">
        <f t="shared" ca="1" si="56"/>
        <v>0</v>
      </c>
      <c r="DN40" s="120">
        <f t="shared" si="110"/>
        <v>0</v>
      </c>
      <c r="DO40" s="110">
        <f t="shared" si="57"/>
        <v>0</v>
      </c>
      <c r="DP40" s="110">
        <f t="shared" si="124"/>
        <v>0</v>
      </c>
      <c r="DQ40" s="109">
        <f t="shared" si="58"/>
        <v>0</v>
      </c>
      <c r="DR40" s="109">
        <f t="shared" si="59"/>
        <v>0</v>
      </c>
      <c r="DS40" s="113">
        <f t="shared" si="60"/>
        <v>0</v>
      </c>
      <c r="DU40" s="102">
        <f t="shared" si="61"/>
        <v>0</v>
      </c>
      <c r="DV40" s="211">
        <f t="shared" si="125"/>
        <v>16</v>
      </c>
      <c r="DW40" s="212">
        <f t="shared" si="62"/>
        <v>0</v>
      </c>
      <c r="DX40" s="212">
        <f t="shared" si="15"/>
        <v>0</v>
      </c>
      <c r="DY40" s="212">
        <f t="shared" si="111"/>
        <v>0</v>
      </c>
      <c r="DZ40" s="213">
        <f t="shared" si="16"/>
        <v>1000000</v>
      </c>
      <c r="ED40" s="182"/>
      <c r="EF40" s="308">
        <f t="shared" ca="1" si="17"/>
        <v>7</v>
      </c>
      <c r="EG40" s="309">
        <f t="shared" si="63"/>
        <v>0</v>
      </c>
      <c r="EH40" s="268">
        <f t="shared" si="18"/>
        <v>0</v>
      </c>
      <c r="EI40" s="33">
        <f t="shared" si="64"/>
        <v>0</v>
      </c>
      <c r="EJ40" s="33">
        <f t="shared" si="139"/>
        <v>0</v>
      </c>
      <c r="EK40" s="33">
        <f>IF(ER38&lt;0.1,0,MIN(ER39+EI40,IF(FE40&gt;0,FE40,EK39*(1+EZ40))))</f>
        <v>0</v>
      </c>
      <c r="EL40" s="33">
        <f>IF(ER39&lt;0.01,0,IF(Plus!$F$22=Plus!$AN$4,0,IF(Plus!$F$22=Plus!$AN$3,ER39*Plus!$F$23/1000,ER39*VLOOKUP(Plus!$G$21,Plus!$AP$2:'Plus'!$AQ$5,2,0))))</f>
        <v>0</v>
      </c>
      <c r="EM40" s="33">
        <f>IF(ER39&lt;0.01,0,IF(Plus!$F$24=Plus!$AO$3,0,IF(OR(Plus!$F$10=Plus!$AK$7,Plus!$F$10=Plus!$AK$13),0,IF(OR(Plus!$F$10=Plus!$AK$10,Plus!$F$10=Plus!$AK$11),Plus!$G$13*Plus!$AR$4,Plus!$G$13*Plus!$AR$2))))</f>
        <v>0</v>
      </c>
      <c r="EN40" s="33">
        <f>IF(ER39&lt;0.01,0,IF(OR(Plus!$F$10=Plus!$AK$7,Plus!$F$10=Plus!$AK$13),0,Plus!$BD$2*1.16))</f>
        <v>0</v>
      </c>
      <c r="EO40" s="33">
        <f>IF(ER39&lt;0.01,0,IF(Plus!$AS$2&gt;0,EI40*Plus!$AS$3,0))</f>
        <v>0</v>
      </c>
      <c r="EP40" s="33">
        <f t="shared" si="65"/>
        <v>0</v>
      </c>
      <c r="EQ40" s="33">
        <f>IF(Plus!$F$10=Plus!$AK$3,MIN(ER39+EI40+EL40+EM40+EN40-EP40,FC40),0)</f>
        <v>0</v>
      </c>
      <c r="ER40" s="1084">
        <f>IF(ER39&lt;0.01,0,ER39+ET40-EJ40-EQ40-ES40)</f>
        <v>0</v>
      </c>
      <c r="ES40" s="340">
        <f>Plus!O81</f>
        <v>0</v>
      </c>
      <c r="ET40" s="356">
        <f>Plus!P81</f>
        <v>0</v>
      </c>
      <c r="EU40" s="74"/>
      <c r="EV40" s="416">
        <f t="shared" si="134"/>
        <v>0</v>
      </c>
      <c r="EY40" s="90">
        <f t="shared" si="68"/>
        <v>4</v>
      </c>
      <c r="EZ40" s="121">
        <f t="shared" si="112"/>
        <v>0</v>
      </c>
      <c r="FB40" s="149">
        <f t="shared" si="113"/>
        <v>0</v>
      </c>
      <c r="FC40" s="2179">
        <f t="shared" ca="1" si="69"/>
        <v>0</v>
      </c>
      <c r="FE40" s="120">
        <f t="shared" si="114"/>
        <v>0</v>
      </c>
      <c r="FF40" s="110">
        <f t="shared" si="70"/>
        <v>0</v>
      </c>
      <c r="FG40" s="110">
        <f t="shared" si="71"/>
        <v>0</v>
      </c>
      <c r="FH40" s="109">
        <f t="shared" si="72"/>
        <v>0</v>
      </c>
      <c r="FI40" s="109">
        <f t="shared" si="19"/>
        <v>0</v>
      </c>
      <c r="FJ40" s="113">
        <f t="shared" si="73"/>
        <v>0</v>
      </c>
      <c r="FL40" s="102">
        <f t="shared" si="74"/>
        <v>0</v>
      </c>
      <c r="FM40" s="211">
        <f t="shared" si="127"/>
        <v>16</v>
      </c>
      <c r="FN40" s="212">
        <f t="shared" si="75"/>
        <v>0</v>
      </c>
      <c r="FO40" s="212">
        <f t="shared" si="20"/>
        <v>0</v>
      </c>
      <c r="FP40" s="212">
        <f t="shared" si="140"/>
        <v>0</v>
      </c>
      <c r="FQ40" s="213">
        <f t="shared" si="21"/>
        <v>1000000</v>
      </c>
      <c r="FV40" s="359"/>
      <c r="FX40" s="308">
        <f t="shared" ca="1" si="22"/>
        <v>7</v>
      </c>
      <c r="FY40" s="309">
        <f t="shared" si="76"/>
        <v>0</v>
      </c>
      <c r="FZ40" s="268">
        <f t="shared" si="23"/>
        <v>0</v>
      </c>
      <c r="GA40" s="33">
        <f t="shared" si="77"/>
        <v>0</v>
      </c>
      <c r="GB40" s="33">
        <f t="shared" si="141"/>
        <v>0</v>
      </c>
      <c r="GC40" s="33">
        <f t="shared" si="142"/>
        <v>0</v>
      </c>
      <c r="GD40" s="33">
        <f>IF(GJ39&lt;0.01,0,IF(Plus!$F$22=Plus!$AN$4,0,IF(Plus!$F$22=Plus!$AN$3,GJ39*Plus!$F$23/1000,GJ39*VLOOKUP(Plus!$G$21,Plus!$AP$2:$AQ$5,2,0))))</f>
        <v>0</v>
      </c>
      <c r="GE40" s="33">
        <f>IF(GJ39&lt;0.01,0,IF(Plus!$F$24=Plus!$AO$3,0,IF(OR(Plus!$F$10=Plus!$AK$7,Plus!$F$10=Plus!$AK$13,Plus!$F$10=Plus!$AK$14),0,IF(OR(Plus!$F$10=Plus!$AK$10,Plus!$F$10=Plus!$AK$11),Plus!$G$13*Adm!$W$7,Plus!$G$13*Adm!$X$4))))</f>
        <v>0</v>
      </c>
      <c r="GF40" s="33">
        <f>IF(GJ39&lt;0.01,0,IF(OR(Plus!$F$10=Plus!$AK$7,Plus!$F$10=Plus!$AK$13),0,Plus!$BD$2*1.16))</f>
        <v>0</v>
      </c>
      <c r="GG40" s="33">
        <f>IF(GJ39&lt;0.01,0,IF(Plus!$AS$2&gt;0,GA40*Plus!$AS$3,0))</f>
        <v>0</v>
      </c>
      <c r="GH40" s="33">
        <f t="shared" si="78"/>
        <v>0</v>
      </c>
      <c r="GI40" s="33">
        <f>IF(Plus!$F$10=Plus!$AK$3,MIN(GJ39+GA40+GD40+GE40+GF40-GH40,GU40),0)</f>
        <v>0</v>
      </c>
      <c r="GJ40" s="311">
        <f t="shared" si="136"/>
        <v>0</v>
      </c>
      <c r="GK40" s="340">
        <f>Plus!O81</f>
        <v>0</v>
      </c>
      <c r="GL40" s="364">
        <f>Plus!P81</f>
        <v>0</v>
      </c>
      <c r="GM40" s="74"/>
      <c r="GN40" s="419">
        <f t="shared" si="135"/>
        <v>0</v>
      </c>
      <c r="GQ40" s="90">
        <f t="shared" si="80"/>
        <v>4</v>
      </c>
      <c r="GR40" s="121">
        <f t="shared" si="116"/>
        <v>0</v>
      </c>
      <c r="GT40" s="149">
        <f t="shared" si="117"/>
        <v>0</v>
      </c>
      <c r="GU40" s="2179">
        <f t="shared" ca="1" si="81"/>
        <v>0</v>
      </c>
      <c r="GW40" s="120">
        <f t="shared" si="118"/>
        <v>0</v>
      </c>
      <c r="GX40" s="110">
        <f t="shared" si="82"/>
        <v>0</v>
      </c>
      <c r="GY40" s="110">
        <f t="shared" si="83"/>
        <v>0</v>
      </c>
      <c r="GZ40" s="109">
        <f t="shared" si="84"/>
        <v>0</v>
      </c>
      <c r="HA40" s="109">
        <f t="shared" si="24"/>
        <v>0</v>
      </c>
      <c r="HB40" s="113">
        <f t="shared" si="85"/>
        <v>0</v>
      </c>
      <c r="HD40" s="102">
        <f t="shared" si="86"/>
        <v>0</v>
      </c>
      <c r="HE40" s="211">
        <f t="shared" si="129"/>
        <v>16</v>
      </c>
      <c r="HF40" s="212">
        <f t="shared" si="87"/>
        <v>0</v>
      </c>
      <c r="HG40" s="212">
        <f t="shared" si="25"/>
        <v>0</v>
      </c>
      <c r="HH40" s="212">
        <f t="shared" si="143"/>
        <v>0</v>
      </c>
      <c r="HI40" s="213">
        <f t="shared" si="26"/>
        <v>1000000</v>
      </c>
      <c r="HL40" s="182"/>
      <c r="HM40" s="26">
        <f t="shared" ca="1" si="27"/>
        <v>7</v>
      </c>
      <c r="HO40" s="268">
        <f t="shared" si="28"/>
        <v>0</v>
      </c>
      <c r="HP40" s="421">
        <f t="shared" si="120"/>
        <v>0</v>
      </c>
      <c r="HQ40" s="123">
        <f t="shared" si="88"/>
        <v>0</v>
      </c>
      <c r="HR40" s="123">
        <f t="shared" si="89"/>
        <v>0</v>
      </c>
      <c r="HS40" s="123">
        <f t="shared" si="90"/>
        <v>0</v>
      </c>
      <c r="HT40" s="123">
        <f>IF(HY39&lt;0.01,0,IF(Adm!$GS$4=Adm!$GS$8,HY39*$HY$15,IF(Adm!$GS$12=Adm!$GS$13,0,HY39*Adm!$GV$4)))</f>
        <v>0</v>
      </c>
      <c r="HU40" s="123">
        <f>IF(HY39&lt;0.01,0,IF(Adm!$GS$5=Adm!$GS$8,Cal!$BO$108*$HY$16/1.16,IF(Adm!$GS$12=Adm!$GS$13,0,Cal!$BO$108*Adm!$GW$4/1.16)))</f>
        <v>0</v>
      </c>
      <c r="HV40" s="123">
        <f t="shared" si="91"/>
        <v>0</v>
      </c>
      <c r="HW40" s="123">
        <f t="shared" si="92"/>
        <v>0</v>
      </c>
      <c r="HX40" s="123">
        <f>IF(Adm!$GH$6="si",MIN(HY39+HQ40+HT40+HU40+HV40-HW40,IH40),0)</f>
        <v>0</v>
      </c>
      <c r="HY40" s="297">
        <f t="shared" si="93"/>
        <v>0</v>
      </c>
      <c r="HZ40" s="74"/>
      <c r="IA40" s="407">
        <f t="shared" si="94"/>
        <v>0</v>
      </c>
      <c r="IC40" s="90">
        <f t="shared" si="95"/>
        <v>4</v>
      </c>
      <c r="ID40" s="124">
        <f>IF(IC40=1,Cal!$BO$127,0)</f>
        <v>0</v>
      </c>
      <c r="IE40" s="73"/>
      <c r="IG40" s="70">
        <f t="shared" si="121"/>
        <v>0</v>
      </c>
      <c r="IH40" s="2178">
        <f t="shared" ca="1" si="96"/>
        <v>0</v>
      </c>
      <c r="IK40" s="217"/>
      <c r="IL40" s="26">
        <f t="shared" ca="1" si="29"/>
        <v>7</v>
      </c>
      <c r="IN40" s="268">
        <f t="shared" si="30"/>
        <v>0</v>
      </c>
      <c r="IO40" s="421">
        <f t="shared" si="122"/>
        <v>0</v>
      </c>
      <c r="IP40" s="123">
        <f t="shared" si="97"/>
        <v>0</v>
      </c>
      <c r="IQ40" s="123">
        <f t="shared" si="98"/>
        <v>0</v>
      </c>
      <c r="IR40" s="123">
        <f t="shared" si="99"/>
        <v>0</v>
      </c>
      <c r="IS40" s="123">
        <f>IF(IX39&lt;0.01,0,IF(Adm!$GS$4=Adm!$GS$8,IX39*$IX$15,IF(Adm!$GS$12=Adm!$GS$13,0,IX39*Adm!$GV$4)))</f>
        <v>0</v>
      </c>
      <c r="IT40" s="123"/>
      <c r="IU40" s="123">
        <f t="shared" si="100"/>
        <v>0</v>
      </c>
      <c r="IV40" s="123">
        <f t="shared" si="101"/>
        <v>0</v>
      </c>
      <c r="IW40" s="123"/>
      <c r="IX40" s="297">
        <f t="shared" si="102"/>
        <v>0</v>
      </c>
      <c r="IY40" s="74"/>
      <c r="IZ40" s="416">
        <f t="shared" si="103"/>
        <v>0</v>
      </c>
      <c r="JB40" s="90">
        <f t="shared" si="104"/>
        <v>4</v>
      </c>
      <c r="JC40" s="124">
        <f>IF(JB40=1,Cal!$BP$127,0)</f>
        <v>0</v>
      </c>
      <c r="JD40" s="73"/>
    </row>
    <row r="41" spans="1:264">
      <c r="A41" s="26">
        <f t="shared" ca="1" si="0"/>
        <v>8</v>
      </c>
      <c r="C41" s="33">
        <f t="shared" si="1"/>
        <v>0</v>
      </c>
      <c r="D41" s="123">
        <f t="shared" si="31"/>
        <v>0</v>
      </c>
      <c r="E41" s="123">
        <f>IF(L40&lt;0.01,0,IF(AND(Adm!$B$4=Adm!$A$118,Adm!$E$13=18),0,F41-D41))</f>
        <v>0</v>
      </c>
      <c r="F41" s="123">
        <f>IF(L40&lt;0.1,0,MIN(L40+D41,F40*(1+S41)))</f>
        <v>0</v>
      </c>
      <c r="G41" s="123">
        <f>IF(L40&lt;0.01,0,IF(Adm!$S$4=Adm!$S$8,L40*$L$15,L40*Adm!$V$4))</f>
        <v>0</v>
      </c>
      <c r="H41" s="952">
        <f>IF(L40&lt;0.01,0,IF(Adm!$S$5=Adm!$S$8,Adm!$AA$11*$L$16/1.16,IF(Adm!$B$4=Adm!$A$119,0,IF(Adm!$B$4=Adm!$A$118,Adm!$AA$11*Adm!$W$4/1.16,Adm!$AA$11*Adm!$X$4/1.16))))</f>
        <v>0</v>
      </c>
      <c r="I41" s="123">
        <f>IF(L40&lt;0.01,0,Cal!$AB$126/1.16)</f>
        <v>0</v>
      </c>
      <c r="J41" s="123">
        <f t="shared" si="2"/>
        <v>0</v>
      </c>
      <c r="K41" s="123">
        <f>IF(Adm!$G$4="si",MIN(L40+D41+G41+H41+I41-J41,V41),0)</f>
        <v>0</v>
      </c>
      <c r="L41" s="123">
        <f t="shared" si="32"/>
        <v>0</v>
      </c>
      <c r="M41" s="74"/>
      <c r="N41" s="74"/>
      <c r="O41" s="407">
        <f t="shared" si="33"/>
        <v>0</v>
      </c>
      <c r="R41" s="90">
        <f t="shared" si="34"/>
        <v>5</v>
      </c>
      <c r="S41" s="121">
        <f>IF(R41=1,Cal!$AB$127,0)</f>
        <v>0</v>
      </c>
      <c r="U41" s="70">
        <f t="shared" si="105"/>
        <v>0</v>
      </c>
      <c r="V41" s="2178">
        <f t="shared" ca="1" si="35"/>
        <v>0</v>
      </c>
      <c r="X41" s="398"/>
      <c r="Z41" s="268">
        <f t="shared" si="3"/>
        <v>0</v>
      </c>
      <c r="AA41" s="2176">
        <f t="shared" si="36"/>
        <v>0</v>
      </c>
      <c r="AB41" s="33">
        <f t="shared" si="37"/>
        <v>0</v>
      </c>
      <c r="AC41" s="33">
        <f t="shared" si="38"/>
        <v>0</v>
      </c>
      <c r="AD41" s="33">
        <f>IF(AI40&lt;0.01,0,IF(Adm!$S$4=Adm!$S$8,AI40*$AI$15,AI40*Adm!$V$4))</f>
        <v>0</v>
      </c>
      <c r="AE41" s="33"/>
      <c r="AF41" s="33"/>
      <c r="AG41" s="33">
        <f t="shared" si="4"/>
        <v>0</v>
      </c>
      <c r="AH41" s="33"/>
      <c r="AI41" s="401">
        <f t="shared" si="5"/>
        <v>0</v>
      </c>
      <c r="AK41" s="410">
        <f t="shared" si="6"/>
        <v>0</v>
      </c>
      <c r="AN41" s="90">
        <f t="shared" si="39"/>
        <v>5</v>
      </c>
      <c r="AO41" s="121">
        <f>IF(AN41=1,Cal!$AC$127,0)</f>
        <v>0</v>
      </c>
      <c r="AS41" s="200"/>
      <c r="AU41" s="268">
        <f t="shared" si="7"/>
        <v>0</v>
      </c>
      <c r="AV41" s="2177">
        <f t="shared" si="40"/>
        <v>0</v>
      </c>
      <c r="AW41" s="123">
        <f t="shared" si="8"/>
        <v>0</v>
      </c>
      <c r="AX41" s="123">
        <f t="shared" si="41"/>
        <v>0</v>
      </c>
      <c r="AY41" s="123">
        <f>IF(BC40&lt;0.01,0,IF(Adm!$S$4=Adm!$S$8,BC40*$BC$16,BC40*Adm!$V$4))</f>
        <v>0</v>
      </c>
      <c r="AZ41" s="123"/>
      <c r="BA41" s="123">
        <f>IF(BC40&lt;0.01,0,Adm!$Q$6)</f>
        <v>0</v>
      </c>
      <c r="BB41" s="123">
        <f t="shared" si="42"/>
        <v>0</v>
      </c>
      <c r="BC41" s="297">
        <f t="shared" si="43"/>
        <v>0</v>
      </c>
      <c r="BE41" s="425">
        <f t="shared" si="9"/>
        <v>0</v>
      </c>
      <c r="BH41" s="90">
        <f t="shared" si="44"/>
        <v>5</v>
      </c>
      <c r="BI41" s="121">
        <f>IF(BH41=1,Cal!$AD$127,0)</f>
        <v>0</v>
      </c>
      <c r="BM41" s="221"/>
      <c r="BO41" s="295">
        <f t="shared" ca="1" si="10"/>
        <v>8</v>
      </c>
      <c r="BP41" s="268">
        <f t="shared" si="11"/>
        <v>0</v>
      </c>
      <c r="BQ41" s="123">
        <f t="shared" si="45"/>
        <v>0</v>
      </c>
      <c r="BR41" s="123">
        <f>IF(BZ40&lt;0.01,0,IF(AND(OR(Plus!$F$10=Plus!$AK$10,Plus!$F$10=Plus!$AK$11),Plus!$BE$2=18),0,BS41-BQ41))</f>
        <v>0</v>
      </c>
      <c r="BS41" s="123">
        <f>IF(BZ40&lt;0.1,0,MIN(BZ40+BQ41,BS40*(1+CG41)))</f>
        <v>0</v>
      </c>
      <c r="BT41" s="123">
        <f>IF(BZ40&lt;0.01,0,IF(Plus!$F$22=Plus!$AN$4,BZ40*$BZ$15,IF(Plus!$F$22=Plus!$AN$3,BZ40*Plus!$F$23/1000,BZ40*VLOOKUP(Plus!$G$21,Plus!$AP$2:'Plus'!$AQ$5,2,0))))</f>
        <v>0</v>
      </c>
      <c r="BU41" s="123">
        <f>IF(BZ40&lt;0.01,0,IF(Plus!$F$24=Plus!$AO$3,Plus!$G$13*Plus!$AR$2/1.16,IF(Plus!$F$10=Plus!$AK$7,0,Plus!$G$13*Plus!$AR$2/1.16)))</f>
        <v>0</v>
      </c>
      <c r="BV41" s="123">
        <f>IF(BZ40&lt;0.01,0,Plus!$BD$2)</f>
        <v>0</v>
      </c>
      <c r="BW41" s="123"/>
      <c r="BX41" s="123">
        <f t="shared" si="12"/>
        <v>0</v>
      </c>
      <c r="BY41" s="123">
        <f>IF(Plus!$F$10=Plus!$AK$3,MIN(BZ40+BQ41+BT41+BU41+BV41-BX41,CJ41),0)</f>
        <v>0</v>
      </c>
      <c r="BZ41" s="297">
        <f t="shared" ref="BZ41:BZ97" si="144">IF(BZ40&lt;0.01,0,BZ40-BR41-BY41)</f>
        <v>0</v>
      </c>
      <c r="CA41" s="74"/>
      <c r="CB41" s="74"/>
      <c r="CC41" s="413">
        <f t="shared" si="47"/>
        <v>0</v>
      </c>
      <c r="CF41" s="90">
        <f t="shared" si="48"/>
        <v>5</v>
      </c>
      <c r="CG41" s="121">
        <f t="shared" si="106"/>
        <v>0</v>
      </c>
      <c r="CI41" s="70">
        <f t="shared" si="107"/>
        <v>0</v>
      </c>
      <c r="CJ41" s="2178">
        <f t="shared" ca="1" si="49"/>
        <v>0</v>
      </c>
      <c r="CL41" s="161"/>
      <c r="CN41" s="308">
        <f t="shared" ca="1" si="13"/>
        <v>8</v>
      </c>
      <c r="CO41" s="309">
        <f t="shared" si="50"/>
        <v>0</v>
      </c>
      <c r="CP41" s="268">
        <f t="shared" si="14"/>
        <v>0</v>
      </c>
      <c r="CQ41" s="123">
        <f t="shared" si="51"/>
        <v>0</v>
      </c>
      <c r="CR41" s="123">
        <f t="shared" si="137"/>
        <v>0</v>
      </c>
      <c r="CS41" s="123">
        <f t="shared" si="138"/>
        <v>0</v>
      </c>
      <c r="CT41" s="33">
        <f>IF(CZ40&lt;0.01,0,IF(Plus!$F$22=Plus!$AN$4,0,IF(Plus!$F$22=Plus!$AN$3,CZ40*Plus!$F$23/1000,CZ40*VLOOKUP(Plus!$G$21,Plus!$AP$2:'Plus'!$AQ$5,2,0))))</f>
        <v>0</v>
      </c>
      <c r="CU41" s="123">
        <f>IF(CZ40&lt;0.01,0,IF(Plus!$F$24=Plus!$AO$3,0,IF(OR(Plus!$F$10=Plus!$AK$7,Plus!$F$10=Plus!$AK$13),0,IF(OR(Plus!$F$10=Plus!$AK$10,Plus!$F$10=Plus!$AK$11),Plus!$G$13*Plus!$AR$4,Plus!$G$13*Plus!$AR$2))))</f>
        <v>0</v>
      </c>
      <c r="CV41" s="123">
        <f>IF(CZ40&lt;0.01,0,IF(OR(Plus!$F$10=Plus!$AK$7,Plus!$F$10=Plus!$AK$13),0,Plus!$BD$2*1.16))</f>
        <v>0</v>
      </c>
      <c r="CW41" s="123">
        <f>IF(CZ40&lt;0.01,0,IF(Plus!$AS$2&gt;0,CQ41*Plus!$AS$3,0))</f>
        <v>0</v>
      </c>
      <c r="CX41" s="123">
        <f t="shared" si="52"/>
        <v>0</v>
      </c>
      <c r="CY41" s="123">
        <f>IF(Plus!$F$10=Plus!$AK$3,MIN(CZ40+CQ41+CT41+CU41+CV41-CX41,DK41),0)</f>
        <v>0</v>
      </c>
      <c r="CZ41" s="297">
        <f>IF(CZ40&lt;0.01,0,CZ40-CR41-CY41-DA41)</f>
        <v>0</v>
      </c>
      <c r="DA41" s="306">
        <f>Plus!O82</f>
        <v>0</v>
      </c>
      <c r="DB41" s="74"/>
      <c r="DC41" s="74"/>
      <c r="DD41" s="407">
        <f t="shared" si="54"/>
        <v>0</v>
      </c>
      <c r="DG41" s="90">
        <f t="shared" si="55"/>
        <v>5</v>
      </c>
      <c r="DH41" s="121">
        <f t="shared" si="108"/>
        <v>0</v>
      </c>
      <c r="DJ41" s="149">
        <f t="shared" si="109"/>
        <v>0</v>
      </c>
      <c r="DK41" s="2179">
        <f t="shared" ca="1" si="56"/>
        <v>0</v>
      </c>
      <c r="DN41" s="120">
        <f t="shared" si="110"/>
        <v>0</v>
      </c>
      <c r="DO41" s="110">
        <f t="shared" si="57"/>
        <v>0</v>
      </c>
      <c r="DP41" s="110">
        <f t="shared" si="124"/>
        <v>0</v>
      </c>
      <c r="DQ41" s="109">
        <f t="shared" si="58"/>
        <v>0</v>
      </c>
      <c r="DR41" s="109">
        <f t="shared" si="59"/>
        <v>0</v>
      </c>
      <c r="DS41" s="113">
        <f t="shared" si="60"/>
        <v>0</v>
      </c>
      <c r="DU41" s="102">
        <f t="shared" si="61"/>
        <v>0</v>
      </c>
      <c r="DV41" s="211">
        <f t="shared" si="125"/>
        <v>17</v>
      </c>
      <c r="DW41" s="212">
        <f t="shared" si="62"/>
        <v>0</v>
      </c>
      <c r="DX41" s="212">
        <f t="shared" si="15"/>
        <v>0</v>
      </c>
      <c r="DY41" s="212">
        <f t="shared" si="111"/>
        <v>0</v>
      </c>
      <c r="DZ41" s="213">
        <f t="shared" si="16"/>
        <v>1000000</v>
      </c>
      <c r="ED41" s="182"/>
      <c r="EF41" s="308">
        <f t="shared" ca="1" si="17"/>
        <v>8</v>
      </c>
      <c r="EG41" s="309">
        <f t="shared" si="63"/>
        <v>0</v>
      </c>
      <c r="EH41" s="268">
        <f t="shared" si="18"/>
        <v>0</v>
      </c>
      <c r="EI41" s="33">
        <f t="shared" si="64"/>
        <v>0</v>
      </c>
      <c r="EJ41" s="33">
        <f t="shared" si="139"/>
        <v>0</v>
      </c>
      <c r="EK41" s="33">
        <f>IF(ER39&lt;0.1,0,MIN(ER40+EI41,IF(FE41&gt;0,FE41,EK40*(1+EZ41))))</f>
        <v>0</v>
      </c>
      <c r="EL41" s="33">
        <f>IF(ER40&lt;0.01,0,IF(Plus!$F$22=Plus!$AN$4,0,IF(Plus!$F$22=Plus!$AN$3,ER40*Plus!$F$23/1000,ER40*VLOOKUP(Plus!$G$21,Plus!$AP$2:'Plus'!$AQ$5,2,0))))</f>
        <v>0</v>
      </c>
      <c r="EM41" s="33">
        <f>IF(ER40&lt;0.01,0,IF(Plus!$F$24=Plus!$AO$3,0,IF(OR(Plus!$F$10=Plus!$AK$7,Plus!$F$10=Plus!$AK$13),0,IF(OR(Plus!$F$10=Plus!$AK$10,Plus!$F$10=Plus!$AK$11),Plus!$G$13*Plus!$AR$4,Plus!$G$13*Plus!$AR$2))))</f>
        <v>0</v>
      </c>
      <c r="EN41" s="33">
        <f>IF(ER40&lt;0.01,0,IF(OR(Plus!$F$10=Plus!$AK$7,Plus!$F$10=Plus!$AK$13),0,Plus!$BD$2*1.16))</f>
        <v>0</v>
      </c>
      <c r="EO41" s="33">
        <f>IF(ER40&lt;0.01,0,IF(Plus!$AS$2&gt;0,EI41*Plus!$AS$3,0))</f>
        <v>0</v>
      </c>
      <c r="EP41" s="33">
        <f t="shared" si="65"/>
        <v>0</v>
      </c>
      <c r="EQ41" s="33">
        <f>IF(Plus!$F$10=Plus!$AK$3,MIN(ER40+EI41+EL41+EM41+EN41-EP41,FC41),0)</f>
        <v>0</v>
      </c>
      <c r="ER41" s="311">
        <f t="shared" ref="ER41:ER98" si="145">IF(ER40&lt;0.01,0,ER40-EJ41-EQ41-ES41)</f>
        <v>0</v>
      </c>
      <c r="ES41" s="340">
        <f>Plus!O82</f>
        <v>0</v>
      </c>
      <c r="ET41" s="74"/>
      <c r="EU41" s="74"/>
      <c r="EV41" s="416">
        <f t="shared" si="134"/>
        <v>0</v>
      </c>
      <c r="EY41" s="90">
        <f t="shared" si="68"/>
        <v>5</v>
      </c>
      <c r="EZ41" s="121">
        <f t="shared" si="112"/>
        <v>0</v>
      </c>
      <c r="FB41" s="149">
        <f t="shared" si="113"/>
        <v>0</v>
      </c>
      <c r="FC41" s="2179">
        <f t="shared" ca="1" si="69"/>
        <v>0</v>
      </c>
      <c r="FE41" s="120">
        <f t="shared" si="114"/>
        <v>0</v>
      </c>
      <c r="FF41" s="110">
        <f t="shared" si="70"/>
        <v>0</v>
      </c>
      <c r="FG41" s="110">
        <f t="shared" si="71"/>
        <v>0</v>
      </c>
      <c r="FH41" s="109">
        <f t="shared" si="72"/>
        <v>0</v>
      </c>
      <c r="FI41" s="109">
        <f t="shared" si="19"/>
        <v>0</v>
      </c>
      <c r="FJ41" s="113">
        <f t="shared" si="73"/>
        <v>0</v>
      </c>
      <c r="FL41" s="102">
        <f t="shared" si="74"/>
        <v>0</v>
      </c>
      <c r="FM41" s="211">
        <f t="shared" si="127"/>
        <v>17</v>
      </c>
      <c r="FN41" s="212">
        <f t="shared" si="75"/>
        <v>0</v>
      </c>
      <c r="FO41" s="212">
        <f t="shared" si="20"/>
        <v>0</v>
      </c>
      <c r="FP41" s="212">
        <f t="shared" si="140"/>
        <v>0</v>
      </c>
      <c r="FQ41" s="213">
        <f t="shared" si="21"/>
        <v>1000000</v>
      </c>
      <c r="FV41" s="359"/>
      <c r="FX41" s="308">
        <f t="shared" ca="1" si="22"/>
        <v>8</v>
      </c>
      <c r="FY41" s="309">
        <f t="shared" si="76"/>
        <v>0</v>
      </c>
      <c r="FZ41" s="268">
        <f t="shared" si="23"/>
        <v>0</v>
      </c>
      <c r="GA41" s="33">
        <f t="shared" si="77"/>
        <v>0</v>
      </c>
      <c r="GB41" s="33">
        <f t="shared" si="141"/>
        <v>0</v>
      </c>
      <c r="GC41" s="33">
        <f t="shared" si="142"/>
        <v>0</v>
      </c>
      <c r="GD41" s="33">
        <f>IF(GJ40&lt;0.01,0,IF(Plus!$F$22=Plus!$AN$4,0,IF(Plus!$F$22=Plus!$AN$3,GJ40*Plus!$F$23/1000,GJ40*VLOOKUP(Plus!$G$21,Plus!$AP$2:$AQ$5,2,0))))</f>
        <v>0</v>
      </c>
      <c r="GE41" s="33">
        <f>IF(GJ40&lt;0.01,0,IF(Plus!$F$24=Plus!$AO$3,0,IF(OR(Plus!$F$10=Plus!$AK$7,Plus!$F$10=Plus!$AK$13,Plus!$F$10=Plus!$AK$14),0,IF(OR(Plus!$F$10=Plus!$AK$10,Plus!$F$10=Plus!$AK$11),Plus!$G$13*Adm!$W$7,Plus!$G$13*Adm!$X$4))))</f>
        <v>0</v>
      </c>
      <c r="GF41" s="33">
        <f>IF(GJ40&lt;0.01,0,IF(OR(Plus!$F$10=Plus!$AK$7,Plus!$F$10=Plus!$AK$13),0,Plus!$BD$2*1.16))</f>
        <v>0</v>
      </c>
      <c r="GG41" s="33">
        <f>IF(GJ40&lt;0.01,0,IF(Plus!$AS$2&gt;0,GA41*Plus!$AS$3,0))</f>
        <v>0</v>
      </c>
      <c r="GH41" s="33">
        <f t="shared" si="78"/>
        <v>0</v>
      </c>
      <c r="GI41" s="33">
        <f>IF(Plus!$F$10=Plus!$AK$3,MIN(GJ40+GA41+GD41+GE41+GF41-GH41,GU41),0)</f>
        <v>0</v>
      </c>
      <c r="GJ41" s="311">
        <f t="shared" si="136"/>
        <v>0</v>
      </c>
      <c r="GK41" s="340">
        <f>Plus!O82</f>
        <v>0</v>
      </c>
      <c r="GL41" s="74"/>
      <c r="GM41" s="74"/>
      <c r="GN41" s="419">
        <f t="shared" si="135"/>
        <v>0</v>
      </c>
      <c r="GQ41" s="90">
        <f t="shared" si="80"/>
        <v>5</v>
      </c>
      <c r="GR41" s="121">
        <f t="shared" si="116"/>
        <v>0</v>
      </c>
      <c r="GT41" s="149">
        <f t="shared" si="117"/>
        <v>0</v>
      </c>
      <c r="GU41" s="2179">
        <f t="shared" ca="1" si="81"/>
        <v>0</v>
      </c>
      <c r="GW41" s="120">
        <f t="shared" si="118"/>
        <v>0</v>
      </c>
      <c r="GX41" s="110">
        <f t="shared" si="82"/>
        <v>0</v>
      </c>
      <c r="GY41" s="110">
        <f t="shared" si="83"/>
        <v>0</v>
      </c>
      <c r="GZ41" s="109">
        <f t="shared" si="84"/>
        <v>0</v>
      </c>
      <c r="HA41" s="109">
        <f t="shared" si="24"/>
        <v>0</v>
      </c>
      <c r="HB41" s="113">
        <f t="shared" si="85"/>
        <v>0</v>
      </c>
      <c r="HD41" s="102">
        <f t="shared" si="86"/>
        <v>0</v>
      </c>
      <c r="HE41" s="211">
        <f t="shared" si="129"/>
        <v>17</v>
      </c>
      <c r="HF41" s="212">
        <f t="shared" si="87"/>
        <v>0</v>
      </c>
      <c r="HG41" s="212">
        <f t="shared" si="25"/>
        <v>0</v>
      </c>
      <c r="HH41" s="212">
        <f t="shared" si="143"/>
        <v>0</v>
      </c>
      <c r="HI41" s="213">
        <f t="shared" si="26"/>
        <v>1000000</v>
      </c>
      <c r="HL41" s="182"/>
      <c r="HM41" s="26">
        <f t="shared" ca="1" si="27"/>
        <v>8</v>
      </c>
      <c r="HO41" s="268">
        <f t="shared" si="28"/>
        <v>0</v>
      </c>
      <c r="HP41" s="421">
        <f t="shared" si="120"/>
        <v>0</v>
      </c>
      <c r="HQ41" s="123">
        <f t="shared" si="88"/>
        <v>0</v>
      </c>
      <c r="HR41" s="123">
        <f t="shared" si="89"/>
        <v>0</v>
      </c>
      <c r="HS41" s="123">
        <f t="shared" si="90"/>
        <v>0</v>
      </c>
      <c r="HT41" s="123">
        <f>IF(HY40&lt;0.01,0,IF(Adm!$GS$4=Adm!$GS$8,HY40*$HY$15,IF(Adm!$GS$12=Adm!$GS$13,0,HY40*Adm!$GV$4)))</f>
        <v>0</v>
      </c>
      <c r="HU41" s="123">
        <f>IF(HY40&lt;0.01,0,IF(Adm!$GS$5=Adm!$GS$8,Cal!$BO$108*$HY$16/1.16,IF(Adm!$GS$12=Adm!$GS$13,0,Cal!$BO$108*Adm!$GW$4/1.16)))</f>
        <v>0</v>
      </c>
      <c r="HV41" s="123">
        <f t="shared" si="91"/>
        <v>0</v>
      </c>
      <c r="HW41" s="123">
        <f t="shared" si="92"/>
        <v>0</v>
      </c>
      <c r="HX41" s="123">
        <f>IF(Adm!$GH$6="si",MIN(HY40+HQ41+HT41+HU41+HV41-HW41,IH41),0)</f>
        <v>0</v>
      </c>
      <c r="HY41" s="297">
        <f t="shared" si="93"/>
        <v>0</v>
      </c>
      <c r="HZ41" s="74"/>
      <c r="IA41" s="407">
        <f t="shared" si="94"/>
        <v>0</v>
      </c>
      <c r="IC41" s="90">
        <f t="shared" si="95"/>
        <v>5</v>
      </c>
      <c r="ID41" s="124">
        <f>IF(IC41=1,Cal!$BO$127,0)</f>
        <v>0</v>
      </c>
      <c r="IE41" s="73"/>
      <c r="IG41" s="70">
        <f t="shared" si="121"/>
        <v>0</v>
      </c>
      <c r="IH41" s="2178">
        <f t="shared" ca="1" si="96"/>
        <v>0</v>
      </c>
      <c r="IK41" s="217"/>
      <c r="IL41" s="26">
        <f t="shared" ca="1" si="29"/>
        <v>8</v>
      </c>
      <c r="IN41" s="268">
        <f t="shared" si="30"/>
        <v>0</v>
      </c>
      <c r="IO41" s="421">
        <f t="shared" si="122"/>
        <v>0</v>
      </c>
      <c r="IP41" s="123">
        <f t="shared" si="97"/>
        <v>0</v>
      </c>
      <c r="IQ41" s="123">
        <f t="shared" si="98"/>
        <v>0</v>
      </c>
      <c r="IR41" s="123">
        <f t="shared" si="99"/>
        <v>0</v>
      </c>
      <c r="IS41" s="123">
        <f>IF(IX40&lt;0.01,0,IF(Adm!$GS$4=Adm!$GS$8,IX40*$IX$15,IF(Adm!$GS$12=Adm!$GS$13,0,IX40*Adm!$GV$4)))</f>
        <v>0</v>
      </c>
      <c r="IT41" s="123"/>
      <c r="IU41" s="123">
        <f t="shared" si="100"/>
        <v>0</v>
      </c>
      <c r="IV41" s="123">
        <f t="shared" si="101"/>
        <v>0</v>
      </c>
      <c r="IW41" s="123"/>
      <c r="IX41" s="297">
        <f t="shared" si="102"/>
        <v>0</v>
      </c>
      <c r="IY41" s="74"/>
      <c r="IZ41" s="416">
        <f t="shared" si="103"/>
        <v>0</v>
      </c>
      <c r="JB41" s="90">
        <f t="shared" si="104"/>
        <v>5</v>
      </c>
      <c r="JC41" s="124">
        <f>IF(JB41=1,Cal!$BP$127,0)</f>
        <v>0</v>
      </c>
      <c r="JD41" s="73"/>
    </row>
    <row r="42" spans="1:264">
      <c r="A42" s="26">
        <f t="shared" ca="1" si="0"/>
        <v>9</v>
      </c>
      <c r="C42" s="33">
        <f t="shared" si="1"/>
        <v>0</v>
      </c>
      <c r="D42" s="123">
        <f t="shared" si="31"/>
        <v>0</v>
      </c>
      <c r="E42" s="123">
        <f>IF(L41&lt;0.01,0,IF(AND(Adm!$B$4=Adm!$A$118,Adm!$E$13=18),0,F42-D42))</f>
        <v>0</v>
      </c>
      <c r="F42" s="123">
        <f>IF(L41&lt;0.1,0,MIN(L41+D42,F41*(1+S42)))</f>
        <v>0</v>
      </c>
      <c r="G42" s="123">
        <f>IF(L41&lt;0.01,0,IF(Adm!$S$4=Adm!$S$8,L41*$L$15,L41*Adm!$V$4))</f>
        <v>0</v>
      </c>
      <c r="H42" s="952">
        <f>IF(L41&lt;0.01,0,IF(Adm!$S$5=Adm!$S$8,Adm!$AA$11*$L$16/1.16,IF(Adm!$B$4=Adm!$A$119,0,IF(Adm!$B$4=Adm!$A$118,Adm!$AA$11*Adm!$W$4/1.16,Adm!$AA$11*Adm!$X$4/1.16))))</f>
        <v>0</v>
      </c>
      <c r="I42" s="123">
        <f>IF(L41&lt;0.01,0,Cal!$AB$126/1.16)</f>
        <v>0</v>
      </c>
      <c r="J42" s="123">
        <f t="shared" si="2"/>
        <v>0</v>
      </c>
      <c r="K42" s="123">
        <f>IF(Adm!$G$4="si",MIN(L41+D42+G42+H42+I42-J42,V42),0)</f>
        <v>0</v>
      </c>
      <c r="L42" s="123">
        <f t="shared" si="32"/>
        <v>0</v>
      </c>
      <c r="M42" s="74"/>
      <c r="N42" s="74"/>
      <c r="O42" s="407">
        <f t="shared" si="33"/>
        <v>0</v>
      </c>
      <c r="Q42" s="384" t="s">
        <v>465</v>
      </c>
      <c r="R42" s="90">
        <f t="shared" si="34"/>
        <v>6</v>
      </c>
      <c r="S42" s="121">
        <f>IF(R42=1,Cal!$AB$127,0)</f>
        <v>0</v>
      </c>
      <c r="U42" s="70">
        <f t="shared" si="105"/>
        <v>0</v>
      </c>
      <c r="V42" s="2178">
        <f t="shared" ca="1" si="35"/>
        <v>0</v>
      </c>
      <c r="X42" s="398"/>
      <c r="Z42" s="268">
        <f t="shared" si="3"/>
        <v>0</v>
      </c>
      <c r="AA42" s="2176">
        <f t="shared" si="36"/>
        <v>0</v>
      </c>
      <c r="AB42" s="33">
        <f t="shared" si="37"/>
        <v>0</v>
      </c>
      <c r="AC42" s="33">
        <f t="shared" si="38"/>
        <v>0</v>
      </c>
      <c r="AD42" s="33">
        <f>IF(AI41&lt;0.01,0,IF(Adm!$S$4=Adm!$S$8,AI41*$AI$15,AI41*Adm!$V$4))</f>
        <v>0</v>
      </c>
      <c r="AE42" s="33"/>
      <c r="AF42" s="33"/>
      <c r="AG42" s="33">
        <f t="shared" si="4"/>
        <v>0</v>
      </c>
      <c r="AH42" s="33"/>
      <c r="AI42" s="401">
        <f t="shared" si="5"/>
        <v>0</v>
      </c>
      <c r="AK42" s="410">
        <f t="shared" si="6"/>
        <v>0</v>
      </c>
      <c r="AN42" s="90">
        <f t="shared" si="39"/>
        <v>6</v>
      </c>
      <c r="AO42" s="121">
        <f>IF(AN42=1,Cal!$AC$127,0)</f>
        <v>0</v>
      </c>
      <c r="AS42" s="200"/>
      <c r="AU42" s="268">
        <f t="shared" si="7"/>
        <v>0</v>
      </c>
      <c r="AV42" s="2177">
        <f t="shared" si="40"/>
        <v>0</v>
      </c>
      <c r="AW42" s="123">
        <f t="shared" si="8"/>
        <v>0</v>
      </c>
      <c r="AX42" s="123">
        <f t="shared" si="41"/>
        <v>0</v>
      </c>
      <c r="AY42" s="123">
        <f>IF(BC41&lt;0.01,0,IF(Adm!$S$4=Adm!$S$8,BC41*$BC$16,BC41*Adm!$V$4))</f>
        <v>0</v>
      </c>
      <c r="AZ42" s="123"/>
      <c r="BA42" s="123">
        <f>IF(BC41&lt;0.01,0,Adm!$Q$6)</f>
        <v>0</v>
      </c>
      <c r="BB42" s="123">
        <f t="shared" si="42"/>
        <v>0</v>
      </c>
      <c r="BC42" s="297">
        <f t="shared" si="43"/>
        <v>0</v>
      </c>
      <c r="BE42" s="425">
        <f t="shared" si="9"/>
        <v>0</v>
      </c>
      <c r="BH42" s="90">
        <f t="shared" si="44"/>
        <v>6</v>
      </c>
      <c r="BI42" s="121">
        <f>IF(BH42=1,Cal!$AD$127,0)</f>
        <v>0</v>
      </c>
      <c r="BM42" s="221"/>
      <c r="BO42" s="295">
        <f t="shared" ca="1" si="10"/>
        <v>9</v>
      </c>
      <c r="BP42" s="268">
        <f t="shared" si="11"/>
        <v>0</v>
      </c>
      <c r="BQ42" s="123">
        <f t="shared" si="45"/>
        <v>0</v>
      </c>
      <c r="BR42" s="123">
        <f>IF(BZ41&lt;0.01,0,IF(AND(OR(Plus!$F$10=Plus!$AK$10,Plus!$F$10=Plus!$AK$11),Plus!$BE$2=18),0,BS42-BQ42))</f>
        <v>0</v>
      </c>
      <c r="BS42" s="123">
        <f>IF(BZ41&lt;0.1,0,MIN(BZ41+BQ42,BS41*(1+CG42)))</f>
        <v>0</v>
      </c>
      <c r="BT42" s="123">
        <f>IF(BZ41&lt;0.01,0,IF(Plus!$F$22=Plus!$AN$4,BZ41*$BZ$15,IF(Plus!$F$22=Plus!$AN$3,BZ41*Plus!$F$23/1000,BZ41*VLOOKUP(Plus!$G$21,Plus!$AP$2:'Plus'!$AQ$5,2,0))))</f>
        <v>0</v>
      </c>
      <c r="BU42" s="123">
        <f>IF(BZ41&lt;0.01,0,IF(Plus!$F$24=Plus!$AO$3,Plus!$G$13*Plus!$AR$2/1.16,IF(Plus!$F$10=Plus!$AK$7,0,Plus!$G$13*Plus!$AR$2/1.16)))</f>
        <v>0</v>
      </c>
      <c r="BV42" s="123">
        <f>IF(BZ41&lt;0.01,0,Plus!$BD$2)</f>
        <v>0</v>
      </c>
      <c r="BW42" s="123"/>
      <c r="BX42" s="123">
        <f t="shared" si="12"/>
        <v>0</v>
      </c>
      <c r="BY42" s="123">
        <f>IF(Plus!$F$10=Plus!$AK$3,MIN(BZ41+BQ42+BT42+BU42+BV42-BX42,CJ42),0)</f>
        <v>0</v>
      </c>
      <c r="BZ42" s="297">
        <f t="shared" si="144"/>
        <v>0</v>
      </c>
      <c r="CA42" s="74"/>
      <c r="CB42" s="74"/>
      <c r="CC42" s="413">
        <f t="shared" si="47"/>
        <v>0</v>
      </c>
      <c r="CE42" s="275" t="s">
        <v>465</v>
      </c>
      <c r="CF42" s="90">
        <f t="shared" si="48"/>
        <v>6</v>
      </c>
      <c r="CG42" s="121">
        <f t="shared" si="106"/>
        <v>0</v>
      </c>
      <c r="CI42" s="70">
        <f t="shared" si="107"/>
        <v>0</v>
      </c>
      <c r="CJ42" s="2178">
        <f t="shared" ca="1" si="49"/>
        <v>0</v>
      </c>
      <c r="CL42" s="161"/>
      <c r="CN42" s="308">
        <f t="shared" ca="1" si="13"/>
        <v>9</v>
      </c>
      <c r="CO42" s="309">
        <f t="shared" si="50"/>
        <v>0</v>
      </c>
      <c r="CP42" s="268">
        <f t="shared" si="14"/>
        <v>0</v>
      </c>
      <c r="CQ42" s="123">
        <f t="shared" si="51"/>
        <v>0</v>
      </c>
      <c r="CR42" s="123">
        <f t="shared" si="137"/>
        <v>0</v>
      </c>
      <c r="CS42" s="123">
        <f t="shared" si="138"/>
        <v>0</v>
      </c>
      <c r="CT42" s="33">
        <f>IF(CZ41&lt;0.01,0,IF(Plus!$F$22=Plus!$AN$4,0,IF(Plus!$F$22=Plus!$AN$3,CZ41*Plus!$F$23/1000,CZ41*VLOOKUP(Plus!$G$21,Plus!$AP$2:'Plus'!$AQ$5,2,0))))</f>
        <v>0</v>
      </c>
      <c r="CU42" s="123">
        <f>IF(CZ41&lt;0.01,0,IF(Plus!$F$24=Plus!$AO$3,0,IF(OR(Plus!$F$10=Plus!$AK$7,Plus!$F$10=Plus!$AK$13),0,IF(OR(Plus!$F$10=Plus!$AK$10,Plus!$F$10=Plus!$AK$11),Plus!$G$13*Plus!$AR$4,Plus!$G$13*Plus!$AR$2))))</f>
        <v>0</v>
      </c>
      <c r="CV42" s="123">
        <f>IF(CZ41&lt;0.01,0,IF(OR(Plus!$F$10=Plus!$AK$7,Plus!$F$10=Plus!$AK$13),0,Plus!$BD$2*1.16))</f>
        <v>0</v>
      </c>
      <c r="CW42" s="123">
        <f>IF(CZ41&lt;0.01,0,IF(Plus!$AS$2&gt;0,CQ42*Plus!$AS$3,0))</f>
        <v>0</v>
      </c>
      <c r="CX42" s="123">
        <f t="shared" si="52"/>
        <v>0</v>
      </c>
      <c r="CY42" s="123">
        <f>IF(Plus!$F$10=Plus!$AK$3,MIN(CZ41+CQ42+CT42+CU42+CV42-CX42,DK42),0)</f>
        <v>0</v>
      </c>
      <c r="CZ42" s="297">
        <f t="shared" ref="CZ42:CZ105" si="146">IF(CZ41&lt;0.01,0,CZ41-CR42-CY42-DA42)</f>
        <v>0</v>
      </c>
      <c r="DA42" s="306">
        <f>Plus!O83</f>
        <v>0</v>
      </c>
      <c r="DB42" s="74"/>
      <c r="DC42" s="74"/>
      <c r="DD42" s="407">
        <f t="shared" si="54"/>
        <v>0</v>
      </c>
      <c r="DF42" s="275" t="s">
        <v>465</v>
      </c>
      <c r="DG42" s="90">
        <f t="shared" si="55"/>
        <v>6</v>
      </c>
      <c r="DH42" s="121">
        <f t="shared" si="108"/>
        <v>0</v>
      </c>
      <c r="DJ42" s="149">
        <f t="shared" si="109"/>
        <v>0</v>
      </c>
      <c r="DK42" s="2179">
        <f t="shared" ca="1" si="56"/>
        <v>0</v>
      </c>
      <c r="DN42" s="120">
        <f t="shared" si="110"/>
        <v>0</v>
      </c>
      <c r="DO42" s="110">
        <f t="shared" si="57"/>
        <v>0</v>
      </c>
      <c r="DP42" s="110">
        <f t="shared" si="124"/>
        <v>0</v>
      </c>
      <c r="DQ42" s="109">
        <f t="shared" si="58"/>
        <v>0</v>
      </c>
      <c r="DR42" s="109">
        <f t="shared" si="59"/>
        <v>0</v>
      </c>
      <c r="DS42" s="113">
        <f t="shared" si="60"/>
        <v>0</v>
      </c>
      <c r="DU42" s="102">
        <f t="shared" si="61"/>
        <v>0</v>
      </c>
      <c r="DV42" s="211">
        <f t="shared" si="125"/>
        <v>18</v>
      </c>
      <c r="DW42" s="212">
        <f t="shared" si="62"/>
        <v>0</v>
      </c>
      <c r="DX42" s="212">
        <f t="shared" si="15"/>
        <v>0</v>
      </c>
      <c r="DY42" s="212">
        <f t="shared" si="111"/>
        <v>0</v>
      </c>
      <c r="DZ42" s="213">
        <f t="shared" si="16"/>
        <v>1000000</v>
      </c>
      <c r="ED42" s="182"/>
      <c r="EF42" s="308">
        <f t="shared" ca="1" si="17"/>
        <v>9</v>
      </c>
      <c r="EG42" s="309">
        <f t="shared" si="63"/>
        <v>0</v>
      </c>
      <c r="EH42" s="268">
        <f t="shared" si="18"/>
        <v>0</v>
      </c>
      <c r="EI42" s="33">
        <f t="shared" si="64"/>
        <v>0</v>
      </c>
      <c r="EJ42" s="33">
        <f t="shared" si="139"/>
        <v>0</v>
      </c>
      <c r="EK42" s="33">
        <f>IF(ER40&lt;0.1,0,MIN(ER41+EI42,IF(FE42&gt;0,FE42,EK41*(1+EZ42))))</f>
        <v>0</v>
      </c>
      <c r="EL42" s="33">
        <f>IF(ER41&lt;0.01,0,IF(Plus!$F$22=Plus!$AN$4,0,IF(Plus!$F$22=Plus!$AN$3,ER41*Plus!$F$23/1000,ER41*VLOOKUP(Plus!$G$21,Plus!$AP$2:'Plus'!$AQ$5,2,0))))</f>
        <v>0</v>
      </c>
      <c r="EM42" s="33">
        <f>IF(ER41&lt;0.01,0,IF(Plus!$F$24=Plus!$AO$3,0,IF(OR(Plus!$F$10=Plus!$AK$7,Plus!$F$10=Plus!$AK$13),0,IF(OR(Plus!$F$10=Plus!$AK$10,Plus!$F$10=Plus!$AK$11),Plus!$G$13*Plus!$AR$4,Plus!$G$13*Plus!$AR$2))))</f>
        <v>0</v>
      </c>
      <c r="EN42" s="33">
        <f>IF(ER41&lt;0.01,0,IF(OR(Plus!$F$10=Plus!$AK$7,Plus!$F$10=Plus!$AK$13),0,Plus!$BD$2*1.16))</f>
        <v>0</v>
      </c>
      <c r="EO42" s="33">
        <f>IF(ER41&lt;0.01,0,IF(Plus!$AS$2&gt;0,EI42*Plus!$AS$3,0))</f>
        <v>0</v>
      </c>
      <c r="EP42" s="33">
        <f t="shared" si="65"/>
        <v>0</v>
      </c>
      <c r="EQ42" s="33">
        <f>IF(Plus!$F$10=Plus!$AK$3,MIN(ER41+EI42+EL42+EM42+EN42-EP42,FC42),0)</f>
        <v>0</v>
      </c>
      <c r="ER42" s="311">
        <f t="shared" si="145"/>
        <v>0</v>
      </c>
      <c r="ES42" s="340">
        <f>Plus!O83</f>
        <v>0</v>
      </c>
      <c r="ET42" s="74"/>
      <c r="EU42" s="74"/>
      <c r="EV42" s="416">
        <f t="shared" si="134"/>
        <v>0</v>
      </c>
      <c r="EX42" s="275" t="s">
        <v>465</v>
      </c>
      <c r="EY42" s="90">
        <f t="shared" si="68"/>
        <v>6</v>
      </c>
      <c r="EZ42" s="121">
        <f t="shared" si="112"/>
        <v>0</v>
      </c>
      <c r="FB42" s="149">
        <f t="shared" si="113"/>
        <v>0</v>
      </c>
      <c r="FC42" s="2179">
        <f t="shared" ca="1" si="69"/>
        <v>0</v>
      </c>
      <c r="FE42" s="120">
        <f t="shared" si="114"/>
        <v>0</v>
      </c>
      <c r="FF42" s="110">
        <f t="shared" si="70"/>
        <v>0</v>
      </c>
      <c r="FG42" s="110">
        <f t="shared" si="71"/>
        <v>0</v>
      </c>
      <c r="FH42" s="109">
        <f t="shared" si="72"/>
        <v>0</v>
      </c>
      <c r="FI42" s="109">
        <f t="shared" si="19"/>
        <v>0</v>
      </c>
      <c r="FJ42" s="113">
        <f t="shared" si="73"/>
        <v>0</v>
      </c>
      <c r="FL42" s="102">
        <f t="shared" si="74"/>
        <v>0</v>
      </c>
      <c r="FM42" s="211">
        <f t="shared" si="127"/>
        <v>18</v>
      </c>
      <c r="FN42" s="212">
        <f t="shared" si="75"/>
        <v>0</v>
      </c>
      <c r="FO42" s="212">
        <f t="shared" si="20"/>
        <v>0</v>
      </c>
      <c r="FP42" s="212">
        <f t="shared" si="140"/>
        <v>0</v>
      </c>
      <c r="FQ42" s="213">
        <f t="shared" si="21"/>
        <v>1000000</v>
      </c>
      <c r="FV42" s="359"/>
      <c r="FX42" s="308">
        <f t="shared" ca="1" si="22"/>
        <v>9</v>
      </c>
      <c r="FY42" s="309">
        <f t="shared" si="76"/>
        <v>0</v>
      </c>
      <c r="FZ42" s="268">
        <f t="shared" si="23"/>
        <v>0</v>
      </c>
      <c r="GA42" s="33">
        <f t="shared" si="77"/>
        <v>0</v>
      </c>
      <c r="GB42" s="33">
        <f t="shared" si="141"/>
        <v>0</v>
      </c>
      <c r="GC42" s="33">
        <f t="shared" si="142"/>
        <v>0</v>
      </c>
      <c r="GD42" s="33">
        <f>IF(GJ41&lt;0.01,0,IF(Plus!$F$22=Plus!$AN$4,0,IF(Plus!$F$22=Plus!$AN$3,GJ41*Plus!$F$23/1000,GJ41*VLOOKUP(Plus!$G$21,Plus!$AP$2:$AQ$5,2,0))))</f>
        <v>0</v>
      </c>
      <c r="GE42" s="33">
        <f>IF(GJ41&lt;0.01,0,IF(Plus!$F$24=Plus!$AO$3,0,IF(OR(Plus!$F$10=Plus!$AK$7,Plus!$F$10=Plus!$AK$13,Plus!$F$10=Plus!$AK$14),0,IF(OR(Plus!$F$10=Plus!$AK$10,Plus!$F$10=Plus!$AK$11),Plus!$G$13*Adm!$W$7,Plus!$G$13*Adm!$X$4))))</f>
        <v>0</v>
      </c>
      <c r="GF42" s="33">
        <f>IF(GJ41&lt;0.01,0,IF(OR(Plus!$F$10=Plus!$AK$7,Plus!$F$10=Plus!$AK$13),0,Plus!$BD$2*1.16))</f>
        <v>0</v>
      </c>
      <c r="GG42" s="33">
        <f>IF(GJ41&lt;0.01,0,IF(Plus!$AS$2&gt;0,GA42*Plus!$AS$3,0))</f>
        <v>0</v>
      </c>
      <c r="GH42" s="33">
        <f t="shared" si="78"/>
        <v>0</v>
      </c>
      <c r="GI42" s="33">
        <f>IF(Plus!$F$10=Plus!$AK$3,MIN(GJ41+GA42+GD42+GE42+GF42-GH42,GU42),0)</f>
        <v>0</v>
      </c>
      <c r="GJ42" s="311">
        <f t="shared" si="136"/>
        <v>0</v>
      </c>
      <c r="GK42" s="340">
        <f>Plus!O83</f>
        <v>0</v>
      </c>
      <c r="GL42" s="74"/>
      <c r="GM42" s="74"/>
      <c r="GN42" s="419">
        <f t="shared" si="135"/>
        <v>0</v>
      </c>
      <c r="GP42" s="275" t="s">
        <v>465</v>
      </c>
      <c r="GQ42" s="90">
        <f t="shared" si="80"/>
        <v>6</v>
      </c>
      <c r="GR42" s="121">
        <f t="shared" si="116"/>
        <v>0</v>
      </c>
      <c r="GT42" s="149">
        <f t="shared" si="117"/>
        <v>0</v>
      </c>
      <c r="GU42" s="2179">
        <f t="shared" ca="1" si="81"/>
        <v>0</v>
      </c>
      <c r="GW42" s="120">
        <f t="shared" si="118"/>
        <v>0</v>
      </c>
      <c r="GX42" s="110">
        <f t="shared" si="82"/>
        <v>0</v>
      </c>
      <c r="GY42" s="110">
        <f t="shared" si="83"/>
        <v>0</v>
      </c>
      <c r="GZ42" s="109">
        <f t="shared" si="84"/>
        <v>0</v>
      </c>
      <c r="HA42" s="109">
        <f t="shared" si="24"/>
        <v>0</v>
      </c>
      <c r="HB42" s="113">
        <f t="shared" si="85"/>
        <v>0</v>
      </c>
      <c r="HD42" s="102">
        <f t="shared" si="86"/>
        <v>0</v>
      </c>
      <c r="HE42" s="211">
        <f t="shared" si="129"/>
        <v>18</v>
      </c>
      <c r="HF42" s="212">
        <f t="shared" si="87"/>
        <v>0</v>
      </c>
      <c r="HG42" s="212">
        <f t="shared" si="25"/>
        <v>0</v>
      </c>
      <c r="HH42" s="212">
        <f t="shared" si="143"/>
        <v>0</v>
      </c>
      <c r="HI42" s="213">
        <f t="shared" si="26"/>
        <v>1000000</v>
      </c>
      <c r="HL42" s="182"/>
      <c r="HM42" s="26">
        <f t="shared" ca="1" si="27"/>
        <v>9</v>
      </c>
      <c r="HO42" s="268">
        <f t="shared" si="28"/>
        <v>0</v>
      </c>
      <c r="HP42" s="421">
        <f t="shared" si="120"/>
        <v>0</v>
      </c>
      <c r="HQ42" s="123">
        <f t="shared" si="88"/>
        <v>0</v>
      </c>
      <c r="HR42" s="123">
        <f t="shared" si="89"/>
        <v>0</v>
      </c>
      <c r="HS42" s="123">
        <f t="shared" si="90"/>
        <v>0</v>
      </c>
      <c r="HT42" s="123">
        <f>IF(HY41&lt;0.01,0,IF(Adm!$GS$4=Adm!$GS$8,HY41*$HY$15,IF(Adm!$GS$12=Adm!$GS$13,0,HY41*Adm!$GV$4)))</f>
        <v>0</v>
      </c>
      <c r="HU42" s="123">
        <f>IF(HY41&lt;0.01,0,IF(Adm!$GS$5=Adm!$GS$8,Cal!$BO$108*$HY$16/1.16,IF(Adm!$GS$12=Adm!$GS$13,0,Cal!$BO$108*Adm!$GW$4/1.16)))</f>
        <v>0</v>
      </c>
      <c r="HV42" s="123">
        <f t="shared" si="91"/>
        <v>0</v>
      </c>
      <c r="HW42" s="123">
        <f t="shared" si="92"/>
        <v>0</v>
      </c>
      <c r="HX42" s="123">
        <f>IF(Adm!$GH$6="si",MIN(HY41+HQ42+HT42+HU42+HV42-HW42,IH42),0)</f>
        <v>0</v>
      </c>
      <c r="HY42" s="297">
        <f t="shared" si="93"/>
        <v>0</v>
      </c>
      <c r="HZ42" s="74"/>
      <c r="IA42" s="407">
        <f t="shared" si="94"/>
        <v>0</v>
      </c>
      <c r="IC42" s="90">
        <f t="shared" si="95"/>
        <v>6</v>
      </c>
      <c r="ID42" s="124">
        <f>IF(IC42=1,Cal!$BO$127,0)</f>
        <v>0</v>
      </c>
      <c r="IE42" s="73"/>
      <c r="IG42" s="70">
        <f t="shared" si="121"/>
        <v>0</v>
      </c>
      <c r="IH42" s="2178">
        <f t="shared" ca="1" si="96"/>
        <v>0</v>
      </c>
      <c r="IK42" s="217"/>
      <c r="IL42" s="26">
        <f t="shared" ca="1" si="29"/>
        <v>9</v>
      </c>
      <c r="IN42" s="268">
        <f t="shared" si="30"/>
        <v>0</v>
      </c>
      <c r="IO42" s="421">
        <f t="shared" si="122"/>
        <v>0</v>
      </c>
      <c r="IP42" s="123">
        <f t="shared" si="97"/>
        <v>0</v>
      </c>
      <c r="IQ42" s="123">
        <f t="shared" si="98"/>
        <v>0</v>
      </c>
      <c r="IR42" s="123">
        <f t="shared" si="99"/>
        <v>0</v>
      </c>
      <c r="IS42" s="123">
        <f>IF(IX41&lt;0.01,0,IF(Adm!$GS$4=Adm!$GS$8,IX41*$IX$15,IF(Adm!$GS$12=Adm!$GS$13,0,IX41*Adm!$GV$4)))</f>
        <v>0</v>
      </c>
      <c r="IT42" s="123"/>
      <c r="IU42" s="123">
        <f t="shared" si="100"/>
        <v>0</v>
      </c>
      <c r="IV42" s="123">
        <f t="shared" si="101"/>
        <v>0</v>
      </c>
      <c r="IW42" s="123"/>
      <c r="IX42" s="297">
        <f t="shared" si="102"/>
        <v>0</v>
      </c>
      <c r="IY42" s="74"/>
      <c r="IZ42" s="416">
        <f t="shared" si="103"/>
        <v>0</v>
      </c>
      <c r="JB42" s="90">
        <f t="shared" si="104"/>
        <v>6</v>
      </c>
      <c r="JC42" s="124">
        <f>IF(JB42=1,Cal!$BP$127,0)</f>
        <v>0</v>
      </c>
      <c r="JD42" s="73"/>
    </row>
    <row r="43" spans="1:264">
      <c r="A43" s="26">
        <f t="shared" ca="1" si="0"/>
        <v>10</v>
      </c>
      <c r="C43" s="454">
        <f t="shared" si="1"/>
        <v>0</v>
      </c>
      <c r="D43" s="123">
        <f t="shared" si="31"/>
        <v>0</v>
      </c>
      <c r="E43" s="123">
        <f t="shared" ref="E43:E101" si="147">IF(L42&lt;0.01,0,F43-D43)</f>
        <v>0</v>
      </c>
      <c r="F43" s="455">
        <f>IF(L42&lt;0.1,0,MIN(L42+D43,IF(AND(Adm!$B$4=Adm!$A$118,Adm!$E$13=18),Q43,F42*(1+S43))))</f>
        <v>0</v>
      </c>
      <c r="G43" s="123">
        <f>IF(L42&lt;0.01,0,IF(Adm!$S$4=Adm!$S$8,L42*$L$15,L42*Adm!$V$4))</f>
        <v>0</v>
      </c>
      <c r="H43" s="123">
        <f>IF(L42&lt;0.01,0,IF(Adm!$S$5=Adm!$S$8,Adm!$AA$11*$L$16/1.16,IF(Adm!$B$4=Adm!$A$119,0,Adm!$AA$11*Adm!$X$4/1.16)))</f>
        <v>0</v>
      </c>
      <c r="I43" s="123">
        <f>IF(L42&lt;0.01,0,Cal!$AB$126/1.16)</f>
        <v>0</v>
      </c>
      <c r="J43" s="123">
        <f t="shared" si="2"/>
        <v>0</v>
      </c>
      <c r="K43" s="123">
        <f>IF(Adm!$G$4="si",MIN(L42+D43+G43+H43+I43-J43,V43),0)</f>
        <v>0</v>
      </c>
      <c r="L43" s="123">
        <f t="shared" si="32"/>
        <v>0</v>
      </c>
      <c r="M43" s="74"/>
      <c r="N43" s="74"/>
      <c r="O43" s="407">
        <f t="shared" si="33"/>
        <v>0</v>
      </c>
      <c r="Q43" s="2180">
        <f>IF(AND(Adm!$B$4=Adm!$A$118,Adm!$E$13=18),PMT(((Adm!AE6/360)*(365/12)),Adm!H4-18,-L42),0)</f>
        <v>0</v>
      </c>
      <c r="R43" s="90">
        <f t="shared" si="34"/>
        <v>7</v>
      </c>
      <c r="S43" s="121">
        <f>IF(R43=1,Cal!$AB$127,0)</f>
        <v>0</v>
      </c>
      <c r="U43" s="70">
        <f t="shared" si="105"/>
        <v>0</v>
      </c>
      <c r="V43" s="2178">
        <f t="shared" ca="1" si="35"/>
        <v>0</v>
      </c>
      <c r="X43" s="398"/>
      <c r="Z43" s="268">
        <f t="shared" si="3"/>
        <v>0</v>
      </c>
      <c r="AA43" s="2176">
        <f t="shared" si="36"/>
        <v>0</v>
      </c>
      <c r="AB43" s="33">
        <f t="shared" si="37"/>
        <v>0</v>
      </c>
      <c r="AC43" s="33">
        <f t="shared" si="38"/>
        <v>0</v>
      </c>
      <c r="AD43" s="33">
        <f>IF(AI42&lt;0.01,0,IF(Adm!$S$4=Adm!$S$8,AI42*$AI$15,AI42*Adm!$V$4))</f>
        <v>0</v>
      </c>
      <c r="AE43" s="33"/>
      <c r="AF43" s="33"/>
      <c r="AG43" s="33">
        <f t="shared" si="4"/>
        <v>0</v>
      </c>
      <c r="AH43" s="33"/>
      <c r="AI43" s="401">
        <f t="shared" si="5"/>
        <v>0</v>
      </c>
      <c r="AK43" s="410">
        <f t="shared" si="6"/>
        <v>0</v>
      </c>
      <c r="AN43" s="90">
        <f t="shared" si="39"/>
        <v>7</v>
      </c>
      <c r="AO43" s="121">
        <f>IF(AN43=1,Cal!$AC$127,0)</f>
        <v>0</v>
      </c>
      <c r="AS43" s="200"/>
      <c r="AU43" s="268">
        <f t="shared" si="7"/>
        <v>0</v>
      </c>
      <c r="AV43" s="2177">
        <f t="shared" si="40"/>
        <v>0</v>
      </c>
      <c r="AW43" s="123">
        <f t="shared" si="8"/>
        <v>0</v>
      </c>
      <c r="AX43" s="123">
        <f t="shared" si="41"/>
        <v>0</v>
      </c>
      <c r="AY43" s="123">
        <f>IF(BC42&lt;0.01,0,IF(Adm!$S$4=Adm!$S$8,BC42*$BC$16,BC42*Adm!$V$4))</f>
        <v>0</v>
      </c>
      <c r="AZ43" s="123"/>
      <c r="BA43" s="123">
        <f>IF(BC42&lt;0.01,0,Adm!$Q$6)</f>
        <v>0</v>
      </c>
      <c r="BB43" s="123">
        <f t="shared" si="42"/>
        <v>0</v>
      </c>
      <c r="BC43" s="297">
        <f t="shared" si="43"/>
        <v>0</v>
      </c>
      <c r="BE43" s="425">
        <f t="shared" si="9"/>
        <v>0</v>
      </c>
      <c r="BH43" s="90">
        <f t="shared" si="44"/>
        <v>7</v>
      </c>
      <c r="BI43" s="121">
        <f>IF(BH43=1,Cal!$AD$127,0)</f>
        <v>0</v>
      </c>
      <c r="BM43" s="221"/>
      <c r="BO43" s="295">
        <f t="shared" ca="1" si="10"/>
        <v>10</v>
      </c>
      <c r="BP43" s="268">
        <f t="shared" si="11"/>
        <v>0</v>
      </c>
      <c r="BQ43" s="123">
        <f t="shared" si="45"/>
        <v>0</v>
      </c>
      <c r="BR43" s="123">
        <f t="shared" ref="BR43:BR101" si="148">IF(BZ42&lt;0.01,0,BS43-BQ43)</f>
        <v>0</v>
      </c>
      <c r="BS43" s="123">
        <f>IF(BZ42&lt;0.1,0,MIN(BZ42+BQ43,IF(AND(OR(Plus!$F$10=Plus!$AK$10,Plus!$F$10=Plus!$AK$11),Plus!$BE$2=18),CE43,BS42*(1+CG43))))</f>
        <v>0</v>
      </c>
      <c r="BT43" s="123">
        <f>IF(BZ42&lt;0.01,0,IF(Plus!$F$22=Plus!$AN$4,BZ42*$BZ$15,IF(Plus!$F$22=Plus!$AN$3,BZ42*Plus!$F$23/1000,BZ42*VLOOKUP(Plus!$G$21,Plus!$AP$2:'Plus'!$AQ$5,2,0))))</f>
        <v>0</v>
      </c>
      <c r="BU43" s="123">
        <f>IF(BZ42&lt;0.01,0,IF(Plus!$F$24=Plus!$AO$3,Plus!$G$13*Plus!$AR$2/1.16,IF(Plus!$F$10=Plus!$AK$7,0,Plus!$G$13*Plus!$AR$2/1.16)))</f>
        <v>0</v>
      </c>
      <c r="BV43" s="123">
        <f>IF(BZ42&lt;0.01,0,Plus!$BD$2)</f>
        <v>0</v>
      </c>
      <c r="BW43" s="123"/>
      <c r="BX43" s="123">
        <f t="shared" si="12"/>
        <v>0</v>
      </c>
      <c r="BY43" s="123">
        <f>IF(Plus!$F$10=Plus!$AK$3,MIN(BZ42+BQ43+BT43+BU43+BV43-BX43,CJ43),0)</f>
        <v>0</v>
      </c>
      <c r="BZ43" s="297">
        <f t="shared" si="144"/>
        <v>0</v>
      </c>
      <c r="CA43" s="74"/>
      <c r="CB43" s="74"/>
      <c r="CC43" s="413">
        <f t="shared" si="47"/>
        <v>0</v>
      </c>
      <c r="CE43" s="2181">
        <f>IF(AND(OR(Plus!$F$10=Plus!$AK$10,Plus!$F$10=Plus!$AK$11),Plus!$BE$2=18),PMT(((BS9/360)*(365/12)),BS8-18,-BZ40),0)</f>
        <v>0</v>
      </c>
      <c r="CF43" s="90">
        <f t="shared" si="48"/>
        <v>7</v>
      </c>
      <c r="CG43" s="121">
        <f t="shared" si="106"/>
        <v>0</v>
      </c>
      <c r="CI43" s="70">
        <f t="shared" si="107"/>
        <v>0</v>
      </c>
      <c r="CJ43" s="2178">
        <f t="shared" ca="1" si="49"/>
        <v>0</v>
      </c>
      <c r="CL43" s="161"/>
      <c r="CN43" s="308">
        <f t="shared" ca="1" si="13"/>
        <v>10</v>
      </c>
      <c r="CO43" s="309">
        <f t="shared" si="50"/>
        <v>0</v>
      </c>
      <c r="CP43" s="269">
        <f t="shared" si="14"/>
        <v>0</v>
      </c>
      <c r="CQ43" s="123">
        <f t="shared" si="51"/>
        <v>0</v>
      </c>
      <c r="CR43" s="123">
        <f t="shared" si="137"/>
        <v>0</v>
      </c>
      <c r="CS43" s="403">
        <f>IF(CZ41&lt;0.1,0,MIN(CZ42+CQ43,IF(DN43&gt;0,DN43,IF(AND(OR(Plus!$F$10=Plus!$AK$10,Plus!$F$10=Plus!$AK$11),Plus!$BE$2=18),DF43,CS42*(1+DH43)))))</f>
        <v>0</v>
      </c>
      <c r="CT43" s="33">
        <f>IF(CZ42&lt;0.01,0,IF(Plus!$F$22=Plus!$AN$4,0,IF(Plus!$F$22=Plus!$AN$3,CZ42*Plus!$F$23/1000,CZ42*VLOOKUP(Plus!$G$21,Plus!$AP$2:'Plus'!$AQ$5,2,0))))</f>
        <v>0</v>
      </c>
      <c r="CU43" s="123">
        <f>IF(CZ42&lt;0.01,0,IF(Plus!$F$24=Plus!$AO$3,0,IF(OR(Plus!$F$10=Plus!$AK$7,Plus!$F$10=Plus!$AK$13),0,Plus!$G$13*Plus!$AR$2)))</f>
        <v>0</v>
      </c>
      <c r="CV43" s="123">
        <f>IF(CZ42&lt;0.01,0,IF(OR(Plus!$F$10=Plus!$AK$7,Plus!$F$10=Plus!$AK$13),0,Plus!$BD$2*1.16))</f>
        <v>0</v>
      </c>
      <c r="CW43" s="123">
        <f>IF(CZ42&lt;0.01,0,IF(Plus!$AS$2&gt;0,CQ43*Plus!$AS$3,0))</f>
        <v>0</v>
      </c>
      <c r="CX43" s="123">
        <f t="shared" si="52"/>
        <v>0</v>
      </c>
      <c r="CY43" s="123">
        <f>IF(Plus!$F$10=Plus!$AK$3,MIN(CZ42+CQ43+CT43+CU43+CV43-CX43,DK43),0)</f>
        <v>0</v>
      </c>
      <c r="CZ43" s="297">
        <f t="shared" si="146"/>
        <v>0</v>
      </c>
      <c r="DA43" s="306">
        <f>Plus!O84</f>
        <v>0</v>
      </c>
      <c r="DB43" s="74"/>
      <c r="DC43" s="74"/>
      <c r="DD43" s="407">
        <f t="shared" si="54"/>
        <v>0</v>
      </c>
      <c r="DF43" s="2181">
        <f>IF(AND(OR(Plus!$F$10=Plus!$AK$10,Plus!$F$10=Plus!$AK$11),Plus!$BE$2=18),PMT(((CS9/360)*(365/12)),CS8-18,-CZ40),0)</f>
        <v>0</v>
      </c>
      <c r="DG43" s="90">
        <f t="shared" si="55"/>
        <v>7</v>
      </c>
      <c r="DH43" s="121">
        <f t="shared" si="108"/>
        <v>0</v>
      </c>
      <c r="DJ43" s="149">
        <f t="shared" si="109"/>
        <v>0</v>
      </c>
      <c r="DK43" s="2179">
        <f t="shared" ca="1" si="56"/>
        <v>0</v>
      </c>
      <c r="DN43" s="120">
        <f t="shared" si="110"/>
        <v>0</v>
      </c>
      <c r="DO43" s="110">
        <f t="shared" si="57"/>
        <v>0</v>
      </c>
      <c r="DP43" s="110">
        <f t="shared" si="124"/>
        <v>0</v>
      </c>
      <c r="DQ43" s="109">
        <f t="shared" si="58"/>
        <v>0</v>
      </c>
      <c r="DR43" s="109">
        <f t="shared" si="59"/>
        <v>0</v>
      </c>
      <c r="DS43" s="113">
        <f t="shared" si="60"/>
        <v>0</v>
      </c>
      <c r="DU43" s="102">
        <f t="shared" si="61"/>
        <v>0</v>
      </c>
      <c r="DV43" s="211">
        <f t="shared" si="125"/>
        <v>19</v>
      </c>
      <c r="DW43" s="212">
        <f t="shared" si="62"/>
        <v>0</v>
      </c>
      <c r="DX43" s="212">
        <f t="shared" si="15"/>
        <v>0</v>
      </c>
      <c r="DY43" s="212">
        <f t="shared" si="111"/>
        <v>0</v>
      </c>
      <c r="DZ43" s="213">
        <f t="shared" si="16"/>
        <v>1000000</v>
      </c>
      <c r="ED43" s="182"/>
      <c r="EF43" s="308">
        <f t="shared" ca="1" si="17"/>
        <v>10</v>
      </c>
      <c r="EG43" s="309">
        <f t="shared" si="63"/>
        <v>0</v>
      </c>
      <c r="EH43" s="269">
        <f t="shared" si="18"/>
        <v>0</v>
      </c>
      <c r="EI43" s="33">
        <f t="shared" si="64"/>
        <v>0</v>
      </c>
      <c r="EJ43" s="33">
        <f t="shared" si="139"/>
        <v>0</v>
      </c>
      <c r="EK43" s="404">
        <f>IF(ER41&lt;0.1,0,MIN(ER42+EI43,IF(FE43&gt;0,FE43,IF(AND(OR(Plus!$F$10=Plus!$AK$10,Plus!$F$10=Plus!$AK$11),Plus!$BE$2=18),EX43,EK42*(1+EZ43)))))</f>
        <v>0</v>
      </c>
      <c r="EL43" s="33">
        <f>IF(ER42&lt;0.01,0,IF(Plus!$F$22=Plus!$AN$4,0,IF(Plus!$F$22=Plus!$AN$3,ER42*Plus!$F$23/1000,ER42*VLOOKUP(Plus!$G$21,Plus!$AP$2:'Plus'!$AQ$5,2,0))))</f>
        <v>0</v>
      </c>
      <c r="EM43" s="33">
        <f>IF(ER42&lt;0.01,0,IF(Plus!$F$24=Plus!$AO$3,0,IF(OR(Plus!$F$10=Plus!$AK$7,Plus!$F$10=Plus!$AK$13),0,Plus!$G$13*Plus!$AR$2)))</f>
        <v>0</v>
      </c>
      <c r="EN43" s="33">
        <f>IF(ER42&lt;0.01,0,IF(OR(Plus!$F$10=Plus!$AK$7,Plus!$F$10=Plus!$AK$13),0,Plus!$BD$2*1.16))</f>
        <v>0</v>
      </c>
      <c r="EO43" s="33">
        <f>IF(ER42&lt;0.01,0,IF(Plus!$AS$2&gt;0,EI43*Plus!$AS$3,0))</f>
        <v>0</v>
      </c>
      <c r="EP43" s="33">
        <f t="shared" si="65"/>
        <v>0</v>
      </c>
      <c r="EQ43" s="33">
        <f>IF(Plus!$F$10=Plus!$AK$3,MIN(ER42+EI43+EL43+EM43+EN43-EP43,FC43),0)</f>
        <v>0</v>
      </c>
      <c r="ER43" s="311">
        <f t="shared" si="145"/>
        <v>0</v>
      </c>
      <c r="ES43" s="340">
        <f>Plus!O84</f>
        <v>0</v>
      </c>
      <c r="ET43" s="74"/>
      <c r="EU43" s="74"/>
      <c r="EV43" s="416">
        <f t="shared" si="134"/>
        <v>0</v>
      </c>
      <c r="EX43" s="2181">
        <f>IF(AND(OR(Plus!$F$10=Plus!$AK$10,Plus!$F$10=Plus!$AK$11),Plus!$BE$2=18),PMT(((EK9/360)*(365/12)),EK8-18,-ER40),0)</f>
        <v>0</v>
      </c>
      <c r="EY43" s="90">
        <f t="shared" si="68"/>
        <v>7</v>
      </c>
      <c r="EZ43" s="121">
        <f t="shared" si="112"/>
        <v>0</v>
      </c>
      <c r="FB43" s="149">
        <f t="shared" si="113"/>
        <v>0</v>
      </c>
      <c r="FC43" s="2179">
        <f t="shared" ca="1" si="69"/>
        <v>0</v>
      </c>
      <c r="FE43" s="120">
        <f t="shared" si="114"/>
        <v>0</v>
      </c>
      <c r="FF43" s="110">
        <f t="shared" si="70"/>
        <v>0</v>
      </c>
      <c r="FG43" s="110">
        <f t="shared" si="71"/>
        <v>0</v>
      </c>
      <c r="FH43" s="109">
        <f t="shared" si="72"/>
        <v>0</v>
      </c>
      <c r="FI43" s="109">
        <f t="shared" si="19"/>
        <v>0</v>
      </c>
      <c r="FJ43" s="113">
        <f t="shared" si="73"/>
        <v>0</v>
      </c>
      <c r="FL43" s="102">
        <f t="shared" si="74"/>
        <v>0</v>
      </c>
      <c r="FM43" s="211">
        <f t="shared" si="127"/>
        <v>19</v>
      </c>
      <c r="FN43" s="212">
        <f t="shared" si="75"/>
        <v>0</v>
      </c>
      <c r="FO43" s="212">
        <f t="shared" si="20"/>
        <v>0</v>
      </c>
      <c r="FP43" s="212">
        <f t="shared" si="140"/>
        <v>0</v>
      </c>
      <c r="FQ43" s="213">
        <f t="shared" si="21"/>
        <v>1000000</v>
      </c>
      <c r="FV43" s="359"/>
      <c r="FX43" s="308">
        <f t="shared" ca="1" si="22"/>
        <v>10</v>
      </c>
      <c r="FY43" s="309">
        <f t="shared" si="76"/>
        <v>0</v>
      </c>
      <c r="FZ43" s="269">
        <f t="shared" si="23"/>
        <v>0</v>
      </c>
      <c r="GA43" s="33">
        <f t="shared" si="77"/>
        <v>0</v>
      </c>
      <c r="GB43" s="33">
        <f t="shared" si="141"/>
        <v>0</v>
      </c>
      <c r="GC43" s="405">
        <f>IF(GJ41&lt;0.1,0,MIN(GJ42+GA43,IF(GW43&gt;0,GW43,IF(OR(Plus!$F$10=Plus!$AK$10,Plus!$F$10=Plus!$AK$11),GP43,GC42*(1+GR43)))))</f>
        <v>0</v>
      </c>
      <c r="GD43" s="33">
        <f>IF(GJ42&lt;0.01,0,IF(Plus!$F$22=Plus!$AN$4,0,IF(Plus!$F$22=Plus!$AN$3,GJ42*Plus!$F$23/1000,GJ42*VLOOKUP(Plus!$G$21,Plus!$AP$2:$AQ$5,2,0))))</f>
        <v>0</v>
      </c>
      <c r="GE43" s="33">
        <f>IF(GJ42&lt;0.01,0,IF(Plus!$F$24=Plus!$AO$3,0,IF(OR(Plus!$F$10=Plus!$AK$7,Plus!$F$10=Plus!$AK$13,Plus!$F$10=Plus!$AK$14),0,IF(OR(Plus!$F$10=Plus!$AK$10,Plus!$F$10=Plus!$AK$11),Plus!$G$13*Adm!$W$7,Plus!$G$13*Adm!$X$4))))</f>
        <v>0</v>
      </c>
      <c r="GF43" s="33">
        <f>IF(GJ42&lt;0.01,0,IF(OR(Plus!$F$10=Plus!$AK$7,Plus!$F$10=Plus!$AK$13),0,Plus!$BD$2*1.16))</f>
        <v>0</v>
      </c>
      <c r="GG43" s="33">
        <f>IF(GJ42&lt;0.01,0,IF(Plus!$AS$2&gt;0,GA43*Plus!$AS$3,0))</f>
        <v>0</v>
      </c>
      <c r="GH43" s="33">
        <f t="shared" si="78"/>
        <v>0</v>
      </c>
      <c r="GI43" s="33">
        <f>IF(Plus!$F$10=Plus!$AK$3,MIN(GJ42+GA43+GD43+GE43+GF43-GH43,GU43),0)</f>
        <v>0</v>
      </c>
      <c r="GJ43" s="311">
        <f t="shared" si="136"/>
        <v>0</v>
      </c>
      <c r="GK43" s="340">
        <f>Plus!O84</f>
        <v>0</v>
      </c>
      <c r="GL43" s="74"/>
      <c r="GM43" s="74"/>
      <c r="GN43" s="419">
        <f t="shared" si="135"/>
        <v>0</v>
      </c>
      <c r="GP43" s="2181">
        <f>IF(AND(OR(Plus!$F$10=Plus!$AK$10,Plus!$F$10=Plus!$AK$11),Plus!$BE$2=18),PMT(((GC9/360)*(365/12)),GC8-18,-GJ40),0)</f>
        <v>0</v>
      </c>
      <c r="GQ43" s="90">
        <f t="shared" si="80"/>
        <v>7</v>
      </c>
      <c r="GR43" s="121">
        <f t="shared" si="116"/>
        <v>0</v>
      </c>
      <c r="GT43" s="149">
        <f t="shared" si="117"/>
        <v>0</v>
      </c>
      <c r="GU43" s="2179">
        <f t="shared" ca="1" si="81"/>
        <v>0</v>
      </c>
      <c r="GW43" s="120">
        <f t="shared" si="118"/>
        <v>0</v>
      </c>
      <c r="GX43" s="110">
        <f t="shared" si="82"/>
        <v>0</v>
      </c>
      <c r="GY43" s="110">
        <f t="shared" si="83"/>
        <v>0</v>
      </c>
      <c r="GZ43" s="109">
        <f t="shared" si="84"/>
        <v>0</v>
      </c>
      <c r="HA43" s="109">
        <f t="shared" si="24"/>
        <v>0</v>
      </c>
      <c r="HB43" s="113">
        <f t="shared" si="85"/>
        <v>0</v>
      </c>
      <c r="HD43" s="102">
        <f t="shared" si="86"/>
        <v>0</v>
      </c>
      <c r="HE43" s="211">
        <f t="shared" si="129"/>
        <v>19</v>
      </c>
      <c r="HF43" s="212">
        <f t="shared" si="87"/>
        <v>0</v>
      </c>
      <c r="HG43" s="212">
        <f t="shared" si="25"/>
        <v>0</v>
      </c>
      <c r="HH43" s="212">
        <f t="shared" si="143"/>
        <v>0</v>
      </c>
      <c r="HI43" s="213">
        <f t="shared" si="26"/>
        <v>1000000</v>
      </c>
      <c r="HL43" s="182"/>
      <c r="HM43" s="26">
        <f t="shared" ca="1" si="27"/>
        <v>10</v>
      </c>
      <c r="HO43" s="268">
        <f t="shared" si="28"/>
        <v>0</v>
      </c>
      <c r="HP43" s="421">
        <f t="shared" si="120"/>
        <v>0</v>
      </c>
      <c r="HQ43" s="123">
        <f t="shared" si="88"/>
        <v>0</v>
      </c>
      <c r="HR43" s="123">
        <f t="shared" si="89"/>
        <v>0</v>
      </c>
      <c r="HS43" s="123">
        <f t="shared" si="90"/>
        <v>0</v>
      </c>
      <c r="HT43" s="123">
        <f>IF(HY42&lt;0.01,0,IF(Adm!$GS$4=Adm!$GS$8,HY42*$HY$15,IF(Adm!$GS$12=Adm!$GS$13,0,HY42*Adm!$GV$4)))</f>
        <v>0</v>
      </c>
      <c r="HU43" s="123">
        <f>IF(HY42&lt;0.01,0,IF(Adm!$GS$5=Adm!$GS$8,Cal!$BO$108*$HY$16/1.16,IF(Adm!$GS$12=Adm!$GS$13,0,Cal!$BO$108*Adm!$GW$4/1.16)))</f>
        <v>0</v>
      </c>
      <c r="HV43" s="123">
        <f t="shared" si="91"/>
        <v>0</v>
      </c>
      <c r="HW43" s="123">
        <f t="shared" si="92"/>
        <v>0</v>
      </c>
      <c r="HX43" s="123">
        <f>IF(Adm!$GH$6="si",MIN(HY42+HQ43+HT43+HU43+HV43-HW43,IH43),0)</f>
        <v>0</v>
      </c>
      <c r="HY43" s="297">
        <f t="shared" si="93"/>
        <v>0</v>
      </c>
      <c r="HZ43" s="74"/>
      <c r="IA43" s="407">
        <f t="shared" si="94"/>
        <v>0</v>
      </c>
      <c r="IC43" s="90">
        <f t="shared" si="95"/>
        <v>7</v>
      </c>
      <c r="ID43" s="124">
        <f>IF(IC43=1,Cal!$BO$127,0)</f>
        <v>0</v>
      </c>
      <c r="IE43" s="73"/>
      <c r="IG43" s="70">
        <f t="shared" si="121"/>
        <v>0</v>
      </c>
      <c r="IH43" s="2178">
        <f t="shared" ca="1" si="96"/>
        <v>0</v>
      </c>
      <c r="IK43" s="217"/>
      <c r="IL43" s="26">
        <f t="shared" ca="1" si="29"/>
        <v>10</v>
      </c>
      <c r="IN43" s="268">
        <f t="shared" si="30"/>
        <v>0</v>
      </c>
      <c r="IO43" s="421">
        <f t="shared" si="122"/>
        <v>0</v>
      </c>
      <c r="IP43" s="123">
        <f t="shared" si="97"/>
        <v>0</v>
      </c>
      <c r="IQ43" s="123">
        <f t="shared" si="98"/>
        <v>0</v>
      </c>
      <c r="IR43" s="123">
        <f t="shared" si="99"/>
        <v>0</v>
      </c>
      <c r="IS43" s="123">
        <f>IF(IX42&lt;0.01,0,IF(Adm!$GS$4=Adm!$GS$8,IX42*$IX$15,IF(Adm!$GS$12=Adm!$GS$13,0,IX42*Adm!$GV$4)))</f>
        <v>0</v>
      </c>
      <c r="IT43" s="123"/>
      <c r="IU43" s="123">
        <f t="shared" si="100"/>
        <v>0</v>
      </c>
      <c r="IV43" s="123">
        <f t="shared" si="101"/>
        <v>0</v>
      </c>
      <c r="IW43" s="123"/>
      <c r="IX43" s="297">
        <f t="shared" si="102"/>
        <v>0</v>
      </c>
      <c r="IY43" s="74"/>
      <c r="IZ43" s="416">
        <f t="shared" si="103"/>
        <v>0</v>
      </c>
      <c r="JB43" s="90">
        <f t="shared" si="104"/>
        <v>7</v>
      </c>
      <c r="JC43" s="124">
        <f>IF(JB43=1,Cal!$BP$127,0)</f>
        <v>0</v>
      </c>
      <c r="JD43" s="73"/>
    </row>
    <row r="44" spans="1:264">
      <c r="A44" s="26">
        <f t="shared" ca="1" si="0"/>
        <v>11</v>
      </c>
      <c r="C44" s="33">
        <f t="shared" si="1"/>
        <v>0</v>
      </c>
      <c r="D44" s="123">
        <f t="shared" si="31"/>
        <v>0</v>
      </c>
      <c r="E44" s="123">
        <f t="shared" si="147"/>
        <v>0</v>
      </c>
      <c r="F44" s="123">
        <f t="shared" ref="F44:F107" si="149">IF(L43&lt;0.1,0,MIN(L43+D44,F43*(1+S44)))</f>
        <v>0</v>
      </c>
      <c r="G44" s="123">
        <f>IF(L43&lt;0.01,0,IF(Adm!$S$4=Adm!$S$8,L43*$L$15,L43*Adm!$V$4))</f>
        <v>0</v>
      </c>
      <c r="H44" s="123">
        <f>IF(L43&lt;0.01,0,IF(Adm!$S$5=Adm!$S$8,Adm!$AA$11*$L$16/1.16,IF(Adm!$B$4=Adm!$A$119,0,Adm!$AA$11*Adm!$X$4/1.16)))</f>
        <v>0</v>
      </c>
      <c r="I44" s="123">
        <f>IF(L43&lt;0.01,0,Cal!$AB$126/1.16)</f>
        <v>0</v>
      </c>
      <c r="J44" s="123">
        <f t="shared" si="2"/>
        <v>0</v>
      </c>
      <c r="K44" s="123">
        <f>IF(Adm!$G$4="si",MIN(L43+D44+G44+H44+I44-J44,V44),0)</f>
        <v>0</v>
      </c>
      <c r="L44" s="123">
        <f t="shared" si="32"/>
        <v>0</v>
      </c>
      <c r="M44" s="74"/>
      <c r="N44" s="74"/>
      <c r="O44" s="407">
        <f t="shared" si="33"/>
        <v>0</v>
      </c>
      <c r="R44" s="90">
        <f t="shared" si="34"/>
        <v>8</v>
      </c>
      <c r="S44" s="121">
        <f>IF(R44=1,Cal!$AB$127,0)</f>
        <v>0</v>
      </c>
      <c r="U44" s="70">
        <f t="shared" si="105"/>
        <v>0</v>
      </c>
      <c r="V44" s="2178">
        <f t="shared" ca="1" si="35"/>
        <v>0</v>
      </c>
      <c r="X44" s="398"/>
      <c r="Z44" s="268">
        <f t="shared" si="3"/>
        <v>0</v>
      </c>
      <c r="AA44" s="2176">
        <f t="shared" si="36"/>
        <v>0</v>
      </c>
      <c r="AB44" s="33">
        <f t="shared" si="37"/>
        <v>0</v>
      </c>
      <c r="AC44" s="33">
        <f t="shared" si="38"/>
        <v>0</v>
      </c>
      <c r="AD44" s="33">
        <f>IF(AI43&lt;0.01,0,IF(Adm!$S$4=Adm!$S$8,AI43*$AI$15,AI43*Adm!$V$4))</f>
        <v>0</v>
      </c>
      <c r="AE44" s="33"/>
      <c r="AF44" s="33"/>
      <c r="AG44" s="33">
        <f t="shared" si="4"/>
        <v>0</v>
      </c>
      <c r="AH44" s="33"/>
      <c r="AI44" s="401">
        <f t="shared" si="5"/>
        <v>0</v>
      </c>
      <c r="AK44" s="410">
        <f t="shared" si="6"/>
        <v>0</v>
      </c>
      <c r="AN44" s="90">
        <f t="shared" si="39"/>
        <v>8</v>
      </c>
      <c r="AO44" s="121">
        <f>IF(AN44=1,Cal!$AC$127,0)</f>
        <v>0</v>
      </c>
      <c r="AS44" s="200"/>
      <c r="AU44" s="268">
        <f t="shared" si="7"/>
        <v>0</v>
      </c>
      <c r="AV44" s="2177">
        <f t="shared" si="40"/>
        <v>0</v>
      </c>
      <c r="AW44" s="123">
        <f t="shared" si="8"/>
        <v>0</v>
      </c>
      <c r="AX44" s="123">
        <f t="shared" si="41"/>
        <v>0</v>
      </c>
      <c r="AY44" s="123">
        <f>IF(BC43&lt;0.01,0,IF(Adm!$S$4=Adm!$S$8,BC43*$BC$16,BC43*Adm!$V$4))</f>
        <v>0</v>
      </c>
      <c r="AZ44" s="123"/>
      <c r="BA44" s="123">
        <f>IF(BC43&lt;0.01,0,Adm!$Q$6)</f>
        <v>0</v>
      </c>
      <c r="BB44" s="123">
        <f t="shared" si="42"/>
        <v>0</v>
      </c>
      <c r="BC44" s="297">
        <f t="shared" si="43"/>
        <v>0</v>
      </c>
      <c r="BE44" s="425">
        <f t="shared" si="9"/>
        <v>0</v>
      </c>
      <c r="BH44" s="90">
        <f t="shared" si="44"/>
        <v>8</v>
      </c>
      <c r="BI44" s="121">
        <f>IF(BH44=1,Cal!$AD$127,0)</f>
        <v>0</v>
      </c>
      <c r="BM44" s="221"/>
      <c r="BO44" s="295">
        <f t="shared" ca="1" si="10"/>
        <v>11</v>
      </c>
      <c r="BP44" s="268">
        <f t="shared" si="11"/>
        <v>0</v>
      </c>
      <c r="BQ44" s="123">
        <f t="shared" si="45"/>
        <v>0</v>
      </c>
      <c r="BR44" s="123">
        <f t="shared" si="148"/>
        <v>0</v>
      </c>
      <c r="BS44" s="123">
        <f t="shared" ref="BS44:BS107" si="150">IF(BZ43&lt;0.1,0,MIN(BZ43+BQ44,BS43*(1+CG44)))</f>
        <v>0</v>
      </c>
      <c r="BT44" s="123">
        <f>IF(BZ43&lt;0.01,0,IF(Plus!$F$22=Plus!$AN$4,BZ43*$BZ$15,IF(Plus!$F$22=Plus!$AN$3,BZ43*Plus!$F$23/1000,BZ43*VLOOKUP(Plus!$G$21,Plus!$AP$2:'Plus'!$AQ$5,2,0))))</f>
        <v>0</v>
      </c>
      <c r="BU44" s="123">
        <f>IF(BZ43&lt;0.01,0,IF(Plus!$F$24=Plus!$AO$3,Plus!$G$13*Plus!$AR$2/1.16,IF(Plus!$F$10=Plus!$AK$7,0,Plus!$G$13*Plus!$AR$2/1.16)))</f>
        <v>0</v>
      </c>
      <c r="BV44" s="123">
        <f>IF(BZ43&lt;0.01,0,Plus!$BD$2)</f>
        <v>0</v>
      </c>
      <c r="BW44" s="123"/>
      <c r="BX44" s="123">
        <f t="shared" si="12"/>
        <v>0</v>
      </c>
      <c r="BY44" s="123">
        <f>IF(Plus!$F$10=Plus!$AK$3,MIN(BZ43+BQ44+BT44+BU44+BV44-BX44,CJ44),0)</f>
        <v>0</v>
      </c>
      <c r="BZ44" s="297">
        <f t="shared" si="144"/>
        <v>0</v>
      </c>
      <c r="CA44" s="74"/>
      <c r="CB44" s="74"/>
      <c r="CC44" s="413">
        <f t="shared" si="47"/>
        <v>0</v>
      </c>
      <c r="CF44" s="90">
        <f t="shared" si="48"/>
        <v>8</v>
      </c>
      <c r="CG44" s="121">
        <f t="shared" si="106"/>
        <v>0</v>
      </c>
      <c r="CI44" s="70">
        <f t="shared" si="107"/>
        <v>0</v>
      </c>
      <c r="CJ44" s="2178">
        <f t="shared" ca="1" si="49"/>
        <v>0</v>
      </c>
      <c r="CL44" s="161"/>
      <c r="CN44" s="308">
        <f t="shared" ca="1" si="13"/>
        <v>11</v>
      </c>
      <c r="CO44" s="309">
        <f t="shared" si="50"/>
        <v>0</v>
      </c>
      <c r="CP44" s="268">
        <f t="shared" si="14"/>
        <v>0</v>
      </c>
      <c r="CQ44" s="123">
        <f t="shared" si="51"/>
        <v>0</v>
      </c>
      <c r="CR44" s="123">
        <f t="shared" si="137"/>
        <v>0</v>
      </c>
      <c r="CS44" s="123">
        <f t="shared" si="138"/>
        <v>0</v>
      </c>
      <c r="CT44" s="33">
        <f>IF(CZ43&lt;0.01,0,IF(Plus!$F$22=Plus!$AN$4,0,IF(Plus!$F$22=Plus!$AN$3,CZ43*Plus!$F$23/1000,CZ43*VLOOKUP(Plus!$G$21,Plus!$AP$2:'Plus'!$AQ$5,2,0))))</f>
        <v>0</v>
      </c>
      <c r="CU44" s="123">
        <f>IF(CZ43&lt;0.01,0,IF(Plus!$F$24=Plus!$AO$3,0,IF(OR(Plus!$F$10=Plus!$AK$7,Plus!$F$10=Plus!$AK$13),0,Plus!$G$13*Plus!$AR$2)))</f>
        <v>0</v>
      </c>
      <c r="CV44" s="123">
        <f>IF(CZ43&lt;0.01,0,IF(OR(Plus!$F$10=Plus!$AK$7,Plus!$F$10=Plus!$AK$13),0,Plus!$BD$2*1.16))</f>
        <v>0</v>
      </c>
      <c r="CW44" s="123">
        <f>IF(CZ43&lt;0.01,0,IF(Plus!$AS$2&gt;0,CQ44*Plus!$AS$3,0))</f>
        <v>0</v>
      </c>
      <c r="CX44" s="123">
        <f t="shared" si="52"/>
        <v>0</v>
      </c>
      <c r="CY44" s="123">
        <f>IF(Plus!$F$10=Plus!$AK$3,MIN(CZ43+CQ44+CT44+CU44+CV44-CX44,DK44),0)</f>
        <v>0</v>
      </c>
      <c r="CZ44" s="297">
        <f t="shared" si="146"/>
        <v>0</v>
      </c>
      <c r="DA44" s="306">
        <f>Plus!O85</f>
        <v>0</v>
      </c>
      <c r="DB44" s="74"/>
      <c r="DC44" s="74"/>
      <c r="DD44" s="407">
        <f t="shared" si="54"/>
        <v>0</v>
      </c>
      <c r="DG44" s="90">
        <f t="shared" si="55"/>
        <v>8</v>
      </c>
      <c r="DH44" s="121">
        <f t="shared" si="108"/>
        <v>0</v>
      </c>
      <c r="DJ44" s="149">
        <f t="shared" si="109"/>
        <v>0</v>
      </c>
      <c r="DK44" s="2179">
        <f t="shared" ca="1" si="56"/>
        <v>0</v>
      </c>
      <c r="DN44" s="120">
        <f t="shared" si="110"/>
        <v>0</v>
      </c>
      <c r="DO44" s="110">
        <f t="shared" si="57"/>
        <v>0</v>
      </c>
      <c r="DP44" s="110">
        <f t="shared" si="124"/>
        <v>0</v>
      </c>
      <c r="DQ44" s="109">
        <f t="shared" si="58"/>
        <v>0</v>
      </c>
      <c r="DR44" s="109">
        <f t="shared" si="59"/>
        <v>0</v>
      </c>
      <c r="DS44" s="113">
        <f t="shared" si="60"/>
        <v>0</v>
      </c>
      <c r="DU44" s="102">
        <f t="shared" si="61"/>
        <v>0</v>
      </c>
      <c r="DV44" s="211">
        <f t="shared" si="125"/>
        <v>20</v>
      </c>
      <c r="DW44" s="212">
        <f t="shared" si="62"/>
        <v>0</v>
      </c>
      <c r="DX44" s="212">
        <f t="shared" si="15"/>
        <v>0</v>
      </c>
      <c r="DY44" s="212">
        <f t="shared" si="111"/>
        <v>0</v>
      </c>
      <c r="DZ44" s="213">
        <f t="shared" si="16"/>
        <v>1000000</v>
      </c>
      <c r="ED44" s="182"/>
      <c r="EF44" s="308">
        <f t="shared" ca="1" si="17"/>
        <v>11</v>
      </c>
      <c r="EG44" s="309">
        <f t="shared" si="63"/>
        <v>0</v>
      </c>
      <c r="EH44" s="268">
        <f t="shared" si="18"/>
        <v>0</v>
      </c>
      <c r="EI44" s="33">
        <f t="shared" si="64"/>
        <v>0</v>
      </c>
      <c r="EJ44" s="33">
        <f t="shared" si="139"/>
        <v>0</v>
      </c>
      <c r="EK44" s="33">
        <f t="shared" ref="EK44:EK107" si="151">IF(ER42&lt;0.1,0,MIN(ER43+EI44,IF(FE44&gt;0,FE44,EK43*(1+EZ44))))</f>
        <v>0</v>
      </c>
      <c r="EL44" s="33">
        <f>IF(ER43&lt;0.01,0,IF(Plus!$F$22=Plus!$AN$4,0,IF(Plus!$F$22=Plus!$AN$3,ER43*Plus!$F$23/1000,ER43*VLOOKUP(Plus!$G$21,Plus!$AP$2:'Plus'!$AQ$5,2,0))))</f>
        <v>0</v>
      </c>
      <c r="EM44" s="33">
        <f>IF(ER43&lt;0.01,0,IF(Plus!$F$24=Plus!$AO$3,0,IF(OR(Plus!$F$10=Plus!$AK$7,Plus!$F$10=Plus!$AK$13),0,Plus!$G$13*Plus!$AR$2)))</f>
        <v>0</v>
      </c>
      <c r="EN44" s="33">
        <f>IF(ER43&lt;0.01,0,IF(OR(Plus!$F$10=Plus!$AK$7,Plus!$F$10=Plus!$AK$13),0,Plus!$BD$2*1.16))</f>
        <v>0</v>
      </c>
      <c r="EO44" s="33">
        <f>IF(ER43&lt;0.01,0,IF(Plus!$AS$2&gt;0,EI44*Plus!$AS$3,0))</f>
        <v>0</v>
      </c>
      <c r="EP44" s="33">
        <f t="shared" si="65"/>
        <v>0</v>
      </c>
      <c r="EQ44" s="33">
        <f>IF(Plus!$F$10=Plus!$AK$3,MIN(ER43+EI44+EL44+EM44+EN44-EP44,FC44),0)</f>
        <v>0</v>
      </c>
      <c r="ER44" s="311">
        <f t="shared" si="145"/>
        <v>0</v>
      </c>
      <c r="ES44" s="340">
        <f>Plus!O85</f>
        <v>0</v>
      </c>
      <c r="ET44" s="74"/>
      <c r="EU44" s="74"/>
      <c r="EV44" s="416">
        <f t="shared" si="134"/>
        <v>0</v>
      </c>
      <c r="EY44" s="90">
        <f t="shared" si="68"/>
        <v>8</v>
      </c>
      <c r="EZ44" s="121">
        <f t="shared" si="112"/>
        <v>0</v>
      </c>
      <c r="FB44" s="149">
        <f t="shared" si="113"/>
        <v>0</v>
      </c>
      <c r="FC44" s="2179">
        <f t="shared" ca="1" si="69"/>
        <v>0</v>
      </c>
      <c r="FE44" s="120">
        <f t="shared" si="114"/>
        <v>0</v>
      </c>
      <c r="FF44" s="110">
        <f t="shared" si="70"/>
        <v>0</v>
      </c>
      <c r="FG44" s="110">
        <f t="shared" si="71"/>
        <v>0</v>
      </c>
      <c r="FH44" s="109">
        <f t="shared" si="72"/>
        <v>0</v>
      </c>
      <c r="FI44" s="109">
        <f t="shared" si="19"/>
        <v>0</v>
      </c>
      <c r="FJ44" s="113">
        <f t="shared" si="73"/>
        <v>0</v>
      </c>
      <c r="FL44" s="102">
        <f t="shared" si="74"/>
        <v>0</v>
      </c>
      <c r="FM44" s="211">
        <f t="shared" si="127"/>
        <v>20</v>
      </c>
      <c r="FN44" s="212">
        <f t="shared" si="75"/>
        <v>0</v>
      </c>
      <c r="FO44" s="212">
        <f t="shared" si="20"/>
        <v>0</v>
      </c>
      <c r="FP44" s="212">
        <f t="shared" si="140"/>
        <v>0</v>
      </c>
      <c r="FQ44" s="213">
        <f t="shared" si="21"/>
        <v>1000000</v>
      </c>
      <c r="FV44" s="359"/>
      <c r="FX44" s="308">
        <f t="shared" ca="1" si="22"/>
        <v>11</v>
      </c>
      <c r="FY44" s="309">
        <f t="shared" si="76"/>
        <v>0</v>
      </c>
      <c r="FZ44" s="268">
        <f t="shared" si="23"/>
        <v>0</v>
      </c>
      <c r="GA44" s="33">
        <f t="shared" si="77"/>
        <v>0</v>
      </c>
      <c r="GB44" s="33">
        <f t="shared" si="141"/>
        <v>0</v>
      </c>
      <c r="GC44" s="33">
        <f t="shared" si="142"/>
        <v>0</v>
      </c>
      <c r="GD44" s="33">
        <f>IF(GJ43&lt;0.01,0,IF(Plus!$F$22=Plus!$AN$4,0,IF(Plus!$F$22=Plus!$AN$3,GJ43*Plus!$F$23/1000,GJ43*VLOOKUP(Plus!$G$21,Plus!$AP$2:$AQ$5,2,0))))</f>
        <v>0</v>
      </c>
      <c r="GE44" s="33">
        <f>IF(GJ43&lt;0.01,0,IF(Plus!$F$24=Plus!$AO$3,0,IF(OR(Plus!$F$10=Plus!$AK$7,Plus!$F$10=Plus!$AK$13,Plus!$F$10=Plus!$AK$14),0,IF(OR(Plus!$F$10=Plus!$AK$10,Plus!$F$10=Plus!$AK$11),Plus!$G$13*Adm!$W$7,Plus!$G$13*Adm!$X$4))))</f>
        <v>0</v>
      </c>
      <c r="GF44" s="33">
        <f>IF(GJ43&lt;0.01,0,IF(OR(Plus!$F$10=Plus!$AK$7,Plus!$F$10=Plus!$AK$13),0,Plus!$BD$2*1.16))</f>
        <v>0</v>
      </c>
      <c r="GG44" s="33">
        <f>IF(GJ43&lt;0.01,0,IF(Plus!$AS$2&gt;0,GA44*Plus!$AS$3,0))</f>
        <v>0</v>
      </c>
      <c r="GH44" s="33">
        <f t="shared" si="78"/>
        <v>0</v>
      </c>
      <c r="GI44" s="33">
        <f>IF(Plus!$F$10=Plus!$AK$3,MIN(GJ43+GA44+GD44+GE44+GF44-GH44,GU44),0)</f>
        <v>0</v>
      </c>
      <c r="GJ44" s="311">
        <f t="shared" si="136"/>
        <v>0</v>
      </c>
      <c r="GK44" s="340">
        <f>Plus!O85</f>
        <v>0</v>
      </c>
      <c r="GL44" s="74"/>
      <c r="GM44" s="74"/>
      <c r="GN44" s="419">
        <f t="shared" si="135"/>
        <v>0</v>
      </c>
      <c r="GQ44" s="90">
        <f t="shared" si="80"/>
        <v>8</v>
      </c>
      <c r="GR44" s="121">
        <f t="shared" si="116"/>
        <v>0</v>
      </c>
      <c r="GT44" s="149">
        <f t="shared" si="117"/>
        <v>0</v>
      </c>
      <c r="GU44" s="2179">
        <f t="shared" ca="1" si="81"/>
        <v>0</v>
      </c>
      <c r="GW44" s="120">
        <f t="shared" si="118"/>
        <v>0</v>
      </c>
      <c r="GX44" s="110">
        <f t="shared" si="82"/>
        <v>0</v>
      </c>
      <c r="GY44" s="110">
        <f t="shared" si="83"/>
        <v>0</v>
      </c>
      <c r="GZ44" s="109">
        <f t="shared" si="84"/>
        <v>0</v>
      </c>
      <c r="HA44" s="109">
        <f t="shared" si="24"/>
        <v>0</v>
      </c>
      <c r="HB44" s="113">
        <f t="shared" si="85"/>
        <v>0</v>
      </c>
      <c r="HD44" s="102">
        <f t="shared" si="86"/>
        <v>0</v>
      </c>
      <c r="HE44" s="211">
        <f t="shared" si="129"/>
        <v>20</v>
      </c>
      <c r="HF44" s="212">
        <f t="shared" si="87"/>
        <v>0</v>
      </c>
      <c r="HG44" s="212">
        <f t="shared" si="25"/>
        <v>0</v>
      </c>
      <c r="HH44" s="212">
        <f t="shared" si="143"/>
        <v>0</v>
      </c>
      <c r="HI44" s="213">
        <f t="shared" si="26"/>
        <v>1000000</v>
      </c>
      <c r="HL44" s="182"/>
      <c r="HM44" s="26">
        <f t="shared" ca="1" si="27"/>
        <v>11</v>
      </c>
      <c r="HO44" s="268">
        <f t="shared" si="28"/>
        <v>0</v>
      </c>
      <c r="HP44" s="421">
        <f t="shared" si="120"/>
        <v>0</v>
      </c>
      <c r="HQ44" s="123">
        <f t="shared" si="88"/>
        <v>0</v>
      </c>
      <c r="HR44" s="123">
        <f t="shared" si="89"/>
        <v>0</v>
      </c>
      <c r="HS44" s="123">
        <f t="shared" si="90"/>
        <v>0</v>
      </c>
      <c r="HT44" s="123">
        <f>IF(HY43&lt;0.01,0,IF(Adm!$GS$4=Adm!$GS$8,HY43*$HY$15,IF(Adm!$GS$12=Adm!$GS$13,0,HY43*Adm!$GV$4)))</f>
        <v>0</v>
      </c>
      <c r="HU44" s="123">
        <f>IF(HY43&lt;0.01,0,IF(Adm!$GS$5=Adm!$GS$8,Cal!$BO$108*$HY$16/1.16,IF(Adm!$GS$12=Adm!$GS$13,0,Cal!$BO$108*Adm!$GW$4/1.16)))</f>
        <v>0</v>
      </c>
      <c r="HV44" s="123">
        <f t="shared" si="91"/>
        <v>0</v>
      </c>
      <c r="HW44" s="123">
        <f t="shared" si="92"/>
        <v>0</v>
      </c>
      <c r="HX44" s="123">
        <f>IF(Adm!$GH$6="si",MIN(HY43+HQ44+HT44+HU44+HV44-HW44,IH44),0)</f>
        <v>0</v>
      </c>
      <c r="HY44" s="297">
        <f t="shared" si="93"/>
        <v>0</v>
      </c>
      <c r="HZ44" s="74"/>
      <c r="IA44" s="407">
        <f t="shared" si="94"/>
        <v>0</v>
      </c>
      <c r="IC44" s="90">
        <f t="shared" si="95"/>
        <v>8</v>
      </c>
      <c r="ID44" s="124">
        <f>IF(IC44=1,Cal!$BO$127,0)</f>
        <v>0</v>
      </c>
      <c r="IE44" s="73"/>
      <c r="IG44" s="70">
        <f t="shared" si="121"/>
        <v>0</v>
      </c>
      <c r="IH44" s="2178">
        <f t="shared" ca="1" si="96"/>
        <v>0</v>
      </c>
      <c r="IK44" s="217"/>
      <c r="IL44" s="26">
        <f t="shared" ca="1" si="29"/>
        <v>11</v>
      </c>
      <c r="IN44" s="268">
        <f t="shared" si="30"/>
        <v>0</v>
      </c>
      <c r="IO44" s="421">
        <f t="shared" si="122"/>
        <v>0</v>
      </c>
      <c r="IP44" s="123">
        <f t="shared" si="97"/>
        <v>0</v>
      </c>
      <c r="IQ44" s="123">
        <f t="shared" si="98"/>
        <v>0</v>
      </c>
      <c r="IR44" s="123">
        <f t="shared" si="99"/>
        <v>0</v>
      </c>
      <c r="IS44" s="123">
        <f>IF(IX43&lt;0.01,0,IF(Adm!$GS$4=Adm!$GS$8,IX43*$IX$15,IF(Adm!$GS$12=Adm!$GS$13,0,IX43*Adm!$GV$4)))</f>
        <v>0</v>
      </c>
      <c r="IT44" s="123"/>
      <c r="IU44" s="123">
        <f t="shared" si="100"/>
        <v>0</v>
      </c>
      <c r="IV44" s="123">
        <f t="shared" si="101"/>
        <v>0</v>
      </c>
      <c r="IW44" s="123"/>
      <c r="IX44" s="297">
        <f t="shared" si="102"/>
        <v>0</v>
      </c>
      <c r="IY44" s="74"/>
      <c r="IZ44" s="416">
        <f t="shared" si="103"/>
        <v>0</v>
      </c>
      <c r="JB44" s="90">
        <f t="shared" si="104"/>
        <v>8</v>
      </c>
      <c r="JC44" s="124">
        <f>IF(JB44=1,Cal!$BP$127,0)</f>
        <v>0</v>
      </c>
      <c r="JD44" s="73"/>
    </row>
    <row r="45" spans="1:264">
      <c r="A45" s="26">
        <f t="shared" ca="1" si="0"/>
        <v>12</v>
      </c>
      <c r="C45" s="33">
        <f t="shared" si="1"/>
        <v>0</v>
      </c>
      <c r="D45" s="123">
        <f t="shared" si="31"/>
        <v>0</v>
      </c>
      <c r="E45" s="123">
        <f t="shared" si="147"/>
        <v>0</v>
      </c>
      <c r="F45" s="123">
        <f t="shared" si="149"/>
        <v>0</v>
      </c>
      <c r="G45" s="123">
        <f>IF(L44&lt;0.01,0,IF(Adm!$S$4=Adm!$S$8,L44*$L$15,L44*Adm!$V$4))</f>
        <v>0</v>
      </c>
      <c r="H45" s="123">
        <f>IF(L44&lt;0.01,0,IF(Adm!$S$5=Adm!$S$8,Adm!$AA$11*$L$16/1.16,IF(Adm!$B$4=Adm!$A$119,0,Adm!$AA$11*Adm!$X$4/1.16)))</f>
        <v>0</v>
      </c>
      <c r="I45" s="123">
        <f>IF(L44&lt;0.01,0,Cal!$AB$126/1.16)</f>
        <v>0</v>
      </c>
      <c r="J45" s="123">
        <f t="shared" si="2"/>
        <v>0</v>
      </c>
      <c r="K45" s="123">
        <f>IF(Adm!$G$4="si",MIN(L44+D45+G45+H45+I45-J45,V45),0)</f>
        <v>0</v>
      </c>
      <c r="L45" s="123">
        <f t="shared" si="32"/>
        <v>0</v>
      </c>
      <c r="M45" s="74"/>
      <c r="N45" s="74"/>
      <c r="O45" s="407">
        <f t="shared" si="33"/>
        <v>0</v>
      </c>
      <c r="R45" s="90">
        <f t="shared" si="34"/>
        <v>9</v>
      </c>
      <c r="S45" s="121">
        <f>IF(R45=1,Cal!$AB$127,0)</f>
        <v>0</v>
      </c>
      <c r="U45" s="70">
        <f t="shared" si="105"/>
        <v>0</v>
      </c>
      <c r="V45" s="2178">
        <f t="shared" ca="1" si="35"/>
        <v>0</v>
      </c>
      <c r="X45" s="398"/>
      <c r="Z45" s="268">
        <f t="shared" si="3"/>
        <v>0</v>
      </c>
      <c r="AA45" s="2176">
        <f t="shared" si="36"/>
        <v>0</v>
      </c>
      <c r="AB45" s="33">
        <f t="shared" si="37"/>
        <v>0</v>
      </c>
      <c r="AC45" s="33">
        <f t="shared" si="38"/>
        <v>0</v>
      </c>
      <c r="AD45" s="33">
        <f>IF(AI44&lt;0.01,0,IF(Adm!$S$4=Adm!$S$8,AI44*$AI$15,AI44*Adm!$V$4))</f>
        <v>0</v>
      </c>
      <c r="AE45" s="33"/>
      <c r="AF45" s="33"/>
      <c r="AG45" s="33">
        <f t="shared" si="4"/>
        <v>0</v>
      </c>
      <c r="AH45" s="33"/>
      <c r="AI45" s="401">
        <f t="shared" si="5"/>
        <v>0</v>
      </c>
      <c r="AK45" s="410">
        <f t="shared" si="6"/>
        <v>0</v>
      </c>
      <c r="AN45" s="90">
        <f t="shared" si="39"/>
        <v>9</v>
      </c>
      <c r="AO45" s="121">
        <f>IF(AN45=1,Cal!$AC$127,0)</f>
        <v>0</v>
      </c>
      <c r="AS45" s="200"/>
      <c r="AU45" s="268">
        <f t="shared" si="7"/>
        <v>0</v>
      </c>
      <c r="AV45" s="2177">
        <f t="shared" si="40"/>
        <v>0</v>
      </c>
      <c r="AW45" s="123">
        <f t="shared" si="8"/>
        <v>0</v>
      </c>
      <c r="AX45" s="123">
        <f t="shared" si="41"/>
        <v>0</v>
      </c>
      <c r="AY45" s="123">
        <f>IF(BC44&lt;0.01,0,IF(Adm!$S$4=Adm!$S$8,BC44*$BC$16,BC44*Adm!$V$4))</f>
        <v>0</v>
      </c>
      <c r="AZ45" s="123"/>
      <c r="BA45" s="123">
        <f>IF(BC44&lt;0.01,0,Adm!$Q$6)</f>
        <v>0</v>
      </c>
      <c r="BB45" s="123">
        <f t="shared" si="42"/>
        <v>0</v>
      </c>
      <c r="BC45" s="297">
        <f t="shared" si="43"/>
        <v>0</v>
      </c>
      <c r="BE45" s="425">
        <f t="shared" si="9"/>
        <v>0</v>
      </c>
      <c r="BH45" s="90">
        <f t="shared" si="44"/>
        <v>9</v>
      </c>
      <c r="BI45" s="121">
        <f>IF(BH45=1,Cal!$AD$127,0)</f>
        <v>0</v>
      </c>
      <c r="BM45" s="221"/>
      <c r="BO45" s="295">
        <f t="shared" ca="1" si="10"/>
        <v>12</v>
      </c>
      <c r="BP45" s="268">
        <f t="shared" si="11"/>
        <v>0</v>
      </c>
      <c r="BQ45" s="123">
        <f t="shared" si="45"/>
        <v>0</v>
      </c>
      <c r="BR45" s="123">
        <f t="shared" si="148"/>
        <v>0</v>
      </c>
      <c r="BS45" s="123">
        <f t="shared" si="150"/>
        <v>0</v>
      </c>
      <c r="BT45" s="123">
        <f>IF(BZ44&lt;0.01,0,IF(Plus!$F$22=Plus!$AN$4,BZ44*$BZ$15,IF(Plus!$F$22=Plus!$AN$3,BZ44*Plus!$F$23/1000,BZ44*VLOOKUP(Plus!$G$21,Plus!$AP$2:'Plus'!$AQ$5,2,0))))</f>
        <v>0</v>
      </c>
      <c r="BU45" s="123">
        <f>IF(BZ44&lt;0.01,0,IF(Plus!$F$24=Plus!$AO$3,Plus!$G$13*Plus!$AR$2/1.16,IF(Plus!$F$10=Plus!$AK$7,0,Plus!$G$13*Plus!$AR$2/1.16)))</f>
        <v>0</v>
      </c>
      <c r="BV45" s="123">
        <f>IF(BZ44&lt;0.01,0,Plus!$BD$2)</f>
        <v>0</v>
      </c>
      <c r="BW45" s="123"/>
      <c r="BX45" s="123">
        <f t="shared" si="12"/>
        <v>0</v>
      </c>
      <c r="BY45" s="123">
        <f>IF(Plus!$F$10=Plus!$AK$3,MIN(BZ44+BQ45+BT45+BU45+BV45-BX45,CJ45),0)</f>
        <v>0</v>
      </c>
      <c r="BZ45" s="297">
        <f t="shared" si="144"/>
        <v>0</v>
      </c>
      <c r="CA45" s="74"/>
      <c r="CB45" s="74"/>
      <c r="CC45" s="413">
        <f t="shared" si="47"/>
        <v>0</v>
      </c>
      <c r="CF45" s="90">
        <f t="shared" si="48"/>
        <v>9</v>
      </c>
      <c r="CG45" s="121">
        <f t="shared" si="106"/>
        <v>0</v>
      </c>
      <c r="CI45" s="70">
        <f t="shared" si="107"/>
        <v>0</v>
      </c>
      <c r="CJ45" s="2178">
        <f t="shared" ca="1" si="49"/>
        <v>0</v>
      </c>
      <c r="CL45" s="161"/>
      <c r="CN45" s="308">
        <f t="shared" ca="1" si="13"/>
        <v>12</v>
      </c>
      <c r="CO45" s="309">
        <f t="shared" si="50"/>
        <v>0</v>
      </c>
      <c r="CP45" s="268">
        <f t="shared" si="14"/>
        <v>0</v>
      </c>
      <c r="CQ45" s="123">
        <f t="shared" si="51"/>
        <v>0</v>
      </c>
      <c r="CR45" s="123">
        <f t="shared" si="137"/>
        <v>0</v>
      </c>
      <c r="CS45" s="123">
        <f t="shared" si="138"/>
        <v>0</v>
      </c>
      <c r="CT45" s="33">
        <f>IF(CZ44&lt;0.01,0,IF(Plus!$F$22=Plus!$AN$4,0,IF(Plus!$F$22=Plus!$AN$3,CZ44*Plus!$F$23/1000,CZ44*VLOOKUP(Plus!$G$21,Plus!$AP$2:'Plus'!$AQ$5,2,0))))</f>
        <v>0</v>
      </c>
      <c r="CU45" s="123">
        <f>IF(CZ44&lt;0.01,0,IF(Plus!$F$24=Plus!$AO$3,0,IF(OR(Plus!$F$10=Plus!$AK$7,Plus!$F$10=Plus!$AK$13),0,Plus!$G$13*Plus!$AR$2)))</f>
        <v>0</v>
      </c>
      <c r="CV45" s="123">
        <f>IF(CZ44&lt;0.01,0,IF(OR(Plus!$F$10=Plus!$AK$7,Plus!$F$10=Plus!$AK$13),0,Plus!$BD$2*1.16))</f>
        <v>0</v>
      </c>
      <c r="CW45" s="123">
        <f>IF(CZ44&lt;0.01,0,IF(Plus!$AS$2&gt;0,CQ45*Plus!$AS$3,0))</f>
        <v>0</v>
      </c>
      <c r="CX45" s="123">
        <f t="shared" si="52"/>
        <v>0</v>
      </c>
      <c r="CY45" s="123">
        <f>IF(Plus!$F$10=Plus!$AK$3,MIN(CZ44+CQ45+CT45+CU45+CV45-CX45,DK45),0)</f>
        <v>0</v>
      </c>
      <c r="CZ45" s="297">
        <f t="shared" si="146"/>
        <v>0</v>
      </c>
      <c r="DA45" s="306">
        <f>Plus!O86</f>
        <v>0</v>
      </c>
      <c r="DB45" s="74"/>
      <c r="DC45" s="74"/>
      <c r="DD45" s="407">
        <f t="shared" si="54"/>
        <v>0</v>
      </c>
      <c r="DG45" s="90">
        <f t="shared" si="55"/>
        <v>9</v>
      </c>
      <c r="DH45" s="121">
        <f t="shared" si="108"/>
        <v>0</v>
      </c>
      <c r="DJ45" s="149">
        <f t="shared" si="109"/>
        <v>0</v>
      </c>
      <c r="DK45" s="2179">
        <f t="shared" ca="1" si="56"/>
        <v>0</v>
      </c>
      <c r="DN45" s="120">
        <f t="shared" si="110"/>
        <v>0</v>
      </c>
      <c r="DO45" s="110">
        <f t="shared" si="57"/>
        <v>0</v>
      </c>
      <c r="DP45" s="110">
        <f t="shared" si="124"/>
        <v>0</v>
      </c>
      <c r="DQ45" s="109">
        <f t="shared" si="58"/>
        <v>0</v>
      </c>
      <c r="DR45" s="109">
        <f t="shared" si="59"/>
        <v>0</v>
      </c>
      <c r="DS45" s="113">
        <f t="shared" si="60"/>
        <v>0</v>
      </c>
      <c r="DU45" s="102">
        <f t="shared" si="61"/>
        <v>0</v>
      </c>
      <c r="DV45" s="211">
        <f t="shared" si="125"/>
        <v>21</v>
      </c>
      <c r="DW45" s="212">
        <f t="shared" si="62"/>
        <v>0</v>
      </c>
      <c r="DX45" s="212">
        <f t="shared" si="15"/>
        <v>0</v>
      </c>
      <c r="DY45" s="212">
        <f t="shared" si="111"/>
        <v>0</v>
      </c>
      <c r="DZ45" s="213">
        <f t="shared" si="16"/>
        <v>1000000</v>
      </c>
      <c r="ED45" s="182"/>
      <c r="EF45" s="308">
        <f t="shared" ca="1" si="17"/>
        <v>12</v>
      </c>
      <c r="EG45" s="309">
        <f t="shared" si="63"/>
        <v>0</v>
      </c>
      <c r="EH45" s="268">
        <f t="shared" si="18"/>
        <v>0</v>
      </c>
      <c r="EI45" s="33">
        <f t="shared" si="64"/>
        <v>0</v>
      </c>
      <c r="EJ45" s="33">
        <f t="shared" si="139"/>
        <v>0</v>
      </c>
      <c r="EK45" s="33">
        <f t="shared" si="151"/>
        <v>0</v>
      </c>
      <c r="EL45" s="33">
        <f>IF(ER44&lt;0.01,0,IF(Plus!$F$22=Plus!$AN$4,0,IF(Plus!$F$22=Plus!$AN$3,ER44*Plus!$F$23/1000,ER44*VLOOKUP(Plus!$G$21,Plus!$AP$2:'Plus'!$AQ$5,2,0))))</f>
        <v>0</v>
      </c>
      <c r="EM45" s="33">
        <f>IF(ER44&lt;0.01,0,IF(Plus!$F$24=Plus!$AO$3,0,IF(OR(Plus!$F$10=Plus!$AK$7,Plus!$F$10=Plus!$AK$13),0,Plus!$G$13*Plus!$AR$2)))</f>
        <v>0</v>
      </c>
      <c r="EN45" s="33">
        <f>IF(ER44&lt;0.01,0,IF(OR(Plus!$F$10=Plus!$AK$7,Plus!$F$10=Plus!$AK$13),0,Plus!$BD$2*1.16))</f>
        <v>0</v>
      </c>
      <c r="EO45" s="33">
        <f>IF(ER44&lt;0.01,0,IF(Plus!$AS$2&gt;0,EI45*Plus!$AS$3,0))</f>
        <v>0</v>
      </c>
      <c r="EP45" s="33">
        <f t="shared" si="65"/>
        <v>0</v>
      </c>
      <c r="EQ45" s="33">
        <f>IF(Plus!$F$10=Plus!$AK$3,MIN(ER44+EI45+EL45+EM45+EN45-EP45,FC45),0)</f>
        <v>0</v>
      </c>
      <c r="ER45" s="311">
        <f t="shared" si="145"/>
        <v>0</v>
      </c>
      <c r="ES45" s="340">
        <f>Plus!O86</f>
        <v>0</v>
      </c>
      <c r="ET45" s="74"/>
      <c r="EU45" s="74"/>
      <c r="EV45" s="416">
        <f t="shared" si="134"/>
        <v>0</v>
      </c>
      <c r="EY45" s="90">
        <f t="shared" si="68"/>
        <v>9</v>
      </c>
      <c r="EZ45" s="121">
        <f t="shared" si="112"/>
        <v>0</v>
      </c>
      <c r="FB45" s="149">
        <f t="shared" si="113"/>
        <v>0</v>
      </c>
      <c r="FC45" s="2179">
        <f t="shared" ca="1" si="69"/>
        <v>0</v>
      </c>
      <c r="FE45" s="120">
        <f t="shared" si="114"/>
        <v>0</v>
      </c>
      <c r="FF45" s="110">
        <f t="shared" si="70"/>
        <v>0</v>
      </c>
      <c r="FG45" s="110">
        <f t="shared" si="71"/>
        <v>0</v>
      </c>
      <c r="FH45" s="109">
        <f t="shared" si="72"/>
        <v>0</v>
      </c>
      <c r="FI45" s="109">
        <f t="shared" si="19"/>
        <v>0</v>
      </c>
      <c r="FJ45" s="113">
        <f t="shared" si="73"/>
        <v>0</v>
      </c>
      <c r="FL45" s="102">
        <f t="shared" si="74"/>
        <v>0</v>
      </c>
      <c r="FM45" s="211">
        <f t="shared" si="127"/>
        <v>21</v>
      </c>
      <c r="FN45" s="212">
        <f t="shared" si="75"/>
        <v>0</v>
      </c>
      <c r="FO45" s="212">
        <f t="shared" si="20"/>
        <v>0</v>
      </c>
      <c r="FP45" s="212">
        <f t="shared" si="140"/>
        <v>0</v>
      </c>
      <c r="FQ45" s="213">
        <f t="shared" si="21"/>
        <v>1000000</v>
      </c>
      <c r="FV45" s="359"/>
      <c r="FX45" s="308">
        <f t="shared" ca="1" si="22"/>
        <v>12</v>
      </c>
      <c r="FY45" s="309">
        <f t="shared" si="76"/>
        <v>0</v>
      </c>
      <c r="FZ45" s="268">
        <f t="shared" si="23"/>
        <v>0</v>
      </c>
      <c r="GA45" s="33">
        <f t="shared" si="77"/>
        <v>0</v>
      </c>
      <c r="GB45" s="33">
        <f t="shared" si="141"/>
        <v>0</v>
      </c>
      <c r="GC45" s="33">
        <f t="shared" si="142"/>
        <v>0</v>
      </c>
      <c r="GD45" s="33">
        <f>IF(GJ44&lt;0.01,0,IF(Plus!$F$22=Plus!$AN$4,0,IF(Plus!$F$22=Plus!$AN$3,GJ44*Plus!$F$23/1000,GJ44*VLOOKUP(Plus!$G$21,Plus!$AP$2:$AQ$5,2,0))))</f>
        <v>0</v>
      </c>
      <c r="GE45" s="33">
        <f>IF(GJ44&lt;0.01,0,IF(Plus!$F$24=Plus!$AO$3,0,IF(OR(Plus!$F$10=Plus!$AK$7,Plus!$F$10=Plus!$AK$13,Plus!$F$10=Plus!$AK$14),0,IF(OR(Plus!$F$10=Plus!$AK$10,Plus!$F$10=Plus!$AK$11),Plus!$G$13*Adm!$W$7,Plus!$G$13*Adm!$X$4))))</f>
        <v>0</v>
      </c>
      <c r="GF45" s="33">
        <f>IF(GJ44&lt;0.01,0,IF(OR(Plus!$F$10=Plus!$AK$7,Plus!$F$10=Plus!$AK$13),0,Plus!$BD$2*1.16))</f>
        <v>0</v>
      </c>
      <c r="GG45" s="33">
        <f>IF(GJ44&lt;0.01,0,IF(Plus!$AS$2&gt;0,GA45*Plus!$AS$3,0))</f>
        <v>0</v>
      </c>
      <c r="GH45" s="33">
        <f t="shared" si="78"/>
        <v>0</v>
      </c>
      <c r="GI45" s="33">
        <f>IF(Plus!$F$10=Plus!$AK$3,MIN(GJ44+GA45+GD45+GE45+GF45-GH45,GU45),0)</f>
        <v>0</v>
      </c>
      <c r="GJ45" s="311">
        <f t="shared" si="136"/>
        <v>0</v>
      </c>
      <c r="GK45" s="340">
        <f>Plus!O86</f>
        <v>0</v>
      </c>
      <c r="GL45" s="74"/>
      <c r="GM45" s="74"/>
      <c r="GN45" s="419">
        <f t="shared" si="135"/>
        <v>0</v>
      </c>
      <c r="GQ45" s="90">
        <f t="shared" si="80"/>
        <v>9</v>
      </c>
      <c r="GR45" s="121">
        <f t="shared" si="116"/>
        <v>0</v>
      </c>
      <c r="GT45" s="149">
        <f t="shared" si="117"/>
        <v>0</v>
      </c>
      <c r="GU45" s="2179">
        <f t="shared" ca="1" si="81"/>
        <v>0</v>
      </c>
      <c r="GW45" s="120">
        <f t="shared" si="118"/>
        <v>0</v>
      </c>
      <c r="GX45" s="110">
        <f t="shared" si="82"/>
        <v>0</v>
      </c>
      <c r="GY45" s="110">
        <f t="shared" si="83"/>
        <v>0</v>
      </c>
      <c r="GZ45" s="109">
        <f t="shared" si="84"/>
        <v>0</v>
      </c>
      <c r="HA45" s="109">
        <f t="shared" si="24"/>
        <v>0</v>
      </c>
      <c r="HB45" s="113">
        <f t="shared" si="85"/>
        <v>0</v>
      </c>
      <c r="HD45" s="102">
        <f t="shared" si="86"/>
        <v>0</v>
      </c>
      <c r="HE45" s="211">
        <f t="shared" si="129"/>
        <v>21</v>
      </c>
      <c r="HF45" s="212">
        <f t="shared" si="87"/>
        <v>0</v>
      </c>
      <c r="HG45" s="212">
        <f t="shared" si="25"/>
        <v>0</v>
      </c>
      <c r="HH45" s="212">
        <f t="shared" si="143"/>
        <v>0</v>
      </c>
      <c r="HI45" s="213">
        <f t="shared" si="26"/>
        <v>1000000</v>
      </c>
      <c r="HL45" s="182"/>
      <c r="HM45" s="26">
        <f t="shared" ca="1" si="27"/>
        <v>12</v>
      </c>
      <c r="HO45" s="268">
        <f t="shared" si="28"/>
        <v>0</v>
      </c>
      <c r="HP45" s="421">
        <f t="shared" si="120"/>
        <v>0</v>
      </c>
      <c r="HQ45" s="123">
        <f t="shared" si="88"/>
        <v>0</v>
      </c>
      <c r="HR45" s="123">
        <f t="shared" si="89"/>
        <v>0</v>
      </c>
      <c r="HS45" s="123">
        <f t="shared" si="90"/>
        <v>0</v>
      </c>
      <c r="HT45" s="123">
        <f>IF(HY44&lt;0.01,0,IF(Adm!$GS$4=Adm!$GS$8,HY44*$HY$15,IF(Adm!$GS$12=Adm!$GS$13,0,HY44*Adm!$GV$4)))</f>
        <v>0</v>
      </c>
      <c r="HU45" s="123">
        <f>IF(HY44&lt;0.01,0,IF(Adm!$GS$5=Adm!$GS$8,Cal!$BO$108*$HY$16/1.16,IF(Adm!$GS$12=Adm!$GS$13,0,Cal!$BO$108*Adm!$GW$4/1.16)))</f>
        <v>0</v>
      </c>
      <c r="HV45" s="123">
        <f t="shared" si="91"/>
        <v>0</v>
      </c>
      <c r="HW45" s="123">
        <f t="shared" si="92"/>
        <v>0</v>
      </c>
      <c r="HX45" s="123">
        <f>IF(Adm!$GH$6="si",MIN(HY44+HQ45+HT45+HU45+HV45-HW45,IH45),0)</f>
        <v>0</v>
      </c>
      <c r="HY45" s="297">
        <f t="shared" si="93"/>
        <v>0</v>
      </c>
      <c r="HZ45" s="74"/>
      <c r="IA45" s="407">
        <f t="shared" si="94"/>
        <v>0</v>
      </c>
      <c r="IC45" s="90">
        <f t="shared" si="95"/>
        <v>9</v>
      </c>
      <c r="ID45" s="124">
        <f>IF(IC45=1,Cal!$BO$127,0)</f>
        <v>0</v>
      </c>
      <c r="IE45" s="73"/>
      <c r="IG45" s="70">
        <f t="shared" si="121"/>
        <v>0</v>
      </c>
      <c r="IH45" s="2178">
        <f t="shared" ca="1" si="96"/>
        <v>0</v>
      </c>
      <c r="IK45" s="217"/>
      <c r="IL45" s="26">
        <f t="shared" ca="1" si="29"/>
        <v>12</v>
      </c>
      <c r="IN45" s="268">
        <f t="shared" si="30"/>
        <v>0</v>
      </c>
      <c r="IO45" s="421">
        <f t="shared" si="122"/>
        <v>0</v>
      </c>
      <c r="IP45" s="123">
        <f t="shared" si="97"/>
        <v>0</v>
      </c>
      <c r="IQ45" s="123">
        <f t="shared" si="98"/>
        <v>0</v>
      </c>
      <c r="IR45" s="123">
        <f t="shared" si="99"/>
        <v>0</v>
      </c>
      <c r="IS45" s="123">
        <f>IF(IX44&lt;0.01,0,IF(Adm!$GS$4=Adm!$GS$8,IX44*$IX$15,IF(Adm!$GS$12=Adm!$GS$13,0,IX44*Adm!$GV$4)))</f>
        <v>0</v>
      </c>
      <c r="IT45" s="123"/>
      <c r="IU45" s="123">
        <f t="shared" si="100"/>
        <v>0</v>
      </c>
      <c r="IV45" s="123">
        <f t="shared" si="101"/>
        <v>0</v>
      </c>
      <c r="IW45" s="123"/>
      <c r="IX45" s="297">
        <f t="shared" si="102"/>
        <v>0</v>
      </c>
      <c r="IY45" s="74"/>
      <c r="IZ45" s="416">
        <f t="shared" si="103"/>
        <v>0</v>
      </c>
      <c r="JB45" s="90">
        <f t="shared" si="104"/>
        <v>9</v>
      </c>
      <c r="JC45" s="124">
        <f>IF(JB45=1,Cal!$BP$127,0)</f>
        <v>0</v>
      </c>
      <c r="JD45" s="73"/>
    </row>
    <row r="46" spans="1:264">
      <c r="A46" s="26">
        <f t="shared" ca="1" si="0"/>
        <v>1</v>
      </c>
      <c r="C46" s="33">
        <f t="shared" si="1"/>
        <v>0</v>
      </c>
      <c r="D46" s="123">
        <f t="shared" si="31"/>
        <v>0</v>
      </c>
      <c r="E46" s="123">
        <f t="shared" si="147"/>
        <v>0</v>
      </c>
      <c r="F46" s="123">
        <f t="shared" si="149"/>
        <v>0</v>
      </c>
      <c r="G46" s="123">
        <f>IF(L45&lt;0.01,0,IF(Adm!$S$4=Adm!$S$8,L45*$L$15,L45*Adm!$V$4))</f>
        <v>0</v>
      </c>
      <c r="H46" s="123">
        <f>IF(L45&lt;0.01,0,IF(Adm!$S$5=Adm!$S$8,Adm!$AA$11*$L$16/1.16,IF(Adm!$B$4=Adm!$A$119,0,Adm!$AA$11*Adm!$X$4/1.16)))</f>
        <v>0</v>
      </c>
      <c r="I46" s="123">
        <f>IF(L45&lt;0.01,0,Cal!$AB$126/1.16)</f>
        <v>0</v>
      </c>
      <c r="J46" s="123">
        <f t="shared" si="2"/>
        <v>0</v>
      </c>
      <c r="K46" s="123">
        <f>IF(Adm!$G$4="si",MIN(L45+D46+G46+H46+I46-J46,V46),0)</f>
        <v>0</v>
      </c>
      <c r="L46" s="123">
        <f t="shared" si="32"/>
        <v>0</v>
      </c>
      <c r="M46" s="74"/>
      <c r="N46" s="74"/>
      <c r="O46" s="407">
        <f t="shared" si="33"/>
        <v>0</v>
      </c>
      <c r="R46" s="90">
        <f t="shared" si="34"/>
        <v>10</v>
      </c>
      <c r="S46" s="121">
        <f>IF(R46=1,Cal!$AB$127,0)</f>
        <v>0</v>
      </c>
      <c r="U46" s="70">
        <f t="shared" si="105"/>
        <v>0</v>
      </c>
      <c r="V46" s="2178">
        <f t="shared" ca="1" si="35"/>
        <v>0</v>
      </c>
      <c r="X46" s="398"/>
      <c r="Z46" s="268">
        <f t="shared" si="3"/>
        <v>0</v>
      </c>
      <c r="AA46" s="2176">
        <f t="shared" si="36"/>
        <v>0</v>
      </c>
      <c r="AB46" s="33">
        <f t="shared" si="37"/>
        <v>0</v>
      </c>
      <c r="AC46" s="33">
        <f t="shared" si="38"/>
        <v>0</v>
      </c>
      <c r="AD46" s="33">
        <f>IF(AI45&lt;0.01,0,IF(Adm!$S$4=Adm!$S$8,AI45*$AI$15,AI45*Adm!$V$4))</f>
        <v>0</v>
      </c>
      <c r="AE46" s="33"/>
      <c r="AF46" s="33"/>
      <c r="AG46" s="33">
        <f t="shared" si="4"/>
        <v>0</v>
      </c>
      <c r="AH46" s="33"/>
      <c r="AI46" s="401">
        <f t="shared" si="5"/>
        <v>0</v>
      </c>
      <c r="AK46" s="410">
        <f t="shared" si="6"/>
        <v>0</v>
      </c>
      <c r="AN46" s="90">
        <f t="shared" si="39"/>
        <v>10</v>
      </c>
      <c r="AO46" s="121">
        <f>IF(AN46=1,Cal!$AC$127,0)</f>
        <v>0</v>
      </c>
      <c r="AS46" s="200"/>
      <c r="AU46" s="268">
        <f t="shared" si="7"/>
        <v>0</v>
      </c>
      <c r="AV46" s="2177">
        <f t="shared" si="40"/>
        <v>0</v>
      </c>
      <c r="AW46" s="123">
        <f t="shared" si="8"/>
        <v>0</v>
      </c>
      <c r="AX46" s="123">
        <f t="shared" si="41"/>
        <v>0</v>
      </c>
      <c r="AY46" s="123">
        <f>IF(BC45&lt;0.01,0,IF(Adm!$S$4=Adm!$S$8,BC45*$BC$16,BC45*Adm!$V$4))</f>
        <v>0</v>
      </c>
      <c r="AZ46" s="123"/>
      <c r="BA46" s="123">
        <f>IF(BC45&lt;0.01,0,Adm!$Q$6)</f>
        <v>0</v>
      </c>
      <c r="BB46" s="123">
        <f t="shared" si="42"/>
        <v>0</v>
      </c>
      <c r="BC46" s="297">
        <f t="shared" si="43"/>
        <v>0</v>
      </c>
      <c r="BE46" s="425">
        <f t="shared" si="9"/>
        <v>0</v>
      </c>
      <c r="BH46" s="90">
        <f t="shared" si="44"/>
        <v>10</v>
      </c>
      <c r="BI46" s="121">
        <f>IF(BH46=1,Cal!$AD$127,0)</f>
        <v>0</v>
      </c>
      <c r="BM46" s="221"/>
      <c r="BO46" s="295">
        <f t="shared" ca="1" si="10"/>
        <v>1</v>
      </c>
      <c r="BP46" s="268">
        <f t="shared" si="11"/>
        <v>0</v>
      </c>
      <c r="BQ46" s="123">
        <f t="shared" si="45"/>
        <v>0</v>
      </c>
      <c r="BR46" s="123">
        <f t="shared" si="148"/>
        <v>0</v>
      </c>
      <c r="BS46" s="123">
        <f t="shared" si="150"/>
        <v>0</v>
      </c>
      <c r="BT46" s="123">
        <f>IF(BZ45&lt;0.01,0,IF(Plus!$F$22=Plus!$AN$4,BZ45*$BZ$15,IF(Plus!$F$22=Plus!$AN$3,BZ45*Plus!$F$23/1000,BZ45*VLOOKUP(Plus!$G$21,Plus!$AP$2:'Plus'!$AQ$5,2,0))))</f>
        <v>0</v>
      </c>
      <c r="BU46" s="123">
        <f>IF(BZ45&lt;0.01,0,IF(Plus!$F$24=Plus!$AO$3,Plus!$G$13*Plus!$AR$2/1.16,IF(Plus!$F$10=Plus!$AK$7,0,Plus!$G$13*Plus!$AR$2/1.16)))</f>
        <v>0</v>
      </c>
      <c r="BV46" s="123">
        <f>IF(BZ45&lt;0.01,0,Plus!$BD$2)</f>
        <v>0</v>
      </c>
      <c r="BW46" s="123"/>
      <c r="BX46" s="123">
        <f t="shared" si="12"/>
        <v>0</v>
      </c>
      <c r="BY46" s="123">
        <f>IF(Plus!$F$10=Plus!$AK$3,MIN(BZ45+BQ46+BT46+BU46+BV46-BX46,CJ46),0)</f>
        <v>0</v>
      </c>
      <c r="BZ46" s="297">
        <f t="shared" si="144"/>
        <v>0</v>
      </c>
      <c r="CA46" s="74"/>
      <c r="CB46" s="74"/>
      <c r="CC46" s="413">
        <f t="shared" si="47"/>
        <v>0</v>
      </c>
      <c r="CF46" s="90">
        <f t="shared" si="48"/>
        <v>10</v>
      </c>
      <c r="CG46" s="121">
        <f t="shared" si="106"/>
        <v>0</v>
      </c>
      <c r="CI46" s="70">
        <f t="shared" si="107"/>
        <v>0</v>
      </c>
      <c r="CJ46" s="2178">
        <f t="shared" ca="1" si="49"/>
        <v>0</v>
      </c>
      <c r="CL46" s="161"/>
      <c r="CN46" s="308">
        <f t="shared" ca="1" si="13"/>
        <v>1</v>
      </c>
      <c r="CO46" s="309">
        <f t="shared" si="50"/>
        <v>0</v>
      </c>
      <c r="CP46" s="268">
        <f t="shared" si="14"/>
        <v>0</v>
      </c>
      <c r="CQ46" s="123">
        <f t="shared" si="51"/>
        <v>0</v>
      </c>
      <c r="CR46" s="123">
        <f t="shared" si="137"/>
        <v>0</v>
      </c>
      <c r="CS46" s="123">
        <f t="shared" si="138"/>
        <v>0</v>
      </c>
      <c r="CT46" s="33">
        <f>IF(CZ45&lt;0.01,0,IF(Plus!$F$22=Plus!$AN$4,0,IF(Plus!$F$22=Plus!$AN$3,CZ45*Plus!$F$23/1000,CZ45*VLOOKUP(Plus!$G$21,Plus!$AP$2:'Plus'!$AQ$5,2,0))))</f>
        <v>0</v>
      </c>
      <c r="CU46" s="123">
        <f>IF(CZ45&lt;0.01,0,IF(Plus!$F$24=Plus!$AO$3,0,IF(OR(Plus!$F$10=Plus!$AK$7,Plus!$F$10=Plus!$AK$13),0,Plus!$G$13*Plus!$AR$2)))</f>
        <v>0</v>
      </c>
      <c r="CV46" s="123">
        <f>IF(CZ45&lt;0.01,0,IF(OR(Plus!$F$10=Plus!$AK$7,Plus!$F$10=Plus!$AK$13),0,Plus!$BD$2*1.16))</f>
        <v>0</v>
      </c>
      <c r="CW46" s="123">
        <f>IF(CZ45&lt;0.01,0,IF(Plus!$AS$2&gt;0,CQ46*Plus!$AS$3,0))</f>
        <v>0</v>
      </c>
      <c r="CX46" s="123">
        <f t="shared" si="52"/>
        <v>0</v>
      </c>
      <c r="CY46" s="123">
        <f>IF(Plus!$F$10=Plus!$AK$3,MIN(CZ45+CQ46+CT46+CU46+CV46-CX46,DK46),0)</f>
        <v>0</v>
      </c>
      <c r="CZ46" s="297">
        <f t="shared" si="146"/>
        <v>0</v>
      </c>
      <c r="DA46" s="306">
        <f>Plus!O87</f>
        <v>0</v>
      </c>
      <c r="DB46" s="74"/>
      <c r="DC46" s="74"/>
      <c r="DD46" s="407">
        <f t="shared" si="54"/>
        <v>0</v>
      </c>
      <c r="DG46" s="90">
        <f t="shared" si="55"/>
        <v>10</v>
      </c>
      <c r="DH46" s="121">
        <f t="shared" si="108"/>
        <v>0</v>
      </c>
      <c r="DJ46" s="149">
        <f t="shared" si="109"/>
        <v>0</v>
      </c>
      <c r="DK46" s="2179">
        <f t="shared" ca="1" si="56"/>
        <v>0</v>
      </c>
      <c r="DN46" s="120">
        <f t="shared" si="110"/>
        <v>0</v>
      </c>
      <c r="DO46" s="110">
        <f t="shared" si="57"/>
        <v>0</v>
      </c>
      <c r="DP46" s="110">
        <f t="shared" si="124"/>
        <v>0</v>
      </c>
      <c r="DQ46" s="109">
        <f t="shared" si="58"/>
        <v>0</v>
      </c>
      <c r="DR46" s="109">
        <f t="shared" si="59"/>
        <v>0</v>
      </c>
      <c r="DS46" s="113">
        <f t="shared" si="60"/>
        <v>0</v>
      </c>
      <c r="DU46" s="102">
        <f t="shared" si="61"/>
        <v>0</v>
      </c>
      <c r="DV46" s="211">
        <f t="shared" si="125"/>
        <v>22</v>
      </c>
      <c r="DW46" s="212">
        <f t="shared" si="62"/>
        <v>0</v>
      </c>
      <c r="DX46" s="212">
        <f t="shared" si="15"/>
        <v>0</v>
      </c>
      <c r="DY46" s="212">
        <f t="shared" si="111"/>
        <v>0</v>
      </c>
      <c r="DZ46" s="213">
        <f t="shared" si="16"/>
        <v>1000000</v>
      </c>
      <c r="ED46" s="182"/>
      <c r="EF46" s="308">
        <f t="shared" ca="1" si="17"/>
        <v>1</v>
      </c>
      <c r="EG46" s="309">
        <f t="shared" si="63"/>
        <v>0</v>
      </c>
      <c r="EH46" s="268">
        <f t="shared" si="18"/>
        <v>0</v>
      </c>
      <c r="EI46" s="33">
        <f t="shared" si="64"/>
        <v>0</v>
      </c>
      <c r="EJ46" s="33">
        <f t="shared" si="139"/>
        <v>0</v>
      </c>
      <c r="EK46" s="33">
        <f t="shared" si="151"/>
        <v>0</v>
      </c>
      <c r="EL46" s="33">
        <f>IF(ER45&lt;0.01,0,IF(Plus!$F$22=Plus!$AN$4,0,IF(Plus!$F$22=Plus!$AN$3,ER45*Plus!$F$23/1000,ER45*VLOOKUP(Plus!$G$21,Plus!$AP$2:'Plus'!$AQ$5,2,0))))</f>
        <v>0</v>
      </c>
      <c r="EM46" s="33">
        <f>IF(ER45&lt;0.01,0,IF(Plus!$F$24=Plus!$AO$3,0,IF(OR(Plus!$F$10=Plus!$AK$7,Plus!$F$10=Plus!$AK$13),0,Plus!$G$13*Plus!$AR$2)))</f>
        <v>0</v>
      </c>
      <c r="EN46" s="33">
        <f>IF(ER45&lt;0.01,0,IF(OR(Plus!$F$10=Plus!$AK$7,Plus!$F$10=Plus!$AK$13),0,Plus!$BD$2*1.16))</f>
        <v>0</v>
      </c>
      <c r="EO46" s="33">
        <f>IF(ER45&lt;0.01,0,IF(Plus!$AS$2&gt;0,EI46*Plus!$AS$3,0))</f>
        <v>0</v>
      </c>
      <c r="EP46" s="33">
        <f t="shared" si="65"/>
        <v>0</v>
      </c>
      <c r="EQ46" s="33">
        <f>IF(Plus!$F$10=Plus!$AK$3,MIN(ER45+EI46+EL46+EM46+EN46-EP46,FC46),0)</f>
        <v>0</v>
      </c>
      <c r="ER46" s="311">
        <f t="shared" si="145"/>
        <v>0</v>
      </c>
      <c r="ES46" s="340">
        <f>Plus!O87</f>
        <v>0</v>
      </c>
      <c r="ET46" s="74"/>
      <c r="EU46" s="74"/>
      <c r="EV46" s="416">
        <f t="shared" si="134"/>
        <v>0</v>
      </c>
      <c r="EY46" s="90">
        <f t="shared" si="68"/>
        <v>10</v>
      </c>
      <c r="EZ46" s="121">
        <f t="shared" si="112"/>
        <v>0</v>
      </c>
      <c r="FB46" s="149">
        <f t="shared" si="113"/>
        <v>0</v>
      </c>
      <c r="FC46" s="2179">
        <f t="shared" ca="1" si="69"/>
        <v>0</v>
      </c>
      <c r="FE46" s="120">
        <f t="shared" si="114"/>
        <v>0</v>
      </c>
      <c r="FF46" s="110">
        <f t="shared" si="70"/>
        <v>0</v>
      </c>
      <c r="FG46" s="110">
        <f t="shared" si="71"/>
        <v>0</v>
      </c>
      <c r="FH46" s="109">
        <f t="shared" si="72"/>
        <v>0</v>
      </c>
      <c r="FI46" s="109">
        <f t="shared" si="19"/>
        <v>0</v>
      </c>
      <c r="FJ46" s="113">
        <f t="shared" si="73"/>
        <v>0</v>
      </c>
      <c r="FL46" s="102">
        <f t="shared" si="74"/>
        <v>0</v>
      </c>
      <c r="FM46" s="211">
        <f t="shared" si="127"/>
        <v>22</v>
      </c>
      <c r="FN46" s="212">
        <f t="shared" si="75"/>
        <v>0</v>
      </c>
      <c r="FO46" s="212">
        <f t="shared" si="20"/>
        <v>0</v>
      </c>
      <c r="FP46" s="212">
        <f t="shared" si="140"/>
        <v>0</v>
      </c>
      <c r="FQ46" s="213">
        <f t="shared" si="21"/>
        <v>1000000</v>
      </c>
      <c r="FV46" s="359"/>
      <c r="FX46" s="308">
        <f t="shared" ca="1" si="22"/>
        <v>1</v>
      </c>
      <c r="FY46" s="309">
        <f t="shared" si="76"/>
        <v>0</v>
      </c>
      <c r="FZ46" s="268">
        <f t="shared" si="23"/>
        <v>0</v>
      </c>
      <c r="GA46" s="33">
        <f t="shared" si="77"/>
        <v>0</v>
      </c>
      <c r="GB46" s="33">
        <f t="shared" si="141"/>
        <v>0</v>
      </c>
      <c r="GC46" s="33">
        <f t="shared" si="142"/>
        <v>0</v>
      </c>
      <c r="GD46" s="33">
        <f>IF(GJ45&lt;0.01,0,IF(Plus!$F$22=Plus!$AN$4,0,IF(Plus!$F$22=Plus!$AN$3,GJ45*Plus!$F$23/1000,GJ45*VLOOKUP(Plus!$G$21,Plus!$AP$2:$AQ$5,2,0))))</f>
        <v>0</v>
      </c>
      <c r="GE46" s="33">
        <f>IF(GJ45&lt;0.01,0,IF(Plus!$F$24=Plus!$AO$3,0,IF(OR(Plus!$F$10=Plus!$AK$7,Plus!$F$10=Plus!$AK$13,Plus!$F$10=Plus!$AK$14),0,IF(OR(Plus!$F$10=Plus!$AK$10,Plus!$F$10=Plus!$AK$11),Plus!$G$13*Adm!$W$7,Plus!$G$13*Adm!$X$4))))</f>
        <v>0</v>
      </c>
      <c r="GF46" s="33">
        <f>IF(GJ45&lt;0.01,0,IF(OR(Plus!$F$10=Plus!$AK$7,Plus!$F$10=Plus!$AK$13),0,Plus!$BD$2*1.16))</f>
        <v>0</v>
      </c>
      <c r="GG46" s="33">
        <f>IF(GJ45&lt;0.01,0,IF(Plus!$AS$2&gt;0,GA46*Plus!$AS$3,0))</f>
        <v>0</v>
      </c>
      <c r="GH46" s="33">
        <f t="shared" si="78"/>
        <v>0</v>
      </c>
      <c r="GI46" s="33">
        <f>IF(Plus!$F$10=Plus!$AK$3,MIN(GJ45+GA46+GD46+GE46+GF46-GH46,GU46),0)</f>
        <v>0</v>
      </c>
      <c r="GJ46" s="311">
        <f t="shared" si="136"/>
        <v>0</v>
      </c>
      <c r="GK46" s="340">
        <f>Plus!O87</f>
        <v>0</v>
      </c>
      <c r="GL46" s="74"/>
      <c r="GM46" s="74"/>
      <c r="GN46" s="419">
        <f t="shared" si="135"/>
        <v>0</v>
      </c>
      <c r="GQ46" s="90">
        <f t="shared" si="80"/>
        <v>10</v>
      </c>
      <c r="GR46" s="121">
        <f t="shared" si="116"/>
        <v>0</v>
      </c>
      <c r="GT46" s="149">
        <f t="shared" si="117"/>
        <v>0</v>
      </c>
      <c r="GU46" s="2179">
        <f t="shared" ca="1" si="81"/>
        <v>0</v>
      </c>
      <c r="GW46" s="120">
        <f t="shared" si="118"/>
        <v>0</v>
      </c>
      <c r="GX46" s="110">
        <f t="shared" si="82"/>
        <v>0</v>
      </c>
      <c r="GY46" s="110">
        <f t="shared" si="83"/>
        <v>0</v>
      </c>
      <c r="GZ46" s="109">
        <f t="shared" si="84"/>
        <v>0</v>
      </c>
      <c r="HA46" s="109">
        <f t="shared" si="24"/>
        <v>0</v>
      </c>
      <c r="HB46" s="113">
        <f t="shared" si="85"/>
        <v>0</v>
      </c>
      <c r="HD46" s="102">
        <f t="shared" si="86"/>
        <v>0</v>
      </c>
      <c r="HE46" s="211">
        <f t="shared" si="129"/>
        <v>22</v>
      </c>
      <c r="HF46" s="212">
        <f t="shared" si="87"/>
        <v>0</v>
      </c>
      <c r="HG46" s="212">
        <f t="shared" si="25"/>
        <v>0</v>
      </c>
      <c r="HH46" s="212">
        <f t="shared" si="143"/>
        <v>0</v>
      </c>
      <c r="HI46" s="213">
        <f t="shared" si="26"/>
        <v>1000000</v>
      </c>
      <c r="HL46" s="182"/>
      <c r="HM46" s="26">
        <f t="shared" ca="1" si="27"/>
        <v>1</v>
      </c>
      <c r="HO46" s="268">
        <f t="shared" si="28"/>
        <v>0</v>
      </c>
      <c r="HP46" s="421">
        <f t="shared" si="120"/>
        <v>0</v>
      </c>
      <c r="HQ46" s="123">
        <f t="shared" si="88"/>
        <v>0</v>
      </c>
      <c r="HR46" s="123">
        <f t="shared" si="89"/>
        <v>0</v>
      </c>
      <c r="HS46" s="123">
        <f t="shared" si="90"/>
        <v>0</v>
      </c>
      <c r="HT46" s="123">
        <f>IF(HY45&lt;0.01,0,IF(Adm!$GS$4=Adm!$GS$8,HY45*$HY$15,IF(Adm!$GS$12=Adm!$GS$13,0,HY45*Adm!$GV$4)))</f>
        <v>0</v>
      </c>
      <c r="HU46" s="123">
        <f>IF(HY45&lt;0.01,0,IF(Adm!$GS$5=Adm!$GS$8,Cal!$BO$108*$HY$16/1.16,IF(Adm!$GS$12=Adm!$GS$13,0,Cal!$BO$108*Adm!$GW$4/1.16)))</f>
        <v>0</v>
      </c>
      <c r="HV46" s="123">
        <f t="shared" si="91"/>
        <v>0</v>
      </c>
      <c r="HW46" s="123">
        <f t="shared" si="92"/>
        <v>0</v>
      </c>
      <c r="HX46" s="123">
        <f>IF(Adm!$GH$6="si",MIN(HY45+HQ46+HT46+HU46+HV46-HW46,IH46),0)</f>
        <v>0</v>
      </c>
      <c r="HY46" s="297">
        <f t="shared" si="93"/>
        <v>0</v>
      </c>
      <c r="HZ46" s="74"/>
      <c r="IA46" s="407">
        <f t="shared" si="94"/>
        <v>0</v>
      </c>
      <c r="IC46" s="90">
        <f t="shared" si="95"/>
        <v>10</v>
      </c>
      <c r="ID46" s="124">
        <f>IF(IC46=1,Cal!$BO$127,0)</f>
        <v>0</v>
      </c>
      <c r="IE46" s="73"/>
      <c r="IG46" s="70">
        <f t="shared" si="121"/>
        <v>0</v>
      </c>
      <c r="IH46" s="2178">
        <f t="shared" ca="1" si="96"/>
        <v>0</v>
      </c>
      <c r="IK46" s="217"/>
      <c r="IL46" s="26">
        <f t="shared" ca="1" si="29"/>
        <v>1</v>
      </c>
      <c r="IN46" s="268">
        <f t="shared" si="30"/>
        <v>0</v>
      </c>
      <c r="IO46" s="421">
        <f t="shared" si="122"/>
        <v>0</v>
      </c>
      <c r="IP46" s="123">
        <f t="shared" si="97"/>
        <v>0</v>
      </c>
      <c r="IQ46" s="123">
        <f t="shared" si="98"/>
        <v>0</v>
      </c>
      <c r="IR46" s="123">
        <f t="shared" si="99"/>
        <v>0</v>
      </c>
      <c r="IS46" s="123">
        <f>IF(IX45&lt;0.01,0,IF(Adm!$GS$4=Adm!$GS$8,IX45*$IX$15,IF(Adm!$GS$12=Adm!$GS$13,0,IX45*Adm!$GV$4)))</f>
        <v>0</v>
      </c>
      <c r="IT46" s="123"/>
      <c r="IU46" s="123">
        <f t="shared" si="100"/>
        <v>0</v>
      </c>
      <c r="IV46" s="123">
        <f t="shared" si="101"/>
        <v>0</v>
      </c>
      <c r="IW46" s="123"/>
      <c r="IX46" s="297">
        <f t="shared" si="102"/>
        <v>0</v>
      </c>
      <c r="IY46" s="74"/>
      <c r="IZ46" s="416">
        <f t="shared" si="103"/>
        <v>0</v>
      </c>
      <c r="JB46" s="90">
        <f t="shared" si="104"/>
        <v>10</v>
      </c>
      <c r="JC46" s="124">
        <f>IF(JB46=1,Cal!$BP$127,0)</f>
        <v>0</v>
      </c>
      <c r="JD46" s="73"/>
    </row>
    <row r="47" spans="1:264">
      <c r="A47" s="26">
        <f t="shared" ca="1" si="0"/>
        <v>2</v>
      </c>
      <c r="C47" s="33">
        <f t="shared" si="1"/>
        <v>0</v>
      </c>
      <c r="D47" s="123">
        <f t="shared" si="31"/>
        <v>0</v>
      </c>
      <c r="E47" s="123">
        <f t="shared" si="147"/>
        <v>0</v>
      </c>
      <c r="F47" s="123">
        <f t="shared" si="149"/>
        <v>0</v>
      </c>
      <c r="G47" s="123">
        <f>IF(L46&lt;0.01,0,IF(Adm!$S$4=Adm!$S$8,L46*$L$15,L46*Adm!$V$4))</f>
        <v>0</v>
      </c>
      <c r="H47" s="123">
        <f>IF(L46&lt;0.01,0,IF(Adm!$S$5=Adm!$S$8,Adm!$AA$11*$L$16/1.16,IF(Adm!$B$4=Adm!$A$119,0,Adm!$AA$11*Adm!$X$4/1.16)))</f>
        <v>0</v>
      </c>
      <c r="I47" s="123">
        <f>IF(L46&lt;0.01,0,Cal!$AB$126/1.16)</f>
        <v>0</v>
      </c>
      <c r="J47" s="123">
        <f t="shared" si="2"/>
        <v>0</v>
      </c>
      <c r="K47" s="123">
        <f>IF(Adm!$G$4="si",MIN(L46+D47+G47+H47+I47-J47,V47),0)</f>
        <v>0</v>
      </c>
      <c r="L47" s="123">
        <f t="shared" si="32"/>
        <v>0</v>
      </c>
      <c r="M47" s="74"/>
      <c r="N47" s="74"/>
      <c r="O47" s="407">
        <f t="shared" si="33"/>
        <v>0</v>
      </c>
      <c r="R47" s="90">
        <f t="shared" si="34"/>
        <v>11</v>
      </c>
      <c r="S47" s="121">
        <f>IF(R47=1,Cal!$AB$127,0)</f>
        <v>0</v>
      </c>
      <c r="U47" s="70">
        <f t="shared" si="105"/>
        <v>0</v>
      </c>
      <c r="V47" s="2178">
        <f t="shared" ca="1" si="35"/>
        <v>0</v>
      </c>
      <c r="X47" s="398"/>
      <c r="Z47" s="268">
        <f t="shared" si="3"/>
        <v>0</v>
      </c>
      <c r="AA47" s="2176">
        <f t="shared" si="36"/>
        <v>0</v>
      </c>
      <c r="AB47" s="33">
        <f t="shared" si="37"/>
        <v>0</v>
      </c>
      <c r="AC47" s="33">
        <f t="shared" si="38"/>
        <v>0</v>
      </c>
      <c r="AD47" s="33">
        <f>IF(AI46&lt;0.01,0,IF(Adm!$S$4=Adm!$S$8,AI46*$AI$15,AI46*Adm!$V$4))</f>
        <v>0</v>
      </c>
      <c r="AE47" s="33"/>
      <c r="AF47" s="33"/>
      <c r="AG47" s="33">
        <f t="shared" si="4"/>
        <v>0</v>
      </c>
      <c r="AH47" s="33"/>
      <c r="AI47" s="401">
        <f t="shared" si="5"/>
        <v>0</v>
      </c>
      <c r="AK47" s="410">
        <f t="shared" si="6"/>
        <v>0</v>
      </c>
      <c r="AN47" s="90">
        <f t="shared" si="39"/>
        <v>11</v>
      </c>
      <c r="AO47" s="121">
        <f>IF(AN47=1,Cal!$AC$127,0)</f>
        <v>0</v>
      </c>
      <c r="AS47" s="200"/>
      <c r="AU47" s="268">
        <f t="shared" si="7"/>
        <v>0</v>
      </c>
      <c r="AV47" s="2177">
        <f t="shared" si="40"/>
        <v>0</v>
      </c>
      <c r="AW47" s="123">
        <f t="shared" si="8"/>
        <v>0</v>
      </c>
      <c r="AX47" s="123">
        <f t="shared" si="41"/>
        <v>0</v>
      </c>
      <c r="AY47" s="123">
        <f>IF(BC46&lt;0.01,0,IF(Adm!$S$4=Adm!$S$8,BC46*$BC$16,BC46*Adm!$V$4))</f>
        <v>0</v>
      </c>
      <c r="AZ47" s="123"/>
      <c r="BA47" s="123">
        <f>IF(BC46&lt;0.01,0,Adm!$Q$6)</f>
        <v>0</v>
      </c>
      <c r="BB47" s="123">
        <f t="shared" si="42"/>
        <v>0</v>
      </c>
      <c r="BC47" s="297">
        <f t="shared" si="43"/>
        <v>0</v>
      </c>
      <c r="BE47" s="425">
        <f t="shared" si="9"/>
        <v>0</v>
      </c>
      <c r="BH47" s="90">
        <f t="shared" si="44"/>
        <v>11</v>
      </c>
      <c r="BI47" s="121">
        <f>IF(BH47=1,Cal!$AD$127,0)</f>
        <v>0</v>
      </c>
      <c r="BM47" s="221"/>
      <c r="BO47" s="295">
        <f t="shared" ca="1" si="10"/>
        <v>2</v>
      </c>
      <c r="BP47" s="268">
        <f t="shared" si="11"/>
        <v>0</v>
      </c>
      <c r="BQ47" s="123">
        <f t="shared" si="45"/>
        <v>0</v>
      </c>
      <c r="BR47" s="123">
        <f t="shared" si="148"/>
        <v>0</v>
      </c>
      <c r="BS47" s="123">
        <f t="shared" si="150"/>
        <v>0</v>
      </c>
      <c r="BT47" s="123">
        <f>IF(BZ46&lt;0.01,0,IF(Plus!$F$22=Plus!$AN$4,BZ46*$BZ$15,IF(Plus!$F$22=Plus!$AN$3,BZ46*Plus!$F$23/1000,BZ46*VLOOKUP(Plus!$G$21,Plus!$AP$2:'Plus'!$AQ$5,2,0))))</f>
        <v>0</v>
      </c>
      <c r="BU47" s="123">
        <f>IF(BZ46&lt;0.01,0,IF(Plus!$F$24=Plus!$AO$3,Plus!$G$13*Plus!$AR$2/1.16,IF(Plus!$F$10=Plus!$AK$7,0,Plus!$G$13*Plus!$AR$2/1.16)))</f>
        <v>0</v>
      </c>
      <c r="BV47" s="123">
        <f>IF(BZ46&lt;0.01,0,Plus!$BD$2)</f>
        <v>0</v>
      </c>
      <c r="BW47" s="123"/>
      <c r="BX47" s="123">
        <f t="shared" si="12"/>
        <v>0</v>
      </c>
      <c r="BY47" s="123">
        <f>IF(Plus!$F$10=Plus!$AK$3,MIN(BZ46+BQ47+BT47+BU47+BV47-BX47,CJ47),0)</f>
        <v>0</v>
      </c>
      <c r="BZ47" s="297">
        <f t="shared" si="144"/>
        <v>0</v>
      </c>
      <c r="CA47" s="74"/>
      <c r="CB47" s="74"/>
      <c r="CC47" s="413">
        <f t="shared" si="47"/>
        <v>0</v>
      </c>
      <c r="CF47" s="90">
        <f t="shared" si="48"/>
        <v>11</v>
      </c>
      <c r="CG47" s="121">
        <f t="shared" si="106"/>
        <v>0</v>
      </c>
      <c r="CI47" s="70">
        <f t="shared" si="107"/>
        <v>0</v>
      </c>
      <c r="CJ47" s="2178">
        <f t="shared" ca="1" si="49"/>
        <v>0</v>
      </c>
      <c r="CL47" s="161"/>
      <c r="CN47" s="308">
        <f t="shared" ca="1" si="13"/>
        <v>2</v>
      </c>
      <c r="CO47" s="309">
        <f t="shared" si="50"/>
        <v>0</v>
      </c>
      <c r="CP47" s="268">
        <f t="shared" si="14"/>
        <v>0</v>
      </c>
      <c r="CQ47" s="123">
        <f t="shared" si="51"/>
        <v>0</v>
      </c>
      <c r="CR47" s="123">
        <f t="shared" si="137"/>
        <v>0</v>
      </c>
      <c r="CS47" s="123">
        <f t="shared" si="138"/>
        <v>0</v>
      </c>
      <c r="CT47" s="33">
        <f>IF(CZ46&lt;0.01,0,IF(Plus!$F$22=Plus!$AN$4,0,IF(Plus!$F$22=Plus!$AN$3,CZ46*Plus!$F$23/1000,CZ46*VLOOKUP(Plus!$G$21,Plus!$AP$2:'Plus'!$AQ$5,2,0))))</f>
        <v>0</v>
      </c>
      <c r="CU47" s="123">
        <f>IF(CZ46&lt;0.01,0,IF(Plus!$F$24=Plus!$AO$3,0,IF(OR(Plus!$F$10=Plus!$AK$7,Plus!$F$10=Plus!$AK$13),0,Plus!$G$13*Plus!$AR$2)))</f>
        <v>0</v>
      </c>
      <c r="CV47" s="123">
        <f>IF(CZ46&lt;0.01,0,IF(OR(Plus!$F$10=Plus!$AK$7,Plus!$F$10=Plus!$AK$13),0,Plus!$BD$2*1.16))</f>
        <v>0</v>
      </c>
      <c r="CW47" s="123">
        <f>IF(CZ46&lt;0.01,0,IF(Plus!$AS$2&gt;0,CQ47*Plus!$AS$3,0))</f>
        <v>0</v>
      </c>
      <c r="CX47" s="123">
        <f t="shared" si="52"/>
        <v>0</v>
      </c>
      <c r="CY47" s="123">
        <f>IF(Plus!$F$10=Plus!$AK$3,MIN(CZ46+CQ47+CT47+CU47+CV47-CX47,DK47),0)</f>
        <v>0</v>
      </c>
      <c r="CZ47" s="297">
        <f t="shared" si="146"/>
        <v>0</v>
      </c>
      <c r="DA47" s="306">
        <f>Plus!O88</f>
        <v>0</v>
      </c>
      <c r="DB47" s="74"/>
      <c r="DC47" s="74"/>
      <c r="DD47" s="407">
        <f t="shared" si="54"/>
        <v>0</v>
      </c>
      <c r="DG47" s="90">
        <f t="shared" si="55"/>
        <v>11</v>
      </c>
      <c r="DH47" s="121">
        <f t="shared" si="108"/>
        <v>0</v>
      </c>
      <c r="DJ47" s="149">
        <f t="shared" si="109"/>
        <v>0</v>
      </c>
      <c r="DK47" s="2179">
        <f t="shared" ca="1" si="56"/>
        <v>0</v>
      </c>
      <c r="DN47" s="120">
        <f t="shared" si="110"/>
        <v>0</v>
      </c>
      <c r="DO47" s="110">
        <f t="shared" si="57"/>
        <v>0</v>
      </c>
      <c r="DP47" s="110">
        <f t="shared" si="124"/>
        <v>0</v>
      </c>
      <c r="DQ47" s="109">
        <f t="shared" si="58"/>
        <v>0</v>
      </c>
      <c r="DR47" s="109">
        <f t="shared" si="59"/>
        <v>0</v>
      </c>
      <c r="DS47" s="113">
        <f t="shared" si="60"/>
        <v>0</v>
      </c>
      <c r="DU47" s="102">
        <f t="shared" si="61"/>
        <v>0</v>
      </c>
      <c r="DV47" s="211">
        <f t="shared" si="125"/>
        <v>23</v>
      </c>
      <c r="DW47" s="212">
        <f t="shared" si="62"/>
        <v>0</v>
      </c>
      <c r="DX47" s="212">
        <f t="shared" si="15"/>
        <v>0</v>
      </c>
      <c r="DY47" s="212">
        <f t="shared" si="111"/>
        <v>0</v>
      </c>
      <c r="DZ47" s="213">
        <f t="shared" si="16"/>
        <v>1000000</v>
      </c>
      <c r="ED47" s="182"/>
      <c r="EF47" s="308">
        <f t="shared" ca="1" si="17"/>
        <v>2</v>
      </c>
      <c r="EG47" s="309">
        <f t="shared" si="63"/>
        <v>0</v>
      </c>
      <c r="EH47" s="268">
        <f t="shared" si="18"/>
        <v>0</v>
      </c>
      <c r="EI47" s="33">
        <f t="shared" si="64"/>
        <v>0</v>
      </c>
      <c r="EJ47" s="33">
        <f t="shared" si="139"/>
        <v>0</v>
      </c>
      <c r="EK47" s="33">
        <f t="shared" si="151"/>
        <v>0</v>
      </c>
      <c r="EL47" s="33">
        <f>IF(ER46&lt;0.01,0,IF(Plus!$F$22=Plus!$AN$4,0,IF(Plus!$F$22=Plus!$AN$3,ER46*Plus!$F$23/1000,ER46*VLOOKUP(Plus!$G$21,Plus!$AP$2:'Plus'!$AQ$5,2,0))))</f>
        <v>0</v>
      </c>
      <c r="EM47" s="33">
        <f>IF(ER46&lt;0.01,0,IF(Plus!$F$24=Plus!$AO$3,0,IF(OR(Plus!$F$10=Plus!$AK$7,Plus!$F$10=Plus!$AK$13),0,Plus!$G$13*Plus!$AR$2)))</f>
        <v>0</v>
      </c>
      <c r="EN47" s="33">
        <f>IF(ER46&lt;0.01,0,IF(OR(Plus!$F$10=Plus!$AK$7,Plus!$F$10=Plus!$AK$13),0,Plus!$BD$2*1.16))</f>
        <v>0</v>
      </c>
      <c r="EO47" s="33">
        <f>IF(ER46&lt;0.01,0,IF(Plus!$AS$2&gt;0,EI47*Plus!$AS$3,0))</f>
        <v>0</v>
      </c>
      <c r="EP47" s="33">
        <f t="shared" si="65"/>
        <v>0</v>
      </c>
      <c r="EQ47" s="33">
        <f>IF(Plus!$F$10=Plus!$AK$3,MIN(ER46+EI47+EL47+EM47+EN47-EP47,FC47),0)</f>
        <v>0</v>
      </c>
      <c r="ER47" s="311">
        <f t="shared" si="145"/>
        <v>0</v>
      </c>
      <c r="ES47" s="340">
        <f>Plus!O88</f>
        <v>0</v>
      </c>
      <c r="ET47" s="74"/>
      <c r="EU47" s="74"/>
      <c r="EV47" s="416">
        <f t="shared" si="134"/>
        <v>0</v>
      </c>
      <c r="EY47" s="90">
        <f t="shared" si="68"/>
        <v>11</v>
      </c>
      <c r="EZ47" s="121">
        <f t="shared" si="112"/>
        <v>0</v>
      </c>
      <c r="FB47" s="149">
        <f t="shared" si="113"/>
        <v>0</v>
      </c>
      <c r="FC47" s="2179">
        <f t="shared" ca="1" si="69"/>
        <v>0</v>
      </c>
      <c r="FE47" s="120">
        <f t="shared" si="114"/>
        <v>0</v>
      </c>
      <c r="FF47" s="110">
        <f t="shared" si="70"/>
        <v>0</v>
      </c>
      <c r="FG47" s="110">
        <f t="shared" si="71"/>
        <v>0</v>
      </c>
      <c r="FH47" s="109">
        <f t="shared" si="72"/>
        <v>0</v>
      </c>
      <c r="FI47" s="109">
        <f t="shared" si="19"/>
        <v>0</v>
      </c>
      <c r="FJ47" s="113">
        <f t="shared" si="73"/>
        <v>0</v>
      </c>
      <c r="FL47" s="102">
        <f t="shared" si="74"/>
        <v>0</v>
      </c>
      <c r="FM47" s="211">
        <f t="shared" si="127"/>
        <v>23</v>
      </c>
      <c r="FN47" s="212">
        <f t="shared" si="75"/>
        <v>0</v>
      </c>
      <c r="FO47" s="212">
        <f t="shared" si="20"/>
        <v>0</v>
      </c>
      <c r="FP47" s="212">
        <f t="shared" si="140"/>
        <v>0</v>
      </c>
      <c r="FQ47" s="213">
        <f t="shared" si="21"/>
        <v>1000000</v>
      </c>
      <c r="FV47" s="359"/>
      <c r="FX47" s="308">
        <f t="shared" ca="1" si="22"/>
        <v>2</v>
      </c>
      <c r="FY47" s="309">
        <f t="shared" si="76"/>
        <v>0</v>
      </c>
      <c r="FZ47" s="268">
        <f t="shared" si="23"/>
        <v>0</v>
      </c>
      <c r="GA47" s="33">
        <f t="shared" si="77"/>
        <v>0</v>
      </c>
      <c r="GB47" s="33">
        <f t="shared" si="141"/>
        <v>0</v>
      </c>
      <c r="GC47" s="33">
        <f t="shared" si="142"/>
        <v>0</v>
      </c>
      <c r="GD47" s="33">
        <f>IF(GJ46&lt;0.01,0,IF(Plus!$F$22=Plus!$AN$4,0,IF(Plus!$F$22=Plus!$AN$3,GJ46*Plus!$F$23/1000,GJ46*VLOOKUP(Plus!$G$21,Plus!$AP$2:$AQ$5,2,0))))</f>
        <v>0</v>
      </c>
      <c r="GE47" s="33">
        <f>IF(GJ46&lt;0.01,0,IF(Plus!$F$24=Plus!$AO$3,0,IF(OR(Plus!$F$10=Plus!$AK$7,Plus!$F$10=Plus!$AK$13,Plus!$F$10=Plus!$AK$14),0,IF(OR(Plus!$F$10=Plus!$AK$10,Plus!$F$10=Plus!$AK$11),Plus!$G$13*Adm!$W$7,Plus!$G$13*Adm!$X$4))))</f>
        <v>0</v>
      </c>
      <c r="GF47" s="33">
        <f>IF(GJ46&lt;0.01,0,IF(OR(Plus!$F$10=Plus!$AK$7,Plus!$F$10=Plus!$AK$13),0,Plus!$BD$2*1.16))</f>
        <v>0</v>
      </c>
      <c r="GG47" s="33">
        <f>IF(GJ46&lt;0.01,0,IF(Plus!$AS$2&gt;0,GA47*Plus!$AS$3,0))</f>
        <v>0</v>
      </c>
      <c r="GH47" s="33">
        <f t="shared" si="78"/>
        <v>0</v>
      </c>
      <c r="GI47" s="33">
        <f>IF(Plus!$F$10=Plus!$AK$3,MIN(GJ46+GA47+GD47+GE47+GF47-GH47,GU47),0)</f>
        <v>0</v>
      </c>
      <c r="GJ47" s="311">
        <f t="shared" si="136"/>
        <v>0</v>
      </c>
      <c r="GK47" s="340">
        <f>Plus!O88</f>
        <v>0</v>
      </c>
      <c r="GL47" s="74"/>
      <c r="GM47" s="74"/>
      <c r="GN47" s="419">
        <f t="shared" si="135"/>
        <v>0</v>
      </c>
      <c r="GQ47" s="90">
        <f t="shared" si="80"/>
        <v>11</v>
      </c>
      <c r="GR47" s="121">
        <f t="shared" si="116"/>
        <v>0</v>
      </c>
      <c r="GT47" s="149">
        <f t="shared" si="117"/>
        <v>0</v>
      </c>
      <c r="GU47" s="2179">
        <f t="shared" ca="1" si="81"/>
        <v>0</v>
      </c>
      <c r="GW47" s="120">
        <f t="shared" si="118"/>
        <v>0</v>
      </c>
      <c r="GX47" s="110">
        <f t="shared" si="82"/>
        <v>0</v>
      </c>
      <c r="GY47" s="110">
        <f t="shared" si="83"/>
        <v>0</v>
      </c>
      <c r="GZ47" s="109">
        <f t="shared" si="84"/>
        <v>0</v>
      </c>
      <c r="HA47" s="109">
        <f t="shared" si="24"/>
        <v>0</v>
      </c>
      <c r="HB47" s="113">
        <f t="shared" si="85"/>
        <v>0</v>
      </c>
      <c r="HD47" s="102">
        <f t="shared" si="86"/>
        <v>0</v>
      </c>
      <c r="HE47" s="211">
        <f t="shared" si="129"/>
        <v>23</v>
      </c>
      <c r="HF47" s="212">
        <f t="shared" si="87"/>
        <v>0</v>
      </c>
      <c r="HG47" s="212">
        <f t="shared" si="25"/>
        <v>0</v>
      </c>
      <c r="HH47" s="212">
        <f t="shared" si="143"/>
        <v>0</v>
      </c>
      <c r="HI47" s="213">
        <f t="shared" si="26"/>
        <v>1000000</v>
      </c>
      <c r="HL47" s="182"/>
      <c r="HM47" s="26">
        <f t="shared" ca="1" si="27"/>
        <v>2</v>
      </c>
      <c r="HO47" s="268">
        <f t="shared" si="28"/>
        <v>0</v>
      </c>
      <c r="HP47" s="421">
        <f t="shared" si="120"/>
        <v>0</v>
      </c>
      <c r="HQ47" s="123">
        <f t="shared" si="88"/>
        <v>0</v>
      </c>
      <c r="HR47" s="123">
        <f t="shared" si="89"/>
        <v>0</v>
      </c>
      <c r="HS47" s="123">
        <f t="shared" si="90"/>
        <v>0</v>
      </c>
      <c r="HT47" s="123">
        <f>IF(HY46&lt;0.01,0,IF(Adm!$GS$4=Adm!$GS$8,HY46*$HY$15,IF(Adm!$GS$12=Adm!$GS$13,0,HY46*Adm!$GV$4)))</f>
        <v>0</v>
      </c>
      <c r="HU47" s="123">
        <f>IF(HY46&lt;0.01,0,IF(Adm!$GS$5=Adm!$GS$8,Cal!$BO$108*$HY$16/1.16,IF(Adm!$GS$12=Adm!$GS$13,0,Cal!$BO$108*Adm!$GW$4/1.16)))</f>
        <v>0</v>
      </c>
      <c r="HV47" s="123">
        <f t="shared" si="91"/>
        <v>0</v>
      </c>
      <c r="HW47" s="123">
        <f t="shared" si="92"/>
        <v>0</v>
      </c>
      <c r="HX47" s="123">
        <f>IF(Adm!$GH$6="si",MIN(HY46+HQ47+HT47+HU47+HV47-HW47,IH47),0)</f>
        <v>0</v>
      </c>
      <c r="HY47" s="297">
        <f t="shared" si="93"/>
        <v>0</v>
      </c>
      <c r="HZ47" s="74"/>
      <c r="IA47" s="407">
        <f t="shared" si="94"/>
        <v>0</v>
      </c>
      <c r="IC47" s="90">
        <f t="shared" si="95"/>
        <v>11</v>
      </c>
      <c r="ID47" s="124">
        <f>IF(IC47=1,Cal!$BO$127,0)</f>
        <v>0</v>
      </c>
      <c r="IE47" s="73"/>
      <c r="IG47" s="70">
        <f t="shared" si="121"/>
        <v>0</v>
      </c>
      <c r="IH47" s="2178">
        <f t="shared" ca="1" si="96"/>
        <v>0</v>
      </c>
      <c r="IK47" s="217"/>
      <c r="IL47" s="26">
        <f t="shared" ca="1" si="29"/>
        <v>2</v>
      </c>
      <c r="IN47" s="268">
        <f t="shared" si="30"/>
        <v>0</v>
      </c>
      <c r="IO47" s="421">
        <f t="shared" si="122"/>
        <v>0</v>
      </c>
      <c r="IP47" s="123">
        <f t="shared" si="97"/>
        <v>0</v>
      </c>
      <c r="IQ47" s="123">
        <f t="shared" si="98"/>
        <v>0</v>
      </c>
      <c r="IR47" s="123">
        <f t="shared" si="99"/>
        <v>0</v>
      </c>
      <c r="IS47" s="123">
        <f>IF(IX46&lt;0.01,0,IF(Adm!$GS$4=Adm!$GS$8,IX46*$IX$15,IF(Adm!$GS$12=Adm!$GS$13,0,IX46*Adm!$GV$4)))</f>
        <v>0</v>
      </c>
      <c r="IT47" s="123"/>
      <c r="IU47" s="123">
        <f t="shared" si="100"/>
        <v>0</v>
      </c>
      <c r="IV47" s="123">
        <f t="shared" si="101"/>
        <v>0</v>
      </c>
      <c r="IW47" s="123"/>
      <c r="IX47" s="297">
        <f t="shared" si="102"/>
        <v>0</v>
      </c>
      <c r="IY47" s="74"/>
      <c r="IZ47" s="416">
        <f t="shared" si="103"/>
        <v>0</v>
      </c>
      <c r="JB47" s="90">
        <f t="shared" si="104"/>
        <v>11</v>
      </c>
      <c r="JC47" s="124">
        <f>IF(JB47=1,Cal!$BP$127,0)</f>
        <v>0</v>
      </c>
      <c r="JD47" s="73"/>
    </row>
    <row r="48" spans="1:264">
      <c r="A48" s="26">
        <f t="shared" ca="1" si="0"/>
        <v>3</v>
      </c>
      <c r="C48" s="33">
        <f t="shared" si="1"/>
        <v>0</v>
      </c>
      <c r="D48" s="123">
        <f t="shared" si="31"/>
        <v>0</v>
      </c>
      <c r="E48" s="123">
        <f t="shared" si="147"/>
        <v>0</v>
      </c>
      <c r="F48" s="123">
        <f t="shared" si="149"/>
        <v>0</v>
      </c>
      <c r="G48" s="123">
        <f>IF(L47&lt;0.01,0,IF(Adm!$S$4=Adm!$S$8,L47*$L$15,L47*Adm!$V$4))</f>
        <v>0</v>
      </c>
      <c r="H48" s="123">
        <f>IF(L47&lt;0.01,0,IF(Adm!$S$5=Adm!$S$8,Adm!$AA$11*$L$16/1.16,IF(Adm!$B$4=Adm!$A$119,0,Adm!$AA$11*Adm!$X$4/1.16)))</f>
        <v>0</v>
      </c>
      <c r="I48" s="123">
        <f>IF(L47&lt;0.01,0,Cal!$AB$126/1.16)</f>
        <v>0</v>
      </c>
      <c r="J48" s="123">
        <f t="shared" si="2"/>
        <v>0</v>
      </c>
      <c r="K48" s="123">
        <f>IF(Adm!$G$4="si",MIN(L47+D48+G48+H48+I48-J48,V48),0)</f>
        <v>0</v>
      </c>
      <c r="L48" s="123">
        <f t="shared" si="32"/>
        <v>0</v>
      </c>
      <c r="M48" s="74"/>
      <c r="N48" s="74"/>
      <c r="O48" s="407">
        <f t="shared" si="33"/>
        <v>0</v>
      </c>
      <c r="R48" s="90">
        <f t="shared" si="34"/>
        <v>12</v>
      </c>
      <c r="S48" s="121">
        <f>IF(R48=1,Cal!$AB$127,0)</f>
        <v>0</v>
      </c>
      <c r="U48" s="70">
        <f t="shared" si="105"/>
        <v>0</v>
      </c>
      <c r="V48" s="2178">
        <f t="shared" ca="1" si="35"/>
        <v>0</v>
      </c>
      <c r="X48" s="398"/>
      <c r="Z48" s="268">
        <f t="shared" si="3"/>
        <v>0</v>
      </c>
      <c r="AA48" s="2176">
        <f t="shared" si="36"/>
        <v>0</v>
      </c>
      <c r="AB48" s="33">
        <f t="shared" si="37"/>
        <v>0</v>
      </c>
      <c r="AC48" s="33">
        <f t="shared" si="38"/>
        <v>0</v>
      </c>
      <c r="AD48" s="33">
        <f>IF(AI47&lt;0.01,0,IF(Adm!$S$4=Adm!$S$8,AI47*$AI$15,AI47*Adm!$V$4))</f>
        <v>0</v>
      </c>
      <c r="AE48" s="33"/>
      <c r="AF48" s="33"/>
      <c r="AG48" s="33">
        <f t="shared" si="4"/>
        <v>0</v>
      </c>
      <c r="AH48" s="33"/>
      <c r="AI48" s="401">
        <f t="shared" si="5"/>
        <v>0</v>
      </c>
      <c r="AK48" s="410">
        <f t="shared" si="6"/>
        <v>0</v>
      </c>
      <c r="AN48" s="90">
        <f t="shared" si="39"/>
        <v>12</v>
      </c>
      <c r="AO48" s="121">
        <f>IF(AN48=1,Cal!$AC$127,0)</f>
        <v>0</v>
      </c>
      <c r="AS48" s="200"/>
      <c r="AU48" s="268">
        <f t="shared" si="7"/>
        <v>0</v>
      </c>
      <c r="AV48" s="2177">
        <f t="shared" si="40"/>
        <v>0</v>
      </c>
      <c r="AW48" s="123">
        <f t="shared" si="8"/>
        <v>0</v>
      </c>
      <c r="AX48" s="123">
        <f t="shared" si="41"/>
        <v>0</v>
      </c>
      <c r="AY48" s="123">
        <f>IF(BC47&lt;0.01,0,IF(Adm!$S$4=Adm!$S$8,BC47*$BC$16,BC47*Adm!$V$4))</f>
        <v>0</v>
      </c>
      <c r="AZ48" s="123"/>
      <c r="BA48" s="123">
        <f>IF(BC47&lt;0.01,0,Adm!$Q$6)</f>
        <v>0</v>
      </c>
      <c r="BB48" s="123">
        <f t="shared" si="42"/>
        <v>0</v>
      </c>
      <c r="BC48" s="297">
        <f t="shared" si="43"/>
        <v>0</v>
      </c>
      <c r="BE48" s="425">
        <f t="shared" si="9"/>
        <v>0</v>
      </c>
      <c r="BH48" s="90">
        <f t="shared" si="44"/>
        <v>12</v>
      </c>
      <c r="BI48" s="121">
        <f>IF(BH48=1,Cal!$AD$127,0)</f>
        <v>0</v>
      </c>
      <c r="BM48" s="221"/>
      <c r="BO48" s="295">
        <f t="shared" ca="1" si="10"/>
        <v>3</v>
      </c>
      <c r="BP48" s="268">
        <f t="shared" si="11"/>
        <v>0</v>
      </c>
      <c r="BQ48" s="123">
        <f t="shared" si="45"/>
        <v>0</v>
      </c>
      <c r="BR48" s="123">
        <f t="shared" si="148"/>
        <v>0</v>
      </c>
      <c r="BS48" s="123">
        <f t="shared" si="150"/>
        <v>0</v>
      </c>
      <c r="BT48" s="123">
        <f>IF(BZ47&lt;0.01,0,IF(Plus!$F$22=Plus!$AN$4,BZ47*$BZ$15,IF(Plus!$F$22=Plus!$AN$3,BZ47*Plus!$F$23/1000,BZ47*VLOOKUP(Plus!$G$21,Plus!$AP$2:'Plus'!$AQ$5,2,0))))</f>
        <v>0</v>
      </c>
      <c r="BU48" s="123">
        <f>IF(BZ47&lt;0.01,0,IF(Plus!$F$24=Plus!$AO$3,Plus!$G$13*Plus!$AR$2/1.16,IF(Plus!$F$10=Plus!$AK$7,0,Plus!$G$13*Plus!$AR$2/1.16)))</f>
        <v>0</v>
      </c>
      <c r="BV48" s="123">
        <f>IF(BZ47&lt;0.01,0,Plus!$BD$2)</f>
        <v>0</v>
      </c>
      <c r="BW48" s="123"/>
      <c r="BX48" s="123">
        <f t="shared" si="12"/>
        <v>0</v>
      </c>
      <c r="BY48" s="123">
        <f>IF(Plus!$F$10=Plus!$AK$3,MIN(BZ47+BQ48+BT48+BU48+BV48-BX48,CJ48),0)</f>
        <v>0</v>
      </c>
      <c r="BZ48" s="297">
        <f t="shared" si="144"/>
        <v>0</v>
      </c>
      <c r="CA48" s="74"/>
      <c r="CB48" s="74"/>
      <c r="CC48" s="413">
        <f t="shared" si="47"/>
        <v>0</v>
      </c>
      <c r="CF48" s="90">
        <f t="shared" si="48"/>
        <v>12</v>
      </c>
      <c r="CG48" s="121">
        <f t="shared" si="106"/>
        <v>0</v>
      </c>
      <c r="CI48" s="70">
        <f t="shared" si="107"/>
        <v>0</v>
      </c>
      <c r="CJ48" s="2178">
        <f t="shared" ca="1" si="49"/>
        <v>0</v>
      </c>
      <c r="CL48" s="161"/>
      <c r="CN48" s="308">
        <f t="shared" ca="1" si="13"/>
        <v>3</v>
      </c>
      <c r="CO48" s="309">
        <f t="shared" si="50"/>
        <v>0</v>
      </c>
      <c r="CP48" s="268">
        <f t="shared" si="14"/>
        <v>0</v>
      </c>
      <c r="CQ48" s="123">
        <f t="shared" si="51"/>
        <v>0</v>
      </c>
      <c r="CR48" s="123">
        <f t="shared" si="137"/>
        <v>0</v>
      </c>
      <c r="CS48" s="123">
        <f t="shared" si="138"/>
        <v>0</v>
      </c>
      <c r="CT48" s="33">
        <f>IF(CZ47&lt;0.01,0,IF(Plus!$F$22=Plus!$AN$4,0,IF(Plus!$F$22=Plus!$AN$3,CZ47*Plus!$F$23/1000,CZ47*VLOOKUP(Plus!$G$21,Plus!$AP$2:'Plus'!$AQ$5,2,0))))</f>
        <v>0</v>
      </c>
      <c r="CU48" s="123">
        <f>IF(CZ47&lt;0.01,0,IF(Plus!$F$24=Plus!$AO$3,0,IF(OR(Plus!$F$10=Plus!$AK$7,Plus!$F$10=Plus!$AK$13),0,Plus!$G$13*Plus!$AR$2)))</f>
        <v>0</v>
      </c>
      <c r="CV48" s="123">
        <f>IF(CZ47&lt;0.01,0,IF(OR(Plus!$F$10=Plus!$AK$7,Plus!$F$10=Plus!$AK$13),0,Plus!$BD$2*1.16))</f>
        <v>0</v>
      </c>
      <c r="CW48" s="123">
        <f>IF(CZ47&lt;0.01,0,IF(Plus!$AS$2&gt;0,CQ48*Plus!$AS$3,0))</f>
        <v>0</v>
      </c>
      <c r="CX48" s="123">
        <f t="shared" si="52"/>
        <v>0</v>
      </c>
      <c r="CY48" s="123">
        <f>IF(Plus!$F$10=Plus!$AK$3,MIN(CZ47+CQ48+CT48+CU48+CV48-CX48,DK48),0)</f>
        <v>0</v>
      </c>
      <c r="CZ48" s="297">
        <f t="shared" si="146"/>
        <v>0</v>
      </c>
      <c r="DA48" s="306">
        <f>Plus!O89</f>
        <v>0</v>
      </c>
      <c r="DB48" s="74"/>
      <c r="DC48" s="74"/>
      <c r="DD48" s="407">
        <f t="shared" si="54"/>
        <v>0</v>
      </c>
      <c r="DG48" s="90">
        <f t="shared" si="55"/>
        <v>12</v>
      </c>
      <c r="DH48" s="121">
        <f t="shared" si="108"/>
        <v>0</v>
      </c>
      <c r="DJ48" s="149">
        <f t="shared" si="109"/>
        <v>0</v>
      </c>
      <c r="DK48" s="2179">
        <f t="shared" ca="1" si="56"/>
        <v>0</v>
      </c>
      <c r="DN48" s="120">
        <f t="shared" si="110"/>
        <v>0</v>
      </c>
      <c r="DO48" s="110">
        <f t="shared" si="57"/>
        <v>0</v>
      </c>
      <c r="DP48" s="110">
        <f t="shared" si="124"/>
        <v>0</v>
      </c>
      <c r="DQ48" s="109">
        <f t="shared" si="58"/>
        <v>0</v>
      </c>
      <c r="DR48" s="109">
        <f t="shared" si="59"/>
        <v>0</v>
      </c>
      <c r="DS48" s="113">
        <f t="shared" si="60"/>
        <v>0</v>
      </c>
      <c r="DU48" s="102">
        <f t="shared" si="61"/>
        <v>0</v>
      </c>
      <c r="DV48" s="211">
        <f t="shared" si="125"/>
        <v>24</v>
      </c>
      <c r="DW48" s="212">
        <f t="shared" si="62"/>
        <v>0</v>
      </c>
      <c r="DX48" s="212">
        <f t="shared" si="15"/>
        <v>0</v>
      </c>
      <c r="DY48" s="212">
        <f t="shared" si="111"/>
        <v>0</v>
      </c>
      <c r="DZ48" s="213">
        <f t="shared" si="16"/>
        <v>1000000</v>
      </c>
      <c r="ED48" s="182"/>
      <c r="EF48" s="308">
        <f t="shared" ca="1" si="17"/>
        <v>3</v>
      </c>
      <c r="EG48" s="309">
        <f t="shared" si="63"/>
        <v>0</v>
      </c>
      <c r="EH48" s="268">
        <f t="shared" si="18"/>
        <v>0</v>
      </c>
      <c r="EI48" s="33">
        <f t="shared" si="64"/>
        <v>0</v>
      </c>
      <c r="EJ48" s="33">
        <f t="shared" si="139"/>
        <v>0</v>
      </c>
      <c r="EK48" s="33">
        <f t="shared" si="151"/>
        <v>0</v>
      </c>
      <c r="EL48" s="33">
        <f>IF(ER47&lt;0.01,0,IF(Plus!$F$22=Plus!$AN$4,0,IF(Plus!$F$22=Plus!$AN$3,ER47*Plus!$F$23/1000,ER47*VLOOKUP(Plus!$G$21,Plus!$AP$2:'Plus'!$AQ$5,2,0))))</f>
        <v>0</v>
      </c>
      <c r="EM48" s="33">
        <f>IF(ER47&lt;0.01,0,IF(Plus!$F$24=Plus!$AO$3,0,IF(OR(Plus!$F$10=Plus!$AK$7,Plus!$F$10=Plus!$AK$13),0,Plus!$G$13*Plus!$AR$2)))</f>
        <v>0</v>
      </c>
      <c r="EN48" s="33">
        <f>IF(ER47&lt;0.01,0,IF(OR(Plus!$F$10=Plus!$AK$7,Plus!$F$10=Plus!$AK$13),0,Plus!$BD$2*1.16))</f>
        <v>0</v>
      </c>
      <c r="EO48" s="33">
        <f>IF(ER47&lt;0.01,0,IF(Plus!$AS$2&gt;0,EI48*Plus!$AS$3,0))</f>
        <v>0</v>
      </c>
      <c r="EP48" s="33">
        <f t="shared" si="65"/>
        <v>0</v>
      </c>
      <c r="EQ48" s="33">
        <f>IF(Plus!$F$10=Plus!$AK$3,MIN(ER47+EI48+EL48+EM48+EN48-EP48,FC48),0)</f>
        <v>0</v>
      </c>
      <c r="ER48" s="311">
        <f t="shared" si="145"/>
        <v>0</v>
      </c>
      <c r="ES48" s="340">
        <f>Plus!O89</f>
        <v>0</v>
      </c>
      <c r="ET48" s="74"/>
      <c r="EU48" s="74"/>
      <c r="EV48" s="416">
        <f t="shared" si="134"/>
        <v>0</v>
      </c>
      <c r="EY48" s="90">
        <f t="shared" si="68"/>
        <v>12</v>
      </c>
      <c r="EZ48" s="121">
        <f t="shared" si="112"/>
        <v>0</v>
      </c>
      <c r="FB48" s="149">
        <f t="shared" si="113"/>
        <v>0</v>
      </c>
      <c r="FC48" s="2179">
        <f t="shared" ca="1" si="69"/>
        <v>0</v>
      </c>
      <c r="FE48" s="120">
        <f t="shared" si="114"/>
        <v>0</v>
      </c>
      <c r="FF48" s="110">
        <f t="shared" si="70"/>
        <v>0</v>
      </c>
      <c r="FG48" s="110">
        <f t="shared" si="71"/>
        <v>0</v>
      </c>
      <c r="FH48" s="109">
        <f t="shared" si="72"/>
        <v>0</v>
      </c>
      <c r="FI48" s="109">
        <f t="shared" si="19"/>
        <v>0</v>
      </c>
      <c r="FJ48" s="113">
        <f t="shared" si="73"/>
        <v>0</v>
      </c>
      <c r="FL48" s="102">
        <f t="shared" si="74"/>
        <v>0</v>
      </c>
      <c r="FM48" s="211">
        <f t="shared" si="127"/>
        <v>24</v>
      </c>
      <c r="FN48" s="212">
        <f t="shared" si="75"/>
        <v>0</v>
      </c>
      <c r="FO48" s="212">
        <f t="shared" si="20"/>
        <v>0</v>
      </c>
      <c r="FP48" s="212">
        <f t="shared" si="140"/>
        <v>0</v>
      </c>
      <c r="FQ48" s="213">
        <f t="shared" si="21"/>
        <v>1000000</v>
      </c>
      <c r="FV48" s="359"/>
      <c r="FX48" s="308">
        <f t="shared" ca="1" si="22"/>
        <v>3</v>
      </c>
      <c r="FY48" s="309">
        <f t="shared" si="76"/>
        <v>0</v>
      </c>
      <c r="FZ48" s="268">
        <f t="shared" si="23"/>
        <v>0</v>
      </c>
      <c r="GA48" s="33">
        <f t="shared" si="77"/>
        <v>0</v>
      </c>
      <c r="GB48" s="33">
        <f t="shared" si="141"/>
        <v>0</v>
      </c>
      <c r="GC48" s="33">
        <f t="shared" si="142"/>
        <v>0</v>
      </c>
      <c r="GD48" s="33">
        <f>IF(GJ47&lt;0.01,0,IF(Plus!$F$22=Plus!$AN$4,0,IF(Plus!$F$22=Plus!$AN$3,GJ47*Plus!$F$23/1000,GJ47*VLOOKUP(Plus!$G$21,Plus!$AP$2:$AQ$5,2,0))))</f>
        <v>0</v>
      </c>
      <c r="GE48" s="33">
        <f>IF(GJ47&lt;0.01,0,IF(Plus!$F$24=Plus!$AO$3,0,IF(OR(Plus!$F$10=Plus!$AK$7,Plus!$F$10=Plus!$AK$13,Plus!$F$10=Plus!$AK$14),0,IF(OR(Plus!$F$10=Plus!$AK$10,Plus!$F$10=Plus!$AK$11),Plus!$G$13*Adm!$W$7,Plus!$G$13*Adm!$X$4))))</f>
        <v>0</v>
      </c>
      <c r="GF48" s="33">
        <f>IF(GJ47&lt;0.01,0,IF(OR(Plus!$F$10=Plus!$AK$7,Plus!$F$10=Plus!$AK$13),0,Plus!$BD$2*1.16))</f>
        <v>0</v>
      </c>
      <c r="GG48" s="33">
        <f>IF(GJ47&lt;0.01,0,IF(Plus!$AS$2&gt;0,GA48*Plus!$AS$3,0))</f>
        <v>0</v>
      </c>
      <c r="GH48" s="33">
        <f t="shared" si="78"/>
        <v>0</v>
      </c>
      <c r="GI48" s="33">
        <f>IF(Plus!$F$10=Plus!$AK$3,MIN(GJ47+GA48+GD48+GE48+GF48-GH48,GU48),0)</f>
        <v>0</v>
      </c>
      <c r="GJ48" s="311">
        <f t="shared" si="136"/>
        <v>0</v>
      </c>
      <c r="GK48" s="340">
        <f>Plus!O89</f>
        <v>0</v>
      </c>
      <c r="GL48" s="74"/>
      <c r="GM48" s="74"/>
      <c r="GN48" s="419">
        <f t="shared" si="135"/>
        <v>0</v>
      </c>
      <c r="GQ48" s="90">
        <f t="shared" si="80"/>
        <v>12</v>
      </c>
      <c r="GR48" s="121">
        <f t="shared" si="116"/>
        <v>0</v>
      </c>
      <c r="GT48" s="149">
        <f t="shared" si="117"/>
        <v>0</v>
      </c>
      <c r="GU48" s="2179">
        <f t="shared" ca="1" si="81"/>
        <v>0</v>
      </c>
      <c r="GW48" s="120">
        <f t="shared" si="118"/>
        <v>0</v>
      </c>
      <c r="GX48" s="110">
        <f t="shared" si="82"/>
        <v>0</v>
      </c>
      <c r="GY48" s="110">
        <f t="shared" si="83"/>
        <v>0</v>
      </c>
      <c r="GZ48" s="109">
        <f t="shared" si="84"/>
        <v>0</v>
      </c>
      <c r="HA48" s="109">
        <f t="shared" si="24"/>
        <v>0</v>
      </c>
      <c r="HB48" s="113">
        <f t="shared" si="85"/>
        <v>0</v>
      </c>
      <c r="HD48" s="102">
        <f t="shared" si="86"/>
        <v>0</v>
      </c>
      <c r="HE48" s="211">
        <f t="shared" si="129"/>
        <v>24</v>
      </c>
      <c r="HF48" s="212">
        <f t="shared" si="87"/>
        <v>0</v>
      </c>
      <c r="HG48" s="212">
        <f t="shared" si="25"/>
        <v>0</v>
      </c>
      <c r="HH48" s="212">
        <f t="shared" si="143"/>
        <v>0</v>
      </c>
      <c r="HI48" s="213">
        <f t="shared" si="26"/>
        <v>1000000</v>
      </c>
      <c r="HL48" s="182"/>
      <c r="HM48" s="26">
        <f t="shared" ca="1" si="27"/>
        <v>3</v>
      </c>
      <c r="HO48" s="268">
        <f t="shared" si="28"/>
        <v>0</v>
      </c>
      <c r="HP48" s="421">
        <f t="shared" si="120"/>
        <v>0</v>
      </c>
      <c r="HQ48" s="123">
        <f t="shared" si="88"/>
        <v>0</v>
      </c>
      <c r="HR48" s="123">
        <f t="shared" si="89"/>
        <v>0</v>
      </c>
      <c r="HS48" s="123">
        <f t="shared" si="90"/>
        <v>0</v>
      </c>
      <c r="HT48" s="123">
        <f>IF(HY47&lt;0.01,0,IF(Adm!$GS$4=Adm!$GS$8,HY47*$HY$15,IF(Adm!$GS$12=Adm!$GS$13,0,HY47*Adm!$GV$4)))</f>
        <v>0</v>
      </c>
      <c r="HU48" s="123">
        <f>IF(HY47&lt;0.01,0,IF(Adm!$GS$5=Adm!$GS$8,Cal!$BO$108*$HY$16/1.16,IF(Adm!$GS$12=Adm!$GS$13,0,Cal!$BO$108*Adm!$GW$4/1.16)))</f>
        <v>0</v>
      </c>
      <c r="HV48" s="123">
        <f t="shared" si="91"/>
        <v>0</v>
      </c>
      <c r="HW48" s="123">
        <f t="shared" si="92"/>
        <v>0</v>
      </c>
      <c r="HX48" s="123">
        <f>IF(Adm!$GH$6="si",MIN(HY47+HQ48+HT48+HU48+HV48-HW48,IH48),0)</f>
        <v>0</v>
      </c>
      <c r="HY48" s="297">
        <f t="shared" si="93"/>
        <v>0</v>
      </c>
      <c r="HZ48" s="74"/>
      <c r="IA48" s="407">
        <f t="shared" si="94"/>
        <v>0</v>
      </c>
      <c r="IC48" s="90">
        <f t="shared" si="95"/>
        <v>12</v>
      </c>
      <c r="ID48" s="124">
        <f>IF(IC48=1,Cal!$BO$127,0)</f>
        <v>0</v>
      </c>
      <c r="IE48" s="73"/>
      <c r="IG48" s="70">
        <f t="shared" si="121"/>
        <v>0</v>
      </c>
      <c r="IH48" s="2178">
        <f t="shared" ca="1" si="96"/>
        <v>0</v>
      </c>
      <c r="IK48" s="217"/>
      <c r="IL48" s="26">
        <f t="shared" ca="1" si="29"/>
        <v>3</v>
      </c>
      <c r="IN48" s="268">
        <f t="shared" si="30"/>
        <v>0</v>
      </c>
      <c r="IO48" s="421">
        <f t="shared" si="122"/>
        <v>0</v>
      </c>
      <c r="IP48" s="123">
        <f t="shared" si="97"/>
        <v>0</v>
      </c>
      <c r="IQ48" s="123">
        <f t="shared" si="98"/>
        <v>0</v>
      </c>
      <c r="IR48" s="123">
        <f t="shared" si="99"/>
        <v>0</v>
      </c>
      <c r="IS48" s="123">
        <f>IF(IX47&lt;0.01,0,IF(Adm!$GS$4=Adm!$GS$8,IX47*$IX$15,IF(Adm!$GS$12=Adm!$GS$13,0,IX47*Adm!$GV$4)))</f>
        <v>0</v>
      </c>
      <c r="IT48" s="123"/>
      <c r="IU48" s="123">
        <f t="shared" si="100"/>
        <v>0</v>
      </c>
      <c r="IV48" s="123">
        <f t="shared" si="101"/>
        <v>0</v>
      </c>
      <c r="IW48" s="123"/>
      <c r="IX48" s="297">
        <f t="shared" si="102"/>
        <v>0</v>
      </c>
      <c r="IY48" s="74"/>
      <c r="IZ48" s="416">
        <f t="shared" si="103"/>
        <v>0</v>
      </c>
      <c r="JB48" s="90">
        <f t="shared" si="104"/>
        <v>12</v>
      </c>
      <c r="JC48" s="124">
        <f>IF(JB48=1,Cal!$BP$127,0)</f>
        <v>0</v>
      </c>
      <c r="JD48" s="73"/>
    </row>
    <row r="49" spans="1:264">
      <c r="A49" s="26">
        <f t="shared" ca="1" si="0"/>
        <v>4</v>
      </c>
      <c r="C49" s="33">
        <f t="shared" si="1"/>
        <v>0</v>
      </c>
      <c r="D49" s="123">
        <f t="shared" si="31"/>
        <v>0</v>
      </c>
      <c r="E49" s="123">
        <f t="shared" si="147"/>
        <v>0</v>
      </c>
      <c r="F49" s="123">
        <f t="shared" si="149"/>
        <v>0</v>
      </c>
      <c r="G49" s="123">
        <f>IF(L48&lt;0.01,0,IF(Adm!$S$4=Adm!$S$8,L48*$L$15,L48*Adm!$V$4))</f>
        <v>0</v>
      </c>
      <c r="H49" s="123">
        <f>IF(L48&lt;0.01,0,IF(Adm!$S$5=Adm!$S$8,Adm!$AA$11*$L$16/1.16,IF(Adm!$B$4=Adm!$A$119,0,Adm!$AA$11*Adm!$X$4/1.16)))</f>
        <v>0</v>
      </c>
      <c r="I49" s="123">
        <f>IF(L48&lt;0.01,0,Cal!$AB$126/1.16)</f>
        <v>0</v>
      </c>
      <c r="J49" s="123">
        <f t="shared" si="2"/>
        <v>0</v>
      </c>
      <c r="K49" s="123">
        <f>IF(Adm!$G$4="si",MIN(L48+D49+G49+H49+I49-J49,V49),0)</f>
        <v>0</v>
      </c>
      <c r="L49" s="123">
        <f t="shared" si="32"/>
        <v>0</v>
      </c>
      <c r="M49" s="74"/>
      <c r="N49" s="74"/>
      <c r="O49" s="407">
        <f t="shared" si="33"/>
        <v>0</v>
      </c>
      <c r="R49" s="90">
        <f t="shared" si="34"/>
        <v>1</v>
      </c>
      <c r="S49" s="121">
        <f>IF(R49=1,Cal!$AB$127,0)</f>
        <v>0</v>
      </c>
      <c r="U49" s="70">
        <f t="shared" si="105"/>
        <v>0</v>
      </c>
      <c r="V49" s="2178">
        <f t="shared" ca="1" si="35"/>
        <v>0</v>
      </c>
      <c r="X49" s="398"/>
      <c r="Z49" s="268">
        <f t="shared" si="3"/>
        <v>0</v>
      </c>
      <c r="AA49" s="2176">
        <f t="shared" si="36"/>
        <v>0</v>
      </c>
      <c r="AB49" s="33">
        <f t="shared" si="37"/>
        <v>0</v>
      </c>
      <c r="AC49" s="33">
        <f t="shared" si="38"/>
        <v>0</v>
      </c>
      <c r="AD49" s="33">
        <f>IF(AI48&lt;0.01,0,IF(Adm!$S$4=Adm!$S$8,AI48*$AI$15,AI48*Adm!$V$4))</f>
        <v>0</v>
      </c>
      <c r="AE49" s="33"/>
      <c r="AF49" s="33"/>
      <c r="AG49" s="33">
        <f t="shared" si="4"/>
        <v>0</v>
      </c>
      <c r="AH49" s="33"/>
      <c r="AI49" s="401">
        <f t="shared" si="5"/>
        <v>0</v>
      </c>
      <c r="AK49" s="410">
        <f t="shared" si="6"/>
        <v>0</v>
      </c>
      <c r="AN49" s="90">
        <f t="shared" si="39"/>
        <v>1</v>
      </c>
      <c r="AO49" s="121">
        <f>IF(AN49=1,Cal!$AC$127,0)</f>
        <v>0</v>
      </c>
      <c r="AS49" s="200"/>
      <c r="AU49" s="268">
        <f t="shared" si="7"/>
        <v>0</v>
      </c>
      <c r="AV49" s="2177">
        <f t="shared" si="40"/>
        <v>0</v>
      </c>
      <c r="AW49" s="123">
        <f t="shared" si="8"/>
        <v>0</v>
      </c>
      <c r="AX49" s="123">
        <f t="shared" si="41"/>
        <v>0</v>
      </c>
      <c r="AY49" s="123">
        <f>IF(BC48&lt;0.01,0,IF(Adm!$S$4=Adm!$S$8,BC48*$BC$16,BC48*Adm!$V$4))</f>
        <v>0</v>
      </c>
      <c r="AZ49" s="123"/>
      <c r="BA49" s="123">
        <f>IF(BC48&lt;0.01,0,Adm!$Q$6)</f>
        <v>0</v>
      </c>
      <c r="BB49" s="123">
        <f t="shared" si="42"/>
        <v>0</v>
      </c>
      <c r="BC49" s="297">
        <f t="shared" si="43"/>
        <v>0</v>
      </c>
      <c r="BE49" s="425">
        <f t="shared" si="9"/>
        <v>0</v>
      </c>
      <c r="BH49" s="90">
        <f t="shared" si="44"/>
        <v>1</v>
      </c>
      <c r="BI49" s="121">
        <f>IF(BH49=1,Cal!$AD$127,0)</f>
        <v>0</v>
      </c>
      <c r="BM49" s="221"/>
      <c r="BO49" s="295">
        <f t="shared" ca="1" si="10"/>
        <v>4</v>
      </c>
      <c r="BP49" s="268">
        <f t="shared" si="11"/>
        <v>0</v>
      </c>
      <c r="BQ49" s="123">
        <f t="shared" si="45"/>
        <v>0</v>
      </c>
      <c r="BR49" s="123">
        <f t="shared" si="148"/>
        <v>0</v>
      </c>
      <c r="BS49" s="123">
        <f t="shared" si="150"/>
        <v>0</v>
      </c>
      <c r="BT49" s="123">
        <f>IF(BZ48&lt;0.01,0,IF(Plus!$F$22=Plus!$AN$4,BZ48*$BZ$15,IF(Plus!$F$22=Plus!$AN$3,BZ48*Plus!$F$23/1000,BZ48*VLOOKUP(Plus!$G$21,Plus!$AP$2:'Plus'!$AQ$5,2,0))))</f>
        <v>0</v>
      </c>
      <c r="BU49" s="123">
        <f>IF(BZ48&lt;0.01,0,IF(Plus!$F$24=Plus!$AO$3,Plus!$G$13*Plus!$AR$2/1.16,IF(Plus!$F$10=Plus!$AK$7,0,Plus!$G$13*Plus!$AR$2/1.16)))</f>
        <v>0</v>
      </c>
      <c r="BV49" s="123">
        <f>IF(BZ48&lt;0.01,0,Plus!$BD$2)</f>
        <v>0</v>
      </c>
      <c r="BW49" s="123"/>
      <c r="BX49" s="123">
        <f t="shared" si="12"/>
        <v>0</v>
      </c>
      <c r="BY49" s="123">
        <f>IF(Plus!$F$10=Plus!$AK$3,MIN(BZ48+BQ49+BT49+BU49+BV49-BX49,CJ49),0)</f>
        <v>0</v>
      </c>
      <c r="BZ49" s="297">
        <f t="shared" si="144"/>
        <v>0</v>
      </c>
      <c r="CA49" s="74"/>
      <c r="CB49" s="74"/>
      <c r="CC49" s="413">
        <f t="shared" si="47"/>
        <v>0</v>
      </c>
      <c r="CF49" s="90">
        <f t="shared" si="48"/>
        <v>1</v>
      </c>
      <c r="CG49" s="121">
        <f t="shared" si="106"/>
        <v>0</v>
      </c>
      <c r="CI49" s="70">
        <f t="shared" si="107"/>
        <v>0</v>
      </c>
      <c r="CJ49" s="2178">
        <f t="shared" ca="1" si="49"/>
        <v>0</v>
      </c>
      <c r="CL49" s="161"/>
      <c r="CN49" s="308">
        <f t="shared" ca="1" si="13"/>
        <v>4</v>
      </c>
      <c r="CO49" s="309">
        <f t="shared" si="50"/>
        <v>0</v>
      </c>
      <c r="CP49" s="268">
        <f t="shared" si="14"/>
        <v>0</v>
      </c>
      <c r="CQ49" s="123">
        <f t="shared" si="51"/>
        <v>0</v>
      </c>
      <c r="CR49" s="123">
        <f t="shared" si="137"/>
        <v>0</v>
      </c>
      <c r="CS49" s="123">
        <f t="shared" si="138"/>
        <v>0</v>
      </c>
      <c r="CT49" s="33">
        <f>IF(CZ48&lt;0.01,0,IF(Plus!$F$22=Plus!$AN$4,0,IF(Plus!$F$22=Plus!$AN$3,CZ48*Plus!$F$23/1000,CZ48*VLOOKUP(Plus!$G$21,Plus!$AP$2:'Plus'!$AQ$5,2,0))))</f>
        <v>0</v>
      </c>
      <c r="CU49" s="123">
        <f>IF(CZ48&lt;0.01,0,IF(Plus!$F$24=Plus!$AO$3,0,IF(OR(Plus!$F$10=Plus!$AK$7,Plus!$F$10=Plus!$AK$13),0,Plus!$G$13*Plus!$AR$2)))</f>
        <v>0</v>
      </c>
      <c r="CV49" s="123">
        <f>IF(CZ48&lt;0.01,0,IF(OR(Plus!$F$10=Plus!$AK$7,Plus!$F$10=Plus!$AK$13),0,Plus!$BD$2*1.16))</f>
        <v>0</v>
      </c>
      <c r="CW49" s="123">
        <f>IF(CZ48&lt;0.01,0,IF(Plus!$AS$2&gt;0,CQ49*Plus!$AS$3,0))</f>
        <v>0</v>
      </c>
      <c r="CX49" s="123">
        <f t="shared" si="52"/>
        <v>0</v>
      </c>
      <c r="CY49" s="123">
        <f>IF(Plus!$F$10=Plus!$AK$3,MIN(CZ48+CQ49+CT49+CU49+CV49-CX49,DK49),0)</f>
        <v>0</v>
      </c>
      <c r="CZ49" s="297">
        <f t="shared" si="146"/>
        <v>0</v>
      </c>
      <c r="DA49" s="306">
        <f>Plus!O90</f>
        <v>0</v>
      </c>
      <c r="DB49" s="74"/>
      <c r="DC49" s="74"/>
      <c r="DD49" s="407">
        <f t="shared" si="54"/>
        <v>0</v>
      </c>
      <c r="DG49" s="90">
        <f t="shared" si="55"/>
        <v>1</v>
      </c>
      <c r="DH49" s="121">
        <f t="shared" si="108"/>
        <v>0</v>
      </c>
      <c r="DJ49" s="149">
        <f t="shared" si="109"/>
        <v>0</v>
      </c>
      <c r="DK49" s="2179">
        <f t="shared" ca="1" si="56"/>
        <v>0</v>
      </c>
      <c r="DN49" s="120">
        <f t="shared" si="110"/>
        <v>0</v>
      </c>
      <c r="DO49" s="110">
        <f t="shared" si="57"/>
        <v>0</v>
      </c>
      <c r="DP49" s="110">
        <f t="shared" si="124"/>
        <v>0</v>
      </c>
      <c r="DQ49" s="109">
        <f t="shared" si="58"/>
        <v>0</v>
      </c>
      <c r="DR49" s="109">
        <f t="shared" si="59"/>
        <v>0</v>
      </c>
      <c r="DS49" s="113">
        <f t="shared" si="60"/>
        <v>0</v>
      </c>
      <c r="DU49" s="102">
        <f t="shared" si="61"/>
        <v>0</v>
      </c>
      <c r="DV49" s="333">
        <f t="shared" si="125"/>
        <v>25</v>
      </c>
      <c r="DW49" s="334">
        <f t="shared" si="62"/>
        <v>0</v>
      </c>
      <c r="DX49" s="334">
        <f t="shared" si="15"/>
        <v>0</v>
      </c>
      <c r="DY49" s="334">
        <f>MIN(DZ48+DW49,DY48*(1+$DW$20))</f>
        <v>0</v>
      </c>
      <c r="DZ49" s="213">
        <f t="shared" si="16"/>
        <v>1000000</v>
      </c>
      <c r="ED49" s="182"/>
      <c r="EF49" s="308">
        <f t="shared" ca="1" si="17"/>
        <v>4</v>
      </c>
      <c r="EG49" s="309">
        <f t="shared" si="63"/>
        <v>0</v>
      </c>
      <c r="EH49" s="268">
        <f t="shared" si="18"/>
        <v>0</v>
      </c>
      <c r="EI49" s="33">
        <f t="shared" si="64"/>
        <v>0</v>
      </c>
      <c r="EJ49" s="33">
        <f t="shared" si="139"/>
        <v>0</v>
      </c>
      <c r="EK49" s="33">
        <f t="shared" si="151"/>
        <v>0</v>
      </c>
      <c r="EL49" s="33">
        <f>IF(ER48&lt;0.01,0,IF(Plus!$F$22=Plus!$AN$4,0,IF(Plus!$F$22=Plus!$AN$3,ER48*Plus!$F$23/1000,ER48*VLOOKUP(Plus!$G$21,Plus!$AP$2:'Plus'!$AQ$5,2,0))))</f>
        <v>0</v>
      </c>
      <c r="EM49" s="33">
        <f>IF(ER48&lt;0.01,0,IF(Plus!$F$24=Plus!$AO$3,0,IF(OR(Plus!$F$10=Plus!$AK$7,Plus!$F$10=Plus!$AK$13),0,Plus!$G$13*Plus!$AR$2)))</f>
        <v>0</v>
      </c>
      <c r="EN49" s="33">
        <f>IF(ER48&lt;0.01,0,IF(OR(Plus!$F$10=Plus!$AK$7,Plus!$F$10=Plus!$AK$13),0,Plus!$BD$2*1.16))</f>
        <v>0</v>
      </c>
      <c r="EO49" s="33">
        <f>IF(ER48&lt;0.01,0,IF(Plus!$AS$2&gt;0,EI49*Plus!$AS$3,0))</f>
        <v>0</v>
      </c>
      <c r="EP49" s="33">
        <f t="shared" si="65"/>
        <v>0</v>
      </c>
      <c r="EQ49" s="33">
        <f>IF(Plus!$F$10=Plus!$AK$3,MIN(ER48+EI49+EL49+EM49+EN49-EP49,FC49),0)</f>
        <v>0</v>
      </c>
      <c r="ER49" s="311">
        <f t="shared" si="145"/>
        <v>0</v>
      </c>
      <c r="ES49" s="340">
        <f>Plus!O90</f>
        <v>0</v>
      </c>
      <c r="ET49" s="74"/>
      <c r="EU49" s="74"/>
      <c r="EV49" s="416">
        <f t="shared" si="134"/>
        <v>0</v>
      </c>
      <c r="EY49" s="90">
        <f t="shared" si="68"/>
        <v>1</v>
      </c>
      <c r="EZ49" s="121">
        <f t="shared" si="112"/>
        <v>0</v>
      </c>
      <c r="FB49" s="149">
        <f t="shared" si="113"/>
        <v>0</v>
      </c>
      <c r="FC49" s="2179">
        <f t="shared" ca="1" si="69"/>
        <v>0</v>
      </c>
      <c r="FE49" s="120">
        <f t="shared" si="114"/>
        <v>0</v>
      </c>
      <c r="FF49" s="110">
        <f t="shared" si="70"/>
        <v>0</v>
      </c>
      <c r="FG49" s="110">
        <f t="shared" si="71"/>
        <v>0</v>
      </c>
      <c r="FH49" s="109">
        <f t="shared" si="72"/>
        <v>0</v>
      </c>
      <c r="FI49" s="109">
        <f t="shared" si="19"/>
        <v>0</v>
      </c>
      <c r="FJ49" s="113">
        <f t="shared" si="73"/>
        <v>0</v>
      </c>
      <c r="FL49" s="102">
        <f t="shared" si="74"/>
        <v>0</v>
      </c>
      <c r="FM49" s="326">
        <f t="shared" si="127"/>
        <v>25</v>
      </c>
      <c r="FN49" s="327">
        <f t="shared" si="75"/>
        <v>0</v>
      </c>
      <c r="FO49" s="327">
        <f t="shared" si="20"/>
        <v>0</v>
      </c>
      <c r="FP49" s="327">
        <f>MIN(FQ48+FN49,FP48*(1+$FN$20))</f>
        <v>0</v>
      </c>
      <c r="FQ49" s="213">
        <f t="shared" si="21"/>
        <v>1000000</v>
      </c>
      <c r="FV49" s="359"/>
      <c r="FX49" s="308">
        <f t="shared" ca="1" si="22"/>
        <v>4</v>
      </c>
      <c r="FY49" s="309">
        <f t="shared" si="76"/>
        <v>0</v>
      </c>
      <c r="FZ49" s="268">
        <f t="shared" si="23"/>
        <v>0</v>
      </c>
      <c r="GA49" s="33">
        <f t="shared" si="77"/>
        <v>0</v>
      </c>
      <c r="GB49" s="33">
        <f t="shared" si="141"/>
        <v>0</v>
      </c>
      <c r="GC49" s="33">
        <f t="shared" si="142"/>
        <v>0</v>
      </c>
      <c r="GD49" s="33">
        <f>IF(GJ48&lt;0.01,0,IF(Plus!$F$22=Plus!$AN$4,0,IF(Plus!$F$22=Plus!$AN$3,GJ48*Plus!$F$23/1000,GJ48*VLOOKUP(Plus!$G$21,Plus!$AP$2:$AQ$5,2,0))))</f>
        <v>0</v>
      </c>
      <c r="GE49" s="33">
        <f>IF(GJ48&lt;0.01,0,IF(Plus!$F$24=Plus!$AO$3,0,IF(OR(Plus!$F$10=Plus!$AK$7,Plus!$F$10=Plus!$AK$13,Plus!$F$10=Plus!$AK$14),0,IF(OR(Plus!$F$10=Plus!$AK$10,Plus!$F$10=Plus!$AK$11),Plus!$G$13*Adm!$W$7,Plus!$G$13*Adm!$X$4))))</f>
        <v>0</v>
      </c>
      <c r="GF49" s="33">
        <f>IF(GJ48&lt;0.01,0,IF(OR(Plus!$F$10=Plus!$AK$7,Plus!$F$10=Plus!$AK$13),0,Plus!$BD$2*1.16))</f>
        <v>0</v>
      </c>
      <c r="GG49" s="33">
        <f>IF(GJ48&lt;0.01,0,IF(Plus!$AS$2&gt;0,GA49*Plus!$AS$3,0))</f>
        <v>0</v>
      </c>
      <c r="GH49" s="33">
        <f t="shared" si="78"/>
        <v>0</v>
      </c>
      <c r="GI49" s="33">
        <f>IF(Plus!$F$10=Plus!$AK$3,MIN(GJ48+GA49+GD49+GE49+GF49-GH49,GU49),0)</f>
        <v>0</v>
      </c>
      <c r="GJ49" s="311">
        <f t="shared" si="136"/>
        <v>0</v>
      </c>
      <c r="GK49" s="340">
        <f>Plus!O90</f>
        <v>0</v>
      </c>
      <c r="GL49" s="74"/>
      <c r="GM49" s="74"/>
      <c r="GN49" s="419">
        <f t="shared" si="135"/>
        <v>0</v>
      </c>
      <c r="GQ49" s="90">
        <f t="shared" si="80"/>
        <v>1</v>
      </c>
      <c r="GR49" s="121">
        <f t="shared" si="116"/>
        <v>0</v>
      </c>
      <c r="GT49" s="149">
        <f t="shared" si="117"/>
        <v>0</v>
      </c>
      <c r="GU49" s="2179">
        <f t="shared" ca="1" si="81"/>
        <v>0</v>
      </c>
      <c r="GW49" s="120">
        <f t="shared" si="118"/>
        <v>0</v>
      </c>
      <c r="GX49" s="110">
        <f t="shared" si="82"/>
        <v>0</v>
      </c>
      <c r="GY49" s="110">
        <f t="shared" si="83"/>
        <v>0</v>
      </c>
      <c r="GZ49" s="109">
        <f t="shared" si="84"/>
        <v>0</v>
      </c>
      <c r="HA49" s="109">
        <f t="shared" si="24"/>
        <v>0</v>
      </c>
      <c r="HB49" s="113">
        <f t="shared" si="85"/>
        <v>0</v>
      </c>
      <c r="HD49" s="102">
        <f t="shared" si="86"/>
        <v>0</v>
      </c>
      <c r="HE49" s="326">
        <f t="shared" si="129"/>
        <v>25</v>
      </c>
      <c r="HF49" s="327">
        <f t="shared" si="87"/>
        <v>0</v>
      </c>
      <c r="HG49" s="327">
        <f t="shared" si="25"/>
        <v>0</v>
      </c>
      <c r="HH49" s="327">
        <f>MIN(HI48+HF49,HH48*(1+$FN$20))</f>
        <v>0</v>
      </c>
      <c r="HI49" s="213">
        <f t="shared" si="26"/>
        <v>1000000</v>
      </c>
      <c r="HL49" s="182"/>
      <c r="HM49" s="26">
        <f t="shared" ca="1" si="27"/>
        <v>4</v>
      </c>
      <c r="HO49" s="268">
        <f t="shared" si="28"/>
        <v>0</v>
      </c>
      <c r="HP49" s="421">
        <f t="shared" si="120"/>
        <v>0</v>
      </c>
      <c r="HQ49" s="123">
        <f t="shared" si="88"/>
        <v>0</v>
      </c>
      <c r="HR49" s="123">
        <f t="shared" si="89"/>
        <v>0</v>
      </c>
      <c r="HS49" s="123">
        <f t="shared" si="90"/>
        <v>0</v>
      </c>
      <c r="HT49" s="123">
        <f>IF(HY48&lt;0.01,0,IF(Adm!$GS$4=Adm!$GS$8,HY48*$HY$15,IF(Adm!$GS$12=Adm!$GS$13,0,HY48*Adm!$GV$4)))</f>
        <v>0</v>
      </c>
      <c r="HU49" s="123">
        <f>IF(HY48&lt;0.01,0,IF(Adm!$GS$5=Adm!$GS$8,Cal!$BO$108*$HY$16/1.16,IF(Adm!$GS$12=Adm!$GS$13,0,Cal!$BO$108*Adm!$GW$4/1.16)))</f>
        <v>0</v>
      </c>
      <c r="HV49" s="123">
        <f t="shared" si="91"/>
        <v>0</v>
      </c>
      <c r="HW49" s="123">
        <f t="shared" si="92"/>
        <v>0</v>
      </c>
      <c r="HX49" s="123">
        <f>IF(Adm!$GH$6="si",MIN(HY48+HQ49+HT49+HU49+HV49-HW49,IH49),0)</f>
        <v>0</v>
      </c>
      <c r="HY49" s="297">
        <f t="shared" si="93"/>
        <v>0</v>
      </c>
      <c r="HZ49" s="74"/>
      <c r="IA49" s="407">
        <f t="shared" si="94"/>
        <v>0</v>
      </c>
      <c r="IC49" s="90">
        <f t="shared" si="95"/>
        <v>1</v>
      </c>
      <c r="ID49" s="124">
        <f>IF(IC49=1,Cal!$BO$127,0)</f>
        <v>0</v>
      </c>
      <c r="IE49" s="73"/>
      <c r="IG49" s="70">
        <f t="shared" si="121"/>
        <v>0</v>
      </c>
      <c r="IH49" s="2178">
        <f t="shared" ca="1" si="96"/>
        <v>0</v>
      </c>
      <c r="IK49" s="217"/>
      <c r="IL49" s="26">
        <f t="shared" ca="1" si="29"/>
        <v>4</v>
      </c>
      <c r="IN49" s="268">
        <f t="shared" si="30"/>
        <v>0</v>
      </c>
      <c r="IO49" s="421">
        <f t="shared" si="122"/>
        <v>0</v>
      </c>
      <c r="IP49" s="123">
        <f t="shared" si="97"/>
        <v>0</v>
      </c>
      <c r="IQ49" s="123">
        <f t="shared" si="98"/>
        <v>0</v>
      </c>
      <c r="IR49" s="123">
        <f t="shared" si="99"/>
        <v>0</v>
      </c>
      <c r="IS49" s="123">
        <f>IF(IX48&lt;0.01,0,IF(Adm!$GS$4=Adm!$GS$8,IX48*$IX$15,IF(Adm!$GS$12=Adm!$GS$13,0,IX48*Adm!$GV$4)))</f>
        <v>0</v>
      </c>
      <c r="IT49" s="123"/>
      <c r="IU49" s="123">
        <f t="shared" si="100"/>
        <v>0</v>
      </c>
      <c r="IV49" s="123">
        <f t="shared" si="101"/>
        <v>0</v>
      </c>
      <c r="IW49" s="123"/>
      <c r="IX49" s="297">
        <f t="shared" si="102"/>
        <v>0</v>
      </c>
      <c r="IY49" s="74"/>
      <c r="IZ49" s="416">
        <f t="shared" si="103"/>
        <v>0</v>
      </c>
      <c r="JB49" s="90">
        <f t="shared" si="104"/>
        <v>1</v>
      </c>
      <c r="JC49" s="124">
        <f>IF(JB49=1,Cal!$BP$127,0)</f>
        <v>0</v>
      </c>
      <c r="JD49" s="73"/>
    </row>
    <row r="50" spans="1:264">
      <c r="A50" s="26">
        <f t="shared" ca="1" si="0"/>
        <v>5</v>
      </c>
      <c r="C50" s="33">
        <f t="shared" si="1"/>
        <v>0</v>
      </c>
      <c r="D50" s="123">
        <f t="shared" si="31"/>
        <v>0</v>
      </c>
      <c r="E50" s="123">
        <f t="shared" si="147"/>
        <v>0</v>
      </c>
      <c r="F50" s="123">
        <f t="shared" si="149"/>
        <v>0</v>
      </c>
      <c r="G50" s="123">
        <f>IF(L49&lt;0.01,0,IF(Adm!$S$4=Adm!$S$8,L49*$L$15,L49*Adm!$V$4))</f>
        <v>0</v>
      </c>
      <c r="H50" s="123">
        <f>IF(L49&lt;0.01,0,IF(Adm!$S$5=Adm!$S$8,Adm!$AA$11*$L$16/1.16,IF(Adm!$B$4=Adm!$A$119,0,Adm!$AA$11*Adm!$X$4/1.16)))</f>
        <v>0</v>
      </c>
      <c r="I50" s="123">
        <f>IF(L49&lt;0.01,0,Cal!$AB$126/1.16)</f>
        <v>0</v>
      </c>
      <c r="J50" s="123">
        <f t="shared" si="2"/>
        <v>0</v>
      </c>
      <c r="K50" s="123">
        <f>IF(Adm!$G$4="si",MIN(L49+D50+G50+H50+I50-J50,V50),0)</f>
        <v>0</v>
      </c>
      <c r="L50" s="123">
        <f t="shared" si="32"/>
        <v>0</v>
      </c>
      <c r="M50" s="74"/>
      <c r="N50" s="74"/>
      <c r="O50" s="407">
        <f t="shared" si="33"/>
        <v>0</v>
      </c>
      <c r="R50" s="90">
        <f t="shared" si="34"/>
        <v>2</v>
      </c>
      <c r="S50" s="121">
        <f>IF(R50=1,Cal!$AB$127,0)</f>
        <v>0</v>
      </c>
      <c r="U50" s="70">
        <f t="shared" si="105"/>
        <v>0</v>
      </c>
      <c r="V50" s="2178">
        <f t="shared" ca="1" si="35"/>
        <v>0</v>
      </c>
      <c r="X50" s="398"/>
      <c r="Z50" s="268">
        <f t="shared" si="3"/>
        <v>0</v>
      </c>
      <c r="AA50" s="2176">
        <f t="shared" si="36"/>
        <v>0</v>
      </c>
      <c r="AB50" s="33">
        <f t="shared" si="37"/>
        <v>0</v>
      </c>
      <c r="AC50" s="33">
        <f t="shared" si="38"/>
        <v>0</v>
      </c>
      <c r="AD50" s="33">
        <f>IF(AI49&lt;0.01,0,IF(Adm!$S$4=Adm!$S$8,AI49*$AI$15,AI49*Adm!$V$4))</f>
        <v>0</v>
      </c>
      <c r="AE50" s="33"/>
      <c r="AF50" s="33"/>
      <c r="AG50" s="33">
        <f t="shared" si="4"/>
        <v>0</v>
      </c>
      <c r="AH50" s="33"/>
      <c r="AI50" s="401">
        <f t="shared" si="5"/>
        <v>0</v>
      </c>
      <c r="AK50" s="410">
        <f t="shared" si="6"/>
        <v>0</v>
      </c>
      <c r="AN50" s="90">
        <f t="shared" si="39"/>
        <v>2</v>
      </c>
      <c r="AO50" s="121">
        <f>IF(AN50=1,Cal!$AC$127,0)</f>
        <v>0</v>
      </c>
      <c r="AS50" s="200"/>
      <c r="AU50" s="268">
        <f t="shared" si="7"/>
        <v>0</v>
      </c>
      <c r="AV50" s="2177">
        <f t="shared" si="40"/>
        <v>0</v>
      </c>
      <c r="AW50" s="123">
        <f t="shared" si="8"/>
        <v>0</v>
      </c>
      <c r="AX50" s="123">
        <f t="shared" si="41"/>
        <v>0</v>
      </c>
      <c r="AY50" s="123">
        <f>IF(BC49&lt;0.01,0,IF(Adm!$S$4=Adm!$S$8,BC49*$BC$16,BC49*Adm!$V$4))</f>
        <v>0</v>
      </c>
      <c r="AZ50" s="123"/>
      <c r="BA50" s="123">
        <f>IF(BC49&lt;0.01,0,Adm!$Q$6)</f>
        <v>0</v>
      </c>
      <c r="BB50" s="123">
        <f t="shared" si="42"/>
        <v>0</v>
      </c>
      <c r="BC50" s="297">
        <f t="shared" si="43"/>
        <v>0</v>
      </c>
      <c r="BE50" s="425">
        <f t="shared" si="9"/>
        <v>0</v>
      </c>
      <c r="BH50" s="90">
        <f t="shared" si="44"/>
        <v>2</v>
      </c>
      <c r="BI50" s="121">
        <f>IF(BH50=1,Cal!$AD$127,0)</f>
        <v>0</v>
      </c>
      <c r="BM50" s="221"/>
      <c r="BO50" s="295">
        <f t="shared" ca="1" si="10"/>
        <v>5</v>
      </c>
      <c r="BP50" s="268">
        <f t="shared" si="11"/>
        <v>0</v>
      </c>
      <c r="BQ50" s="123">
        <f t="shared" si="45"/>
        <v>0</v>
      </c>
      <c r="BR50" s="123">
        <f t="shared" si="148"/>
        <v>0</v>
      </c>
      <c r="BS50" s="123">
        <f t="shared" si="150"/>
        <v>0</v>
      </c>
      <c r="BT50" s="123">
        <f>IF(BZ49&lt;0.01,0,IF(Plus!$F$22=Plus!$AN$4,BZ49*$BZ$15,IF(Plus!$F$22=Plus!$AN$3,BZ49*Plus!$F$23/1000,BZ49*VLOOKUP(Plus!$G$21,Plus!$AP$2:'Plus'!$AQ$5,2,0))))</f>
        <v>0</v>
      </c>
      <c r="BU50" s="123">
        <f>IF(BZ49&lt;0.01,0,IF(Plus!$F$24=Plus!$AO$3,Plus!$G$13*Plus!$AR$2/1.16,IF(Plus!$F$10=Plus!$AK$7,0,Plus!$G$13*Plus!$AR$2/1.16)))</f>
        <v>0</v>
      </c>
      <c r="BV50" s="123">
        <f>IF(BZ49&lt;0.01,0,Plus!$BD$2)</f>
        <v>0</v>
      </c>
      <c r="BW50" s="123"/>
      <c r="BX50" s="123">
        <f t="shared" si="12"/>
        <v>0</v>
      </c>
      <c r="BY50" s="123">
        <f>IF(Plus!$F$10=Plus!$AK$3,MIN(BZ49+BQ50+BT50+BU50+BV50-BX50,CJ50),0)</f>
        <v>0</v>
      </c>
      <c r="BZ50" s="297">
        <f t="shared" si="144"/>
        <v>0</v>
      </c>
      <c r="CA50" s="74"/>
      <c r="CB50" s="74"/>
      <c r="CC50" s="413">
        <f t="shared" si="47"/>
        <v>0</v>
      </c>
      <c r="CF50" s="90">
        <f t="shared" si="48"/>
        <v>2</v>
      </c>
      <c r="CG50" s="121">
        <f t="shared" si="106"/>
        <v>0</v>
      </c>
      <c r="CI50" s="70">
        <f t="shared" si="107"/>
        <v>0</v>
      </c>
      <c r="CJ50" s="2178">
        <f t="shared" ca="1" si="49"/>
        <v>0</v>
      </c>
      <c r="CL50" s="161"/>
      <c r="CN50" s="308">
        <f t="shared" ca="1" si="13"/>
        <v>5</v>
      </c>
      <c r="CO50" s="309">
        <f t="shared" si="50"/>
        <v>0</v>
      </c>
      <c r="CP50" s="268">
        <f t="shared" si="14"/>
        <v>0</v>
      </c>
      <c r="CQ50" s="123">
        <f t="shared" si="51"/>
        <v>0</v>
      </c>
      <c r="CR50" s="123">
        <f t="shared" si="137"/>
        <v>0</v>
      </c>
      <c r="CS50" s="123">
        <f t="shared" si="138"/>
        <v>0</v>
      </c>
      <c r="CT50" s="33">
        <f>IF(CZ49&lt;0.01,0,IF(Plus!$F$22=Plus!$AN$4,0,IF(Plus!$F$22=Plus!$AN$3,CZ49*Plus!$F$23/1000,CZ49*VLOOKUP(Plus!$G$21,Plus!$AP$2:'Plus'!$AQ$5,2,0))))</f>
        <v>0</v>
      </c>
      <c r="CU50" s="123">
        <f>IF(CZ49&lt;0.01,0,IF(Plus!$F$24=Plus!$AO$3,0,IF(OR(Plus!$F$10=Plus!$AK$7,Plus!$F$10=Plus!$AK$13),0,Plus!$G$13*Plus!$AR$2)))</f>
        <v>0</v>
      </c>
      <c r="CV50" s="123">
        <f>IF(CZ49&lt;0.01,0,IF(OR(Plus!$F$10=Plus!$AK$7,Plus!$F$10=Plus!$AK$13),0,Plus!$BD$2*1.16))</f>
        <v>0</v>
      </c>
      <c r="CW50" s="123">
        <f>IF(CZ49&lt;0.01,0,IF(Plus!$AS$2&gt;0,CQ50*Plus!$AS$3,0))</f>
        <v>0</v>
      </c>
      <c r="CX50" s="123">
        <f t="shared" si="52"/>
        <v>0</v>
      </c>
      <c r="CY50" s="123">
        <f>IF(Plus!$F$10=Plus!$AK$3,MIN(CZ49+CQ50+CT50+CU50+CV50-CX50,DK50),0)</f>
        <v>0</v>
      </c>
      <c r="CZ50" s="297">
        <f t="shared" si="146"/>
        <v>0</v>
      </c>
      <c r="DA50" s="306">
        <f>Plus!O91</f>
        <v>0</v>
      </c>
      <c r="DB50" s="74"/>
      <c r="DC50" s="74"/>
      <c r="DD50" s="407">
        <f t="shared" si="54"/>
        <v>0</v>
      </c>
      <c r="DG50" s="90">
        <f t="shared" si="55"/>
        <v>2</v>
      </c>
      <c r="DH50" s="121">
        <f t="shared" si="108"/>
        <v>0</v>
      </c>
      <c r="DJ50" s="149">
        <f t="shared" si="109"/>
        <v>0</v>
      </c>
      <c r="DK50" s="2179">
        <f t="shared" ca="1" si="56"/>
        <v>0</v>
      </c>
      <c r="DN50" s="120">
        <f t="shared" si="110"/>
        <v>0</v>
      </c>
      <c r="DO50" s="110">
        <f t="shared" si="57"/>
        <v>0</v>
      </c>
      <c r="DP50" s="110">
        <f t="shared" si="124"/>
        <v>0</v>
      </c>
      <c r="DQ50" s="109">
        <f t="shared" si="58"/>
        <v>0</v>
      </c>
      <c r="DR50" s="109">
        <f t="shared" si="59"/>
        <v>0</v>
      </c>
      <c r="DS50" s="113">
        <f t="shared" si="60"/>
        <v>0</v>
      </c>
      <c r="DU50" s="102">
        <f t="shared" si="61"/>
        <v>0</v>
      </c>
      <c r="DV50" s="211">
        <f t="shared" si="125"/>
        <v>26</v>
      </c>
      <c r="DW50" s="212">
        <f t="shared" si="62"/>
        <v>0</v>
      </c>
      <c r="DX50" s="212">
        <f t="shared" si="15"/>
        <v>0</v>
      </c>
      <c r="DY50" s="212">
        <f t="shared" si="111"/>
        <v>0</v>
      </c>
      <c r="DZ50" s="213">
        <f t="shared" si="16"/>
        <v>1000000</v>
      </c>
      <c r="ED50" s="182"/>
      <c r="EF50" s="308">
        <f t="shared" ca="1" si="17"/>
        <v>5</v>
      </c>
      <c r="EG50" s="309">
        <f t="shared" si="63"/>
        <v>0</v>
      </c>
      <c r="EH50" s="268">
        <f t="shared" si="18"/>
        <v>0</v>
      </c>
      <c r="EI50" s="33">
        <f t="shared" si="64"/>
        <v>0</v>
      </c>
      <c r="EJ50" s="33">
        <f t="shared" si="139"/>
        <v>0</v>
      </c>
      <c r="EK50" s="33">
        <f t="shared" si="151"/>
        <v>0</v>
      </c>
      <c r="EL50" s="33">
        <f>IF(ER49&lt;0.01,0,IF(Plus!$F$22=Plus!$AN$4,0,IF(Plus!$F$22=Plus!$AN$3,ER49*Plus!$F$23/1000,ER49*VLOOKUP(Plus!$G$21,Plus!$AP$2:'Plus'!$AQ$5,2,0))))</f>
        <v>0</v>
      </c>
      <c r="EM50" s="33">
        <f>IF(ER49&lt;0.01,0,IF(Plus!$F$24=Plus!$AO$3,0,IF(OR(Plus!$F$10=Plus!$AK$7,Plus!$F$10=Plus!$AK$13),0,Plus!$G$13*Plus!$AR$2)))</f>
        <v>0</v>
      </c>
      <c r="EN50" s="33">
        <f>IF(ER49&lt;0.01,0,IF(OR(Plus!$F$10=Plus!$AK$7,Plus!$F$10=Plus!$AK$13),0,Plus!$BD$2*1.16))</f>
        <v>0</v>
      </c>
      <c r="EO50" s="33">
        <f>IF(ER49&lt;0.01,0,IF(Plus!$AS$2&gt;0,EI50*Plus!$AS$3,0))</f>
        <v>0</v>
      </c>
      <c r="EP50" s="33">
        <f t="shared" si="65"/>
        <v>0</v>
      </c>
      <c r="EQ50" s="33">
        <f>IF(Plus!$F$10=Plus!$AK$3,MIN(ER49+EI50+EL50+EM50+EN50-EP50,FC50),0)</f>
        <v>0</v>
      </c>
      <c r="ER50" s="311">
        <f t="shared" si="145"/>
        <v>0</v>
      </c>
      <c r="ES50" s="340">
        <f>Plus!O91</f>
        <v>0</v>
      </c>
      <c r="ET50" s="74"/>
      <c r="EU50" s="74"/>
      <c r="EV50" s="416">
        <f t="shared" si="134"/>
        <v>0</v>
      </c>
      <c r="EY50" s="90">
        <f t="shared" si="68"/>
        <v>2</v>
      </c>
      <c r="EZ50" s="121">
        <f t="shared" si="112"/>
        <v>0</v>
      </c>
      <c r="FB50" s="149">
        <f t="shared" si="113"/>
        <v>0</v>
      </c>
      <c r="FC50" s="2179">
        <f t="shared" ca="1" si="69"/>
        <v>0</v>
      </c>
      <c r="FE50" s="120">
        <f t="shared" si="114"/>
        <v>0</v>
      </c>
      <c r="FF50" s="110">
        <f t="shared" si="70"/>
        <v>0</v>
      </c>
      <c r="FG50" s="110">
        <f t="shared" si="71"/>
        <v>0</v>
      </c>
      <c r="FH50" s="109">
        <f t="shared" si="72"/>
        <v>0</v>
      </c>
      <c r="FI50" s="109">
        <f t="shared" si="19"/>
        <v>0</v>
      </c>
      <c r="FJ50" s="113">
        <f t="shared" si="73"/>
        <v>0</v>
      </c>
      <c r="FL50" s="102">
        <f t="shared" si="74"/>
        <v>0</v>
      </c>
      <c r="FM50" s="211">
        <f t="shared" si="127"/>
        <v>26</v>
      </c>
      <c r="FN50" s="212">
        <f t="shared" si="75"/>
        <v>0</v>
      </c>
      <c r="FO50" s="212">
        <f t="shared" si="20"/>
        <v>0</v>
      </c>
      <c r="FP50" s="212">
        <f t="shared" ref="FP50:FP60" si="152">MIN(FQ49+FN50,FP49)</f>
        <v>0</v>
      </c>
      <c r="FQ50" s="213">
        <f t="shared" si="21"/>
        <v>1000000</v>
      </c>
      <c r="FV50" s="359"/>
      <c r="FX50" s="308">
        <f t="shared" ca="1" si="22"/>
        <v>5</v>
      </c>
      <c r="FY50" s="309">
        <f t="shared" si="76"/>
        <v>0</v>
      </c>
      <c r="FZ50" s="268">
        <f t="shared" si="23"/>
        <v>0</v>
      </c>
      <c r="GA50" s="33">
        <f t="shared" si="77"/>
        <v>0</v>
      </c>
      <c r="GB50" s="33">
        <f t="shared" si="141"/>
        <v>0</v>
      </c>
      <c r="GC50" s="33">
        <f t="shared" si="142"/>
        <v>0</v>
      </c>
      <c r="GD50" s="33">
        <f>IF(GJ49&lt;0.01,0,IF(Plus!$F$22=Plus!$AN$4,0,IF(Plus!$F$22=Plus!$AN$3,GJ49*Plus!$F$23/1000,GJ49*VLOOKUP(Plus!$G$21,Plus!$AP$2:$AQ$5,2,0))))</f>
        <v>0</v>
      </c>
      <c r="GE50" s="33">
        <f>IF(GJ49&lt;0.01,0,IF(Plus!$F$24=Plus!$AO$3,0,IF(OR(Plus!$F$10=Plus!$AK$7,Plus!$F$10=Plus!$AK$13,Plus!$F$10=Plus!$AK$14),0,IF(OR(Plus!$F$10=Plus!$AK$10,Plus!$F$10=Plus!$AK$11),Plus!$G$13*Adm!$W$7,Plus!$G$13*Adm!$X$4))))</f>
        <v>0</v>
      </c>
      <c r="GF50" s="33">
        <f>IF(GJ49&lt;0.01,0,IF(OR(Plus!$F$10=Plus!$AK$7,Plus!$F$10=Plus!$AK$13),0,Plus!$BD$2*1.16))</f>
        <v>0</v>
      </c>
      <c r="GG50" s="33">
        <f>IF(GJ49&lt;0.01,0,IF(Plus!$AS$2&gt;0,GA50*Plus!$AS$3,0))</f>
        <v>0</v>
      </c>
      <c r="GH50" s="33">
        <f t="shared" si="78"/>
        <v>0</v>
      </c>
      <c r="GI50" s="33">
        <f>IF(Plus!$F$10=Plus!$AK$3,MIN(GJ49+GA50+GD50+GE50+GF50-GH50,GU50),0)</f>
        <v>0</v>
      </c>
      <c r="GJ50" s="311">
        <f t="shared" si="136"/>
        <v>0</v>
      </c>
      <c r="GK50" s="340">
        <f>Plus!O91</f>
        <v>0</v>
      </c>
      <c r="GL50" s="74"/>
      <c r="GM50" s="74"/>
      <c r="GN50" s="419">
        <f t="shared" si="135"/>
        <v>0</v>
      </c>
      <c r="GQ50" s="90">
        <f t="shared" si="80"/>
        <v>2</v>
      </c>
      <c r="GR50" s="121">
        <f t="shared" si="116"/>
        <v>0</v>
      </c>
      <c r="GT50" s="149">
        <f t="shared" si="117"/>
        <v>0</v>
      </c>
      <c r="GU50" s="2179">
        <f t="shared" ca="1" si="81"/>
        <v>0</v>
      </c>
      <c r="GW50" s="120">
        <f t="shared" si="118"/>
        <v>0</v>
      </c>
      <c r="GX50" s="110">
        <f t="shared" si="82"/>
        <v>0</v>
      </c>
      <c r="GY50" s="110">
        <f t="shared" si="83"/>
        <v>0</v>
      </c>
      <c r="GZ50" s="109">
        <f t="shared" si="84"/>
        <v>0</v>
      </c>
      <c r="HA50" s="109">
        <f t="shared" si="24"/>
        <v>0</v>
      </c>
      <c r="HB50" s="113">
        <f t="shared" si="85"/>
        <v>0</v>
      </c>
      <c r="HD50" s="102">
        <f t="shared" si="86"/>
        <v>0</v>
      </c>
      <c r="HE50" s="211">
        <f t="shared" si="129"/>
        <v>26</v>
      </c>
      <c r="HF50" s="212">
        <f t="shared" si="87"/>
        <v>0</v>
      </c>
      <c r="HG50" s="212">
        <f t="shared" si="25"/>
        <v>0</v>
      </c>
      <c r="HH50" s="212">
        <f t="shared" ref="HH50:HH60" si="153">MIN(HI49+HF50,HH49)</f>
        <v>0</v>
      </c>
      <c r="HI50" s="213">
        <f t="shared" si="26"/>
        <v>1000000</v>
      </c>
      <c r="HL50" s="182"/>
      <c r="HM50" s="26">
        <f t="shared" ca="1" si="27"/>
        <v>5</v>
      </c>
      <c r="HO50" s="268">
        <f t="shared" si="28"/>
        <v>0</v>
      </c>
      <c r="HP50" s="421">
        <f t="shared" si="120"/>
        <v>0</v>
      </c>
      <c r="HQ50" s="123">
        <f t="shared" si="88"/>
        <v>0</v>
      </c>
      <c r="HR50" s="123">
        <f t="shared" si="89"/>
        <v>0</v>
      </c>
      <c r="HS50" s="123">
        <f t="shared" si="90"/>
        <v>0</v>
      </c>
      <c r="HT50" s="123">
        <f>IF(HY49&lt;0.01,0,IF(Adm!$GS$4=Adm!$GS$8,HY49*$HY$15,IF(Adm!$GS$12=Adm!$GS$13,0,HY49*Adm!$GV$4)))</f>
        <v>0</v>
      </c>
      <c r="HU50" s="123">
        <f>IF(HY49&lt;0.01,0,IF(Adm!$GS$5=Adm!$GS$8,Cal!$BO$108*$HY$16/1.16,IF(Adm!$GS$12=Adm!$GS$13,0,Cal!$BO$108*Adm!$GW$4/1.16)))</f>
        <v>0</v>
      </c>
      <c r="HV50" s="123">
        <f t="shared" si="91"/>
        <v>0</v>
      </c>
      <c r="HW50" s="123">
        <f t="shared" si="92"/>
        <v>0</v>
      </c>
      <c r="HX50" s="123">
        <f>IF(Adm!$GH$6="si",MIN(HY49+HQ50+HT50+HU50+HV50-HW50,IH50),0)</f>
        <v>0</v>
      </c>
      <c r="HY50" s="297">
        <f t="shared" si="93"/>
        <v>0</v>
      </c>
      <c r="HZ50" s="74"/>
      <c r="IA50" s="407">
        <f t="shared" si="94"/>
        <v>0</v>
      </c>
      <c r="IC50" s="90">
        <f t="shared" si="95"/>
        <v>2</v>
      </c>
      <c r="ID50" s="124">
        <f>IF(IC50=1,Cal!$BO$127,0)</f>
        <v>0</v>
      </c>
      <c r="IE50" s="73"/>
      <c r="IG50" s="70">
        <f t="shared" si="121"/>
        <v>0</v>
      </c>
      <c r="IH50" s="2178">
        <f t="shared" ca="1" si="96"/>
        <v>0</v>
      </c>
      <c r="IK50" s="217"/>
      <c r="IL50" s="26">
        <f t="shared" ca="1" si="29"/>
        <v>5</v>
      </c>
      <c r="IN50" s="268">
        <f t="shared" si="30"/>
        <v>0</v>
      </c>
      <c r="IO50" s="421">
        <f t="shared" si="122"/>
        <v>0</v>
      </c>
      <c r="IP50" s="123">
        <f t="shared" si="97"/>
        <v>0</v>
      </c>
      <c r="IQ50" s="123">
        <f t="shared" si="98"/>
        <v>0</v>
      </c>
      <c r="IR50" s="123">
        <f t="shared" si="99"/>
        <v>0</v>
      </c>
      <c r="IS50" s="123">
        <f>IF(IX49&lt;0.01,0,IF(Adm!$GS$4=Adm!$GS$8,IX49*$IX$15,IF(Adm!$GS$12=Adm!$GS$13,0,IX49*Adm!$GV$4)))</f>
        <v>0</v>
      </c>
      <c r="IT50" s="123"/>
      <c r="IU50" s="123">
        <f t="shared" si="100"/>
        <v>0</v>
      </c>
      <c r="IV50" s="123">
        <f t="shared" si="101"/>
        <v>0</v>
      </c>
      <c r="IW50" s="123"/>
      <c r="IX50" s="297">
        <f t="shared" si="102"/>
        <v>0</v>
      </c>
      <c r="IY50" s="74"/>
      <c r="IZ50" s="416">
        <f t="shared" si="103"/>
        <v>0</v>
      </c>
      <c r="JB50" s="90">
        <f t="shared" si="104"/>
        <v>2</v>
      </c>
      <c r="JC50" s="124">
        <f>IF(JB50=1,Cal!$BP$127,0)</f>
        <v>0</v>
      </c>
      <c r="JD50" s="73"/>
    </row>
    <row r="51" spans="1:264">
      <c r="A51" s="26">
        <f t="shared" ca="1" si="0"/>
        <v>6</v>
      </c>
      <c r="C51" s="33">
        <f t="shared" si="1"/>
        <v>0</v>
      </c>
      <c r="D51" s="123">
        <f t="shared" si="31"/>
        <v>0</v>
      </c>
      <c r="E51" s="123">
        <f t="shared" si="147"/>
        <v>0</v>
      </c>
      <c r="F51" s="123">
        <f t="shared" si="149"/>
        <v>0</v>
      </c>
      <c r="G51" s="123">
        <f>IF(L50&lt;0.01,0,IF(Adm!$S$4=Adm!$S$8,L50*$L$15,L50*Adm!$V$4))</f>
        <v>0</v>
      </c>
      <c r="H51" s="123">
        <f>IF(L50&lt;0.01,0,IF(Adm!$S$5=Adm!$S$8,Adm!$AA$11*$L$16/1.16,IF(Adm!$B$4=Adm!$A$119,0,Adm!$AA$11*Adm!$X$4/1.16)))</f>
        <v>0</v>
      </c>
      <c r="I51" s="123">
        <f>IF(L50&lt;0.01,0,Cal!$AB$126/1.16)</f>
        <v>0</v>
      </c>
      <c r="J51" s="123">
        <f t="shared" si="2"/>
        <v>0</v>
      </c>
      <c r="K51" s="123">
        <f>IF(Adm!$G$4="si",MIN(L50+D51+G51+H51+I51-J51,V51),0)</f>
        <v>0</v>
      </c>
      <c r="L51" s="123">
        <f t="shared" si="32"/>
        <v>0</v>
      </c>
      <c r="M51" s="74"/>
      <c r="N51" s="74"/>
      <c r="O51" s="407">
        <f t="shared" si="33"/>
        <v>0</v>
      </c>
      <c r="R51" s="90">
        <f t="shared" si="34"/>
        <v>3</v>
      </c>
      <c r="S51" s="121">
        <f>IF(R51=1,Cal!$AB$127,0)</f>
        <v>0</v>
      </c>
      <c r="U51" s="70">
        <f t="shared" si="105"/>
        <v>0</v>
      </c>
      <c r="V51" s="2178">
        <f t="shared" ca="1" si="35"/>
        <v>0</v>
      </c>
      <c r="X51" s="398"/>
      <c r="Z51" s="268">
        <f t="shared" si="3"/>
        <v>0</v>
      </c>
      <c r="AA51" s="2176">
        <f t="shared" si="36"/>
        <v>0</v>
      </c>
      <c r="AB51" s="33">
        <f t="shared" si="37"/>
        <v>0</v>
      </c>
      <c r="AC51" s="33">
        <f t="shared" si="38"/>
        <v>0</v>
      </c>
      <c r="AD51" s="33">
        <f>IF(AI50&lt;0.01,0,IF(Adm!$S$4=Adm!$S$8,AI50*$AI$15,AI50*Adm!$V$4))</f>
        <v>0</v>
      </c>
      <c r="AE51" s="33"/>
      <c r="AF51" s="33"/>
      <c r="AG51" s="33">
        <f t="shared" si="4"/>
        <v>0</v>
      </c>
      <c r="AH51" s="33"/>
      <c r="AI51" s="401">
        <f t="shared" si="5"/>
        <v>0</v>
      </c>
      <c r="AK51" s="410">
        <f t="shared" si="6"/>
        <v>0</v>
      </c>
      <c r="AN51" s="90">
        <f t="shared" si="39"/>
        <v>3</v>
      </c>
      <c r="AO51" s="121">
        <f>IF(AN51=1,Cal!$AC$127,0)</f>
        <v>0</v>
      </c>
      <c r="AS51" s="200"/>
      <c r="AU51" s="268">
        <f t="shared" si="7"/>
        <v>0</v>
      </c>
      <c r="AV51" s="2177">
        <f t="shared" si="40"/>
        <v>0</v>
      </c>
      <c r="AW51" s="123">
        <f t="shared" si="8"/>
        <v>0</v>
      </c>
      <c r="AX51" s="123">
        <f t="shared" si="41"/>
        <v>0</v>
      </c>
      <c r="AY51" s="123">
        <f>IF(BC50&lt;0.01,0,IF(Adm!$S$4=Adm!$S$8,BC50*$BC$16,BC50*Adm!$V$4))</f>
        <v>0</v>
      </c>
      <c r="AZ51" s="123"/>
      <c r="BA51" s="123">
        <f>IF(BC50&lt;0.01,0,Adm!$Q$6)</f>
        <v>0</v>
      </c>
      <c r="BB51" s="123">
        <f t="shared" si="42"/>
        <v>0</v>
      </c>
      <c r="BC51" s="297">
        <f t="shared" si="43"/>
        <v>0</v>
      </c>
      <c r="BE51" s="425">
        <f t="shared" si="9"/>
        <v>0</v>
      </c>
      <c r="BH51" s="90">
        <f t="shared" si="44"/>
        <v>3</v>
      </c>
      <c r="BI51" s="121">
        <f>IF(BH51=1,Cal!$AD$127,0)</f>
        <v>0</v>
      </c>
      <c r="BM51" s="221"/>
      <c r="BO51" s="295">
        <f t="shared" ca="1" si="10"/>
        <v>6</v>
      </c>
      <c r="BP51" s="268">
        <f t="shared" si="11"/>
        <v>0</v>
      </c>
      <c r="BQ51" s="123">
        <f t="shared" si="45"/>
        <v>0</v>
      </c>
      <c r="BR51" s="123">
        <f t="shared" si="148"/>
        <v>0</v>
      </c>
      <c r="BS51" s="123">
        <f t="shared" si="150"/>
        <v>0</v>
      </c>
      <c r="BT51" s="123">
        <f>IF(BZ50&lt;0.01,0,IF(Plus!$F$22=Plus!$AN$4,BZ50*$BZ$15,IF(Plus!$F$22=Plus!$AN$3,BZ50*Plus!$F$23/1000,BZ50*VLOOKUP(Plus!$G$21,Plus!$AP$2:'Plus'!$AQ$5,2,0))))</f>
        <v>0</v>
      </c>
      <c r="BU51" s="123">
        <f>IF(BZ50&lt;0.01,0,IF(Plus!$F$24=Plus!$AO$3,Plus!$G$13*Plus!$AR$2/1.16,IF(Plus!$F$10=Plus!$AK$7,0,Plus!$G$13*Plus!$AR$2/1.16)))</f>
        <v>0</v>
      </c>
      <c r="BV51" s="123">
        <f>IF(BZ50&lt;0.01,0,Plus!$BD$2)</f>
        <v>0</v>
      </c>
      <c r="BW51" s="123"/>
      <c r="BX51" s="123">
        <f t="shared" si="12"/>
        <v>0</v>
      </c>
      <c r="BY51" s="123">
        <f>IF(Plus!$F$10=Plus!$AK$3,MIN(BZ50+BQ51+BT51+BU51+BV51-BX51,CJ51),0)</f>
        <v>0</v>
      </c>
      <c r="BZ51" s="297">
        <f t="shared" si="144"/>
        <v>0</v>
      </c>
      <c r="CA51" s="74"/>
      <c r="CB51" s="74"/>
      <c r="CC51" s="413">
        <f t="shared" si="47"/>
        <v>0</v>
      </c>
      <c r="CF51" s="90">
        <f t="shared" si="48"/>
        <v>3</v>
      </c>
      <c r="CG51" s="121">
        <f t="shared" si="106"/>
        <v>0</v>
      </c>
      <c r="CI51" s="70">
        <f t="shared" si="107"/>
        <v>0</v>
      </c>
      <c r="CJ51" s="2178">
        <f t="shared" ca="1" si="49"/>
        <v>0</v>
      </c>
      <c r="CL51" s="161"/>
      <c r="CN51" s="308">
        <f t="shared" ca="1" si="13"/>
        <v>6</v>
      </c>
      <c r="CO51" s="309">
        <f t="shared" si="50"/>
        <v>0</v>
      </c>
      <c r="CP51" s="268">
        <f t="shared" si="14"/>
        <v>0</v>
      </c>
      <c r="CQ51" s="123">
        <f t="shared" si="51"/>
        <v>0</v>
      </c>
      <c r="CR51" s="123">
        <f t="shared" si="137"/>
        <v>0</v>
      </c>
      <c r="CS51" s="123">
        <f t="shared" si="138"/>
        <v>0</v>
      </c>
      <c r="CT51" s="33">
        <f>IF(CZ50&lt;0.01,0,IF(Plus!$F$22=Plus!$AN$4,0,IF(Plus!$F$22=Plus!$AN$3,CZ50*Plus!$F$23/1000,CZ50*VLOOKUP(Plus!$G$21,Plus!$AP$2:'Plus'!$AQ$5,2,0))))</f>
        <v>0</v>
      </c>
      <c r="CU51" s="123">
        <f>IF(CZ50&lt;0.01,0,IF(Plus!$F$24=Plus!$AO$3,0,IF(OR(Plus!$F$10=Plus!$AK$7,Plus!$F$10=Plus!$AK$13),0,Plus!$G$13*Plus!$AR$2)))</f>
        <v>0</v>
      </c>
      <c r="CV51" s="123">
        <f>IF(CZ50&lt;0.01,0,IF(OR(Plus!$F$10=Plus!$AK$7,Plus!$F$10=Plus!$AK$13),0,Plus!$BD$2*1.16))</f>
        <v>0</v>
      </c>
      <c r="CW51" s="123">
        <f>IF(CZ50&lt;0.01,0,IF(Plus!$AS$2&gt;0,CQ51*Plus!$AS$3,0))</f>
        <v>0</v>
      </c>
      <c r="CX51" s="123">
        <f t="shared" si="52"/>
        <v>0</v>
      </c>
      <c r="CY51" s="123">
        <f>IF(Plus!$F$10=Plus!$AK$3,MIN(CZ50+CQ51+CT51+CU51+CV51-CX51,DK51),0)</f>
        <v>0</v>
      </c>
      <c r="CZ51" s="297">
        <f t="shared" si="146"/>
        <v>0</v>
      </c>
      <c r="DA51" s="306">
        <f>Plus!O92</f>
        <v>0</v>
      </c>
      <c r="DB51" s="74"/>
      <c r="DC51" s="74"/>
      <c r="DD51" s="407">
        <f t="shared" si="54"/>
        <v>0</v>
      </c>
      <c r="DG51" s="90">
        <f t="shared" si="55"/>
        <v>3</v>
      </c>
      <c r="DH51" s="121">
        <f t="shared" si="108"/>
        <v>0</v>
      </c>
      <c r="DJ51" s="149">
        <f t="shared" si="109"/>
        <v>0</v>
      </c>
      <c r="DK51" s="2179">
        <f t="shared" ca="1" si="56"/>
        <v>0</v>
      </c>
      <c r="DN51" s="120">
        <f t="shared" si="110"/>
        <v>0</v>
      </c>
      <c r="DO51" s="110">
        <f t="shared" si="57"/>
        <v>0</v>
      </c>
      <c r="DP51" s="110">
        <f t="shared" si="124"/>
        <v>0</v>
      </c>
      <c r="DQ51" s="109">
        <f t="shared" si="58"/>
        <v>0</v>
      </c>
      <c r="DR51" s="109">
        <f t="shared" si="59"/>
        <v>0</v>
      </c>
      <c r="DS51" s="113">
        <f t="shared" si="60"/>
        <v>0</v>
      </c>
      <c r="DU51" s="102">
        <f t="shared" si="61"/>
        <v>0</v>
      </c>
      <c r="DV51" s="211">
        <f t="shared" si="125"/>
        <v>27</v>
      </c>
      <c r="DW51" s="212">
        <f t="shared" si="62"/>
        <v>0</v>
      </c>
      <c r="DX51" s="212">
        <f t="shared" si="15"/>
        <v>0</v>
      </c>
      <c r="DY51" s="212">
        <f t="shared" si="111"/>
        <v>0</v>
      </c>
      <c r="DZ51" s="213">
        <f t="shared" si="16"/>
        <v>1000000</v>
      </c>
      <c r="ED51" s="182"/>
      <c r="EF51" s="308">
        <f t="shared" ca="1" si="17"/>
        <v>6</v>
      </c>
      <c r="EG51" s="309">
        <f t="shared" si="63"/>
        <v>0</v>
      </c>
      <c r="EH51" s="268">
        <f t="shared" si="18"/>
        <v>0</v>
      </c>
      <c r="EI51" s="33">
        <f t="shared" si="64"/>
        <v>0</v>
      </c>
      <c r="EJ51" s="33">
        <f t="shared" si="139"/>
        <v>0</v>
      </c>
      <c r="EK51" s="33">
        <f t="shared" si="151"/>
        <v>0</v>
      </c>
      <c r="EL51" s="33">
        <f>IF(ER50&lt;0.01,0,IF(Plus!$F$22=Plus!$AN$4,0,IF(Plus!$F$22=Plus!$AN$3,ER50*Plus!$F$23/1000,ER50*VLOOKUP(Plus!$G$21,Plus!$AP$2:'Plus'!$AQ$5,2,0))))</f>
        <v>0</v>
      </c>
      <c r="EM51" s="33">
        <f>IF(ER50&lt;0.01,0,IF(Plus!$F$24=Plus!$AO$3,0,IF(OR(Plus!$F$10=Plus!$AK$7,Plus!$F$10=Plus!$AK$13),0,Plus!$G$13*Plus!$AR$2)))</f>
        <v>0</v>
      </c>
      <c r="EN51" s="33">
        <f>IF(ER50&lt;0.01,0,IF(OR(Plus!$F$10=Plus!$AK$7,Plus!$F$10=Plus!$AK$13),0,Plus!$BD$2*1.16))</f>
        <v>0</v>
      </c>
      <c r="EO51" s="33">
        <f>IF(ER50&lt;0.01,0,IF(Plus!$AS$2&gt;0,EI51*Plus!$AS$3,0))</f>
        <v>0</v>
      </c>
      <c r="EP51" s="33">
        <f t="shared" si="65"/>
        <v>0</v>
      </c>
      <c r="EQ51" s="33">
        <f>IF(Plus!$F$10=Plus!$AK$3,MIN(ER50+EI51+EL51+EM51+EN51-EP51,FC51),0)</f>
        <v>0</v>
      </c>
      <c r="ER51" s="311">
        <f t="shared" si="145"/>
        <v>0</v>
      </c>
      <c r="ES51" s="340">
        <f>Plus!O92</f>
        <v>0</v>
      </c>
      <c r="ET51" s="74"/>
      <c r="EU51" s="74"/>
      <c r="EV51" s="416">
        <f t="shared" si="134"/>
        <v>0</v>
      </c>
      <c r="EY51" s="90">
        <f t="shared" si="68"/>
        <v>3</v>
      </c>
      <c r="EZ51" s="121">
        <f t="shared" si="112"/>
        <v>0</v>
      </c>
      <c r="FB51" s="149">
        <f t="shared" si="113"/>
        <v>0</v>
      </c>
      <c r="FC51" s="2179">
        <f t="shared" ca="1" si="69"/>
        <v>0</v>
      </c>
      <c r="FE51" s="120">
        <f t="shared" si="114"/>
        <v>0</v>
      </c>
      <c r="FF51" s="110">
        <f t="shared" si="70"/>
        <v>0</v>
      </c>
      <c r="FG51" s="110">
        <f t="shared" si="71"/>
        <v>0</v>
      </c>
      <c r="FH51" s="109">
        <f t="shared" si="72"/>
        <v>0</v>
      </c>
      <c r="FI51" s="109">
        <f t="shared" si="19"/>
        <v>0</v>
      </c>
      <c r="FJ51" s="113">
        <f t="shared" si="73"/>
        <v>0</v>
      </c>
      <c r="FL51" s="102">
        <f t="shared" si="74"/>
        <v>0</v>
      </c>
      <c r="FM51" s="211">
        <f t="shared" si="127"/>
        <v>27</v>
      </c>
      <c r="FN51" s="212">
        <f t="shared" si="75"/>
        <v>0</v>
      </c>
      <c r="FO51" s="212">
        <f t="shared" si="20"/>
        <v>0</v>
      </c>
      <c r="FP51" s="212">
        <f t="shared" si="152"/>
        <v>0</v>
      </c>
      <c r="FQ51" s="213">
        <f t="shared" si="21"/>
        <v>1000000</v>
      </c>
      <c r="FV51" s="359"/>
      <c r="FX51" s="308">
        <f t="shared" ca="1" si="22"/>
        <v>6</v>
      </c>
      <c r="FY51" s="309">
        <f t="shared" si="76"/>
        <v>0</v>
      </c>
      <c r="FZ51" s="268">
        <f t="shared" si="23"/>
        <v>0</v>
      </c>
      <c r="GA51" s="33">
        <f t="shared" si="77"/>
        <v>0</v>
      </c>
      <c r="GB51" s="33">
        <f t="shared" si="141"/>
        <v>0</v>
      </c>
      <c r="GC51" s="33">
        <f t="shared" si="142"/>
        <v>0</v>
      </c>
      <c r="GD51" s="33">
        <f>IF(GJ50&lt;0.01,0,IF(Plus!$F$22=Plus!$AN$4,0,IF(Plus!$F$22=Plus!$AN$3,GJ50*Plus!$F$23/1000,GJ50*VLOOKUP(Plus!$G$21,Plus!$AP$2:$AQ$5,2,0))))</f>
        <v>0</v>
      </c>
      <c r="GE51" s="33">
        <f>IF(GJ50&lt;0.01,0,IF(Plus!$F$24=Plus!$AO$3,0,IF(OR(Plus!$F$10=Plus!$AK$7,Plus!$F$10=Plus!$AK$13,Plus!$F$10=Plus!$AK$14),0,IF(OR(Plus!$F$10=Plus!$AK$10,Plus!$F$10=Plus!$AK$11),Plus!$G$13*Adm!$W$7,Plus!$G$13*Adm!$X$4))))</f>
        <v>0</v>
      </c>
      <c r="GF51" s="33">
        <f>IF(GJ50&lt;0.01,0,IF(OR(Plus!$F$10=Plus!$AK$7,Plus!$F$10=Plus!$AK$13),0,Plus!$BD$2*1.16))</f>
        <v>0</v>
      </c>
      <c r="GG51" s="33">
        <f>IF(GJ50&lt;0.01,0,IF(Plus!$AS$2&gt;0,GA51*Plus!$AS$3,0))</f>
        <v>0</v>
      </c>
      <c r="GH51" s="33">
        <f t="shared" si="78"/>
        <v>0</v>
      </c>
      <c r="GI51" s="33">
        <f>IF(Plus!$F$10=Plus!$AK$3,MIN(GJ50+GA51+GD51+GE51+GF51-GH51,GU51),0)</f>
        <v>0</v>
      </c>
      <c r="GJ51" s="311">
        <f t="shared" si="136"/>
        <v>0</v>
      </c>
      <c r="GK51" s="340">
        <f>Plus!O92</f>
        <v>0</v>
      </c>
      <c r="GL51" s="74"/>
      <c r="GM51" s="74"/>
      <c r="GN51" s="419">
        <f t="shared" si="135"/>
        <v>0</v>
      </c>
      <c r="GQ51" s="90">
        <f t="shared" si="80"/>
        <v>3</v>
      </c>
      <c r="GR51" s="121">
        <f t="shared" si="116"/>
        <v>0</v>
      </c>
      <c r="GT51" s="149">
        <f t="shared" si="117"/>
        <v>0</v>
      </c>
      <c r="GU51" s="2179">
        <f t="shared" ca="1" si="81"/>
        <v>0</v>
      </c>
      <c r="GW51" s="120">
        <f t="shared" si="118"/>
        <v>0</v>
      </c>
      <c r="GX51" s="110">
        <f t="shared" si="82"/>
        <v>0</v>
      </c>
      <c r="GY51" s="110">
        <f t="shared" si="83"/>
        <v>0</v>
      </c>
      <c r="GZ51" s="109">
        <f t="shared" si="84"/>
        <v>0</v>
      </c>
      <c r="HA51" s="109">
        <f t="shared" si="24"/>
        <v>0</v>
      </c>
      <c r="HB51" s="113">
        <f t="shared" si="85"/>
        <v>0</v>
      </c>
      <c r="HD51" s="102">
        <f t="shared" si="86"/>
        <v>0</v>
      </c>
      <c r="HE51" s="211">
        <f t="shared" si="129"/>
        <v>27</v>
      </c>
      <c r="HF51" s="212">
        <f t="shared" si="87"/>
        <v>0</v>
      </c>
      <c r="HG51" s="212">
        <f t="shared" si="25"/>
        <v>0</v>
      </c>
      <c r="HH51" s="212">
        <f t="shared" si="153"/>
        <v>0</v>
      </c>
      <c r="HI51" s="213">
        <f t="shared" si="26"/>
        <v>1000000</v>
      </c>
      <c r="HL51" s="182"/>
      <c r="HM51" s="26">
        <f t="shared" ca="1" si="27"/>
        <v>6</v>
      </c>
      <c r="HO51" s="268">
        <f t="shared" si="28"/>
        <v>0</v>
      </c>
      <c r="HP51" s="421">
        <f t="shared" si="120"/>
        <v>0</v>
      </c>
      <c r="HQ51" s="123">
        <f t="shared" si="88"/>
        <v>0</v>
      </c>
      <c r="HR51" s="123">
        <f t="shared" si="89"/>
        <v>0</v>
      </c>
      <c r="HS51" s="123">
        <f t="shared" si="90"/>
        <v>0</v>
      </c>
      <c r="HT51" s="123">
        <f>IF(HY50&lt;0.01,0,IF(Adm!$GS$4=Adm!$GS$8,HY50*$HY$15,IF(Adm!$GS$12=Adm!$GS$13,0,HY50*Adm!$GV$4)))</f>
        <v>0</v>
      </c>
      <c r="HU51" s="123">
        <f>IF(HY50&lt;0.01,0,IF(Adm!$GS$5=Adm!$GS$8,Cal!$BO$108*$HY$16/1.16,IF(Adm!$GS$12=Adm!$GS$13,0,Cal!$BO$108*Adm!$GW$4/1.16)))</f>
        <v>0</v>
      </c>
      <c r="HV51" s="123">
        <f t="shared" si="91"/>
        <v>0</v>
      </c>
      <c r="HW51" s="123">
        <f t="shared" si="92"/>
        <v>0</v>
      </c>
      <c r="HX51" s="123">
        <f>IF(Adm!$GH$6="si",MIN(HY50+HQ51+HT51+HU51+HV51-HW51,IH51),0)</f>
        <v>0</v>
      </c>
      <c r="HY51" s="297">
        <f t="shared" si="93"/>
        <v>0</v>
      </c>
      <c r="HZ51" s="74"/>
      <c r="IA51" s="407">
        <f t="shared" si="94"/>
        <v>0</v>
      </c>
      <c r="IC51" s="90">
        <f t="shared" si="95"/>
        <v>3</v>
      </c>
      <c r="ID51" s="124">
        <f>IF(IC51=1,Cal!$BO$127,0)</f>
        <v>0</v>
      </c>
      <c r="IE51" s="73"/>
      <c r="IG51" s="70">
        <f t="shared" si="121"/>
        <v>0</v>
      </c>
      <c r="IH51" s="2178">
        <f t="shared" ca="1" si="96"/>
        <v>0</v>
      </c>
      <c r="IK51" s="217"/>
      <c r="IL51" s="26">
        <f t="shared" ca="1" si="29"/>
        <v>6</v>
      </c>
      <c r="IN51" s="268">
        <f t="shared" si="30"/>
        <v>0</v>
      </c>
      <c r="IO51" s="421">
        <f t="shared" si="122"/>
        <v>0</v>
      </c>
      <c r="IP51" s="123">
        <f t="shared" si="97"/>
        <v>0</v>
      </c>
      <c r="IQ51" s="123">
        <f t="shared" si="98"/>
        <v>0</v>
      </c>
      <c r="IR51" s="123">
        <f t="shared" si="99"/>
        <v>0</v>
      </c>
      <c r="IS51" s="123">
        <f>IF(IX50&lt;0.01,0,IF(Adm!$GS$4=Adm!$GS$8,IX50*$IX$15,IF(Adm!$GS$12=Adm!$GS$13,0,IX50*Adm!$GV$4)))</f>
        <v>0</v>
      </c>
      <c r="IT51" s="123"/>
      <c r="IU51" s="123">
        <f t="shared" si="100"/>
        <v>0</v>
      </c>
      <c r="IV51" s="123">
        <f t="shared" si="101"/>
        <v>0</v>
      </c>
      <c r="IW51" s="123"/>
      <c r="IX51" s="297">
        <f t="shared" si="102"/>
        <v>0</v>
      </c>
      <c r="IY51" s="74"/>
      <c r="IZ51" s="416">
        <f t="shared" si="103"/>
        <v>0</v>
      </c>
      <c r="JB51" s="90">
        <f t="shared" si="104"/>
        <v>3</v>
      </c>
      <c r="JC51" s="124">
        <f>IF(JB51=1,Cal!$BP$127,0)</f>
        <v>0</v>
      </c>
      <c r="JD51" s="73"/>
    </row>
    <row r="52" spans="1:264">
      <c r="A52" s="26">
        <f t="shared" ca="1" si="0"/>
        <v>7</v>
      </c>
      <c r="C52" s="33">
        <f t="shared" si="1"/>
        <v>0</v>
      </c>
      <c r="D52" s="123">
        <f t="shared" si="31"/>
        <v>0</v>
      </c>
      <c r="E52" s="123">
        <f t="shared" si="147"/>
        <v>0</v>
      </c>
      <c r="F52" s="123">
        <f t="shared" si="149"/>
        <v>0</v>
      </c>
      <c r="G52" s="123">
        <f>IF(L51&lt;0.01,0,IF(Adm!$S$4=Adm!$S$8,L51*$L$15,L51*Adm!$V$4))</f>
        <v>0</v>
      </c>
      <c r="H52" s="123">
        <f>IF(L51&lt;0.01,0,IF(Adm!$S$5=Adm!$S$8,Adm!$AA$11*$L$16/1.16,IF(Adm!$B$4=Adm!$A$119,0,Adm!$AA$11*Adm!$X$4/1.16)))</f>
        <v>0</v>
      </c>
      <c r="I52" s="123">
        <f>IF(L51&lt;0.01,0,Cal!$AB$126/1.16)</f>
        <v>0</v>
      </c>
      <c r="J52" s="123">
        <f t="shared" si="2"/>
        <v>0</v>
      </c>
      <c r="K52" s="123">
        <f>IF(Adm!$G$4="si",MIN(L51+D52+G52+H52+I52-J52,V52),0)</f>
        <v>0</v>
      </c>
      <c r="L52" s="123">
        <f t="shared" si="32"/>
        <v>0</v>
      </c>
      <c r="M52" s="74"/>
      <c r="N52" s="74"/>
      <c r="O52" s="407">
        <f t="shared" si="33"/>
        <v>0</v>
      </c>
      <c r="R52" s="90">
        <f t="shared" si="34"/>
        <v>4</v>
      </c>
      <c r="S52" s="121">
        <f>IF(R52=1,Cal!$AB$127,0)</f>
        <v>0</v>
      </c>
      <c r="U52" s="70">
        <f t="shared" si="105"/>
        <v>0</v>
      </c>
      <c r="V52" s="2178">
        <f t="shared" ca="1" si="35"/>
        <v>0</v>
      </c>
      <c r="X52" s="398"/>
      <c r="Z52" s="268">
        <f t="shared" si="3"/>
        <v>0</v>
      </c>
      <c r="AA52" s="2176">
        <f t="shared" si="36"/>
        <v>0</v>
      </c>
      <c r="AB52" s="33">
        <f t="shared" si="37"/>
        <v>0</v>
      </c>
      <c r="AC52" s="33">
        <f t="shared" si="38"/>
        <v>0</v>
      </c>
      <c r="AD52" s="33">
        <f>IF(AI51&lt;0.01,0,IF(Adm!$S$4=Adm!$S$8,AI51*$AI$15,AI51*Adm!$V$4))</f>
        <v>0</v>
      </c>
      <c r="AE52" s="33"/>
      <c r="AF52" s="33"/>
      <c r="AG52" s="33">
        <f t="shared" si="4"/>
        <v>0</v>
      </c>
      <c r="AH52" s="33"/>
      <c r="AI52" s="401">
        <f t="shared" si="5"/>
        <v>0</v>
      </c>
      <c r="AK52" s="410">
        <f t="shared" si="6"/>
        <v>0</v>
      </c>
      <c r="AN52" s="90">
        <f t="shared" si="39"/>
        <v>4</v>
      </c>
      <c r="AO52" s="121">
        <f>IF(AN52=1,Cal!$AC$127,0)</f>
        <v>0</v>
      </c>
      <c r="AS52" s="200"/>
      <c r="AU52" s="268">
        <f t="shared" si="7"/>
        <v>0</v>
      </c>
      <c r="AV52" s="2177">
        <f t="shared" si="40"/>
        <v>0</v>
      </c>
      <c r="AW52" s="123">
        <f t="shared" si="8"/>
        <v>0</v>
      </c>
      <c r="AX52" s="123">
        <f t="shared" si="41"/>
        <v>0</v>
      </c>
      <c r="AY52" s="123">
        <f>IF(BC51&lt;0.01,0,IF(Adm!$S$4=Adm!$S$8,BC51*$BC$16,BC51*Adm!$V$4))</f>
        <v>0</v>
      </c>
      <c r="AZ52" s="123"/>
      <c r="BA52" s="123">
        <f>IF(BC51&lt;0.01,0,Adm!$Q$6)</f>
        <v>0</v>
      </c>
      <c r="BB52" s="123">
        <f t="shared" si="42"/>
        <v>0</v>
      </c>
      <c r="BC52" s="297">
        <f t="shared" si="43"/>
        <v>0</v>
      </c>
      <c r="BE52" s="425">
        <f t="shared" si="9"/>
        <v>0</v>
      </c>
      <c r="BH52" s="90">
        <f t="shared" si="44"/>
        <v>4</v>
      </c>
      <c r="BI52" s="121">
        <f>IF(BH52=1,Cal!$AD$127,0)</f>
        <v>0</v>
      </c>
      <c r="BM52" s="221"/>
      <c r="BO52" s="295">
        <f t="shared" ca="1" si="10"/>
        <v>7</v>
      </c>
      <c r="BP52" s="268">
        <f t="shared" si="11"/>
        <v>0</v>
      </c>
      <c r="BQ52" s="123">
        <f t="shared" si="45"/>
        <v>0</v>
      </c>
      <c r="BR52" s="123">
        <f t="shared" si="148"/>
        <v>0</v>
      </c>
      <c r="BS52" s="123">
        <f t="shared" si="150"/>
        <v>0</v>
      </c>
      <c r="BT52" s="123">
        <f>IF(BZ51&lt;0.01,0,IF(Plus!$F$22=Plus!$AN$4,BZ51*$BZ$15,IF(Plus!$F$22=Plus!$AN$3,BZ51*Plus!$F$23/1000,BZ51*VLOOKUP(Plus!$G$21,Plus!$AP$2:'Plus'!$AQ$5,2,0))))</f>
        <v>0</v>
      </c>
      <c r="BU52" s="123">
        <f>IF(BZ51&lt;0.01,0,IF(Plus!$F$24=Plus!$AO$3,Plus!$G$13*Plus!$AR$2/1.16,IF(Plus!$F$10=Plus!$AK$7,0,Plus!$G$13*Plus!$AR$2/1.16)))</f>
        <v>0</v>
      </c>
      <c r="BV52" s="123">
        <f>IF(BZ51&lt;0.01,0,Plus!$BD$2)</f>
        <v>0</v>
      </c>
      <c r="BW52" s="123"/>
      <c r="BX52" s="123">
        <f t="shared" si="12"/>
        <v>0</v>
      </c>
      <c r="BY52" s="123">
        <f>IF(Plus!$F$10=Plus!$AK$3,MIN(BZ51+BQ52+BT52+BU52+BV52-BX52,CJ52),0)</f>
        <v>0</v>
      </c>
      <c r="BZ52" s="297">
        <f t="shared" si="144"/>
        <v>0</v>
      </c>
      <c r="CA52" s="74"/>
      <c r="CB52" s="74"/>
      <c r="CC52" s="413">
        <f t="shared" si="47"/>
        <v>0</v>
      </c>
      <c r="CF52" s="90">
        <f t="shared" si="48"/>
        <v>4</v>
      </c>
      <c r="CG52" s="121">
        <f t="shared" si="106"/>
        <v>0</v>
      </c>
      <c r="CI52" s="70">
        <f t="shared" si="107"/>
        <v>0</v>
      </c>
      <c r="CJ52" s="2178">
        <f t="shared" ca="1" si="49"/>
        <v>0</v>
      </c>
      <c r="CL52" s="161"/>
      <c r="CN52" s="308">
        <f t="shared" ca="1" si="13"/>
        <v>7</v>
      </c>
      <c r="CO52" s="309">
        <f t="shared" si="50"/>
        <v>0</v>
      </c>
      <c r="CP52" s="268">
        <f t="shared" si="14"/>
        <v>0</v>
      </c>
      <c r="CQ52" s="123">
        <f t="shared" si="51"/>
        <v>0</v>
      </c>
      <c r="CR52" s="123">
        <f t="shared" si="137"/>
        <v>0</v>
      </c>
      <c r="CS52" s="123">
        <f t="shared" si="138"/>
        <v>0</v>
      </c>
      <c r="CT52" s="33">
        <f>IF(CZ51&lt;0.01,0,IF(Plus!$F$22=Plus!$AN$4,0,IF(Plus!$F$22=Plus!$AN$3,CZ51*Plus!$F$23/1000,CZ51*VLOOKUP(Plus!$G$21,Plus!$AP$2:'Plus'!$AQ$5,2,0))))</f>
        <v>0</v>
      </c>
      <c r="CU52" s="123">
        <f>IF(CZ51&lt;0.01,0,IF(Plus!$F$24=Plus!$AO$3,0,IF(OR(Plus!$F$10=Plus!$AK$7,Plus!$F$10=Plus!$AK$13),0,Plus!$G$13*Plus!$AR$2)))</f>
        <v>0</v>
      </c>
      <c r="CV52" s="123">
        <f>IF(CZ51&lt;0.01,0,IF(OR(Plus!$F$10=Plus!$AK$7,Plus!$F$10=Plus!$AK$13),0,Plus!$BD$2*1.16))</f>
        <v>0</v>
      </c>
      <c r="CW52" s="123">
        <f>IF(CZ51&lt;0.01,0,IF(Plus!$AS$2&gt;0,CQ52*Plus!$AS$3,0))</f>
        <v>0</v>
      </c>
      <c r="CX52" s="123">
        <f t="shared" si="52"/>
        <v>0</v>
      </c>
      <c r="CY52" s="123">
        <f>IF(Plus!$F$10=Plus!$AK$3,MIN(CZ51+CQ52+CT52+CU52+CV52-CX52,DK52),0)</f>
        <v>0</v>
      </c>
      <c r="CZ52" s="297">
        <f t="shared" si="146"/>
        <v>0</v>
      </c>
      <c r="DA52" s="306">
        <f>Plus!O93</f>
        <v>0</v>
      </c>
      <c r="DB52" s="74"/>
      <c r="DC52" s="74"/>
      <c r="DD52" s="407">
        <f t="shared" si="54"/>
        <v>0</v>
      </c>
      <c r="DG52" s="90">
        <f t="shared" si="55"/>
        <v>4</v>
      </c>
      <c r="DH52" s="121">
        <f t="shared" si="108"/>
        <v>0</v>
      </c>
      <c r="DJ52" s="149">
        <f t="shared" si="109"/>
        <v>0</v>
      </c>
      <c r="DK52" s="2179">
        <f t="shared" ca="1" si="56"/>
        <v>0</v>
      </c>
      <c r="DN52" s="120">
        <f t="shared" si="110"/>
        <v>0</v>
      </c>
      <c r="DO52" s="110">
        <f t="shared" si="57"/>
        <v>0</v>
      </c>
      <c r="DP52" s="110">
        <f t="shared" si="124"/>
        <v>0</v>
      </c>
      <c r="DQ52" s="109">
        <f t="shared" si="58"/>
        <v>0</v>
      </c>
      <c r="DR52" s="109">
        <f t="shared" si="59"/>
        <v>0</v>
      </c>
      <c r="DS52" s="113">
        <f t="shared" si="60"/>
        <v>0</v>
      </c>
      <c r="DU52" s="102">
        <f t="shared" si="61"/>
        <v>0</v>
      </c>
      <c r="DV52" s="211">
        <f t="shared" si="125"/>
        <v>28</v>
      </c>
      <c r="DW52" s="212">
        <f t="shared" si="62"/>
        <v>0</v>
      </c>
      <c r="DX52" s="212">
        <f t="shared" si="15"/>
        <v>0</v>
      </c>
      <c r="DY52" s="212">
        <f t="shared" si="111"/>
        <v>0</v>
      </c>
      <c r="DZ52" s="213">
        <f t="shared" si="16"/>
        <v>1000000</v>
      </c>
      <c r="ED52" s="182"/>
      <c r="EF52" s="308">
        <f t="shared" ca="1" si="17"/>
        <v>7</v>
      </c>
      <c r="EG52" s="309">
        <f t="shared" si="63"/>
        <v>0</v>
      </c>
      <c r="EH52" s="268">
        <f t="shared" si="18"/>
        <v>0</v>
      </c>
      <c r="EI52" s="33">
        <f t="shared" si="64"/>
        <v>0</v>
      </c>
      <c r="EJ52" s="33">
        <f t="shared" si="139"/>
        <v>0</v>
      </c>
      <c r="EK52" s="33">
        <f t="shared" si="151"/>
        <v>0</v>
      </c>
      <c r="EL52" s="33">
        <f>IF(ER51&lt;0.01,0,IF(Plus!$F$22=Plus!$AN$4,0,IF(Plus!$F$22=Plus!$AN$3,ER51*Plus!$F$23/1000,ER51*VLOOKUP(Plus!$G$21,Plus!$AP$2:'Plus'!$AQ$5,2,0))))</f>
        <v>0</v>
      </c>
      <c r="EM52" s="33">
        <f>IF(ER51&lt;0.01,0,IF(Plus!$F$24=Plus!$AO$3,0,IF(OR(Plus!$F$10=Plus!$AK$7,Plus!$F$10=Plus!$AK$13),0,Plus!$G$13*Plus!$AR$2)))</f>
        <v>0</v>
      </c>
      <c r="EN52" s="33">
        <f>IF(ER51&lt;0.01,0,IF(OR(Plus!$F$10=Plus!$AK$7,Plus!$F$10=Plus!$AK$13),0,Plus!$BD$2*1.16))</f>
        <v>0</v>
      </c>
      <c r="EO52" s="33">
        <f>IF(ER51&lt;0.01,0,IF(Plus!$AS$2&gt;0,EI52*Plus!$AS$3,0))</f>
        <v>0</v>
      </c>
      <c r="EP52" s="33">
        <f t="shared" si="65"/>
        <v>0</v>
      </c>
      <c r="EQ52" s="33">
        <f>IF(Plus!$F$10=Plus!$AK$3,MIN(ER51+EI52+EL52+EM52+EN52-EP52,FC52),0)</f>
        <v>0</v>
      </c>
      <c r="ER52" s="311">
        <f t="shared" si="145"/>
        <v>0</v>
      </c>
      <c r="ES52" s="340">
        <f>Plus!O93</f>
        <v>0</v>
      </c>
      <c r="ET52" s="74"/>
      <c r="EU52" s="74"/>
      <c r="EV52" s="416">
        <f t="shared" si="134"/>
        <v>0</v>
      </c>
      <c r="EY52" s="90">
        <f t="shared" si="68"/>
        <v>4</v>
      </c>
      <c r="EZ52" s="121">
        <f t="shared" si="112"/>
        <v>0</v>
      </c>
      <c r="FB52" s="149">
        <f t="shared" si="113"/>
        <v>0</v>
      </c>
      <c r="FC52" s="2179">
        <f t="shared" ca="1" si="69"/>
        <v>0</v>
      </c>
      <c r="FE52" s="120">
        <f t="shared" si="114"/>
        <v>0</v>
      </c>
      <c r="FF52" s="110">
        <f t="shared" si="70"/>
        <v>0</v>
      </c>
      <c r="FG52" s="110">
        <f t="shared" si="71"/>
        <v>0</v>
      </c>
      <c r="FH52" s="109">
        <f t="shared" si="72"/>
        <v>0</v>
      </c>
      <c r="FI52" s="109">
        <f t="shared" si="19"/>
        <v>0</v>
      </c>
      <c r="FJ52" s="113">
        <f t="shared" si="73"/>
        <v>0</v>
      </c>
      <c r="FL52" s="102">
        <f t="shared" si="74"/>
        <v>0</v>
      </c>
      <c r="FM52" s="211">
        <f t="shared" si="127"/>
        <v>28</v>
      </c>
      <c r="FN52" s="212">
        <f t="shared" si="75"/>
        <v>0</v>
      </c>
      <c r="FO52" s="212">
        <f t="shared" si="20"/>
        <v>0</v>
      </c>
      <c r="FP52" s="212">
        <f t="shared" si="152"/>
        <v>0</v>
      </c>
      <c r="FQ52" s="213">
        <f t="shared" si="21"/>
        <v>1000000</v>
      </c>
      <c r="FV52" s="359"/>
      <c r="FX52" s="308">
        <f t="shared" ca="1" si="22"/>
        <v>7</v>
      </c>
      <c r="FY52" s="309">
        <f t="shared" si="76"/>
        <v>0</v>
      </c>
      <c r="FZ52" s="268">
        <f t="shared" si="23"/>
        <v>0</v>
      </c>
      <c r="GA52" s="33">
        <f t="shared" si="77"/>
        <v>0</v>
      </c>
      <c r="GB52" s="33">
        <f t="shared" si="141"/>
        <v>0</v>
      </c>
      <c r="GC52" s="33">
        <f t="shared" si="142"/>
        <v>0</v>
      </c>
      <c r="GD52" s="33">
        <f>IF(GJ51&lt;0.01,0,IF(Plus!$F$22=Plus!$AN$4,0,IF(Plus!$F$22=Plus!$AN$3,GJ51*Plus!$F$23/1000,GJ51*VLOOKUP(Plus!$G$21,Plus!$AP$2:$AQ$5,2,0))))</f>
        <v>0</v>
      </c>
      <c r="GE52" s="33">
        <f>IF(GJ51&lt;0.01,0,IF(Plus!$F$24=Plus!$AO$3,0,IF(OR(Plus!$F$10=Plus!$AK$7,Plus!$F$10=Plus!$AK$13,Plus!$F$10=Plus!$AK$14),0,IF(OR(Plus!$F$10=Plus!$AK$10,Plus!$F$10=Plus!$AK$11),Plus!$G$13*Adm!$W$7,Plus!$G$13*Adm!$X$4))))</f>
        <v>0</v>
      </c>
      <c r="GF52" s="33">
        <f>IF(GJ51&lt;0.01,0,IF(OR(Plus!$F$10=Plus!$AK$7,Plus!$F$10=Plus!$AK$13),0,Plus!$BD$2*1.16))</f>
        <v>0</v>
      </c>
      <c r="GG52" s="33">
        <f>IF(GJ51&lt;0.01,0,IF(Plus!$AS$2&gt;0,GA52*Plus!$AS$3,0))</f>
        <v>0</v>
      </c>
      <c r="GH52" s="33">
        <f t="shared" si="78"/>
        <v>0</v>
      </c>
      <c r="GI52" s="33">
        <f>IF(Plus!$F$10=Plus!$AK$3,MIN(GJ51+GA52+GD52+GE52+GF52-GH52,GU52),0)</f>
        <v>0</v>
      </c>
      <c r="GJ52" s="311">
        <f t="shared" si="136"/>
        <v>0</v>
      </c>
      <c r="GK52" s="340">
        <f>Plus!O93</f>
        <v>0</v>
      </c>
      <c r="GL52" s="74"/>
      <c r="GM52" s="74"/>
      <c r="GN52" s="419">
        <f t="shared" si="135"/>
        <v>0</v>
      </c>
      <c r="GQ52" s="90">
        <f t="shared" si="80"/>
        <v>4</v>
      </c>
      <c r="GR52" s="121">
        <f t="shared" si="116"/>
        <v>0</v>
      </c>
      <c r="GT52" s="149">
        <f t="shared" si="117"/>
        <v>0</v>
      </c>
      <c r="GU52" s="2179">
        <f t="shared" ca="1" si="81"/>
        <v>0</v>
      </c>
      <c r="GW52" s="120">
        <f t="shared" si="118"/>
        <v>0</v>
      </c>
      <c r="GX52" s="110">
        <f t="shared" si="82"/>
        <v>0</v>
      </c>
      <c r="GY52" s="110">
        <f t="shared" si="83"/>
        <v>0</v>
      </c>
      <c r="GZ52" s="109">
        <f t="shared" si="84"/>
        <v>0</v>
      </c>
      <c r="HA52" s="109">
        <f t="shared" si="24"/>
        <v>0</v>
      </c>
      <c r="HB52" s="113">
        <f t="shared" si="85"/>
        <v>0</v>
      </c>
      <c r="HD52" s="102">
        <f t="shared" si="86"/>
        <v>0</v>
      </c>
      <c r="HE52" s="211">
        <f t="shared" si="129"/>
        <v>28</v>
      </c>
      <c r="HF52" s="212">
        <f t="shared" si="87"/>
        <v>0</v>
      </c>
      <c r="HG52" s="212">
        <f t="shared" si="25"/>
        <v>0</v>
      </c>
      <c r="HH52" s="212">
        <f t="shared" si="153"/>
        <v>0</v>
      </c>
      <c r="HI52" s="213">
        <f t="shared" si="26"/>
        <v>1000000</v>
      </c>
      <c r="HL52" s="182"/>
      <c r="HM52" s="26">
        <f t="shared" ca="1" si="27"/>
        <v>7</v>
      </c>
      <c r="HO52" s="268">
        <f t="shared" si="28"/>
        <v>0</v>
      </c>
      <c r="HP52" s="421">
        <f t="shared" si="120"/>
        <v>0</v>
      </c>
      <c r="HQ52" s="123">
        <f t="shared" si="88"/>
        <v>0</v>
      </c>
      <c r="HR52" s="123">
        <f t="shared" si="89"/>
        <v>0</v>
      </c>
      <c r="HS52" s="123">
        <f t="shared" si="90"/>
        <v>0</v>
      </c>
      <c r="HT52" s="123">
        <f>IF(HY51&lt;0.01,0,IF(Adm!$GS$4=Adm!$GS$8,HY51*$HY$15,IF(Adm!$GS$12=Adm!$GS$13,0,HY51*Adm!$GV$4)))</f>
        <v>0</v>
      </c>
      <c r="HU52" s="123">
        <f>IF(HY51&lt;0.01,0,IF(Adm!$GS$5=Adm!$GS$8,Cal!$BO$108*$HY$16/1.16,IF(Adm!$GS$12=Adm!$GS$13,0,Cal!$BO$108*Adm!$GW$4/1.16)))</f>
        <v>0</v>
      </c>
      <c r="HV52" s="123">
        <f t="shared" si="91"/>
        <v>0</v>
      </c>
      <c r="HW52" s="123">
        <f t="shared" si="92"/>
        <v>0</v>
      </c>
      <c r="HX52" s="123">
        <f>IF(Adm!$GH$6="si",MIN(HY51+HQ52+HT52+HU52+HV52-HW52,IH52),0)</f>
        <v>0</v>
      </c>
      <c r="HY52" s="297">
        <f t="shared" si="93"/>
        <v>0</v>
      </c>
      <c r="HZ52" s="74"/>
      <c r="IA52" s="407">
        <f t="shared" si="94"/>
        <v>0</v>
      </c>
      <c r="IC52" s="90">
        <f t="shared" si="95"/>
        <v>4</v>
      </c>
      <c r="ID52" s="124">
        <f>IF(IC52=1,Cal!$BO$127,0)</f>
        <v>0</v>
      </c>
      <c r="IE52" s="73"/>
      <c r="IG52" s="70">
        <f t="shared" si="121"/>
        <v>0</v>
      </c>
      <c r="IH52" s="2178">
        <f t="shared" ca="1" si="96"/>
        <v>0</v>
      </c>
      <c r="IK52" s="217"/>
      <c r="IL52" s="26">
        <f t="shared" ca="1" si="29"/>
        <v>7</v>
      </c>
      <c r="IN52" s="268">
        <f t="shared" si="30"/>
        <v>0</v>
      </c>
      <c r="IO52" s="421">
        <f t="shared" si="122"/>
        <v>0</v>
      </c>
      <c r="IP52" s="123">
        <f t="shared" si="97"/>
        <v>0</v>
      </c>
      <c r="IQ52" s="123">
        <f t="shared" si="98"/>
        <v>0</v>
      </c>
      <c r="IR52" s="123">
        <f t="shared" si="99"/>
        <v>0</v>
      </c>
      <c r="IS52" s="123">
        <f>IF(IX51&lt;0.01,0,IF(Adm!$GS$4=Adm!$GS$8,IX51*$IX$15,IF(Adm!$GS$12=Adm!$GS$13,0,IX51*Adm!$GV$4)))</f>
        <v>0</v>
      </c>
      <c r="IT52" s="123"/>
      <c r="IU52" s="123">
        <f t="shared" si="100"/>
        <v>0</v>
      </c>
      <c r="IV52" s="123">
        <f t="shared" si="101"/>
        <v>0</v>
      </c>
      <c r="IW52" s="123"/>
      <c r="IX52" s="297">
        <f t="shared" si="102"/>
        <v>0</v>
      </c>
      <c r="IY52" s="74"/>
      <c r="IZ52" s="416">
        <f t="shared" si="103"/>
        <v>0</v>
      </c>
      <c r="JB52" s="90">
        <f t="shared" si="104"/>
        <v>4</v>
      </c>
      <c r="JC52" s="124">
        <f>IF(JB52=1,Cal!$BP$127,0)</f>
        <v>0</v>
      </c>
      <c r="JD52" s="73"/>
    </row>
    <row r="53" spans="1:264">
      <c r="A53" s="26">
        <f t="shared" ca="1" si="0"/>
        <v>8</v>
      </c>
      <c r="C53" s="33">
        <f t="shared" si="1"/>
        <v>0</v>
      </c>
      <c r="D53" s="123">
        <f t="shared" si="31"/>
        <v>0</v>
      </c>
      <c r="E53" s="123">
        <f t="shared" si="147"/>
        <v>0</v>
      </c>
      <c r="F53" s="123">
        <f t="shared" si="149"/>
        <v>0</v>
      </c>
      <c r="G53" s="123">
        <f>IF(L52&lt;0.01,0,IF(Adm!$S$4=Adm!$S$8,L52*$L$15,L52*Adm!$V$4))</f>
        <v>0</v>
      </c>
      <c r="H53" s="123">
        <f>IF(L52&lt;0.01,0,IF(Adm!$S$5=Adm!$S$8,Adm!$AA$11*$L$16/1.16,IF(Adm!$B$4=Adm!$A$119,0,Adm!$AA$11*Adm!$X$4/1.16)))</f>
        <v>0</v>
      </c>
      <c r="I53" s="123">
        <f>IF(L52&lt;0.01,0,Cal!$AB$126/1.16)</f>
        <v>0</v>
      </c>
      <c r="J53" s="123">
        <f t="shared" si="2"/>
        <v>0</v>
      </c>
      <c r="K53" s="123">
        <f>IF(Adm!$G$4="si",MIN(L52+D53+G53+H53+I53-J53,V53),0)</f>
        <v>0</v>
      </c>
      <c r="L53" s="123">
        <f t="shared" si="32"/>
        <v>0</v>
      </c>
      <c r="M53" s="74"/>
      <c r="N53" s="74"/>
      <c r="O53" s="407">
        <f t="shared" si="33"/>
        <v>0</v>
      </c>
      <c r="R53" s="90">
        <f t="shared" si="34"/>
        <v>5</v>
      </c>
      <c r="S53" s="121">
        <f>IF(R53=1,Cal!$AB$127,0)</f>
        <v>0</v>
      </c>
      <c r="U53" s="70">
        <f t="shared" si="105"/>
        <v>0</v>
      </c>
      <c r="V53" s="2178">
        <f t="shared" ca="1" si="35"/>
        <v>0</v>
      </c>
      <c r="X53" s="398"/>
      <c r="Z53" s="268">
        <f t="shared" si="3"/>
        <v>0</v>
      </c>
      <c r="AA53" s="2176">
        <f t="shared" si="36"/>
        <v>0</v>
      </c>
      <c r="AB53" s="33">
        <f t="shared" si="37"/>
        <v>0</v>
      </c>
      <c r="AC53" s="33">
        <f t="shared" si="38"/>
        <v>0</v>
      </c>
      <c r="AD53" s="33">
        <f>IF(AI52&lt;0.01,0,IF(Adm!$S$4=Adm!$S$8,AI52*$AI$15,AI52*Adm!$V$4))</f>
        <v>0</v>
      </c>
      <c r="AE53" s="33"/>
      <c r="AF53" s="33"/>
      <c r="AG53" s="33">
        <f t="shared" si="4"/>
        <v>0</v>
      </c>
      <c r="AH53" s="33"/>
      <c r="AI53" s="401">
        <f t="shared" si="5"/>
        <v>0</v>
      </c>
      <c r="AK53" s="410">
        <f t="shared" si="6"/>
        <v>0</v>
      </c>
      <c r="AN53" s="90">
        <f t="shared" si="39"/>
        <v>5</v>
      </c>
      <c r="AO53" s="121">
        <f>IF(AN53=1,Cal!$AC$127,0)</f>
        <v>0</v>
      </c>
      <c r="AS53" s="200"/>
      <c r="AU53" s="268">
        <f t="shared" si="7"/>
        <v>0</v>
      </c>
      <c r="AV53" s="2177">
        <f t="shared" si="40"/>
        <v>0</v>
      </c>
      <c r="AW53" s="123">
        <f t="shared" si="8"/>
        <v>0</v>
      </c>
      <c r="AX53" s="123">
        <f t="shared" si="41"/>
        <v>0</v>
      </c>
      <c r="AY53" s="123">
        <f>IF(BC52&lt;0.01,0,IF(Adm!$S$4=Adm!$S$8,BC52*$BC$16,BC52*Adm!$V$4))</f>
        <v>0</v>
      </c>
      <c r="AZ53" s="123"/>
      <c r="BA53" s="123">
        <f>IF(BC52&lt;0.01,0,Adm!$Q$6)</f>
        <v>0</v>
      </c>
      <c r="BB53" s="123">
        <f t="shared" si="42"/>
        <v>0</v>
      </c>
      <c r="BC53" s="297">
        <f t="shared" si="43"/>
        <v>0</v>
      </c>
      <c r="BE53" s="425">
        <f t="shared" si="9"/>
        <v>0</v>
      </c>
      <c r="BH53" s="90">
        <f t="shared" si="44"/>
        <v>5</v>
      </c>
      <c r="BI53" s="121">
        <f>IF(BH53=1,Cal!$AD$127,0)</f>
        <v>0</v>
      </c>
      <c r="BM53" s="221"/>
      <c r="BO53" s="295">
        <f t="shared" ca="1" si="10"/>
        <v>8</v>
      </c>
      <c r="BP53" s="268">
        <f t="shared" si="11"/>
        <v>0</v>
      </c>
      <c r="BQ53" s="123">
        <f t="shared" si="45"/>
        <v>0</v>
      </c>
      <c r="BR53" s="123">
        <f t="shared" si="148"/>
        <v>0</v>
      </c>
      <c r="BS53" s="123">
        <f t="shared" si="150"/>
        <v>0</v>
      </c>
      <c r="BT53" s="123">
        <f>IF(BZ52&lt;0.01,0,IF(Plus!$F$22=Plus!$AN$4,BZ52*$BZ$15,IF(Plus!$F$22=Plus!$AN$3,BZ52*Plus!$F$23/1000,BZ52*VLOOKUP(Plus!$G$21,Plus!$AP$2:'Plus'!$AQ$5,2,0))))</f>
        <v>0</v>
      </c>
      <c r="BU53" s="123">
        <f>IF(BZ52&lt;0.01,0,IF(Plus!$F$24=Plus!$AO$3,Plus!$G$13*Plus!$AR$2/1.16,IF(Plus!$F$10=Plus!$AK$7,0,Plus!$G$13*Plus!$AR$2/1.16)))</f>
        <v>0</v>
      </c>
      <c r="BV53" s="123">
        <f>IF(BZ52&lt;0.01,0,Plus!$BD$2)</f>
        <v>0</v>
      </c>
      <c r="BW53" s="123"/>
      <c r="BX53" s="123">
        <f t="shared" si="12"/>
        <v>0</v>
      </c>
      <c r="BY53" s="123">
        <f>IF(Plus!$F$10=Plus!$AK$3,MIN(BZ52+BQ53+BT53+BU53+BV53-BX53,CJ53),0)</f>
        <v>0</v>
      </c>
      <c r="BZ53" s="297">
        <f t="shared" si="144"/>
        <v>0</v>
      </c>
      <c r="CA53" s="74"/>
      <c r="CB53" s="74"/>
      <c r="CC53" s="413">
        <f t="shared" si="47"/>
        <v>0</v>
      </c>
      <c r="CF53" s="90">
        <f t="shared" si="48"/>
        <v>5</v>
      </c>
      <c r="CG53" s="121">
        <f t="shared" si="106"/>
        <v>0</v>
      </c>
      <c r="CI53" s="70">
        <f t="shared" si="107"/>
        <v>0</v>
      </c>
      <c r="CJ53" s="2178">
        <f t="shared" ca="1" si="49"/>
        <v>0</v>
      </c>
      <c r="CL53" s="161"/>
      <c r="CN53" s="308">
        <f t="shared" ca="1" si="13"/>
        <v>8</v>
      </c>
      <c r="CO53" s="309">
        <f t="shared" si="50"/>
        <v>0</v>
      </c>
      <c r="CP53" s="268">
        <f t="shared" si="14"/>
        <v>0</v>
      </c>
      <c r="CQ53" s="123">
        <f t="shared" si="51"/>
        <v>0</v>
      </c>
      <c r="CR53" s="123">
        <f t="shared" si="137"/>
        <v>0</v>
      </c>
      <c r="CS53" s="123">
        <f t="shared" si="138"/>
        <v>0</v>
      </c>
      <c r="CT53" s="33">
        <f>IF(CZ52&lt;0.01,0,IF(Plus!$F$22=Plus!$AN$4,0,IF(Plus!$F$22=Plus!$AN$3,CZ52*Plus!$F$23/1000,CZ52*VLOOKUP(Plus!$G$21,Plus!$AP$2:'Plus'!$AQ$5,2,0))))</f>
        <v>0</v>
      </c>
      <c r="CU53" s="123">
        <f>IF(CZ52&lt;0.01,0,IF(Plus!$F$24=Plus!$AO$3,0,IF(OR(Plus!$F$10=Plus!$AK$7,Plus!$F$10=Plus!$AK$13),0,Plus!$G$13*Plus!$AR$2)))</f>
        <v>0</v>
      </c>
      <c r="CV53" s="123">
        <f>IF(CZ52&lt;0.01,0,IF(OR(Plus!$F$10=Plus!$AK$7,Plus!$F$10=Plus!$AK$13),0,Plus!$BD$2*1.16))</f>
        <v>0</v>
      </c>
      <c r="CW53" s="123">
        <f>IF(CZ52&lt;0.01,0,IF(Plus!$AS$2&gt;0,CQ53*Plus!$AS$3,0))</f>
        <v>0</v>
      </c>
      <c r="CX53" s="123">
        <f t="shared" si="52"/>
        <v>0</v>
      </c>
      <c r="CY53" s="123">
        <f>IF(Plus!$F$10=Plus!$AK$3,MIN(CZ52+CQ53+CT53+CU53+CV53-CX53,DK53),0)</f>
        <v>0</v>
      </c>
      <c r="CZ53" s="297">
        <f t="shared" si="146"/>
        <v>0</v>
      </c>
      <c r="DA53" s="306">
        <f>Plus!O94</f>
        <v>0</v>
      </c>
      <c r="DB53" s="74"/>
      <c r="DC53" s="74"/>
      <c r="DD53" s="407">
        <f t="shared" si="54"/>
        <v>0</v>
      </c>
      <c r="DG53" s="90">
        <f t="shared" si="55"/>
        <v>5</v>
      </c>
      <c r="DH53" s="121">
        <f t="shared" si="108"/>
        <v>0</v>
      </c>
      <c r="DJ53" s="149">
        <f t="shared" si="109"/>
        <v>0</v>
      </c>
      <c r="DK53" s="2179">
        <f t="shared" ca="1" si="56"/>
        <v>0</v>
      </c>
      <c r="DN53" s="120">
        <f t="shared" si="110"/>
        <v>0</v>
      </c>
      <c r="DO53" s="110">
        <f t="shared" si="57"/>
        <v>0</v>
      </c>
      <c r="DP53" s="110">
        <f t="shared" si="124"/>
        <v>0</v>
      </c>
      <c r="DQ53" s="109">
        <f t="shared" si="58"/>
        <v>0</v>
      </c>
      <c r="DR53" s="109">
        <f t="shared" si="59"/>
        <v>0</v>
      </c>
      <c r="DS53" s="113">
        <f t="shared" si="60"/>
        <v>0</v>
      </c>
      <c r="DU53" s="102">
        <f t="shared" si="61"/>
        <v>0</v>
      </c>
      <c r="DV53" s="211">
        <f t="shared" si="125"/>
        <v>29</v>
      </c>
      <c r="DW53" s="212">
        <f t="shared" si="62"/>
        <v>0</v>
      </c>
      <c r="DX53" s="212">
        <f t="shared" si="15"/>
        <v>0</v>
      </c>
      <c r="DY53" s="212">
        <f t="shared" si="111"/>
        <v>0</v>
      </c>
      <c r="DZ53" s="213">
        <f t="shared" si="16"/>
        <v>1000000</v>
      </c>
      <c r="ED53" s="182"/>
      <c r="EF53" s="308">
        <f t="shared" ca="1" si="17"/>
        <v>8</v>
      </c>
      <c r="EG53" s="309">
        <f t="shared" si="63"/>
        <v>0</v>
      </c>
      <c r="EH53" s="268">
        <f t="shared" si="18"/>
        <v>0</v>
      </c>
      <c r="EI53" s="33">
        <f t="shared" si="64"/>
        <v>0</v>
      </c>
      <c r="EJ53" s="33">
        <f t="shared" si="139"/>
        <v>0</v>
      </c>
      <c r="EK53" s="33">
        <f t="shared" si="151"/>
        <v>0</v>
      </c>
      <c r="EL53" s="33">
        <f>IF(ER52&lt;0.01,0,IF(Plus!$F$22=Plus!$AN$4,0,IF(Plus!$F$22=Plus!$AN$3,ER52*Plus!$F$23/1000,ER52*VLOOKUP(Plus!$G$21,Plus!$AP$2:'Plus'!$AQ$5,2,0))))</f>
        <v>0</v>
      </c>
      <c r="EM53" s="33">
        <f>IF(ER52&lt;0.01,0,IF(Plus!$F$24=Plus!$AO$3,0,IF(OR(Plus!$F$10=Plus!$AK$7,Plus!$F$10=Plus!$AK$13),0,Plus!$G$13*Plus!$AR$2)))</f>
        <v>0</v>
      </c>
      <c r="EN53" s="33">
        <f>IF(ER52&lt;0.01,0,IF(OR(Plus!$F$10=Plus!$AK$7,Plus!$F$10=Plus!$AK$13),0,Plus!$BD$2*1.16))</f>
        <v>0</v>
      </c>
      <c r="EO53" s="33">
        <f>IF(ER52&lt;0.01,0,IF(Plus!$AS$2&gt;0,EI53*Plus!$AS$3,0))</f>
        <v>0</v>
      </c>
      <c r="EP53" s="33">
        <f t="shared" si="65"/>
        <v>0</v>
      </c>
      <c r="EQ53" s="33">
        <f>IF(Plus!$F$10=Plus!$AK$3,MIN(ER52+EI53+EL53+EM53+EN53-EP53,FC53),0)</f>
        <v>0</v>
      </c>
      <c r="ER53" s="311">
        <f t="shared" si="145"/>
        <v>0</v>
      </c>
      <c r="ES53" s="340">
        <f>Plus!O94</f>
        <v>0</v>
      </c>
      <c r="ET53" s="74"/>
      <c r="EU53" s="74"/>
      <c r="EV53" s="416">
        <f t="shared" si="134"/>
        <v>0</v>
      </c>
      <c r="EY53" s="90">
        <f t="shared" si="68"/>
        <v>5</v>
      </c>
      <c r="EZ53" s="121">
        <f t="shared" si="112"/>
        <v>0</v>
      </c>
      <c r="FB53" s="149">
        <f t="shared" si="113"/>
        <v>0</v>
      </c>
      <c r="FC53" s="2179">
        <f t="shared" ca="1" si="69"/>
        <v>0</v>
      </c>
      <c r="FE53" s="120">
        <f t="shared" si="114"/>
        <v>0</v>
      </c>
      <c r="FF53" s="110">
        <f t="shared" si="70"/>
        <v>0</v>
      </c>
      <c r="FG53" s="110">
        <f t="shared" si="71"/>
        <v>0</v>
      </c>
      <c r="FH53" s="109">
        <f t="shared" si="72"/>
        <v>0</v>
      </c>
      <c r="FI53" s="109">
        <f t="shared" si="19"/>
        <v>0</v>
      </c>
      <c r="FJ53" s="113">
        <f t="shared" si="73"/>
        <v>0</v>
      </c>
      <c r="FL53" s="102">
        <f t="shared" si="74"/>
        <v>0</v>
      </c>
      <c r="FM53" s="211">
        <f t="shared" si="127"/>
        <v>29</v>
      </c>
      <c r="FN53" s="212">
        <f t="shared" si="75"/>
        <v>0</v>
      </c>
      <c r="FO53" s="212">
        <f t="shared" si="20"/>
        <v>0</v>
      </c>
      <c r="FP53" s="212">
        <f t="shared" si="152"/>
        <v>0</v>
      </c>
      <c r="FQ53" s="213">
        <f t="shared" si="21"/>
        <v>1000000</v>
      </c>
      <c r="FV53" s="359"/>
      <c r="FX53" s="308">
        <f t="shared" ca="1" si="22"/>
        <v>8</v>
      </c>
      <c r="FY53" s="309">
        <f t="shared" si="76"/>
        <v>0</v>
      </c>
      <c r="FZ53" s="268">
        <f t="shared" si="23"/>
        <v>0</v>
      </c>
      <c r="GA53" s="33">
        <f t="shared" si="77"/>
        <v>0</v>
      </c>
      <c r="GB53" s="33">
        <f t="shared" si="141"/>
        <v>0</v>
      </c>
      <c r="GC53" s="33">
        <f t="shared" si="142"/>
        <v>0</v>
      </c>
      <c r="GD53" s="33">
        <f>IF(GJ52&lt;0.01,0,IF(Plus!$F$22=Plus!$AN$4,0,IF(Plus!$F$22=Plus!$AN$3,GJ52*Plus!$F$23/1000,GJ52*VLOOKUP(Plus!$G$21,Plus!$AP$2:$AQ$5,2,0))))</f>
        <v>0</v>
      </c>
      <c r="GE53" s="33">
        <f>IF(GJ52&lt;0.01,0,IF(Plus!$F$24=Plus!$AO$3,0,IF(OR(Plus!$F$10=Plus!$AK$7,Plus!$F$10=Plus!$AK$13,Plus!$F$10=Plus!$AK$14),0,IF(OR(Plus!$F$10=Plus!$AK$10,Plus!$F$10=Plus!$AK$11),Plus!$G$13*Adm!$W$7,Plus!$G$13*Adm!$X$4))))</f>
        <v>0</v>
      </c>
      <c r="GF53" s="33">
        <f>IF(GJ52&lt;0.01,0,IF(OR(Plus!$F$10=Plus!$AK$7,Plus!$F$10=Plus!$AK$13),0,Plus!$BD$2*1.16))</f>
        <v>0</v>
      </c>
      <c r="GG53" s="33">
        <f>IF(GJ52&lt;0.01,0,IF(Plus!$AS$2&gt;0,GA53*Plus!$AS$3,0))</f>
        <v>0</v>
      </c>
      <c r="GH53" s="33">
        <f t="shared" si="78"/>
        <v>0</v>
      </c>
      <c r="GI53" s="33">
        <f>IF(Plus!$F$10=Plus!$AK$3,MIN(GJ52+GA53+GD53+GE53+GF53-GH53,GU53),0)</f>
        <v>0</v>
      </c>
      <c r="GJ53" s="311">
        <f t="shared" si="136"/>
        <v>0</v>
      </c>
      <c r="GK53" s="340">
        <f>Plus!O94</f>
        <v>0</v>
      </c>
      <c r="GL53" s="74"/>
      <c r="GM53" s="74"/>
      <c r="GN53" s="419">
        <f t="shared" si="135"/>
        <v>0</v>
      </c>
      <c r="GQ53" s="90">
        <f t="shared" si="80"/>
        <v>5</v>
      </c>
      <c r="GR53" s="121">
        <f t="shared" si="116"/>
        <v>0</v>
      </c>
      <c r="GT53" s="149">
        <f t="shared" si="117"/>
        <v>0</v>
      </c>
      <c r="GU53" s="2179">
        <f t="shared" ca="1" si="81"/>
        <v>0</v>
      </c>
      <c r="GW53" s="120">
        <f t="shared" si="118"/>
        <v>0</v>
      </c>
      <c r="GX53" s="110">
        <f t="shared" si="82"/>
        <v>0</v>
      </c>
      <c r="GY53" s="110">
        <f t="shared" si="83"/>
        <v>0</v>
      </c>
      <c r="GZ53" s="109">
        <f t="shared" si="84"/>
        <v>0</v>
      </c>
      <c r="HA53" s="109">
        <f t="shared" si="24"/>
        <v>0</v>
      </c>
      <c r="HB53" s="113">
        <f t="shared" si="85"/>
        <v>0</v>
      </c>
      <c r="HD53" s="102">
        <f t="shared" si="86"/>
        <v>0</v>
      </c>
      <c r="HE53" s="211">
        <f t="shared" si="129"/>
        <v>29</v>
      </c>
      <c r="HF53" s="212">
        <f t="shared" si="87"/>
        <v>0</v>
      </c>
      <c r="HG53" s="212">
        <f t="shared" si="25"/>
        <v>0</v>
      </c>
      <c r="HH53" s="212">
        <f t="shared" si="153"/>
        <v>0</v>
      </c>
      <c r="HI53" s="213">
        <f t="shared" si="26"/>
        <v>1000000</v>
      </c>
      <c r="HL53" s="182"/>
      <c r="HM53" s="26">
        <f t="shared" ca="1" si="27"/>
        <v>8</v>
      </c>
      <c r="HO53" s="268">
        <f t="shared" si="28"/>
        <v>0</v>
      </c>
      <c r="HP53" s="421">
        <f t="shared" si="120"/>
        <v>0</v>
      </c>
      <c r="HQ53" s="123">
        <f t="shared" si="88"/>
        <v>0</v>
      </c>
      <c r="HR53" s="123">
        <f t="shared" si="89"/>
        <v>0</v>
      </c>
      <c r="HS53" s="123">
        <f t="shared" si="90"/>
        <v>0</v>
      </c>
      <c r="HT53" s="123">
        <f>IF(HY52&lt;0.01,0,IF(Adm!$GS$4=Adm!$GS$8,HY52*$HY$15,IF(Adm!$GS$12=Adm!$GS$13,0,HY52*Adm!$GV$4)))</f>
        <v>0</v>
      </c>
      <c r="HU53" s="123">
        <f>IF(HY52&lt;0.01,0,IF(Adm!$GS$5=Adm!$GS$8,Cal!$BO$108*$HY$16/1.16,IF(Adm!$GS$12=Adm!$GS$13,0,Cal!$BO$108*Adm!$GW$4/1.16)))</f>
        <v>0</v>
      </c>
      <c r="HV53" s="123">
        <f t="shared" si="91"/>
        <v>0</v>
      </c>
      <c r="HW53" s="123">
        <f t="shared" si="92"/>
        <v>0</v>
      </c>
      <c r="HX53" s="123">
        <f>IF(Adm!$GH$6="si",MIN(HY52+HQ53+HT53+HU53+HV53-HW53,IH53),0)</f>
        <v>0</v>
      </c>
      <c r="HY53" s="297">
        <f t="shared" si="93"/>
        <v>0</v>
      </c>
      <c r="HZ53" s="74"/>
      <c r="IA53" s="407">
        <f t="shared" si="94"/>
        <v>0</v>
      </c>
      <c r="IC53" s="90">
        <f t="shared" si="95"/>
        <v>5</v>
      </c>
      <c r="ID53" s="124">
        <f>IF(IC53=1,Cal!$BO$127,0)</f>
        <v>0</v>
      </c>
      <c r="IE53" s="73"/>
      <c r="IG53" s="70">
        <f t="shared" si="121"/>
        <v>0</v>
      </c>
      <c r="IH53" s="2178">
        <f t="shared" ca="1" si="96"/>
        <v>0</v>
      </c>
      <c r="IK53" s="217"/>
      <c r="IL53" s="26">
        <f t="shared" ca="1" si="29"/>
        <v>8</v>
      </c>
      <c r="IN53" s="268">
        <f t="shared" si="30"/>
        <v>0</v>
      </c>
      <c r="IO53" s="421">
        <f t="shared" si="122"/>
        <v>0</v>
      </c>
      <c r="IP53" s="123">
        <f t="shared" si="97"/>
        <v>0</v>
      </c>
      <c r="IQ53" s="123">
        <f t="shared" si="98"/>
        <v>0</v>
      </c>
      <c r="IR53" s="123">
        <f t="shared" si="99"/>
        <v>0</v>
      </c>
      <c r="IS53" s="123">
        <f>IF(IX52&lt;0.01,0,IF(Adm!$GS$4=Adm!$GS$8,IX52*$IX$15,IF(Adm!$GS$12=Adm!$GS$13,0,IX52*Adm!$GV$4)))</f>
        <v>0</v>
      </c>
      <c r="IT53" s="123"/>
      <c r="IU53" s="123">
        <f t="shared" si="100"/>
        <v>0</v>
      </c>
      <c r="IV53" s="123">
        <f t="shared" si="101"/>
        <v>0</v>
      </c>
      <c r="IW53" s="123"/>
      <c r="IX53" s="297">
        <f t="shared" si="102"/>
        <v>0</v>
      </c>
      <c r="IY53" s="74"/>
      <c r="IZ53" s="416">
        <f t="shared" si="103"/>
        <v>0</v>
      </c>
      <c r="JB53" s="90">
        <f t="shared" si="104"/>
        <v>5</v>
      </c>
      <c r="JC53" s="124">
        <f>IF(JB53=1,Cal!$BP$127,0)</f>
        <v>0</v>
      </c>
      <c r="JD53" s="73"/>
    </row>
    <row r="54" spans="1:264">
      <c r="A54" s="26">
        <f t="shared" ca="1" si="0"/>
        <v>9</v>
      </c>
      <c r="C54" s="33">
        <f t="shared" si="1"/>
        <v>0</v>
      </c>
      <c r="D54" s="123">
        <f t="shared" si="31"/>
        <v>0</v>
      </c>
      <c r="E54" s="123">
        <f t="shared" si="147"/>
        <v>0</v>
      </c>
      <c r="F54" s="123">
        <f t="shared" si="149"/>
        <v>0</v>
      </c>
      <c r="G54" s="123">
        <f>IF(L53&lt;0.01,0,IF(Adm!$S$4=Adm!$S$8,L53*$L$15,L53*Adm!$V$4))</f>
        <v>0</v>
      </c>
      <c r="H54" s="123">
        <f>IF(L53&lt;0.01,0,IF(Adm!$S$5=Adm!$S$8,Adm!$AA$11*$L$16/1.16,IF(Adm!$B$4=Adm!$A$119,0,Adm!$AA$11*Adm!$X$4/1.16)))</f>
        <v>0</v>
      </c>
      <c r="I54" s="123">
        <f>IF(L53&lt;0.01,0,Cal!$AB$126/1.16)</f>
        <v>0</v>
      </c>
      <c r="J54" s="123">
        <f t="shared" si="2"/>
        <v>0</v>
      </c>
      <c r="K54" s="123">
        <f>IF(Adm!$G$4="si",MIN(L53+D54+G54+H54+I54-J54,V54),0)</f>
        <v>0</v>
      </c>
      <c r="L54" s="123">
        <f t="shared" si="32"/>
        <v>0</v>
      </c>
      <c r="M54" s="74"/>
      <c r="N54" s="74"/>
      <c r="O54" s="407">
        <f t="shared" si="33"/>
        <v>0</v>
      </c>
      <c r="R54" s="90">
        <f t="shared" si="34"/>
        <v>6</v>
      </c>
      <c r="S54" s="121">
        <f>IF(R54=1,Cal!$AB$127,0)</f>
        <v>0</v>
      </c>
      <c r="U54" s="70">
        <f t="shared" si="105"/>
        <v>0</v>
      </c>
      <c r="V54" s="2178">
        <f t="shared" ca="1" si="35"/>
        <v>0</v>
      </c>
      <c r="X54" s="398"/>
      <c r="Z54" s="268">
        <f t="shared" si="3"/>
        <v>0</v>
      </c>
      <c r="AA54" s="2176">
        <f t="shared" si="36"/>
        <v>0</v>
      </c>
      <c r="AB54" s="33">
        <f t="shared" si="37"/>
        <v>0</v>
      </c>
      <c r="AC54" s="33">
        <f t="shared" si="38"/>
        <v>0</v>
      </c>
      <c r="AD54" s="33">
        <f>IF(AI53&lt;0.01,0,IF(Adm!$S$4=Adm!$S$8,AI53*$AI$15,AI53*Adm!$V$4))</f>
        <v>0</v>
      </c>
      <c r="AE54" s="33"/>
      <c r="AF54" s="33"/>
      <c r="AG54" s="33">
        <f t="shared" si="4"/>
        <v>0</v>
      </c>
      <c r="AH54" s="33"/>
      <c r="AI54" s="401">
        <f t="shared" si="5"/>
        <v>0</v>
      </c>
      <c r="AK54" s="410">
        <f t="shared" si="6"/>
        <v>0</v>
      </c>
      <c r="AN54" s="90">
        <f t="shared" si="39"/>
        <v>6</v>
      </c>
      <c r="AO54" s="121">
        <f>IF(AN54=1,Cal!$AC$127,0)</f>
        <v>0</v>
      </c>
      <c r="AS54" s="200"/>
      <c r="AU54" s="268">
        <f t="shared" si="7"/>
        <v>0</v>
      </c>
      <c r="AV54" s="2177">
        <f t="shared" si="40"/>
        <v>0</v>
      </c>
      <c r="AW54" s="123">
        <f t="shared" si="8"/>
        <v>0</v>
      </c>
      <c r="AX54" s="123">
        <f t="shared" si="41"/>
        <v>0</v>
      </c>
      <c r="AY54" s="123">
        <f>IF(BC53&lt;0.01,0,IF(Adm!$S$4=Adm!$S$8,BC53*$BC$16,BC53*Adm!$V$4))</f>
        <v>0</v>
      </c>
      <c r="AZ54" s="123"/>
      <c r="BA54" s="123">
        <f>IF(BC53&lt;0.01,0,Adm!$Q$6)</f>
        <v>0</v>
      </c>
      <c r="BB54" s="123">
        <f t="shared" si="42"/>
        <v>0</v>
      </c>
      <c r="BC54" s="297">
        <f t="shared" si="43"/>
        <v>0</v>
      </c>
      <c r="BE54" s="425">
        <f t="shared" si="9"/>
        <v>0</v>
      </c>
      <c r="BH54" s="90">
        <f t="shared" si="44"/>
        <v>6</v>
      </c>
      <c r="BI54" s="121">
        <f>IF(BH54=1,Cal!$AD$127,0)</f>
        <v>0</v>
      </c>
      <c r="BM54" s="221"/>
      <c r="BO54" s="295">
        <f t="shared" ca="1" si="10"/>
        <v>9</v>
      </c>
      <c r="BP54" s="268">
        <f t="shared" si="11"/>
        <v>0</v>
      </c>
      <c r="BQ54" s="123">
        <f t="shared" si="45"/>
        <v>0</v>
      </c>
      <c r="BR54" s="123">
        <f t="shared" si="148"/>
        <v>0</v>
      </c>
      <c r="BS54" s="123">
        <f t="shared" si="150"/>
        <v>0</v>
      </c>
      <c r="BT54" s="123">
        <f>IF(BZ53&lt;0.01,0,IF(Plus!$F$22=Plus!$AN$4,BZ53*$BZ$15,IF(Plus!$F$22=Plus!$AN$3,BZ53*Plus!$F$23/1000,BZ53*VLOOKUP(Plus!$G$21,Plus!$AP$2:'Plus'!$AQ$5,2,0))))</f>
        <v>0</v>
      </c>
      <c r="BU54" s="123">
        <f>IF(BZ53&lt;0.01,0,IF(Plus!$F$24=Plus!$AO$3,Plus!$G$13*Plus!$AR$2/1.16,IF(Plus!$F$10=Plus!$AK$7,0,Plus!$G$13*Plus!$AR$2/1.16)))</f>
        <v>0</v>
      </c>
      <c r="BV54" s="123">
        <f>IF(BZ53&lt;0.01,0,Plus!$BD$2)</f>
        <v>0</v>
      </c>
      <c r="BW54" s="123"/>
      <c r="BX54" s="123">
        <f t="shared" si="12"/>
        <v>0</v>
      </c>
      <c r="BY54" s="123">
        <f>IF(Plus!$F$10=Plus!$AK$3,MIN(BZ53+BQ54+BT54+BU54+BV54-BX54,CJ54),0)</f>
        <v>0</v>
      </c>
      <c r="BZ54" s="297">
        <f t="shared" si="144"/>
        <v>0</v>
      </c>
      <c r="CA54" s="74"/>
      <c r="CB54" s="74"/>
      <c r="CC54" s="413">
        <f t="shared" si="47"/>
        <v>0</v>
      </c>
      <c r="CF54" s="90">
        <f t="shared" si="48"/>
        <v>6</v>
      </c>
      <c r="CG54" s="121">
        <f t="shared" si="106"/>
        <v>0</v>
      </c>
      <c r="CI54" s="70">
        <f t="shared" si="107"/>
        <v>0</v>
      </c>
      <c r="CJ54" s="2178">
        <f t="shared" ca="1" si="49"/>
        <v>0</v>
      </c>
      <c r="CL54" s="161"/>
      <c r="CN54" s="308">
        <f t="shared" ca="1" si="13"/>
        <v>9</v>
      </c>
      <c r="CO54" s="309">
        <f t="shared" si="50"/>
        <v>0</v>
      </c>
      <c r="CP54" s="268">
        <f t="shared" si="14"/>
        <v>0</v>
      </c>
      <c r="CQ54" s="123">
        <f t="shared" si="51"/>
        <v>0</v>
      </c>
      <c r="CR54" s="123">
        <f t="shared" si="137"/>
        <v>0</v>
      </c>
      <c r="CS54" s="123">
        <f t="shared" si="138"/>
        <v>0</v>
      </c>
      <c r="CT54" s="33">
        <f>IF(CZ53&lt;0.01,0,IF(Plus!$F$22=Plus!$AN$4,0,IF(Plus!$F$22=Plus!$AN$3,CZ53*Plus!$F$23/1000,CZ53*VLOOKUP(Plus!$G$21,Plus!$AP$2:'Plus'!$AQ$5,2,0))))</f>
        <v>0</v>
      </c>
      <c r="CU54" s="123">
        <f>IF(CZ53&lt;0.01,0,IF(Plus!$F$24=Plus!$AO$3,0,IF(OR(Plus!$F$10=Plus!$AK$7,Plus!$F$10=Plus!$AK$13),0,Plus!$G$13*Plus!$AR$2)))</f>
        <v>0</v>
      </c>
      <c r="CV54" s="123">
        <f>IF(CZ53&lt;0.01,0,IF(OR(Plus!$F$10=Plus!$AK$7,Plus!$F$10=Plus!$AK$13),0,Plus!$BD$2*1.16))</f>
        <v>0</v>
      </c>
      <c r="CW54" s="123">
        <f>IF(CZ53&lt;0.01,0,IF(Plus!$AS$2&gt;0,CQ54*Plus!$AS$3,0))</f>
        <v>0</v>
      </c>
      <c r="CX54" s="123">
        <f t="shared" si="52"/>
        <v>0</v>
      </c>
      <c r="CY54" s="123">
        <f>IF(Plus!$F$10=Plus!$AK$3,MIN(CZ53+CQ54+CT54+CU54+CV54-CX54,DK54),0)</f>
        <v>0</v>
      </c>
      <c r="CZ54" s="297">
        <f t="shared" si="146"/>
        <v>0</v>
      </c>
      <c r="DA54" s="306">
        <f>Plus!O95</f>
        <v>0</v>
      </c>
      <c r="DB54" s="74"/>
      <c r="DC54" s="74"/>
      <c r="DD54" s="407">
        <f t="shared" si="54"/>
        <v>0</v>
      </c>
      <c r="DG54" s="90">
        <f t="shared" si="55"/>
        <v>6</v>
      </c>
      <c r="DH54" s="121">
        <f t="shared" si="108"/>
        <v>0</v>
      </c>
      <c r="DJ54" s="149">
        <f t="shared" si="109"/>
        <v>0</v>
      </c>
      <c r="DK54" s="2179">
        <f t="shared" ca="1" si="56"/>
        <v>0</v>
      </c>
      <c r="DN54" s="120">
        <f t="shared" si="110"/>
        <v>0</v>
      </c>
      <c r="DO54" s="110">
        <f t="shared" si="57"/>
        <v>0</v>
      </c>
      <c r="DP54" s="110">
        <f t="shared" si="124"/>
        <v>0</v>
      </c>
      <c r="DQ54" s="109">
        <f t="shared" si="58"/>
        <v>0</v>
      </c>
      <c r="DR54" s="109">
        <f t="shared" si="59"/>
        <v>0</v>
      </c>
      <c r="DS54" s="113">
        <f t="shared" si="60"/>
        <v>0</v>
      </c>
      <c r="DU54" s="102">
        <f t="shared" si="61"/>
        <v>0</v>
      </c>
      <c r="DV54" s="211">
        <f t="shared" si="125"/>
        <v>30</v>
      </c>
      <c r="DW54" s="212">
        <f t="shared" si="62"/>
        <v>0</v>
      </c>
      <c r="DX54" s="212">
        <f t="shared" si="15"/>
        <v>0</v>
      </c>
      <c r="DY54" s="212">
        <f t="shared" si="111"/>
        <v>0</v>
      </c>
      <c r="DZ54" s="213">
        <f t="shared" si="16"/>
        <v>1000000</v>
      </c>
      <c r="ED54" s="182"/>
      <c r="EF54" s="308">
        <f t="shared" ca="1" si="17"/>
        <v>9</v>
      </c>
      <c r="EG54" s="309">
        <f t="shared" si="63"/>
        <v>0</v>
      </c>
      <c r="EH54" s="268">
        <f t="shared" si="18"/>
        <v>0</v>
      </c>
      <c r="EI54" s="33">
        <f t="shared" si="64"/>
        <v>0</v>
      </c>
      <c r="EJ54" s="33">
        <f t="shared" si="139"/>
        <v>0</v>
      </c>
      <c r="EK54" s="33">
        <f t="shared" si="151"/>
        <v>0</v>
      </c>
      <c r="EL54" s="33">
        <f>IF(ER53&lt;0.01,0,IF(Plus!$F$22=Plus!$AN$4,0,IF(Plus!$F$22=Plus!$AN$3,ER53*Plus!$F$23/1000,ER53*VLOOKUP(Plus!$G$21,Plus!$AP$2:'Plus'!$AQ$5,2,0))))</f>
        <v>0</v>
      </c>
      <c r="EM54" s="33">
        <f>IF(ER53&lt;0.01,0,IF(Plus!$F$24=Plus!$AO$3,0,IF(OR(Plus!$F$10=Plus!$AK$7,Plus!$F$10=Plus!$AK$13),0,Plus!$G$13*Plus!$AR$2)))</f>
        <v>0</v>
      </c>
      <c r="EN54" s="33">
        <f>IF(ER53&lt;0.01,0,IF(OR(Plus!$F$10=Plus!$AK$7,Plus!$F$10=Plus!$AK$13),0,Plus!$BD$2*1.16))</f>
        <v>0</v>
      </c>
      <c r="EO54" s="33">
        <f>IF(ER53&lt;0.01,0,IF(Plus!$AS$2&gt;0,EI54*Plus!$AS$3,0))</f>
        <v>0</v>
      </c>
      <c r="EP54" s="33">
        <f t="shared" si="65"/>
        <v>0</v>
      </c>
      <c r="EQ54" s="33">
        <f>IF(Plus!$F$10=Plus!$AK$3,MIN(ER53+EI54+EL54+EM54+EN54-EP54,FC54),0)</f>
        <v>0</v>
      </c>
      <c r="ER54" s="311">
        <f t="shared" si="145"/>
        <v>0</v>
      </c>
      <c r="ES54" s="340">
        <f>Plus!O95</f>
        <v>0</v>
      </c>
      <c r="ET54" s="74"/>
      <c r="EU54" s="74"/>
      <c r="EV54" s="416">
        <f t="shared" si="134"/>
        <v>0</v>
      </c>
      <c r="EY54" s="90">
        <f t="shared" si="68"/>
        <v>6</v>
      </c>
      <c r="EZ54" s="121">
        <f t="shared" si="112"/>
        <v>0</v>
      </c>
      <c r="FB54" s="149">
        <f t="shared" si="113"/>
        <v>0</v>
      </c>
      <c r="FC54" s="2179">
        <f t="shared" ca="1" si="69"/>
        <v>0</v>
      </c>
      <c r="FE54" s="120">
        <f t="shared" si="114"/>
        <v>0</v>
      </c>
      <c r="FF54" s="110">
        <f t="shared" si="70"/>
        <v>0</v>
      </c>
      <c r="FG54" s="110">
        <f t="shared" si="71"/>
        <v>0</v>
      </c>
      <c r="FH54" s="109">
        <f t="shared" si="72"/>
        <v>0</v>
      </c>
      <c r="FI54" s="109">
        <f t="shared" si="19"/>
        <v>0</v>
      </c>
      <c r="FJ54" s="113">
        <f t="shared" si="73"/>
        <v>0</v>
      </c>
      <c r="FL54" s="102">
        <f t="shared" si="74"/>
        <v>0</v>
      </c>
      <c r="FM54" s="211">
        <f t="shared" si="127"/>
        <v>30</v>
      </c>
      <c r="FN54" s="212">
        <f t="shared" si="75"/>
        <v>0</v>
      </c>
      <c r="FO54" s="212">
        <f t="shared" si="20"/>
        <v>0</v>
      </c>
      <c r="FP54" s="212">
        <f t="shared" si="152"/>
        <v>0</v>
      </c>
      <c r="FQ54" s="213">
        <f t="shared" si="21"/>
        <v>1000000</v>
      </c>
      <c r="FV54" s="359"/>
      <c r="FX54" s="308">
        <f t="shared" ca="1" si="22"/>
        <v>9</v>
      </c>
      <c r="FY54" s="309">
        <f t="shared" si="76"/>
        <v>0</v>
      </c>
      <c r="FZ54" s="268">
        <f t="shared" si="23"/>
        <v>0</v>
      </c>
      <c r="GA54" s="33">
        <f t="shared" si="77"/>
        <v>0</v>
      </c>
      <c r="GB54" s="33">
        <f t="shared" si="141"/>
        <v>0</v>
      </c>
      <c r="GC54" s="33">
        <f t="shared" si="142"/>
        <v>0</v>
      </c>
      <c r="GD54" s="33">
        <f>IF(GJ53&lt;0.01,0,IF(Plus!$F$22=Plus!$AN$4,0,IF(Plus!$F$22=Plus!$AN$3,GJ53*Plus!$F$23/1000,GJ53*VLOOKUP(Plus!$G$21,Plus!$AP$2:$AQ$5,2,0))))</f>
        <v>0</v>
      </c>
      <c r="GE54" s="33">
        <f>IF(GJ53&lt;0.01,0,IF(Plus!$F$24=Plus!$AO$3,0,IF(OR(Plus!$F$10=Plus!$AK$7,Plus!$F$10=Plus!$AK$13,Plus!$F$10=Plus!$AK$14),0,IF(OR(Plus!$F$10=Plus!$AK$10,Plus!$F$10=Plus!$AK$11),Plus!$G$13*Adm!$W$7,Plus!$G$13*Adm!$X$4))))</f>
        <v>0</v>
      </c>
      <c r="GF54" s="33">
        <f>IF(GJ53&lt;0.01,0,IF(OR(Plus!$F$10=Plus!$AK$7,Plus!$F$10=Plus!$AK$13),0,Plus!$BD$2*1.16))</f>
        <v>0</v>
      </c>
      <c r="GG54" s="33">
        <f>IF(GJ53&lt;0.01,0,IF(Plus!$AS$2&gt;0,GA54*Plus!$AS$3,0))</f>
        <v>0</v>
      </c>
      <c r="GH54" s="33">
        <f t="shared" si="78"/>
        <v>0</v>
      </c>
      <c r="GI54" s="33">
        <f>IF(Plus!$F$10=Plus!$AK$3,MIN(GJ53+GA54+GD54+GE54+GF54-GH54,GU54),0)</f>
        <v>0</v>
      </c>
      <c r="GJ54" s="311">
        <f t="shared" si="136"/>
        <v>0</v>
      </c>
      <c r="GK54" s="340">
        <f>Plus!O95</f>
        <v>0</v>
      </c>
      <c r="GL54" s="74"/>
      <c r="GM54" s="74"/>
      <c r="GN54" s="419">
        <f t="shared" si="135"/>
        <v>0</v>
      </c>
      <c r="GQ54" s="90">
        <f t="shared" si="80"/>
        <v>6</v>
      </c>
      <c r="GR54" s="121">
        <f t="shared" si="116"/>
        <v>0</v>
      </c>
      <c r="GT54" s="149">
        <f t="shared" si="117"/>
        <v>0</v>
      </c>
      <c r="GU54" s="2179">
        <f t="shared" ca="1" si="81"/>
        <v>0</v>
      </c>
      <c r="GW54" s="120">
        <f t="shared" si="118"/>
        <v>0</v>
      </c>
      <c r="GX54" s="110">
        <f t="shared" si="82"/>
        <v>0</v>
      </c>
      <c r="GY54" s="110">
        <f t="shared" si="83"/>
        <v>0</v>
      </c>
      <c r="GZ54" s="109">
        <f t="shared" si="84"/>
        <v>0</v>
      </c>
      <c r="HA54" s="109">
        <f t="shared" si="24"/>
        <v>0</v>
      </c>
      <c r="HB54" s="113">
        <f t="shared" si="85"/>
        <v>0</v>
      </c>
      <c r="HD54" s="102">
        <f t="shared" si="86"/>
        <v>0</v>
      </c>
      <c r="HE54" s="211">
        <f t="shared" si="129"/>
        <v>30</v>
      </c>
      <c r="HF54" s="212">
        <f t="shared" si="87"/>
        <v>0</v>
      </c>
      <c r="HG54" s="212">
        <f t="shared" si="25"/>
        <v>0</v>
      </c>
      <c r="HH54" s="212">
        <f t="shared" si="153"/>
        <v>0</v>
      </c>
      <c r="HI54" s="213">
        <f t="shared" si="26"/>
        <v>1000000</v>
      </c>
      <c r="HL54" s="182"/>
      <c r="HM54" s="26">
        <f t="shared" ca="1" si="27"/>
        <v>9</v>
      </c>
      <c r="HO54" s="268">
        <f t="shared" si="28"/>
        <v>0</v>
      </c>
      <c r="HP54" s="421">
        <f t="shared" si="120"/>
        <v>0</v>
      </c>
      <c r="HQ54" s="123">
        <f t="shared" si="88"/>
        <v>0</v>
      </c>
      <c r="HR54" s="123">
        <f t="shared" si="89"/>
        <v>0</v>
      </c>
      <c r="HS54" s="123">
        <f t="shared" si="90"/>
        <v>0</v>
      </c>
      <c r="HT54" s="123">
        <f>IF(HY53&lt;0.01,0,IF(Adm!$GS$4=Adm!$GS$8,HY53*$HY$15,IF(Adm!$GS$12=Adm!$GS$13,0,HY53*Adm!$GV$4)))</f>
        <v>0</v>
      </c>
      <c r="HU54" s="123">
        <f>IF(HY53&lt;0.01,0,IF(Adm!$GS$5=Adm!$GS$8,Cal!$BO$108*$HY$16/1.16,IF(Adm!$GS$12=Adm!$GS$13,0,Cal!$BO$108*Adm!$GW$4/1.16)))</f>
        <v>0</v>
      </c>
      <c r="HV54" s="123">
        <f t="shared" si="91"/>
        <v>0</v>
      </c>
      <c r="HW54" s="123">
        <f t="shared" si="92"/>
        <v>0</v>
      </c>
      <c r="HX54" s="123">
        <f>IF(Adm!$GH$6="si",MIN(HY53+HQ54+HT54+HU54+HV54-HW54,IH54),0)</f>
        <v>0</v>
      </c>
      <c r="HY54" s="297">
        <f t="shared" si="93"/>
        <v>0</v>
      </c>
      <c r="HZ54" s="74"/>
      <c r="IA54" s="407">
        <f t="shared" si="94"/>
        <v>0</v>
      </c>
      <c r="IC54" s="90">
        <f t="shared" si="95"/>
        <v>6</v>
      </c>
      <c r="ID54" s="124">
        <f>IF(IC54=1,Cal!$BO$127,0)</f>
        <v>0</v>
      </c>
      <c r="IE54" s="73"/>
      <c r="IG54" s="70">
        <f t="shared" si="121"/>
        <v>0</v>
      </c>
      <c r="IH54" s="2178">
        <f t="shared" ca="1" si="96"/>
        <v>0</v>
      </c>
      <c r="IK54" s="217"/>
      <c r="IL54" s="26">
        <f t="shared" ca="1" si="29"/>
        <v>9</v>
      </c>
      <c r="IN54" s="268">
        <f t="shared" si="30"/>
        <v>0</v>
      </c>
      <c r="IO54" s="421">
        <f t="shared" si="122"/>
        <v>0</v>
      </c>
      <c r="IP54" s="123">
        <f t="shared" si="97"/>
        <v>0</v>
      </c>
      <c r="IQ54" s="123">
        <f t="shared" si="98"/>
        <v>0</v>
      </c>
      <c r="IR54" s="123">
        <f t="shared" si="99"/>
        <v>0</v>
      </c>
      <c r="IS54" s="123">
        <f>IF(IX53&lt;0.01,0,IF(Adm!$GS$4=Adm!$GS$8,IX53*$IX$15,IF(Adm!$GS$12=Adm!$GS$13,0,IX53*Adm!$GV$4)))</f>
        <v>0</v>
      </c>
      <c r="IT54" s="123"/>
      <c r="IU54" s="123">
        <f t="shared" si="100"/>
        <v>0</v>
      </c>
      <c r="IV54" s="123">
        <f t="shared" si="101"/>
        <v>0</v>
      </c>
      <c r="IW54" s="123"/>
      <c r="IX54" s="297">
        <f t="shared" si="102"/>
        <v>0</v>
      </c>
      <c r="IY54" s="74"/>
      <c r="IZ54" s="416">
        <f t="shared" si="103"/>
        <v>0</v>
      </c>
      <c r="JB54" s="90">
        <f t="shared" si="104"/>
        <v>6</v>
      </c>
      <c r="JC54" s="124">
        <f>IF(JB54=1,Cal!$BP$127,0)</f>
        <v>0</v>
      </c>
      <c r="JD54" s="73"/>
    </row>
    <row r="55" spans="1:264">
      <c r="A55" s="26">
        <f t="shared" ca="1" si="0"/>
        <v>10</v>
      </c>
      <c r="C55" s="33">
        <f t="shared" si="1"/>
        <v>0</v>
      </c>
      <c r="D55" s="123">
        <f t="shared" si="31"/>
        <v>0</v>
      </c>
      <c r="E55" s="123">
        <f t="shared" si="147"/>
        <v>0</v>
      </c>
      <c r="F55" s="123">
        <f t="shared" si="149"/>
        <v>0</v>
      </c>
      <c r="G55" s="123">
        <f>IF(L54&lt;0.01,0,IF(Adm!$S$4=Adm!$S$8,L54*$L$15,L54*Adm!$V$4))</f>
        <v>0</v>
      </c>
      <c r="H55" s="123">
        <f>IF(L54&lt;0.01,0,IF(Adm!$S$5=Adm!$S$8,Adm!$AA$11*$L$16/1.16,IF(Adm!$B$4=Adm!$A$119,0,Adm!$AA$11*Adm!$X$4/1.16)))</f>
        <v>0</v>
      </c>
      <c r="I55" s="123">
        <f>IF(L54&lt;0.01,0,Cal!$AB$126/1.16)</f>
        <v>0</v>
      </c>
      <c r="J55" s="123">
        <f t="shared" si="2"/>
        <v>0</v>
      </c>
      <c r="K55" s="123">
        <f>IF(Adm!$G$4="si",MIN(L54+D55+G55+H55+I55-J55,V55),0)</f>
        <v>0</v>
      </c>
      <c r="L55" s="123">
        <f t="shared" si="32"/>
        <v>0</v>
      </c>
      <c r="M55" s="74"/>
      <c r="N55" s="74"/>
      <c r="O55" s="407">
        <f t="shared" si="33"/>
        <v>0</v>
      </c>
      <c r="R55" s="90">
        <f t="shared" si="34"/>
        <v>7</v>
      </c>
      <c r="S55" s="121">
        <f>IF(R55=1,Cal!$AB$127,0)</f>
        <v>0</v>
      </c>
      <c r="U55" s="70">
        <f t="shared" si="105"/>
        <v>0</v>
      </c>
      <c r="V55" s="2178">
        <f t="shared" ca="1" si="35"/>
        <v>0</v>
      </c>
      <c r="X55" s="398"/>
      <c r="Z55" s="268">
        <f t="shared" si="3"/>
        <v>0</v>
      </c>
      <c r="AA55" s="2176">
        <f t="shared" si="36"/>
        <v>0</v>
      </c>
      <c r="AB55" s="33">
        <f t="shared" si="37"/>
        <v>0</v>
      </c>
      <c r="AC55" s="33">
        <f t="shared" si="38"/>
        <v>0</v>
      </c>
      <c r="AD55" s="33">
        <f>IF(AI54&lt;0.01,0,IF(Adm!$S$4=Adm!$S$8,AI54*$AI$15,AI54*Adm!$V$4))</f>
        <v>0</v>
      </c>
      <c r="AE55" s="33"/>
      <c r="AF55" s="33"/>
      <c r="AG55" s="33">
        <f t="shared" si="4"/>
        <v>0</v>
      </c>
      <c r="AH55" s="33"/>
      <c r="AI55" s="401">
        <f t="shared" si="5"/>
        <v>0</v>
      </c>
      <c r="AK55" s="410">
        <f t="shared" si="6"/>
        <v>0</v>
      </c>
      <c r="AN55" s="90">
        <f t="shared" si="39"/>
        <v>7</v>
      </c>
      <c r="AO55" s="121">
        <f>IF(AN55=1,Cal!$AC$127,0)</f>
        <v>0</v>
      </c>
      <c r="AS55" s="200"/>
      <c r="AU55" s="268">
        <f t="shared" si="7"/>
        <v>0</v>
      </c>
      <c r="AV55" s="2177">
        <f t="shared" si="40"/>
        <v>0</v>
      </c>
      <c r="AW55" s="123">
        <f t="shared" si="8"/>
        <v>0</v>
      </c>
      <c r="AX55" s="123">
        <f t="shared" si="41"/>
        <v>0</v>
      </c>
      <c r="AY55" s="123">
        <f>IF(BC54&lt;0.01,0,IF(Adm!$S$4=Adm!$S$8,BC54*$BC$16,BC54*Adm!$V$4))</f>
        <v>0</v>
      </c>
      <c r="AZ55" s="123"/>
      <c r="BA55" s="123">
        <f>IF(BC54&lt;0.01,0,Adm!$Q$6)</f>
        <v>0</v>
      </c>
      <c r="BB55" s="123">
        <f t="shared" si="42"/>
        <v>0</v>
      </c>
      <c r="BC55" s="297">
        <f t="shared" si="43"/>
        <v>0</v>
      </c>
      <c r="BE55" s="425">
        <f t="shared" si="9"/>
        <v>0</v>
      </c>
      <c r="BH55" s="90">
        <f t="shared" si="44"/>
        <v>7</v>
      </c>
      <c r="BI55" s="121">
        <f>IF(BH55=1,Cal!$AD$127,0)</f>
        <v>0</v>
      </c>
      <c r="BM55" s="221"/>
      <c r="BO55" s="295">
        <f t="shared" ca="1" si="10"/>
        <v>10</v>
      </c>
      <c r="BP55" s="268">
        <f t="shared" si="11"/>
        <v>0</v>
      </c>
      <c r="BQ55" s="123">
        <f t="shared" si="45"/>
        <v>0</v>
      </c>
      <c r="BR55" s="123">
        <f t="shared" si="148"/>
        <v>0</v>
      </c>
      <c r="BS55" s="123">
        <f t="shared" si="150"/>
        <v>0</v>
      </c>
      <c r="BT55" s="123">
        <f>IF(BZ54&lt;0.01,0,IF(Plus!$F$22=Plus!$AN$4,BZ54*$BZ$15,IF(Plus!$F$22=Plus!$AN$3,BZ54*Plus!$F$23/1000,BZ54*VLOOKUP(Plus!$G$21,Plus!$AP$2:'Plus'!$AQ$5,2,0))))</f>
        <v>0</v>
      </c>
      <c r="BU55" s="123">
        <f>IF(BZ54&lt;0.01,0,IF(Plus!$F$24=Plus!$AO$3,Plus!$G$13*Plus!$AR$2/1.16,IF(Plus!$F$10=Plus!$AK$7,0,Plus!$G$13*Plus!$AR$2/1.16)))</f>
        <v>0</v>
      </c>
      <c r="BV55" s="123">
        <f>IF(BZ54&lt;0.01,0,Plus!$BD$2)</f>
        <v>0</v>
      </c>
      <c r="BW55" s="123"/>
      <c r="BX55" s="123">
        <f t="shared" si="12"/>
        <v>0</v>
      </c>
      <c r="BY55" s="123">
        <f>IF(Plus!$F$10=Plus!$AK$3,MIN(BZ54+BQ55+BT55+BU55+BV55-BX55,CJ55),0)</f>
        <v>0</v>
      </c>
      <c r="BZ55" s="297">
        <f t="shared" si="144"/>
        <v>0</v>
      </c>
      <c r="CA55" s="74"/>
      <c r="CB55" s="74"/>
      <c r="CC55" s="413">
        <f t="shared" si="47"/>
        <v>0</v>
      </c>
      <c r="CF55" s="90">
        <f t="shared" si="48"/>
        <v>7</v>
      </c>
      <c r="CG55" s="121">
        <f t="shared" si="106"/>
        <v>0</v>
      </c>
      <c r="CI55" s="70">
        <f t="shared" si="107"/>
        <v>0</v>
      </c>
      <c r="CJ55" s="2178">
        <f t="shared" ca="1" si="49"/>
        <v>0</v>
      </c>
      <c r="CL55" s="161"/>
      <c r="CN55" s="308">
        <f t="shared" ca="1" si="13"/>
        <v>10</v>
      </c>
      <c r="CO55" s="309">
        <f t="shared" si="50"/>
        <v>0</v>
      </c>
      <c r="CP55" s="268">
        <f t="shared" si="14"/>
        <v>0</v>
      </c>
      <c r="CQ55" s="123">
        <f t="shared" si="51"/>
        <v>0</v>
      </c>
      <c r="CR55" s="123">
        <f t="shared" si="137"/>
        <v>0</v>
      </c>
      <c r="CS55" s="123">
        <f t="shared" si="138"/>
        <v>0</v>
      </c>
      <c r="CT55" s="33">
        <f>IF(CZ54&lt;0.01,0,IF(Plus!$F$22=Plus!$AN$4,0,IF(Plus!$F$22=Plus!$AN$3,CZ54*Plus!$F$23/1000,CZ54*VLOOKUP(Plus!$G$21,Plus!$AP$2:'Plus'!$AQ$5,2,0))))</f>
        <v>0</v>
      </c>
      <c r="CU55" s="123">
        <f>IF(CZ54&lt;0.01,0,IF(Plus!$F$24=Plus!$AO$3,0,IF(OR(Plus!$F$10=Plus!$AK$7,Plus!$F$10=Plus!$AK$13),0,Plus!$G$13*Plus!$AR$2)))</f>
        <v>0</v>
      </c>
      <c r="CV55" s="123">
        <f>IF(CZ54&lt;0.01,0,IF(OR(Plus!$F$10=Plus!$AK$7,Plus!$F$10=Plus!$AK$13),0,Plus!$BD$2*1.16))</f>
        <v>0</v>
      </c>
      <c r="CW55" s="123">
        <f>IF(CZ54&lt;0.01,0,IF(Plus!$AS$2&gt;0,CQ55*Plus!$AS$3,0))</f>
        <v>0</v>
      </c>
      <c r="CX55" s="123">
        <f t="shared" si="52"/>
        <v>0</v>
      </c>
      <c r="CY55" s="123">
        <f>IF(Plus!$F$10=Plus!$AK$3,MIN(CZ54+CQ55+CT55+CU55+CV55-CX55,DK55),0)</f>
        <v>0</v>
      </c>
      <c r="CZ55" s="297">
        <f t="shared" si="146"/>
        <v>0</v>
      </c>
      <c r="DA55" s="306">
        <f>Plus!O96</f>
        <v>0</v>
      </c>
      <c r="DB55" s="74"/>
      <c r="DC55" s="74"/>
      <c r="DD55" s="407">
        <f t="shared" si="54"/>
        <v>0</v>
      </c>
      <c r="DG55" s="90">
        <f t="shared" si="55"/>
        <v>7</v>
      </c>
      <c r="DH55" s="121">
        <f t="shared" si="108"/>
        <v>0</v>
      </c>
      <c r="DJ55" s="149">
        <f t="shared" si="109"/>
        <v>0</v>
      </c>
      <c r="DK55" s="2179">
        <f t="shared" ca="1" si="56"/>
        <v>0</v>
      </c>
      <c r="DN55" s="120">
        <f t="shared" si="110"/>
        <v>0</v>
      </c>
      <c r="DO55" s="110">
        <f t="shared" si="57"/>
        <v>0</v>
      </c>
      <c r="DP55" s="110">
        <f t="shared" si="124"/>
        <v>0</v>
      </c>
      <c r="DQ55" s="109">
        <f t="shared" si="58"/>
        <v>0</v>
      </c>
      <c r="DR55" s="109">
        <f t="shared" si="59"/>
        <v>0</v>
      </c>
      <c r="DS55" s="113">
        <f t="shared" si="60"/>
        <v>0</v>
      </c>
      <c r="DU55" s="102">
        <f t="shared" si="61"/>
        <v>0</v>
      </c>
      <c r="DV55" s="211">
        <f t="shared" si="125"/>
        <v>31</v>
      </c>
      <c r="DW55" s="212">
        <f t="shared" si="62"/>
        <v>0</v>
      </c>
      <c r="DX55" s="212">
        <f t="shared" si="15"/>
        <v>0</v>
      </c>
      <c r="DY55" s="212">
        <f t="shared" si="111"/>
        <v>0</v>
      </c>
      <c r="DZ55" s="213">
        <f t="shared" si="16"/>
        <v>1000000</v>
      </c>
      <c r="ED55" s="182"/>
      <c r="EF55" s="308">
        <f t="shared" ca="1" si="17"/>
        <v>10</v>
      </c>
      <c r="EG55" s="309">
        <f t="shared" si="63"/>
        <v>0</v>
      </c>
      <c r="EH55" s="268">
        <f t="shared" si="18"/>
        <v>0</v>
      </c>
      <c r="EI55" s="33">
        <f t="shared" si="64"/>
        <v>0</v>
      </c>
      <c r="EJ55" s="33">
        <f t="shared" si="139"/>
        <v>0</v>
      </c>
      <c r="EK55" s="33">
        <f t="shared" si="151"/>
        <v>0</v>
      </c>
      <c r="EL55" s="33">
        <f>IF(ER54&lt;0.01,0,IF(Plus!$F$22=Plus!$AN$4,0,IF(Plus!$F$22=Plus!$AN$3,ER54*Plus!$F$23/1000,ER54*VLOOKUP(Plus!$G$21,Plus!$AP$2:'Plus'!$AQ$5,2,0))))</f>
        <v>0</v>
      </c>
      <c r="EM55" s="33">
        <f>IF(ER54&lt;0.01,0,IF(Plus!$F$24=Plus!$AO$3,0,IF(OR(Plus!$F$10=Plus!$AK$7,Plus!$F$10=Plus!$AK$13),0,Plus!$G$13*Plus!$AR$2)))</f>
        <v>0</v>
      </c>
      <c r="EN55" s="33">
        <f>IF(ER54&lt;0.01,0,IF(OR(Plus!$F$10=Plus!$AK$7,Plus!$F$10=Plus!$AK$13),0,Plus!$BD$2*1.16))</f>
        <v>0</v>
      </c>
      <c r="EO55" s="33">
        <f>IF(ER54&lt;0.01,0,IF(Plus!$AS$2&gt;0,EI55*Plus!$AS$3,0))</f>
        <v>0</v>
      </c>
      <c r="EP55" s="33">
        <f t="shared" si="65"/>
        <v>0</v>
      </c>
      <c r="EQ55" s="33">
        <f>IF(Plus!$F$10=Plus!$AK$3,MIN(ER54+EI55+EL55+EM55+EN55-EP55,FC55),0)</f>
        <v>0</v>
      </c>
      <c r="ER55" s="311">
        <f t="shared" si="145"/>
        <v>0</v>
      </c>
      <c r="ES55" s="340">
        <f>Plus!O96</f>
        <v>0</v>
      </c>
      <c r="ET55" s="74"/>
      <c r="EU55" s="74"/>
      <c r="EV55" s="416">
        <f t="shared" si="134"/>
        <v>0</v>
      </c>
      <c r="EY55" s="90">
        <f t="shared" si="68"/>
        <v>7</v>
      </c>
      <c r="EZ55" s="121">
        <f t="shared" si="112"/>
        <v>0</v>
      </c>
      <c r="FB55" s="149">
        <f t="shared" si="113"/>
        <v>0</v>
      </c>
      <c r="FC55" s="2179">
        <f t="shared" ca="1" si="69"/>
        <v>0</v>
      </c>
      <c r="FE55" s="120">
        <f t="shared" si="114"/>
        <v>0</v>
      </c>
      <c r="FF55" s="110">
        <f t="shared" si="70"/>
        <v>0</v>
      </c>
      <c r="FG55" s="110">
        <f t="shared" si="71"/>
        <v>0</v>
      </c>
      <c r="FH55" s="109">
        <f t="shared" si="72"/>
        <v>0</v>
      </c>
      <c r="FI55" s="109">
        <f t="shared" si="19"/>
        <v>0</v>
      </c>
      <c r="FJ55" s="113">
        <f t="shared" si="73"/>
        <v>0</v>
      </c>
      <c r="FL55" s="102">
        <f t="shared" si="74"/>
        <v>0</v>
      </c>
      <c r="FM55" s="211">
        <f t="shared" si="127"/>
        <v>31</v>
      </c>
      <c r="FN55" s="212">
        <f t="shared" si="75"/>
        <v>0</v>
      </c>
      <c r="FO55" s="212">
        <f t="shared" si="20"/>
        <v>0</v>
      </c>
      <c r="FP55" s="212">
        <f t="shared" si="152"/>
        <v>0</v>
      </c>
      <c r="FQ55" s="213">
        <f t="shared" si="21"/>
        <v>1000000</v>
      </c>
      <c r="FV55" s="359"/>
      <c r="FX55" s="308">
        <f t="shared" ca="1" si="22"/>
        <v>10</v>
      </c>
      <c r="FY55" s="309">
        <f t="shared" si="76"/>
        <v>0</v>
      </c>
      <c r="FZ55" s="268">
        <f t="shared" si="23"/>
        <v>0</v>
      </c>
      <c r="GA55" s="33">
        <f t="shared" si="77"/>
        <v>0</v>
      </c>
      <c r="GB55" s="33">
        <f t="shared" si="141"/>
        <v>0</v>
      </c>
      <c r="GC55" s="33">
        <f t="shared" si="142"/>
        <v>0</v>
      </c>
      <c r="GD55" s="33">
        <f>IF(GJ54&lt;0.01,0,IF(Plus!$F$22=Plus!$AN$4,0,IF(Plus!$F$22=Plus!$AN$3,GJ54*Plus!$F$23/1000,GJ54*VLOOKUP(Plus!$G$21,Plus!$AP$2:$AQ$5,2,0))))</f>
        <v>0</v>
      </c>
      <c r="GE55" s="33">
        <f>IF(GJ54&lt;0.01,0,IF(Plus!$F$24=Plus!$AO$3,0,IF(OR(Plus!$F$10=Plus!$AK$7,Plus!$F$10=Plus!$AK$13,Plus!$F$10=Plus!$AK$14),0,IF(OR(Plus!$F$10=Plus!$AK$10,Plus!$F$10=Plus!$AK$11),Plus!$G$13*Adm!$W$7,Plus!$G$13*Adm!$X$4))))</f>
        <v>0</v>
      </c>
      <c r="GF55" s="33">
        <f>IF(GJ54&lt;0.01,0,IF(OR(Plus!$F$10=Plus!$AK$7,Plus!$F$10=Plus!$AK$13),0,Plus!$BD$2*1.16))</f>
        <v>0</v>
      </c>
      <c r="GG55" s="33">
        <f>IF(GJ54&lt;0.01,0,IF(Plus!$AS$2&gt;0,GA55*Plus!$AS$3,0))</f>
        <v>0</v>
      </c>
      <c r="GH55" s="33">
        <f t="shared" si="78"/>
        <v>0</v>
      </c>
      <c r="GI55" s="33">
        <f>IF(Plus!$F$10=Plus!$AK$3,MIN(GJ54+GA55+GD55+GE55+GF55-GH55,GU55),0)</f>
        <v>0</v>
      </c>
      <c r="GJ55" s="311">
        <f t="shared" si="136"/>
        <v>0</v>
      </c>
      <c r="GK55" s="340">
        <f>Plus!O96</f>
        <v>0</v>
      </c>
      <c r="GL55" s="74"/>
      <c r="GM55" s="74"/>
      <c r="GN55" s="419">
        <f t="shared" si="135"/>
        <v>0</v>
      </c>
      <c r="GQ55" s="90">
        <f t="shared" si="80"/>
        <v>7</v>
      </c>
      <c r="GR55" s="121">
        <f t="shared" si="116"/>
        <v>0</v>
      </c>
      <c r="GT55" s="149">
        <f t="shared" si="117"/>
        <v>0</v>
      </c>
      <c r="GU55" s="2179">
        <f t="shared" ca="1" si="81"/>
        <v>0</v>
      </c>
      <c r="GW55" s="120">
        <f t="shared" si="118"/>
        <v>0</v>
      </c>
      <c r="GX55" s="110">
        <f t="shared" si="82"/>
        <v>0</v>
      </c>
      <c r="GY55" s="110">
        <f t="shared" si="83"/>
        <v>0</v>
      </c>
      <c r="GZ55" s="109">
        <f t="shared" si="84"/>
        <v>0</v>
      </c>
      <c r="HA55" s="109">
        <f t="shared" si="24"/>
        <v>0</v>
      </c>
      <c r="HB55" s="113">
        <f t="shared" si="85"/>
        <v>0</v>
      </c>
      <c r="HD55" s="102">
        <f t="shared" si="86"/>
        <v>0</v>
      </c>
      <c r="HE55" s="211">
        <f t="shared" si="129"/>
        <v>31</v>
      </c>
      <c r="HF55" s="212">
        <f t="shared" si="87"/>
        <v>0</v>
      </c>
      <c r="HG55" s="212">
        <f t="shared" si="25"/>
        <v>0</v>
      </c>
      <c r="HH55" s="212">
        <f t="shared" si="153"/>
        <v>0</v>
      </c>
      <c r="HI55" s="213">
        <f t="shared" si="26"/>
        <v>1000000</v>
      </c>
      <c r="HL55" s="182"/>
      <c r="HM55" s="26">
        <f t="shared" ca="1" si="27"/>
        <v>10</v>
      </c>
      <c r="HO55" s="268">
        <f t="shared" si="28"/>
        <v>0</v>
      </c>
      <c r="HP55" s="421">
        <f t="shared" si="120"/>
        <v>0</v>
      </c>
      <c r="HQ55" s="123">
        <f t="shared" si="88"/>
        <v>0</v>
      </c>
      <c r="HR55" s="123">
        <f t="shared" si="89"/>
        <v>0</v>
      </c>
      <c r="HS55" s="123">
        <f t="shared" si="90"/>
        <v>0</v>
      </c>
      <c r="HT55" s="123">
        <f>IF(HY54&lt;0.01,0,IF(Adm!$GS$4=Adm!$GS$8,HY54*$HY$15,IF(Adm!$GS$12=Adm!$GS$13,0,HY54*Adm!$GV$4)))</f>
        <v>0</v>
      </c>
      <c r="HU55" s="123">
        <f>IF(HY54&lt;0.01,0,IF(Adm!$GS$5=Adm!$GS$8,Cal!$BO$108*$HY$16/1.16,IF(Adm!$GS$12=Adm!$GS$13,0,Cal!$BO$108*Adm!$GW$4/1.16)))</f>
        <v>0</v>
      </c>
      <c r="HV55" s="123">
        <f t="shared" si="91"/>
        <v>0</v>
      </c>
      <c r="HW55" s="123">
        <f t="shared" si="92"/>
        <v>0</v>
      </c>
      <c r="HX55" s="123">
        <f>IF(Adm!$GH$6="si",MIN(HY54+HQ55+HT55+HU55+HV55-HW55,IH55),0)</f>
        <v>0</v>
      </c>
      <c r="HY55" s="297">
        <f t="shared" si="93"/>
        <v>0</v>
      </c>
      <c r="HZ55" s="74"/>
      <c r="IA55" s="407">
        <f t="shared" si="94"/>
        <v>0</v>
      </c>
      <c r="IC55" s="90">
        <f t="shared" si="95"/>
        <v>7</v>
      </c>
      <c r="ID55" s="124">
        <f>IF(IC55=1,Cal!$BO$127,0)</f>
        <v>0</v>
      </c>
      <c r="IE55" s="73"/>
      <c r="IG55" s="70">
        <f t="shared" si="121"/>
        <v>0</v>
      </c>
      <c r="IH55" s="2178">
        <f t="shared" ca="1" si="96"/>
        <v>0</v>
      </c>
      <c r="IK55" s="217"/>
      <c r="IL55" s="26">
        <f t="shared" ca="1" si="29"/>
        <v>10</v>
      </c>
      <c r="IN55" s="268">
        <f t="shared" si="30"/>
        <v>0</v>
      </c>
      <c r="IO55" s="421">
        <f t="shared" si="122"/>
        <v>0</v>
      </c>
      <c r="IP55" s="123">
        <f t="shared" si="97"/>
        <v>0</v>
      </c>
      <c r="IQ55" s="123">
        <f t="shared" si="98"/>
        <v>0</v>
      </c>
      <c r="IR55" s="123">
        <f t="shared" si="99"/>
        <v>0</v>
      </c>
      <c r="IS55" s="123">
        <f>IF(IX54&lt;0.01,0,IF(Adm!$GS$4=Adm!$GS$8,IX54*$IX$15,IF(Adm!$GS$12=Adm!$GS$13,0,IX54*Adm!$GV$4)))</f>
        <v>0</v>
      </c>
      <c r="IT55" s="123"/>
      <c r="IU55" s="123">
        <f t="shared" si="100"/>
        <v>0</v>
      </c>
      <c r="IV55" s="123">
        <f t="shared" si="101"/>
        <v>0</v>
      </c>
      <c r="IW55" s="123"/>
      <c r="IX55" s="297">
        <f t="shared" si="102"/>
        <v>0</v>
      </c>
      <c r="IY55" s="74"/>
      <c r="IZ55" s="416">
        <f t="shared" si="103"/>
        <v>0</v>
      </c>
      <c r="JB55" s="90">
        <f t="shared" si="104"/>
        <v>7</v>
      </c>
      <c r="JC55" s="124">
        <f>IF(JB55=1,Cal!$BP$127,0)</f>
        <v>0</v>
      </c>
      <c r="JD55" s="73"/>
    </row>
    <row r="56" spans="1:264">
      <c r="A56" s="26">
        <f t="shared" ca="1" si="0"/>
        <v>11</v>
      </c>
      <c r="C56" s="33">
        <f t="shared" si="1"/>
        <v>0</v>
      </c>
      <c r="D56" s="123">
        <f t="shared" si="31"/>
        <v>0</v>
      </c>
      <c r="E56" s="123">
        <f t="shared" si="147"/>
        <v>0</v>
      </c>
      <c r="F56" s="123">
        <f t="shared" si="149"/>
        <v>0</v>
      </c>
      <c r="G56" s="123">
        <f>IF(L55&lt;0.01,0,IF(Adm!$S$4=Adm!$S$8,L55*$L$15,L55*Adm!$V$4))</f>
        <v>0</v>
      </c>
      <c r="H56" s="123">
        <f>IF(L55&lt;0.01,0,IF(Adm!$S$5=Adm!$S$8,Adm!$AA$11*$L$16/1.16,IF(Adm!$B$4=Adm!$A$119,0,Adm!$AA$11*Adm!$X$4/1.16)))</f>
        <v>0</v>
      </c>
      <c r="I56" s="123">
        <f>IF(L55&lt;0.01,0,Cal!$AB$126/1.16)</f>
        <v>0</v>
      </c>
      <c r="J56" s="123">
        <f t="shared" si="2"/>
        <v>0</v>
      </c>
      <c r="K56" s="123">
        <f>IF(Adm!$G$4="si",MIN(L55+D56+G56+H56+I56-J56,V56),0)</f>
        <v>0</v>
      </c>
      <c r="L56" s="123">
        <f t="shared" si="32"/>
        <v>0</v>
      </c>
      <c r="M56" s="74"/>
      <c r="N56" s="74"/>
      <c r="O56" s="407">
        <f t="shared" si="33"/>
        <v>0</v>
      </c>
      <c r="R56" s="90">
        <f t="shared" si="34"/>
        <v>8</v>
      </c>
      <c r="S56" s="121">
        <f>IF(R56=1,Cal!$AB$127,0)</f>
        <v>0</v>
      </c>
      <c r="U56" s="70">
        <f t="shared" si="105"/>
        <v>0</v>
      </c>
      <c r="V56" s="2178">
        <f t="shared" ca="1" si="35"/>
        <v>0</v>
      </c>
      <c r="X56" s="398"/>
      <c r="Z56" s="268">
        <f t="shared" si="3"/>
        <v>0</v>
      </c>
      <c r="AA56" s="2176">
        <f t="shared" si="36"/>
        <v>0</v>
      </c>
      <c r="AB56" s="33">
        <f t="shared" si="37"/>
        <v>0</v>
      </c>
      <c r="AC56" s="33">
        <f t="shared" si="38"/>
        <v>0</v>
      </c>
      <c r="AD56" s="33">
        <f>IF(AI55&lt;0.01,0,IF(Adm!$S$4=Adm!$S$8,AI55*$AI$15,AI55*Adm!$V$4))</f>
        <v>0</v>
      </c>
      <c r="AE56" s="33"/>
      <c r="AF56" s="33"/>
      <c r="AG56" s="33">
        <f t="shared" si="4"/>
        <v>0</v>
      </c>
      <c r="AH56" s="33"/>
      <c r="AI56" s="401">
        <f t="shared" si="5"/>
        <v>0</v>
      </c>
      <c r="AK56" s="410">
        <f t="shared" si="6"/>
        <v>0</v>
      </c>
      <c r="AN56" s="90">
        <f t="shared" si="39"/>
        <v>8</v>
      </c>
      <c r="AO56" s="121">
        <f>IF(AN56=1,Cal!$AC$127,0)</f>
        <v>0</v>
      </c>
      <c r="AS56" s="200"/>
      <c r="AU56" s="268">
        <f t="shared" si="7"/>
        <v>0</v>
      </c>
      <c r="AV56" s="2177">
        <f t="shared" si="40"/>
        <v>0</v>
      </c>
      <c r="AW56" s="123">
        <f t="shared" si="8"/>
        <v>0</v>
      </c>
      <c r="AX56" s="123">
        <f t="shared" si="41"/>
        <v>0</v>
      </c>
      <c r="AY56" s="123">
        <f>IF(BC55&lt;0.01,0,IF(Adm!$S$4=Adm!$S$8,BC55*$BC$16,BC55*Adm!$V$4))</f>
        <v>0</v>
      </c>
      <c r="AZ56" s="123"/>
      <c r="BA56" s="123">
        <f>IF(BC55&lt;0.01,0,Adm!$Q$6)</f>
        <v>0</v>
      </c>
      <c r="BB56" s="123">
        <f t="shared" si="42"/>
        <v>0</v>
      </c>
      <c r="BC56" s="297">
        <f t="shared" si="43"/>
        <v>0</v>
      </c>
      <c r="BE56" s="425">
        <f t="shared" si="9"/>
        <v>0</v>
      </c>
      <c r="BH56" s="90">
        <f t="shared" si="44"/>
        <v>8</v>
      </c>
      <c r="BI56" s="121">
        <f>IF(BH56=1,Cal!$AD$127,0)</f>
        <v>0</v>
      </c>
      <c r="BM56" s="221"/>
      <c r="BO56" s="295">
        <f t="shared" ca="1" si="10"/>
        <v>11</v>
      </c>
      <c r="BP56" s="268">
        <f t="shared" si="11"/>
        <v>0</v>
      </c>
      <c r="BQ56" s="123">
        <f t="shared" si="45"/>
        <v>0</v>
      </c>
      <c r="BR56" s="123">
        <f t="shared" si="148"/>
        <v>0</v>
      </c>
      <c r="BS56" s="123">
        <f t="shared" si="150"/>
        <v>0</v>
      </c>
      <c r="BT56" s="123">
        <f>IF(BZ55&lt;0.01,0,IF(Plus!$F$22=Plus!$AN$4,BZ55*$BZ$15,IF(Plus!$F$22=Plus!$AN$3,BZ55*Plus!$F$23/1000,BZ55*VLOOKUP(Plus!$G$21,Plus!$AP$2:'Plus'!$AQ$5,2,0))))</f>
        <v>0</v>
      </c>
      <c r="BU56" s="123">
        <f>IF(BZ55&lt;0.01,0,IF(Plus!$F$24=Plus!$AO$3,Plus!$G$13*Plus!$AR$2/1.16,IF(Plus!$F$10=Plus!$AK$7,0,Plus!$G$13*Plus!$AR$2/1.16)))</f>
        <v>0</v>
      </c>
      <c r="BV56" s="123">
        <f>IF(BZ55&lt;0.01,0,Plus!$BD$2)</f>
        <v>0</v>
      </c>
      <c r="BW56" s="123"/>
      <c r="BX56" s="123">
        <f t="shared" si="12"/>
        <v>0</v>
      </c>
      <c r="BY56" s="123">
        <f>IF(Plus!$F$10=Plus!$AK$3,MIN(BZ55+BQ56+BT56+BU56+BV56-BX56,CJ56),0)</f>
        <v>0</v>
      </c>
      <c r="BZ56" s="297">
        <f t="shared" si="144"/>
        <v>0</v>
      </c>
      <c r="CA56" s="74"/>
      <c r="CB56" s="74"/>
      <c r="CC56" s="413">
        <f t="shared" si="47"/>
        <v>0</v>
      </c>
      <c r="CF56" s="90">
        <f t="shared" si="48"/>
        <v>8</v>
      </c>
      <c r="CG56" s="121">
        <f t="shared" si="106"/>
        <v>0</v>
      </c>
      <c r="CI56" s="70">
        <f t="shared" si="107"/>
        <v>0</v>
      </c>
      <c r="CJ56" s="2178">
        <f t="shared" ca="1" si="49"/>
        <v>0</v>
      </c>
      <c r="CL56" s="161"/>
      <c r="CN56" s="308">
        <f t="shared" ca="1" si="13"/>
        <v>11</v>
      </c>
      <c r="CO56" s="309">
        <f t="shared" si="50"/>
        <v>0</v>
      </c>
      <c r="CP56" s="268">
        <f t="shared" si="14"/>
        <v>0</v>
      </c>
      <c r="CQ56" s="123">
        <f t="shared" si="51"/>
        <v>0</v>
      </c>
      <c r="CR56" s="123">
        <f t="shared" si="137"/>
        <v>0</v>
      </c>
      <c r="CS56" s="123">
        <f t="shared" si="138"/>
        <v>0</v>
      </c>
      <c r="CT56" s="33">
        <f>IF(CZ55&lt;0.01,0,IF(Plus!$F$22=Plus!$AN$4,0,IF(Plus!$F$22=Plus!$AN$3,CZ55*Plus!$F$23/1000,CZ55*VLOOKUP(Plus!$G$21,Plus!$AP$2:'Plus'!$AQ$5,2,0))))</f>
        <v>0</v>
      </c>
      <c r="CU56" s="123">
        <f>IF(CZ55&lt;0.01,0,IF(Plus!$F$24=Plus!$AO$3,0,IF(OR(Plus!$F$10=Plus!$AK$7,Plus!$F$10=Plus!$AK$13),0,Plus!$G$13*Plus!$AR$2)))</f>
        <v>0</v>
      </c>
      <c r="CV56" s="123">
        <f>IF(CZ55&lt;0.01,0,IF(OR(Plus!$F$10=Plus!$AK$7,Plus!$F$10=Plus!$AK$13),0,Plus!$BD$2*1.16))</f>
        <v>0</v>
      </c>
      <c r="CW56" s="123">
        <f>IF(CZ55&lt;0.01,0,IF(Plus!$AS$2&gt;0,CQ56*Plus!$AS$3,0))</f>
        <v>0</v>
      </c>
      <c r="CX56" s="123">
        <f t="shared" si="52"/>
        <v>0</v>
      </c>
      <c r="CY56" s="123">
        <f>IF(Plus!$F$10=Plus!$AK$3,MIN(CZ55+CQ56+CT56+CU56+CV56-CX56,DK56),0)</f>
        <v>0</v>
      </c>
      <c r="CZ56" s="297">
        <f t="shared" si="146"/>
        <v>0</v>
      </c>
      <c r="DA56" s="306">
        <f>Plus!O97</f>
        <v>0</v>
      </c>
      <c r="DB56" s="74"/>
      <c r="DC56" s="74"/>
      <c r="DD56" s="407">
        <f t="shared" si="54"/>
        <v>0</v>
      </c>
      <c r="DG56" s="90">
        <f t="shared" si="55"/>
        <v>8</v>
      </c>
      <c r="DH56" s="121">
        <f t="shared" si="108"/>
        <v>0</v>
      </c>
      <c r="DJ56" s="149">
        <f t="shared" si="109"/>
        <v>0</v>
      </c>
      <c r="DK56" s="2179">
        <f t="shared" ca="1" si="56"/>
        <v>0</v>
      </c>
      <c r="DN56" s="120">
        <f t="shared" si="110"/>
        <v>0</v>
      </c>
      <c r="DO56" s="110">
        <f t="shared" si="57"/>
        <v>0</v>
      </c>
      <c r="DP56" s="110">
        <f t="shared" si="124"/>
        <v>0</v>
      </c>
      <c r="DQ56" s="109">
        <f t="shared" si="58"/>
        <v>0</v>
      </c>
      <c r="DR56" s="109">
        <f t="shared" si="59"/>
        <v>0</v>
      </c>
      <c r="DS56" s="113">
        <f t="shared" si="60"/>
        <v>0</v>
      </c>
      <c r="DU56" s="102">
        <f t="shared" si="61"/>
        <v>0</v>
      </c>
      <c r="DV56" s="211">
        <f t="shared" si="125"/>
        <v>32</v>
      </c>
      <c r="DW56" s="212">
        <f t="shared" si="62"/>
        <v>0</v>
      </c>
      <c r="DX56" s="212">
        <f t="shared" si="15"/>
        <v>0</v>
      </c>
      <c r="DY56" s="212">
        <f t="shared" si="111"/>
        <v>0</v>
      </c>
      <c r="DZ56" s="213">
        <f t="shared" si="16"/>
        <v>1000000</v>
      </c>
      <c r="ED56" s="182"/>
      <c r="EF56" s="308">
        <f t="shared" ca="1" si="17"/>
        <v>11</v>
      </c>
      <c r="EG56" s="309">
        <f t="shared" si="63"/>
        <v>0</v>
      </c>
      <c r="EH56" s="268">
        <f t="shared" si="18"/>
        <v>0</v>
      </c>
      <c r="EI56" s="33">
        <f t="shared" si="64"/>
        <v>0</v>
      </c>
      <c r="EJ56" s="33">
        <f t="shared" si="139"/>
        <v>0</v>
      </c>
      <c r="EK56" s="33">
        <f t="shared" si="151"/>
        <v>0</v>
      </c>
      <c r="EL56" s="33">
        <f>IF(ER55&lt;0.01,0,IF(Plus!$F$22=Plus!$AN$4,0,IF(Plus!$F$22=Plus!$AN$3,ER55*Plus!$F$23/1000,ER55*VLOOKUP(Plus!$G$21,Plus!$AP$2:'Plus'!$AQ$5,2,0))))</f>
        <v>0</v>
      </c>
      <c r="EM56" s="33">
        <f>IF(ER55&lt;0.01,0,IF(Plus!$F$24=Plus!$AO$3,0,IF(OR(Plus!$F$10=Plus!$AK$7,Plus!$F$10=Plus!$AK$13),0,Plus!$G$13*Plus!$AR$2)))</f>
        <v>0</v>
      </c>
      <c r="EN56" s="33">
        <f>IF(ER55&lt;0.01,0,IF(OR(Plus!$F$10=Plus!$AK$7,Plus!$F$10=Plus!$AK$13),0,Plus!$BD$2*1.16))</f>
        <v>0</v>
      </c>
      <c r="EO56" s="33">
        <f>IF(ER55&lt;0.01,0,IF(Plus!$AS$2&gt;0,EI56*Plus!$AS$3,0))</f>
        <v>0</v>
      </c>
      <c r="EP56" s="33">
        <f t="shared" si="65"/>
        <v>0</v>
      </c>
      <c r="EQ56" s="33">
        <f>IF(Plus!$F$10=Plus!$AK$3,MIN(ER55+EI56+EL56+EM56+EN56-EP56,FC56),0)</f>
        <v>0</v>
      </c>
      <c r="ER56" s="311">
        <f t="shared" si="145"/>
        <v>0</v>
      </c>
      <c r="ES56" s="340">
        <f>Plus!O97</f>
        <v>0</v>
      </c>
      <c r="ET56" s="74"/>
      <c r="EU56" s="74"/>
      <c r="EV56" s="416">
        <f t="shared" si="134"/>
        <v>0</v>
      </c>
      <c r="EY56" s="90">
        <f t="shared" si="68"/>
        <v>8</v>
      </c>
      <c r="EZ56" s="121">
        <f t="shared" si="112"/>
        <v>0</v>
      </c>
      <c r="FB56" s="149">
        <f t="shared" si="113"/>
        <v>0</v>
      </c>
      <c r="FC56" s="2179">
        <f t="shared" ca="1" si="69"/>
        <v>0</v>
      </c>
      <c r="FE56" s="120">
        <f t="shared" si="114"/>
        <v>0</v>
      </c>
      <c r="FF56" s="110">
        <f t="shared" si="70"/>
        <v>0</v>
      </c>
      <c r="FG56" s="110">
        <f t="shared" si="71"/>
        <v>0</v>
      </c>
      <c r="FH56" s="109">
        <f t="shared" si="72"/>
        <v>0</v>
      </c>
      <c r="FI56" s="109">
        <f t="shared" si="19"/>
        <v>0</v>
      </c>
      <c r="FJ56" s="113">
        <f t="shared" si="73"/>
        <v>0</v>
      </c>
      <c r="FL56" s="102">
        <f t="shared" si="74"/>
        <v>0</v>
      </c>
      <c r="FM56" s="211">
        <f t="shared" si="127"/>
        <v>32</v>
      </c>
      <c r="FN56" s="212">
        <f t="shared" si="75"/>
        <v>0</v>
      </c>
      <c r="FO56" s="212">
        <f t="shared" si="20"/>
        <v>0</v>
      </c>
      <c r="FP56" s="212">
        <f t="shared" si="152"/>
        <v>0</v>
      </c>
      <c r="FQ56" s="213">
        <f t="shared" si="21"/>
        <v>1000000</v>
      </c>
      <c r="FV56" s="359"/>
      <c r="FX56" s="308">
        <f t="shared" ca="1" si="22"/>
        <v>11</v>
      </c>
      <c r="FY56" s="309">
        <f t="shared" si="76"/>
        <v>0</v>
      </c>
      <c r="FZ56" s="268">
        <f t="shared" si="23"/>
        <v>0</v>
      </c>
      <c r="GA56" s="33">
        <f t="shared" si="77"/>
        <v>0</v>
      </c>
      <c r="GB56" s="33">
        <f t="shared" si="141"/>
        <v>0</v>
      </c>
      <c r="GC56" s="33">
        <f t="shared" si="142"/>
        <v>0</v>
      </c>
      <c r="GD56" s="33">
        <f>IF(GJ55&lt;0.01,0,IF(Plus!$F$22=Plus!$AN$4,0,IF(Plus!$F$22=Plus!$AN$3,GJ55*Plus!$F$23/1000,GJ55*VLOOKUP(Plus!$G$21,Plus!$AP$2:$AQ$5,2,0))))</f>
        <v>0</v>
      </c>
      <c r="GE56" s="33">
        <f>IF(GJ55&lt;0.01,0,IF(Plus!$F$24=Plus!$AO$3,0,IF(OR(Plus!$F$10=Plus!$AK$7,Plus!$F$10=Plus!$AK$13,Plus!$F$10=Plus!$AK$14),0,IF(OR(Plus!$F$10=Plus!$AK$10,Plus!$F$10=Plus!$AK$11),Plus!$G$13*Adm!$W$7,Plus!$G$13*Adm!$X$4))))</f>
        <v>0</v>
      </c>
      <c r="GF56" s="33">
        <f>IF(GJ55&lt;0.01,0,IF(OR(Plus!$F$10=Plus!$AK$7,Plus!$F$10=Plus!$AK$13),0,Plus!$BD$2*1.16))</f>
        <v>0</v>
      </c>
      <c r="GG56" s="33">
        <f>IF(GJ55&lt;0.01,0,IF(Plus!$AS$2&gt;0,GA56*Plus!$AS$3,0))</f>
        <v>0</v>
      </c>
      <c r="GH56" s="33">
        <f t="shared" si="78"/>
        <v>0</v>
      </c>
      <c r="GI56" s="33">
        <f>IF(Plus!$F$10=Plus!$AK$3,MIN(GJ55+GA56+GD56+GE56+GF56-GH56,GU56),0)</f>
        <v>0</v>
      </c>
      <c r="GJ56" s="311">
        <f t="shared" si="136"/>
        <v>0</v>
      </c>
      <c r="GK56" s="340">
        <f>Plus!O97</f>
        <v>0</v>
      </c>
      <c r="GL56" s="74"/>
      <c r="GM56" s="74"/>
      <c r="GN56" s="419">
        <f t="shared" si="135"/>
        <v>0</v>
      </c>
      <c r="GQ56" s="90">
        <f t="shared" si="80"/>
        <v>8</v>
      </c>
      <c r="GR56" s="121">
        <f t="shared" si="116"/>
        <v>0</v>
      </c>
      <c r="GT56" s="149">
        <f t="shared" si="117"/>
        <v>0</v>
      </c>
      <c r="GU56" s="2179">
        <f t="shared" ca="1" si="81"/>
        <v>0</v>
      </c>
      <c r="GW56" s="120">
        <f t="shared" si="118"/>
        <v>0</v>
      </c>
      <c r="GX56" s="110">
        <f t="shared" si="82"/>
        <v>0</v>
      </c>
      <c r="GY56" s="110">
        <f t="shared" si="83"/>
        <v>0</v>
      </c>
      <c r="GZ56" s="109">
        <f t="shared" si="84"/>
        <v>0</v>
      </c>
      <c r="HA56" s="109">
        <f t="shared" si="24"/>
        <v>0</v>
      </c>
      <c r="HB56" s="113">
        <f t="shared" si="85"/>
        <v>0</v>
      </c>
      <c r="HD56" s="102">
        <f t="shared" si="86"/>
        <v>0</v>
      </c>
      <c r="HE56" s="211">
        <f t="shared" si="129"/>
        <v>32</v>
      </c>
      <c r="HF56" s="212">
        <f t="shared" si="87"/>
        <v>0</v>
      </c>
      <c r="HG56" s="212">
        <f t="shared" si="25"/>
        <v>0</v>
      </c>
      <c r="HH56" s="212">
        <f t="shared" si="153"/>
        <v>0</v>
      </c>
      <c r="HI56" s="213">
        <f t="shared" si="26"/>
        <v>1000000</v>
      </c>
      <c r="HL56" s="182"/>
      <c r="HM56" s="26">
        <f t="shared" ca="1" si="27"/>
        <v>11</v>
      </c>
      <c r="HO56" s="268">
        <f t="shared" si="28"/>
        <v>0</v>
      </c>
      <c r="HP56" s="421">
        <f t="shared" si="120"/>
        <v>0</v>
      </c>
      <c r="HQ56" s="123">
        <f t="shared" si="88"/>
        <v>0</v>
      </c>
      <c r="HR56" s="123">
        <f t="shared" si="89"/>
        <v>0</v>
      </c>
      <c r="HS56" s="123">
        <f t="shared" si="90"/>
        <v>0</v>
      </c>
      <c r="HT56" s="123">
        <f>IF(HY55&lt;0.01,0,IF(Adm!$GS$4=Adm!$GS$8,HY55*$HY$15,IF(Adm!$GS$12=Adm!$GS$13,0,HY55*Adm!$GV$4)))</f>
        <v>0</v>
      </c>
      <c r="HU56" s="123">
        <f>IF(HY55&lt;0.01,0,IF(Adm!$GS$5=Adm!$GS$8,Cal!$BO$108*$HY$16/1.16,IF(Adm!$GS$12=Adm!$GS$13,0,Cal!$BO$108*Adm!$GW$4/1.16)))</f>
        <v>0</v>
      </c>
      <c r="HV56" s="123">
        <f t="shared" si="91"/>
        <v>0</v>
      </c>
      <c r="HW56" s="123">
        <f t="shared" si="92"/>
        <v>0</v>
      </c>
      <c r="HX56" s="123">
        <f>IF(Adm!$GH$6="si",MIN(HY55+HQ56+HT56+HU56+HV56-HW56,IH56),0)</f>
        <v>0</v>
      </c>
      <c r="HY56" s="297">
        <f t="shared" si="93"/>
        <v>0</v>
      </c>
      <c r="HZ56" s="74"/>
      <c r="IA56" s="407">
        <f t="shared" si="94"/>
        <v>0</v>
      </c>
      <c r="IC56" s="90">
        <f t="shared" si="95"/>
        <v>8</v>
      </c>
      <c r="ID56" s="124">
        <f>IF(IC56=1,Cal!$BO$127,0)</f>
        <v>0</v>
      </c>
      <c r="IE56" s="73"/>
      <c r="IG56" s="70">
        <f t="shared" si="121"/>
        <v>0</v>
      </c>
      <c r="IH56" s="2178">
        <f t="shared" ca="1" si="96"/>
        <v>0</v>
      </c>
      <c r="IK56" s="217"/>
      <c r="IL56" s="26">
        <f t="shared" ca="1" si="29"/>
        <v>11</v>
      </c>
      <c r="IN56" s="268">
        <f t="shared" si="30"/>
        <v>0</v>
      </c>
      <c r="IO56" s="421">
        <f t="shared" si="122"/>
        <v>0</v>
      </c>
      <c r="IP56" s="123">
        <f t="shared" si="97"/>
        <v>0</v>
      </c>
      <c r="IQ56" s="123">
        <f t="shared" si="98"/>
        <v>0</v>
      </c>
      <c r="IR56" s="123">
        <f t="shared" si="99"/>
        <v>0</v>
      </c>
      <c r="IS56" s="123">
        <f>IF(IX55&lt;0.01,0,IF(Adm!$GS$4=Adm!$GS$8,IX55*$IX$15,IF(Adm!$GS$12=Adm!$GS$13,0,IX55*Adm!$GV$4)))</f>
        <v>0</v>
      </c>
      <c r="IT56" s="123"/>
      <c r="IU56" s="123">
        <f t="shared" si="100"/>
        <v>0</v>
      </c>
      <c r="IV56" s="123">
        <f t="shared" si="101"/>
        <v>0</v>
      </c>
      <c r="IW56" s="123"/>
      <c r="IX56" s="297">
        <f t="shared" si="102"/>
        <v>0</v>
      </c>
      <c r="IY56" s="74"/>
      <c r="IZ56" s="416">
        <f t="shared" si="103"/>
        <v>0</v>
      </c>
      <c r="JB56" s="90">
        <f t="shared" si="104"/>
        <v>8</v>
      </c>
      <c r="JC56" s="124">
        <f>IF(JB56=1,Cal!$BP$127,0)</f>
        <v>0</v>
      </c>
      <c r="JD56" s="73"/>
    </row>
    <row r="57" spans="1:264">
      <c r="A57" s="26">
        <f t="shared" ca="1" si="0"/>
        <v>12</v>
      </c>
      <c r="C57" s="33">
        <f t="shared" si="1"/>
        <v>0</v>
      </c>
      <c r="D57" s="123">
        <f t="shared" si="31"/>
        <v>0</v>
      </c>
      <c r="E57" s="123">
        <f t="shared" si="147"/>
        <v>0</v>
      </c>
      <c r="F57" s="123">
        <f t="shared" si="149"/>
        <v>0</v>
      </c>
      <c r="G57" s="123">
        <f>IF(L56&lt;0.01,0,IF(Adm!$S$4=Adm!$S$8,L56*$L$15,L56*Adm!$V$4))</f>
        <v>0</v>
      </c>
      <c r="H57" s="123">
        <f>IF(L56&lt;0.01,0,IF(Adm!$S$5=Adm!$S$8,Adm!$AA$11*$L$16/1.16,IF(Adm!$B$4=Adm!$A$119,0,Adm!$AA$11*Adm!$X$4/1.16)))</f>
        <v>0</v>
      </c>
      <c r="I57" s="123">
        <f>IF(L56&lt;0.01,0,Cal!$AB$126/1.16)</f>
        <v>0</v>
      </c>
      <c r="J57" s="123">
        <f t="shared" si="2"/>
        <v>0</v>
      </c>
      <c r="K57" s="123">
        <f>IF(Adm!$G$4="si",MIN(L56+D57+G57+H57+I57-J57,V57),0)</f>
        <v>0</v>
      </c>
      <c r="L57" s="123">
        <f t="shared" si="32"/>
        <v>0</v>
      </c>
      <c r="M57" s="74"/>
      <c r="N57" s="74"/>
      <c r="O57" s="407">
        <f t="shared" si="33"/>
        <v>0</v>
      </c>
      <c r="R57" s="90">
        <f t="shared" si="34"/>
        <v>9</v>
      </c>
      <c r="S57" s="121">
        <f>IF(R57=1,Cal!$AB$127,0)</f>
        <v>0</v>
      </c>
      <c r="U57" s="70">
        <f t="shared" si="105"/>
        <v>0</v>
      </c>
      <c r="V57" s="2178">
        <f t="shared" ca="1" si="35"/>
        <v>0</v>
      </c>
      <c r="X57" s="398"/>
      <c r="Z57" s="268">
        <f t="shared" si="3"/>
        <v>0</v>
      </c>
      <c r="AA57" s="2176">
        <f t="shared" si="36"/>
        <v>0</v>
      </c>
      <c r="AB57" s="33">
        <f t="shared" si="37"/>
        <v>0</v>
      </c>
      <c r="AC57" s="33">
        <f t="shared" si="38"/>
        <v>0</v>
      </c>
      <c r="AD57" s="33">
        <f>IF(AI56&lt;0.01,0,IF(Adm!$S$4=Adm!$S$8,AI56*$AI$15,AI56*Adm!$V$4))</f>
        <v>0</v>
      </c>
      <c r="AE57" s="33"/>
      <c r="AF57" s="33"/>
      <c r="AG57" s="33">
        <f t="shared" si="4"/>
        <v>0</v>
      </c>
      <c r="AH57" s="33"/>
      <c r="AI57" s="401">
        <f t="shared" si="5"/>
        <v>0</v>
      </c>
      <c r="AK57" s="410">
        <f t="shared" si="6"/>
        <v>0</v>
      </c>
      <c r="AN57" s="90">
        <f t="shared" si="39"/>
        <v>9</v>
      </c>
      <c r="AO57" s="121">
        <f>IF(AN57=1,Cal!$AC$127,0)</f>
        <v>0</v>
      </c>
      <c r="AS57" s="200"/>
      <c r="AU57" s="268">
        <f t="shared" si="7"/>
        <v>0</v>
      </c>
      <c r="AV57" s="2177">
        <f t="shared" si="40"/>
        <v>0</v>
      </c>
      <c r="AW57" s="123">
        <f t="shared" si="8"/>
        <v>0</v>
      </c>
      <c r="AX57" s="123">
        <f t="shared" si="41"/>
        <v>0</v>
      </c>
      <c r="AY57" s="123">
        <f>IF(BC56&lt;0.01,0,IF(Adm!$S$4=Adm!$S$8,BC56*$BC$16,BC56*Adm!$V$4))</f>
        <v>0</v>
      </c>
      <c r="AZ57" s="123"/>
      <c r="BA57" s="123">
        <f>IF(BC56&lt;0.01,0,Adm!$Q$6)</f>
        <v>0</v>
      </c>
      <c r="BB57" s="123">
        <f t="shared" si="42"/>
        <v>0</v>
      </c>
      <c r="BC57" s="297">
        <f t="shared" si="43"/>
        <v>0</v>
      </c>
      <c r="BE57" s="425">
        <f t="shared" si="9"/>
        <v>0</v>
      </c>
      <c r="BH57" s="90">
        <f t="shared" si="44"/>
        <v>9</v>
      </c>
      <c r="BI57" s="121">
        <f>IF(BH57=1,Cal!$AD$127,0)</f>
        <v>0</v>
      </c>
      <c r="BM57" s="221"/>
      <c r="BO57" s="295">
        <f t="shared" ca="1" si="10"/>
        <v>12</v>
      </c>
      <c r="BP57" s="268">
        <f t="shared" si="11"/>
        <v>0</v>
      </c>
      <c r="BQ57" s="123">
        <f t="shared" si="45"/>
        <v>0</v>
      </c>
      <c r="BR57" s="123">
        <f t="shared" si="148"/>
        <v>0</v>
      </c>
      <c r="BS57" s="123">
        <f t="shared" si="150"/>
        <v>0</v>
      </c>
      <c r="BT57" s="123">
        <f>IF(BZ56&lt;0.01,0,IF(Plus!$F$22=Plus!$AN$4,BZ56*$BZ$15,IF(Plus!$F$22=Plus!$AN$3,BZ56*Plus!$F$23/1000,BZ56*VLOOKUP(Plus!$G$21,Plus!$AP$2:'Plus'!$AQ$5,2,0))))</f>
        <v>0</v>
      </c>
      <c r="BU57" s="123">
        <f>IF(BZ56&lt;0.01,0,IF(Plus!$F$24=Plus!$AO$3,Plus!$G$13*Plus!$AR$2/1.16,IF(Plus!$F$10=Plus!$AK$7,0,Plus!$G$13*Plus!$AR$2/1.16)))</f>
        <v>0</v>
      </c>
      <c r="BV57" s="123">
        <f>IF(BZ56&lt;0.01,0,Plus!$BD$2)</f>
        <v>0</v>
      </c>
      <c r="BW57" s="123"/>
      <c r="BX57" s="123">
        <f t="shared" si="12"/>
        <v>0</v>
      </c>
      <c r="BY57" s="123">
        <f>IF(Plus!$F$10=Plus!$AK$3,MIN(BZ56+BQ57+BT57+BU57+BV57-BX57,CJ57),0)</f>
        <v>0</v>
      </c>
      <c r="BZ57" s="297">
        <f t="shared" si="144"/>
        <v>0</v>
      </c>
      <c r="CA57" s="74"/>
      <c r="CB57" s="74"/>
      <c r="CC57" s="413">
        <f t="shared" si="47"/>
        <v>0</v>
      </c>
      <c r="CF57" s="90">
        <f t="shared" si="48"/>
        <v>9</v>
      </c>
      <c r="CG57" s="121">
        <f t="shared" si="106"/>
        <v>0</v>
      </c>
      <c r="CI57" s="70">
        <f t="shared" si="107"/>
        <v>0</v>
      </c>
      <c r="CJ57" s="2178">
        <f t="shared" ca="1" si="49"/>
        <v>0</v>
      </c>
      <c r="CL57" s="161"/>
      <c r="CN57" s="308">
        <f t="shared" ca="1" si="13"/>
        <v>12</v>
      </c>
      <c r="CO57" s="309">
        <f t="shared" si="50"/>
        <v>0</v>
      </c>
      <c r="CP57" s="268">
        <f t="shared" si="14"/>
        <v>0</v>
      </c>
      <c r="CQ57" s="123">
        <f t="shared" si="51"/>
        <v>0</v>
      </c>
      <c r="CR57" s="123">
        <f t="shared" si="137"/>
        <v>0</v>
      </c>
      <c r="CS57" s="123">
        <f t="shared" si="138"/>
        <v>0</v>
      </c>
      <c r="CT57" s="33">
        <f>IF(CZ56&lt;0.01,0,IF(Plus!$F$22=Plus!$AN$4,0,IF(Plus!$F$22=Plus!$AN$3,CZ56*Plus!$F$23/1000,CZ56*VLOOKUP(Plus!$G$21,Plus!$AP$2:'Plus'!$AQ$5,2,0))))</f>
        <v>0</v>
      </c>
      <c r="CU57" s="123">
        <f>IF(CZ56&lt;0.01,0,IF(Plus!$F$24=Plus!$AO$3,0,IF(OR(Plus!$F$10=Plus!$AK$7,Plus!$F$10=Plus!$AK$13),0,Plus!$G$13*Plus!$AR$2)))</f>
        <v>0</v>
      </c>
      <c r="CV57" s="123">
        <f>IF(CZ56&lt;0.01,0,IF(OR(Plus!$F$10=Plus!$AK$7,Plus!$F$10=Plus!$AK$13),0,Plus!$BD$2*1.16))</f>
        <v>0</v>
      </c>
      <c r="CW57" s="123">
        <f>IF(CZ56&lt;0.01,0,IF(Plus!$AS$2&gt;0,CQ57*Plus!$AS$3,0))</f>
        <v>0</v>
      </c>
      <c r="CX57" s="123">
        <f t="shared" si="52"/>
        <v>0</v>
      </c>
      <c r="CY57" s="123">
        <f>IF(Plus!$F$10=Plus!$AK$3,MIN(CZ56+CQ57+CT57+CU57+CV57-CX57,DK57),0)</f>
        <v>0</v>
      </c>
      <c r="CZ57" s="297">
        <f t="shared" si="146"/>
        <v>0</v>
      </c>
      <c r="DA57" s="306">
        <f>Plus!O98</f>
        <v>0</v>
      </c>
      <c r="DB57" s="74"/>
      <c r="DC57" s="74"/>
      <c r="DD57" s="407">
        <f t="shared" si="54"/>
        <v>0</v>
      </c>
      <c r="DG57" s="90">
        <f t="shared" si="55"/>
        <v>9</v>
      </c>
      <c r="DH57" s="121">
        <f t="shared" si="108"/>
        <v>0</v>
      </c>
      <c r="DJ57" s="149">
        <f t="shared" si="109"/>
        <v>0</v>
      </c>
      <c r="DK57" s="2179">
        <f t="shared" ca="1" si="56"/>
        <v>0</v>
      </c>
      <c r="DN57" s="120">
        <f t="shared" si="110"/>
        <v>0</v>
      </c>
      <c r="DO57" s="110">
        <f t="shared" si="57"/>
        <v>0</v>
      </c>
      <c r="DP57" s="110">
        <f t="shared" si="124"/>
        <v>0</v>
      </c>
      <c r="DQ57" s="109">
        <f t="shared" si="58"/>
        <v>0</v>
      </c>
      <c r="DR57" s="109">
        <f t="shared" si="59"/>
        <v>0</v>
      </c>
      <c r="DS57" s="113">
        <f t="shared" si="60"/>
        <v>0</v>
      </c>
      <c r="DU57" s="102">
        <f t="shared" si="61"/>
        <v>0</v>
      </c>
      <c r="DV57" s="211">
        <f t="shared" si="125"/>
        <v>33</v>
      </c>
      <c r="DW57" s="212">
        <f t="shared" si="62"/>
        <v>0</v>
      </c>
      <c r="DX57" s="212">
        <f t="shared" si="15"/>
        <v>0</v>
      </c>
      <c r="DY57" s="212">
        <f t="shared" si="111"/>
        <v>0</v>
      </c>
      <c r="DZ57" s="213">
        <f t="shared" si="16"/>
        <v>1000000</v>
      </c>
      <c r="ED57" s="182"/>
      <c r="EF57" s="308">
        <f t="shared" ca="1" si="17"/>
        <v>12</v>
      </c>
      <c r="EG57" s="309">
        <f t="shared" si="63"/>
        <v>0</v>
      </c>
      <c r="EH57" s="268">
        <f t="shared" si="18"/>
        <v>0</v>
      </c>
      <c r="EI57" s="33">
        <f t="shared" si="64"/>
        <v>0</v>
      </c>
      <c r="EJ57" s="33">
        <f t="shared" si="139"/>
        <v>0</v>
      </c>
      <c r="EK57" s="33">
        <f t="shared" si="151"/>
        <v>0</v>
      </c>
      <c r="EL57" s="33">
        <f>IF(ER56&lt;0.01,0,IF(Plus!$F$22=Plus!$AN$4,0,IF(Plus!$F$22=Plus!$AN$3,ER56*Plus!$F$23/1000,ER56*VLOOKUP(Plus!$G$21,Plus!$AP$2:'Plus'!$AQ$5,2,0))))</f>
        <v>0</v>
      </c>
      <c r="EM57" s="33">
        <f>IF(ER56&lt;0.01,0,IF(Plus!$F$24=Plus!$AO$3,0,IF(OR(Plus!$F$10=Plus!$AK$7,Plus!$F$10=Plus!$AK$13),0,Plus!$G$13*Plus!$AR$2)))</f>
        <v>0</v>
      </c>
      <c r="EN57" s="33">
        <f>IF(ER56&lt;0.01,0,IF(OR(Plus!$F$10=Plus!$AK$7,Plus!$F$10=Plus!$AK$13),0,Plus!$BD$2*1.16))</f>
        <v>0</v>
      </c>
      <c r="EO57" s="33">
        <f>IF(ER56&lt;0.01,0,IF(Plus!$AS$2&gt;0,EI57*Plus!$AS$3,0))</f>
        <v>0</v>
      </c>
      <c r="EP57" s="33">
        <f t="shared" si="65"/>
        <v>0</v>
      </c>
      <c r="EQ57" s="33">
        <f>IF(Plus!$F$10=Plus!$AK$3,MIN(ER56+EI57+EL57+EM57+EN57-EP57,FC57),0)</f>
        <v>0</v>
      </c>
      <c r="ER57" s="311">
        <f t="shared" si="145"/>
        <v>0</v>
      </c>
      <c r="ES57" s="340">
        <f>Plus!O98</f>
        <v>0</v>
      </c>
      <c r="ET57" s="74"/>
      <c r="EU57" s="74"/>
      <c r="EV57" s="416">
        <f t="shared" si="134"/>
        <v>0</v>
      </c>
      <c r="EY57" s="90">
        <f t="shared" si="68"/>
        <v>9</v>
      </c>
      <c r="EZ57" s="121">
        <f t="shared" si="112"/>
        <v>0</v>
      </c>
      <c r="FB57" s="149">
        <f t="shared" si="113"/>
        <v>0</v>
      </c>
      <c r="FC57" s="2179">
        <f t="shared" ca="1" si="69"/>
        <v>0</v>
      </c>
      <c r="FE57" s="120">
        <f t="shared" si="114"/>
        <v>0</v>
      </c>
      <c r="FF57" s="110">
        <f t="shared" si="70"/>
        <v>0</v>
      </c>
      <c r="FG57" s="110">
        <f t="shared" si="71"/>
        <v>0</v>
      </c>
      <c r="FH57" s="109">
        <f t="shared" si="72"/>
        <v>0</v>
      </c>
      <c r="FI57" s="109">
        <f t="shared" si="19"/>
        <v>0</v>
      </c>
      <c r="FJ57" s="113">
        <f t="shared" si="73"/>
        <v>0</v>
      </c>
      <c r="FL57" s="102">
        <f t="shared" si="74"/>
        <v>0</v>
      </c>
      <c r="FM57" s="211">
        <f t="shared" si="127"/>
        <v>33</v>
      </c>
      <c r="FN57" s="212">
        <f t="shared" si="75"/>
        <v>0</v>
      </c>
      <c r="FO57" s="212">
        <f t="shared" si="20"/>
        <v>0</v>
      </c>
      <c r="FP57" s="212">
        <f t="shared" si="152"/>
        <v>0</v>
      </c>
      <c r="FQ57" s="213">
        <f t="shared" si="21"/>
        <v>1000000</v>
      </c>
      <c r="FV57" s="359"/>
      <c r="FX57" s="308">
        <f t="shared" ca="1" si="22"/>
        <v>12</v>
      </c>
      <c r="FY57" s="309">
        <f t="shared" si="76"/>
        <v>0</v>
      </c>
      <c r="FZ57" s="268">
        <f t="shared" si="23"/>
        <v>0</v>
      </c>
      <c r="GA57" s="33">
        <f t="shared" si="77"/>
        <v>0</v>
      </c>
      <c r="GB57" s="33">
        <f t="shared" si="141"/>
        <v>0</v>
      </c>
      <c r="GC57" s="33">
        <f t="shared" si="142"/>
        <v>0</v>
      </c>
      <c r="GD57" s="33">
        <f>IF(GJ56&lt;0.01,0,IF(Plus!$F$22=Plus!$AN$4,0,IF(Plus!$F$22=Plus!$AN$3,GJ56*Plus!$F$23/1000,GJ56*VLOOKUP(Plus!$G$21,Plus!$AP$2:$AQ$5,2,0))))</f>
        <v>0</v>
      </c>
      <c r="GE57" s="33">
        <f>IF(GJ56&lt;0.01,0,IF(Plus!$F$24=Plus!$AO$3,0,IF(OR(Plus!$F$10=Plus!$AK$7,Plus!$F$10=Plus!$AK$13,Plus!$F$10=Plus!$AK$14),0,IF(OR(Plus!$F$10=Plus!$AK$10,Plus!$F$10=Plus!$AK$11),Plus!$G$13*Adm!$W$7,Plus!$G$13*Adm!$X$4))))</f>
        <v>0</v>
      </c>
      <c r="GF57" s="33">
        <f>IF(GJ56&lt;0.01,0,IF(OR(Plus!$F$10=Plus!$AK$7,Plus!$F$10=Plus!$AK$13),0,Plus!$BD$2*1.16))</f>
        <v>0</v>
      </c>
      <c r="GG57" s="33">
        <f>IF(GJ56&lt;0.01,0,IF(Plus!$AS$2&gt;0,GA57*Plus!$AS$3,0))</f>
        <v>0</v>
      </c>
      <c r="GH57" s="33">
        <f t="shared" si="78"/>
        <v>0</v>
      </c>
      <c r="GI57" s="33">
        <f>IF(Plus!$F$10=Plus!$AK$3,MIN(GJ56+GA57+GD57+GE57+GF57-GH57,GU57),0)</f>
        <v>0</v>
      </c>
      <c r="GJ57" s="311">
        <f t="shared" si="136"/>
        <v>0</v>
      </c>
      <c r="GK57" s="340">
        <f>Plus!O98</f>
        <v>0</v>
      </c>
      <c r="GL57" s="74"/>
      <c r="GM57" s="74"/>
      <c r="GN57" s="419">
        <f t="shared" si="135"/>
        <v>0</v>
      </c>
      <c r="GQ57" s="90">
        <f t="shared" si="80"/>
        <v>9</v>
      </c>
      <c r="GR57" s="121">
        <f t="shared" si="116"/>
        <v>0</v>
      </c>
      <c r="GT57" s="149">
        <f t="shared" si="117"/>
        <v>0</v>
      </c>
      <c r="GU57" s="2179">
        <f t="shared" ca="1" si="81"/>
        <v>0</v>
      </c>
      <c r="GW57" s="120">
        <f t="shared" si="118"/>
        <v>0</v>
      </c>
      <c r="GX57" s="110">
        <f t="shared" si="82"/>
        <v>0</v>
      </c>
      <c r="GY57" s="110">
        <f t="shared" si="83"/>
        <v>0</v>
      </c>
      <c r="GZ57" s="109">
        <f t="shared" si="84"/>
        <v>0</v>
      </c>
      <c r="HA57" s="109">
        <f t="shared" si="24"/>
        <v>0</v>
      </c>
      <c r="HB57" s="113">
        <f t="shared" si="85"/>
        <v>0</v>
      </c>
      <c r="HD57" s="102">
        <f t="shared" si="86"/>
        <v>0</v>
      </c>
      <c r="HE57" s="211">
        <f t="shared" si="129"/>
        <v>33</v>
      </c>
      <c r="HF57" s="212">
        <f t="shared" si="87"/>
        <v>0</v>
      </c>
      <c r="HG57" s="212">
        <f t="shared" si="25"/>
        <v>0</v>
      </c>
      <c r="HH57" s="212">
        <f t="shared" si="153"/>
        <v>0</v>
      </c>
      <c r="HI57" s="213">
        <f t="shared" si="26"/>
        <v>1000000</v>
      </c>
      <c r="HL57" s="182"/>
      <c r="HM57" s="26">
        <f t="shared" ca="1" si="27"/>
        <v>12</v>
      </c>
      <c r="HO57" s="268">
        <f t="shared" si="28"/>
        <v>0</v>
      </c>
      <c r="HP57" s="421">
        <f t="shared" si="120"/>
        <v>0</v>
      </c>
      <c r="HQ57" s="123">
        <f t="shared" si="88"/>
        <v>0</v>
      </c>
      <c r="HR57" s="123">
        <f t="shared" si="89"/>
        <v>0</v>
      </c>
      <c r="HS57" s="123">
        <f t="shared" si="90"/>
        <v>0</v>
      </c>
      <c r="HT57" s="123">
        <f>IF(HY56&lt;0.01,0,IF(Adm!$GS$4=Adm!$GS$8,HY56*$HY$15,IF(Adm!$GS$12=Adm!$GS$13,0,HY56*Adm!$GV$4)))</f>
        <v>0</v>
      </c>
      <c r="HU57" s="123">
        <f>IF(HY56&lt;0.01,0,IF(Adm!$GS$5=Adm!$GS$8,Cal!$BO$108*$HY$16/1.16,IF(Adm!$GS$12=Adm!$GS$13,0,Cal!$BO$108*Adm!$GW$4/1.16)))</f>
        <v>0</v>
      </c>
      <c r="HV57" s="123">
        <f t="shared" si="91"/>
        <v>0</v>
      </c>
      <c r="HW57" s="123">
        <f t="shared" si="92"/>
        <v>0</v>
      </c>
      <c r="HX57" s="123">
        <f>IF(Adm!$GH$6="si",MIN(HY56+HQ57+HT57+HU57+HV57-HW57,IH57),0)</f>
        <v>0</v>
      </c>
      <c r="HY57" s="297">
        <f t="shared" si="93"/>
        <v>0</v>
      </c>
      <c r="HZ57" s="74"/>
      <c r="IA57" s="407">
        <f t="shared" si="94"/>
        <v>0</v>
      </c>
      <c r="IC57" s="90">
        <f t="shared" si="95"/>
        <v>9</v>
      </c>
      <c r="ID57" s="124">
        <f>IF(IC57=1,Cal!$BO$127,0)</f>
        <v>0</v>
      </c>
      <c r="IE57" s="73"/>
      <c r="IG57" s="70">
        <f t="shared" si="121"/>
        <v>0</v>
      </c>
      <c r="IH57" s="2178">
        <f t="shared" ca="1" si="96"/>
        <v>0</v>
      </c>
      <c r="IK57" s="217"/>
      <c r="IL57" s="26">
        <f t="shared" ca="1" si="29"/>
        <v>12</v>
      </c>
      <c r="IN57" s="268">
        <f t="shared" si="30"/>
        <v>0</v>
      </c>
      <c r="IO57" s="421">
        <f t="shared" si="122"/>
        <v>0</v>
      </c>
      <c r="IP57" s="123">
        <f t="shared" si="97"/>
        <v>0</v>
      </c>
      <c r="IQ57" s="123">
        <f t="shared" si="98"/>
        <v>0</v>
      </c>
      <c r="IR57" s="123">
        <f t="shared" si="99"/>
        <v>0</v>
      </c>
      <c r="IS57" s="123">
        <f>IF(IX56&lt;0.01,0,IF(Adm!$GS$4=Adm!$GS$8,IX56*$IX$15,IF(Adm!$GS$12=Adm!$GS$13,0,IX56*Adm!$GV$4)))</f>
        <v>0</v>
      </c>
      <c r="IT57" s="123"/>
      <c r="IU57" s="123">
        <f t="shared" si="100"/>
        <v>0</v>
      </c>
      <c r="IV57" s="123">
        <f t="shared" si="101"/>
        <v>0</v>
      </c>
      <c r="IW57" s="123"/>
      <c r="IX57" s="297">
        <f t="shared" si="102"/>
        <v>0</v>
      </c>
      <c r="IY57" s="74"/>
      <c r="IZ57" s="416">
        <f t="shared" si="103"/>
        <v>0</v>
      </c>
      <c r="JB57" s="90">
        <f t="shared" si="104"/>
        <v>9</v>
      </c>
      <c r="JC57" s="124">
        <f>IF(JB57=1,Cal!$BP$127,0)</f>
        <v>0</v>
      </c>
      <c r="JD57" s="73"/>
    </row>
    <row r="58" spans="1:264">
      <c r="A58" s="26">
        <f t="shared" ca="1" si="0"/>
        <v>1</v>
      </c>
      <c r="C58" s="33">
        <f t="shared" si="1"/>
        <v>0</v>
      </c>
      <c r="D58" s="123">
        <f t="shared" si="31"/>
        <v>0</v>
      </c>
      <c r="E58" s="123">
        <f t="shared" si="147"/>
        <v>0</v>
      </c>
      <c r="F58" s="123">
        <f t="shared" si="149"/>
        <v>0</v>
      </c>
      <c r="G58" s="123">
        <f>IF(L57&lt;0.01,0,IF(Adm!$S$4=Adm!$S$8,L57*$L$15,L57*Adm!$V$4))</f>
        <v>0</v>
      </c>
      <c r="H58" s="123">
        <f>IF(L57&lt;0.01,0,IF(Adm!$S$5=Adm!$S$8,Adm!$AA$11*$L$16/1.16,IF(Adm!$B$4=Adm!$A$119,0,Adm!$AA$11*Adm!$X$4/1.16)))</f>
        <v>0</v>
      </c>
      <c r="I58" s="123">
        <f>IF(L57&lt;0.01,0,Cal!$AB$126/1.16)</f>
        <v>0</v>
      </c>
      <c r="J58" s="123">
        <f t="shared" si="2"/>
        <v>0</v>
      </c>
      <c r="K58" s="123">
        <f>IF(Adm!$G$4="si",MIN(L57+D58+G58+H58+I58-J58,V58),0)</f>
        <v>0</v>
      </c>
      <c r="L58" s="123">
        <f t="shared" si="32"/>
        <v>0</v>
      </c>
      <c r="M58" s="74"/>
      <c r="N58" s="74"/>
      <c r="O58" s="407">
        <f t="shared" si="33"/>
        <v>0</v>
      </c>
      <c r="R58" s="90">
        <f t="shared" si="34"/>
        <v>10</v>
      </c>
      <c r="S58" s="121">
        <f>IF(R58=1,Cal!$AB$127,0)</f>
        <v>0</v>
      </c>
      <c r="U58" s="70">
        <f t="shared" si="105"/>
        <v>0</v>
      </c>
      <c r="V58" s="2178">
        <f t="shared" ca="1" si="35"/>
        <v>0</v>
      </c>
      <c r="X58" s="398"/>
      <c r="Z58" s="268">
        <f t="shared" si="3"/>
        <v>0</v>
      </c>
      <c r="AA58" s="2176">
        <f t="shared" si="36"/>
        <v>0</v>
      </c>
      <c r="AB58" s="33">
        <f t="shared" si="37"/>
        <v>0</v>
      </c>
      <c r="AC58" s="33">
        <f t="shared" si="38"/>
        <v>0</v>
      </c>
      <c r="AD58" s="33">
        <f>IF(AI57&lt;0.01,0,IF(Adm!$S$4=Adm!$S$8,AI57*$AI$15,AI57*Adm!$V$4))</f>
        <v>0</v>
      </c>
      <c r="AE58" s="33"/>
      <c r="AF58" s="33"/>
      <c r="AG58" s="33">
        <f t="shared" si="4"/>
        <v>0</v>
      </c>
      <c r="AH58" s="33"/>
      <c r="AI58" s="401">
        <f t="shared" si="5"/>
        <v>0</v>
      </c>
      <c r="AK58" s="410">
        <f t="shared" si="6"/>
        <v>0</v>
      </c>
      <c r="AN58" s="90">
        <f t="shared" si="39"/>
        <v>10</v>
      </c>
      <c r="AO58" s="121">
        <f>IF(AN58=1,Cal!$AC$127,0)</f>
        <v>0</v>
      </c>
      <c r="AS58" s="200"/>
      <c r="AU58" s="268">
        <f t="shared" si="7"/>
        <v>0</v>
      </c>
      <c r="AV58" s="2177">
        <f t="shared" si="40"/>
        <v>0</v>
      </c>
      <c r="AW58" s="123">
        <f t="shared" si="8"/>
        <v>0</v>
      </c>
      <c r="AX58" s="123">
        <f t="shared" si="41"/>
        <v>0</v>
      </c>
      <c r="AY58" s="123">
        <f>IF(BC57&lt;0.01,0,IF(Adm!$S$4=Adm!$S$8,BC57*$BC$16,BC57*Adm!$V$4))</f>
        <v>0</v>
      </c>
      <c r="AZ58" s="123"/>
      <c r="BA58" s="123">
        <f>IF(BC57&lt;0.01,0,Adm!$Q$6)</f>
        <v>0</v>
      </c>
      <c r="BB58" s="123">
        <f t="shared" si="42"/>
        <v>0</v>
      </c>
      <c r="BC58" s="297">
        <f t="shared" si="43"/>
        <v>0</v>
      </c>
      <c r="BE58" s="425">
        <f t="shared" si="9"/>
        <v>0</v>
      </c>
      <c r="BH58" s="90">
        <f t="shared" si="44"/>
        <v>10</v>
      </c>
      <c r="BI58" s="121">
        <f>IF(BH58=1,Cal!$AD$127,0)</f>
        <v>0</v>
      </c>
      <c r="BM58" s="221"/>
      <c r="BO58" s="295">
        <f t="shared" ca="1" si="10"/>
        <v>1</v>
      </c>
      <c r="BP58" s="268">
        <f t="shared" si="11"/>
        <v>0</v>
      </c>
      <c r="BQ58" s="123">
        <f t="shared" si="45"/>
        <v>0</v>
      </c>
      <c r="BR58" s="123">
        <f t="shared" si="148"/>
        <v>0</v>
      </c>
      <c r="BS58" s="123">
        <f t="shared" si="150"/>
        <v>0</v>
      </c>
      <c r="BT58" s="123">
        <f>IF(BZ57&lt;0.01,0,IF(Plus!$F$22=Plus!$AN$4,BZ57*$BZ$15,IF(Plus!$F$22=Plus!$AN$3,BZ57*Plus!$F$23/1000,BZ57*VLOOKUP(Plus!$G$21,Plus!$AP$2:'Plus'!$AQ$5,2,0))))</f>
        <v>0</v>
      </c>
      <c r="BU58" s="123">
        <f>IF(BZ57&lt;0.01,0,IF(Plus!$F$24=Plus!$AO$3,Plus!$G$13*Plus!$AR$2/1.16,IF(Plus!$F$10=Plus!$AK$7,0,Plus!$G$13*Plus!$AR$2/1.16)))</f>
        <v>0</v>
      </c>
      <c r="BV58" s="123">
        <f>IF(BZ57&lt;0.01,0,Plus!$BD$2)</f>
        <v>0</v>
      </c>
      <c r="BW58" s="123"/>
      <c r="BX58" s="123">
        <f t="shared" si="12"/>
        <v>0</v>
      </c>
      <c r="BY58" s="123">
        <f>IF(Plus!$F$10=Plus!$AK$3,MIN(BZ57+BQ58+BT58+BU58+BV58-BX58,CJ58),0)</f>
        <v>0</v>
      </c>
      <c r="BZ58" s="297">
        <f t="shared" si="144"/>
        <v>0</v>
      </c>
      <c r="CA58" s="74"/>
      <c r="CB58" s="74"/>
      <c r="CC58" s="413">
        <f t="shared" si="47"/>
        <v>0</v>
      </c>
      <c r="CF58" s="90">
        <f t="shared" si="48"/>
        <v>10</v>
      </c>
      <c r="CG58" s="121">
        <f t="shared" si="106"/>
        <v>0</v>
      </c>
      <c r="CI58" s="70">
        <f t="shared" si="107"/>
        <v>0</v>
      </c>
      <c r="CJ58" s="2178">
        <f t="shared" ca="1" si="49"/>
        <v>0</v>
      </c>
      <c r="CL58" s="161"/>
      <c r="CN58" s="308">
        <f t="shared" ca="1" si="13"/>
        <v>1</v>
      </c>
      <c r="CO58" s="309">
        <f t="shared" si="50"/>
        <v>0</v>
      </c>
      <c r="CP58" s="268">
        <f t="shared" si="14"/>
        <v>0</v>
      </c>
      <c r="CQ58" s="123">
        <f t="shared" si="51"/>
        <v>0</v>
      </c>
      <c r="CR58" s="123">
        <f t="shared" si="137"/>
        <v>0</v>
      </c>
      <c r="CS58" s="123">
        <f t="shared" si="138"/>
        <v>0</v>
      </c>
      <c r="CT58" s="33">
        <f>IF(CZ57&lt;0.01,0,IF(Plus!$F$22=Plus!$AN$4,0,IF(Plus!$F$22=Plus!$AN$3,CZ57*Plus!$F$23/1000,CZ57*VLOOKUP(Plus!$G$21,Plus!$AP$2:'Plus'!$AQ$5,2,0))))</f>
        <v>0</v>
      </c>
      <c r="CU58" s="123">
        <f>IF(CZ57&lt;0.01,0,IF(Plus!$F$24=Plus!$AO$3,0,IF(OR(Plus!$F$10=Plus!$AK$7,Plus!$F$10=Plus!$AK$13),0,Plus!$G$13*Plus!$AR$2)))</f>
        <v>0</v>
      </c>
      <c r="CV58" s="123">
        <f>IF(CZ57&lt;0.01,0,IF(OR(Plus!$F$10=Plus!$AK$7,Plus!$F$10=Plus!$AK$13),0,Plus!$BD$2*1.16))</f>
        <v>0</v>
      </c>
      <c r="CW58" s="123">
        <f>IF(CZ57&lt;0.01,0,IF(Plus!$AS$2&gt;0,CQ58*Plus!$AS$3,0))</f>
        <v>0</v>
      </c>
      <c r="CX58" s="123">
        <f t="shared" si="52"/>
        <v>0</v>
      </c>
      <c r="CY58" s="123">
        <f>IF(Plus!$F$10=Plus!$AK$3,MIN(CZ57+CQ58+CT58+CU58+CV58-CX58,DK58),0)</f>
        <v>0</v>
      </c>
      <c r="CZ58" s="297">
        <f t="shared" si="146"/>
        <v>0</v>
      </c>
      <c r="DA58" s="306">
        <f>Plus!O99</f>
        <v>0</v>
      </c>
      <c r="DB58" s="74"/>
      <c r="DC58" s="74"/>
      <c r="DD58" s="407">
        <f t="shared" si="54"/>
        <v>0</v>
      </c>
      <c r="DG58" s="90">
        <f t="shared" si="55"/>
        <v>10</v>
      </c>
      <c r="DH58" s="121">
        <f t="shared" si="108"/>
        <v>0</v>
      </c>
      <c r="DJ58" s="149">
        <f t="shared" si="109"/>
        <v>0</v>
      </c>
      <c r="DK58" s="2179">
        <f t="shared" ca="1" si="56"/>
        <v>0</v>
      </c>
      <c r="DN58" s="120">
        <f t="shared" si="110"/>
        <v>0</v>
      </c>
      <c r="DO58" s="110">
        <f t="shared" si="57"/>
        <v>0</v>
      </c>
      <c r="DP58" s="110">
        <f t="shared" si="124"/>
        <v>0</v>
      </c>
      <c r="DQ58" s="109">
        <f t="shared" si="58"/>
        <v>0</v>
      </c>
      <c r="DR58" s="109">
        <f t="shared" si="59"/>
        <v>0</v>
      </c>
      <c r="DS58" s="113">
        <f t="shared" si="60"/>
        <v>0</v>
      </c>
      <c r="DU58" s="102">
        <f t="shared" si="61"/>
        <v>0</v>
      </c>
      <c r="DV58" s="211">
        <f t="shared" si="125"/>
        <v>34</v>
      </c>
      <c r="DW58" s="212">
        <f t="shared" si="62"/>
        <v>0</v>
      </c>
      <c r="DX58" s="212">
        <f t="shared" si="15"/>
        <v>0</v>
      </c>
      <c r="DY58" s="212">
        <f t="shared" si="111"/>
        <v>0</v>
      </c>
      <c r="DZ58" s="213">
        <f t="shared" si="16"/>
        <v>1000000</v>
      </c>
      <c r="ED58" s="182"/>
      <c r="EF58" s="308">
        <f t="shared" ca="1" si="17"/>
        <v>1</v>
      </c>
      <c r="EG58" s="309">
        <f t="shared" si="63"/>
        <v>0</v>
      </c>
      <c r="EH58" s="268">
        <f t="shared" si="18"/>
        <v>0</v>
      </c>
      <c r="EI58" s="33">
        <f t="shared" si="64"/>
        <v>0</v>
      </c>
      <c r="EJ58" s="33">
        <f t="shared" si="139"/>
        <v>0</v>
      </c>
      <c r="EK58" s="33">
        <f t="shared" si="151"/>
        <v>0</v>
      </c>
      <c r="EL58" s="33">
        <f>IF(ER57&lt;0.01,0,IF(Plus!$F$22=Plus!$AN$4,0,IF(Plus!$F$22=Plus!$AN$3,ER57*Plus!$F$23/1000,ER57*VLOOKUP(Plus!$G$21,Plus!$AP$2:'Plus'!$AQ$5,2,0))))</f>
        <v>0</v>
      </c>
      <c r="EM58" s="33">
        <f>IF(ER57&lt;0.01,0,IF(Plus!$F$24=Plus!$AO$3,0,IF(OR(Plus!$F$10=Plus!$AK$7,Plus!$F$10=Plus!$AK$13),0,Plus!$G$13*Plus!$AR$2)))</f>
        <v>0</v>
      </c>
      <c r="EN58" s="33">
        <f>IF(ER57&lt;0.01,0,IF(OR(Plus!$F$10=Plus!$AK$7,Plus!$F$10=Plus!$AK$13),0,Plus!$BD$2*1.16))</f>
        <v>0</v>
      </c>
      <c r="EO58" s="33">
        <f>IF(ER57&lt;0.01,0,IF(Plus!$AS$2&gt;0,EI58*Plus!$AS$3,0))</f>
        <v>0</v>
      </c>
      <c r="EP58" s="33">
        <f t="shared" si="65"/>
        <v>0</v>
      </c>
      <c r="EQ58" s="33">
        <f>IF(Plus!$F$10=Plus!$AK$3,MIN(ER57+EI58+EL58+EM58+EN58-EP58,FC58),0)</f>
        <v>0</v>
      </c>
      <c r="ER58" s="311">
        <f t="shared" si="145"/>
        <v>0</v>
      </c>
      <c r="ES58" s="340">
        <f>Plus!O99</f>
        <v>0</v>
      </c>
      <c r="ET58" s="74"/>
      <c r="EU58" s="74"/>
      <c r="EV58" s="416">
        <f t="shared" si="134"/>
        <v>0</v>
      </c>
      <c r="EY58" s="90">
        <f t="shared" si="68"/>
        <v>10</v>
      </c>
      <c r="EZ58" s="121">
        <f t="shared" si="112"/>
        <v>0</v>
      </c>
      <c r="FB58" s="149">
        <f t="shared" si="113"/>
        <v>0</v>
      </c>
      <c r="FC58" s="2179">
        <f t="shared" ca="1" si="69"/>
        <v>0</v>
      </c>
      <c r="FE58" s="120">
        <f t="shared" si="114"/>
        <v>0</v>
      </c>
      <c r="FF58" s="110">
        <f t="shared" si="70"/>
        <v>0</v>
      </c>
      <c r="FG58" s="110">
        <f t="shared" si="71"/>
        <v>0</v>
      </c>
      <c r="FH58" s="109">
        <f t="shared" si="72"/>
        <v>0</v>
      </c>
      <c r="FI58" s="109">
        <f t="shared" si="19"/>
        <v>0</v>
      </c>
      <c r="FJ58" s="113">
        <f t="shared" si="73"/>
        <v>0</v>
      </c>
      <c r="FL58" s="102">
        <f t="shared" si="74"/>
        <v>0</v>
      </c>
      <c r="FM58" s="211">
        <f t="shared" si="127"/>
        <v>34</v>
      </c>
      <c r="FN58" s="212">
        <f t="shared" si="75"/>
        <v>0</v>
      </c>
      <c r="FO58" s="212">
        <f t="shared" si="20"/>
        <v>0</v>
      </c>
      <c r="FP58" s="212">
        <f t="shared" si="152"/>
        <v>0</v>
      </c>
      <c r="FQ58" s="213">
        <f t="shared" si="21"/>
        <v>1000000</v>
      </c>
      <c r="FV58" s="359"/>
      <c r="FX58" s="308">
        <f t="shared" ca="1" si="22"/>
        <v>1</v>
      </c>
      <c r="FY58" s="309">
        <f t="shared" si="76"/>
        <v>0</v>
      </c>
      <c r="FZ58" s="268">
        <f t="shared" si="23"/>
        <v>0</v>
      </c>
      <c r="GA58" s="33">
        <f t="shared" si="77"/>
        <v>0</v>
      </c>
      <c r="GB58" s="33">
        <f t="shared" si="141"/>
        <v>0</v>
      </c>
      <c r="GC58" s="33">
        <f t="shared" si="142"/>
        <v>0</v>
      </c>
      <c r="GD58" s="33">
        <f>IF(GJ57&lt;0.01,0,IF(Plus!$F$22=Plus!$AN$4,0,IF(Plus!$F$22=Plus!$AN$3,GJ57*Plus!$F$23/1000,GJ57*VLOOKUP(Plus!$G$21,Plus!$AP$2:$AQ$5,2,0))))</f>
        <v>0</v>
      </c>
      <c r="GE58" s="33">
        <f>IF(GJ57&lt;0.01,0,IF(Plus!$F$24=Plus!$AO$3,0,IF(OR(Plus!$F$10=Plus!$AK$7,Plus!$F$10=Plus!$AK$13,Plus!$F$10=Plus!$AK$14),0,IF(OR(Plus!$F$10=Plus!$AK$10,Plus!$F$10=Plus!$AK$11),Plus!$G$13*Adm!$W$7,Plus!$G$13*Adm!$X$4))))</f>
        <v>0</v>
      </c>
      <c r="GF58" s="33">
        <f>IF(GJ57&lt;0.01,0,IF(OR(Plus!$F$10=Plus!$AK$7,Plus!$F$10=Plus!$AK$13),0,Plus!$BD$2*1.16))</f>
        <v>0</v>
      </c>
      <c r="GG58" s="33">
        <f>IF(GJ57&lt;0.01,0,IF(Plus!$AS$2&gt;0,GA58*Plus!$AS$3,0))</f>
        <v>0</v>
      </c>
      <c r="GH58" s="33">
        <f t="shared" si="78"/>
        <v>0</v>
      </c>
      <c r="GI58" s="33">
        <f>IF(Plus!$F$10=Plus!$AK$3,MIN(GJ57+GA58+GD58+GE58+GF58-GH58,GU58),0)</f>
        <v>0</v>
      </c>
      <c r="GJ58" s="311">
        <f t="shared" si="136"/>
        <v>0</v>
      </c>
      <c r="GK58" s="340">
        <f>Plus!O99</f>
        <v>0</v>
      </c>
      <c r="GL58" s="74"/>
      <c r="GM58" s="74"/>
      <c r="GN58" s="419">
        <f t="shared" si="135"/>
        <v>0</v>
      </c>
      <c r="GQ58" s="90">
        <f t="shared" si="80"/>
        <v>10</v>
      </c>
      <c r="GR58" s="121">
        <f t="shared" si="116"/>
        <v>0</v>
      </c>
      <c r="GT58" s="149">
        <f t="shared" si="117"/>
        <v>0</v>
      </c>
      <c r="GU58" s="2179">
        <f t="shared" ca="1" si="81"/>
        <v>0</v>
      </c>
      <c r="GW58" s="120">
        <f t="shared" si="118"/>
        <v>0</v>
      </c>
      <c r="GX58" s="110">
        <f t="shared" si="82"/>
        <v>0</v>
      </c>
      <c r="GY58" s="110">
        <f t="shared" si="83"/>
        <v>0</v>
      </c>
      <c r="GZ58" s="109">
        <f t="shared" si="84"/>
        <v>0</v>
      </c>
      <c r="HA58" s="109">
        <f t="shared" si="24"/>
        <v>0</v>
      </c>
      <c r="HB58" s="113">
        <f t="shared" si="85"/>
        <v>0</v>
      </c>
      <c r="HD58" s="102">
        <f t="shared" si="86"/>
        <v>0</v>
      </c>
      <c r="HE58" s="211">
        <f t="shared" si="129"/>
        <v>34</v>
      </c>
      <c r="HF58" s="212">
        <f t="shared" si="87"/>
        <v>0</v>
      </c>
      <c r="HG58" s="212">
        <f t="shared" si="25"/>
        <v>0</v>
      </c>
      <c r="HH58" s="212">
        <f t="shared" si="153"/>
        <v>0</v>
      </c>
      <c r="HI58" s="213">
        <f t="shared" si="26"/>
        <v>1000000</v>
      </c>
      <c r="HL58" s="182"/>
      <c r="HM58" s="26">
        <f t="shared" ca="1" si="27"/>
        <v>1</v>
      </c>
      <c r="HO58" s="268">
        <f t="shared" si="28"/>
        <v>0</v>
      </c>
      <c r="HP58" s="421">
        <f t="shared" si="120"/>
        <v>0</v>
      </c>
      <c r="HQ58" s="123">
        <f t="shared" si="88"/>
        <v>0</v>
      </c>
      <c r="HR58" s="123">
        <f t="shared" si="89"/>
        <v>0</v>
      </c>
      <c r="HS58" s="123">
        <f t="shared" si="90"/>
        <v>0</v>
      </c>
      <c r="HT58" s="123">
        <f>IF(HY57&lt;0.01,0,IF(Adm!$GS$4=Adm!$GS$8,HY57*$HY$15,IF(Adm!$GS$12=Adm!$GS$13,0,HY57*Adm!$GV$4)))</f>
        <v>0</v>
      </c>
      <c r="HU58" s="123">
        <f>IF(HY57&lt;0.01,0,IF(Adm!$GS$5=Adm!$GS$8,Cal!$BO$108*$HY$16/1.16,IF(Adm!$GS$12=Adm!$GS$13,0,Cal!$BO$108*Adm!$GW$4/1.16)))</f>
        <v>0</v>
      </c>
      <c r="HV58" s="123">
        <f t="shared" si="91"/>
        <v>0</v>
      </c>
      <c r="HW58" s="123">
        <f t="shared" si="92"/>
        <v>0</v>
      </c>
      <c r="HX58" s="123">
        <f>IF(Adm!$GH$6="si",MIN(HY57+HQ58+HT58+HU58+HV58-HW58,IH58),0)</f>
        <v>0</v>
      </c>
      <c r="HY58" s="297">
        <f t="shared" si="93"/>
        <v>0</v>
      </c>
      <c r="HZ58" s="74"/>
      <c r="IA58" s="407">
        <f t="shared" si="94"/>
        <v>0</v>
      </c>
      <c r="IC58" s="90">
        <f t="shared" si="95"/>
        <v>10</v>
      </c>
      <c r="ID58" s="124">
        <f>IF(IC58=1,Cal!$BO$127,0)</f>
        <v>0</v>
      </c>
      <c r="IE58" s="73"/>
      <c r="IG58" s="70">
        <f t="shared" si="121"/>
        <v>0</v>
      </c>
      <c r="IH58" s="2178">
        <f t="shared" ca="1" si="96"/>
        <v>0</v>
      </c>
      <c r="IK58" s="217"/>
      <c r="IL58" s="26">
        <f t="shared" ca="1" si="29"/>
        <v>1</v>
      </c>
      <c r="IN58" s="268">
        <f t="shared" si="30"/>
        <v>0</v>
      </c>
      <c r="IO58" s="421">
        <f t="shared" si="122"/>
        <v>0</v>
      </c>
      <c r="IP58" s="123">
        <f t="shared" si="97"/>
        <v>0</v>
      </c>
      <c r="IQ58" s="123">
        <f t="shared" si="98"/>
        <v>0</v>
      </c>
      <c r="IR58" s="123">
        <f t="shared" si="99"/>
        <v>0</v>
      </c>
      <c r="IS58" s="123">
        <f>IF(IX57&lt;0.01,0,IF(Adm!$GS$4=Adm!$GS$8,IX57*$IX$15,IF(Adm!$GS$12=Adm!$GS$13,0,IX57*Adm!$GV$4)))</f>
        <v>0</v>
      </c>
      <c r="IT58" s="123"/>
      <c r="IU58" s="123">
        <f t="shared" si="100"/>
        <v>0</v>
      </c>
      <c r="IV58" s="123">
        <f t="shared" si="101"/>
        <v>0</v>
      </c>
      <c r="IW58" s="123"/>
      <c r="IX58" s="297">
        <f t="shared" si="102"/>
        <v>0</v>
      </c>
      <c r="IY58" s="74"/>
      <c r="IZ58" s="416">
        <f t="shared" si="103"/>
        <v>0</v>
      </c>
      <c r="JB58" s="90">
        <f t="shared" si="104"/>
        <v>10</v>
      </c>
      <c r="JC58" s="124">
        <f>IF(JB58=1,Cal!$BP$127,0)</f>
        <v>0</v>
      </c>
      <c r="JD58" s="73"/>
    </row>
    <row r="59" spans="1:264">
      <c r="A59" s="26">
        <f t="shared" ca="1" si="0"/>
        <v>2</v>
      </c>
      <c r="C59" s="33">
        <f t="shared" si="1"/>
        <v>0</v>
      </c>
      <c r="D59" s="123">
        <f t="shared" si="31"/>
        <v>0</v>
      </c>
      <c r="E59" s="123">
        <f t="shared" si="147"/>
        <v>0</v>
      </c>
      <c r="F59" s="123">
        <f t="shared" si="149"/>
        <v>0</v>
      </c>
      <c r="G59" s="123">
        <f>IF(L58&lt;0.01,0,IF(Adm!$S$4=Adm!$S$8,L58*$L$15,L58*Adm!$V$4))</f>
        <v>0</v>
      </c>
      <c r="H59" s="123">
        <f>IF(L58&lt;0.01,0,IF(Adm!$S$5=Adm!$S$8,Adm!$AA$11*$L$16/1.16,IF(Adm!$B$4=Adm!$A$119,0,Adm!$AA$11*Adm!$X$4/1.16)))</f>
        <v>0</v>
      </c>
      <c r="I59" s="123">
        <f>IF(L58&lt;0.01,0,Cal!$AB$126/1.16)</f>
        <v>0</v>
      </c>
      <c r="J59" s="123">
        <f t="shared" si="2"/>
        <v>0</v>
      </c>
      <c r="K59" s="123">
        <f>IF(Adm!$G$4="si",MIN(L58+D59+G59+H59+I59-J59,V59),0)</f>
        <v>0</v>
      </c>
      <c r="L59" s="123">
        <f t="shared" si="32"/>
        <v>0</v>
      </c>
      <c r="M59" s="74"/>
      <c r="N59" s="74"/>
      <c r="O59" s="407">
        <f t="shared" si="33"/>
        <v>0</v>
      </c>
      <c r="R59" s="90">
        <f t="shared" si="34"/>
        <v>11</v>
      </c>
      <c r="S59" s="121">
        <f>IF(R59=1,Cal!$AB$127,0)</f>
        <v>0</v>
      </c>
      <c r="U59" s="70">
        <f t="shared" si="105"/>
        <v>0</v>
      </c>
      <c r="V59" s="2178">
        <f t="shared" ca="1" si="35"/>
        <v>0</v>
      </c>
      <c r="X59" s="398"/>
      <c r="Z59" s="268">
        <f t="shared" si="3"/>
        <v>0</v>
      </c>
      <c r="AA59" s="2176">
        <f t="shared" si="36"/>
        <v>0</v>
      </c>
      <c r="AB59" s="33">
        <f t="shared" si="37"/>
        <v>0</v>
      </c>
      <c r="AC59" s="33">
        <f t="shared" si="38"/>
        <v>0</v>
      </c>
      <c r="AD59" s="33">
        <f>IF(AI58&lt;0.01,0,IF(Adm!$S$4=Adm!$S$8,AI58*$AI$15,AI58*Adm!$V$4))</f>
        <v>0</v>
      </c>
      <c r="AE59" s="33"/>
      <c r="AF59" s="33"/>
      <c r="AG59" s="33">
        <f t="shared" si="4"/>
        <v>0</v>
      </c>
      <c r="AH59" s="33"/>
      <c r="AI59" s="401">
        <f t="shared" si="5"/>
        <v>0</v>
      </c>
      <c r="AK59" s="410">
        <f t="shared" si="6"/>
        <v>0</v>
      </c>
      <c r="AN59" s="90">
        <f t="shared" si="39"/>
        <v>11</v>
      </c>
      <c r="AO59" s="121">
        <f>IF(AN59=1,Cal!$AC$127,0)</f>
        <v>0</v>
      </c>
      <c r="AS59" s="200"/>
      <c r="AU59" s="268">
        <f t="shared" si="7"/>
        <v>0</v>
      </c>
      <c r="AV59" s="2177">
        <f t="shared" si="40"/>
        <v>0</v>
      </c>
      <c r="AW59" s="123">
        <f t="shared" si="8"/>
        <v>0</v>
      </c>
      <c r="AX59" s="123">
        <f t="shared" si="41"/>
        <v>0</v>
      </c>
      <c r="AY59" s="123">
        <f>IF(BC58&lt;0.01,0,IF(Adm!$S$4=Adm!$S$8,BC58*$BC$16,BC58*Adm!$V$4))</f>
        <v>0</v>
      </c>
      <c r="AZ59" s="123"/>
      <c r="BA59" s="123">
        <f>IF(BC58&lt;0.01,0,Adm!$Q$6)</f>
        <v>0</v>
      </c>
      <c r="BB59" s="123">
        <f t="shared" si="42"/>
        <v>0</v>
      </c>
      <c r="BC59" s="297">
        <f t="shared" si="43"/>
        <v>0</v>
      </c>
      <c r="BE59" s="425">
        <f t="shared" si="9"/>
        <v>0</v>
      </c>
      <c r="BH59" s="90">
        <f t="shared" si="44"/>
        <v>11</v>
      </c>
      <c r="BI59" s="121">
        <f>IF(BH59=1,Cal!$AD$127,0)</f>
        <v>0</v>
      </c>
      <c r="BM59" s="221"/>
      <c r="BO59" s="295">
        <f t="shared" ca="1" si="10"/>
        <v>2</v>
      </c>
      <c r="BP59" s="268">
        <f t="shared" si="11"/>
        <v>0</v>
      </c>
      <c r="BQ59" s="123">
        <f t="shared" si="45"/>
        <v>0</v>
      </c>
      <c r="BR59" s="123">
        <f t="shared" si="148"/>
        <v>0</v>
      </c>
      <c r="BS59" s="123">
        <f t="shared" si="150"/>
        <v>0</v>
      </c>
      <c r="BT59" s="123">
        <f>IF(BZ58&lt;0.01,0,IF(Plus!$F$22=Plus!$AN$4,BZ58*$BZ$15,IF(Plus!$F$22=Plus!$AN$3,BZ58*Plus!$F$23/1000,BZ58*VLOOKUP(Plus!$G$21,Plus!$AP$2:'Plus'!$AQ$5,2,0))))</f>
        <v>0</v>
      </c>
      <c r="BU59" s="123">
        <f>IF(BZ58&lt;0.01,0,IF(Plus!$F$24=Plus!$AO$3,Plus!$G$13*Plus!$AR$2/1.16,IF(Plus!$F$10=Plus!$AK$7,0,Plus!$G$13*Plus!$AR$2/1.16)))</f>
        <v>0</v>
      </c>
      <c r="BV59" s="123">
        <f>IF(BZ58&lt;0.01,0,Plus!$BD$2)</f>
        <v>0</v>
      </c>
      <c r="BW59" s="123"/>
      <c r="BX59" s="123">
        <f t="shared" si="12"/>
        <v>0</v>
      </c>
      <c r="BY59" s="123">
        <f>IF(Plus!$F$10=Plus!$AK$3,MIN(BZ58+BQ59+BT59+BU59+BV59-BX59,CJ59),0)</f>
        <v>0</v>
      </c>
      <c r="BZ59" s="297">
        <f t="shared" si="144"/>
        <v>0</v>
      </c>
      <c r="CA59" s="74"/>
      <c r="CB59" s="74"/>
      <c r="CC59" s="413">
        <f t="shared" si="47"/>
        <v>0</v>
      </c>
      <c r="CF59" s="90">
        <f t="shared" si="48"/>
        <v>11</v>
      </c>
      <c r="CG59" s="121">
        <f t="shared" si="106"/>
        <v>0</v>
      </c>
      <c r="CI59" s="70">
        <f t="shared" si="107"/>
        <v>0</v>
      </c>
      <c r="CJ59" s="2178">
        <f t="shared" ca="1" si="49"/>
        <v>0</v>
      </c>
      <c r="CL59" s="161"/>
      <c r="CN59" s="308">
        <f t="shared" ca="1" si="13"/>
        <v>2</v>
      </c>
      <c r="CO59" s="309">
        <f t="shared" si="50"/>
        <v>0</v>
      </c>
      <c r="CP59" s="268">
        <f t="shared" si="14"/>
        <v>0</v>
      </c>
      <c r="CQ59" s="123">
        <f t="shared" si="51"/>
        <v>0</v>
      </c>
      <c r="CR59" s="123">
        <f t="shared" si="137"/>
        <v>0</v>
      </c>
      <c r="CS59" s="123">
        <f t="shared" si="138"/>
        <v>0</v>
      </c>
      <c r="CT59" s="33">
        <f>IF(CZ58&lt;0.01,0,IF(Plus!$F$22=Plus!$AN$4,0,IF(Plus!$F$22=Plus!$AN$3,CZ58*Plus!$F$23/1000,CZ58*VLOOKUP(Plus!$G$21,Plus!$AP$2:'Plus'!$AQ$5,2,0))))</f>
        <v>0</v>
      </c>
      <c r="CU59" s="123">
        <f>IF(CZ58&lt;0.01,0,IF(Plus!$F$24=Plus!$AO$3,0,IF(OR(Plus!$F$10=Plus!$AK$7,Plus!$F$10=Plus!$AK$13),0,Plus!$G$13*Plus!$AR$2)))</f>
        <v>0</v>
      </c>
      <c r="CV59" s="123">
        <f>IF(CZ58&lt;0.01,0,IF(OR(Plus!$F$10=Plus!$AK$7,Plus!$F$10=Plus!$AK$13),0,Plus!$BD$2*1.16))</f>
        <v>0</v>
      </c>
      <c r="CW59" s="123">
        <f>IF(CZ58&lt;0.01,0,IF(Plus!$AS$2&gt;0,CQ59*Plus!$AS$3,0))</f>
        <v>0</v>
      </c>
      <c r="CX59" s="123">
        <f t="shared" si="52"/>
        <v>0</v>
      </c>
      <c r="CY59" s="123">
        <f>IF(Plus!$F$10=Plus!$AK$3,MIN(CZ58+CQ59+CT59+CU59+CV59-CX59,DK59),0)</f>
        <v>0</v>
      </c>
      <c r="CZ59" s="297">
        <f t="shared" si="146"/>
        <v>0</v>
      </c>
      <c r="DA59" s="306">
        <f>Plus!O100</f>
        <v>0</v>
      </c>
      <c r="DB59" s="74"/>
      <c r="DC59" s="74"/>
      <c r="DD59" s="407">
        <f t="shared" si="54"/>
        <v>0</v>
      </c>
      <c r="DG59" s="90">
        <f t="shared" si="55"/>
        <v>11</v>
      </c>
      <c r="DH59" s="121">
        <f t="shared" si="108"/>
        <v>0</v>
      </c>
      <c r="DJ59" s="149">
        <f t="shared" si="109"/>
        <v>0</v>
      </c>
      <c r="DK59" s="2179">
        <f t="shared" ca="1" si="56"/>
        <v>0</v>
      </c>
      <c r="DN59" s="120">
        <f t="shared" si="110"/>
        <v>0</v>
      </c>
      <c r="DO59" s="110">
        <f t="shared" si="57"/>
        <v>0</v>
      </c>
      <c r="DP59" s="110">
        <f t="shared" si="124"/>
        <v>0</v>
      </c>
      <c r="DQ59" s="109">
        <f t="shared" si="58"/>
        <v>0</v>
      </c>
      <c r="DR59" s="109">
        <f t="shared" si="59"/>
        <v>0</v>
      </c>
      <c r="DS59" s="113">
        <f t="shared" si="60"/>
        <v>0</v>
      </c>
      <c r="DU59" s="102">
        <f t="shared" si="61"/>
        <v>0</v>
      </c>
      <c r="DV59" s="211">
        <f t="shared" si="125"/>
        <v>35</v>
      </c>
      <c r="DW59" s="212">
        <f t="shared" si="62"/>
        <v>0</v>
      </c>
      <c r="DX59" s="212">
        <f t="shared" si="15"/>
        <v>0</v>
      </c>
      <c r="DY59" s="212">
        <f t="shared" si="111"/>
        <v>0</v>
      </c>
      <c r="DZ59" s="213">
        <f t="shared" si="16"/>
        <v>1000000</v>
      </c>
      <c r="ED59" s="182"/>
      <c r="EF59" s="308">
        <f t="shared" ca="1" si="17"/>
        <v>2</v>
      </c>
      <c r="EG59" s="309">
        <f t="shared" si="63"/>
        <v>0</v>
      </c>
      <c r="EH59" s="268">
        <f t="shared" si="18"/>
        <v>0</v>
      </c>
      <c r="EI59" s="33">
        <f t="shared" si="64"/>
        <v>0</v>
      </c>
      <c r="EJ59" s="33">
        <f t="shared" si="139"/>
        <v>0</v>
      </c>
      <c r="EK59" s="33">
        <f t="shared" si="151"/>
        <v>0</v>
      </c>
      <c r="EL59" s="33">
        <f>IF(ER58&lt;0.01,0,IF(Plus!$F$22=Plus!$AN$4,0,IF(Plus!$F$22=Plus!$AN$3,ER58*Plus!$F$23/1000,ER58*VLOOKUP(Plus!$G$21,Plus!$AP$2:'Plus'!$AQ$5,2,0))))</f>
        <v>0</v>
      </c>
      <c r="EM59" s="33">
        <f>IF(ER58&lt;0.01,0,IF(Plus!$F$24=Plus!$AO$3,0,IF(OR(Plus!$F$10=Plus!$AK$7,Plus!$F$10=Plus!$AK$13),0,Plus!$G$13*Plus!$AR$2)))</f>
        <v>0</v>
      </c>
      <c r="EN59" s="33">
        <f>IF(ER58&lt;0.01,0,IF(OR(Plus!$F$10=Plus!$AK$7,Plus!$F$10=Plus!$AK$13),0,Plus!$BD$2*1.16))</f>
        <v>0</v>
      </c>
      <c r="EO59" s="33">
        <f>IF(ER58&lt;0.01,0,IF(Plus!$AS$2&gt;0,EI59*Plus!$AS$3,0))</f>
        <v>0</v>
      </c>
      <c r="EP59" s="33">
        <f t="shared" si="65"/>
        <v>0</v>
      </c>
      <c r="EQ59" s="33">
        <f>IF(Plus!$F$10=Plus!$AK$3,MIN(ER58+EI59+EL59+EM59+EN59-EP59,FC59),0)</f>
        <v>0</v>
      </c>
      <c r="ER59" s="311">
        <f t="shared" si="145"/>
        <v>0</v>
      </c>
      <c r="ES59" s="340">
        <f>Plus!O100</f>
        <v>0</v>
      </c>
      <c r="ET59" s="74"/>
      <c r="EU59" s="74"/>
      <c r="EV59" s="416">
        <f t="shared" si="134"/>
        <v>0</v>
      </c>
      <c r="EY59" s="90">
        <f t="shared" si="68"/>
        <v>11</v>
      </c>
      <c r="EZ59" s="121">
        <f t="shared" si="112"/>
        <v>0</v>
      </c>
      <c r="FB59" s="149">
        <f t="shared" si="113"/>
        <v>0</v>
      </c>
      <c r="FC59" s="2179">
        <f t="shared" ca="1" si="69"/>
        <v>0</v>
      </c>
      <c r="FE59" s="120">
        <f t="shared" si="114"/>
        <v>0</v>
      </c>
      <c r="FF59" s="110">
        <f t="shared" si="70"/>
        <v>0</v>
      </c>
      <c r="FG59" s="110">
        <f t="shared" si="71"/>
        <v>0</v>
      </c>
      <c r="FH59" s="109">
        <f t="shared" si="72"/>
        <v>0</v>
      </c>
      <c r="FI59" s="109">
        <f t="shared" si="19"/>
        <v>0</v>
      </c>
      <c r="FJ59" s="113">
        <f t="shared" si="73"/>
        <v>0</v>
      </c>
      <c r="FL59" s="102">
        <f t="shared" si="74"/>
        <v>0</v>
      </c>
      <c r="FM59" s="211">
        <f t="shared" si="127"/>
        <v>35</v>
      </c>
      <c r="FN59" s="212">
        <f t="shared" si="75"/>
        <v>0</v>
      </c>
      <c r="FO59" s="212">
        <f t="shared" si="20"/>
        <v>0</v>
      </c>
      <c r="FP59" s="212">
        <f t="shared" si="152"/>
        <v>0</v>
      </c>
      <c r="FQ59" s="213">
        <f t="shared" si="21"/>
        <v>1000000</v>
      </c>
      <c r="FV59" s="359"/>
      <c r="FX59" s="308">
        <f t="shared" ca="1" si="22"/>
        <v>2</v>
      </c>
      <c r="FY59" s="309">
        <f t="shared" si="76"/>
        <v>0</v>
      </c>
      <c r="FZ59" s="268">
        <f t="shared" si="23"/>
        <v>0</v>
      </c>
      <c r="GA59" s="33">
        <f t="shared" si="77"/>
        <v>0</v>
      </c>
      <c r="GB59" s="33">
        <f t="shared" si="141"/>
        <v>0</v>
      </c>
      <c r="GC59" s="33">
        <f t="shared" si="142"/>
        <v>0</v>
      </c>
      <c r="GD59" s="33">
        <f>IF(GJ58&lt;0.01,0,IF(Plus!$F$22=Plus!$AN$4,0,IF(Plus!$F$22=Plus!$AN$3,GJ58*Plus!$F$23/1000,GJ58*VLOOKUP(Plus!$G$21,Plus!$AP$2:$AQ$5,2,0))))</f>
        <v>0</v>
      </c>
      <c r="GE59" s="33">
        <f>IF(GJ58&lt;0.01,0,IF(Plus!$F$24=Plus!$AO$3,0,IF(OR(Plus!$F$10=Plus!$AK$7,Plus!$F$10=Plus!$AK$13,Plus!$F$10=Plus!$AK$14),0,IF(OR(Plus!$F$10=Plus!$AK$10,Plus!$F$10=Plus!$AK$11),Plus!$G$13*Adm!$W$7,Plus!$G$13*Adm!$X$4))))</f>
        <v>0</v>
      </c>
      <c r="GF59" s="33">
        <f>IF(GJ58&lt;0.01,0,IF(OR(Plus!$F$10=Plus!$AK$7,Plus!$F$10=Plus!$AK$13),0,Plus!$BD$2*1.16))</f>
        <v>0</v>
      </c>
      <c r="GG59" s="33">
        <f>IF(GJ58&lt;0.01,0,IF(Plus!$AS$2&gt;0,GA59*Plus!$AS$3,0))</f>
        <v>0</v>
      </c>
      <c r="GH59" s="33">
        <f t="shared" si="78"/>
        <v>0</v>
      </c>
      <c r="GI59" s="33">
        <f>IF(Plus!$F$10=Plus!$AK$3,MIN(GJ58+GA59+GD59+GE59+GF59-GH59,GU59),0)</f>
        <v>0</v>
      </c>
      <c r="GJ59" s="311">
        <f t="shared" si="136"/>
        <v>0</v>
      </c>
      <c r="GK59" s="340">
        <f>Plus!O100</f>
        <v>0</v>
      </c>
      <c r="GL59" s="74"/>
      <c r="GM59" s="74"/>
      <c r="GN59" s="419">
        <f t="shared" si="135"/>
        <v>0</v>
      </c>
      <c r="GQ59" s="90">
        <f t="shared" si="80"/>
        <v>11</v>
      </c>
      <c r="GR59" s="121">
        <f t="shared" si="116"/>
        <v>0</v>
      </c>
      <c r="GT59" s="149">
        <f t="shared" si="117"/>
        <v>0</v>
      </c>
      <c r="GU59" s="2179">
        <f t="shared" ca="1" si="81"/>
        <v>0</v>
      </c>
      <c r="GW59" s="120">
        <f t="shared" si="118"/>
        <v>0</v>
      </c>
      <c r="GX59" s="110">
        <f t="shared" si="82"/>
        <v>0</v>
      </c>
      <c r="GY59" s="110">
        <f t="shared" si="83"/>
        <v>0</v>
      </c>
      <c r="GZ59" s="109">
        <f t="shared" si="84"/>
        <v>0</v>
      </c>
      <c r="HA59" s="109">
        <f t="shared" si="24"/>
        <v>0</v>
      </c>
      <c r="HB59" s="113">
        <f t="shared" si="85"/>
        <v>0</v>
      </c>
      <c r="HD59" s="102">
        <f t="shared" si="86"/>
        <v>0</v>
      </c>
      <c r="HE59" s="211">
        <f t="shared" si="129"/>
        <v>35</v>
      </c>
      <c r="HF59" s="212">
        <f t="shared" si="87"/>
        <v>0</v>
      </c>
      <c r="HG59" s="212">
        <f t="shared" si="25"/>
        <v>0</v>
      </c>
      <c r="HH59" s="212">
        <f t="shared" si="153"/>
        <v>0</v>
      </c>
      <c r="HI59" s="213">
        <f t="shared" si="26"/>
        <v>1000000</v>
      </c>
      <c r="HL59" s="182"/>
      <c r="HM59" s="26">
        <f t="shared" ca="1" si="27"/>
        <v>2</v>
      </c>
      <c r="HO59" s="268">
        <f t="shared" si="28"/>
        <v>0</v>
      </c>
      <c r="HP59" s="421">
        <f t="shared" si="120"/>
        <v>0</v>
      </c>
      <c r="HQ59" s="123">
        <f t="shared" si="88"/>
        <v>0</v>
      </c>
      <c r="HR59" s="123">
        <f t="shared" si="89"/>
        <v>0</v>
      </c>
      <c r="HS59" s="123">
        <f t="shared" si="90"/>
        <v>0</v>
      </c>
      <c r="HT59" s="123">
        <f>IF(HY58&lt;0.01,0,IF(Adm!$GS$4=Adm!$GS$8,HY58*$HY$15,IF(Adm!$GS$12=Adm!$GS$13,0,HY58*Adm!$GV$4)))</f>
        <v>0</v>
      </c>
      <c r="HU59" s="123">
        <f>IF(HY58&lt;0.01,0,IF(Adm!$GS$5=Adm!$GS$8,Cal!$BO$108*$HY$16/1.16,IF(Adm!$GS$12=Adm!$GS$13,0,Cal!$BO$108*Adm!$GW$4/1.16)))</f>
        <v>0</v>
      </c>
      <c r="HV59" s="123">
        <f t="shared" si="91"/>
        <v>0</v>
      </c>
      <c r="HW59" s="123">
        <f t="shared" si="92"/>
        <v>0</v>
      </c>
      <c r="HX59" s="123">
        <f>IF(Adm!$GH$6="si",MIN(HY58+HQ59+HT59+HU59+HV59-HW59,IH59),0)</f>
        <v>0</v>
      </c>
      <c r="HY59" s="297">
        <f t="shared" si="93"/>
        <v>0</v>
      </c>
      <c r="HZ59" s="74"/>
      <c r="IA59" s="407">
        <f t="shared" si="94"/>
        <v>0</v>
      </c>
      <c r="IC59" s="90">
        <f t="shared" si="95"/>
        <v>11</v>
      </c>
      <c r="ID59" s="124">
        <f>IF(IC59=1,Cal!$BO$127,0)</f>
        <v>0</v>
      </c>
      <c r="IE59" s="73"/>
      <c r="IG59" s="70">
        <f t="shared" si="121"/>
        <v>0</v>
      </c>
      <c r="IH59" s="2178">
        <f t="shared" ca="1" si="96"/>
        <v>0</v>
      </c>
      <c r="IK59" s="217"/>
      <c r="IL59" s="26">
        <f t="shared" ca="1" si="29"/>
        <v>2</v>
      </c>
      <c r="IN59" s="268">
        <f t="shared" si="30"/>
        <v>0</v>
      </c>
      <c r="IO59" s="421">
        <f t="shared" si="122"/>
        <v>0</v>
      </c>
      <c r="IP59" s="123">
        <f t="shared" si="97"/>
        <v>0</v>
      </c>
      <c r="IQ59" s="123">
        <f t="shared" si="98"/>
        <v>0</v>
      </c>
      <c r="IR59" s="123">
        <f t="shared" si="99"/>
        <v>0</v>
      </c>
      <c r="IS59" s="123">
        <f>IF(IX58&lt;0.01,0,IF(Adm!$GS$4=Adm!$GS$8,IX58*$IX$15,IF(Adm!$GS$12=Adm!$GS$13,0,IX58*Adm!$GV$4)))</f>
        <v>0</v>
      </c>
      <c r="IT59" s="123"/>
      <c r="IU59" s="123">
        <f t="shared" si="100"/>
        <v>0</v>
      </c>
      <c r="IV59" s="123">
        <f t="shared" si="101"/>
        <v>0</v>
      </c>
      <c r="IW59" s="123"/>
      <c r="IX59" s="297">
        <f t="shared" si="102"/>
        <v>0</v>
      </c>
      <c r="IY59" s="74"/>
      <c r="IZ59" s="416">
        <f t="shared" si="103"/>
        <v>0</v>
      </c>
      <c r="JB59" s="90">
        <f t="shared" si="104"/>
        <v>11</v>
      </c>
      <c r="JC59" s="124">
        <f>IF(JB59=1,Cal!$BP$127,0)</f>
        <v>0</v>
      </c>
      <c r="JD59" s="73"/>
    </row>
    <row r="60" spans="1:264">
      <c r="A60" s="26">
        <f t="shared" ca="1" si="0"/>
        <v>3</v>
      </c>
      <c r="C60" s="33">
        <f t="shared" si="1"/>
        <v>0</v>
      </c>
      <c r="D60" s="123">
        <f t="shared" si="31"/>
        <v>0</v>
      </c>
      <c r="E60" s="123">
        <f t="shared" si="147"/>
        <v>0</v>
      </c>
      <c r="F60" s="123">
        <f t="shared" si="149"/>
        <v>0</v>
      </c>
      <c r="G60" s="123">
        <f>IF(L59&lt;0.01,0,IF(Adm!$S$4=Adm!$S$8,L59*$L$15,L59*Adm!$V$4))</f>
        <v>0</v>
      </c>
      <c r="H60" s="123">
        <f>IF(L59&lt;0.01,0,IF(Adm!$S$5=Adm!$S$8,Adm!$AA$11*$L$16/1.16,IF(Adm!$B$4=Adm!$A$119,0,Adm!$AA$11*Adm!$X$4/1.16)))</f>
        <v>0</v>
      </c>
      <c r="I60" s="123">
        <f>IF(L59&lt;0.01,0,Cal!$AB$126/1.16)</f>
        <v>0</v>
      </c>
      <c r="J60" s="123">
        <f t="shared" si="2"/>
        <v>0</v>
      </c>
      <c r="K60" s="123">
        <f>IF(Adm!$G$4="si",MIN(L59+D60+G60+H60+I60-J60,V60),0)</f>
        <v>0</v>
      </c>
      <c r="L60" s="123">
        <f t="shared" si="32"/>
        <v>0</v>
      </c>
      <c r="M60" s="74"/>
      <c r="N60" s="74"/>
      <c r="O60" s="407">
        <f t="shared" si="33"/>
        <v>0</v>
      </c>
      <c r="R60" s="90">
        <f t="shared" si="34"/>
        <v>12</v>
      </c>
      <c r="S60" s="121">
        <f>IF(R60=1,Cal!$AB$127,0)</f>
        <v>0</v>
      </c>
      <c r="U60" s="70">
        <f t="shared" si="105"/>
        <v>0</v>
      </c>
      <c r="V60" s="2178">
        <f t="shared" ca="1" si="35"/>
        <v>0</v>
      </c>
      <c r="X60" s="398"/>
      <c r="Z60" s="268">
        <f t="shared" si="3"/>
        <v>0</v>
      </c>
      <c r="AA60" s="2176">
        <f t="shared" si="36"/>
        <v>0</v>
      </c>
      <c r="AB60" s="33">
        <f t="shared" si="37"/>
        <v>0</v>
      </c>
      <c r="AC60" s="33">
        <f t="shared" si="38"/>
        <v>0</v>
      </c>
      <c r="AD60" s="33">
        <f>IF(AI59&lt;0.01,0,IF(Adm!$S$4=Adm!$S$8,AI59*$AI$15,AI59*Adm!$V$4))</f>
        <v>0</v>
      </c>
      <c r="AE60" s="33"/>
      <c r="AF60" s="33"/>
      <c r="AG60" s="33">
        <f t="shared" si="4"/>
        <v>0</v>
      </c>
      <c r="AH60" s="33"/>
      <c r="AI60" s="401">
        <f t="shared" si="5"/>
        <v>0</v>
      </c>
      <c r="AK60" s="410">
        <f t="shared" si="6"/>
        <v>0</v>
      </c>
      <c r="AN60" s="90">
        <f t="shared" si="39"/>
        <v>12</v>
      </c>
      <c r="AO60" s="121">
        <f>IF(AN60=1,Cal!$AC$127,0)</f>
        <v>0</v>
      </c>
      <c r="AS60" s="200"/>
      <c r="AU60" s="268">
        <f t="shared" si="7"/>
        <v>0</v>
      </c>
      <c r="AV60" s="2177">
        <f t="shared" si="40"/>
        <v>0</v>
      </c>
      <c r="AW60" s="123">
        <f t="shared" si="8"/>
        <v>0</v>
      </c>
      <c r="AX60" s="123">
        <f t="shared" si="41"/>
        <v>0</v>
      </c>
      <c r="AY60" s="123">
        <f>IF(BC59&lt;0.01,0,IF(Adm!$S$4=Adm!$S$8,BC59*$BC$16,BC59*Adm!$V$4))</f>
        <v>0</v>
      </c>
      <c r="AZ60" s="123"/>
      <c r="BA60" s="123">
        <f>IF(BC59&lt;0.01,0,Adm!$Q$6)</f>
        <v>0</v>
      </c>
      <c r="BB60" s="123">
        <f t="shared" si="42"/>
        <v>0</v>
      </c>
      <c r="BC60" s="297">
        <f t="shared" si="43"/>
        <v>0</v>
      </c>
      <c r="BE60" s="425">
        <f t="shared" si="9"/>
        <v>0</v>
      </c>
      <c r="BH60" s="90">
        <f t="shared" si="44"/>
        <v>12</v>
      </c>
      <c r="BI60" s="121">
        <f>IF(BH60=1,Cal!$AD$127,0)</f>
        <v>0</v>
      </c>
      <c r="BM60" s="221"/>
      <c r="BO60" s="295">
        <f t="shared" ca="1" si="10"/>
        <v>3</v>
      </c>
      <c r="BP60" s="268">
        <f t="shared" si="11"/>
        <v>0</v>
      </c>
      <c r="BQ60" s="123">
        <f t="shared" si="45"/>
        <v>0</v>
      </c>
      <c r="BR60" s="123">
        <f t="shared" si="148"/>
        <v>0</v>
      </c>
      <c r="BS60" s="123">
        <f t="shared" si="150"/>
        <v>0</v>
      </c>
      <c r="BT60" s="123">
        <f>IF(BZ59&lt;0.01,0,IF(Plus!$F$22=Plus!$AN$4,BZ59*$BZ$15,IF(Plus!$F$22=Plus!$AN$3,BZ59*Plus!$F$23/1000,BZ59*VLOOKUP(Plus!$G$21,Plus!$AP$2:'Plus'!$AQ$5,2,0))))</f>
        <v>0</v>
      </c>
      <c r="BU60" s="123">
        <f>IF(BZ59&lt;0.01,0,IF(Plus!$F$24=Plus!$AO$3,Plus!$G$13*Plus!$AR$2/1.16,IF(Plus!$F$10=Plus!$AK$7,0,Plus!$G$13*Plus!$AR$2/1.16)))</f>
        <v>0</v>
      </c>
      <c r="BV60" s="123">
        <f>IF(BZ59&lt;0.01,0,Plus!$BD$2)</f>
        <v>0</v>
      </c>
      <c r="BW60" s="123"/>
      <c r="BX60" s="123">
        <f t="shared" si="12"/>
        <v>0</v>
      </c>
      <c r="BY60" s="123">
        <f>IF(Plus!$F$10=Plus!$AK$3,MIN(BZ59+BQ60+BT60+BU60+BV60-BX60,CJ60),0)</f>
        <v>0</v>
      </c>
      <c r="BZ60" s="297">
        <f t="shared" si="144"/>
        <v>0</v>
      </c>
      <c r="CA60" s="74"/>
      <c r="CB60" s="74"/>
      <c r="CC60" s="413">
        <f t="shared" si="47"/>
        <v>0</v>
      </c>
      <c r="CF60" s="90">
        <f t="shared" si="48"/>
        <v>12</v>
      </c>
      <c r="CG60" s="121">
        <f t="shared" si="106"/>
        <v>0</v>
      </c>
      <c r="CI60" s="70">
        <f t="shared" si="107"/>
        <v>0</v>
      </c>
      <c r="CJ60" s="2178">
        <f t="shared" ca="1" si="49"/>
        <v>0</v>
      </c>
      <c r="CL60" s="161"/>
      <c r="CN60" s="308">
        <f t="shared" ca="1" si="13"/>
        <v>3</v>
      </c>
      <c r="CO60" s="309">
        <f t="shared" si="50"/>
        <v>0</v>
      </c>
      <c r="CP60" s="268">
        <f t="shared" si="14"/>
        <v>0</v>
      </c>
      <c r="CQ60" s="123">
        <f t="shared" si="51"/>
        <v>0</v>
      </c>
      <c r="CR60" s="123">
        <f t="shared" si="137"/>
        <v>0</v>
      </c>
      <c r="CS60" s="123">
        <f t="shared" si="138"/>
        <v>0</v>
      </c>
      <c r="CT60" s="33">
        <f>IF(CZ59&lt;0.01,0,IF(Plus!$F$22=Plus!$AN$4,0,IF(Plus!$F$22=Plus!$AN$3,CZ59*Plus!$F$23/1000,CZ59*VLOOKUP(Plus!$G$21,Plus!$AP$2:'Plus'!$AQ$5,2,0))))</f>
        <v>0</v>
      </c>
      <c r="CU60" s="123">
        <f>IF(CZ59&lt;0.01,0,IF(Plus!$F$24=Plus!$AO$3,0,IF(OR(Plus!$F$10=Plus!$AK$7,Plus!$F$10=Plus!$AK$13),0,Plus!$G$13*Plus!$AR$2)))</f>
        <v>0</v>
      </c>
      <c r="CV60" s="123">
        <f>IF(CZ59&lt;0.01,0,IF(OR(Plus!$F$10=Plus!$AK$7,Plus!$F$10=Plus!$AK$13),0,Plus!$BD$2*1.16))</f>
        <v>0</v>
      </c>
      <c r="CW60" s="123">
        <f>IF(CZ59&lt;0.01,0,IF(Plus!$AS$2&gt;0,CQ60*Plus!$AS$3,0))</f>
        <v>0</v>
      </c>
      <c r="CX60" s="123">
        <f t="shared" si="52"/>
        <v>0</v>
      </c>
      <c r="CY60" s="123">
        <f>IF(Plus!$F$10=Plus!$AK$3,MIN(CZ59+CQ60+CT60+CU60+CV60-CX60,DK60),0)</f>
        <v>0</v>
      </c>
      <c r="CZ60" s="297">
        <f t="shared" si="146"/>
        <v>0</v>
      </c>
      <c r="DA60" s="306">
        <f>Plus!O101</f>
        <v>0</v>
      </c>
      <c r="DB60" s="74"/>
      <c r="DC60" s="74"/>
      <c r="DD60" s="407">
        <f t="shared" si="54"/>
        <v>0</v>
      </c>
      <c r="DG60" s="90">
        <f t="shared" si="55"/>
        <v>12</v>
      </c>
      <c r="DH60" s="121">
        <f t="shared" si="108"/>
        <v>0</v>
      </c>
      <c r="DJ60" s="149">
        <f t="shared" si="109"/>
        <v>0</v>
      </c>
      <c r="DK60" s="2179">
        <f t="shared" ca="1" si="56"/>
        <v>0</v>
      </c>
      <c r="DN60" s="120">
        <f t="shared" si="110"/>
        <v>0</v>
      </c>
      <c r="DO60" s="110">
        <f t="shared" si="57"/>
        <v>0</v>
      </c>
      <c r="DP60" s="110">
        <f t="shared" si="124"/>
        <v>0</v>
      </c>
      <c r="DQ60" s="109">
        <f t="shared" si="58"/>
        <v>0</v>
      </c>
      <c r="DR60" s="109">
        <f t="shared" si="59"/>
        <v>0</v>
      </c>
      <c r="DS60" s="113">
        <f t="shared" si="60"/>
        <v>0</v>
      </c>
      <c r="DU60" s="102">
        <f t="shared" si="61"/>
        <v>0</v>
      </c>
      <c r="DV60" s="211">
        <f t="shared" si="125"/>
        <v>36</v>
      </c>
      <c r="DW60" s="212">
        <f t="shared" si="62"/>
        <v>0</v>
      </c>
      <c r="DX60" s="212">
        <f t="shared" si="15"/>
        <v>0</v>
      </c>
      <c r="DY60" s="212">
        <f t="shared" si="111"/>
        <v>0</v>
      </c>
      <c r="DZ60" s="213">
        <f t="shared" si="16"/>
        <v>1000000</v>
      </c>
      <c r="ED60" s="182"/>
      <c r="EF60" s="308">
        <f t="shared" ca="1" si="17"/>
        <v>3</v>
      </c>
      <c r="EG60" s="309">
        <f t="shared" si="63"/>
        <v>0</v>
      </c>
      <c r="EH60" s="268">
        <f t="shared" si="18"/>
        <v>0</v>
      </c>
      <c r="EI60" s="33">
        <f t="shared" si="64"/>
        <v>0</v>
      </c>
      <c r="EJ60" s="33">
        <f t="shared" si="139"/>
        <v>0</v>
      </c>
      <c r="EK60" s="33">
        <f t="shared" si="151"/>
        <v>0</v>
      </c>
      <c r="EL60" s="33">
        <f>IF(ER59&lt;0.01,0,IF(Plus!$F$22=Plus!$AN$4,0,IF(Plus!$F$22=Plus!$AN$3,ER59*Plus!$F$23/1000,ER59*VLOOKUP(Plus!$G$21,Plus!$AP$2:'Plus'!$AQ$5,2,0))))</f>
        <v>0</v>
      </c>
      <c r="EM60" s="33">
        <f>IF(ER59&lt;0.01,0,IF(Plus!$F$24=Plus!$AO$3,0,IF(OR(Plus!$F$10=Plus!$AK$7,Plus!$F$10=Plus!$AK$13),0,Plus!$G$13*Plus!$AR$2)))</f>
        <v>0</v>
      </c>
      <c r="EN60" s="33">
        <f>IF(ER59&lt;0.01,0,IF(OR(Plus!$F$10=Plus!$AK$7,Plus!$F$10=Plus!$AK$13),0,Plus!$BD$2*1.16))</f>
        <v>0</v>
      </c>
      <c r="EO60" s="33">
        <f>IF(ER59&lt;0.01,0,IF(Plus!$AS$2&gt;0,EI60*Plus!$AS$3,0))</f>
        <v>0</v>
      </c>
      <c r="EP60" s="33">
        <f t="shared" si="65"/>
        <v>0</v>
      </c>
      <c r="EQ60" s="33">
        <f>IF(Plus!$F$10=Plus!$AK$3,MIN(ER59+EI60+EL60+EM60+EN60-EP60,FC60),0)</f>
        <v>0</v>
      </c>
      <c r="ER60" s="311">
        <f t="shared" si="145"/>
        <v>0</v>
      </c>
      <c r="ES60" s="340">
        <f>Plus!O101</f>
        <v>0</v>
      </c>
      <c r="ET60" s="74"/>
      <c r="EU60" s="74"/>
      <c r="EV60" s="416">
        <f t="shared" si="134"/>
        <v>0</v>
      </c>
      <c r="EY60" s="90">
        <f t="shared" si="68"/>
        <v>12</v>
      </c>
      <c r="EZ60" s="121">
        <f t="shared" si="112"/>
        <v>0</v>
      </c>
      <c r="FB60" s="149">
        <f t="shared" si="113"/>
        <v>0</v>
      </c>
      <c r="FC60" s="2179">
        <f t="shared" ca="1" si="69"/>
        <v>0</v>
      </c>
      <c r="FE60" s="120">
        <f t="shared" si="114"/>
        <v>0</v>
      </c>
      <c r="FF60" s="110">
        <f t="shared" si="70"/>
        <v>0</v>
      </c>
      <c r="FG60" s="110">
        <f t="shared" si="71"/>
        <v>0</v>
      </c>
      <c r="FH60" s="109">
        <f t="shared" si="72"/>
        <v>0</v>
      </c>
      <c r="FI60" s="109">
        <f t="shared" si="19"/>
        <v>0</v>
      </c>
      <c r="FJ60" s="113">
        <f t="shared" si="73"/>
        <v>0</v>
      </c>
      <c r="FL60" s="102">
        <f t="shared" si="74"/>
        <v>0</v>
      </c>
      <c r="FM60" s="211">
        <f t="shared" si="127"/>
        <v>36</v>
      </c>
      <c r="FN60" s="212">
        <f t="shared" si="75"/>
        <v>0</v>
      </c>
      <c r="FO60" s="212">
        <f t="shared" si="20"/>
        <v>0</v>
      </c>
      <c r="FP60" s="212">
        <f t="shared" si="152"/>
        <v>0</v>
      </c>
      <c r="FQ60" s="213">
        <f t="shared" si="21"/>
        <v>1000000</v>
      </c>
      <c r="FV60" s="359"/>
      <c r="FX60" s="308">
        <f t="shared" ca="1" si="22"/>
        <v>3</v>
      </c>
      <c r="FY60" s="309">
        <f t="shared" si="76"/>
        <v>0</v>
      </c>
      <c r="FZ60" s="268">
        <f t="shared" si="23"/>
        <v>0</v>
      </c>
      <c r="GA60" s="33">
        <f t="shared" si="77"/>
        <v>0</v>
      </c>
      <c r="GB60" s="33">
        <f t="shared" si="141"/>
        <v>0</v>
      </c>
      <c r="GC60" s="33">
        <f t="shared" si="142"/>
        <v>0</v>
      </c>
      <c r="GD60" s="33">
        <f>IF(GJ59&lt;0.01,0,IF(Plus!$F$22=Plus!$AN$4,0,IF(Plus!$F$22=Plus!$AN$3,GJ59*Plus!$F$23/1000,GJ59*VLOOKUP(Plus!$G$21,Plus!$AP$2:$AQ$5,2,0))))</f>
        <v>0</v>
      </c>
      <c r="GE60" s="33">
        <f>IF(GJ59&lt;0.01,0,IF(Plus!$F$24=Plus!$AO$3,0,IF(OR(Plus!$F$10=Plus!$AK$7,Plus!$F$10=Plus!$AK$13,Plus!$F$10=Plus!$AK$14),0,IF(OR(Plus!$F$10=Plus!$AK$10,Plus!$F$10=Plus!$AK$11),Plus!$G$13*Adm!$W$7,Plus!$G$13*Adm!$X$4))))</f>
        <v>0</v>
      </c>
      <c r="GF60" s="33">
        <f>IF(GJ59&lt;0.01,0,IF(OR(Plus!$F$10=Plus!$AK$7,Plus!$F$10=Plus!$AK$13),0,Plus!$BD$2*1.16))</f>
        <v>0</v>
      </c>
      <c r="GG60" s="33">
        <f>IF(GJ59&lt;0.01,0,IF(Plus!$AS$2&gt;0,GA60*Plus!$AS$3,0))</f>
        <v>0</v>
      </c>
      <c r="GH60" s="33">
        <f t="shared" si="78"/>
        <v>0</v>
      </c>
      <c r="GI60" s="33">
        <f>IF(Plus!$F$10=Plus!$AK$3,MIN(GJ59+GA60+GD60+GE60+GF60-GH60,GU60),0)</f>
        <v>0</v>
      </c>
      <c r="GJ60" s="311">
        <f t="shared" si="136"/>
        <v>0</v>
      </c>
      <c r="GK60" s="340">
        <f>Plus!O101</f>
        <v>0</v>
      </c>
      <c r="GL60" s="74"/>
      <c r="GM60" s="74"/>
      <c r="GN60" s="419">
        <f t="shared" si="135"/>
        <v>0</v>
      </c>
      <c r="GQ60" s="90">
        <f t="shared" si="80"/>
        <v>12</v>
      </c>
      <c r="GR60" s="121">
        <f t="shared" si="116"/>
        <v>0</v>
      </c>
      <c r="GT60" s="149">
        <f t="shared" si="117"/>
        <v>0</v>
      </c>
      <c r="GU60" s="2179">
        <f t="shared" ca="1" si="81"/>
        <v>0</v>
      </c>
      <c r="GW60" s="120">
        <f t="shared" si="118"/>
        <v>0</v>
      </c>
      <c r="GX60" s="110">
        <f t="shared" si="82"/>
        <v>0</v>
      </c>
      <c r="GY60" s="110">
        <f t="shared" si="83"/>
        <v>0</v>
      </c>
      <c r="GZ60" s="109">
        <f t="shared" si="84"/>
        <v>0</v>
      </c>
      <c r="HA60" s="109">
        <f t="shared" si="24"/>
        <v>0</v>
      </c>
      <c r="HB60" s="113">
        <f t="shared" si="85"/>
        <v>0</v>
      </c>
      <c r="HD60" s="102">
        <f t="shared" si="86"/>
        <v>0</v>
      </c>
      <c r="HE60" s="211">
        <f t="shared" si="129"/>
        <v>36</v>
      </c>
      <c r="HF60" s="212">
        <f t="shared" si="87"/>
        <v>0</v>
      </c>
      <c r="HG60" s="212">
        <f t="shared" si="25"/>
        <v>0</v>
      </c>
      <c r="HH60" s="212">
        <f t="shared" si="153"/>
        <v>0</v>
      </c>
      <c r="HI60" s="213">
        <f t="shared" si="26"/>
        <v>1000000</v>
      </c>
      <c r="HL60" s="182"/>
      <c r="HM60" s="26">
        <f t="shared" ca="1" si="27"/>
        <v>3</v>
      </c>
      <c r="HO60" s="268">
        <f t="shared" si="28"/>
        <v>0</v>
      </c>
      <c r="HP60" s="421">
        <f t="shared" si="120"/>
        <v>0</v>
      </c>
      <c r="HQ60" s="123">
        <f t="shared" si="88"/>
        <v>0</v>
      </c>
      <c r="HR60" s="123">
        <f t="shared" si="89"/>
        <v>0</v>
      </c>
      <c r="HS60" s="123">
        <f t="shared" si="90"/>
        <v>0</v>
      </c>
      <c r="HT60" s="123">
        <f>IF(HY59&lt;0.01,0,IF(Adm!$GS$4=Adm!$GS$8,HY59*$HY$15,IF(Adm!$GS$12=Adm!$GS$13,0,HY59*Adm!$GV$4)))</f>
        <v>0</v>
      </c>
      <c r="HU60" s="123">
        <f>IF(HY59&lt;0.01,0,IF(Adm!$GS$5=Adm!$GS$8,Cal!$BO$108*$HY$16/1.16,IF(Adm!$GS$12=Adm!$GS$13,0,Cal!$BO$108*Adm!$GW$4/1.16)))</f>
        <v>0</v>
      </c>
      <c r="HV60" s="123">
        <f t="shared" si="91"/>
        <v>0</v>
      </c>
      <c r="HW60" s="123">
        <f t="shared" si="92"/>
        <v>0</v>
      </c>
      <c r="HX60" s="123">
        <f>IF(Adm!$GH$6="si",MIN(HY59+HQ60+HT60+HU60+HV60-HW60,IH60),0)</f>
        <v>0</v>
      </c>
      <c r="HY60" s="297">
        <f t="shared" si="93"/>
        <v>0</v>
      </c>
      <c r="HZ60" s="74"/>
      <c r="IA60" s="407">
        <f t="shared" si="94"/>
        <v>0</v>
      </c>
      <c r="IC60" s="90">
        <f t="shared" si="95"/>
        <v>12</v>
      </c>
      <c r="ID60" s="124">
        <f>IF(IC60=1,Cal!$BO$127,0)</f>
        <v>0</v>
      </c>
      <c r="IE60" s="73"/>
      <c r="IG60" s="70">
        <f t="shared" si="121"/>
        <v>0</v>
      </c>
      <c r="IH60" s="2178">
        <f t="shared" ca="1" si="96"/>
        <v>0</v>
      </c>
      <c r="IK60" s="217"/>
      <c r="IL60" s="26">
        <f t="shared" ca="1" si="29"/>
        <v>3</v>
      </c>
      <c r="IN60" s="268">
        <f t="shared" si="30"/>
        <v>0</v>
      </c>
      <c r="IO60" s="421">
        <f t="shared" si="122"/>
        <v>0</v>
      </c>
      <c r="IP60" s="123">
        <f t="shared" si="97"/>
        <v>0</v>
      </c>
      <c r="IQ60" s="123">
        <f t="shared" si="98"/>
        <v>0</v>
      </c>
      <c r="IR60" s="123">
        <f t="shared" si="99"/>
        <v>0</v>
      </c>
      <c r="IS60" s="123">
        <f>IF(IX59&lt;0.01,0,IF(Adm!$GS$4=Adm!$GS$8,IX59*$IX$15,IF(Adm!$GS$12=Adm!$GS$13,0,IX59*Adm!$GV$4)))</f>
        <v>0</v>
      </c>
      <c r="IT60" s="123"/>
      <c r="IU60" s="123">
        <f t="shared" si="100"/>
        <v>0</v>
      </c>
      <c r="IV60" s="123">
        <f t="shared" si="101"/>
        <v>0</v>
      </c>
      <c r="IW60" s="123"/>
      <c r="IX60" s="297">
        <f t="shared" si="102"/>
        <v>0</v>
      </c>
      <c r="IY60" s="74"/>
      <c r="IZ60" s="416">
        <f t="shared" si="103"/>
        <v>0</v>
      </c>
      <c r="JB60" s="90">
        <f t="shared" si="104"/>
        <v>12</v>
      </c>
      <c r="JC60" s="124">
        <f>IF(JB60=1,Cal!$BP$127,0)</f>
        <v>0</v>
      </c>
      <c r="JD60" s="73"/>
    </row>
    <row r="61" spans="1:264">
      <c r="A61" s="26">
        <f t="shared" ca="1" si="0"/>
        <v>4</v>
      </c>
      <c r="C61" s="33">
        <f t="shared" si="1"/>
        <v>0</v>
      </c>
      <c r="D61" s="123">
        <f t="shared" si="31"/>
        <v>0</v>
      </c>
      <c r="E61" s="123">
        <f t="shared" si="147"/>
        <v>0</v>
      </c>
      <c r="F61" s="123">
        <f t="shared" si="149"/>
        <v>0</v>
      </c>
      <c r="G61" s="123">
        <f>IF(L60&lt;0.01,0,IF(Adm!$S$4=Adm!$S$8,L60*$L$15,L60*Adm!$V$4))</f>
        <v>0</v>
      </c>
      <c r="H61" s="123">
        <f>IF(L60&lt;0.01,0,IF(Adm!$S$5=Adm!$S$8,Adm!$AA$11*$L$16/1.16,IF(Adm!$B$4=Adm!$A$119,0,Adm!$AA$11*Adm!$X$4/1.16)))</f>
        <v>0</v>
      </c>
      <c r="I61" s="123">
        <f>IF(L60&lt;0.01,0,Cal!$AB$126/1.16)</f>
        <v>0</v>
      </c>
      <c r="J61" s="123">
        <f t="shared" si="2"/>
        <v>0</v>
      </c>
      <c r="K61" s="123">
        <f>IF(Adm!$G$4="si",MIN(L60+D61+G61+H61+I61-J61,V61),0)</f>
        <v>0</v>
      </c>
      <c r="L61" s="123">
        <f t="shared" si="32"/>
        <v>0</v>
      </c>
      <c r="M61" s="74"/>
      <c r="N61" s="74"/>
      <c r="O61" s="407">
        <f t="shared" si="33"/>
        <v>0</v>
      </c>
      <c r="R61" s="90">
        <f t="shared" si="34"/>
        <v>1</v>
      </c>
      <c r="S61" s="121">
        <f>IF(R61=1,Cal!$AB$127,0)</f>
        <v>0</v>
      </c>
      <c r="U61" s="70">
        <f t="shared" si="105"/>
        <v>0</v>
      </c>
      <c r="V61" s="2178">
        <f t="shared" ca="1" si="35"/>
        <v>0</v>
      </c>
      <c r="X61" s="398"/>
      <c r="Z61" s="268">
        <f t="shared" si="3"/>
        <v>0</v>
      </c>
      <c r="AA61" s="2176">
        <f t="shared" si="36"/>
        <v>0</v>
      </c>
      <c r="AB61" s="33">
        <f t="shared" si="37"/>
        <v>0</v>
      </c>
      <c r="AC61" s="33">
        <f t="shared" si="38"/>
        <v>0</v>
      </c>
      <c r="AD61" s="33">
        <f>IF(AI60&lt;0.01,0,IF(Adm!$S$4=Adm!$S$8,AI60*$AI$15,AI60*Adm!$V$4))</f>
        <v>0</v>
      </c>
      <c r="AE61" s="33"/>
      <c r="AF61" s="33"/>
      <c r="AG61" s="33">
        <f t="shared" si="4"/>
        <v>0</v>
      </c>
      <c r="AH61" s="33"/>
      <c r="AI61" s="401">
        <f t="shared" si="5"/>
        <v>0</v>
      </c>
      <c r="AK61" s="410">
        <f t="shared" si="6"/>
        <v>0</v>
      </c>
      <c r="AN61" s="90">
        <f t="shared" si="39"/>
        <v>1</v>
      </c>
      <c r="AO61" s="121">
        <f>IF(AN61=1,Cal!$AC$127,0)</f>
        <v>0</v>
      </c>
      <c r="AS61" s="200"/>
      <c r="AU61" s="268">
        <f t="shared" si="7"/>
        <v>0</v>
      </c>
      <c r="AV61" s="2177">
        <f t="shared" si="40"/>
        <v>0</v>
      </c>
      <c r="AW61" s="123">
        <f t="shared" si="8"/>
        <v>0</v>
      </c>
      <c r="AX61" s="123">
        <f t="shared" si="41"/>
        <v>0</v>
      </c>
      <c r="AY61" s="123">
        <f>IF(BC60&lt;0.01,0,IF(Adm!$S$4=Adm!$S$8,BC60*$BC$16,BC60*Adm!$V$4))</f>
        <v>0</v>
      </c>
      <c r="AZ61" s="123"/>
      <c r="BA61" s="123">
        <f>IF(BC60&lt;0.01,0,Adm!$Q$6)</f>
        <v>0</v>
      </c>
      <c r="BB61" s="123">
        <f t="shared" si="42"/>
        <v>0</v>
      </c>
      <c r="BC61" s="297">
        <f t="shared" si="43"/>
        <v>0</v>
      </c>
      <c r="BE61" s="425">
        <f t="shared" si="9"/>
        <v>0</v>
      </c>
      <c r="BH61" s="90">
        <f t="shared" si="44"/>
        <v>1</v>
      </c>
      <c r="BI61" s="121">
        <f>IF(BH61=1,Cal!$AD$127,0)</f>
        <v>0</v>
      </c>
      <c r="BM61" s="221"/>
      <c r="BO61" s="295">
        <f t="shared" ca="1" si="10"/>
        <v>4</v>
      </c>
      <c r="BP61" s="268">
        <f t="shared" si="11"/>
        <v>0</v>
      </c>
      <c r="BQ61" s="123">
        <f t="shared" si="45"/>
        <v>0</v>
      </c>
      <c r="BR61" s="123">
        <f t="shared" si="148"/>
        <v>0</v>
      </c>
      <c r="BS61" s="123">
        <f t="shared" si="150"/>
        <v>0</v>
      </c>
      <c r="BT61" s="123">
        <f>IF(BZ60&lt;0.01,0,IF(Plus!$F$22=Plus!$AN$4,BZ60*$BZ$15,IF(Plus!$F$22=Plus!$AN$3,BZ60*Plus!$F$23/1000,BZ60*VLOOKUP(Plus!$G$21,Plus!$AP$2:'Plus'!$AQ$5,2,0))))</f>
        <v>0</v>
      </c>
      <c r="BU61" s="123">
        <f>IF(BZ60&lt;0.01,0,IF(Plus!$F$24=Plus!$AO$3,Plus!$G$13*Plus!$AR$2/1.16,IF(Plus!$F$10=Plus!$AK$7,0,Plus!$G$13*Plus!$AR$2/1.16)))</f>
        <v>0</v>
      </c>
      <c r="BV61" s="123">
        <f>IF(BZ60&lt;0.01,0,Plus!$BD$2)</f>
        <v>0</v>
      </c>
      <c r="BW61" s="123"/>
      <c r="BX61" s="123">
        <f t="shared" si="12"/>
        <v>0</v>
      </c>
      <c r="BY61" s="123">
        <f>IF(Plus!$F$10=Plus!$AK$3,MIN(BZ60+BQ61+BT61+BU61+BV61-BX61,CJ61),0)</f>
        <v>0</v>
      </c>
      <c r="BZ61" s="297">
        <f t="shared" si="144"/>
        <v>0</v>
      </c>
      <c r="CA61" s="74"/>
      <c r="CB61" s="74"/>
      <c r="CC61" s="413">
        <f t="shared" si="47"/>
        <v>0</v>
      </c>
      <c r="CF61" s="90">
        <f t="shared" si="48"/>
        <v>1</v>
      </c>
      <c r="CG61" s="121">
        <f t="shared" si="106"/>
        <v>0</v>
      </c>
      <c r="CI61" s="70">
        <f t="shared" si="107"/>
        <v>0</v>
      </c>
      <c r="CJ61" s="2178">
        <f t="shared" ca="1" si="49"/>
        <v>0</v>
      </c>
      <c r="CL61" s="161"/>
      <c r="CN61" s="308">
        <f t="shared" ca="1" si="13"/>
        <v>4</v>
      </c>
      <c r="CO61" s="309">
        <f t="shared" si="50"/>
        <v>0</v>
      </c>
      <c r="CP61" s="268">
        <f t="shared" si="14"/>
        <v>0</v>
      </c>
      <c r="CQ61" s="123">
        <f t="shared" si="51"/>
        <v>0</v>
      </c>
      <c r="CR61" s="123">
        <f t="shared" si="137"/>
        <v>0</v>
      </c>
      <c r="CS61" s="123">
        <f t="shared" si="138"/>
        <v>0</v>
      </c>
      <c r="CT61" s="33">
        <f>IF(CZ60&lt;0.01,0,IF(Plus!$F$22=Plus!$AN$4,0,IF(Plus!$F$22=Plus!$AN$3,CZ60*Plus!$F$23/1000,CZ60*VLOOKUP(Plus!$G$21,Plus!$AP$2:'Plus'!$AQ$5,2,0))))</f>
        <v>0</v>
      </c>
      <c r="CU61" s="123">
        <f>IF(CZ60&lt;0.01,0,IF(Plus!$F$24=Plus!$AO$3,0,IF(OR(Plus!$F$10=Plus!$AK$7,Plus!$F$10=Plus!$AK$13),0,Plus!$G$13*Plus!$AR$2)))</f>
        <v>0</v>
      </c>
      <c r="CV61" s="123">
        <f>IF(CZ60&lt;0.01,0,IF(OR(Plus!$F$10=Plus!$AK$7,Plus!$F$10=Plus!$AK$13),0,Plus!$BD$2*1.16))</f>
        <v>0</v>
      </c>
      <c r="CW61" s="123">
        <f>IF(CZ60&lt;0.01,0,IF(Plus!$AS$2&gt;0,CQ61*Plus!$AS$3,0))</f>
        <v>0</v>
      </c>
      <c r="CX61" s="123">
        <f t="shared" si="52"/>
        <v>0</v>
      </c>
      <c r="CY61" s="123">
        <f>IF(Plus!$F$10=Plus!$AK$3,MIN(CZ60+CQ61+CT61+CU61+CV61-CX61,DK61),0)</f>
        <v>0</v>
      </c>
      <c r="CZ61" s="297">
        <f t="shared" si="146"/>
        <v>0</v>
      </c>
      <c r="DA61" s="306">
        <f>Plus!O102</f>
        <v>0</v>
      </c>
      <c r="DB61" s="74"/>
      <c r="DC61" s="74"/>
      <c r="DD61" s="407">
        <f t="shared" si="54"/>
        <v>0</v>
      </c>
      <c r="DG61" s="90">
        <f t="shared" si="55"/>
        <v>1</v>
      </c>
      <c r="DH61" s="121">
        <f t="shared" si="108"/>
        <v>0</v>
      </c>
      <c r="DJ61" s="149">
        <f t="shared" si="109"/>
        <v>0</v>
      </c>
      <c r="DK61" s="2179">
        <f t="shared" ca="1" si="56"/>
        <v>0</v>
      </c>
      <c r="DN61" s="120">
        <f t="shared" si="110"/>
        <v>0</v>
      </c>
      <c r="DO61" s="110">
        <f t="shared" si="57"/>
        <v>0</v>
      </c>
      <c r="DP61" s="110">
        <f t="shared" si="124"/>
        <v>0</v>
      </c>
      <c r="DQ61" s="109">
        <f t="shared" si="58"/>
        <v>0</v>
      </c>
      <c r="DR61" s="109">
        <f t="shared" si="59"/>
        <v>0</v>
      </c>
      <c r="DS61" s="113">
        <f t="shared" si="60"/>
        <v>0</v>
      </c>
      <c r="DU61" s="102">
        <f t="shared" si="61"/>
        <v>0</v>
      </c>
      <c r="DV61" s="333">
        <f t="shared" si="125"/>
        <v>37</v>
      </c>
      <c r="DW61" s="334">
        <f t="shared" si="62"/>
        <v>0</v>
      </c>
      <c r="DX61" s="334">
        <f t="shared" si="15"/>
        <v>0</v>
      </c>
      <c r="DY61" s="334">
        <f>MIN(DZ60+DW61,DY60*(1+$DW$20))</f>
        <v>0</v>
      </c>
      <c r="DZ61" s="213">
        <f t="shared" si="16"/>
        <v>1000000</v>
      </c>
      <c r="ED61" s="182"/>
      <c r="EF61" s="308">
        <f t="shared" ca="1" si="17"/>
        <v>4</v>
      </c>
      <c r="EG61" s="309">
        <f t="shared" si="63"/>
        <v>0</v>
      </c>
      <c r="EH61" s="268">
        <f t="shared" si="18"/>
        <v>0</v>
      </c>
      <c r="EI61" s="33">
        <f t="shared" si="64"/>
        <v>0</v>
      </c>
      <c r="EJ61" s="33">
        <f t="shared" si="139"/>
        <v>0</v>
      </c>
      <c r="EK61" s="33">
        <f t="shared" si="151"/>
        <v>0</v>
      </c>
      <c r="EL61" s="33">
        <f>IF(ER60&lt;0.01,0,IF(Plus!$F$22=Plus!$AN$4,0,IF(Plus!$F$22=Plus!$AN$3,ER60*Plus!$F$23/1000,ER60*VLOOKUP(Plus!$G$21,Plus!$AP$2:'Plus'!$AQ$5,2,0))))</f>
        <v>0</v>
      </c>
      <c r="EM61" s="33">
        <f>IF(ER60&lt;0.01,0,IF(Plus!$F$24=Plus!$AO$3,0,IF(OR(Plus!$F$10=Plus!$AK$7,Plus!$F$10=Plus!$AK$13),0,Plus!$G$13*Plus!$AR$2)))</f>
        <v>0</v>
      </c>
      <c r="EN61" s="33">
        <f>IF(ER60&lt;0.01,0,IF(OR(Plus!$F$10=Plus!$AK$7,Plus!$F$10=Plus!$AK$13),0,Plus!$BD$2*1.16))</f>
        <v>0</v>
      </c>
      <c r="EO61" s="33">
        <f>IF(ER60&lt;0.01,0,IF(Plus!$AS$2&gt;0,EI61*Plus!$AS$3,0))</f>
        <v>0</v>
      </c>
      <c r="EP61" s="33">
        <f t="shared" si="65"/>
        <v>0</v>
      </c>
      <c r="EQ61" s="33">
        <f>IF(Plus!$F$10=Plus!$AK$3,MIN(ER60+EI61+EL61+EM61+EN61-EP61,FC61),0)</f>
        <v>0</v>
      </c>
      <c r="ER61" s="311">
        <f t="shared" si="145"/>
        <v>0</v>
      </c>
      <c r="ES61" s="340">
        <f>Plus!O102</f>
        <v>0</v>
      </c>
      <c r="ET61" s="74"/>
      <c r="EU61" s="74"/>
      <c r="EV61" s="416">
        <f t="shared" si="134"/>
        <v>0</v>
      </c>
      <c r="EY61" s="90">
        <f t="shared" si="68"/>
        <v>1</v>
      </c>
      <c r="EZ61" s="121">
        <f t="shared" si="112"/>
        <v>0</v>
      </c>
      <c r="FB61" s="149">
        <f t="shared" si="113"/>
        <v>0</v>
      </c>
      <c r="FC61" s="2179">
        <f t="shared" ca="1" si="69"/>
        <v>0</v>
      </c>
      <c r="FE61" s="120">
        <f t="shared" si="114"/>
        <v>0</v>
      </c>
      <c r="FF61" s="110">
        <f t="shared" si="70"/>
        <v>0</v>
      </c>
      <c r="FG61" s="110">
        <f t="shared" si="71"/>
        <v>0</v>
      </c>
      <c r="FH61" s="109">
        <f t="shared" si="72"/>
        <v>0</v>
      </c>
      <c r="FI61" s="109">
        <f t="shared" si="19"/>
        <v>0</v>
      </c>
      <c r="FJ61" s="113">
        <f t="shared" si="73"/>
        <v>0</v>
      </c>
      <c r="FL61" s="102">
        <f t="shared" si="74"/>
        <v>0</v>
      </c>
      <c r="FM61" s="326">
        <f t="shared" si="127"/>
        <v>37</v>
      </c>
      <c r="FN61" s="327">
        <f t="shared" si="75"/>
        <v>0</v>
      </c>
      <c r="FO61" s="327">
        <f t="shared" si="20"/>
        <v>0</v>
      </c>
      <c r="FP61" s="327">
        <f>MIN(FQ60+FN61,FP60*(1+$FN$20))</f>
        <v>0</v>
      </c>
      <c r="FQ61" s="213">
        <f t="shared" si="21"/>
        <v>1000000</v>
      </c>
      <c r="FV61" s="359"/>
      <c r="FX61" s="308">
        <f t="shared" ca="1" si="22"/>
        <v>4</v>
      </c>
      <c r="FY61" s="309">
        <f t="shared" si="76"/>
        <v>0</v>
      </c>
      <c r="FZ61" s="268">
        <f t="shared" si="23"/>
        <v>0</v>
      </c>
      <c r="GA61" s="33">
        <f t="shared" si="77"/>
        <v>0</v>
      </c>
      <c r="GB61" s="33">
        <f t="shared" si="141"/>
        <v>0</v>
      </c>
      <c r="GC61" s="33">
        <f t="shared" si="142"/>
        <v>0</v>
      </c>
      <c r="GD61" s="33">
        <f>IF(GJ60&lt;0.01,0,IF(Plus!$F$22=Plus!$AN$4,0,IF(Plus!$F$22=Plus!$AN$3,GJ60*Plus!$F$23/1000,GJ60*VLOOKUP(Plus!$G$21,Plus!$AP$2:$AQ$5,2,0))))</f>
        <v>0</v>
      </c>
      <c r="GE61" s="33">
        <f>IF(GJ60&lt;0.01,0,IF(Plus!$F$24=Plus!$AO$3,0,IF(OR(Plus!$F$10=Plus!$AK$7,Plus!$F$10=Plus!$AK$13,Plus!$F$10=Plus!$AK$14),0,IF(OR(Plus!$F$10=Plus!$AK$10,Plus!$F$10=Plus!$AK$11),Plus!$G$13*Adm!$W$7,Plus!$G$13*Adm!$X$4))))</f>
        <v>0</v>
      </c>
      <c r="GF61" s="33">
        <f>IF(GJ60&lt;0.01,0,IF(OR(Plus!$F$10=Plus!$AK$7,Plus!$F$10=Plus!$AK$13),0,Plus!$BD$2*1.16))</f>
        <v>0</v>
      </c>
      <c r="GG61" s="33">
        <f>IF(GJ60&lt;0.01,0,IF(Plus!$AS$2&gt;0,GA61*Plus!$AS$3,0))</f>
        <v>0</v>
      </c>
      <c r="GH61" s="33">
        <f t="shared" si="78"/>
        <v>0</v>
      </c>
      <c r="GI61" s="33">
        <f>IF(Plus!$F$10=Plus!$AK$3,MIN(GJ60+GA61+GD61+GE61+GF61-GH61,GU61),0)</f>
        <v>0</v>
      </c>
      <c r="GJ61" s="311">
        <f t="shared" si="136"/>
        <v>0</v>
      </c>
      <c r="GK61" s="340">
        <f>Plus!O102</f>
        <v>0</v>
      </c>
      <c r="GL61" s="74"/>
      <c r="GM61" s="74"/>
      <c r="GN61" s="419">
        <f t="shared" si="135"/>
        <v>0</v>
      </c>
      <c r="GQ61" s="90">
        <f t="shared" si="80"/>
        <v>1</v>
      </c>
      <c r="GR61" s="121">
        <f t="shared" si="116"/>
        <v>0</v>
      </c>
      <c r="GT61" s="149">
        <f t="shared" si="117"/>
        <v>0</v>
      </c>
      <c r="GU61" s="2179">
        <f t="shared" ca="1" si="81"/>
        <v>0</v>
      </c>
      <c r="GW61" s="120">
        <f t="shared" si="118"/>
        <v>0</v>
      </c>
      <c r="GX61" s="110">
        <f t="shared" si="82"/>
        <v>0</v>
      </c>
      <c r="GY61" s="110">
        <f t="shared" si="83"/>
        <v>0</v>
      </c>
      <c r="GZ61" s="109">
        <f t="shared" si="84"/>
        <v>0</v>
      </c>
      <c r="HA61" s="109">
        <f t="shared" si="24"/>
        <v>0</v>
      </c>
      <c r="HB61" s="113">
        <f t="shared" si="85"/>
        <v>0</v>
      </c>
      <c r="HD61" s="102">
        <f t="shared" si="86"/>
        <v>0</v>
      </c>
      <c r="HE61" s="326">
        <f t="shared" si="129"/>
        <v>37</v>
      </c>
      <c r="HF61" s="327">
        <f t="shared" si="87"/>
        <v>0</v>
      </c>
      <c r="HG61" s="327">
        <f t="shared" si="25"/>
        <v>0</v>
      </c>
      <c r="HH61" s="327">
        <f>MIN(HI60+HF61,HH60*(1+$FN$20))</f>
        <v>0</v>
      </c>
      <c r="HI61" s="213">
        <f t="shared" si="26"/>
        <v>1000000</v>
      </c>
      <c r="HL61" s="182"/>
      <c r="HM61" s="26">
        <f t="shared" ca="1" si="27"/>
        <v>4</v>
      </c>
      <c r="HO61" s="268">
        <f t="shared" si="28"/>
        <v>0</v>
      </c>
      <c r="HP61" s="151">
        <f>IF(HY60&lt;0.01,0,HP60-IE61)</f>
        <v>0</v>
      </c>
      <c r="HQ61" s="123">
        <f t="shared" si="88"/>
        <v>0</v>
      </c>
      <c r="HR61" s="123">
        <f t="shared" si="89"/>
        <v>0</v>
      </c>
      <c r="HS61" s="123">
        <f t="shared" si="90"/>
        <v>0</v>
      </c>
      <c r="HT61" s="123">
        <f>IF(HY60&lt;0.01,0,IF(Adm!$GS$4=Adm!$GS$8,HY60*$HY$15,IF(Adm!$GS$12=Adm!$GS$13,0,HY60*Adm!$GV$4)))</f>
        <v>0</v>
      </c>
      <c r="HU61" s="123">
        <f>IF(HY60&lt;0.01,0,IF(Adm!$GS$5=Adm!$GS$8,Cal!$BO$108*$HY$16/1.16,IF(Adm!$GS$12=Adm!$GS$13,0,Cal!$BO$108*Adm!$GW$4/1.16)))</f>
        <v>0</v>
      </c>
      <c r="HV61" s="123">
        <f t="shared" si="91"/>
        <v>0</v>
      </c>
      <c r="HW61" s="123">
        <f t="shared" si="92"/>
        <v>0</v>
      </c>
      <c r="HX61" s="123">
        <f>IF(Adm!$GH$6="si",MIN(HY60+HQ61+HT61+HU61+HV61-HW61,IH61),0)</f>
        <v>0</v>
      </c>
      <c r="HY61" s="297">
        <f t="shared" si="93"/>
        <v>0</v>
      </c>
      <c r="HZ61" s="74"/>
      <c r="IA61" s="407">
        <f t="shared" si="94"/>
        <v>0</v>
      </c>
      <c r="IC61" s="90">
        <f t="shared" si="95"/>
        <v>1</v>
      </c>
      <c r="ID61" s="124">
        <f>IF(IC61=1,Cal!$BO$127,0)</f>
        <v>0</v>
      </c>
      <c r="IE61" s="178">
        <f>IF(IC61=1,Adm!$HI$4,0)</f>
        <v>2.5000000000000001E-3</v>
      </c>
      <c r="IG61" s="70">
        <f t="shared" si="121"/>
        <v>0</v>
      </c>
      <c r="IH61" s="2178">
        <f t="shared" ca="1" si="96"/>
        <v>0</v>
      </c>
      <c r="IK61" s="217"/>
      <c r="IL61" s="26">
        <f t="shared" ca="1" si="29"/>
        <v>4</v>
      </c>
      <c r="IN61" s="268">
        <f t="shared" si="30"/>
        <v>0</v>
      </c>
      <c r="IO61" s="423">
        <f t="shared" ref="IO61:IO124" si="154">IF(IX60&lt;0.01,0,IF(IO60=$HT$10,IO60,IF(IO60-JD61&lt;=$HT$10,IO60-JD61,IO60-JD61)))</f>
        <v>0</v>
      </c>
      <c r="IP61" s="123">
        <f t="shared" si="97"/>
        <v>0</v>
      </c>
      <c r="IQ61" s="123">
        <f t="shared" si="98"/>
        <v>0</v>
      </c>
      <c r="IR61" s="123">
        <f t="shared" si="99"/>
        <v>0</v>
      </c>
      <c r="IS61" s="123">
        <f>IF(IX60&lt;0.01,0,IF(Adm!$GS$4=Adm!$GS$8,IX60*$IX$15,IF(Adm!$GS$12=Adm!$GS$13,0,IX60*Adm!$GV$4)))</f>
        <v>0</v>
      </c>
      <c r="IT61" s="123"/>
      <c r="IU61" s="123">
        <f t="shared" si="100"/>
        <v>0</v>
      </c>
      <c r="IV61" s="123">
        <f t="shared" si="101"/>
        <v>0</v>
      </c>
      <c r="IW61" s="123"/>
      <c r="IX61" s="297">
        <f t="shared" si="102"/>
        <v>0</v>
      </c>
      <c r="IY61" s="74"/>
      <c r="IZ61" s="416">
        <f t="shared" si="103"/>
        <v>0</v>
      </c>
      <c r="JB61" s="90">
        <f t="shared" si="104"/>
        <v>1</v>
      </c>
      <c r="JC61" s="124">
        <f>IF(JB61=1,Cal!$BP$127,0)</f>
        <v>0</v>
      </c>
      <c r="JD61" s="178">
        <f>IF(JB61=1,Adm!$HI$4,0)</f>
        <v>2.5000000000000001E-3</v>
      </c>
    </row>
    <row r="62" spans="1:264">
      <c r="A62" s="26">
        <f t="shared" ca="1" si="0"/>
        <v>5</v>
      </c>
      <c r="C62" s="33">
        <f t="shared" si="1"/>
        <v>0</v>
      </c>
      <c r="D62" s="123">
        <f t="shared" si="31"/>
        <v>0</v>
      </c>
      <c r="E62" s="123">
        <f t="shared" si="147"/>
        <v>0</v>
      </c>
      <c r="F62" s="123">
        <f t="shared" si="149"/>
        <v>0</v>
      </c>
      <c r="G62" s="123">
        <f>IF(L61&lt;0.01,0,IF(Adm!$S$4=Adm!$S$8,L61*$L$15,L61*Adm!$V$4))</f>
        <v>0</v>
      </c>
      <c r="H62" s="123">
        <f>IF(L61&lt;0.01,0,IF(Adm!$S$5=Adm!$S$8,Adm!$AA$11*$L$16/1.16,IF(Adm!$B$4=Adm!$A$119,0,Adm!$AA$11*Adm!$X$4/1.16)))</f>
        <v>0</v>
      </c>
      <c r="I62" s="123">
        <f>IF(L61&lt;0.01,0,Cal!$AB$126/1.16)</f>
        <v>0</v>
      </c>
      <c r="J62" s="123">
        <f t="shared" si="2"/>
        <v>0</v>
      </c>
      <c r="K62" s="123">
        <f>IF(Adm!$G$4="si",MIN(L61+D62+G62+H62+I62-J62,V62),0)</f>
        <v>0</v>
      </c>
      <c r="L62" s="123">
        <f t="shared" si="32"/>
        <v>0</v>
      </c>
      <c r="M62" s="74"/>
      <c r="N62" s="74"/>
      <c r="O62" s="407">
        <f t="shared" si="33"/>
        <v>0</v>
      </c>
      <c r="R62" s="90">
        <f t="shared" si="34"/>
        <v>2</v>
      </c>
      <c r="S62" s="121">
        <f>IF(R62=1,Cal!$AB$127,0)</f>
        <v>0</v>
      </c>
      <c r="U62" s="70">
        <f t="shared" si="105"/>
        <v>0</v>
      </c>
      <c r="V62" s="2178">
        <f t="shared" ca="1" si="35"/>
        <v>0</v>
      </c>
      <c r="X62" s="398"/>
      <c r="Z62" s="268">
        <f t="shared" si="3"/>
        <v>0</v>
      </c>
      <c r="AA62" s="2176">
        <f t="shared" si="36"/>
        <v>0</v>
      </c>
      <c r="AB62" s="33">
        <f t="shared" si="37"/>
        <v>0</v>
      </c>
      <c r="AC62" s="33">
        <f t="shared" si="38"/>
        <v>0</v>
      </c>
      <c r="AD62" s="33">
        <f>IF(AI61&lt;0.01,0,IF(Adm!$S$4=Adm!$S$8,AI61*$AI$15,AI61*Adm!$V$4))</f>
        <v>0</v>
      </c>
      <c r="AE62" s="33"/>
      <c r="AF62" s="33"/>
      <c r="AG62" s="33">
        <f t="shared" si="4"/>
        <v>0</v>
      </c>
      <c r="AH62" s="33"/>
      <c r="AI62" s="401">
        <f t="shared" si="5"/>
        <v>0</v>
      </c>
      <c r="AK62" s="410">
        <f t="shared" si="6"/>
        <v>0</v>
      </c>
      <c r="AN62" s="90">
        <f t="shared" si="39"/>
        <v>2</v>
      </c>
      <c r="AO62" s="121">
        <f>IF(AN62=1,Cal!$AC$127,0)</f>
        <v>0</v>
      </c>
      <c r="AS62" s="200"/>
      <c r="AU62" s="268">
        <f t="shared" si="7"/>
        <v>0</v>
      </c>
      <c r="AV62" s="2177">
        <f t="shared" si="40"/>
        <v>0</v>
      </c>
      <c r="AW62" s="123">
        <f t="shared" si="8"/>
        <v>0</v>
      </c>
      <c r="AX62" s="123">
        <f t="shared" si="41"/>
        <v>0</v>
      </c>
      <c r="AY62" s="123">
        <f>IF(BC61&lt;0.01,0,IF(Adm!$S$4=Adm!$S$8,BC61*$BC$16,BC61*Adm!$V$4))</f>
        <v>0</v>
      </c>
      <c r="AZ62" s="123"/>
      <c r="BA62" s="123">
        <f>IF(BC61&lt;0.01,0,Adm!$Q$6)</f>
        <v>0</v>
      </c>
      <c r="BB62" s="123">
        <f t="shared" si="42"/>
        <v>0</v>
      </c>
      <c r="BC62" s="297">
        <f t="shared" si="43"/>
        <v>0</v>
      </c>
      <c r="BE62" s="425">
        <f t="shared" si="9"/>
        <v>0</v>
      </c>
      <c r="BH62" s="90">
        <f t="shared" si="44"/>
        <v>2</v>
      </c>
      <c r="BI62" s="121">
        <f>IF(BH62=1,Cal!$AD$127,0)</f>
        <v>0</v>
      </c>
      <c r="BM62" s="221"/>
      <c r="BO62" s="295">
        <f t="shared" ca="1" si="10"/>
        <v>5</v>
      </c>
      <c r="BP62" s="268">
        <f t="shared" si="11"/>
        <v>0</v>
      </c>
      <c r="BQ62" s="123">
        <f t="shared" si="45"/>
        <v>0</v>
      </c>
      <c r="BR62" s="123">
        <f t="shared" si="148"/>
        <v>0</v>
      </c>
      <c r="BS62" s="123">
        <f t="shared" si="150"/>
        <v>0</v>
      </c>
      <c r="BT62" s="123">
        <f>IF(BZ61&lt;0.01,0,IF(Plus!$F$22=Plus!$AN$4,BZ61*$BZ$15,IF(Plus!$F$22=Plus!$AN$3,BZ61*Plus!$F$23/1000,BZ61*VLOOKUP(Plus!$G$21,Plus!$AP$2:'Plus'!$AQ$5,2,0))))</f>
        <v>0</v>
      </c>
      <c r="BU62" s="123">
        <f>IF(BZ61&lt;0.01,0,IF(Plus!$F$24=Plus!$AO$3,Plus!$G$13*Plus!$AR$2/1.16,IF(Plus!$F$10=Plus!$AK$7,0,Plus!$G$13*Plus!$AR$2/1.16)))</f>
        <v>0</v>
      </c>
      <c r="BV62" s="123">
        <f>IF(BZ61&lt;0.01,0,Plus!$BD$2)</f>
        <v>0</v>
      </c>
      <c r="BW62" s="123"/>
      <c r="BX62" s="123">
        <f t="shared" si="12"/>
        <v>0</v>
      </c>
      <c r="BY62" s="123">
        <f>IF(Plus!$F$10=Plus!$AK$3,MIN(BZ61+BQ62+BT62+BU62+BV62-BX62,CJ62),0)</f>
        <v>0</v>
      </c>
      <c r="BZ62" s="297">
        <f t="shared" si="144"/>
        <v>0</v>
      </c>
      <c r="CA62" s="74"/>
      <c r="CB62" s="74"/>
      <c r="CC62" s="413">
        <f t="shared" si="47"/>
        <v>0</v>
      </c>
      <c r="CF62" s="90">
        <f t="shared" si="48"/>
        <v>2</v>
      </c>
      <c r="CG62" s="121">
        <f t="shared" si="106"/>
        <v>0</v>
      </c>
      <c r="CI62" s="70">
        <f t="shared" si="107"/>
        <v>0</v>
      </c>
      <c r="CJ62" s="2178">
        <f t="shared" ca="1" si="49"/>
        <v>0</v>
      </c>
      <c r="CL62" s="161"/>
      <c r="CN62" s="308">
        <f t="shared" ca="1" si="13"/>
        <v>5</v>
      </c>
      <c r="CO62" s="309">
        <f t="shared" si="50"/>
        <v>0</v>
      </c>
      <c r="CP62" s="268">
        <f t="shared" si="14"/>
        <v>0</v>
      </c>
      <c r="CQ62" s="123">
        <f t="shared" si="51"/>
        <v>0</v>
      </c>
      <c r="CR62" s="123">
        <f t="shared" si="137"/>
        <v>0</v>
      </c>
      <c r="CS62" s="123">
        <f t="shared" si="138"/>
        <v>0</v>
      </c>
      <c r="CT62" s="33">
        <f>IF(CZ61&lt;0.01,0,IF(Plus!$F$22=Plus!$AN$4,0,IF(Plus!$F$22=Plus!$AN$3,CZ61*Plus!$F$23/1000,CZ61*VLOOKUP(Plus!$G$21,Plus!$AP$2:'Plus'!$AQ$5,2,0))))</f>
        <v>0</v>
      </c>
      <c r="CU62" s="123">
        <f>IF(CZ61&lt;0.01,0,IF(Plus!$F$24=Plus!$AO$3,0,IF(OR(Plus!$F$10=Plus!$AK$7,Plus!$F$10=Plus!$AK$13),0,Plus!$G$13*Plus!$AR$2)))</f>
        <v>0</v>
      </c>
      <c r="CV62" s="123">
        <f>IF(CZ61&lt;0.01,0,IF(OR(Plus!$F$10=Plus!$AK$7,Plus!$F$10=Plus!$AK$13),0,Plus!$BD$2*1.16))</f>
        <v>0</v>
      </c>
      <c r="CW62" s="123">
        <f>IF(CZ61&lt;0.01,0,IF(Plus!$AS$2&gt;0,CQ62*Plus!$AS$3,0))</f>
        <v>0</v>
      </c>
      <c r="CX62" s="123">
        <f t="shared" si="52"/>
        <v>0</v>
      </c>
      <c r="CY62" s="123">
        <f>IF(Plus!$F$10=Plus!$AK$3,MIN(CZ61+CQ62+CT62+CU62+CV62-CX62,DK62),0)</f>
        <v>0</v>
      </c>
      <c r="CZ62" s="297">
        <f t="shared" si="146"/>
        <v>0</v>
      </c>
      <c r="DA62" s="306">
        <f>Plus!O103</f>
        <v>0</v>
      </c>
      <c r="DB62" s="74"/>
      <c r="DC62" s="74"/>
      <c r="DD62" s="407">
        <f t="shared" si="54"/>
        <v>0</v>
      </c>
      <c r="DG62" s="90">
        <f t="shared" si="55"/>
        <v>2</v>
      </c>
      <c r="DH62" s="121">
        <f t="shared" si="108"/>
        <v>0</v>
      </c>
      <c r="DJ62" s="149">
        <f t="shared" si="109"/>
        <v>0</v>
      </c>
      <c r="DK62" s="2179">
        <f t="shared" ca="1" si="56"/>
        <v>0</v>
      </c>
      <c r="DN62" s="120">
        <f t="shared" si="110"/>
        <v>0</v>
      </c>
      <c r="DO62" s="110">
        <f t="shared" si="57"/>
        <v>0</v>
      </c>
      <c r="DP62" s="110">
        <f t="shared" si="124"/>
        <v>0</v>
      </c>
      <c r="DQ62" s="109">
        <f t="shared" si="58"/>
        <v>0</v>
      </c>
      <c r="DR62" s="109">
        <f t="shared" si="59"/>
        <v>0</v>
      </c>
      <c r="DS62" s="113">
        <f t="shared" si="60"/>
        <v>0</v>
      </c>
      <c r="DU62" s="102">
        <f t="shared" si="61"/>
        <v>0</v>
      </c>
      <c r="DV62" s="211">
        <f t="shared" si="125"/>
        <v>38</v>
      </c>
      <c r="DW62" s="212">
        <f t="shared" si="62"/>
        <v>0</v>
      </c>
      <c r="DX62" s="212">
        <f t="shared" si="15"/>
        <v>0</v>
      </c>
      <c r="DY62" s="212">
        <f t="shared" si="111"/>
        <v>0</v>
      </c>
      <c r="DZ62" s="213">
        <f t="shared" si="16"/>
        <v>1000000</v>
      </c>
      <c r="ED62" s="182"/>
      <c r="EF62" s="308">
        <f t="shared" ca="1" si="17"/>
        <v>5</v>
      </c>
      <c r="EG62" s="309">
        <f t="shared" si="63"/>
        <v>0</v>
      </c>
      <c r="EH62" s="268">
        <f t="shared" si="18"/>
        <v>0</v>
      </c>
      <c r="EI62" s="33">
        <f t="shared" si="64"/>
        <v>0</v>
      </c>
      <c r="EJ62" s="33">
        <f t="shared" si="139"/>
        <v>0</v>
      </c>
      <c r="EK62" s="33">
        <f t="shared" si="151"/>
        <v>0</v>
      </c>
      <c r="EL62" s="33">
        <f>IF(ER61&lt;0.01,0,IF(Plus!$F$22=Plus!$AN$4,0,IF(Plus!$F$22=Plus!$AN$3,ER61*Plus!$F$23/1000,ER61*VLOOKUP(Plus!$G$21,Plus!$AP$2:'Plus'!$AQ$5,2,0))))</f>
        <v>0</v>
      </c>
      <c r="EM62" s="33">
        <f>IF(ER61&lt;0.01,0,IF(Plus!$F$24=Plus!$AO$3,0,IF(OR(Plus!$F$10=Plus!$AK$7,Plus!$F$10=Plus!$AK$13),0,Plus!$G$13*Plus!$AR$2)))</f>
        <v>0</v>
      </c>
      <c r="EN62" s="33">
        <f>IF(ER61&lt;0.01,0,IF(OR(Plus!$F$10=Plus!$AK$7,Plus!$F$10=Plus!$AK$13),0,Plus!$BD$2*1.16))</f>
        <v>0</v>
      </c>
      <c r="EO62" s="33">
        <f>IF(ER61&lt;0.01,0,IF(Plus!$AS$2&gt;0,EI62*Plus!$AS$3,0))</f>
        <v>0</v>
      </c>
      <c r="EP62" s="33">
        <f t="shared" si="65"/>
        <v>0</v>
      </c>
      <c r="EQ62" s="33">
        <f>IF(Plus!$F$10=Plus!$AK$3,MIN(ER61+EI62+EL62+EM62+EN62-EP62,FC62),0)</f>
        <v>0</v>
      </c>
      <c r="ER62" s="311">
        <f t="shared" si="145"/>
        <v>0</v>
      </c>
      <c r="ES62" s="340">
        <f>Plus!O103</f>
        <v>0</v>
      </c>
      <c r="ET62" s="74"/>
      <c r="EU62" s="74"/>
      <c r="EV62" s="416">
        <f t="shared" si="134"/>
        <v>0</v>
      </c>
      <c r="EY62" s="90">
        <f t="shared" si="68"/>
        <v>2</v>
      </c>
      <c r="EZ62" s="121">
        <f t="shared" si="112"/>
        <v>0</v>
      </c>
      <c r="FB62" s="149">
        <f t="shared" si="113"/>
        <v>0</v>
      </c>
      <c r="FC62" s="2179">
        <f t="shared" ca="1" si="69"/>
        <v>0</v>
      </c>
      <c r="FE62" s="120">
        <f t="shared" si="114"/>
        <v>0</v>
      </c>
      <c r="FF62" s="110">
        <f t="shared" si="70"/>
        <v>0</v>
      </c>
      <c r="FG62" s="110">
        <f t="shared" si="71"/>
        <v>0</v>
      </c>
      <c r="FH62" s="109">
        <f t="shared" si="72"/>
        <v>0</v>
      </c>
      <c r="FI62" s="109">
        <f t="shared" si="19"/>
        <v>0</v>
      </c>
      <c r="FJ62" s="113">
        <f t="shared" si="73"/>
        <v>0</v>
      </c>
      <c r="FL62" s="102">
        <f t="shared" si="74"/>
        <v>0</v>
      </c>
      <c r="FM62" s="211">
        <f t="shared" si="127"/>
        <v>38</v>
      </c>
      <c r="FN62" s="212">
        <f t="shared" si="75"/>
        <v>0</v>
      </c>
      <c r="FO62" s="212">
        <f t="shared" si="20"/>
        <v>0</v>
      </c>
      <c r="FP62" s="212">
        <f t="shared" ref="FP62:FP72" si="155">MIN(FQ61+FN62,FP61)</f>
        <v>0</v>
      </c>
      <c r="FQ62" s="213">
        <f t="shared" si="21"/>
        <v>1000000</v>
      </c>
      <c r="FV62" s="359"/>
      <c r="FX62" s="308">
        <f t="shared" ca="1" si="22"/>
        <v>5</v>
      </c>
      <c r="FY62" s="309">
        <f t="shared" si="76"/>
        <v>0</v>
      </c>
      <c r="FZ62" s="268">
        <f t="shared" si="23"/>
        <v>0</v>
      </c>
      <c r="GA62" s="33">
        <f t="shared" si="77"/>
        <v>0</v>
      </c>
      <c r="GB62" s="33">
        <f t="shared" si="141"/>
        <v>0</v>
      </c>
      <c r="GC62" s="33">
        <f t="shared" si="142"/>
        <v>0</v>
      </c>
      <c r="GD62" s="33">
        <f>IF(GJ61&lt;0.01,0,IF(Plus!$F$22=Plus!$AN$4,0,IF(Plus!$F$22=Plus!$AN$3,GJ61*Plus!$F$23/1000,GJ61*VLOOKUP(Plus!$G$21,Plus!$AP$2:$AQ$5,2,0))))</f>
        <v>0</v>
      </c>
      <c r="GE62" s="33">
        <f>IF(GJ61&lt;0.01,0,IF(Plus!$F$24=Plus!$AO$3,0,IF(OR(Plus!$F$10=Plus!$AK$7,Plus!$F$10=Plus!$AK$13,Plus!$F$10=Plus!$AK$14),0,IF(OR(Plus!$F$10=Plus!$AK$10,Plus!$F$10=Plus!$AK$11),Plus!$G$13*Adm!$W$7,Plus!$G$13*Adm!$X$4))))</f>
        <v>0</v>
      </c>
      <c r="GF62" s="33">
        <f>IF(GJ61&lt;0.01,0,IF(OR(Plus!$F$10=Plus!$AK$7,Plus!$F$10=Plus!$AK$13),0,Plus!$BD$2*1.16))</f>
        <v>0</v>
      </c>
      <c r="GG62" s="33">
        <f>IF(GJ61&lt;0.01,0,IF(Plus!$AS$2&gt;0,GA62*Plus!$AS$3,0))</f>
        <v>0</v>
      </c>
      <c r="GH62" s="33">
        <f t="shared" si="78"/>
        <v>0</v>
      </c>
      <c r="GI62" s="33">
        <f>IF(Plus!$F$10=Plus!$AK$3,MIN(GJ61+GA62+GD62+GE62+GF62-GH62,GU62),0)</f>
        <v>0</v>
      </c>
      <c r="GJ62" s="311">
        <f t="shared" si="136"/>
        <v>0</v>
      </c>
      <c r="GK62" s="340">
        <f>Plus!O103</f>
        <v>0</v>
      </c>
      <c r="GL62" s="74"/>
      <c r="GM62" s="74"/>
      <c r="GN62" s="419">
        <f t="shared" si="135"/>
        <v>0</v>
      </c>
      <c r="GQ62" s="90">
        <f t="shared" si="80"/>
        <v>2</v>
      </c>
      <c r="GR62" s="121">
        <f t="shared" si="116"/>
        <v>0</v>
      </c>
      <c r="GT62" s="149">
        <f t="shared" si="117"/>
        <v>0</v>
      </c>
      <c r="GU62" s="2179">
        <f t="shared" ca="1" si="81"/>
        <v>0</v>
      </c>
      <c r="GW62" s="120">
        <f t="shared" si="118"/>
        <v>0</v>
      </c>
      <c r="GX62" s="110">
        <f t="shared" si="82"/>
        <v>0</v>
      </c>
      <c r="GY62" s="110">
        <f t="shared" si="83"/>
        <v>0</v>
      </c>
      <c r="GZ62" s="109">
        <f t="shared" si="84"/>
        <v>0</v>
      </c>
      <c r="HA62" s="109">
        <f t="shared" si="24"/>
        <v>0</v>
      </c>
      <c r="HB62" s="113">
        <f t="shared" si="85"/>
        <v>0</v>
      </c>
      <c r="HD62" s="102">
        <f t="shared" si="86"/>
        <v>0</v>
      </c>
      <c r="HE62" s="211">
        <f t="shared" si="129"/>
        <v>38</v>
      </c>
      <c r="HF62" s="212">
        <f t="shared" si="87"/>
        <v>0</v>
      </c>
      <c r="HG62" s="212">
        <f t="shared" si="25"/>
        <v>0</v>
      </c>
      <c r="HH62" s="212">
        <f t="shared" ref="HH62:HH72" si="156">MIN(HI61+HF62,HH61)</f>
        <v>0</v>
      </c>
      <c r="HI62" s="213">
        <f t="shared" si="26"/>
        <v>1000000</v>
      </c>
      <c r="HL62" s="182"/>
      <c r="HM62" s="26">
        <f t="shared" ca="1" si="27"/>
        <v>5</v>
      </c>
      <c r="HO62" s="268">
        <f t="shared" si="28"/>
        <v>0</v>
      </c>
      <c r="HP62" s="151">
        <f t="shared" ref="HP62:HP124" si="157">IF(HY61&lt;0.01,0,IF(HP61=$HT$10,HP61,IF(HP61-IE62&lt;=$HT$10,HP61-IE62,HP61-IE62)))</f>
        <v>0</v>
      </c>
      <c r="HQ62" s="123">
        <f t="shared" si="88"/>
        <v>0</v>
      </c>
      <c r="HR62" s="123">
        <f t="shared" si="89"/>
        <v>0</v>
      </c>
      <c r="HS62" s="123">
        <f t="shared" si="90"/>
        <v>0</v>
      </c>
      <c r="HT62" s="123">
        <f>IF(HY61&lt;0.01,0,IF(Adm!$GS$4=Adm!$GS$8,HY61*$HY$15,IF(Adm!$GS$12=Adm!$GS$13,0,HY61*Adm!$GV$4)))</f>
        <v>0</v>
      </c>
      <c r="HU62" s="123">
        <f>IF(HY61&lt;0.01,0,IF(Adm!$GS$5=Adm!$GS$8,Cal!$BO$108*$HY$16/1.16,IF(Adm!$GS$12=Adm!$GS$13,0,Cal!$BO$108*Adm!$GW$4/1.16)))</f>
        <v>0</v>
      </c>
      <c r="HV62" s="123">
        <f t="shared" si="91"/>
        <v>0</v>
      </c>
      <c r="HW62" s="123">
        <f t="shared" si="92"/>
        <v>0</v>
      </c>
      <c r="HX62" s="123">
        <f>IF(Adm!$GH$6="si",MIN(HY61+HQ62+HT62+HU62+HV62-HW62,IH62),0)</f>
        <v>0</v>
      </c>
      <c r="HY62" s="297">
        <f t="shared" si="93"/>
        <v>0</v>
      </c>
      <c r="HZ62" s="74"/>
      <c r="IA62" s="407">
        <f t="shared" si="94"/>
        <v>0</v>
      </c>
      <c r="IC62" s="90">
        <f t="shared" si="95"/>
        <v>2</v>
      </c>
      <c r="ID62" s="124">
        <f>IF(IC62=1,Cal!$BO$127,0)</f>
        <v>0</v>
      </c>
      <c r="IE62" s="178">
        <f>IF(IC62=1,Adm!$HI$4,0)</f>
        <v>0</v>
      </c>
      <c r="IG62" s="70">
        <f t="shared" si="121"/>
        <v>0</v>
      </c>
      <c r="IH62" s="2178">
        <f t="shared" ca="1" si="96"/>
        <v>0</v>
      </c>
      <c r="IK62" s="217"/>
      <c r="IL62" s="26">
        <f t="shared" ca="1" si="29"/>
        <v>5</v>
      </c>
      <c r="IN62" s="268">
        <f t="shared" si="30"/>
        <v>0</v>
      </c>
      <c r="IO62" s="151">
        <f t="shared" si="154"/>
        <v>0</v>
      </c>
      <c r="IP62" s="123">
        <f t="shared" si="97"/>
        <v>0</v>
      </c>
      <c r="IQ62" s="123">
        <f t="shared" si="98"/>
        <v>0</v>
      </c>
      <c r="IR62" s="123">
        <f t="shared" si="99"/>
        <v>0</v>
      </c>
      <c r="IS62" s="123">
        <f>IF(IX61&lt;0.01,0,IF(Adm!$GS$4=Adm!$GS$8,IX61*$IX$15,IF(Adm!$GS$12=Adm!$GS$13,0,IX61*Adm!$GV$4)))</f>
        <v>0</v>
      </c>
      <c r="IT62" s="123"/>
      <c r="IU62" s="123">
        <f t="shared" si="100"/>
        <v>0</v>
      </c>
      <c r="IV62" s="123">
        <f t="shared" si="101"/>
        <v>0</v>
      </c>
      <c r="IW62" s="123"/>
      <c r="IX62" s="297">
        <f t="shared" si="102"/>
        <v>0</v>
      </c>
      <c r="IY62" s="74"/>
      <c r="IZ62" s="416">
        <f t="shared" si="103"/>
        <v>0</v>
      </c>
      <c r="JB62" s="90">
        <f t="shared" si="104"/>
        <v>2</v>
      </c>
      <c r="JC62" s="124">
        <f>IF(JB62=1,Cal!$BP$127,0)</f>
        <v>0</v>
      </c>
      <c r="JD62" s="178">
        <f>IF(JB62=1,Adm!$HI$4,0)</f>
        <v>0</v>
      </c>
    </row>
    <row r="63" spans="1:264">
      <c r="A63" s="26">
        <f t="shared" ca="1" si="0"/>
        <v>6</v>
      </c>
      <c r="C63" s="33">
        <f t="shared" si="1"/>
        <v>0</v>
      </c>
      <c r="D63" s="123">
        <f t="shared" si="31"/>
        <v>0</v>
      </c>
      <c r="E63" s="123">
        <f t="shared" si="147"/>
        <v>0</v>
      </c>
      <c r="F63" s="123">
        <f t="shared" si="149"/>
        <v>0</v>
      </c>
      <c r="G63" s="123">
        <f>IF(L62&lt;0.01,0,IF(Adm!$S$4=Adm!$S$8,L62*$L$15,L62*Adm!$V$4))</f>
        <v>0</v>
      </c>
      <c r="H63" s="123">
        <f>IF(L62&lt;0.01,0,IF(Adm!$S$5=Adm!$S$8,Adm!$AA$11*$L$16/1.16,IF(Adm!$B$4=Adm!$A$119,0,Adm!$AA$11*Adm!$X$4/1.16)))</f>
        <v>0</v>
      </c>
      <c r="I63" s="123">
        <f>IF(L62&lt;0.01,0,Cal!$AB$126/1.16)</f>
        <v>0</v>
      </c>
      <c r="J63" s="123">
        <f t="shared" si="2"/>
        <v>0</v>
      </c>
      <c r="K63" s="123">
        <f>IF(Adm!$G$4="si",MIN(L62+D63+G63+H63+I63-J63,V63),0)</f>
        <v>0</v>
      </c>
      <c r="L63" s="123">
        <f t="shared" si="32"/>
        <v>0</v>
      </c>
      <c r="M63" s="74"/>
      <c r="N63" s="74"/>
      <c r="O63" s="407">
        <f t="shared" si="33"/>
        <v>0</v>
      </c>
      <c r="R63" s="90">
        <f t="shared" si="34"/>
        <v>3</v>
      </c>
      <c r="S63" s="121">
        <f>IF(R63=1,Cal!$AB$127,0)</f>
        <v>0</v>
      </c>
      <c r="U63" s="70">
        <f t="shared" si="105"/>
        <v>0</v>
      </c>
      <c r="V63" s="2178">
        <f t="shared" ca="1" si="35"/>
        <v>0</v>
      </c>
      <c r="X63" s="398"/>
      <c r="Z63" s="268">
        <f t="shared" si="3"/>
        <v>0</v>
      </c>
      <c r="AA63" s="2176">
        <f t="shared" si="36"/>
        <v>0</v>
      </c>
      <c r="AB63" s="33">
        <f t="shared" si="37"/>
        <v>0</v>
      </c>
      <c r="AC63" s="33">
        <f t="shared" si="38"/>
        <v>0</v>
      </c>
      <c r="AD63" s="33">
        <f>IF(AI62&lt;0.01,0,IF(Adm!$S$4=Adm!$S$8,AI62*$AI$15,AI62*Adm!$V$4))</f>
        <v>0</v>
      </c>
      <c r="AE63" s="33"/>
      <c r="AF63" s="33"/>
      <c r="AG63" s="33">
        <f t="shared" si="4"/>
        <v>0</v>
      </c>
      <c r="AH63" s="33"/>
      <c r="AI63" s="401">
        <f t="shared" si="5"/>
        <v>0</v>
      </c>
      <c r="AK63" s="410">
        <f t="shared" si="6"/>
        <v>0</v>
      </c>
      <c r="AN63" s="90">
        <f t="shared" si="39"/>
        <v>3</v>
      </c>
      <c r="AO63" s="121">
        <f>IF(AN63=1,Cal!$AC$127,0)</f>
        <v>0</v>
      </c>
      <c r="AS63" s="200"/>
      <c r="AU63" s="268">
        <f t="shared" si="7"/>
        <v>0</v>
      </c>
      <c r="AV63" s="2177">
        <f t="shared" si="40"/>
        <v>0</v>
      </c>
      <c r="AW63" s="123">
        <f t="shared" si="8"/>
        <v>0</v>
      </c>
      <c r="AX63" s="123">
        <f t="shared" si="41"/>
        <v>0</v>
      </c>
      <c r="AY63" s="123">
        <f>IF(BC62&lt;0.01,0,IF(Adm!$S$4=Adm!$S$8,BC62*$BC$16,BC62*Adm!$V$4))</f>
        <v>0</v>
      </c>
      <c r="AZ63" s="123"/>
      <c r="BA63" s="123">
        <f>IF(BC62&lt;0.01,0,Adm!$Q$6)</f>
        <v>0</v>
      </c>
      <c r="BB63" s="123">
        <f t="shared" si="42"/>
        <v>0</v>
      </c>
      <c r="BC63" s="297">
        <f t="shared" si="43"/>
        <v>0</v>
      </c>
      <c r="BE63" s="425">
        <f t="shared" si="9"/>
        <v>0</v>
      </c>
      <c r="BH63" s="90">
        <f t="shared" si="44"/>
        <v>3</v>
      </c>
      <c r="BI63" s="121">
        <f>IF(BH63=1,Cal!$AD$127,0)</f>
        <v>0</v>
      </c>
      <c r="BM63" s="221"/>
      <c r="BO63" s="295">
        <f t="shared" ca="1" si="10"/>
        <v>6</v>
      </c>
      <c r="BP63" s="268">
        <f t="shared" si="11"/>
        <v>0</v>
      </c>
      <c r="BQ63" s="123">
        <f t="shared" si="45"/>
        <v>0</v>
      </c>
      <c r="BR63" s="123">
        <f t="shared" si="148"/>
        <v>0</v>
      </c>
      <c r="BS63" s="123">
        <f t="shared" si="150"/>
        <v>0</v>
      </c>
      <c r="BT63" s="123">
        <f>IF(BZ62&lt;0.01,0,IF(Plus!$F$22=Plus!$AN$4,BZ62*$BZ$15,IF(Plus!$F$22=Plus!$AN$3,BZ62*Plus!$F$23/1000,BZ62*VLOOKUP(Plus!$G$21,Plus!$AP$2:'Plus'!$AQ$5,2,0))))</f>
        <v>0</v>
      </c>
      <c r="BU63" s="123">
        <f>IF(BZ62&lt;0.01,0,IF(Plus!$F$24=Plus!$AO$3,Plus!$G$13*Plus!$AR$2/1.16,IF(Plus!$F$10=Plus!$AK$7,0,Plus!$G$13*Plus!$AR$2/1.16)))</f>
        <v>0</v>
      </c>
      <c r="BV63" s="123">
        <f>IF(BZ62&lt;0.01,0,Plus!$BD$2)</f>
        <v>0</v>
      </c>
      <c r="BW63" s="123"/>
      <c r="BX63" s="123">
        <f t="shared" si="12"/>
        <v>0</v>
      </c>
      <c r="BY63" s="123">
        <f>IF(Plus!$F$10=Plus!$AK$3,MIN(BZ62+BQ63+BT63+BU63+BV63-BX63,CJ63),0)</f>
        <v>0</v>
      </c>
      <c r="BZ63" s="297">
        <f t="shared" si="144"/>
        <v>0</v>
      </c>
      <c r="CA63" s="74"/>
      <c r="CB63" s="74"/>
      <c r="CC63" s="413">
        <f t="shared" si="47"/>
        <v>0</v>
      </c>
      <c r="CF63" s="90">
        <f t="shared" si="48"/>
        <v>3</v>
      </c>
      <c r="CG63" s="121">
        <f t="shared" si="106"/>
        <v>0</v>
      </c>
      <c r="CI63" s="70">
        <f t="shared" si="107"/>
        <v>0</v>
      </c>
      <c r="CJ63" s="2178">
        <f t="shared" ca="1" si="49"/>
        <v>0</v>
      </c>
      <c r="CL63" s="161"/>
      <c r="CN63" s="308">
        <f t="shared" ca="1" si="13"/>
        <v>6</v>
      </c>
      <c r="CO63" s="309">
        <f t="shared" si="50"/>
        <v>0</v>
      </c>
      <c r="CP63" s="268">
        <f t="shared" si="14"/>
        <v>0</v>
      </c>
      <c r="CQ63" s="123">
        <f t="shared" si="51"/>
        <v>0</v>
      </c>
      <c r="CR63" s="123">
        <f t="shared" si="137"/>
        <v>0</v>
      </c>
      <c r="CS63" s="123">
        <f t="shared" si="138"/>
        <v>0</v>
      </c>
      <c r="CT63" s="33">
        <f>IF(CZ62&lt;0.01,0,IF(Plus!$F$22=Plus!$AN$4,0,IF(Plus!$F$22=Plus!$AN$3,CZ62*Plus!$F$23/1000,CZ62*VLOOKUP(Plus!$G$21,Plus!$AP$2:'Plus'!$AQ$5,2,0))))</f>
        <v>0</v>
      </c>
      <c r="CU63" s="123">
        <f>IF(CZ62&lt;0.01,0,IF(Plus!$F$24=Plus!$AO$3,0,IF(OR(Plus!$F$10=Plus!$AK$7,Plus!$F$10=Plus!$AK$13),0,Plus!$G$13*Plus!$AR$2)))</f>
        <v>0</v>
      </c>
      <c r="CV63" s="123">
        <f>IF(CZ62&lt;0.01,0,IF(OR(Plus!$F$10=Plus!$AK$7,Plus!$F$10=Plus!$AK$13),0,Plus!$BD$2*1.16))</f>
        <v>0</v>
      </c>
      <c r="CW63" s="123">
        <f>IF(CZ62&lt;0.01,0,IF(Plus!$AS$2&gt;0,CQ63*Plus!$AS$3,0))</f>
        <v>0</v>
      </c>
      <c r="CX63" s="123">
        <f t="shared" si="52"/>
        <v>0</v>
      </c>
      <c r="CY63" s="123">
        <f>IF(Plus!$F$10=Plus!$AK$3,MIN(CZ62+CQ63+CT63+CU63+CV63-CX63,DK63),0)</f>
        <v>0</v>
      </c>
      <c r="CZ63" s="297">
        <f t="shared" si="146"/>
        <v>0</v>
      </c>
      <c r="DA63" s="306">
        <f>Plus!O104</f>
        <v>0</v>
      </c>
      <c r="DB63" s="74"/>
      <c r="DC63" s="74"/>
      <c r="DD63" s="407">
        <f t="shared" si="54"/>
        <v>0</v>
      </c>
      <c r="DG63" s="90">
        <f t="shared" si="55"/>
        <v>3</v>
      </c>
      <c r="DH63" s="121">
        <f t="shared" si="108"/>
        <v>0</v>
      </c>
      <c r="DJ63" s="149">
        <f t="shared" si="109"/>
        <v>0</v>
      </c>
      <c r="DK63" s="2179">
        <f t="shared" ca="1" si="56"/>
        <v>0</v>
      </c>
      <c r="DN63" s="120">
        <f t="shared" si="110"/>
        <v>0</v>
      </c>
      <c r="DO63" s="110">
        <f t="shared" si="57"/>
        <v>0</v>
      </c>
      <c r="DP63" s="110">
        <f t="shared" si="124"/>
        <v>0</v>
      </c>
      <c r="DQ63" s="109">
        <f t="shared" si="58"/>
        <v>0</v>
      </c>
      <c r="DR63" s="109">
        <f t="shared" si="59"/>
        <v>0</v>
      </c>
      <c r="DS63" s="113">
        <f t="shared" si="60"/>
        <v>0</v>
      </c>
      <c r="DU63" s="102">
        <f t="shared" si="61"/>
        <v>0</v>
      </c>
      <c r="DV63" s="211">
        <f t="shared" si="125"/>
        <v>39</v>
      </c>
      <c r="DW63" s="212">
        <f t="shared" si="62"/>
        <v>0</v>
      </c>
      <c r="DX63" s="212">
        <f t="shared" si="15"/>
        <v>0</v>
      </c>
      <c r="DY63" s="212">
        <f t="shared" si="111"/>
        <v>0</v>
      </c>
      <c r="DZ63" s="213">
        <f t="shared" si="16"/>
        <v>1000000</v>
      </c>
      <c r="ED63" s="182"/>
      <c r="EF63" s="308">
        <f t="shared" ca="1" si="17"/>
        <v>6</v>
      </c>
      <c r="EG63" s="309">
        <f t="shared" si="63"/>
        <v>0</v>
      </c>
      <c r="EH63" s="268">
        <f t="shared" si="18"/>
        <v>0</v>
      </c>
      <c r="EI63" s="33">
        <f t="shared" si="64"/>
        <v>0</v>
      </c>
      <c r="EJ63" s="33">
        <f t="shared" si="139"/>
        <v>0</v>
      </c>
      <c r="EK63" s="33">
        <f t="shared" si="151"/>
        <v>0</v>
      </c>
      <c r="EL63" s="33">
        <f>IF(ER62&lt;0.01,0,IF(Plus!$F$22=Plus!$AN$4,0,IF(Plus!$F$22=Plus!$AN$3,ER62*Plus!$F$23/1000,ER62*VLOOKUP(Plus!$G$21,Plus!$AP$2:'Plus'!$AQ$5,2,0))))</f>
        <v>0</v>
      </c>
      <c r="EM63" s="33">
        <f>IF(ER62&lt;0.01,0,IF(Plus!$F$24=Plus!$AO$3,0,IF(OR(Plus!$F$10=Plus!$AK$7,Plus!$F$10=Plus!$AK$13),0,Plus!$G$13*Plus!$AR$2)))</f>
        <v>0</v>
      </c>
      <c r="EN63" s="33">
        <f>IF(ER62&lt;0.01,0,IF(OR(Plus!$F$10=Plus!$AK$7,Plus!$F$10=Plus!$AK$13),0,Plus!$BD$2*1.16))</f>
        <v>0</v>
      </c>
      <c r="EO63" s="33">
        <f>IF(ER62&lt;0.01,0,IF(Plus!$AS$2&gt;0,EI63*Plus!$AS$3,0))</f>
        <v>0</v>
      </c>
      <c r="EP63" s="33">
        <f t="shared" si="65"/>
        <v>0</v>
      </c>
      <c r="EQ63" s="33">
        <f>IF(Plus!$F$10=Plus!$AK$3,MIN(ER62+EI63+EL63+EM63+EN63-EP63,FC63),0)</f>
        <v>0</v>
      </c>
      <c r="ER63" s="311">
        <f t="shared" si="145"/>
        <v>0</v>
      </c>
      <c r="ES63" s="340">
        <f>Plus!O104</f>
        <v>0</v>
      </c>
      <c r="ET63" s="74"/>
      <c r="EU63" s="74"/>
      <c r="EV63" s="416">
        <f t="shared" si="134"/>
        <v>0</v>
      </c>
      <c r="EY63" s="90">
        <f t="shared" si="68"/>
        <v>3</v>
      </c>
      <c r="EZ63" s="121">
        <f t="shared" si="112"/>
        <v>0</v>
      </c>
      <c r="FB63" s="149">
        <f t="shared" si="113"/>
        <v>0</v>
      </c>
      <c r="FC63" s="2179">
        <f t="shared" ca="1" si="69"/>
        <v>0</v>
      </c>
      <c r="FE63" s="120">
        <f t="shared" si="114"/>
        <v>0</v>
      </c>
      <c r="FF63" s="110">
        <f t="shared" si="70"/>
        <v>0</v>
      </c>
      <c r="FG63" s="110">
        <f t="shared" si="71"/>
        <v>0</v>
      </c>
      <c r="FH63" s="109">
        <f t="shared" si="72"/>
        <v>0</v>
      </c>
      <c r="FI63" s="109">
        <f t="shared" si="19"/>
        <v>0</v>
      </c>
      <c r="FJ63" s="113">
        <f t="shared" si="73"/>
        <v>0</v>
      </c>
      <c r="FL63" s="102">
        <f t="shared" si="74"/>
        <v>0</v>
      </c>
      <c r="FM63" s="211">
        <f t="shared" si="127"/>
        <v>39</v>
      </c>
      <c r="FN63" s="212">
        <f t="shared" si="75"/>
        <v>0</v>
      </c>
      <c r="FO63" s="212">
        <f t="shared" si="20"/>
        <v>0</v>
      </c>
      <c r="FP63" s="212">
        <f t="shared" si="155"/>
        <v>0</v>
      </c>
      <c r="FQ63" s="213">
        <f t="shared" si="21"/>
        <v>1000000</v>
      </c>
      <c r="FV63" s="359"/>
      <c r="FX63" s="308">
        <f t="shared" ca="1" si="22"/>
        <v>6</v>
      </c>
      <c r="FY63" s="309">
        <f t="shared" si="76"/>
        <v>0</v>
      </c>
      <c r="FZ63" s="268">
        <f t="shared" si="23"/>
        <v>0</v>
      </c>
      <c r="GA63" s="33">
        <f t="shared" si="77"/>
        <v>0</v>
      </c>
      <c r="GB63" s="33">
        <f t="shared" si="141"/>
        <v>0</v>
      </c>
      <c r="GC63" s="33">
        <f t="shared" si="142"/>
        <v>0</v>
      </c>
      <c r="GD63" s="33">
        <f>IF(GJ62&lt;0.01,0,IF(Plus!$F$22=Plus!$AN$4,0,IF(Plus!$F$22=Plus!$AN$3,GJ62*Plus!$F$23/1000,GJ62*VLOOKUP(Plus!$G$21,Plus!$AP$2:$AQ$5,2,0))))</f>
        <v>0</v>
      </c>
      <c r="GE63" s="33">
        <f>IF(GJ62&lt;0.01,0,IF(Plus!$F$24=Plus!$AO$3,0,IF(OR(Plus!$F$10=Plus!$AK$7,Plus!$F$10=Plus!$AK$13,Plus!$F$10=Plus!$AK$14),0,IF(OR(Plus!$F$10=Plus!$AK$10,Plus!$F$10=Plus!$AK$11),Plus!$G$13*Adm!$W$7,Plus!$G$13*Adm!$X$4))))</f>
        <v>0</v>
      </c>
      <c r="GF63" s="33">
        <f>IF(GJ62&lt;0.01,0,IF(OR(Plus!$F$10=Plus!$AK$7,Plus!$F$10=Plus!$AK$13),0,Plus!$BD$2*1.16))</f>
        <v>0</v>
      </c>
      <c r="GG63" s="33">
        <f>IF(GJ62&lt;0.01,0,IF(Plus!$AS$2&gt;0,GA63*Plus!$AS$3,0))</f>
        <v>0</v>
      </c>
      <c r="GH63" s="33">
        <f t="shared" si="78"/>
        <v>0</v>
      </c>
      <c r="GI63" s="33">
        <f>IF(Plus!$F$10=Plus!$AK$3,MIN(GJ62+GA63+GD63+GE63+GF63-GH63,GU63),0)</f>
        <v>0</v>
      </c>
      <c r="GJ63" s="311">
        <f t="shared" si="136"/>
        <v>0</v>
      </c>
      <c r="GK63" s="340">
        <f>Plus!O104</f>
        <v>0</v>
      </c>
      <c r="GL63" s="74"/>
      <c r="GM63" s="74"/>
      <c r="GN63" s="419">
        <f t="shared" si="135"/>
        <v>0</v>
      </c>
      <c r="GQ63" s="90">
        <f t="shared" si="80"/>
        <v>3</v>
      </c>
      <c r="GR63" s="121">
        <f t="shared" si="116"/>
        <v>0</v>
      </c>
      <c r="GT63" s="149">
        <f t="shared" si="117"/>
        <v>0</v>
      </c>
      <c r="GU63" s="2179">
        <f t="shared" ca="1" si="81"/>
        <v>0</v>
      </c>
      <c r="GW63" s="120">
        <f t="shared" si="118"/>
        <v>0</v>
      </c>
      <c r="GX63" s="110">
        <f t="shared" si="82"/>
        <v>0</v>
      </c>
      <c r="GY63" s="110">
        <f t="shared" si="83"/>
        <v>0</v>
      </c>
      <c r="GZ63" s="109">
        <f t="shared" si="84"/>
        <v>0</v>
      </c>
      <c r="HA63" s="109">
        <f t="shared" si="24"/>
        <v>0</v>
      </c>
      <c r="HB63" s="113">
        <f t="shared" si="85"/>
        <v>0</v>
      </c>
      <c r="HD63" s="102">
        <f t="shared" si="86"/>
        <v>0</v>
      </c>
      <c r="HE63" s="211">
        <f t="shared" si="129"/>
        <v>39</v>
      </c>
      <c r="HF63" s="212">
        <f t="shared" si="87"/>
        <v>0</v>
      </c>
      <c r="HG63" s="212">
        <f t="shared" si="25"/>
        <v>0</v>
      </c>
      <c r="HH63" s="212">
        <f t="shared" si="156"/>
        <v>0</v>
      </c>
      <c r="HI63" s="213">
        <f t="shared" si="26"/>
        <v>1000000</v>
      </c>
      <c r="HL63" s="182"/>
      <c r="HM63" s="26">
        <f t="shared" ca="1" si="27"/>
        <v>6</v>
      </c>
      <c r="HO63" s="268">
        <f t="shared" si="28"/>
        <v>0</v>
      </c>
      <c r="HP63" s="151">
        <f t="shared" si="157"/>
        <v>0</v>
      </c>
      <c r="HQ63" s="123">
        <f t="shared" si="88"/>
        <v>0</v>
      </c>
      <c r="HR63" s="123">
        <f t="shared" si="89"/>
        <v>0</v>
      </c>
      <c r="HS63" s="123">
        <f t="shared" si="90"/>
        <v>0</v>
      </c>
      <c r="HT63" s="123">
        <f>IF(HY62&lt;0.01,0,IF(Adm!$GS$4=Adm!$GS$8,HY62*$HY$15,IF(Adm!$GS$12=Adm!$GS$13,0,HY62*Adm!$GV$4)))</f>
        <v>0</v>
      </c>
      <c r="HU63" s="123">
        <f>IF(HY62&lt;0.01,0,IF(Adm!$GS$5=Adm!$GS$8,Cal!$BO$108*$HY$16/1.16,IF(Adm!$GS$12=Adm!$GS$13,0,Cal!$BO$108*Adm!$GW$4/1.16)))</f>
        <v>0</v>
      </c>
      <c r="HV63" s="123">
        <f t="shared" si="91"/>
        <v>0</v>
      </c>
      <c r="HW63" s="123">
        <f t="shared" si="92"/>
        <v>0</v>
      </c>
      <c r="HX63" s="123">
        <f>IF(Adm!$GH$6="si",MIN(HY62+HQ63+HT63+HU63+HV63-HW63,IH63),0)</f>
        <v>0</v>
      </c>
      <c r="HY63" s="297">
        <f t="shared" si="93"/>
        <v>0</v>
      </c>
      <c r="HZ63" s="74"/>
      <c r="IA63" s="407">
        <f t="shared" si="94"/>
        <v>0</v>
      </c>
      <c r="IC63" s="90">
        <f t="shared" si="95"/>
        <v>3</v>
      </c>
      <c r="ID63" s="124">
        <f>IF(IC63=1,Cal!$BO$127,0)</f>
        <v>0</v>
      </c>
      <c r="IE63" s="178">
        <f>IF(IC63=1,Adm!$HI$4,0)</f>
        <v>0</v>
      </c>
      <c r="IG63" s="70">
        <f t="shared" si="121"/>
        <v>0</v>
      </c>
      <c r="IH63" s="2178">
        <f t="shared" ca="1" si="96"/>
        <v>0</v>
      </c>
      <c r="IK63" s="217"/>
      <c r="IL63" s="26">
        <f t="shared" ca="1" si="29"/>
        <v>6</v>
      </c>
      <c r="IN63" s="268">
        <f t="shared" si="30"/>
        <v>0</v>
      </c>
      <c r="IO63" s="151">
        <f t="shared" si="154"/>
        <v>0</v>
      </c>
      <c r="IP63" s="123">
        <f t="shared" si="97"/>
        <v>0</v>
      </c>
      <c r="IQ63" s="123">
        <f t="shared" si="98"/>
        <v>0</v>
      </c>
      <c r="IR63" s="123">
        <f t="shared" si="99"/>
        <v>0</v>
      </c>
      <c r="IS63" s="123">
        <f>IF(IX62&lt;0.01,0,IF(Adm!$GS$4=Adm!$GS$8,IX62*$IX$15,IF(Adm!$GS$12=Adm!$GS$13,0,IX62*Adm!$GV$4)))</f>
        <v>0</v>
      </c>
      <c r="IT63" s="123"/>
      <c r="IU63" s="123">
        <f t="shared" si="100"/>
        <v>0</v>
      </c>
      <c r="IV63" s="123">
        <f t="shared" si="101"/>
        <v>0</v>
      </c>
      <c r="IW63" s="123"/>
      <c r="IX63" s="297">
        <f t="shared" si="102"/>
        <v>0</v>
      </c>
      <c r="IY63" s="74"/>
      <c r="IZ63" s="416">
        <f t="shared" si="103"/>
        <v>0</v>
      </c>
      <c r="JB63" s="90">
        <f t="shared" si="104"/>
        <v>3</v>
      </c>
      <c r="JC63" s="124">
        <f>IF(JB63=1,Cal!$BP$127,0)</f>
        <v>0</v>
      </c>
      <c r="JD63" s="178">
        <f>IF(JB63=1,Adm!$HI$4,0)</f>
        <v>0</v>
      </c>
    </row>
    <row r="64" spans="1:264">
      <c r="A64" s="26">
        <f t="shared" ca="1" si="0"/>
        <v>7</v>
      </c>
      <c r="C64" s="33">
        <f t="shared" si="1"/>
        <v>0</v>
      </c>
      <c r="D64" s="123">
        <f t="shared" si="31"/>
        <v>0</v>
      </c>
      <c r="E64" s="123">
        <f t="shared" si="147"/>
        <v>0</v>
      </c>
      <c r="F64" s="123">
        <f t="shared" si="149"/>
        <v>0</v>
      </c>
      <c r="G64" s="123">
        <f>IF(L63&lt;0.01,0,IF(Adm!$S$4=Adm!$S$8,L63*$L$15,L63*Adm!$V$4))</f>
        <v>0</v>
      </c>
      <c r="H64" s="123">
        <f>IF(L63&lt;0.01,0,IF(Adm!$S$5=Adm!$S$8,Adm!$AA$11*$L$16/1.16,IF(Adm!$B$4=Adm!$A$119,0,Adm!$AA$11*Adm!$X$4/1.16)))</f>
        <v>0</v>
      </c>
      <c r="I64" s="123">
        <f>IF(L63&lt;0.01,0,Cal!$AB$126/1.16)</f>
        <v>0</v>
      </c>
      <c r="J64" s="123">
        <f t="shared" si="2"/>
        <v>0</v>
      </c>
      <c r="K64" s="123">
        <f>IF(Adm!$G$4="si",MIN(L63+D64+G64+H64+I64-J64,V64),0)</f>
        <v>0</v>
      </c>
      <c r="L64" s="123">
        <f t="shared" si="32"/>
        <v>0</v>
      </c>
      <c r="M64" s="74"/>
      <c r="N64" s="74"/>
      <c r="O64" s="407">
        <f t="shared" si="33"/>
        <v>0</v>
      </c>
      <c r="R64" s="90">
        <f t="shared" si="34"/>
        <v>4</v>
      </c>
      <c r="S64" s="121">
        <f>IF(R64=1,Cal!$AB$127,0)</f>
        <v>0</v>
      </c>
      <c r="U64" s="70">
        <f t="shared" si="105"/>
        <v>0</v>
      </c>
      <c r="V64" s="2178">
        <f t="shared" ca="1" si="35"/>
        <v>0</v>
      </c>
      <c r="X64" s="398"/>
      <c r="Z64" s="268">
        <f t="shared" si="3"/>
        <v>0</v>
      </c>
      <c r="AA64" s="2176">
        <f t="shared" si="36"/>
        <v>0</v>
      </c>
      <c r="AB64" s="33">
        <f t="shared" si="37"/>
        <v>0</v>
      </c>
      <c r="AC64" s="33">
        <f t="shared" si="38"/>
        <v>0</v>
      </c>
      <c r="AD64" s="33">
        <f>IF(AI63&lt;0.01,0,IF(Adm!$S$4=Adm!$S$8,AI63*$AI$15,AI63*Adm!$V$4))</f>
        <v>0</v>
      </c>
      <c r="AE64" s="33"/>
      <c r="AF64" s="33"/>
      <c r="AG64" s="33">
        <f t="shared" si="4"/>
        <v>0</v>
      </c>
      <c r="AH64" s="33"/>
      <c r="AI64" s="401">
        <f t="shared" si="5"/>
        <v>0</v>
      </c>
      <c r="AK64" s="410">
        <f t="shared" si="6"/>
        <v>0</v>
      </c>
      <c r="AN64" s="90">
        <f t="shared" si="39"/>
        <v>4</v>
      </c>
      <c r="AO64" s="121">
        <f>IF(AN64=1,Cal!$AC$127,0)</f>
        <v>0</v>
      </c>
      <c r="AS64" s="200"/>
      <c r="AU64" s="268">
        <f t="shared" si="7"/>
        <v>0</v>
      </c>
      <c r="AV64" s="2177">
        <f t="shared" si="40"/>
        <v>0</v>
      </c>
      <c r="AW64" s="123">
        <f t="shared" si="8"/>
        <v>0</v>
      </c>
      <c r="AX64" s="123">
        <f t="shared" si="41"/>
        <v>0</v>
      </c>
      <c r="AY64" s="123">
        <f>IF(BC63&lt;0.01,0,IF(Adm!$S$4=Adm!$S$8,BC63*$BC$16,BC63*Adm!$V$4))</f>
        <v>0</v>
      </c>
      <c r="AZ64" s="123"/>
      <c r="BA64" s="123">
        <f>IF(BC63&lt;0.01,0,Adm!$Q$6)</f>
        <v>0</v>
      </c>
      <c r="BB64" s="123">
        <f t="shared" si="42"/>
        <v>0</v>
      </c>
      <c r="BC64" s="297">
        <f t="shared" si="43"/>
        <v>0</v>
      </c>
      <c r="BE64" s="425">
        <f t="shared" si="9"/>
        <v>0</v>
      </c>
      <c r="BH64" s="90">
        <f t="shared" si="44"/>
        <v>4</v>
      </c>
      <c r="BI64" s="121">
        <f>IF(BH64=1,Cal!$AD$127,0)</f>
        <v>0</v>
      </c>
      <c r="BM64" s="221"/>
      <c r="BO64" s="295">
        <f t="shared" ca="1" si="10"/>
        <v>7</v>
      </c>
      <c r="BP64" s="268">
        <f t="shared" si="11"/>
        <v>0</v>
      </c>
      <c r="BQ64" s="123">
        <f t="shared" si="45"/>
        <v>0</v>
      </c>
      <c r="BR64" s="123">
        <f t="shared" si="148"/>
        <v>0</v>
      </c>
      <c r="BS64" s="123">
        <f t="shared" si="150"/>
        <v>0</v>
      </c>
      <c r="BT64" s="123">
        <f>IF(BZ63&lt;0.01,0,IF(Plus!$F$22=Plus!$AN$4,BZ63*$BZ$15,IF(Plus!$F$22=Plus!$AN$3,BZ63*Plus!$F$23/1000,BZ63*VLOOKUP(Plus!$G$21,Plus!$AP$2:'Plus'!$AQ$5,2,0))))</f>
        <v>0</v>
      </c>
      <c r="BU64" s="123">
        <f>IF(BZ63&lt;0.01,0,IF(Plus!$F$24=Plus!$AO$3,Plus!$G$13*Plus!$AR$2/1.16,IF(Plus!$F$10=Plus!$AK$7,0,Plus!$G$13*Plus!$AR$2/1.16)))</f>
        <v>0</v>
      </c>
      <c r="BV64" s="123">
        <f>IF(BZ63&lt;0.01,0,Plus!$BD$2)</f>
        <v>0</v>
      </c>
      <c r="BW64" s="123"/>
      <c r="BX64" s="123">
        <f t="shared" si="12"/>
        <v>0</v>
      </c>
      <c r="BY64" s="123">
        <f>IF(Plus!$F$10=Plus!$AK$3,MIN(BZ63+BQ64+BT64+BU64+BV64-BX64,CJ64),0)</f>
        <v>0</v>
      </c>
      <c r="BZ64" s="297">
        <f t="shared" si="144"/>
        <v>0</v>
      </c>
      <c r="CA64" s="74"/>
      <c r="CB64" s="74"/>
      <c r="CC64" s="413">
        <f t="shared" si="47"/>
        <v>0</v>
      </c>
      <c r="CF64" s="90">
        <f t="shared" si="48"/>
        <v>4</v>
      </c>
      <c r="CG64" s="121">
        <f t="shared" si="106"/>
        <v>0</v>
      </c>
      <c r="CI64" s="70">
        <f t="shared" si="107"/>
        <v>0</v>
      </c>
      <c r="CJ64" s="2178">
        <f t="shared" ca="1" si="49"/>
        <v>0</v>
      </c>
      <c r="CL64" s="161"/>
      <c r="CN64" s="308">
        <f t="shared" ca="1" si="13"/>
        <v>7</v>
      </c>
      <c r="CO64" s="309">
        <f t="shared" si="50"/>
        <v>0</v>
      </c>
      <c r="CP64" s="268">
        <f t="shared" si="14"/>
        <v>0</v>
      </c>
      <c r="CQ64" s="123">
        <f t="shared" si="51"/>
        <v>0</v>
      </c>
      <c r="CR64" s="123">
        <f t="shared" si="137"/>
        <v>0</v>
      </c>
      <c r="CS64" s="123">
        <f t="shared" si="138"/>
        <v>0</v>
      </c>
      <c r="CT64" s="33">
        <f>IF(CZ63&lt;0.01,0,IF(Plus!$F$22=Plus!$AN$4,0,IF(Plus!$F$22=Plus!$AN$3,CZ63*Plus!$F$23/1000,CZ63*VLOOKUP(Plus!$G$21,Plus!$AP$2:'Plus'!$AQ$5,2,0))))</f>
        <v>0</v>
      </c>
      <c r="CU64" s="123">
        <f>IF(CZ63&lt;0.01,0,IF(Plus!$F$24=Plus!$AO$3,0,IF(OR(Plus!$F$10=Plus!$AK$7,Plus!$F$10=Plus!$AK$13),0,Plus!$G$13*Plus!$AR$2)))</f>
        <v>0</v>
      </c>
      <c r="CV64" s="123">
        <f>IF(CZ63&lt;0.01,0,IF(OR(Plus!$F$10=Plus!$AK$7,Plus!$F$10=Plus!$AK$13),0,Plus!$BD$2*1.16))</f>
        <v>0</v>
      </c>
      <c r="CW64" s="123">
        <f>IF(CZ63&lt;0.01,0,IF(Plus!$AS$2&gt;0,CQ64*Plus!$AS$3,0))</f>
        <v>0</v>
      </c>
      <c r="CX64" s="123">
        <f t="shared" si="52"/>
        <v>0</v>
      </c>
      <c r="CY64" s="123">
        <f>IF(Plus!$F$10=Plus!$AK$3,MIN(CZ63+CQ64+CT64+CU64+CV64-CX64,DK64),0)</f>
        <v>0</v>
      </c>
      <c r="CZ64" s="297">
        <f t="shared" si="146"/>
        <v>0</v>
      </c>
      <c r="DA64" s="306">
        <f>Plus!O105</f>
        <v>0</v>
      </c>
      <c r="DB64" s="74"/>
      <c r="DC64" s="74"/>
      <c r="DD64" s="407">
        <f t="shared" si="54"/>
        <v>0</v>
      </c>
      <c r="DG64" s="90">
        <f t="shared" si="55"/>
        <v>4</v>
      </c>
      <c r="DH64" s="121">
        <f t="shared" si="108"/>
        <v>0</v>
      </c>
      <c r="DJ64" s="149">
        <f t="shared" si="109"/>
        <v>0</v>
      </c>
      <c r="DK64" s="2179">
        <f t="shared" ca="1" si="56"/>
        <v>0</v>
      </c>
      <c r="DN64" s="120">
        <f t="shared" si="110"/>
        <v>0</v>
      </c>
      <c r="DO64" s="110">
        <f t="shared" si="57"/>
        <v>0</v>
      </c>
      <c r="DP64" s="110">
        <f t="shared" si="124"/>
        <v>0</v>
      </c>
      <c r="DQ64" s="109">
        <f t="shared" si="58"/>
        <v>0</v>
      </c>
      <c r="DR64" s="109">
        <f t="shared" si="59"/>
        <v>0</v>
      </c>
      <c r="DS64" s="113">
        <f t="shared" si="60"/>
        <v>0</v>
      </c>
      <c r="DU64" s="102">
        <f t="shared" si="61"/>
        <v>0</v>
      </c>
      <c r="DV64" s="211">
        <f t="shared" si="125"/>
        <v>40</v>
      </c>
      <c r="DW64" s="212">
        <f t="shared" si="62"/>
        <v>0</v>
      </c>
      <c r="DX64" s="212">
        <f t="shared" si="15"/>
        <v>0</v>
      </c>
      <c r="DY64" s="212">
        <f t="shared" si="111"/>
        <v>0</v>
      </c>
      <c r="DZ64" s="213">
        <f t="shared" si="16"/>
        <v>1000000</v>
      </c>
      <c r="ED64" s="182"/>
      <c r="EF64" s="308">
        <f t="shared" ca="1" si="17"/>
        <v>7</v>
      </c>
      <c r="EG64" s="309">
        <f t="shared" si="63"/>
        <v>0</v>
      </c>
      <c r="EH64" s="268">
        <f t="shared" si="18"/>
        <v>0</v>
      </c>
      <c r="EI64" s="33">
        <f t="shared" si="64"/>
        <v>0</v>
      </c>
      <c r="EJ64" s="33">
        <f t="shared" si="139"/>
        <v>0</v>
      </c>
      <c r="EK64" s="33">
        <f t="shared" si="151"/>
        <v>0</v>
      </c>
      <c r="EL64" s="33">
        <f>IF(ER63&lt;0.01,0,IF(Plus!$F$22=Plus!$AN$4,0,IF(Plus!$F$22=Plus!$AN$3,ER63*Plus!$F$23/1000,ER63*VLOOKUP(Plus!$G$21,Plus!$AP$2:'Plus'!$AQ$5,2,0))))</f>
        <v>0</v>
      </c>
      <c r="EM64" s="33">
        <f>IF(ER63&lt;0.01,0,IF(Plus!$F$24=Plus!$AO$3,0,IF(OR(Plus!$F$10=Plus!$AK$7,Plus!$F$10=Plus!$AK$13),0,Plus!$G$13*Plus!$AR$2)))</f>
        <v>0</v>
      </c>
      <c r="EN64" s="33">
        <f>IF(ER63&lt;0.01,0,IF(OR(Plus!$F$10=Plus!$AK$7,Plus!$F$10=Plus!$AK$13),0,Plus!$BD$2*1.16))</f>
        <v>0</v>
      </c>
      <c r="EO64" s="33">
        <f>IF(ER63&lt;0.01,0,IF(Plus!$AS$2&gt;0,EI64*Plus!$AS$3,0))</f>
        <v>0</v>
      </c>
      <c r="EP64" s="33">
        <f t="shared" si="65"/>
        <v>0</v>
      </c>
      <c r="EQ64" s="33">
        <f>IF(Plus!$F$10=Plus!$AK$3,MIN(ER63+EI64+EL64+EM64+EN64-EP64,FC64),0)</f>
        <v>0</v>
      </c>
      <c r="ER64" s="311">
        <f t="shared" si="145"/>
        <v>0</v>
      </c>
      <c r="ES64" s="340">
        <f>Plus!O105</f>
        <v>0</v>
      </c>
      <c r="ET64" s="74"/>
      <c r="EU64" s="74"/>
      <c r="EV64" s="416">
        <f t="shared" si="134"/>
        <v>0</v>
      </c>
      <c r="EY64" s="90">
        <f t="shared" si="68"/>
        <v>4</v>
      </c>
      <c r="EZ64" s="121">
        <f t="shared" si="112"/>
        <v>0</v>
      </c>
      <c r="FB64" s="149">
        <f t="shared" si="113"/>
        <v>0</v>
      </c>
      <c r="FC64" s="2179">
        <f t="shared" ca="1" si="69"/>
        <v>0</v>
      </c>
      <c r="FE64" s="120">
        <f t="shared" si="114"/>
        <v>0</v>
      </c>
      <c r="FF64" s="110">
        <f t="shared" si="70"/>
        <v>0</v>
      </c>
      <c r="FG64" s="110">
        <f t="shared" si="71"/>
        <v>0</v>
      </c>
      <c r="FH64" s="109">
        <f t="shared" si="72"/>
        <v>0</v>
      </c>
      <c r="FI64" s="109">
        <f t="shared" si="19"/>
        <v>0</v>
      </c>
      <c r="FJ64" s="113">
        <f t="shared" si="73"/>
        <v>0</v>
      </c>
      <c r="FL64" s="102">
        <f t="shared" si="74"/>
        <v>0</v>
      </c>
      <c r="FM64" s="211">
        <f t="shared" si="127"/>
        <v>40</v>
      </c>
      <c r="FN64" s="212">
        <f t="shared" si="75"/>
        <v>0</v>
      </c>
      <c r="FO64" s="212">
        <f t="shared" si="20"/>
        <v>0</v>
      </c>
      <c r="FP64" s="212">
        <f t="shared" si="155"/>
        <v>0</v>
      </c>
      <c r="FQ64" s="213">
        <f t="shared" si="21"/>
        <v>1000000</v>
      </c>
      <c r="FV64" s="359"/>
      <c r="FX64" s="308">
        <f t="shared" ca="1" si="22"/>
        <v>7</v>
      </c>
      <c r="FY64" s="309">
        <f t="shared" si="76"/>
        <v>0</v>
      </c>
      <c r="FZ64" s="268">
        <f t="shared" si="23"/>
        <v>0</v>
      </c>
      <c r="GA64" s="33">
        <f t="shared" si="77"/>
        <v>0</v>
      </c>
      <c r="GB64" s="33">
        <f t="shared" si="141"/>
        <v>0</v>
      </c>
      <c r="GC64" s="33">
        <f t="shared" si="142"/>
        <v>0</v>
      </c>
      <c r="GD64" s="33">
        <f>IF(GJ63&lt;0.01,0,IF(Plus!$F$22=Plus!$AN$4,0,IF(Plus!$F$22=Plus!$AN$3,GJ63*Plus!$F$23/1000,GJ63*VLOOKUP(Plus!$G$21,Plus!$AP$2:$AQ$5,2,0))))</f>
        <v>0</v>
      </c>
      <c r="GE64" s="33">
        <f>IF(GJ63&lt;0.01,0,IF(Plus!$F$24=Plus!$AO$3,0,IF(OR(Plus!$F$10=Plus!$AK$7,Plus!$F$10=Plus!$AK$13,Plus!$F$10=Plus!$AK$14),0,IF(OR(Plus!$F$10=Plus!$AK$10,Plus!$F$10=Plus!$AK$11),Plus!$G$13*Adm!$W$7,Plus!$G$13*Adm!$X$4))))</f>
        <v>0</v>
      </c>
      <c r="GF64" s="33">
        <f>IF(GJ63&lt;0.01,0,IF(OR(Plus!$F$10=Plus!$AK$7,Plus!$F$10=Plus!$AK$13),0,Plus!$BD$2*1.16))</f>
        <v>0</v>
      </c>
      <c r="GG64" s="33">
        <f>IF(GJ63&lt;0.01,0,IF(Plus!$AS$2&gt;0,GA64*Plus!$AS$3,0))</f>
        <v>0</v>
      </c>
      <c r="GH64" s="33">
        <f t="shared" si="78"/>
        <v>0</v>
      </c>
      <c r="GI64" s="33">
        <f>IF(Plus!$F$10=Plus!$AK$3,MIN(GJ63+GA64+GD64+GE64+GF64-GH64,GU64),0)</f>
        <v>0</v>
      </c>
      <c r="GJ64" s="311">
        <f t="shared" si="136"/>
        <v>0</v>
      </c>
      <c r="GK64" s="340">
        <f>Plus!O105</f>
        <v>0</v>
      </c>
      <c r="GL64" s="74"/>
      <c r="GM64" s="74"/>
      <c r="GN64" s="419">
        <f t="shared" si="135"/>
        <v>0</v>
      </c>
      <c r="GQ64" s="90">
        <f t="shared" si="80"/>
        <v>4</v>
      </c>
      <c r="GR64" s="121">
        <f t="shared" si="116"/>
        <v>0</v>
      </c>
      <c r="GT64" s="149">
        <f t="shared" si="117"/>
        <v>0</v>
      </c>
      <c r="GU64" s="2179">
        <f t="shared" ca="1" si="81"/>
        <v>0</v>
      </c>
      <c r="GW64" s="120">
        <f t="shared" si="118"/>
        <v>0</v>
      </c>
      <c r="GX64" s="110">
        <f t="shared" si="82"/>
        <v>0</v>
      </c>
      <c r="GY64" s="110">
        <f t="shared" si="83"/>
        <v>0</v>
      </c>
      <c r="GZ64" s="109">
        <f t="shared" si="84"/>
        <v>0</v>
      </c>
      <c r="HA64" s="109">
        <f t="shared" si="24"/>
        <v>0</v>
      </c>
      <c r="HB64" s="113">
        <f t="shared" si="85"/>
        <v>0</v>
      </c>
      <c r="HD64" s="102">
        <f t="shared" si="86"/>
        <v>0</v>
      </c>
      <c r="HE64" s="211">
        <f t="shared" si="129"/>
        <v>40</v>
      </c>
      <c r="HF64" s="212">
        <f t="shared" si="87"/>
        <v>0</v>
      </c>
      <c r="HG64" s="212">
        <f t="shared" si="25"/>
        <v>0</v>
      </c>
      <c r="HH64" s="212">
        <f t="shared" si="156"/>
        <v>0</v>
      </c>
      <c r="HI64" s="213">
        <f t="shared" si="26"/>
        <v>1000000</v>
      </c>
      <c r="HL64" s="182"/>
      <c r="HM64" s="26">
        <f t="shared" ca="1" si="27"/>
        <v>7</v>
      </c>
      <c r="HO64" s="268">
        <f t="shared" si="28"/>
        <v>0</v>
      </c>
      <c r="HP64" s="151">
        <f t="shared" si="157"/>
        <v>0</v>
      </c>
      <c r="HQ64" s="123">
        <f t="shared" si="88"/>
        <v>0</v>
      </c>
      <c r="HR64" s="123">
        <f t="shared" si="89"/>
        <v>0</v>
      </c>
      <c r="HS64" s="123">
        <f t="shared" si="90"/>
        <v>0</v>
      </c>
      <c r="HT64" s="123">
        <f>IF(HY63&lt;0.01,0,IF(Adm!$GS$4=Adm!$GS$8,HY63*$HY$15,IF(Adm!$GS$12=Adm!$GS$13,0,HY63*Adm!$GV$4)))</f>
        <v>0</v>
      </c>
      <c r="HU64" s="123">
        <f>IF(HY63&lt;0.01,0,IF(Adm!$GS$5=Adm!$GS$8,Cal!$BO$108*$HY$16/1.16,IF(Adm!$GS$12=Adm!$GS$13,0,Cal!$BO$108*Adm!$GW$4/1.16)))</f>
        <v>0</v>
      </c>
      <c r="HV64" s="123">
        <f t="shared" si="91"/>
        <v>0</v>
      </c>
      <c r="HW64" s="123">
        <f t="shared" si="92"/>
        <v>0</v>
      </c>
      <c r="HX64" s="123">
        <f>IF(Adm!$GH$6="si",MIN(HY63+HQ64+HT64+HU64+HV64-HW64,IH64),0)</f>
        <v>0</v>
      </c>
      <c r="HY64" s="297">
        <f t="shared" si="93"/>
        <v>0</v>
      </c>
      <c r="HZ64" s="74"/>
      <c r="IA64" s="407">
        <f t="shared" si="94"/>
        <v>0</v>
      </c>
      <c r="IC64" s="90">
        <f t="shared" si="95"/>
        <v>4</v>
      </c>
      <c r="ID64" s="124">
        <f>IF(IC64=1,Cal!$BO$127,0)</f>
        <v>0</v>
      </c>
      <c r="IE64" s="178">
        <f>IF(IC64=1,Adm!$HI$4,0)</f>
        <v>0</v>
      </c>
      <c r="IG64" s="70">
        <f t="shared" si="121"/>
        <v>0</v>
      </c>
      <c r="IH64" s="2178">
        <f t="shared" ca="1" si="96"/>
        <v>0</v>
      </c>
      <c r="IK64" s="217"/>
      <c r="IL64" s="26">
        <f t="shared" ca="1" si="29"/>
        <v>7</v>
      </c>
      <c r="IN64" s="268">
        <f t="shared" si="30"/>
        <v>0</v>
      </c>
      <c r="IO64" s="151">
        <f t="shared" si="154"/>
        <v>0</v>
      </c>
      <c r="IP64" s="123">
        <f t="shared" si="97"/>
        <v>0</v>
      </c>
      <c r="IQ64" s="123">
        <f t="shared" si="98"/>
        <v>0</v>
      </c>
      <c r="IR64" s="123">
        <f t="shared" si="99"/>
        <v>0</v>
      </c>
      <c r="IS64" s="123">
        <f>IF(IX63&lt;0.01,0,IF(Adm!$GS$4=Adm!$GS$8,IX63*$IX$15,IF(Adm!$GS$12=Adm!$GS$13,0,IX63*Adm!$GV$4)))</f>
        <v>0</v>
      </c>
      <c r="IT64" s="123"/>
      <c r="IU64" s="123">
        <f t="shared" si="100"/>
        <v>0</v>
      </c>
      <c r="IV64" s="123">
        <f t="shared" si="101"/>
        <v>0</v>
      </c>
      <c r="IW64" s="123"/>
      <c r="IX64" s="297">
        <f t="shared" si="102"/>
        <v>0</v>
      </c>
      <c r="IY64" s="74"/>
      <c r="IZ64" s="416">
        <f t="shared" si="103"/>
        <v>0</v>
      </c>
      <c r="JB64" s="90">
        <f t="shared" si="104"/>
        <v>4</v>
      </c>
      <c r="JC64" s="124">
        <f>IF(JB64=1,Cal!$BP$127,0)</f>
        <v>0</v>
      </c>
      <c r="JD64" s="178">
        <f>IF(JB64=1,Adm!$HI$4,0)</f>
        <v>0</v>
      </c>
    </row>
    <row r="65" spans="1:264">
      <c r="A65" s="26">
        <f t="shared" ca="1" si="0"/>
        <v>8</v>
      </c>
      <c r="C65" s="33">
        <f t="shared" si="1"/>
        <v>0</v>
      </c>
      <c r="D65" s="123">
        <f t="shared" si="31"/>
        <v>0</v>
      </c>
      <c r="E65" s="123">
        <f t="shared" si="147"/>
        <v>0</v>
      </c>
      <c r="F65" s="123">
        <f t="shared" si="149"/>
        <v>0</v>
      </c>
      <c r="G65" s="123">
        <f>IF(L64&lt;0.01,0,IF(Adm!$S$4=Adm!$S$8,L64*$L$15,L64*Adm!$V$4))</f>
        <v>0</v>
      </c>
      <c r="H65" s="123">
        <f>IF(L64&lt;0.01,0,IF(Adm!$S$5=Adm!$S$8,Adm!$AA$11*$L$16/1.16,IF(Adm!$B$4=Adm!$A$119,0,Adm!$AA$11*Adm!$X$4/1.16)))</f>
        <v>0</v>
      </c>
      <c r="I65" s="123">
        <f>IF(L64&lt;0.01,0,Cal!$AB$126/1.16)</f>
        <v>0</v>
      </c>
      <c r="J65" s="123">
        <f t="shared" si="2"/>
        <v>0</v>
      </c>
      <c r="K65" s="123">
        <f>IF(Adm!$G$4="si",MIN(L64+D65+G65+H65+I65-J65,V65),0)</f>
        <v>0</v>
      </c>
      <c r="L65" s="123">
        <f t="shared" si="32"/>
        <v>0</v>
      </c>
      <c r="M65" s="74"/>
      <c r="N65" s="74"/>
      <c r="O65" s="407">
        <f t="shared" si="33"/>
        <v>0</v>
      </c>
      <c r="R65" s="90">
        <f t="shared" si="34"/>
        <v>5</v>
      </c>
      <c r="S65" s="121">
        <f>IF(R65=1,Cal!$AB$127,0)</f>
        <v>0</v>
      </c>
      <c r="U65" s="70">
        <f t="shared" si="105"/>
        <v>0</v>
      </c>
      <c r="V65" s="2178">
        <f t="shared" ca="1" si="35"/>
        <v>0</v>
      </c>
      <c r="X65" s="398"/>
      <c r="Z65" s="268">
        <f t="shared" si="3"/>
        <v>0</v>
      </c>
      <c r="AA65" s="2176">
        <f t="shared" si="36"/>
        <v>0</v>
      </c>
      <c r="AB65" s="33">
        <f t="shared" si="37"/>
        <v>0</v>
      </c>
      <c r="AC65" s="33">
        <f t="shared" si="38"/>
        <v>0</v>
      </c>
      <c r="AD65" s="33">
        <f>IF(AI64&lt;0.01,0,IF(Adm!$S$4=Adm!$S$8,AI64*$AI$15,AI64*Adm!$V$4))</f>
        <v>0</v>
      </c>
      <c r="AE65" s="33"/>
      <c r="AF65" s="33"/>
      <c r="AG65" s="33">
        <f t="shared" si="4"/>
        <v>0</v>
      </c>
      <c r="AH65" s="33"/>
      <c r="AI65" s="401">
        <f t="shared" si="5"/>
        <v>0</v>
      </c>
      <c r="AK65" s="410">
        <f t="shared" si="6"/>
        <v>0</v>
      </c>
      <c r="AN65" s="90">
        <f t="shared" si="39"/>
        <v>5</v>
      </c>
      <c r="AO65" s="121">
        <f>IF(AN65=1,Cal!$AC$127,0)</f>
        <v>0</v>
      </c>
      <c r="AS65" s="200"/>
      <c r="AU65" s="268">
        <f t="shared" si="7"/>
        <v>0</v>
      </c>
      <c r="AV65" s="2177">
        <f t="shared" si="40"/>
        <v>0</v>
      </c>
      <c r="AW65" s="123">
        <f t="shared" si="8"/>
        <v>0</v>
      </c>
      <c r="AX65" s="123">
        <f t="shared" si="41"/>
        <v>0</v>
      </c>
      <c r="AY65" s="123">
        <f>IF(BC64&lt;0.01,0,IF(Adm!$S$4=Adm!$S$8,BC64*$BC$16,BC64*Adm!$V$4))</f>
        <v>0</v>
      </c>
      <c r="AZ65" s="123"/>
      <c r="BA65" s="123">
        <f>IF(BC64&lt;0.01,0,Adm!$Q$6)</f>
        <v>0</v>
      </c>
      <c r="BB65" s="123">
        <f t="shared" si="42"/>
        <v>0</v>
      </c>
      <c r="BC65" s="297">
        <f t="shared" si="43"/>
        <v>0</v>
      </c>
      <c r="BE65" s="425">
        <f t="shared" si="9"/>
        <v>0</v>
      </c>
      <c r="BH65" s="90">
        <f t="shared" si="44"/>
        <v>5</v>
      </c>
      <c r="BI65" s="121">
        <f>IF(BH65=1,Cal!$AD$127,0)</f>
        <v>0</v>
      </c>
      <c r="BM65" s="221"/>
      <c r="BO65" s="295">
        <f t="shared" ca="1" si="10"/>
        <v>8</v>
      </c>
      <c r="BP65" s="268">
        <f t="shared" si="11"/>
        <v>0</v>
      </c>
      <c r="BQ65" s="123">
        <f t="shared" si="45"/>
        <v>0</v>
      </c>
      <c r="BR65" s="123">
        <f t="shared" si="148"/>
        <v>0</v>
      </c>
      <c r="BS65" s="123">
        <f t="shared" si="150"/>
        <v>0</v>
      </c>
      <c r="BT65" s="123">
        <f>IF(BZ64&lt;0.01,0,IF(Plus!$F$22=Plus!$AN$4,BZ64*$BZ$15,IF(Plus!$F$22=Plus!$AN$3,BZ64*Plus!$F$23/1000,BZ64*VLOOKUP(Plus!$G$21,Plus!$AP$2:'Plus'!$AQ$5,2,0))))</f>
        <v>0</v>
      </c>
      <c r="BU65" s="123">
        <f>IF(BZ64&lt;0.01,0,IF(Plus!$F$24=Plus!$AO$3,Plus!$G$13*Plus!$AR$2/1.16,IF(Plus!$F$10=Plus!$AK$7,0,Plus!$G$13*Plus!$AR$2/1.16)))</f>
        <v>0</v>
      </c>
      <c r="BV65" s="123">
        <f>IF(BZ64&lt;0.01,0,Plus!$BD$2)</f>
        <v>0</v>
      </c>
      <c r="BW65" s="123"/>
      <c r="BX65" s="123">
        <f t="shared" si="12"/>
        <v>0</v>
      </c>
      <c r="BY65" s="123">
        <f>IF(Plus!$F$10=Plus!$AK$3,MIN(BZ64+BQ65+BT65+BU65+BV65-BX65,CJ65),0)</f>
        <v>0</v>
      </c>
      <c r="BZ65" s="297">
        <f t="shared" si="144"/>
        <v>0</v>
      </c>
      <c r="CA65" s="74"/>
      <c r="CB65" s="74"/>
      <c r="CC65" s="413">
        <f t="shared" si="47"/>
        <v>0</v>
      </c>
      <c r="CF65" s="90">
        <f t="shared" si="48"/>
        <v>5</v>
      </c>
      <c r="CG65" s="121">
        <f t="shared" si="106"/>
        <v>0</v>
      </c>
      <c r="CI65" s="70">
        <f t="shared" si="107"/>
        <v>0</v>
      </c>
      <c r="CJ65" s="2178">
        <f t="shared" ca="1" si="49"/>
        <v>0</v>
      </c>
      <c r="CL65" s="161"/>
      <c r="CN65" s="308">
        <f t="shared" ca="1" si="13"/>
        <v>8</v>
      </c>
      <c r="CO65" s="309">
        <f t="shared" si="50"/>
        <v>0</v>
      </c>
      <c r="CP65" s="268">
        <f t="shared" si="14"/>
        <v>0</v>
      </c>
      <c r="CQ65" s="123">
        <f t="shared" si="51"/>
        <v>0</v>
      </c>
      <c r="CR65" s="123">
        <f t="shared" si="137"/>
        <v>0</v>
      </c>
      <c r="CS65" s="123">
        <f t="shared" si="138"/>
        <v>0</v>
      </c>
      <c r="CT65" s="33">
        <f>IF(CZ64&lt;0.01,0,IF(Plus!$F$22=Plus!$AN$4,0,IF(Plus!$F$22=Plus!$AN$3,CZ64*Plus!$F$23/1000,CZ64*VLOOKUP(Plus!$G$21,Plus!$AP$2:'Plus'!$AQ$5,2,0))))</f>
        <v>0</v>
      </c>
      <c r="CU65" s="123">
        <f>IF(CZ64&lt;0.01,0,IF(Plus!$F$24=Plus!$AO$3,0,IF(OR(Plus!$F$10=Plus!$AK$7,Plus!$F$10=Plus!$AK$13),0,Plus!$G$13*Plus!$AR$2)))</f>
        <v>0</v>
      </c>
      <c r="CV65" s="123">
        <f>IF(CZ64&lt;0.01,0,IF(OR(Plus!$F$10=Plus!$AK$7,Plus!$F$10=Plus!$AK$13),0,Plus!$BD$2*1.16))</f>
        <v>0</v>
      </c>
      <c r="CW65" s="123">
        <f>IF(CZ64&lt;0.01,0,IF(Plus!$AS$2&gt;0,CQ65*Plus!$AS$3,0))</f>
        <v>0</v>
      </c>
      <c r="CX65" s="123">
        <f t="shared" si="52"/>
        <v>0</v>
      </c>
      <c r="CY65" s="123">
        <f>IF(Plus!$F$10=Plus!$AK$3,MIN(CZ64+CQ65+CT65+CU65+CV65-CX65,DK65),0)</f>
        <v>0</v>
      </c>
      <c r="CZ65" s="297">
        <f t="shared" si="146"/>
        <v>0</v>
      </c>
      <c r="DA65" s="306">
        <f>Plus!O106</f>
        <v>0</v>
      </c>
      <c r="DB65" s="74"/>
      <c r="DC65" s="74"/>
      <c r="DD65" s="407">
        <f t="shared" si="54"/>
        <v>0</v>
      </c>
      <c r="DG65" s="90">
        <f t="shared" si="55"/>
        <v>5</v>
      </c>
      <c r="DH65" s="121">
        <f t="shared" si="108"/>
        <v>0</v>
      </c>
      <c r="DJ65" s="149">
        <f t="shared" si="109"/>
        <v>0</v>
      </c>
      <c r="DK65" s="2179">
        <f t="shared" ca="1" si="56"/>
        <v>0</v>
      </c>
      <c r="DN65" s="120">
        <f t="shared" si="110"/>
        <v>0</v>
      </c>
      <c r="DO65" s="110">
        <f t="shared" si="57"/>
        <v>0</v>
      </c>
      <c r="DP65" s="110">
        <f t="shared" si="124"/>
        <v>0</v>
      </c>
      <c r="DQ65" s="109">
        <f t="shared" si="58"/>
        <v>0</v>
      </c>
      <c r="DR65" s="109">
        <f t="shared" si="59"/>
        <v>0</v>
      </c>
      <c r="DS65" s="113">
        <f t="shared" si="60"/>
        <v>0</v>
      </c>
      <c r="DU65" s="102">
        <f t="shared" si="61"/>
        <v>0</v>
      </c>
      <c r="DV65" s="211">
        <f t="shared" si="125"/>
        <v>41</v>
      </c>
      <c r="DW65" s="212">
        <f t="shared" si="62"/>
        <v>0</v>
      </c>
      <c r="DX65" s="212">
        <f t="shared" si="15"/>
        <v>0</v>
      </c>
      <c r="DY65" s="212">
        <f t="shared" si="111"/>
        <v>0</v>
      </c>
      <c r="DZ65" s="213">
        <f t="shared" si="16"/>
        <v>1000000</v>
      </c>
      <c r="ED65" s="182"/>
      <c r="EF65" s="308">
        <f t="shared" ca="1" si="17"/>
        <v>8</v>
      </c>
      <c r="EG65" s="309">
        <f t="shared" si="63"/>
        <v>0</v>
      </c>
      <c r="EH65" s="268">
        <f t="shared" si="18"/>
        <v>0</v>
      </c>
      <c r="EI65" s="33">
        <f t="shared" si="64"/>
        <v>0</v>
      </c>
      <c r="EJ65" s="33">
        <f t="shared" si="139"/>
        <v>0</v>
      </c>
      <c r="EK65" s="33">
        <f t="shared" si="151"/>
        <v>0</v>
      </c>
      <c r="EL65" s="33">
        <f>IF(ER64&lt;0.01,0,IF(Plus!$F$22=Plus!$AN$4,0,IF(Plus!$F$22=Plus!$AN$3,ER64*Plus!$F$23/1000,ER64*VLOOKUP(Plus!$G$21,Plus!$AP$2:'Plus'!$AQ$5,2,0))))</f>
        <v>0</v>
      </c>
      <c r="EM65" s="33">
        <f>IF(ER64&lt;0.01,0,IF(Plus!$F$24=Plus!$AO$3,0,IF(OR(Plus!$F$10=Plus!$AK$7,Plus!$F$10=Plus!$AK$13),0,Plus!$G$13*Plus!$AR$2)))</f>
        <v>0</v>
      </c>
      <c r="EN65" s="33">
        <f>IF(ER64&lt;0.01,0,IF(OR(Plus!$F$10=Plus!$AK$7,Plus!$F$10=Plus!$AK$13),0,Plus!$BD$2*1.16))</f>
        <v>0</v>
      </c>
      <c r="EO65" s="33">
        <f>IF(ER64&lt;0.01,0,IF(Plus!$AS$2&gt;0,EI65*Plus!$AS$3,0))</f>
        <v>0</v>
      </c>
      <c r="EP65" s="33">
        <f t="shared" si="65"/>
        <v>0</v>
      </c>
      <c r="EQ65" s="33">
        <f>IF(Plus!$F$10=Plus!$AK$3,MIN(ER64+EI65+EL65+EM65+EN65-EP65,FC65),0)</f>
        <v>0</v>
      </c>
      <c r="ER65" s="311">
        <f t="shared" si="145"/>
        <v>0</v>
      </c>
      <c r="ES65" s="340">
        <f>Plus!O106</f>
        <v>0</v>
      </c>
      <c r="ET65" s="74"/>
      <c r="EU65" s="74"/>
      <c r="EV65" s="416">
        <f t="shared" si="134"/>
        <v>0</v>
      </c>
      <c r="EY65" s="90">
        <f t="shared" si="68"/>
        <v>5</v>
      </c>
      <c r="EZ65" s="121">
        <f t="shared" si="112"/>
        <v>0</v>
      </c>
      <c r="FB65" s="149">
        <f t="shared" si="113"/>
        <v>0</v>
      </c>
      <c r="FC65" s="2179">
        <f t="shared" ca="1" si="69"/>
        <v>0</v>
      </c>
      <c r="FE65" s="120">
        <f t="shared" si="114"/>
        <v>0</v>
      </c>
      <c r="FF65" s="110">
        <f t="shared" si="70"/>
        <v>0</v>
      </c>
      <c r="FG65" s="110">
        <f t="shared" si="71"/>
        <v>0</v>
      </c>
      <c r="FH65" s="109">
        <f t="shared" si="72"/>
        <v>0</v>
      </c>
      <c r="FI65" s="109">
        <f t="shared" si="19"/>
        <v>0</v>
      </c>
      <c r="FJ65" s="113">
        <f t="shared" si="73"/>
        <v>0</v>
      </c>
      <c r="FL65" s="102">
        <f t="shared" si="74"/>
        <v>0</v>
      </c>
      <c r="FM65" s="211">
        <f t="shared" si="127"/>
        <v>41</v>
      </c>
      <c r="FN65" s="212">
        <f t="shared" si="75"/>
        <v>0</v>
      </c>
      <c r="FO65" s="212">
        <f t="shared" si="20"/>
        <v>0</v>
      </c>
      <c r="FP65" s="212">
        <f t="shared" si="155"/>
        <v>0</v>
      </c>
      <c r="FQ65" s="213">
        <f t="shared" si="21"/>
        <v>1000000</v>
      </c>
      <c r="FV65" s="359"/>
      <c r="FX65" s="308">
        <f t="shared" ca="1" si="22"/>
        <v>8</v>
      </c>
      <c r="FY65" s="309">
        <f t="shared" si="76"/>
        <v>0</v>
      </c>
      <c r="FZ65" s="268">
        <f t="shared" si="23"/>
        <v>0</v>
      </c>
      <c r="GA65" s="33">
        <f t="shared" si="77"/>
        <v>0</v>
      </c>
      <c r="GB65" s="33">
        <f t="shared" si="141"/>
        <v>0</v>
      </c>
      <c r="GC65" s="33">
        <f t="shared" si="142"/>
        <v>0</v>
      </c>
      <c r="GD65" s="33">
        <f>IF(GJ64&lt;0.01,0,IF(Plus!$F$22=Plus!$AN$4,0,IF(Plus!$F$22=Plus!$AN$3,GJ64*Plus!$F$23/1000,GJ64*VLOOKUP(Plus!$G$21,Plus!$AP$2:$AQ$5,2,0))))</f>
        <v>0</v>
      </c>
      <c r="GE65" s="33">
        <f>IF(GJ64&lt;0.01,0,IF(Plus!$F$24=Plus!$AO$3,0,IF(OR(Plus!$F$10=Plus!$AK$7,Plus!$F$10=Plus!$AK$13,Plus!$F$10=Plus!$AK$14),0,IF(OR(Plus!$F$10=Plus!$AK$10,Plus!$F$10=Plus!$AK$11),Plus!$G$13*Adm!$W$7,Plus!$G$13*Adm!$X$4))))</f>
        <v>0</v>
      </c>
      <c r="GF65" s="33">
        <f>IF(GJ64&lt;0.01,0,IF(OR(Plus!$F$10=Plus!$AK$7,Plus!$F$10=Plus!$AK$13),0,Plus!$BD$2*1.16))</f>
        <v>0</v>
      </c>
      <c r="GG65" s="33">
        <f>IF(GJ64&lt;0.01,0,IF(Plus!$AS$2&gt;0,GA65*Plus!$AS$3,0))</f>
        <v>0</v>
      </c>
      <c r="GH65" s="33">
        <f t="shared" si="78"/>
        <v>0</v>
      </c>
      <c r="GI65" s="33">
        <f>IF(Plus!$F$10=Plus!$AK$3,MIN(GJ64+GA65+GD65+GE65+GF65-GH65,GU65),0)</f>
        <v>0</v>
      </c>
      <c r="GJ65" s="311">
        <f t="shared" si="136"/>
        <v>0</v>
      </c>
      <c r="GK65" s="340">
        <f>Plus!O106</f>
        <v>0</v>
      </c>
      <c r="GL65" s="74"/>
      <c r="GM65" s="74"/>
      <c r="GN65" s="419">
        <f t="shared" si="135"/>
        <v>0</v>
      </c>
      <c r="GQ65" s="90">
        <f t="shared" si="80"/>
        <v>5</v>
      </c>
      <c r="GR65" s="121">
        <f t="shared" si="116"/>
        <v>0</v>
      </c>
      <c r="GT65" s="149">
        <f t="shared" si="117"/>
        <v>0</v>
      </c>
      <c r="GU65" s="2179">
        <f t="shared" ca="1" si="81"/>
        <v>0</v>
      </c>
      <c r="GW65" s="120">
        <f t="shared" si="118"/>
        <v>0</v>
      </c>
      <c r="GX65" s="110">
        <f t="shared" si="82"/>
        <v>0</v>
      </c>
      <c r="GY65" s="110">
        <f t="shared" si="83"/>
        <v>0</v>
      </c>
      <c r="GZ65" s="109">
        <f t="shared" si="84"/>
        <v>0</v>
      </c>
      <c r="HA65" s="109">
        <f t="shared" si="24"/>
        <v>0</v>
      </c>
      <c r="HB65" s="113">
        <f t="shared" si="85"/>
        <v>0</v>
      </c>
      <c r="HD65" s="102">
        <f t="shared" si="86"/>
        <v>0</v>
      </c>
      <c r="HE65" s="211">
        <f t="shared" si="129"/>
        <v>41</v>
      </c>
      <c r="HF65" s="212">
        <f t="shared" si="87"/>
        <v>0</v>
      </c>
      <c r="HG65" s="212">
        <f t="shared" si="25"/>
        <v>0</v>
      </c>
      <c r="HH65" s="212">
        <f t="shared" si="156"/>
        <v>0</v>
      </c>
      <c r="HI65" s="213">
        <f t="shared" si="26"/>
        <v>1000000</v>
      </c>
      <c r="HL65" s="182"/>
      <c r="HM65" s="26">
        <f t="shared" ca="1" si="27"/>
        <v>8</v>
      </c>
      <c r="HO65" s="268">
        <f t="shared" si="28"/>
        <v>0</v>
      </c>
      <c r="HP65" s="151">
        <f t="shared" si="157"/>
        <v>0</v>
      </c>
      <c r="HQ65" s="123">
        <f t="shared" si="88"/>
        <v>0</v>
      </c>
      <c r="HR65" s="123">
        <f t="shared" si="89"/>
        <v>0</v>
      </c>
      <c r="HS65" s="123">
        <f t="shared" si="90"/>
        <v>0</v>
      </c>
      <c r="HT65" s="123">
        <f>IF(HY64&lt;0.01,0,IF(Adm!$GS$4=Adm!$GS$8,HY64*$HY$15,IF(Adm!$GS$12=Adm!$GS$13,0,HY64*Adm!$GV$4)))</f>
        <v>0</v>
      </c>
      <c r="HU65" s="123">
        <f>IF(HY64&lt;0.01,0,IF(Adm!$GS$5=Adm!$GS$8,Cal!$BO$108*$HY$16/1.16,IF(Adm!$GS$12=Adm!$GS$13,0,Cal!$BO$108*Adm!$GW$4/1.16)))</f>
        <v>0</v>
      </c>
      <c r="HV65" s="123">
        <f t="shared" si="91"/>
        <v>0</v>
      </c>
      <c r="HW65" s="123">
        <f t="shared" si="92"/>
        <v>0</v>
      </c>
      <c r="HX65" s="123">
        <f>IF(Adm!$GH$6="si",MIN(HY64+HQ65+HT65+HU65+HV65-HW65,IH65),0)</f>
        <v>0</v>
      </c>
      <c r="HY65" s="297">
        <f t="shared" si="93"/>
        <v>0</v>
      </c>
      <c r="HZ65" s="74"/>
      <c r="IA65" s="407">
        <f t="shared" si="94"/>
        <v>0</v>
      </c>
      <c r="IC65" s="90">
        <f t="shared" si="95"/>
        <v>5</v>
      </c>
      <c r="ID65" s="124">
        <f>IF(IC65=1,Cal!$BO$127,0)</f>
        <v>0</v>
      </c>
      <c r="IE65" s="178">
        <f>IF(IC65=1,Adm!$HI$4,0)</f>
        <v>0</v>
      </c>
      <c r="IG65" s="70">
        <f t="shared" si="121"/>
        <v>0</v>
      </c>
      <c r="IH65" s="2178">
        <f t="shared" ca="1" si="96"/>
        <v>0</v>
      </c>
      <c r="IK65" s="217"/>
      <c r="IL65" s="26">
        <f t="shared" ca="1" si="29"/>
        <v>8</v>
      </c>
      <c r="IN65" s="268">
        <f t="shared" si="30"/>
        <v>0</v>
      </c>
      <c r="IO65" s="151">
        <f t="shared" si="154"/>
        <v>0</v>
      </c>
      <c r="IP65" s="123">
        <f t="shared" si="97"/>
        <v>0</v>
      </c>
      <c r="IQ65" s="123">
        <f t="shared" si="98"/>
        <v>0</v>
      </c>
      <c r="IR65" s="123">
        <f t="shared" si="99"/>
        <v>0</v>
      </c>
      <c r="IS65" s="123">
        <f>IF(IX64&lt;0.01,0,IF(Adm!$GS$4=Adm!$GS$8,IX64*$IX$15,IF(Adm!$GS$12=Adm!$GS$13,0,IX64*Adm!$GV$4)))</f>
        <v>0</v>
      </c>
      <c r="IT65" s="123"/>
      <c r="IU65" s="123">
        <f t="shared" si="100"/>
        <v>0</v>
      </c>
      <c r="IV65" s="123">
        <f t="shared" si="101"/>
        <v>0</v>
      </c>
      <c r="IW65" s="123"/>
      <c r="IX65" s="297">
        <f t="shared" si="102"/>
        <v>0</v>
      </c>
      <c r="IY65" s="74"/>
      <c r="IZ65" s="416">
        <f t="shared" si="103"/>
        <v>0</v>
      </c>
      <c r="JB65" s="90">
        <f t="shared" si="104"/>
        <v>5</v>
      </c>
      <c r="JC65" s="124">
        <f>IF(JB65=1,Cal!$BP$127,0)</f>
        <v>0</v>
      </c>
      <c r="JD65" s="178">
        <f>IF(JB65=1,Adm!$HI$4,0)</f>
        <v>0</v>
      </c>
    </row>
    <row r="66" spans="1:264">
      <c r="A66" s="26">
        <f t="shared" ca="1" si="0"/>
        <v>9</v>
      </c>
      <c r="C66" s="33">
        <f t="shared" si="1"/>
        <v>0</v>
      </c>
      <c r="D66" s="123">
        <f t="shared" si="31"/>
        <v>0</v>
      </c>
      <c r="E66" s="123">
        <f t="shared" si="147"/>
        <v>0</v>
      </c>
      <c r="F66" s="123">
        <f t="shared" si="149"/>
        <v>0</v>
      </c>
      <c r="G66" s="123">
        <f>IF(L65&lt;0.01,0,IF(Adm!$S$4=Adm!$S$8,L65*$L$15,L65*Adm!$V$4))</f>
        <v>0</v>
      </c>
      <c r="H66" s="123">
        <f>IF(L65&lt;0.01,0,IF(Adm!$S$5=Adm!$S$8,Adm!$AA$11*$L$16/1.16,IF(Adm!$B$4=Adm!$A$119,0,Adm!$AA$11*Adm!$X$4/1.16)))</f>
        <v>0</v>
      </c>
      <c r="I66" s="123">
        <f>IF(L65&lt;0.01,0,Cal!$AB$126/1.16)</f>
        <v>0</v>
      </c>
      <c r="J66" s="123">
        <f t="shared" si="2"/>
        <v>0</v>
      </c>
      <c r="K66" s="123">
        <f>IF(Adm!$G$4="si",MIN(L65+D66+G66+H66+I66-J66,V66),0)</f>
        <v>0</v>
      </c>
      <c r="L66" s="123">
        <f t="shared" si="32"/>
        <v>0</v>
      </c>
      <c r="M66" s="74"/>
      <c r="N66" s="74"/>
      <c r="O66" s="407">
        <f t="shared" si="33"/>
        <v>0</v>
      </c>
      <c r="R66" s="90">
        <f t="shared" si="34"/>
        <v>6</v>
      </c>
      <c r="S66" s="121">
        <f>IF(R66=1,Cal!$AB$127,0)</f>
        <v>0</v>
      </c>
      <c r="U66" s="70">
        <f t="shared" si="105"/>
        <v>0</v>
      </c>
      <c r="V66" s="2178">
        <f t="shared" ca="1" si="35"/>
        <v>0</v>
      </c>
      <c r="X66" s="398"/>
      <c r="Z66" s="268">
        <f t="shared" si="3"/>
        <v>0</v>
      </c>
      <c r="AA66" s="2176">
        <f t="shared" si="36"/>
        <v>0</v>
      </c>
      <c r="AB66" s="33">
        <f t="shared" si="37"/>
        <v>0</v>
      </c>
      <c r="AC66" s="33">
        <f t="shared" si="38"/>
        <v>0</v>
      </c>
      <c r="AD66" s="33">
        <f>IF(AI65&lt;0.01,0,IF(Adm!$S$4=Adm!$S$8,AI65*$AI$15,AI65*Adm!$V$4))</f>
        <v>0</v>
      </c>
      <c r="AE66" s="33"/>
      <c r="AF66" s="33"/>
      <c r="AG66" s="33">
        <f t="shared" si="4"/>
        <v>0</v>
      </c>
      <c r="AH66" s="33"/>
      <c r="AI66" s="401">
        <f t="shared" si="5"/>
        <v>0</v>
      </c>
      <c r="AK66" s="410">
        <f t="shared" si="6"/>
        <v>0</v>
      </c>
      <c r="AN66" s="90">
        <f t="shared" si="39"/>
        <v>6</v>
      </c>
      <c r="AO66" s="121">
        <f>IF(AN66=1,Cal!$AC$127,0)</f>
        <v>0</v>
      </c>
      <c r="AS66" s="200"/>
      <c r="AU66" s="268">
        <f t="shared" si="7"/>
        <v>0</v>
      </c>
      <c r="AV66" s="2177">
        <f t="shared" si="40"/>
        <v>0</v>
      </c>
      <c r="AW66" s="123">
        <f t="shared" si="8"/>
        <v>0</v>
      </c>
      <c r="AX66" s="123">
        <f t="shared" si="41"/>
        <v>0</v>
      </c>
      <c r="AY66" s="123">
        <f>IF(BC65&lt;0.01,0,IF(Adm!$S$4=Adm!$S$8,BC65*$BC$16,BC65*Adm!$V$4))</f>
        <v>0</v>
      </c>
      <c r="AZ66" s="123"/>
      <c r="BA66" s="123">
        <f>IF(BC65&lt;0.01,0,Adm!$Q$6)</f>
        <v>0</v>
      </c>
      <c r="BB66" s="123">
        <f t="shared" si="42"/>
        <v>0</v>
      </c>
      <c r="BC66" s="297">
        <f t="shared" si="43"/>
        <v>0</v>
      </c>
      <c r="BE66" s="425">
        <f t="shared" si="9"/>
        <v>0</v>
      </c>
      <c r="BH66" s="90">
        <f t="shared" si="44"/>
        <v>6</v>
      </c>
      <c r="BI66" s="121">
        <f>IF(BH66=1,Cal!$AD$127,0)</f>
        <v>0</v>
      </c>
      <c r="BM66" s="221"/>
      <c r="BO66" s="295">
        <f t="shared" ca="1" si="10"/>
        <v>9</v>
      </c>
      <c r="BP66" s="268">
        <f t="shared" si="11"/>
        <v>0</v>
      </c>
      <c r="BQ66" s="123">
        <f t="shared" si="45"/>
        <v>0</v>
      </c>
      <c r="BR66" s="123">
        <f t="shared" si="148"/>
        <v>0</v>
      </c>
      <c r="BS66" s="123">
        <f t="shared" si="150"/>
        <v>0</v>
      </c>
      <c r="BT66" s="123">
        <f>IF(BZ65&lt;0.01,0,IF(Plus!$F$22=Plus!$AN$4,BZ65*$BZ$15,IF(Plus!$F$22=Plus!$AN$3,BZ65*Plus!$F$23/1000,BZ65*VLOOKUP(Plus!$G$21,Plus!$AP$2:'Plus'!$AQ$5,2,0))))</f>
        <v>0</v>
      </c>
      <c r="BU66" s="123">
        <f>IF(BZ65&lt;0.01,0,IF(Plus!$F$24=Plus!$AO$3,Plus!$G$13*Plus!$AR$2/1.16,IF(Plus!$F$10=Plus!$AK$7,0,Plus!$G$13*Plus!$AR$2/1.16)))</f>
        <v>0</v>
      </c>
      <c r="BV66" s="123">
        <f>IF(BZ65&lt;0.01,0,Plus!$BD$2)</f>
        <v>0</v>
      </c>
      <c r="BW66" s="123"/>
      <c r="BX66" s="123">
        <f t="shared" si="12"/>
        <v>0</v>
      </c>
      <c r="BY66" s="123">
        <f>IF(Plus!$F$10=Plus!$AK$3,MIN(BZ65+BQ66+BT66+BU66+BV66-BX66,CJ66),0)</f>
        <v>0</v>
      </c>
      <c r="BZ66" s="297">
        <f t="shared" si="144"/>
        <v>0</v>
      </c>
      <c r="CA66" s="74"/>
      <c r="CB66" s="74"/>
      <c r="CC66" s="413">
        <f t="shared" si="47"/>
        <v>0</v>
      </c>
      <c r="CF66" s="90">
        <f t="shared" si="48"/>
        <v>6</v>
      </c>
      <c r="CG66" s="121">
        <f t="shared" si="106"/>
        <v>0</v>
      </c>
      <c r="CI66" s="70">
        <f t="shared" si="107"/>
        <v>0</v>
      </c>
      <c r="CJ66" s="2178">
        <f t="shared" ca="1" si="49"/>
        <v>0</v>
      </c>
      <c r="CL66" s="161"/>
      <c r="CN66" s="308">
        <f t="shared" ca="1" si="13"/>
        <v>9</v>
      </c>
      <c r="CO66" s="309">
        <f t="shared" si="50"/>
        <v>0</v>
      </c>
      <c r="CP66" s="268">
        <f t="shared" si="14"/>
        <v>0</v>
      </c>
      <c r="CQ66" s="123">
        <f t="shared" si="51"/>
        <v>0</v>
      </c>
      <c r="CR66" s="123">
        <f t="shared" si="137"/>
        <v>0</v>
      </c>
      <c r="CS66" s="123">
        <f t="shared" si="138"/>
        <v>0</v>
      </c>
      <c r="CT66" s="33">
        <f>IF(CZ65&lt;0.01,0,IF(Plus!$F$22=Plus!$AN$4,0,IF(Plus!$F$22=Plus!$AN$3,CZ65*Plus!$F$23/1000,CZ65*VLOOKUP(Plus!$G$21,Plus!$AP$2:'Plus'!$AQ$5,2,0))))</f>
        <v>0</v>
      </c>
      <c r="CU66" s="123">
        <f>IF(CZ65&lt;0.01,0,IF(Plus!$F$24=Plus!$AO$3,0,IF(OR(Plus!$F$10=Plus!$AK$7,Plus!$F$10=Plus!$AK$13),0,Plus!$G$13*Plus!$AR$2)))</f>
        <v>0</v>
      </c>
      <c r="CV66" s="123">
        <f>IF(CZ65&lt;0.01,0,IF(OR(Plus!$F$10=Plus!$AK$7,Plus!$F$10=Plus!$AK$13),0,Plus!$BD$2*1.16))</f>
        <v>0</v>
      </c>
      <c r="CW66" s="123">
        <f>IF(CZ65&lt;0.01,0,IF(Plus!$AS$2&gt;0,CQ66*Plus!$AS$3,0))</f>
        <v>0</v>
      </c>
      <c r="CX66" s="123">
        <f t="shared" si="52"/>
        <v>0</v>
      </c>
      <c r="CY66" s="123">
        <f>IF(Plus!$F$10=Plus!$AK$3,MIN(CZ65+CQ66+CT66+CU66+CV66-CX66,DK66),0)</f>
        <v>0</v>
      </c>
      <c r="CZ66" s="297">
        <f t="shared" si="146"/>
        <v>0</v>
      </c>
      <c r="DA66" s="306">
        <f>Plus!O107</f>
        <v>0</v>
      </c>
      <c r="DB66" s="74"/>
      <c r="DC66" s="74"/>
      <c r="DD66" s="407">
        <f t="shared" si="54"/>
        <v>0</v>
      </c>
      <c r="DG66" s="90">
        <f t="shared" si="55"/>
        <v>6</v>
      </c>
      <c r="DH66" s="121">
        <f t="shared" si="108"/>
        <v>0</v>
      </c>
      <c r="DJ66" s="149">
        <f t="shared" si="109"/>
        <v>0</v>
      </c>
      <c r="DK66" s="2179">
        <f t="shared" ca="1" si="56"/>
        <v>0</v>
      </c>
      <c r="DN66" s="120">
        <f t="shared" si="110"/>
        <v>0</v>
      </c>
      <c r="DO66" s="110">
        <f t="shared" si="57"/>
        <v>0</v>
      </c>
      <c r="DP66" s="110">
        <f t="shared" si="124"/>
        <v>0</v>
      </c>
      <c r="DQ66" s="109">
        <f t="shared" si="58"/>
        <v>0</v>
      </c>
      <c r="DR66" s="109">
        <f t="shared" si="59"/>
        <v>0</v>
      </c>
      <c r="DS66" s="113">
        <f t="shared" si="60"/>
        <v>0</v>
      </c>
      <c r="DU66" s="102">
        <f t="shared" si="61"/>
        <v>0</v>
      </c>
      <c r="DV66" s="211">
        <f t="shared" si="125"/>
        <v>42</v>
      </c>
      <c r="DW66" s="212">
        <f t="shared" si="62"/>
        <v>0</v>
      </c>
      <c r="DX66" s="212">
        <f t="shared" si="15"/>
        <v>0</v>
      </c>
      <c r="DY66" s="212">
        <f t="shared" si="111"/>
        <v>0</v>
      </c>
      <c r="DZ66" s="213">
        <f t="shared" si="16"/>
        <v>1000000</v>
      </c>
      <c r="ED66" s="182"/>
      <c r="EF66" s="308">
        <f t="shared" ca="1" si="17"/>
        <v>9</v>
      </c>
      <c r="EG66" s="309">
        <f t="shared" si="63"/>
        <v>0</v>
      </c>
      <c r="EH66" s="268">
        <f t="shared" si="18"/>
        <v>0</v>
      </c>
      <c r="EI66" s="33">
        <f t="shared" si="64"/>
        <v>0</v>
      </c>
      <c r="EJ66" s="33">
        <f t="shared" si="139"/>
        <v>0</v>
      </c>
      <c r="EK66" s="33">
        <f t="shared" si="151"/>
        <v>0</v>
      </c>
      <c r="EL66" s="33">
        <f>IF(ER65&lt;0.01,0,IF(Plus!$F$22=Plus!$AN$4,0,IF(Plus!$F$22=Plus!$AN$3,ER65*Plus!$F$23/1000,ER65*VLOOKUP(Plus!$G$21,Plus!$AP$2:'Plus'!$AQ$5,2,0))))</f>
        <v>0</v>
      </c>
      <c r="EM66" s="33">
        <f>IF(ER65&lt;0.01,0,IF(Plus!$F$24=Plus!$AO$3,0,IF(OR(Plus!$F$10=Plus!$AK$7,Plus!$F$10=Plus!$AK$13),0,Plus!$G$13*Plus!$AR$2)))</f>
        <v>0</v>
      </c>
      <c r="EN66" s="33">
        <f>IF(ER65&lt;0.01,0,IF(OR(Plus!$F$10=Plus!$AK$7,Plus!$F$10=Plus!$AK$13),0,Plus!$BD$2*1.16))</f>
        <v>0</v>
      </c>
      <c r="EO66" s="33">
        <f>IF(ER65&lt;0.01,0,IF(Plus!$AS$2&gt;0,EI66*Plus!$AS$3,0))</f>
        <v>0</v>
      </c>
      <c r="EP66" s="33">
        <f t="shared" si="65"/>
        <v>0</v>
      </c>
      <c r="EQ66" s="33">
        <f>IF(Plus!$F$10=Plus!$AK$3,MIN(ER65+EI66+EL66+EM66+EN66-EP66,FC66),0)</f>
        <v>0</v>
      </c>
      <c r="ER66" s="311">
        <f t="shared" si="145"/>
        <v>0</v>
      </c>
      <c r="ES66" s="340">
        <f>Plus!O107</f>
        <v>0</v>
      </c>
      <c r="ET66" s="74"/>
      <c r="EU66" s="74"/>
      <c r="EV66" s="416">
        <f t="shared" si="134"/>
        <v>0</v>
      </c>
      <c r="EY66" s="90">
        <f t="shared" si="68"/>
        <v>6</v>
      </c>
      <c r="EZ66" s="121">
        <f t="shared" si="112"/>
        <v>0</v>
      </c>
      <c r="FB66" s="149">
        <f t="shared" si="113"/>
        <v>0</v>
      </c>
      <c r="FC66" s="2179">
        <f t="shared" ca="1" si="69"/>
        <v>0</v>
      </c>
      <c r="FE66" s="120">
        <f t="shared" si="114"/>
        <v>0</v>
      </c>
      <c r="FF66" s="110">
        <f t="shared" si="70"/>
        <v>0</v>
      </c>
      <c r="FG66" s="110">
        <f t="shared" si="71"/>
        <v>0</v>
      </c>
      <c r="FH66" s="109">
        <f t="shared" si="72"/>
        <v>0</v>
      </c>
      <c r="FI66" s="109">
        <f t="shared" si="19"/>
        <v>0</v>
      </c>
      <c r="FJ66" s="113">
        <f t="shared" si="73"/>
        <v>0</v>
      </c>
      <c r="FL66" s="102">
        <f t="shared" si="74"/>
        <v>0</v>
      </c>
      <c r="FM66" s="211">
        <f t="shared" si="127"/>
        <v>42</v>
      </c>
      <c r="FN66" s="212">
        <f t="shared" si="75"/>
        <v>0</v>
      </c>
      <c r="FO66" s="212">
        <f t="shared" si="20"/>
        <v>0</v>
      </c>
      <c r="FP66" s="212">
        <f t="shared" si="155"/>
        <v>0</v>
      </c>
      <c r="FQ66" s="213">
        <f t="shared" si="21"/>
        <v>1000000</v>
      </c>
      <c r="FV66" s="359"/>
      <c r="FX66" s="308">
        <f t="shared" ca="1" si="22"/>
        <v>9</v>
      </c>
      <c r="FY66" s="309">
        <f t="shared" si="76"/>
        <v>0</v>
      </c>
      <c r="FZ66" s="268">
        <f t="shared" si="23"/>
        <v>0</v>
      </c>
      <c r="GA66" s="33">
        <f t="shared" si="77"/>
        <v>0</v>
      </c>
      <c r="GB66" s="33">
        <f t="shared" si="141"/>
        <v>0</v>
      </c>
      <c r="GC66" s="33">
        <f t="shared" si="142"/>
        <v>0</v>
      </c>
      <c r="GD66" s="33">
        <f>IF(GJ65&lt;0.01,0,IF(Plus!$F$22=Plus!$AN$4,0,IF(Plus!$F$22=Plus!$AN$3,GJ65*Plus!$F$23/1000,GJ65*VLOOKUP(Plus!$G$21,Plus!$AP$2:$AQ$5,2,0))))</f>
        <v>0</v>
      </c>
      <c r="GE66" s="33">
        <f>IF(GJ65&lt;0.01,0,IF(Plus!$F$24=Plus!$AO$3,0,IF(OR(Plus!$F$10=Plus!$AK$7,Plus!$F$10=Plus!$AK$13,Plus!$F$10=Plus!$AK$14),0,IF(OR(Plus!$F$10=Plus!$AK$10,Plus!$F$10=Plus!$AK$11),Plus!$G$13*Adm!$W$7,Plus!$G$13*Adm!$X$4))))</f>
        <v>0</v>
      </c>
      <c r="GF66" s="33">
        <f>IF(GJ65&lt;0.01,0,IF(OR(Plus!$F$10=Plus!$AK$7,Plus!$F$10=Plus!$AK$13),0,Plus!$BD$2*1.16))</f>
        <v>0</v>
      </c>
      <c r="GG66" s="33">
        <f>IF(GJ65&lt;0.01,0,IF(Plus!$AS$2&gt;0,GA66*Plus!$AS$3,0))</f>
        <v>0</v>
      </c>
      <c r="GH66" s="33">
        <f t="shared" si="78"/>
        <v>0</v>
      </c>
      <c r="GI66" s="33">
        <f>IF(Plus!$F$10=Plus!$AK$3,MIN(GJ65+GA66+GD66+GE66+GF66-GH66,GU66),0)</f>
        <v>0</v>
      </c>
      <c r="GJ66" s="311">
        <f t="shared" si="136"/>
        <v>0</v>
      </c>
      <c r="GK66" s="340">
        <f>Plus!O107</f>
        <v>0</v>
      </c>
      <c r="GL66" s="74"/>
      <c r="GM66" s="74"/>
      <c r="GN66" s="419">
        <f t="shared" si="135"/>
        <v>0</v>
      </c>
      <c r="GQ66" s="90">
        <f t="shared" si="80"/>
        <v>6</v>
      </c>
      <c r="GR66" s="121">
        <f t="shared" si="116"/>
        <v>0</v>
      </c>
      <c r="GT66" s="149">
        <f t="shared" si="117"/>
        <v>0</v>
      </c>
      <c r="GU66" s="2179">
        <f t="shared" ca="1" si="81"/>
        <v>0</v>
      </c>
      <c r="GW66" s="120">
        <f t="shared" si="118"/>
        <v>0</v>
      </c>
      <c r="GX66" s="110">
        <f t="shared" si="82"/>
        <v>0</v>
      </c>
      <c r="GY66" s="110">
        <f t="shared" si="83"/>
        <v>0</v>
      </c>
      <c r="GZ66" s="109">
        <f t="shared" si="84"/>
        <v>0</v>
      </c>
      <c r="HA66" s="109">
        <f t="shared" si="24"/>
        <v>0</v>
      </c>
      <c r="HB66" s="113">
        <f t="shared" si="85"/>
        <v>0</v>
      </c>
      <c r="HD66" s="102">
        <f t="shared" si="86"/>
        <v>0</v>
      </c>
      <c r="HE66" s="211">
        <f t="shared" si="129"/>
        <v>42</v>
      </c>
      <c r="HF66" s="212">
        <f t="shared" si="87"/>
        <v>0</v>
      </c>
      <c r="HG66" s="212">
        <f t="shared" si="25"/>
        <v>0</v>
      </c>
      <c r="HH66" s="212">
        <f t="shared" si="156"/>
        <v>0</v>
      </c>
      <c r="HI66" s="213">
        <f t="shared" si="26"/>
        <v>1000000</v>
      </c>
      <c r="HL66" s="182"/>
      <c r="HM66" s="26">
        <f t="shared" ca="1" si="27"/>
        <v>9</v>
      </c>
      <c r="HO66" s="268">
        <f t="shared" si="28"/>
        <v>0</v>
      </c>
      <c r="HP66" s="151">
        <f t="shared" si="157"/>
        <v>0</v>
      </c>
      <c r="HQ66" s="123">
        <f t="shared" si="88"/>
        <v>0</v>
      </c>
      <c r="HR66" s="123">
        <f t="shared" si="89"/>
        <v>0</v>
      </c>
      <c r="HS66" s="123">
        <f t="shared" si="90"/>
        <v>0</v>
      </c>
      <c r="HT66" s="123">
        <f>IF(HY65&lt;0.01,0,IF(Adm!$GS$4=Adm!$GS$8,HY65*$HY$15,IF(Adm!$GS$12=Adm!$GS$13,0,HY65*Adm!$GV$4)))</f>
        <v>0</v>
      </c>
      <c r="HU66" s="123">
        <f>IF(HY65&lt;0.01,0,IF(Adm!$GS$5=Adm!$GS$8,Cal!$BO$108*$HY$16/1.16,IF(Adm!$GS$12=Adm!$GS$13,0,Cal!$BO$108*Adm!$GW$4/1.16)))</f>
        <v>0</v>
      </c>
      <c r="HV66" s="123">
        <f t="shared" si="91"/>
        <v>0</v>
      </c>
      <c r="HW66" s="123">
        <f t="shared" si="92"/>
        <v>0</v>
      </c>
      <c r="HX66" s="123">
        <f>IF(Adm!$GH$6="si",MIN(HY65+HQ66+HT66+HU66+HV66-HW66,IH66),0)</f>
        <v>0</v>
      </c>
      <c r="HY66" s="297">
        <f t="shared" si="93"/>
        <v>0</v>
      </c>
      <c r="HZ66" s="74"/>
      <c r="IA66" s="407">
        <f t="shared" si="94"/>
        <v>0</v>
      </c>
      <c r="IC66" s="90">
        <f t="shared" si="95"/>
        <v>6</v>
      </c>
      <c r="ID66" s="124">
        <f>IF(IC66=1,Cal!$BO$127,0)</f>
        <v>0</v>
      </c>
      <c r="IE66" s="178">
        <f>IF(IC66=1,Adm!$HI$4,0)</f>
        <v>0</v>
      </c>
      <c r="IG66" s="70">
        <f t="shared" si="121"/>
        <v>0</v>
      </c>
      <c r="IH66" s="2178">
        <f t="shared" ca="1" si="96"/>
        <v>0</v>
      </c>
      <c r="IK66" s="217"/>
      <c r="IL66" s="26">
        <f t="shared" ca="1" si="29"/>
        <v>9</v>
      </c>
      <c r="IN66" s="268">
        <f t="shared" si="30"/>
        <v>0</v>
      </c>
      <c r="IO66" s="151">
        <f t="shared" si="154"/>
        <v>0</v>
      </c>
      <c r="IP66" s="123">
        <f t="shared" si="97"/>
        <v>0</v>
      </c>
      <c r="IQ66" s="123">
        <f t="shared" si="98"/>
        <v>0</v>
      </c>
      <c r="IR66" s="123">
        <f t="shared" si="99"/>
        <v>0</v>
      </c>
      <c r="IS66" s="123">
        <f>IF(IX65&lt;0.01,0,IF(Adm!$GS$4=Adm!$GS$8,IX65*$IX$15,IF(Adm!$GS$12=Adm!$GS$13,0,IX65*Adm!$GV$4)))</f>
        <v>0</v>
      </c>
      <c r="IT66" s="123"/>
      <c r="IU66" s="123">
        <f t="shared" si="100"/>
        <v>0</v>
      </c>
      <c r="IV66" s="123">
        <f t="shared" si="101"/>
        <v>0</v>
      </c>
      <c r="IW66" s="123"/>
      <c r="IX66" s="297">
        <f t="shared" si="102"/>
        <v>0</v>
      </c>
      <c r="IY66" s="74"/>
      <c r="IZ66" s="416">
        <f t="shared" si="103"/>
        <v>0</v>
      </c>
      <c r="JB66" s="90">
        <f t="shared" si="104"/>
        <v>6</v>
      </c>
      <c r="JC66" s="124">
        <f>IF(JB66=1,Cal!$BP$127,0)</f>
        <v>0</v>
      </c>
      <c r="JD66" s="178">
        <f>IF(JB66=1,Adm!$HI$4,0)</f>
        <v>0</v>
      </c>
    </row>
    <row r="67" spans="1:264">
      <c r="A67" s="26">
        <f t="shared" ca="1" si="0"/>
        <v>10</v>
      </c>
      <c r="C67" s="33">
        <f t="shared" si="1"/>
        <v>0</v>
      </c>
      <c r="D67" s="123">
        <f t="shared" si="31"/>
        <v>0</v>
      </c>
      <c r="E67" s="123">
        <f t="shared" si="147"/>
        <v>0</v>
      </c>
      <c r="F67" s="123">
        <f t="shared" si="149"/>
        <v>0</v>
      </c>
      <c r="G67" s="123">
        <f>IF(L66&lt;0.01,0,IF(Adm!$S$4=Adm!$S$8,L66*$L$15,L66*Adm!$V$4))</f>
        <v>0</v>
      </c>
      <c r="H67" s="123">
        <f>IF(L66&lt;0.01,0,IF(Adm!$S$5=Adm!$S$8,Adm!$AA$11*$L$16/1.16,IF(Adm!$B$4=Adm!$A$119,0,Adm!$AA$11*Adm!$X$4/1.16)))</f>
        <v>0</v>
      </c>
      <c r="I67" s="123">
        <f>IF(L66&lt;0.01,0,Cal!$AB$126/1.16)</f>
        <v>0</v>
      </c>
      <c r="J67" s="123">
        <f t="shared" si="2"/>
        <v>0</v>
      </c>
      <c r="K67" s="123">
        <f>IF(Adm!$G$4="si",MIN(L66+D67+G67+H67+I67-J67,V67),0)</f>
        <v>0</v>
      </c>
      <c r="L67" s="123">
        <f t="shared" si="32"/>
        <v>0</v>
      </c>
      <c r="M67" s="74"/>
      <c r="N67" s="74"/>
      <c r="O67" s="407">
        <f t="shared" si="33"/>
        <v>0</v>
      </c>
      <c r="R67" s="90">
        <f t="shared" si="34"/>
        <v>7</v>
      </c>
      <c r="S67" s="121">
        <f>IF(R67=1,Cal!$AB$127,0)</f>
        <v>0</v>
      </c>
      <c r="U67" s="70">
        <f t="shared" si="105"/>
        <v>0</v>
      </c>
      <c r="V67" s="2178">
        <f t="shared" ca="1" si="35"/>
        <v>0</v>
      </c>
      <c r="X67" s="398"/>
      <c r="Z67" s="268">
        <f t="shared" si="3"/>
        <v>0</v>
      </c>
      <c r="AA67" s="2176">
        <f t="shared" si="36"/>
        <v>0</v>
      </c>
      <c r="AB67" s="33">
        <f t="shared" si="37"/>
        <v>0</v>
      </c>
      <c r="AC67" s="33">
        <f t="shared" si="38"/>
        <v>0</v>
      </c>
      <c r="AD67" s="33">
        <f>IF(AI66&lt;0.01,0,IF(Adm!$S$4=Adm!$S$8,AI66*$AI$15,AI66*Adm!$V$4))</f>
        <v>0</v>
      </c>
      <c r="AE67" s="33"/>
      <c r="AF67" s="33"/>
      <c r="AG67" s="33">
        <f t="shared" si="4"/>
        <v>0</v>
      </c>
      <c r="AH67" s="33"/>
      <c r="AI67" s="401">
        <f t="shared" si="5"/>
        <v>0</v>
      </c>
      <c r="AK67" s="410">
        <f t="shared" si="6"/>
        <v>0</v>
      </c>
      <c r="AN67" s="90">
        <f t="shared" si="39"/>
        <v>7</v>
      </c>
      <c r="AO67" s="121">
        <f>IF(AN67=1,Cal!$AC$127,0)</f>
        <v>0</v>
      </c>
      <c r="AS67" s="200"/>
      <c r="AU67" s="268">
        <f t="shared" si="7"/>
        <v>0</v>
      </c>
      <c r="AV67" s="2177">
        <f t="shared" si="40"/>
        <v>0</v>
      </c>
      <c r="AW67" s="123">
        <f t="shared" si="8"/>
        <v>0</v>
      </c>
      <c r="AX67" s="123">
        <f t="shared" si="41"/>
        <v>0</v>
      </c>
      <c r="AY67" s="123">
        <f>IF(BC66&lt;0.01,0,IF(Adm!$S$4=Adm!$S$8,BC66*$BC$16,BC66*Adm!$V$4))</f>
        <v>0</v>
      </c>
      <c r="AZ67" s="123"/>
      <c r="BA67" s="123">
        <f>IF(BC66&lt;0.01,0,Adm!$Q$6)</f>
        <v>0</v>
      </c>
      <c r="BB67" s="123">
        <f t="shared" si="42"/>
        <v>0</v>
      </c>
      <c r="BC67" s="297">
        <f t="shared" si="43"/>
        <v>0</v>
      </c>
      <c r="BE67" s="425">
        <f t="shared" si="9"/>
        <v>0</v>
      </c>
      <c r="BH67" s="90">
        <f t="shared" si="44"/>
        <v>7</v>
      </c>
      <c r="BI67" s="121">
        <f>IF(BH67=1,Cal!$AD$127,0)</f>
        <v>0</v>
      </c>
      <c r="BM67" s="221"/>
      <c r="BO67" s="295">
        <f t="shared" ca="1" si="10"/>
        <v>10</v>
      </c>
      <c r="BP67" s="268">
        <f t="shared" si="11"/>
        <v>0</v>
      </c>
      <c r="BQ67" s="123">
        <f t="shared" si="45"/>
        <v>0</v>
      </c>
      <c r="BR67" s="123">
        <f t="shared" si="148"/>
        <v>0</v>
      </c>
      <c r="BS67" s="123">
        <f t="shared" si="150"/>
        <v>0</v>
      </c>
      <c r="BT67" s="123">
        <f>IF(BZ66&lt;0.01,0,IF(Plus!$F$22=Plus!$AN$4,BZ66*$BZ$15,IF(Plus!$F$22=Plus!$AN$3,BZ66*Plus!$F$23/1000,BZ66*VLOOKUP(Plus!$G$21,Plus!$AP$2:'Plus'!$AQ$5,2,0))))</f>
        <v>0</v>
      </c>
      <c r="BU67" s="123">
        <f>IF(BZ66&lt;0.01,0,IF(Plus!$F$24=Plus!$AO$3,Plus!$G$13*Plus!$AR$2/1.16,IF(Plus!$F$10=Plus!$AK$7,0,Plus!$G$13*Plus!$AR$2/1.16)))</f>
        <v>0</v>
      </c>
      <c r="BV67" s="123">
        <f>IF(BZ66&lt;0.01,0,Plus!$BD$2)</f>
        <v>0</v>
      </c>
      <c r="BW67" s="123"/>
      <c r="BX67" s="123">
        <f t="shared" si="12"/>
        <v>0</v>
      </c>
      <c r="BY67" s="123">
        <f>IF(Plus!$F$10=Plus!$AK$3,MIN(BZ66+BQ67+BT67+BU67+BV67-BX67,CJ67),0)</f>
        <v>0</v>
      </c>
      <c r="BZ67" s="297">
        <f t="shared" si="144"/>
        <v>0</v>
      </c>
      <c r="CA67" s="74"/>
      <c r="CB67" s="74"/>
      <c r="CC67" s="413">
        <f t="shared" si="47"/>
        <v>0</v>
      </c>
      <c r="CF67" s="90">
        <f t="shared" si="48"/>
        <v>7</v>
      </c>
      <c r="CG67" s="121">
        <f t="shared" si="106"/>
        <v>0</v>
      </c>
      <c r="CI67" s="70">
        <f t="shared" si="107"/>
        <v>0</v>
      </c>
      <c r="CJ67" s="2178">
        <f t="shared" ca="1" si="49"/>
        <v>0</v>
      </c>
      <c r="CL67" s="161"/>
      <c r="CN67" s="308">
        <f t="shared" ca="1" si="13"/>
        <v>10</v>
      </c>
      <c r="CO67" s="309">
        <f t="shared" si="50"/>
        <v>0</v>
      </c>
      <c r="CP67" s="268">
        <f t="shared" si="14"/>
        <v>0</v>
      </c>
      <c r="CQ67" s="123">
        <f t="shared" si="51"/>
        <v>0</v>
      </c>
      <c r="CR67" s="123">
        <f t="shared" si="137"/>
        <v>0</v>
      </c>
      <c r="CS67" s="123">
        <f t="shared" si="138"/>
        <v>0</v>
      </c>
      <c r="CT67" s="33">
        <f>IF(CZ66&lt;0.01,0,IF(Plus!$F$22=Plus!$AN$4,0,IF(Plus!$F$22=Plus!$AN$3,CZ66*Plus!$F$23/1000,CZ66*VLOOKUP(Plus!$G$21,Plus!$AP$2:'Plus'!$AQ$5,2,0))))</f>
        <v>0</v>
      </c>
      <c r="CU67" s="123">
        <f>IF(CZ66&lt;0.01,0,IF(Plus!$F$24=Plus!$AO$3,0,IF(OR(Plus!$F$10=Plus!$AK$7,Plus!$F$10=Plus!$AK$13),0,Plus!$G$13*Plus!$AR$2)))</f>
        <v>0</v>
      </c>
      <c r="CV67" s="123">
        <f>IF(CZ66&lt;0.01,0,IF(OR(Plus!$F$10=Plus!$AK$7,Plus!$F$10=Plus!$AK$13),0,Plus!$BD$2*1.16))</f>
        <v>0</v>
      </c>
      <c r="CW67" s="123">
        <f>IF(CZ66&lt;0.01,0,IF(Plus!$AS$2&gt;0,CQ67*Plus!$AS$3,0))</f>
        <v>0</v>
      </c>
      <c r="CX67" s="123">
        <f t="shared" si="52"/>
        <v>0</v>
      </c>
      <c r="CY67" s="123">
        <f>IF(Plus!$F$10=Plus!$AK$3,MIN(CZ66+CQ67+CT67+CU67+CV67-CX67,DK67),0)</f>
        <v>0</v>
      </c>
      <c r="CZ67" s="297">
        <f t="shared" si="146"/>
        <v>0</v>
      </c>
      <c r="DA67" s="306">
        <f>Plus!O108</f>
        <v>0</v>
      </c>
      <c r="DB67" s="74"/>
      <c r="DC67" s="74"/>
      <c r="DD67" s="407">
        <f t="shared" si="54"/>
        <v>0</v>
      </c>
      <c r="DG67" s="90">
        <f t="shared" si="55"/>
        <v>7</v>
      </c>
      <c r="DH67" s="121">
        <f t="shared" si="108"/>
        <v>0</v>
      </c>
      <c r="DJ67" s="149">
        <f t="shared" si="109"/>
        <v>0</v>
      </c>
      <c r="DK67" s="2179">
        <f t="shared" ca="1" si="56"/>
        <v>0</v>
      </c>
      <c r="DN67" s="120">
        <f t="shared" si="110"/>
        <v>0</v>
      </c>
      <c r="DO67" s="110">
        <f t="shared" si="57"/>
        <v>0</v>
      </c>
      <c r="DP67" s="110">
        <f t="shared" si="124"/>
        <v>0</v>
      </c>
      <c r="DQ67" s="109">
        <f t="shared" si="58"/>
        <v>0</v>
      </c>
      <c r="DR67" s="109">
        <f t="shared" si="59"/>
        <v>0</v>
      </c>
      <c r="DS67" s="113">
        <f t="shared" si="60"/>
        <v>0</v>
      </c>
      <c r="DU67" s="102">
        <f t="shared" si="61"/>
        <v>0</v>
      </c>
      <c r="DV67" s="211">
        <f t="shared" si="125"/>
        <v>43</v>
      </c>
      <c r="DW67" s="212">
        <f t="shared" si="62"/>
        <v>0</v>
      </c>
      <c r="DX67" s="212">
        <f t="shared" si="15"/>
        <v>0</v>
      </c>
      <c r="DY67" s="212">
        <f t="shared" si="111"/>
        <v>0</v>
      </c>
      <c r="DZ67" s="213">
        <f t="shared" si="16"/>
        <v>1000000</v>
      </c>
      <c r="ED67" s="182"/>
      <c r="EF67" s="308">
        <f t="shared" ca="1" si="17"/>
        <v>10</v>
      </c>
      <c r="EG67" s="309">
        <f t="shared" si="63"/>
        <v>0</v>
      </c>
      <c r="EH67" s="268">
        <f t="shared" si="18"/>
        <v>0</v>
      </c>
      <c r="EI67" s="33">
        <f t="shared" si="64"/>
        <v>0</v>
      </c>
      <c r="EJ67" s="33">
        <f t="shared" si="139"/>
        <v>0</v>
      </c>
      <c r="EK67" s="33">
        <f t="shared" si="151"/>
        <v>0</v>
      </c>
      <c r="EL67" s="33">
        <f>IF(ER66&lt;0.01,0,IF(Plus!$F$22=Plus!$AN$4,0,IF(Plus!$F$22=Plus!$AN$3,ER66*Plus!$F$23/1000,ER66*VLOOKUP(Plus!$G$21,Plus!$AP$2:'Plus'!$AQ$5,2,0))))</f>
        <v>0</v>
      </c>
      <c r="EM67" s="33">
        <f>IF(ER66&lt;0.01,0,IF(Plus!$F$24=Plus!$AO$3,0,IF(OR(Plus!$F$10=Plus!$AK$7,Plus!$F$10=Plus!$AK$13),0,Plus!$G$13*Plus!$AR$2)))</f>
        <v>0</v>
      </c>
      <c r="EN67" s="33">
        <f>IF(ER66&lt;0.01,0,IF(OR(Plus!$F$10=Plus!$AK$7,Plus!$F$10=Plus!$AK$13),0,Plus!$BD$2*1.16))</f>
        <v>0</v>
      </c>
      <c r="EO67" s="33">
        <f>IF(ER66&lt;0.01,0,IF(Plus!$AS$2&gt;0,EI67*Plus!$AS$3,0))</f>
        <v>0</v>
      </c>
      <c r="EP67" s="33">
        <f t="shared" si="65"/>
        <v>0</v>
      </c>
      <c r="EQ67" s="33">
        <f>IF(Plus!$F$10=Plus!$AK$3,MIN(ER66+EI67+EL67+EM67+EN67-EP67,FC67),0)</f>
        <v>0</v>
      </c>
      <c r="ER67" s="311">
        <f t="shared" si="145"/>
        <v>0</v>
      </c>
      <c r="ES67" s="340">
        <f>Plus!O108</f>
        <v>0</v>
      </c>
      <c r="ET67" s="74"/>
      <c r="EU67" s="74"/>
      <c r="EV67" s="416">
        <f t="shared" si="134"/>
        <v>0</v>
      </c>
      <c r="EY67" s="90">
        <f t="shared" si="68"/>
        <v>7</v>
      </c>
      <c r="EZ67" s="121">
        <f t="shared" si="112"/>
        <v>0</v>
      </c>
      <c r="FB67" s="149">
        <f t="shared" si="113"/>
        <v>0</v>
      </c>
      <c r="FC67" s="2179">
        <f t="shared" ca="1" si="69"/>
        <v>0</v>
      </c>
      <c r="FE67" s="120">
        <f t="shared" si="114"/>
        <v>0</v>
      </c>
      <c r="FF67" s="110">
        <f t="shared" si="70"/>
        <v>0</v>
      </c>
      <c r="FG67" s="110">
        <f t="shared" si="71"/>
        <v>0</v>
      </c>
      <c r="FH67" s="109">
        <f t="shared" si="72"/>
        <v>0</v>
      </c>
      <c r="FI67" s="109">
        <f t="shared" si="19"/>
        <v>0</v>
      </c>
      <c r="FJ67" s="113">
        <f t="shared" si="73"/>
        <v>0</v>
      </c>
      <c r="FL67" s="102">
        <f t="shared" si="74"/>
        <v>0</v>
      </c>
      <c r="FM67" s="211">
        <f t="shared" si="127"/>
        <v>43</v>
      </c>
      <c r="FN67" s="212">
        <f t="shared" si="75"/>
        <v>0</v>
      </c>
      <c r="FO67" s="212">
        <f t="shared" si="20"/>
        <v>0</v>
      </c>
      <c r="FP67" s="212">
        <f t="shared" si="155"/>
        <v>0</v>
      </c>
      <c r="FQ67" s="213">
        <f t="shared" si="21"/>
        <v>1000000</v>
      </c>
      <c r="FV67" s="359"/>
      <c r="FX67" s="308">
        <f t="shared" ca="1" si="22"/>
        <v>10</v>
      </c>
      <c r="FY67" s="309">
        <f t="shared" si="76"/>
        <v>0</v>
      </c>
      <c r="FZ67" s="268">
        <f t="shared" si="23"/>
        <v>0</v>
      </c>
      <c r="GA67" s="33">
        <f t="shared" si="77"/>
        <v>0</v>
      </c>
      <c r="GB67" s="33">
        <f t="shared" si="141"/>
        <v>0</v>
      </c>
      <c r="GC67" s="33">
        <f t="shared" si="142"/>
        <v>0</v>
      </c>
      <c r="GD67" s="33">
        <f>IF(GJ66&lt;0.01,0,IF(Plus!$F$22=Plus!$AN$4,0,IF(Plus!$F$22=Plus!$AN$3,GJ66*Plus!$F$23/1000,GJ66*VLOOKUP(Plus!$G$21,Plus!$AP$2:$AQ$5,2,0))))</f>
        <v>0</v>
      </c>
      <c r="GE67" s="33">
        <f>IF(GJ66&lt;0.01,0,IF(Plus!$F$24=Plus!$AO$3,0,IF(OR(Plus!$F$10=Plus!$AK$7,Plus!$F$10=Plus!$AK$13,Plus!$F$10=Plus!$AK$14),0,IF(OR(Plus!$F$10=Plus!$AK$10,Plus!$F$10=Plus!$AK$11),Plus!$G$13*Adm!$W$7,Plus!$G$13*Adm!$X$4))))</f>
        <v>0</v>
      </c>
      <c r="GF67" s="33">
        <f>IF(GJ66&lt;0.01,0,IF(OR(Plus!$F$10=Plus!$AK$7,Plus!$F$10=Plus!$AK$13),0,Plus!$BD$2*1.16))</f>
        <v>0</v>
      </c>
      <c r="GG67" s="33">
        <f>IF(GJ66&lt;0.01,0,IF(Plus!$AS$2&gt;0,GA67*Plus!$AS$3,0))</f>
        <v>0</v>
      </c>
      <c r="GH67" s="33">
        <f t="shared" si="78"/>
        <v>0</v>
      </c>
      <c r="GI67" s="33">
        <f>IF(Plus!$F$10=Plus!$AK$3,MIN(GJ66+GA67+GD67+GE67+GF67-GH67,GU67),0)</f>
        <v>0</v>
      </c>
      <c r="GJ67" s="311">
        <f t="shared" si="136"/>
        <v>0</v>
      </c>
      <c r="GK67" s="340">
        <f>Plus!O108</f>
        <v>0</v>
      </c>
      <c r="GL67" s="74"/>
      <c r="GM67" s="74"/>
      <c r="GN67" s="419">
        <f t="shared" si="135"/>
        <v>0</v>
      </c>
      <c r="GQ67" s="90">
        <f t="shared" si="80"/>
        <v>7</v>
      </c>
      <c r="GR67" s="121">
        <f t="shared" si="116"/>
        <v>0</v>
      </c>
      <c r="GT67" s="149">
        <f t="shared" si="117"/>
        <v>0</v>
      </c>
      <c r="GU67" s="2179">
        <f t="shared" ca="1" si="81"/>
        <v>0</v>
      </c>
      <c r="GW67" s="120">
        <f t="shared" si="118"/>
        <v>0</v>
      </c>
      <c r="GX67" s="110">
        <f t="shared" si="82"/>
        <v>0</v>
      </c>
      <c r="GY67" s="110">
        <f t="shared" si="83"/>
        <v>0</v>
      </c>
      <c r="GZ67" s="109">
        <f t="shared" si="84"/>
        <v>0</v>
      </c>
      <c r="HA67" s="109">
        <f t="shared" si="24"/>
        <v>0</v>
      </c>
      <c r="HB67" s="113">
        <f t="shared" si="85"/>
        <v>0</v>
      </c>
      <c r="HD67" s="102">
        <f t="shared" si="86"/>
        <v>0</v>
      </c>
      <c r="HE67" s="211">
        <f t="shared" si="129"/>
        <v>43</v>
      </c>
      <c r="HF67" s="212">
        <f t="shared" si="87"/>
        <v>0</v>
      </c>
      <c r="HG67" s="212">
        <f t="shared" si="25"/>
        <v>0</v>
      </c>
      <c r="HH67" s="212">
        <f t="shared" si="156"/>
        <v>0</v>
      </c>
      <c r="HI67" s="213">
        <f t="shared" si="26"/>
        <v>1000000</v>
      </c>
      <c r="HL67" s="182"/>
      <c r="HM67" s="26">
        <f t="shared" ca="1" si="27"/>
        <v>10</v>
      </c>
      <c r="HO67" s="268">
        <f t="shared" si="28"/>
        <v>0</v>
      </c>
      <c r="HP67" s="151">
        <f t="shared" si="157"/>
        <v>0</v>
      </c>
      <c r="HQ67" s="123">
        <f t="shared" si="88"/>
        <v>0</v>
      </c>
      <c r="HR67" s="123">
        <f t="shared" si="89"/>
        <v>0</v>
      </c>
      <c r="HS67" s="123">
        <f t="shared" si="90"/>
        <v>0</v>
      </c>
      <c r="HT67" s="123">
        <f>IF(HY66&lt;0.01,0,IF(Adm!$GS$4=Adm!$GS$8,HY66*$HY$15,IF(Adm!$GS$12=Adm!$GS$13,0,HY66*Adm!$GV$4)))</f>
        <v>0</v>
      </c>
      <c r="HU67" s="123">
        <f>IF(HY66&lt;0.01,0,IF(Adm!$GS$5=Adm!$GS$8,Cal!$BO$108*$HY$16/1.16,IF(Adm!$GS$12=Adm!$GS$13,0,Cal!$BO$108*Adm!$GW$4/1.16)))</f>
        <v>0</v>
      </c>
      <c r="HV67" s="123">
        <f t="shared" si="91"/>
        <v>0</v>
      </c>
      <c r="HW67" s="123">
        <f t="shared" si="92"/>
        <v>0</v>
      </c>
      <c r="HX67" s="123">
        <f>IF(Adm!$GH$6="si",MIN(HY66+HQ67+HT67+HU67+HV67-HW67,IH67),0)</f>
        <v>0</v>
      </c>
      <c r="HY67" s="297">
        <f t="shared" si="93"/>
        <v>0</v>
      </c>
      <c r="HZ67" s="74"/>
      <c r="IA67" s="407">
        <f t="shared" si="94"/>
        <v>0</v>
      </c>
      <c r="IC67" s="90">
        <f t="shared" si="95"/>
        <v>7</v>
      </c>
      <c r="ID67" s="124">
        <f>IF(IC67=1,Cal!$BO$127,0)</f>
        <v>0</v>
      </c>
      <c r="IE67" s="178">
        <f>IF(IC67=1,Adm!$HI$4,0)</f>
        <v>0</v>
      </c>
      <c r="IG67" s="70">
        <f t="shared" si="121"/>
        <v>0</v>
      </c>
      <c r="IH67" s="2178">
        <f t="shared" ca="1" si="96"/>
        <v>0</v>
      </c>
      <c r="IK67" s="217"/>
      <c r="IL67" s="26">
        <f t="shared" ca="1" si="29"/>
        <v>10</v>
      </c>
      <c r="IN67" s="268">
        <f t="shared" si="30"/>
        <v>0</v>
      </c>
      <c r="IO67" s="151">
        <f t="shared" si="154"/>
        <v>0</v>
      </c>
      <c r="IP67" s="123">
        <f t="shared" si="97"/>
        <v>0</v>
      </c>
      <c r="IQ67" s="123">
        <f t="shared" si="98"/>
        <v>0</v>
      </c>
      <c r="IR67" s="123">
        <f t="shared" si="99"/>
        <v>0</v>
      </c>
      <c r="IS67" s="123">
        <f>IF(IX66&lt;0.01,0,IF(Adm!$GS$4=Adm!$GS$8,IX66*$IX$15,IF(Adm!$GS$12=Adm!$GS$13,0,IX66*Adm!$GV$4)))</f>
        <v>0</v>
      </c>
      <c r="IT67" s="123"/>
      <c r="IU67" s="123">
        <f t="shared" si="100"/>
        <v>0</v>
      </c>
      <c r="IV67" s="123">
        <f t="shared" si="101"/>
        <v>0</v>
      </c>
      <c r="IW67" s="123"/>
      <c r="IX67" s="297">
        <f t="shared" si="102"/>
        <v>0</v>
      </c>
      <c r="IY67" s="74"/>
      <c r="IZ67" s="416">
        <f t="shared" si="103"/>
        <v>0</v>
      </c>
      <c r="JB67" s="90">
        <f t="shared" si="104"/>
        <v>7</v>
      </c>
      <c r="JC67" s="124">
        <f>IF(JB67=1,Cal!$BP$127,0)</f>
        <v>0</v>
      </c>
      <c r="JD67" s="178">
        <f>IF(JB67=1,Adm!$HI$4,0)</f>
        <v>0</v>
      </c>
    </row>
    <row r="68" spans="1:264">
      <c r="A68" s="26">
        <f t="shared" ca="1" si="0"/>
        <v>11</v>
      </c>
      <c r="C68" s="33">
        <f t="shared" si="1"/>
        <v>0</v>
      </c>
      <c r="D68" s="123">
        <f t="shared" si="31"/>
        <v>0</v>
      </c>
      <c r="E68" s="123">
        <f t="shared" si="147"/>
        <v>0</v>
      </c>
      <c r="F68" s="123">
        <f t="shared" si="149"/>
        <v>0</v>
      </c>
      <c r="G68" s="123">
        <f>IF(L67&lt;0.01,0,IF(Adm!$S$4=Adm!$S$8,L67*$L$15,L67*Adm!$V$4))</f>
        <v>0</v>
      </c>
      <c r="H68" s="123">
        <f>IF(L67&lt;0.01,0,IF(Adm!$S$5=Adm!$S$8,Adm!$AA$11*$L$16/1.16,IF(Adm!$B$4=Adm!$A$119,0,Adm!$AA$11*Adm!$X$4/1.16)))</f>
        <v>0</v>
      </c>
      <c r="I68" s="123">
        <f>IF(L67&lt;0.01,0,Cal!$AB$126/1.16)</f>
        <v>0</v>
      </c>
      <c r="J68" s="123">
        <f t="shared" si="2"/>
        <v>0</v>
      </c>
      <c r="K68" s="123">
        <f>IF(Adm!$G$4="si",MIN(L67+D68+G68+H68+I68-J68,V68),0)</f>
        <v>0</v>
      </c>
      <c r="L68" s="123">
        <f t="shared" si="32"/>
        <v>0</v>
      </c>
      <c r="M68" s="74"/>
      <c r="N68" s="74"/>
      <c r="O68" s="407">
        <f t="shared" si="33"/>
        <v>0</v>
      </c>
      <c r="R68" s="90">
        <f t="shared" si="34"/>
        <v>8</v>
      </c>
      <c r="S68" s="121">
        <f>IF(R68=1,Cal!$AB$127,0)</f>
        <v>0</v>
      </c>
      <c r="U68" s="70">
        <f t="shared" si="105"/>
        <v>0</v>
      </c>
      <c r="V68" s="2178">
        <f t="shared" ca="1" si="35"/>
        <v>0</v>
      </c>
      <c r="X68" s="398"/>
      <c r="Z68" s="268">
        <f t="shared" si="3"/>
        <v>0</v>
      </c>
      <c r="AA68" s="2176">
        <f t="shared" si="36"/>
        <v>0</v>
      </c>
      <c r="AB68" s="33">
        <f t="shared" si="37"/>
        <v>0</v>
      </c>
      <c r="AC68" s="33">
        <f t="shared" si="38"/>
        <v>0</v>
      </c>
      <c r="AD68" s="33">
        <f>IF(AI67&lt;0.01,0,IF(Adm!$S$4=Adm!$S$8,AI67*$AI$15,AI67*Adm!$V$4))</f>
        <v>0</v>
      </c>
      <c r="AE68" s="33"/>
      <c r="AF68" s="33"/>
      <c r="AG68" s="33">
        <f t="shared" si="4"/>
        <v>0</v>
      </c>
      <c r="AH68" s="33"/>
      <c r="AI68" s="401">
        <f t="shared" si="5"/>
        <v>0</v>
      </c>
      <c r="AK68" s="410">
        <f t="shared" si="6"/>
        <v>0</v>
      </c>
      <c r="AN68" s="90">
        <f t="shared" si="39"/>
        <v>8</v>
      </c>
      <c r="AO68" s="121">
        <f>IF(AN68=1,Cal!$AC$127,0)</f>
        <v>0</v>
      </c>
      <c r="AS68" s="200"/>
      <c r="AU68" s="268">
        <f t="shared" si="7"/>
        <v>0</v>
      </c>
      <c r="AV68" s="2177">
        <f t="shared" si="40"/>
        <v>0</v>
      </c>
      <c r="AW68" s="123">
        <f t="shared" si="8"/>
        <v>0</v>
      </c>
      <c r="AX68" s="123">
        <f t="shared" si="41"/>
        <v>0</v>
      </c>
      <c r="AY68" s="123">
        <f>IF(BC67&lt;0.01,0,IF(Adm!$S$4=Adm!$S$8,BC67*$BC$16,BC67*Adm!$V$4))</f>
        <v>0</v>
      </c>
      <c r="AZ68" s="123"/>
      <c r="BA68" s="123">
        <f>IF(BC67&lt;0.01,0,Adm!$Q$6)</f>
        <v>0</v>
      </c>
      <c r="BB68" s="123">
        <f t="shared" si="42"/>
        <v>0</v>
      </c>
      <c r="BC68" s="297">
        <f t="shared" si="43"/>
        <v>0</v>
      </c>
      <c r="BE68" s="425">
        <f t="shared" si="9"/>
        <v>0</v>
      </c>
      <c r="BH68" s="90">
        <f t="shared" si="44"/>
        <v>8</v>
      </c>
      <c r="BI68" s="121">
        <f>IF(BH68=1,Cal!$AD$127,0)</f>
        <v>0</v>
      </c>
      <c r="BM68" s="221"/>
      <c r="BO68" s="295">
        <f t="shared" ca="1" si="10"/>
        <v>11</v>
      </c>
      <c r="BP68" s="268">
        <f t="shared" si="11"/>
        <v>0</v>
      </c>
      <c r="BQ68" s="123">
        <f t="shared" si="45"/>
        <v>0</v>
      </c>
      <c r="BR68" s="123">
        <f t="shared" si="148"/>
        <v>0</v>
      </c>
      <c r="BS68" s="123">
        <f t="shared" si="150"/>
        <v>0</v>
      </c>
      <c r="BT68" s="123">
        <f>IF(BZ67&lt;0.01,0,IF(Plus!$F$22=Plus!$AN$4,BZ67*$BZ$15,IF(Plus!$F$22=Plus!$AN$3,BZ67*Plus!$F$23/1000,BZ67*VLOOKUP(Plus!$G$21,Plus!$AP$2:'Plus'!$AQ$5,2,0))))</f>
        <v>0</v>
      </c>
      <c r="BU68" s="123">
        <f>IF(BZ67&lt;0.01,0,IF(Plus!$F$24=Plus!$AO$3,Plus!$G$13*Plus!$AR$2/1.16,IF(Plus!$F$10=Plus!$AK$7,0,Plus!$G$13*Plus!$AR$2/1.16)))</f>
        <v>0</v>
      </c>
      <c r="BV68" s="123">
        <f>IF(BZ67&lt;0.01,0,Plus!$BD$2)</f>
        <v>0</v>
      </c>
      <c r="BW68" s="123"/>
      <c r="BX68" s="123">
        <f t="shared" si="12"/>
        <v>0</v>
      </c>
      <c r="BY68" s="123">
        <f>IF(Plus!$F$10=Plus!$AK$3,MIN(BZ67+BQ68+BT68+BU68+BV68-BX68,CJ68),0)</f>
        <v>0</v>
      </c>
      <c r="BZ68" s="297">
        <f t="shared" si="144"/>
        <v>0</v>
      </c>
      <c r="CA68" s="74"/>
      <c r="CB68" s="74"/>
      <c r="CC68" s="413">
        <f t="shared" si="47"/>
        <v>0</v>
      </c>
      <c r="CF68" s="90">
        <f t="shared" si="48"/>
        <v>8</v>
      </c>
      <c r="CG68" s="121">
        <f t="shared" si="106"/>
        <v>0</v>
      </c>
      <c r="CI68" s="70">
        <f t="shared" si="107"/>
        <v>0</v>
      </c>
      <c r="CJ68" s="2178">
        <f t="shared" ca="1" si="49"/>
        <v>0</v>
      </c>
      <c r="CL68" s="161"/>
      <c r="CN68" s="308">
        <f t="shared" ca="1" si="13"/>
        <v>11</v>
      </c>
      <c r="CO68" s="309">
        <f t="shared" si="50"/>
        <v>0</v>
      </c>
      <c r="CP68" s="268">
        <f t="shared" si="14"/>
        <v>0</v>
      </c>
      <c r="CQ68" s="123">
        <f t="shared" si="51"/>
        <v>0</v>
      </c>
      <c r="CR68" s="123">
        <f t="shared" si="137"/>
        <v>0</v>
      </c>
      <c r="CS68" s="123">
        <f t="shared" si="138"/>
        <v>0</v>
      </c>
      <c r="CT68" s="33">
        <f>IF(CZ67&lt;0.01,0,IF(Plus!$F$22=Plus!$AN$4,0,IF(Plus!$F$22=Plus!$AN$3,CZ67*Plus!$F$23/1000,CZ67*VLOOKUP(Plus!$G$21,Plus!$AP$2:'Plus'!$AQ$5,2,0))))</f>
        <v>0</v>
      </c>
      <c r="CU68" s="123">
        <f>IF(CZ67&lt;0.01,0,IF(Plus!$F$24=Plus!$AO$3,0,IF(OR(Plus!$F$10=Plus!$AK$7,Plus!$F$10=Plus!$AK$13),0,Plus!$G$13*Plus!$AR$2)))</f>
        <v>0</v>
      </c>
      <c r="CV68" s="123">
        <f>IF(CZ67&lt;0.01,0,IF(OR(Plus!$F$10=Plus!$AK$7,Plus!$F$10=Plus!$AK$13),0,Plus!$BD$2*1.16))</f>
        <v>0</v>
      </c>
      <c r="CW68" s="123">
        <f>IF(CZ67&lt;0.01,0,IF(Plus!$AS$2&gt;0,CQ68*Plus!$AS$3,0))</f>
        <v>0</v>
      </c>
      <c r="CX68" s="123">
        <f t="shared" si="52"/>
        <v>0</v>
      </c>
      <c r="CY68" s="123">
        <f>IF(Plus!$F$10=Plus!$AK$3,MIN(CZ67+CQ68+CT68+CU68+CV68-CX68,DK68),0)</f>
        <v>0</v>
      </c>
      <c r="CZ68" s="297">
        <f t="shared" si="146"/>
        <v>0</v>
      </c>
      <c r="DA68" s="306">
        <f>Plus!O109</f>
        <v>0</v>
      </c>
      <c r="DB68" s="74"/>
      <c r="DC68" s="74"/>
      <c r="DD68" s="407">
        <f t="shared" si="54"/>
        <v>0</v>
      </c>
      <c r="DG68" s="90">
        <f t="shared" si="55"/>
        <v>8</v>
      </c>
      <c r="DH68" s="121">
        <f t="shared" si="108"/>
        <v>0</v>
      </c>
      <c r="DJ68" s="149">
        <f t="shared" si="109"/>
        <v>0</v>
      </c>
      <c r="DK68" s="2179">
        <f t="shared" ca="1" si="56"/>
        <v>0</v>
      </c>
      <c r="DN68" s="120">
        <f t="shared" si="110"/>
        <v>0</v>
      </c>
      <c r="DO68" s="110">
        <f t="shared" si="57"/>
        <v>0</v>
      </c>
      <c r="DP68" s="110">
        <f t="shared" si="124"/>
        <v>0</v>
      </c>
      <c r="DQ68" s="109">
        <f t="shared" si="58"/>
        <v>0</v>
      </c>
      <c r="DR68" s="109">
        <f t="shared" si="59"/>
        <v>0</v>
      </c>
      <c r="DS68" s="113">
        <f t="shared" si="60"/>
        <v>0</v>
      </c>
      <c r="DU68" s="102">
        <f t="shared" si="61"/>
        <v>0</v>
      </c>
      <c r="DV68" s="211">
        <f t="shared" si="125"/>
        <v>44</v>
      </c>
      <c r="DW68" s="212">
        <f t="shared" si="62"/>
        <v>0</v>
      </c>
      <c r="DX68" s="212">
        <f t="shared" si="15"/>
        <v>0</v>
      </c>
      <c r="DY68" s="212">
        <f t="shared" si="111"/>
        <v>0</v>
      </c>
      <c r="DZ68" s="213">
        <f t="shared" si="16"/>
        <v>1000000</v>
      </c>
      <c r="ED68" s="182"/>
      <c r="EF68" s="308">
        <f t="shared" ca="1" si="17"/>
        <v>11</v>
      </c>
      <c r="EG68" s="309">
        <f t="shared" si="63"/>
        <v>0</v>
      </c>
      <c r="EH68" s="268">
        <f t="shared" si="18"/>
        <v>0</v>
      </c>
      <c r="EI68" s="33">
        <f t="shared" si="64"/>
        <v>0</v>
      </c>
      <c r="EJ68" s="33">
        <f t="shared" si="139"/>
        <v>0</v>
      </c>
      <c r="EK68" s="33">
        <f t="shared" si="151"/>
        <v>0</v>
      </c>
      <c r="EL68" s="33">
        <f>IF(ER67&lt;0.01,0,IF(Plus!$F$22=Plus!$AN$4,0,IF(Plus!$F$22=Plus!$AN$3,ER67*Plus!$F$23/1000,ER67*VLOOKUP(Plus!$G$21,Plus!$AP$2:'Plus'!$AQ$5,2,0))))</f>
        <v>0</v>
      </c>
      <c r="EM68" s="33">
        <f>IF(ER67&lt;0.01,0,IF(Plus!$F$24=Plus!$AO$3,0,IF(OR(Plus!$F$10=Plus!$AK$7,Plus!$F$10=Plus!$AK$13),0,Plus!$G$13*Plus!$AR$2)))</f>
        <v>0</v>
      </c>
      <c r="EN68" s="33">
        <f>IF(ER67&lt;0.01,0,IF(OR(Plus!$F$10=Plus!$AK$7,Plus!$F$10=Plus!$AK$13),0,Plus!$BD$2*1.16))</f>
        <v>0</v>
      </c>
      <c r="EO68" s="33">
        <f>IF(ER67&lt;0.01,0,IF(Plus!$AS$2&gt;0,EI68*Plus!$AS$3,0))</f>
        <v>0</v>
      </c>
      <c r="EP68" s="33">
        <f t="shared" si="65"/>
        <v>0</v>
      </c>
      <c r="EQ68" s="33">
        <f>IF(Plus!$F$10=Plus!$AK$3,MIN(ER67+EI68+EL68+EM68+EN68-EP68,FC68),0)</f>
        <v>0</v>
      </c>
      <c r="ER68" s="311">
        <f t="shared" si="145"/>
        <v>0</v>
      </c>
      <c r="ES68" s="340">
        <f>Plus!O109</f>
        <v>0</v>
      </c>
      <c r="ET68" s="74"/>
      <c r="EU68" s="74"/>
      <c r="EV68" s="416">
        <f t="shared" si="134"/>
        <v>0</v>
      </c>
      <c r="EY68" s="90">
        <f t="shared" si="68"/>
        <v>8</v>
      </c>
      <c r="EZ68" s="121">
        <f t="shared" si="112"/>
        <v>0</v>
      </c>
      <c r="FB68" s="149">
        <f t="shared" si="113"/>
        <v>0</v>
      </c>
      <c r="FC68" s="2179">
        <f t="shared" ca="1" si="69"/>
        <v>0</v>
      </c>
      <c r="FE68" s="120">
        <f t="shared" si="114"/>
        <v>0</v>
      </c>
      <c r="FF68" s="110">
        <f t="shared" si="70"/>
        <v>0</v>
      </c>
      <c r="FG68" s="110">
        <f t="shared" si="71"/>
        <v>0</v>
      </c>
      <c r="FH68" s="109">
        <f t="shared" si="72"/>
        <v>0</v>
      </c>
      <c r="FI68" s="109">
        <f t="shared" si="19"/>
        <v>0</v>
      </c>
      <c r="FJ68" s="113">
        <f t="shared" si="73"/>
        <v>0</v>
      </c>
      <c r="FL68" s="102">
        <f t="shared" si="74"/>
        <v>0</v>
      </c>
      <c r="FM68" s="211">
        <f t="shared" si="127"/>
        <v>44</v>
      </c>
      <c r="FN68" s="212">
        <f t="shared" si="75"/>
        <v>0</v>
      </c>
      <c r="FO68" s="212">
        <f t="shared" si="20"/>
        <v>0</v>
      </c>
      <c r="FP68" s="212">
        <f t="shared" si="155"/>
        <v>0</v>
      </c>
      <c r="FQ68" s="213">
        <f t="shared" si="21"/>
        <v>1000000</v>
      </c>
      <c r="FV68" s="359"/>
      <c r="FX68" s="308">
        <f t="shared" ca="1" si="22"/>
        <v>11</v>
      </c>
      <c r="FY68" s="309">
        <f t="shared" si="76"/>
        <v>0</v>
      </c>
      <c r="FZ68" s="268">
        <f t="shared" si="23"/>
        <v>0</v>
      </c>
      <c r="GA68" s="33">
        <f t="shared" si="77"/>
        <v>0</v>
      </c>
      <c r="GB68" s="33">
        <f t="shared" si="141"/>
        <v>0</v>
      </c>
      <c r="GC68" s="33">
        <f t="shared" si="142"/>
        <v>0</v>
      </c>
      <c r="GD68" s="33">
        <f>IF(GJ67&lt;0.01,0,IF(Plus!$F$22=Plus!$AN$4,0,IF(Plus!$F$22=Plus!$AN$3,GJ67*Plus!$F$23/1000,GJ67*VLOOKUP(Plus!$G$21,Plus!$AP$2:$AQ$5,2,0))))</f>
        <v>0</v>
      </c>
      <c r="GE68" s="33">
        <f>IF(GJ67&lt;0.01,0,IF(Plus!$F$24=Plus!$AO$3,0,IF(OR(Plus!$F$10=Plus!$AK$7,Plus!$F$10=Plus!$AK$13,Plus!$F$10=Plus!$AK$14),0,IF(OR(Plus!$F$10=Plus!$AK$10,Plus!$F$10=Plus!$AK$11),Plus!$G$13*Adm!$W$7,Plus!$G$13*Adm!$X$4))))</f>
        <v>0</v>
      </c>
      <c r="GF68" s="33">
        <f>IF(GJ67&lt;0.01,0,IF(OR(Plus!$F$10=Plus!$AK$7,Plus!$F$10=Plus!$AK$13),0,Plus!$BD$2*1.16))</f>
        <v>0</v>
      </c>
      <c r="GG68" s="33">
        <f>IF(GJ67&lt;0.01,0,IF(Plus!$AS$2&gt;0,GA68*Plus!$AS$3,0))</f>
        <v>0</v>
      </c>
      <c r="GH68" s="33">
        <f t="shared" si="78"/>
        <v>0</v>
      </c>
      <c r="GI68" s="33">
        <f>IF(Plus!$F$10=Plus!$AK$3,MIN(GJ67+GA68+GD68+GE68+GF68-GH68,GU68),0)</f>
        <v>0</v>
      </c>
      <c r="GJ68" s="311">
        <f t="shared" si="136"/>
        <v>0</v>
      </c>
      <c r="GK68" s="340">
        <f>Plus!O109</f>
        <v>0</v>
      </c>
      <c r="GL68" s="74"/>
      <c r="GM68" s="74"/>
      <c r="GN68" s="419">
        <f t="shared" si="135"/>
        <v>0</v>
      </c>
      <c r="GQ68" s="90">
        <f t="shared" si="80"/>
        <v>8</v>
      </c>
      <c r="GR68" s="121">
        <f t="shared" si="116"/>
        <v>0</v>
      </c>
      <c r="GT68" s="149">
        <f t="shared" si="117"/>
        <v>0</v>
      </c>
      <c r="GU68" s="2179">
        <f t="shared" ca="1" si="81"/>
        <v>0</v>
      </c>
      <c r="GW68" s="120">
        <f t="shared" si="118"/>
        <v>0</v>
      </c>
      <c r="GX68" s="110">
        <f t="shared" si="82"/>
        <v>0</v>
      </c>
      <c r="GY68" s="110">
        <f t="shared" si="83"/>
        <v>0</v>
      </c>
      <c r="GZ68" s="109">
        <f t="shared" si="84"/>
        <v>0</v>
      </c>
      <c r="HA68" s="109">
        <f t="shared" si="24"/>
        <v>0</v>
      </c>
      <c r="HB68" s="113">
        <f t="shared" si="85"/>
        <v>0</v>
      </c>
      <c r="HD68" s="102">
        <f t="shared" si="86"/>
        <v>0</v>
      </c>
      <c r="HE68" s="211">
        <f t="shared" si="129"/>
        <v>44</v>
      </c>
      <c r="HF68" s="212">
        <f t="shared" si="87"/>
        <v>0</v>
      </c>
      <c r="HG68" s="212">
        <f t="shared" si="25"/>
        <v>0</v>
      </c>
      <c r="HH68" s="212">
        <f t="shared" si="156"/>
        <v>0</v>
      </c>
      <c r="HI68" s="213">
        <f t="shared" si="26"/>
        <v>1000000</v>
      </c>
      <c r="HL68" s="182"/>
      <c r="HM68" s="26">
        <f t="shared" ca="1" si="27"/>
        <v>11</v>
      </c>
      <c r="HO68" s="268">
        <f t="shared" si="28"/>
        <v>0</v>
      </c>
      <c r="HP68" s="151">
        <f t="shared" si="157"/>
        <v>0</v>
      </c>
      <c r="HQ68" s="123">
        <f t="shared" si="88"/>
        <v>0</v>
      </c>
      <c r="HR68" s="123">
        <f t="shared" si="89"/>
        <v>0</v>
      </c>
      <c r="HS68" s="123">
        <f t="shared" si="90"/>
        <v>0</v>
      </c>
      <c r="HT68" s="123">
        <f>IF(HY67&lt;0.01,0,IF(Adm!$GS$4=Adm!$GS$8,HY67*$HY$15,IF(Adm!$GS$12=Adm!$GS$13,0,HY67*Adm!$GV$4)))</f>
        <v>0</v>
      </c>
      <c r="HU68" s="123">
        <f>IF(HY67&lt;0.01,0,IF(Adm!$GS$5=Adm!$GS$8,Cal!$BO$108*$HY$16/1.16,IF(Adm!$GS$12=Adm!$GS$13,0,Cal!$BO$108*Adm!$GW$4/1.16)))</f>
        <v>0</v>
      </c>
      <c r="HV68" s="123">
        <f t="shared" si="91"/>
        <v>0</v>
      </c>
      <c r="HW68" s="123">
        <f t="shared" si="92"/>
        <v>0</v>
      </c>
      <c r="HX68" s="123">
        <f>IF(Adm!$GH$6="si",MIN(HY67+HQ68+HT68+HU68+HV68-HW68,IH68),0)</f>
        <v>0</v>
      </c>
      <c r="HY68" s="297">
        <f t="shared" si="93"/>
        <v>0</v>
      </c>
      <c r="HZ68" s="74"/>
      <c r="IA68" s="407">
        <f t="shared" si="94"/>
        <v>0</v>
      </c>
      <c r="IC68" s="90">
        <f t="shared" si="95"/>
        <v>8</v>
      </c>
      <c r="ID68" s="124">
        <f>IF(IC68=1,Cal!$BO$127,0)</f>
        <v>0</v>
      </c>
      <c r="IE68" s="178">
        <f>IF(IC68=1,Adm!$HI$4,0)</f>
        <v>0</v>
      </c>
      <c r="IG68" s="70">
        <f t="shared" si="121"/>
        <v>0</v>
      </c>
      <c r="IH68" s="2178">
        <f t="shared" ca="1" si="96"/>
        <v>0</v>
      </c>
      <c r="IK68" s="217"/>
      <c r="IL68" s="26">
        <f t="shared" ca="1" si="29"/>
        <v>11</v>
      </c>
      <c r="IN68" s="268">
        <f t="shared" si="30"/>
        <v>0</v>
      </c>
      <c r="IO68" s="151">
        <f t="shared" si="154"/>
        <v>0</v>
      </c>
      <c r="IP68" s="123">
        <f t="shared" si="97"/>
        <v>0</v>
      </c>
      <c r="IQ68" s="123">
        <f t="shared" si="98"/>
        <v>0</v>
      </c>
      <c r="IR68" s="123">
        <f t="shared" si="99"/>
        <v>0</v>
      </c>
      <c r="IS68" s="123">
        <f>IF(IX67&lt;0.01,0,IF(Adm!$GS$4=Adm!$GS$8,IX67*$IX$15,IF(Adm!$GS$12=Adm!$GS$13,0,IX67*Adm!$GV$4)))</f>
        <v>0</v>
      </c>
      <c r="IT68" s="123"/>
      <c r="IU68" s="123">
        <f t="shared" si="100"/>
        <v>0</v>
      </c>
      <c r="IV68" s="123">
        <f t="shared" si="101"/>
        <v>0</v>
      </c>
      <c r="IW68" s="123"/>
      <c r="IX68" s="297">
        <f t="shared" si="102"/>
        <v>0</v>
      </c>
      <c r="IY68" s="74"/>
      <c r="IZ68" s="416">
        <f t="shared" si="103"/>
        <v>0</v>
      </c>
      <c r="JB68" s="90">
        <f t="shared" si="104"/>
        <v>8</v>
      </c>
      <c r="JC68" s="124">
        <f>IF(JB68=1,Cal!$BP$127,0)</f>
        <v>0</v>
      </c>
      <c r="JD68" s="178">
        <f>IF(JB68=1,Adm!$HI$4,0)</f>
        <v>0</v>
      </c>
    </row>
    <row r="69" spans="1:264">
      <c r="A69" s="26">
        <f t="shared" ca="1" si="0"/>
        <v>12</v>
      </c>
      <c r="C69" s="33">
        <f t="shared" si="1"/>
        <v>0</v>
      </c>
      <c r="D69" s="123">
        <f t="shared" si="31"/>
        <v>0</v>
      </c>
      <c r="E69" s="123">
        <f t="shared" si="147"/>
        <v>0</v>
      </c>
      <c r="F69" s="123">
        <f t="shared" si="149"/>
        <v>0</v>
      </c>
      <c r="G69" s="123">
        <f>IF(L68&lt;0.01,0,IF(Adm!$S$4=Adm!$S$8,L68*$L$15,L68*Adm!$V$4))</f>
        <v>0</v>
      </c>
      <c r="H69" s="123">
        <f>IF(L68&lt;0.01,0,IF(Adm!$S$5=Adm!$S$8,Adm!$AA$11*$L$16/1.16,IF(Adm!$B$4=Adm!$A$119,0,Adm!$AA$11*Adm!$X$4/1.16)))</f>
        <v>0</v>
      </c>
      <c r="I69" s="123">
        <f>IF(L68&lt;0.01,0,Cal!$AB$126/1.16)</f>
        <v>0</v>
      </c>
      <c r="J69" s="123">
        <f t="shared" si="2"/>
        <v>0</v>
      </c>
      <c r="K69" s="123">
        <f>IF(Adm!$G$4="si",MIN(L68+D69+G69+H69+I69-J69,V69),0)</f>
        <v>0</v>
      </c>
      <c r="L69" s="123">
        <f t="shared" si="32"/>
        <v>0</v>
      </c>
      <c r="M69" s="74"/>
      <c r="N69" s="74"/>
      <c r="O69" s="407">
        <f t="shared" si="33"/>
        <v>0</v>
      </c>
      <c r="R69" s="90">
        <f t="shared" si="34"/>
        <v>9</v>
      </c>
      <c r="S69" s="121">
        <f>IF(R69=1,Cal!$AB$127,0)</f>
        <v>0</v>
      </c>
      <c r="U69" s="70">
        <f t="shared" si="105"/>
        <v>0</v>
      </c>
      <c r="V69" s="2178">
        <f t="shared" ca="1" si="35"/>
        <v>0</v>
      </c>
      <c r="X69" s="398"/>
      <c r="Z69" s="268">
        <f t="shared" si="3"/>
        <v>0</v>
      </c>
      <c r="AA69" s="2176">
        <f t="shared" si="36"/>
        <v>0</v>
      </c>
      <c r="AB69" s="33">
        <f t="shared" si="37"/>
        <v>0</v>
      </c>
      <c r="AC69" s="33">
        <f t="shared" si="38"/>
        <v>0</v>
      </c>
      <c r="AD69" s="33">
        <f>IF(AI68&lt;0.01,0,IF(Adm!$S$4=Adm!$S$8,AI68*$AI$15,AI68*Adm!$V$4))</f>
        <v>0</v>
      </c>
      <c r="AE69" s="33"/>
      <c r="AF69" s="33"/>
      <c r="AG69" s="33">
        <f t="shared" si="4"/>
        <v>0</v>
      </c>
      <c r="AH69" s="33"/>
      <c r="AI69" s="401">
        <f t="shared" si="5"/>
        <v>0</v>
      </c>
      <c r="AK69" s="410">
        <f t="shared" si="6"/>
        <v>0</v>
      </c>
      <c r="AN69" s="90">
        <f t="shared" si="39"/>
        <v>9</v>
      </c>
      <c r="AO69" s="121">
        <f>IF(AN69=1,Cal!$AC$127,0)</f>
        <v>0</v>
      </c>
      <c r="AS69" s="200"/>
      <c r="AU69" s="268">
        <f t="shared" si="7"/>
        <v>0</v>
      </c>
      <c r="AV69" s="2177">
        <f t="shared" si="40"/>
        <v>0</v>
      </c>
      <c r="AW69" s="123">
        <f t="shared" si="8"/>
        <v>0</v>
      </c>
      <c r="AX69" s="123">
        <f t="shared" si="41"/>
        <v>0</v>
      </c>
      <c r="AY69" s="123">
        <f>IF(BC68&lt;0.01,0,IF(Adm!$S$4=Adm!$S$8,BC68*$BC$16,BC68*Adm!$V$4))</f>
        <v>0</v>
      </c>
      <c r="AZ69" s="123"/>
      <c r="BA69" s="123">
        <f>IF(BC68&lt;0.01,0,Adm!$Q$6)</f>
        <v>0</v>
      </c>
      <c r="BB69" s="123">
        <f t="shared" si="42"/>
        <v>0</v>
      </c>
      <c r="BC69" s="297">
        <f t="shared" si="43"/>
        <v>0</v>
      </c>
      <c r="BE69" s="425">
        <f t="shared" si="9"/>
        <v>0</v>
      </c>
      <c r="BH69" s="90">
        <f t="shared" si="44"/>
        <v>9</v>
      </c>
      <c r="BI69" s="121">
        <f>IF(BH69=1,Cal!$AD$127,0)</f>
        <v>0</v>
      </c>
      <c r="BM69" s="221"/>
      <c r="BO69" s="295">
        <f t="shared" ca="1" si="10"/>
        <v>12</v>
      </c>
      <c r="BP69" s="268">
        <f t="shared" si="11"/>
        <v>0</v>
      </c>
      <c r="BQ69" s="123">
        <f t="shared" si="45"/>
        <v>0</v>
      </c>
      <c r="BR69" s="123">
        <f t="shared" si="148"/>
        <v>0</v>
      </c>
      <c r="BS69" s="123">
        <f t="shared" si="150"/>
        <v>0</v>
      </c>
      <c r="BT69" s="123">
        <f>IF(BZ68&lt;0.01,0,IF(Plus!$F$22=Plus!$AN$4,BZ68*$BZ$15,IF(Plus!$F$22=Plus!$AN$3,BZ68*Plus!$F$23/1000,BZ68*VLOOKUP(Plus!$G$21,Plus!$AP$2:'Plus'!$AQ$5,2,0))))</f>
        <v>0</v>
      </c>
      <c r="BU69" s="123">
        <f>IF(BZ68&lt;0.01,0,IF(Plus!$F$24=Plus!$AO$3,Plus!$G$13*Plus!$AR$2/1.16,IF(Plus!$F$10=Plus!$AK$7,0,Plus!$G$13*Plus!$AR$2/1.16)))</f>
        <v>0</v>
      </c>
      <c r="BV69" s="123">
        <f>IF(BZ68&lt;0.01,0,Plus!$BD$2)</f>
        <v>0</v>
      </c>
      <c r="BW69" s="123"/>
      <c r="BX69" s="123">
        <f t="shared" si="12"/>
        <v>0</v>
      </c>
      <c r="BY69" s="123">
        <f>IF(Plus!$F$10=Plus!$AK$3,MIN(BZ68+BQ69+BT69+BU69+BV69-BX69,CJ69),0)</f>
        <v>0</v>
      </c>
      <c r="BZ69" s="297">
        <f t="shared" si="144"/>
        <v>0</v>
      </c>
      <c r="CA69" s="74"/>
      <c r="CB69" s="74"/>
      <c r="CC69" s="413">
        <f t="shared" si="47"/>
        <v>0</v>
      </c>
      <c r="CF69" s="90">
        <f t="shared" si="48"/>
        <v>9</v>
      </c>
      <c r="CG69" s="121">
        <f t="shared" si="106"/>
        <v>0</v>
      </c>
      <c r="CI69" s="70">
        <f t="shared" si="107"/>
        <v>0</v>
      </c>
      <c r="CJ69" s="2178">
        <f t="shared" ca="1" si="49"/>
        <v>0</v>
      </c>
      <c r="CL69" s="161"/>
      <c r="CN69" s="308">
        <f t="shared" ca="1" si="13"/>
        <v>12</v>
      </c>
      <c r="CO69" s="309">
        <f t="shared" si="50"/>
        <v>0</v>
      </c>
      <c r="CP69" s="268">
        <f t="shared" si="14"/>
        <v>0</v>
      </c>
      <c r="CQ69" s="123">
        <f t="shared" si="51"/>
        <v>0</v>
      </c>
      <c r="CR69" s="123">
        <f t="shared" si="137"/>
        <v>0</v>
      </c>
      <c r="CS69" s="123">
        <f t="shared" si="138"/>
        <v>0</v>
      </c>
      <c r="CT69" s="33">
        <f>IF(CZ68&lt;0.01,0,IF(Plus!$F$22=Plus!$AN$4,0,IF(Plus!$F$22=Plus!$AN$3,CZ68*Plus!$F$23/1000,CZ68*VLOOKUP(Plus!$G$21,Plus!$AP$2:'Plus'!$AQ$5,2,0))))</f>
        <v>0</v>
      </c>
      <c r="CU69" s="123">
        <f>IF(CZ68&lt;0.01,0,IF(Plus!$F$24=Plus!$AO$3,0,IF(OR(Plus!$F$10=Plus!$AK$7,Plus!$F$10=Plus!$AK$13),0,Plus!$G$13*Plus!$AR$2)))</f>
        <v>0</v>
      </c>
      <c r="CV69" s="123">
        <f>IF(CZ68&lt;0.01,0,IF(OR(Plus!$F$10=Plus!$AK$7,Plus!$F$10=Plus!$AK$13),0,Plus!$BD$2*1.16))</f>
        <v>0</v>
      </c>
      <c r="CW69" s="123">
        <f>IF(CZ68&lt;0.01,0,IF(Plus!$AS$2&gt;0,CQ69*Plus!$AS$3,0))</f>
        <v>0</v>
      </c>
      <c r="CX69" s="123">
        <f t="shared" si="52"/>
        <v>0</v>
      </c>
      <c r="CY69" s="123">
        <f>IF(Plus!$F$10=Plus!$AK$3,MIN(CZ68+CQ69+CT69+CU69+CV69-CX69,DK69),0)</f>
        <v>0</v>
      </c>
      <c r="CZ69" s="297">
        <f t="shared" si="146"/>
        <v>0</v>
      </c>
      <c r="DA69" s="306">
        <f>Plus!O110</f>
        <v>0</v>
      </c>
      <c r="DB69" s="74"/>
      <c r="DC69" s="74"/>
      <c r="DD69" s="407">
        <f t="shared" si="54"/>
        <v>0</v>
      </c>
      <c r="DG69" s="90">
        <f t="shared" si="55"/>
        <v>9</v>
      </c>
      <c r="DH69" s="121">
        <f t="shared" si="108"/>
        <v>0</v>
      </c>
      <c r="DJ69" s="149">
        <f t="shared" si="109"/>
        <v>0</v>
      </c>
      <c r="DK69" s="2179">
        <f t="shared" ca="1" si="56"/>
        <v>0</v>
      </c>
      <c r="DN69" s="120">
        <f t="shared" si="110"/>
        <v>0</v>
      </c>
      <c r="DO69" s="110">
        <f t="shared" si="57"/>
        <v>0</v>
      </c>
      <c r="DP69" s="110">
        <f t="shared" si="124"/>
        <v>0</v>
      </c>
      <c r="DQ69" s="109">
        <f t="shared" si="58"/>
        <v>0</v>
      </c>
      <c r="DR69" s="109">
        <f t="shared" si="59"/>
        <v>0</v>
      </c>
      <c r="DS69" s="113">
        <f t="shared" si="60"/>
        <v>0</v>
      </c>
      <c r="DU69" s="102">
        <f t="shared" si="61"/>
        <v>0</v>
      </c>
      <c r="DV69" s="211">
        <f t="shared" si="125"/>
        <v>45</v>
      </c>
      <c r="DW69" s="212">
        <f t="shared" si="62"/>
        <v>0</v>
      </c>
      <c r="DX69" s="212">
        <f t="shared" si="15"/>
        <v>0</v>
      </c>
      <c r="DY69" s="212">
        <f t="shared" si="111"/>
        <v>0</v>
      </c>
      <c r="DZ69" s="213">
        <f t="shared" si="16"/>
        <v>1000000</v>
      </c>
      <c r="ED69" s="182"/>
      <c r="EF69" s="308">
        <f t="shared" ca="1" si="17"/>
        <v>12</v>
      </c>
      <c r="EG69" s="309">
        <f t="shared" si="63"/>
        <v>0</v>
      </c>
      <c r="EH69" s="268">
        <f t="shared" si="18"/>
        <v>0</v>
      </c>
      <c r="EI69" s="33">
        <f t="shared" si="64"/>
        <v>0</v>
      </c>
      <c r="EJ69" s="33">
        <f t="shared" si="139"/>
        <v>0</v>
      </c>
      <c r="EK69" s="33">
        <f t="shared" si="151"/>
        <v>0</v>
      </c>
      <c r="EL69" s="33">
        <f>IF(ER68&lt;0.01,0,IF(Plus!$F$22=Plus!$AN$4,0,IF(Plus!$F$22=Plus!$AN$3,ER68*Plus!$F$23/1000,ER68*VLOOKUP(Plus!$G$21,Plus!$AP$2:'Plus'!$AQ$5,2,0))))</f>
        <v>0</v>
      </c>
      <c r="EM69" s="33">
        <f>IF(ER68&lt;0.01,0,IF(Plus!$F$24=Plus!$AO$3,0,IF(OR(Plus!$F$10=Plus!$AK$7,Plus!$F$10=Plus!$AK$13),0,Plus!$G$13*Plus!$AR$2)))</f>
        <v>0</v>
      </c>
      <c r="EN69" s="33">
        <f>IF(ER68&lt;0.01,0,IF(OR(Plus!$F$10=Plus!$AK$7,Plus!$F$10=Plus!$AK$13),0,Plus!$BD$2*1.16))</f>
        <v>0</v>
      </c>
      <c r="EO69" s="33">
        <f>IF(ER68&lt;0.01,0,IF(Plus!$AS$2&gt;0,EI69*Plus!$AS$3,0))</f>
        <v>0</v>
      </c>
      <c r="EP69" s="33">
        <f t="shared" si="65"/>
        <v>0</v>
      </c>
      <c r="EQ69" s="33">
        <f>IF(Plus!$F$10=Plus!$AK$3,MIN(ER68+EI69+EL69+EM69+EN69-EP69,FC69),0)</f>
        <v>0</v>
      </c>
      <c r="ER69" s="311">
        <f t="shared" si="145"/>
        <v>0</v>
      </c>
      <c r="ES69" s="340">
        <f>Plus!O110</f>
        <v>0</v>
      </c>
      <c r="ET69" s="74"/>
      <c r="EU69" s="74"/>
      <c r="EV69" s="416">
        <f t="shared" si="134"/>
        <v>0</v>
      </c>
      <c r="EY69" s="90">
        <f t="shared" si="68"/>
        <v>9</v>
      </c>
      <c r="EZ69" s="121">
        <f t="shared" si="112"/>
        <v>0</v>
      </c>
      <c r="FB69" s="149">
        <f t="shared" si="113"/>
        <v>0</v>
      </c>
      <c r="FC69" s="2179">
        <f t="shared" ca="1" si="69"/>
        <v>0</v>
      </c>
      <c r="FE69" s="120">
        <f t="shared" si="114"/>
        <v>0</v>
      </c>
      <c r="FF69" s="110">
        <f t="shared" si="70"/>
        <v>0</v>
      </c>
      <c r="FG69" s="110">
        <f t="shared" si="71"/>
        <v>0</v>
      </c>
      <c r="FH69" s="109">
        <f t="shared" si="72"/>
        <v>0</v>
      </c>
      <c r="FI69" s="109">
        <f t="shared" si="19"/>
        <v>0</v>
      </c>
      <c r="FJ69" s="113">
        <f t="shared" si="73"/>
        <v>0</v>
      </c>
      <c r="FL69" s="102">
        <f t="shared" si="74"/>
        <v>0</v>
      </c>
      <c r="FM69" s="211">
        <f t="shared" si="127"/>
        <v>45</v>
      </c>
      <c r="FN69" s="212">
        <f t="shared" si="75"/>
        <v>0</v>
      </c>
      <c r="FO69" s="212">
        <f t="shared" si="20"/>
        <v>0</v>
      </c>
      <c r="FP69" s="212">
        <f t="shared" si="155"/>
        <v>0</v>
      </c>
      <c r="FQ69" s="213">
        <f t="shared" si="21"/>
        <v>1000000</v>
      </c>
      <c r="FV69" s="359"/>
      <c r="FX69" s="308">
        <f t="shared" ca="1" si="22"/>
        <v>12</v>
      </c>
      <c r="FY69" s="309">
        <f t="shared" si="76"/>
        <v>0</v>
      </c>
      <c r="FZ69" s="268">
        <f t="shared" si="23"/>
        <v>0</v>
      </c>
      <c r="GA69" s="33">
        <f t="shared" si="77"/>
        <v>0</v>
      </c>
      <c r="GB69" s="33">
        <f t="shared" si="141"/>
        <v>0</v>
      </c>
      <c r="GC69" s="33">
        <f t="shared" si="142"/>
        <v>0</v>
      </c>
      <c r="GD69" s="33">
        <f>IF(GJ68&lt;0.01,0,IF(Plus!$F$22=Plus!$AN$4,0,IF(Plus!$F$22=Plus!$AN$3,GJ68*Plus!$F$23/1000,GJ68*VLOOKUP(Plus!$G$21,Plus!$AP$2:$AQ$5,2,0))))</f>
        <v>0</v>
      </c>
      <c r="GE69" s="33">
        <f>IF(GJ68&lt;0.01,0,IF(Plus!$F$24=Plus!$AO$3,0,IF(OR(Plus!$F$10=Plus!$AK$7,Plus!$F$10=Plus!$AK$13,Plus!$F$10=Plus!$AK$14),0,IF(OR(Plus!$F$10=Plus!$AK$10,Plus!$F$10=Plus!$AK$11),Plus!$G$13*Adm!$W$7,Plus!$G$13*Adm!$X$4))))</f>
        <v>0</v>
      </c>
      <c r="GF69" s="33">
        <f>IF(GJ68&lt;0.01,0,IF(OR(Plus!$F$10=Plus!$AK$7,Plus!$F$10=Plus!$AK$13),0,Plus!$BD$2*1.16))</f>
        <v>0</v>
      </c>
      <c r="GG69" s="33">
        <f>IF(GJ68&lt;0.01,0,IF(Plus!$AS$2&gt;0,GA69*Plus!$AS$3,0))</f>
        <v>0</v>
      </c>
      <c r="GH69" s="33">
        <f t="shared" si="78"/>
        <v>0</v>
      </c>
      <c r="GI69" s="33">
        <f>IF(Plus!$F$10=Plus!$AK$3,MIN(GJ68+GA69+GD69+GE69+GF69-GH69,GU69),0)</f>
        <v>0</v>
      </c>
      <c r="GJ69" s="311">
        <f t="shared" si="136"/>
        <v>0</v>
      </c>
      <c r="GK69" s="340">
        <f>Plus!O110</f>
        <v>0</v>
      </c>
      <c r="GL69" s="74"/>
      <c r="GM69" s="74"/>
      <c r="GN69" s="419">
        <f t="shared" si="135"/>
        <v>0</v>
      </c>
      <c r="GQ69" s="90">
        <f t="shared" si="80"/>
        <v>9</v>
      </c>
      <c r="GR69" s="121">
        <f t="shared" si="116"/>
        <v>0</v>
      </c>
      <c r="GT69" s="149">
        <f t="shared" si="117"/>
        <v>0</v>
      </c>
      <c r="GU69" s="2179">
        <f t="shared" ca="1" si="81"/>
        <v>0</v>
      </c>
      <c r="GW69" s="120">
        <f t="shared" si="118"/>
        <v>0</v>
      </c>
      <c r="GX69" s="110">
        <f t="shared" si="82"/>
        <v>0</v>
      </c>
      <c r="GY69" s="110">
        <f t="shared" si="83"/>
        <v>0</v>
      </c>
      <c r="GZ69" s="109">
        <f t="shared" si="84"/>
        <v>0</v>
      </c>
      <c r="HA69" s="109">
        <f t="shared" si="24"/>
        <v>0</v>
      </c>
      <c r="HB69" s="113">
        <f t="shared" si="85"/>
        <v>0</v>
      </c>
      <c r="HD69" s="102">
        <f t="shared" si="86"/>
        <v>0</v>
      </c>
      <c r="HE69" s="211">
        <f t="shared" si="129"/>
        <v>45</v>
      </c>
      <c r="HF69" s="212">
        <f t="shared" si="87"/>
        <v>0</v>
      </c>
      <c r="HG69" s="212">
        <f t="shared" si="25"/>
        <v>0</v>
      </c>
      <c r="HH69" s="212">
        <f t="shared" si="156"/>
        <v>0</v>
      </c>
      <c r="HI69" s="213">
        <f t="shared" si="26"/>
        <v>1000000</v>
      </c>
      <c r="HL69" s="182"/>
      <c r="HM69" s="26">
        <f t="shared" ca="1" si="27"/>
        <v>12</v>
      </c>
      <c r="HO69" s="268">
        <f t="shared" si="28"/>
        <v>0</v>
      </c>
      <c r="HP69" s="151">
        <f t="shared" si="157"/>
        <v>0</v>
      </c>
      <c r="HQ69" s="123">
        <f t="shared" si="88"/>
        <v>0</v>
      </c>
      <c r="HR69" s="123">
        <f t="shared" si="89"/>
        <v>0</v>
      </c>
      <c r="HS69" s="123">
        <f t="shared" si="90"/>
        <v>0</v>
      </c>
      <c r="HT69" s="123">
        <f>IF(HY68&lt;0.01,0,IF(Adm!$GS$4=Adm!$GS$8,HY68*$HY$15,IF(Adm!$GS$12=Adm!$GS$13,0,HY68*Adm!$GV$4)))</f>
        <v>0</v>
      </c>
      <c r="HU69" s="123">
        <f>IF(HY68&lt;0.01,0,IF(Adm!$GS$5=Adm!$GS$8,Cal!$BO$108*$HY$16/1.16,IF(Adm!$GS$12=Adm!$GS$13,0,Cal!$BO$108*Adm!$GW$4/1.16)))</f>
        <v>0</v>
      </c>
      <c r="HV69" s="123">
        <f t="shared" si="91"/>
        <v>0</v>
      </c>
      <c r="HW69" s="123">
        <f t="shared" si="92"/>
        <v>0</v>
      </c>
      <c r="HX69" s="123">
        <f>IF(Adm!$GH$6="si",MIN(HY68+HQ69+HT69+HU69+HV69-HW69,IH69),0)</f>
        <v>0</v>
      </c>
      <c r="HY69" s="297">
        <f t="shared" si="93"/>
        <v>0</v>
      </c>
      <c r="HZ69" s="74"/>
      <c r="IA69" s="407">
        <f t="shared" si="94"/>
        <v>0</v>
      </c>
      <c r="IC69" s="90">
        <f t="shared" si="95"/>
        <v>9</v>
      </c>
      <c r="ID69" s="124">
        <f>IF(IC69=1,Cal!$BO$127,0)</f>
        <v>0</v>
      </c>
      <c r="IE69" s="178">
        <f>IF(IC69=1,Adm!$HI$4,0)</f>
        <v>0</v>
      </c>
      <c r="IG69" s="70">
        <f t="shared" si="121"/>
        <v>0</v>
      </c>
      <c r="IH69" s="2178">
        <f t="shared" ca="1" si="96"/>
        <v>0</v>
      </c>
      <c r="IK69" s="217"/>
      <c r="IL69" s="26">
        <f t="shared" ca="1" si="29"/>
        <v>12</v>
      </c>
      <c r="IN69" s="268">
        <f t="shared" si="30"/>
        <v>0</v>
      </c>
      <c r="IO69" s="151">
        <f t="shared" si="154"/>
        <v>0</v>
      </c>
      <c r="IP69" s="123">
        <f t="shared" si="97"/>
        <v>0</v>
      </c>
      <c r="IQ69" s="123">
        <f t="shared" si="98"/>
        <v>0</v>
      </c>
      <c r="IR69" s="123">
        <f t="shared" si="99"/>
        <v>0</v>
      </c>
      <c r="IS69" s="123">
        <f>IF(IX68&lt;0.01,0,IF(Adm!$GS$4=Adm!$GS$8,IX68*$IX$15,IF(Adm!$GS$12=Adm!$GS$13,0,IX68*Adm!$GV$4)))</f>
        <v>0</v>
      </c>
      <c r="IT69" s="123"/>
      <c r="IU69" s="123">
        <f t="shared" si="100"/>
        <v>0</v>
      </c>
      <c r="IV69" s="123">
        <f t="shared" si="101"/>
        <v>0</v>
      </c>
      <c r="IW69" s="123"/>
      <c r="IX69" s="297">
        <f t="shared" si="102"/>
        <v>0</v>
      </c>
      <c r="IY69" s="74"/>
      <c r="IZ69" s="416">
        <f t="shared" si="103"/>
        <v>0</v>
      </c>
      <c r="JB69" s="90">
        <f t="shared" si="104"/>
        <v>9</v>
      </c>
      <c r="JC69" s="124">
        <f>IF(JB69=1,Cal!$BP$127,0)</f>
        <v>0</v>
      </c>
      <c r="JD69" s="178">
        <f>IF(JB69=1,Adm!$HI$4,0)</f>
        <v>0</v>
      </c>
    </row>
    <row r="70" spans="1:264">
      <c r="A70" s="26">
        <f t="shared" ca="1" si="0"/>
        <v>1</v>
      </c>
      <c r="C70" s="33">
        <f t="shared" si="1"/>
        <v>0</v>
      </c>
      <c r="D70" s="123">
        <f t="shared" si="31"/>
        <v>0</v>
      </c>
      <c r="E70" s="123">
        <f t="shared" si="147"/>
        <v>0</v>
      </c>
      <c r="F70" s="123">
        <f t="shared" si="149"/>
        <v>0</v>
      </c>
      <c r="G70" s="123">
        <f>IF(L69&lt;0.01,0,IF(Adm!$S$4=Adm!$S$8,L69*$L$15,L69*Adm!$V$4))</f>
        <v>0</v>
      </c>
      <c r="H70" s="123">
        <f>IF(L69&lt;0.01,0,IF(Adm!$S$5=Adm!$S$8,Adm!$AA$11*$L$16/1.16,IF(Adm!$B$4=Adm!$A$119,0,Adm!$AA$11*Adm!$X$4/1.16)))</f>
        <v>0</v>
      </c>
      <c r="I70" s="123">
        <f>IF(L69&lt;0.01,0,Cal!$AB$126/1.16)</f>
        <v>0</v>
      </c>
      <c r="J70" s="123">
        <f t="shared" si="2"/>
        <v>0</v>
      </c>
      <c r="K70" s="123">
        <f>IF(Adm!$G$4="si",MIN(L69+D70+G70+H70+I70-J70,V70),0)</f>
        <v>0</v>
      </c>
      <c r="L70" s="123">
        <f t="shared" si="32"/>
        <v>0</v>
      </c>
      <c r="M70" s="74"/>
      <c r="N70" s="74"/>
      <c r="O70" s="407">
        <f t="shared" si="33"/>
        <v>0</v>
      </c>
      <c r="R70" s="90">
        <f t="shared" si="34"/>
        <v>10</v>
      </c>
      <c r="S70" s="121">
        <f>IF(R70=1,Cal!$AB$127,0)</f>
        <v>0</v>
      </c>
      <c r="U70" s="70">
        <f t="shared" si="105"/>
        <v>0</v>
      </c>
      <c r="V70" s="2178">
        <f t="shared" ca="1" si="35"/>
        <v>0</v>
      </c>
      <c r="X70" s="398"/>
      <c r="Z70" s="268">
        <f t="shared" si="3"/>
        <v>0</v>
      </c>
      <c r="AA70" s="2176">
        <f t="shared" si="36"/>
        <v>0</v>
      </c>
      <c r="AB70" s="33">
        <f t="shared" si="37"/>
        <v>0</v>
      </c>
      <c r="AC70" s="33">
        <f t="shared" si="38"/>
        <v>0</v>
      </c>
      <c r="AD70" s="33">
        <f>IF(AI69&lt;0.01,0,IF(Adm!$S$4=Adm!$S$8,AI69*$AI$15,AI69*Adm!$V$4))</f>
        <v>0</v>
      </c>
      <c r="AE70" s="33"/>
      <c r="AF70" s="33"/>
      <c r="AG70" s="33">
        <f t="shared" si="4"/>
        <v>0</v>
      </c>
      <c r="AH70" s="33"/>
      <c r="AI70" s="401">
        <f t="shared" si="5"/>
        <v>0</v>
      </c>
      <c r="AK70" s="410">
        <f t="shared" si="6"/>
        <v>0</v>
      </c>
      <c r="AN70" s="90">
        <f t="shared" si="39"/>
        <v>10</v>
      </c>
      <c r="AO70" s="121">
        <f>IF(AN70=1,Cal!$AC$127,0)</f>
        <v>0</v>
      </c>
      <c r="AS70" s="200"/>
      <c r="AU70" s="268">
        <f t="shared" si="7"/>
        <v>0</v>
      </c>
      <c r="AV70" s="2177">
        <f t="shared" si="40"/>
        <v>0</v>
      </c>
      <c r="AW70" s="123">
        <f t="shared" si="8"/>
        <v>0</v>
      </c>
      <c r="AX70" s="123">
        <f t="shared" si="41"/>
        <v>0</v>
      </c>
      <c r="AY70" s="123">
        <f>IF(BC69&lt;0.01,0,IF(Adm!$S$4=Adm!$S$8,BC69*$BC$16,BC69*Adm!$V$4))</f>
        <v>0</v>
      </c>
      <c r="AZ70" s="123"/>
      <c r="BA70" s="123">
        <f>IF(BC69&lt;0.01,0,Adm!$Q$6)</f>
        <v>0</v>
      </c>
      <c r="BB70" s="123">
        <f t="shared" si="42"/>
        <v>0</v>
      </c>
      <c r="BC70" s="297">
        <f t="shared" si="43"/>
        <v>0</v>
      </c>
      <c r="BE70" s="425">
        <f t="shared" si="9"/>
        <v>0</v>
      </c>
      <c r="BH70" s="90">
        <f t="shared" si="44"/>
        <v>10</v>
      </c>
      <c r="BI70" s="121">
        <f>IF(BH70=1,Cal!$AD$127,0)</f>
        <v>0</v>
      </c>
      <c r="BM70" s="221"/>
      <c r="BO70" s="295">
        <f t="shared" ca="1" si="10"/>
        <v>1</v>
      </c>
      <c r="BP70" s="268">
        <f t="shared" si="11"/>
        <v>0</v>
      </c>
      <c r="BQ70" s="123">
        <f t="shared" si="45"/>
        <v>0</v>
      </c>
      <c r="BR70" s="123">
        <f t="shared" si="148"/>
        <v>0</v>
      </c>
      <c r="BS70" s="123">
        <f t="shared" si="150"/>
        <v>0</v>
      </c>
      <c r="BT70" s="123">
        <f>IF(BZ69&lt;0.01,0,IF(Plus!$F$22=Plus!$AN$4,BZ69*$BZ$15,IF(Plus!$F$22=Plus!$AN$3,BZ69*Plus!$F$23/1000,BZ69*VLOOKUP(Plus!$G$21,Plus!$AP$2:'Plus'!$AQ$5,2,0))))</f>
        <v>0</v>
      </c>
      <c r="BU70" s="123">
        <f>IF(BZ69&lt;0.01,0,IF(Plus!$F$24=Plus!$AO$3,Plus!$G$13*Plus!$AR$2/1.16,IF(Plus!$F$10=Plus!$AK$7,0,Plus!$G$13*Plus!$AR$2/1.16)))</f>
        <v>0</v>
      </c>
      <c r="BV70" s="123">
        <f>IF(BZ69&lt;0.01,0,Plus!$BD$2)</f>
        <v>0</v>
      </c>
      <c r="BW70" s="123"/>
      <c r="BX70" s="123">
        <f t="shared" si="12"/>
        <v>0</v>
      </c>
      <c r="BY70" s="123">
        <f>IF(Plus!$F$10=Plus!$AK$3,MIN(BZ69+BQ70+BT70+BU70+BV70-BX70,CJ70),0)</f>
        <v>0</v>
      </c>
      <c r="BZ70" s="297">
        <f t="shared" si="144"/>
        <v>0</v>
      </c>
      <c r="CA70" s="74"/>
      <c r="CB70" s="74"/>
      <c r="CC70" s="413">
        <f t="shared" si="47"/>
        <v>0</v>
      </c>
      <c r="CF70" s="90">
        <f t="shared" si="48"/>
        <v>10</v>
      </c>
      <c r="CG70" s="121">
        <f t="shared" si="106"/>
        <v>0</v>
      </c>
      <c r="CI70" s="70">
        <f t="shared" si="107"/>
        <v>0</v>
      </c>
      <c r="CJ70" s="2178">
        <f t="shared" ca="1" si="49"/>
        <v>0</v>
      </c>
      <c r="CL70" s="161"/>
      <c r="CN70" s="308">
        <f t="shared" ca="1" si="13"/>
        <v>1</v>
      </c>
      <c r="CO70" s="309">
        <f t="shared" si="50"/>
        <v>0</v>
      </c>
      <c r="CP70" s="268">
        <f t="shared" si="14"/>
        <v>0</v>
      </c>
      <c r="CQ70" s="123">
        <f t="shared" si="51"/>
        <v>0</v>
      </c>
      <c r="CR70" s="123">
        <f t="shared" si="137"/>
        <v>0</v>
      </c>
      <c r="CS70" s="123">
        <f t="shared" si="138"/>
        <v>0</v>
      </c>
      <c r="CT70" s="33">
        <f>IF(CZ69&lt;0.01,0,IF(Plus!$F$22=Plus!$AN$4,0,IF(Plus!$F$22=Plus!$AN$3,CZ69*Plus!$F$23/1000,CZ69*VLOOKUP(Plus!$G$21,Plus!$AP$2:'Plus'!$AQ$5,2,0))))</f>
        <v>0</v>
      </c>
      <c r="CU70" s="123">
        <f>IF(CZ69&lt;0.01,0,IF(Plus!$F$24=Plus!$AO$3,0,IF(OR(Plus!$F$10=Plus!$AK$7,Plus!$F$10=Plus!$AK$13),0,Plus!$G$13*Plus!$AR$2)))</f>
        <v>0</v>
      </c>
      <c r="CV70" s="123">
        <f>IF(CZ69&lt;0.01,0,IF(OR(Plus!$F$10=Plus!$AK$7,Plus!$F$10=Plus!$AK$13),0,Plus!$BD$2*1.16))</f>
        <v>0</v>
      </c>
      <c r="CW70" s="123">
        <f>IF(CZ69&lt;0.01,0,IF(Plus!$AS$2&gt;0,CQ70*Plus!$AS$3,0))</f>
        <v>0</v>
      </c>
      <c r="CX70" s="123">
        <f t="shared" si="52"/>
        <v>0</v>
      </c>
      <c r="CY70" s="123">
        <f>IF(Plus!$F$10=Plus!$AK$3,MIN(CZ69+CQ70+CT70+CU70+CV70-CX70,DK70),0)</f>
        <v>0</v>
      </c>
      <c r="CZ70" s="297">
        <f t="shared" si="146"/>
        <v>0</v>
      </c>
      <c r="DA70" s="306">
        <f>Plus!O111</f>
        <v>0</v>
      </c>
      <c r="DB70" s="74"/>
      <c r="DC70" s="74"/>
      <c r="DD70" s="407">
        <f t="shared" si="54"/>
        <v>0</v>
      </c>
      <c r="DG70" s="90">
        <f t="shared" si="55"/>
        <v>10</v>
      </c>
      <c r="DH70" s="121">
        <f t="shared" si="108"/>
        <v>0</v>
      </c>
      <c r="DJ70" s="149">
        <f t="shared" si="109"/>
        <v>0</v>
      </c>
      <c r="DK70" s="2179">
        <f t="shared" ca="1" si="56"/>
        <v>0</v>
      </c>
      <c r="DN70" s="120">
        <f t="shared" si="110"/>
        <v>0</v>
      </c>
      <c r="DO70" s="110">
        <f t="shared" si="57"/>
        <v>0</v>
      </c>
      <c r="DP70" s="110">
        <f t="shared" si="124"/>
        <v>0</v>
      </c>
      <c r="DQ70" s="109">
        <f t="shared" si="58"/>
        <v>0</v>
      </c>
      <c r="DR70" s="109">
        <f t="shared" si="59"/>
        <v>0</v>
      </c>
      <c r="DS70" s="113">
        <f t="shared" si="60"/>
        <v>0</v>
      </c>
      <c r="DU70" s="102">
        <f t="shared" si="61"/>
        <v>0</v>
      </c>
      <c r="DV70" s="211">
        <f t="shared" si="125"/>
        <v>46</v>
      </c>
      <c r="DW70" s="212">
        <f t="shared" si="62"/>
        <v>0</v>
      </c>
      <c r="DX70" s="212">
        <f t="shared" si="15"/>
        <v>0</v>
      </c>
      <c r="DY70" s="212">
        <f t="shared" si="111"/>
        <v>0</v>
      </c>
      <c r="DZ70" s="213">
        <f t="shared" si="16"/>
        <v>1000000</v>
      </c>
      <c r="ED70" s="182"/>
      <c r="EF70" s="308">
        <f t="shared" ca="1" si="17"/>
        <v>1</v>
      </c>
      <c r="EG70" s="309">
        <f t="shared" si="63"/>
        <v>0</v>
      </c>
      <c r="EH70" s="268">
        <f t="shared" si="18"/>
        <v>0</v>
      </c>
      <c r="EI70" s="33">
        <f t="shared" si="64"/>
        <v>0</v>
      </c>
      <c r="EJ70" s="33">
        <f t="shared" si="139"/>
        <v>0</v>
      </c>
      <c r="EK70" s="33">
        <f t="shared" si="151"/>
        <v>0</v>
      </c>
      <c r="EL70" s="33">
        <f>IF(ER69&lt;0.01,0,IF(Plus!$F$22=Plus!$AN$4,0,IF(Plus!$F$22=Plus!$AN$3,ER69*Plus!$F$23/1000,ER69*VLOOKUP(Plus!$G$21,Plus!$AP$2:'Plus'!$AQ$5,2,0))))</f>
        <v>0</v>
      </c>
      <c r="EM70" s="33">
        <f>IF(ER69&lt;0.01,0,IF(Plus!$F$24=Plus!$AO$3,0,IF(OR(Plus!$F$10=Plus!$AK$7,Plus!$F$10=Plus!$AK$13),0,Plus!$G$13*Plus!$AR$2)))</f>
        <v>0</v>
      </c>
      <c r="EN70" s="33">
        <f>IF(ER69&lt;0.01,0,IF(OR(Plus!$F$10=Plus!$AK$7,Plus!$F$10=Plus!$AK$13),0,Plus!$BD$2*1.16))</f>
        <v>0</v>
      </c>
      <c r="EO70" s="33">
        <f>IF(ER69&lt;0.01,0,IF(Plus!$AS$2&gt;0,EI70*Plus!$AS$3,0))</f>
        <v>0</v>
      </c>
      <c r="EP70" s="33">
        <f t="shared" si="65"/>
        <v>0</v>
      </c>
      <c r="EQ70" s="33">
        <f>IF(Plus!$F$10=Plus!$AK$3,MIN(ER69+EI70+EL70+EM70+EN70-EP70,FC70),0)</f>
        <v>0</v>
      </c>
      <c r="ER70" s="311">
        <f t="shared" si="145"/>
        <v>0</v>
      </c>
      <c r="ES70" s="340">
        <f>Plus!O111</f>
        <v>0</v>
      </c>
      <c r="ET70" s="74"/>
      <c r="EU70" s="74"/>
      <c r="EV70" s="416">
        <f t="shared" si="134"/>
        <v>0</v>
      </c>
      <c r="EY70" s="90">
        <f t="shared" si="68"/>
        <v>10</v>
      </c>
      <c r="EZ70" s="121">
        <f t="shared" si="112"/>
        <v>0</v>
      </c>
      <c r="FB70" s="149">
        <f t="shared" si="113"/>
        <v>0</v>
      </c>
      <c r="FC70" s="2179">
        <f t="shared" ca="1" si="69"/>
        <v>0</v>
      </c>
      <c r="FE70" s="120">
        <f t="shared" si="114"/>
        <v>0</v>
      </c>
      <c r="FF70" s="110">
        <f t="shared" si="70"/>
        <v>0</v>
      </c>
      <c r="FG70" s="110">
        <f t="shared" si="71"/>
        <v>0</v>
      </c>
      <c r="FH70" s="109">
        <f t="shared" si="72"/>
        <v>0</v>
      </c>
      <c r="FI70" s="109">
        <f t="shared" si="19"/>
        <v>0</v>
      </c>
      <c r="FJ70" s="113">
        <f t="shared" si="73"/>
        <v>0</v>
      </c>
      <c r="FL70" s="102">
        <f t="shared" si="74"/>
        <v>0</v>
      </c>
      <c r="FM70" s="211">
        <f t="shared" si="127"/>
        <v>46</v>
      </c>
      <c r="FN70" s="212">
        <f t="shared" si="75"/>
        <v>0</v>
      </c>
      <c r="FO70" s="212">
        <f t="shared" si="20"/>
        <v>0</v>
      </c>
      <c r="FP70" s="212">
        <f t="shared" si="155"/>
        <v>0</v>
      </c>
      <c r="FQ70" s="213">
        <f t="shared" si="21"/>
        <v>1000000</v>
      </c>
      <c r="FV70" s="359"/>
      <c r="FX70" s="308">
        <f t="shared" ca="1" si="22"/>
        <v>1</v>
      </c>
      <c r="FY70" s="309">
        <f t="shared" si="76"/>
        <v>0</v>
      </c>
      <c r="FZ70" s="268">
        <f t="shared" si="23"/>
        <v>0</v>
      </c>
      <c r="GA70" s="33">
        <f t="shared" si="77"/>
        <v>0</v>
      </c>
      <c r="GB70" s="33">
        <f t="shared" si="141"/>
        <v>0</v>
      </c>
      <c r="GC70" s="33">
        <f t="shared" si="142"/>
        <v>0</v>
      </c>
      <c r="GD70" s="33">
        <f>IF(GJ69&lt;0.01,0,IF(Plus!$F$22=Plus!$AN$4,0,IF(Plus!$F$22=Plus!$AN$3,GJ69*Plus!$F$23/1000,GJ69*VLOOKUP(Plus!$G$21,Plus!$AP$2:$AQ$5,2,0))))</f>
        <v>0</v>
      </c>
      <c r="GE70" s="33">
        <f>IF(GJ69&lt;0.01,0,IF(Plus!$F$24=Plus!$AO$3,0,IF(OR(Plus!$F$10=Plus!$AK$7,Plus!$F$10=Plus!$AK$13,Plus!$F$10=Plus!$AK$14),0,IF(OR(Plus!$F$10=Plus!$AK$10,Plus!$F$10=Plus!$AK$11),Plus!$G$13*Adm!$W$7,Plus!$G$13*Adm!$X$4))))</f>
        <v>0</v>
      </c>
      <c r="GF70" s="33">
        <f>IF(GJ69&lt;0.01,0,IF(OR(Plus!$F$10=Plus!$AK$7,Plus!$F$10=Plus!$AK$13),0,Plus!$BD$2*1.16))</f>
        <v>0</v>
      </c>
      <c r="GG70" s="33">
        <f>IF(GJ69&lt;0.01,0,IF(Plus!$AS$2&gt;0,GA70*Plus!$AS$3,0))</f>
        <v>0</v>
      </c>
      <c r="GH70" s="33">
        <f t="shared" si="78"/>
        <v>0</v>
      </c>
      <c r="GI70" s="33">
        <f>IF(Plus!$F$10=Plus!$AK$3,MIN(GJ69+GA70+GD70+GE70+GF70-GH70,GU70),0)</f>
        <v>0</v>
      </c>
      <c r="GJ70" s="311">
        <f t="shared" si="136"/>
        <v>0</v>
      </c>
      <c r="GK70" s="340">
        <f>Plus!O111</f>
        <v>0</v>
      </c>
      <c r="GL70" s="74"/>
      <c r="GM70" s="74"/>
      <c r="GN70" s="419">
        <f t="shared" si="135"/>
        <v>0</v>
      </c>
      <c r="GQ70" s="90">
        <f t="shared" si="80"/>
        <v>10</v>
      </c>
      <c r="GR70" s="121">
        <f t="shared" si="116"/>
        <v>0</v>
      </c>
      <c r="GT70" s="149">
        <f t="shared" si="117"/>
        <v>0</v>
      </c>
      <c r="GU70" s="2179">
        <f t="shared" ca="1" si="81"/>
        <v>0</v>
      </c>
      <c r="GW70" s="120">
        <f t="shared" si="118"/>
        <v>0</v>
      </c>
      <c r="GX70" s="110">
        <f t="shared" si="82"/>
        <v>0</v>
      </c>
      <c r="GY70" s="110">
        <f t="shared" si="83"/>
        <v>0</v>
      </c>
      <c r="GZ70" s="109">
        <f t="shared" si="84"/>
        <v>0</v>
      </c>
      <c r="HA70" s="109">
        <f t="shared" si="24"/>
        <v>0</v>
      </c>
      <c r="HB70" s="113">
        <f t="shared" si="85"/>
        <v>0</v>
      </c>
      <c r="HD70" s="102">
        <f t="shared" si="86"/>
        <v>0</v>
      </c>
      <c r="HE70" s="211">
        <f t="shared" si="129"/>
        <v>46</v>
      </c>
      <c r="HF70" s="212">
        <f t="shared" si="87"/>
        <v>0</v>
      </c>
      <c r="HG70" s="212">
        <f t="shared" si="25"/>
        <v>0</v>
      </c>
      <c r="HH70" s="212">
        <f t="shared" si="156"/>
        <v>0</v>
      </c>
      <c r="HI70" s="213">
        <f t="shared" si="26"/>
        <v>1000000</v>
      </c>
      <c r="HL70" s="182"/>
      <c r="HM70" s="26">
        <f t="shared" ca="1" si="27"/>
        <v>1</v>
      </c>
      <c r="HO70" s="268">
        <f t="shared" si="28"/>
        <v>0</v>
      </c>
      <c r="HP70" s="151">
        <f t="shared" si="157"/>
        <v>0</v>
      </c>
      <c r="HQ70" s="123">
        <f t="shared" si="88"/>
        <v>0</v>
      </c>
      <c r="HR70" s="123">
        <f t="shared" si="89"/>
        <v>0</v>
      </c>
      <c r="HS70" s="123">
        <f t="shared" si="90"/>
        <v>0</v>
      </c>
      <c r="HT70" s="123">
        <f>IF(HY69&lt;0.01,0,IF(Adm!$GS$4=Adm!$GS$8,HY69*$HY$15,IF(Adm!$GS$12=Adm!$GS$13,0,HY69*Adm!$GV$4)))</f>
        <v>0</v>
      </c>
      <c r="HU70" s="123">
        <f>IF(HY69&lt;0.01,0,IF(Adm!$GS$5=Adm!$GS$8,Cal!$BO$108*$HY$16/1.16,IF(Adm!$GS$12=Adm!$GS$13,0,Cal!$BO$108*Adm!$GW$4/1.16)))</f>
        <v>0</v>
      </c>
      <c r="HV70" s="123">
        <f t="shared" si="91"/>
        <v>0</v>
      </c>
      <c r="HW70" s="123">
        <f t="shared" si="92"/>
        <v>0</v>
      </c>
      <c r="HX70" s="123">
        <f>IF(Adm!$GH$6="si",MIN(HY69+HQ70+HT70+HU70+HV70-HW70,IH70),0)</f>
        <v>0</v>
      </c>
      <c r="HY70" s="297">
        <f t="shared" si="93"/>
        <v>0</v>
      </c>
      <c r="HZ70" s="74"/>
      <c r="IA70" s="407">
        <f t="shared" si="94"/>
        <v>0</v>
      </c>
      <c r="IC70" s="90">
        <f t="shared" si="95"/>
        <v>10</v>
      </c>
      <c r="ID70" s="124">
        <f>IF(IC70=1,Cal!$BO$127,0)</f>
        <v>0</v>
      </c>
      <c r="IE70" s="178">
        <f>IF(IC70=1,Adm!$HI$4,0)</f>
        <v>0</v>
      </c>
      <c r="IG70" s="70">
        <f t="shared" si="121"/>
        <v>0</v>
      </c>
      <c r="IH70" s="2178">
        <f t="shared" ca="1" si="96"/>
        <v>0</v>
      </c>
      <c r="IK70" s="217"/>
      <c r="IL70" s="26">
        <f t="shared" ca="1" si="29"/>
        <v>1</v>
      </c>
      <c r="IN70" s="268">
        <f t="shared" si="30"/>
        <v>0</v>
      </c>
      <c r="IO70" s="151">
        <f t="shared" si="154"/>
        <v>0</v>
      </c>
      <c r="IP70" s="123">
        <f t="shared" si="97"/>
        <v>0</v>
      </c>
      <c r="IQ70" s="123">
        <f t="shared" si="98"/>
        <v>0</v>
      </c>
      <c r="IR70" s="123">
        <f t="shared" si="99"/>
        <v>0</v>
      </c>
      <c r="IS70" s="123">
        <f>IF(IX69&lt;0.01,0,IF(Adm!$GS$4=Adm!$GS$8,IX69*$IX$15,IF(Adm!$GS$12=Adm!$GS$13,0,IX69*Adm!$GV$4)))</f>
        <v>0</v>
      </c>
      <c r="IT70" s="123"/>
      <c r="IU70" s="123">
        <f t="shared" si="100"/>
        <v>0</v>
      </c>
      <c r="IV70" s="123">
        <f t="shared" si="101"/>
        <v>0</v>
      </c>
      <c r="IW70" s="123"/>
      <c r="IX70" s="297">
        <f t="shared" si="102"/>
        <v>0</v>
      </c>
      <c r="IY70" s="74"/>
      <c r="IZ70" s="416">
        <f t="shared" si="103"/>
        <v>0</v>
      </c>
      <c r="JB70" s="90">
        <f t="shared" si="104"/>
        <v>10</v>
      </c>
      <c r="JC70" s="124">
        <f>IF(JB70=1,Cal!$BP$127,0)</f>
        <v>0</v>
      </c>
      <c r="JD70" s="178">
        <f>IF(JB70=1,Adm!$HI$4,0)</f>
        <v>0</v>
      </c>
    </row>
    <row r="71" spans="1:264">
      <c r="A71" s="26">
        <f t="shared" ca="1" si="0"/>
        <v>2</v>
      </c>
      <c r="C71" s="33">
        <f t="shared" si="1"/>
        <v>0</v>
      </c>
      <c r="D71" s="123">
        <f t="shared" si="31"/>
        <v>0</v>
      </c>
      <c r="E71" s="123">
        <f t="shared" si="147"/>
        <v>0</v>
      </c>
      <c r="F71" s="123">
        <f t="shared" si="149"/>
        <v>0</v>
      </c>
      <c r="G71" s="123">
        <f>IF(L70&lt;0.01,0,IF(Adm!$S$4=Adm!$S$8,L70*$L$15,L70*Adm!$V$4))</f>
        <v>0</v>
      </c>
      <c r="H71" s="123">
        <f>IF(L70&lt;0.01,0,IF(Adm!$S$5=Adm!$S$8,Adm!$AA$11*$L$16/1.16,IF(Adm!$B$4=Adm!$A$119,0,Adm!$AA$11*Adm!$X$4/1.16)))</f>
        <v>0</v>
      </c>
      <c r="I71" s="123">
        <f>IF(L70&lt;0.01,0,Cal!$AB$126/1.16)</f>
        <v>0</v>
      </c>
      <c r="J71" s="123">
        <f t="shared" si="2"/>
        <v>0</v>
      </c>
      <c r="K71" s="123">
        <f>IF(Adm!$G$4="si",MIN(L70+D71+G71+H71+I71-J71,V71),0)</f>
        <v>0</v>
      </c>
      <c r="L71" s="123">
        <f t="shared" si="32"/>
        <v>0</v>
      </c>
      <c r="M71" s="74"/>
      <c r="N71" s="74"/>
      <c r="O71" s="407">
        <f t="shared" si="33"/>
        <v>0</v>
      </c>
      <c r="R71" s="90">
        <f t="shared" si="34"/>
        <v>11</v>
      </c>
      <c r="S71" s="121">
        <f>IF(R71=1,Cal!$AB$127,0)</f>
        <v>0</v>
      </c>
      <c r="U71" s="70">
        <f t="shared" si="105"/>
        <v>0</v>
      </c>
      <c r="V71" s="2178">
        <f t="shared" ca="1" si="35"/>
        <v>0</v>
      </c>
      <c r="X71" s="398"/>
      <c r="Z71" s="268">
        <f t="shared" si="3"/>
        <v>0</v>
      </c>
      <c r="AA71" s="2176">
        <f t="shared" si="36"/>
        <v>0</v>
      </c>
      <c r="AB71" s="33">
        <f t="shared" si="37"/>
        <v>0</v>
      </c>
      <c r="AC71" s="33">
        <f t="shared" si="38"/>
        <v>0</v>
      </c>
      <c r="AD71" s="33">
        <f>IF(AI70&lt;0.01,0,IF(Adm!$S$4=Adm!$S$8,AI70*$AI$15,AI70*Adm!$V$4))</f>
        <v>0</v>
      </c>
      <c r="AE71" s="33"/>
      <c r="AF71" s="33"/>
      <c r="AG71" s="33">
        <f t="shared" si="4"/>
        <v>0</v>
      </c>
      <c r="AH71" s="33"/>
      <c r="AI71" s="401">
        <f t="shared" si="5"/>
        <v>0</v>
      </c>
      <c r="AK71" s="410">
        <f t="shared" si="6"/>
        <v>0</v>
      </c>
      <c r="AN71" s="90">
        <f t="shared" si="39"/>
        <v>11</v>
      </c>
      <c r="AO71" s="121">
        <f>IF(AN71=1,Cal!$AC$127,0)</f>
        <v>0</v>
      </c>
      <c r="AS71" s="200"/>
      <c r="AU71" s="268">
        <f t="shared" si="7"/>
        <v>0</v>
      </c>
      <c r="AV71" s="2177">
        <f t="shared" si="40"/>
        <v>0</v>
      </c>
      <c r="AW71" s="123">
        <f t="shared" si="8"/>
        <v>0</v>
      </c>
      <c r="AX71" s="123">
        <f t="shared" si="41"/>
        <v>0</v>
      </c>
      <c r="AY71" s="123">
        <f>IF(BC70&lt;0.01,0,IF(Adm!$S$4=Adm!$S$8,BC70*$BC$16,BC70*Adm!$V$4))</f>
        <v>0</v>
      </c>
      <c r="AZ71" s="123"/>
      <c r="BA71" s="123">
        <f>IF(BC70&lt;0.01,0,Adm!$Q$6)</f>
        <v>0</v>
      </c>
      <c r="BB71" s="123">
        <f t="shared" si="42"/>
        <v>0</v>
      </c>
      <c r="BC71" s="297">
        <f t="shared" si="43"/>
        <v>0</v>
      </c>
      <c r="BE71" s="425">
        <f t="shared" si="9"/>
        <v>0</v>
      </c>
      <c r="BH71" s="90">
        <f t="shared" si="44"/>
        <v>11</v>
      </c>
      <c r="BI71" s="121">
        <f>IF(BH71=1,Cal!$AD$127,0)</f>
        <v>0</v>
      </c>
      <c r="BM71" s="221"/>
      <c r="BO71" s="295">
        <f t="shared" ca="1" si="10"/>
        <v>2</v>
      </c>
      <c r="BP71" s="268">
        <f t="shared" si="11"/>
        <v>0</v>
      </c>
      <c r="BQ71" s="123">
        <f t="shared" si="45"/>
        <v>0</v>
      </c>
      <c r="BR71" s="123">
        <f t="shared" si="148"/>
        <v>0</v>
      </c>
      <c r="BS71" s="123">
        <f t="shared" si="150"/>
        <v>0</v>
      </c>
      <c r="BT71" s="123">
        <f>IF(BZ70&lt;0.01,0,IF(Plus!$F$22=Plus!$AN$4,BZ70*$BZ$15,IF(Plus!$F$22=Plus!$AN$3,BZ70*Plus!$F$23/1000,BZ70*VLOOKUP(Plus!$G$21,Plus!$AP$2:'Plus'!$AQ$5,2,0))))</f>
        <v>0</v>
      </c>
      <c r="BU71" s="123">
        <f>IF(BZ70&lt;0.01,0,IF(Plus!$F$24=Plus!$AO$3,Plus!$G$13*Plus!$AR$2/1.16,IF(Plus!$F$10=Plus!$AK$7,0,Plus!$G$13*Plus!$AR$2/1.16)))</f>
        <v>0</v>
      </c>
      <c r="BV71" s="123">
        <f>IF(BZ70&lt;0.01,0,Plus!$BD$2)</f>
        <v>0</v>
      </c>
      <c r="BW71" s="123"/>
      <c r="BX71" s="123">
        <f t="shared" si="12"/>
        <v>0</v>
      </c>
      <c r="BY71" s="123">
        <f>IF(Plus!$F$10=Plus!$AK$3,MIN(BZ70+BQ71+BT71+BU71+BV71-BX71,CJ71),0)</f>
        <v>0</v>
      </c>
      <c r="BZ71" s="297">
        <f t="shared" si="144"/>
        <v>0</v>
      </c>
      <c r="CA71" s="74"/>
      <c r="CB71" s="74"/>
      <c r="CC71" s="413">
        <f t="shared" si="47"/>
        <v>0</v>
      </c>
      <c r="CF71" s="90">
        <f t="shared" si="48"/>
        <v>11</v>
      </c>
      <c r="CG71" s="121">
        <f t="shared" si="106"/>
        <v>0</v>
      </c>
      <c r="CI71" s="70">
        <f t="shared" si="107"/>
        <v>0</v>
      </c>
      <c r="CJ71" s="2178">
        <f t="shared" ca="1" si="49"/>
        <v>0</v>
      </c>
      <c r="CL71" s="161"/>
      <c r="CN71" s="308">
        <f t="shared" ca="1" si="13"/>
        <v>2</v>
      </c>
      <c r="CO71" s="309">
        <f t="shared" si="50"/>
        <v>0</v>
      </c>
      <c r="CP71" s="268">
        <f t="shared" si="14"/>
        <v>0</v>
      </c>
      <c r="CQ71" s="123">
        <f t="shared" si="51"/>
        <v>0</v>
      </c>
      <c r="CR71" s="123">
        <f t="shared" si="137"/>
        <v>0</v>
      </c>
      <c r="CS71" s="123">
        <f t="shared" si="138"/>
        <v>0</v>
      </c>
      <c r="CT71" s="33">
        <f>IF(CZ70&lt;0.01,0,IF(Plus!$F$22=Plus!$AN$4,0,IF(Plus!$F$22=Plus!$AN$3,CZ70*Plus!$F$23/1000,CZ70*VLOOKUP(Plus!$G$21,Plus!$AP$2:'Plus'!$AQ$5,2,0))))</f>
        <v>0</v>
      </c>
      <c r="CU71" s="123">
        <f>IF(CZ70&lt;0.01,0,IF(Plus!$F$24=Plus!$AO$3,0,IF(OR(Plus!$F$10=Plus!$AK$7,Plus!$F$10=Plus!$AK$13),0,Plus!$G$13*Plus!$AR$2)))</f>
        <v>0</v>
      </c>
      <c r="CV71" s="123">
        <f>IF(CZ70&lt;0.01,0,IF(OR(Plus!$F$10=Plus!$AK$7,Plus!$F$10=Plus!$AK$13),0,Plus!$BD$2*1.16))</f>
        <v>0</v>
      </c>
      <c r="CW71" s="123">
        <f>IF(CZ70&lt;0.01,0,IF(Plus!$AS$2&gt;0,CQ71*Plus!$AS$3,0))</f>
        <v>0</v>
      </c>
      <c r="CX71" s="123">
        <f t="shared" si="52"/>
        <v>0</v>
      </c>
      <c r="CY71" s="123">
        <f>IF(Plus!$F$10=Plus!$AK$3,MIN(CZ70+CQ71+CT71+CU71+CV71-CX71,DK71),0)</f>
        <v>0</v>
      </c>
      <c r="CZ71" s="297">
        <f t="shared" si="146"/>
        <v>0</v>
      </c>
      <c r="DA71" s="306">
        <f>Plus!O112</f>
        <v>0</v>
      </c>
      <c r="DB71" s="74"/>
      <c r="DC71" s="74"/>
      <c r="DD71" s="407">
        <f t="shared" si="54"/>
        <v>0</v>
      </c>
      <c r="DG71" s="90">
        <f t="shared" si="55"/>
        <v>11</v>
      </c>
      <c r="DH71" s="121">
        <f t="shared" si="108"/>
        <v>0</v>
      </c>
      <c r="DJ71" s="149">
        <f t="shared" si="109"/>
        <v>0</v>
      </c>
      <c r="DK71" s="2179">
        <f t="shared" ca="1" si="56"/>
        <v>0</v>
      </c>
      <c r="DN71" s="120">
        <f t="shared" si="110"/>
        <v>0</v>
      </c>
      <c r="DO71" s="110">
        <f t="shared" si="57"/>
        <v>0</v>
      </c>
      <c r="DP71" s="110">
        <f t="shared" si="124"/>
        <v>0</v>
      </c>
      <c r="DQ71" s="109">
        <f t="shared" si="58"/>
        <v>0</v>
      </c>
      <c r="DR71" s="109">
        <f t="shared" si="59"/>
        <v>0</v>
      </c>
      <c r="DS71" s="113">
        <f t="shared" si="60"/>
        <v>0</v>
      </c>
      <c r="DU71" s="102">
        <f t="shared" si="61"/>
        <v>0</v>
      </c>
      <c r="DV71" s="211">
        <f t="shared" si="125"/>
        <v>47</v>
      </c>
      <c r="DW71" s="212">
        <f t="shared" si="62"/>
        <v>0</v>
      </c>
      <c r="DX71" s="212">
        <f t="shared" si="15"/>
        <v>0</v>
      </c>
      <c r="DY71" s="212">
        <f t="shared" si="111"/>
        <v>0</v>
      </c>
      <c r="DZ71" s="213">
        <f t="shared" si="16"/>
        <v>1000000</v>
      </c>
      <c r="ED71" s="182"/>
      <c r="EF71" s="308">
        <f t="shared" ca="1" si="17"/>
        <v>2</v>
      </c>
      <c r="EG71" s="309">
        <f t="shared" si="63"/>
        <v>0</v>
      </c>
      <c r="EH71" s="268">
        <f t="shared" si="18"/>
        <v>0</v>
      </c>
      <c r="EI71" s="33">
        <f t="shared" si="64"/>
        <v>0</v>
      </c>
      <c r="EJ71" s="33">
        <f t="shared" si="139"/>
        <v>0</v>
      </c>
      <c r="EK71" s="33">
        <f t="shared" si="151"/>
        <v>0</v>
      </c>
      <c r="EL71" s="33">
        <f>IF(ER70&lt;0.01,0,IF(Plus!$F$22=Plus!$AN$4,0,IF(Plus!$F$22=Plus!$AN$3,ER70*Plus!$F$23/1000,ER70*VLOOKUP(Plus!$G$21,Plus!$AP$2:'Plus'!$AQ$5,2,0))))</f>
        <v>0</v>
      </c>
      <c r="EM71" s="33">
        <f>IF(ER70&lt;0.01,0,IF(Plus!$F$24=Plus!$AO$3,0,IF(OR(Plus!$F$10=Plus!$AK$7,Plus!$F$10=Plus!$AK$13),0,Plus!$G$13*Plus!$AR$2)))</f>
        <v>0</v>
      </c>
      <c r="EN71" s="33">
        <f>IF(ER70&lt;0.01,0,IF(OR(Plus!$F$10=Plus!$AK$7,Plus!$F$10=Plus!$AK$13),0,Plus!$BD$2*1.16))</f>
        <v>0</v>
      </c>
      <c r="EO71" s="33">
        <f>IF(ER70&lt;0.01,0,IF(Plus!$AS$2&gt;0,EI71*Plus!$AS$3,0))</f>
        <v>0</v>
      </c>
      <c r="EP71" s="33">
        <f t="shared" si="65"/>
        <v>0</v>
      </c>
      <c r="EQ71" s="33">
        <f>IF(Plus!$F$10=Plus!$AK$3,MIN(ER70+EI71+EL71+EM71+EN71-EP71,FC71),0)</f>
        <v>0</v>
      </c>
      <c r="ER71" s="311">
        <f t="shared" si="145"/>
        <v>0</v>
      </c>
      <c r="ES71" s="340">
        <f>Plus!O112</f>
        <v>0</v>
      </c>
      <c r="ET71" s="74"/>
      <c r="EU71" s="74"/>
      <c r="EV71" s="416">
        <f t="shared" si="134"/>
        <v>0</v>
      </c>
      <c r="EY71" s="90">
        <f t="shared" si="68"/>
        <v>11</v>
      </c>
      <c r="EZ71" s="121">
        <f t="shared" si="112"/>
        <v>0</v>
      </c>
      <c r="FB71" s="149">
        <f t="shared" si="113"/>
        <v>0</v>
      </c>
      <c r="FC71" s="2179">
        <f t="shared" ca="1" si="69"/>
        <v>0</v>
      </c>
      <c r="FE71" s="120">
        <f t="shared" si="114"/>
        <v>0</v>
      </c>
      <c r="FF71" s="110">
        <f t="shared" si="70"/>
        <v>0</v>
      </c>
      <c r="FG71" s="110">
        <f t="shared" si="71"/>
        <v>0</v>
      </c>
      <c r="FH71" s="109">
        <f t="shared" si="72"/>
        <v>0</v>
      </c>
      <c r="FI71" s="109">
        <f t="shared" si="19"/>
        <v>0</v>
      </c>
      <c r="FJ71" s="113">
        <f t="shared" si="73"/>
        <v>0</v>
      </c>
      <c r="FL71" s="102">
        <f t="shared" si="74"/>
        <v>0</v>
      </c>
      <c r="FM71" s="211">
        <f t="shared" si="127"/>
        <v>47</v>
      </c>
      <c r="FN71" s="212">
        <f t="shared" si="75"/>
        <v>0</v>
      </c>
      <c r="FO71" s="212">
        <f t="shared" si="20"/>
        <v>0</v>
      </c>
      <c r="FP71" s="212">
        <f t="shared" si="155"/>
        <v>0</v>
      </c>
      <c r="FQ71" s="213">
        <f t="shared" si="21"/>
        <v>1000000</v>
      </c>
      <c r="FV71" s="359"/>
      <c r="FX71" s="308">
        <f t="shared" ca="1" si="22"/>
        <v>2</v>
      </c>
      <c r="FY71" s="309">
        <f t="shared" si="76"/>
        <v>0</v>
      </c>
      <c r="FZ71" s="268">
        <f t="shared" si="23"/>
        <v>0</v>
      </c>
      <c r="GA71" s="33">
        <f t="shared" si="77"/>
        <v>0</v>
      </c>
      <c r="GB71" s="33">
        <f t="shared" si="141"/>
        <v>0</v>
      </c>
      <c r="GC71" s="33">
        <f t="shared" si="142"/>
        <v>0</v>
      </c>
      <c r="GD71" s="33">
        <f>IF(GJ70&lt;0.01,0,IF(Plus!$F$22=Plus!$AN$4,0,IF(Plus!$F$22=Plus!$AN$3,GJ70*Plus!$F$23/1000,GJ70*VLOOKUP(Plus!$G$21,Plus!$AP$2:$AQ$5,2,0))))</f>
        <v>0</v>
      </c>
      <c r="GE71" s="33">
        <f>IF(GJ70&lt;0.01,0,IF(Plus!$F$24=Plus!$AO$3,0,IF(OR(Plus!$F$10=Plus!$AK$7,Plus!$F$10=Plus!$AK$13,Plus!$F$10=Plus!$AK$14),0,IF(OR(Plus!$F$10=Plus!$AK$10,Plus!$F$10=Plus!$AK$11),Plus!$G$13*Adm!$W$7,Plus!$G$13*Adm!$X$4))))</f>
        <v>0</v>
      </c>
      <c r="GF71" s="33">
        <f>IF(GJ70&lt;0.01,0,IF(OR(Plus!$F$10=Plus!$AK$7,Plus!$F$10=Plus!$AK$13),0,Plus!$BD$2*1.16))</f>
        <v>0</v>
      </c>
      <c r="GG71" s="33">
        <f>IF(GJ70&lt;0.01,0,IF(Plus!$AS$2&gt;0,GA71*Plus!$AS$3,0))</f>
        <v>0</v>
      </c>
      <c r="GH71" s="33">
        <f t="shared" si="78"/>
        <v>0</v>
      </c>
      <c r="GI71" s="33">
        <f>IF(Plus!$F$10=Plus!$AK$3,MIN(GJ70+GA71+GD71+GE71+GF71-GH71,GU71),0)</f>
        <v>0</v>
      </c>
      <c r="GJ71" s="311">
        <f t="shared" si="136"/>
        <v>0</v>
      </c>
      <c r="GK71" s="340">
        <f>Plus!O112</f>
        <v>0</v>
      </c>
      <c r="GL71" s="74"/>
      <c r="GM71" s="74"/>
      <c r="GN71" s="419">
        <f t="shared" si="135"/>
        <v>0</v>
      </c>
      <c r="GQ71" s="90">
        <f t="shared" si="80"/>
        <v>11</v>
      </c>
      <c r="GR71" s="121">
        <f t="shared" si="116"/>
        <v>0</v>
      </c>
      <c r="GT71" s="149">
        <f t="shared" si="117"/>
        <v>0</v>
      </c>
      <c r="GU71" s="2179">
        <f t="shared" ca="1" si="81"/>
        <v>0</v>
      </c>
      <c r="GW71" s="120">
        <f t="shared" si="118"/>
        <v>0</v>
      </c>
      <c r="GX71" s="110">
        <f t="shared" si="82"/>
        <v>0</v>
      </c>
      <c r="GY71" s="110">
        <f t="shared" si="83"/>
        <v>0</v>
      </c>
      <c r="GZ71" s="109">
        <f t="shared" si="84"/>
        <v>0</v>
      </c>
      <c r="HA71" s="109">
        <f t="shared" si="24"/>
        <v>0</v>
      </c>
      <c r="HB71" s="113">
        <f t="shared" si="85"/>
        <v>0</v>
      </c>
      <c r="HD71" s="102">
        <f t="shared" si="86"/>
        <v>0</v>
      </c>
      <c r="HE71" s="211">
        <f t="shared" si="129"/>
        <v>47</v>
      </c>
      <c r="HF71" s="212">
        <f t="shared" si="87"/>
        <v>0</v>
      </c>
      <c r="HG71" s="212">
        <f t="shared" si="25"/>
        <v>0</v>
      </c>
      <c r="HH71" s="212">
        <f t="shared" si="156"/>
        <v>0</v>
      </c>
      <c r="HI71" s="213">
        <f t="shared" si="26"/>
        <v>1000000</v>
      </c>
      <c r="HL71" s="182"/>
      <c r="HM71" s="26">
        <f t="shared" ca="1" si="27"/>
        <v>2</v>
      </c>
      <c r="HO71" s="268">
        <f t="shared" si="28"/>
        <v>0</v>
      </c>
      <c r="HP71" s="151">
        <f t="shared" si="157"/>
        <v>0</v>
      </c>
      <c r="HQ71" s="123">
        <f t="shared" si="88"/>
        <v>0</v>
      </c>
      <c r="HR71" s="123">
        <f t="shared" si="89"/>
        <v>0</v>
      </c>
      <c r="HS71" s="123">
        <f t="shared" si="90"/>
        <v>0</v>
      </c>
      <c r="HT71" s="123">
        <f>IF(HY70&lt;0.01,0,IF(Adm!$GS$4=Adm!$GS$8,HY70*$HY$15,IF(Adm!$GS$12=Adm!$GS$13,0,HY70*Adm!$GV$4)))</f>
        <v>0</v>
      </c>
      <c r="HU71" s="123">
        <f>IF(HY70&lt;0.01,0,IF(Adm!$GS$5=Adm!$GS$8,Cal!$BO$108*$HY$16/1.16,IF(Adm!$GS$12=Adm!$GS$13,0,Cal!$BO$108*Adm!$GW$4/1.16)))</f>
        <v>0</v>
      </c>
      <c r="HV71" s="123">
        <f t="shared" si="91"/>
        <v>0</v>
      </c>
      <c r="HW71" s="123">
        <f t="shared" si="92"/>
        <v>0</v>
      </c>
      <c r="HX71" s="123">
        <f>IF(Adm!$GH$6="si",MIN(HY70+HQ71+HT71+HU71+HV71-HW71,IH71),0)</f>
        <v>0</v>
      </c>
      <c r="HY71" s="297">
        <f t="shared" si="93"/>
        <v>0</v>
      </c>
      <c r="HZ71" s="74"/>
      <c r="IA71" s="407">
        <f t="shared" si="94"/>
        <v>0</v>
      </c>
      <c r="IC71" s="90">
        <f t="shared" si="95"/>
        <v>11</v>
      </c>
      <c r="ID71" s="124">
        <f>IF(IC71=1,Cal!$BO$127,0)</f>
        <v>0</v>
      </c>
      <c r="IE71" s="178">
        <f>IF(IC71=1,Adm!$HI$4,0)</f>
        <v>0</v>
      </c>
      <c r="IG71" s="70">
        <f t="shared" si="121"/>
        <v>0</v>
      </c>
      <c r="IH71" s="2178">
        <f t="shared" ca="1" si="96"/>
        <v>0</v>
      </c>
      <c r="IK71" s="217"/>
      <c r="IL71" s="26">
        <f t="shared" ca="1" si="29"/>
        <v>2</v>
      </c>
      <c r="IN71" s="268">
        <f t="shared" si="30"/>
        <v>0</v>
      </c>
      <c r="IO71" s="151">
        <f t="shared" si="154"/>
        <v>0</v>
      </c>
      <c r="IP71" s="123">
        <f t="shared" si="97"/>
        <v>0</v>
      </c>
      <c r="IQ71" s="123">
        <f t="shared" si="98"/>
        <v>0</v>
      </c>
      <c r="IR71" s="123">
        <f t="shared" si="99"/>
        <v>0</v>
      </c>
      <c r="IS71" s="123">
        <f>IF(IX70&lt;0.01,0,IF(Adm!$GS$4=Adm!$GS$8,IX70*$IX$15,IF(Adm!$GS$12=Adm!$GS$13,0,IX70*Adm!$GV$4)))</f>
        <v>0</v>
      </c>
      <c r="IT71" s="123"/>
      <c r="IU71" s="123">
        <f t="shared" si="100"/>
        <v>0</v>
      </c>
      <c r="IV71" s="123">
        <f t="shared" si="101"/>
        <v>0</v>
      </c>
      <c r="IW71" s="123"/>
      <c r="IX71" s="297">
        <f t="shared" si="102"/>
        <v>0</v>
      </c>
      <c r="IY71" s="74"/>
      <c r="IZ71" s="416">
        <f t="shared" si="103"/>
        <v>0</v>
      </c>
      <c r="JB71" s="90">
        <f t="shared" si="104"/>
        <v>11</v>
      </c>
      <c r="JC71" s="124">
        <f>IF(JB71=1,Cal!$BP$127,0)</f>
        <v>0</v>
      </c>
      <c r="JD71" s="178">
        <f>IF(JB71=1,Adm!$HI$4,0)</f>
        <v>0</v>
      </c>
    </row>
    <row r="72" spans="1:264">
      <c r="A72" s="26">
        <f t="shared" ca="1" si="0"/>
        <v>3</v>
      </c>
      <c r="C72" s="33">
        <f t="shared" si="1"/>
        <v>0</v>
      </c>
      <c r="D72" s="123">
        <f t="shared" si="31"/>
        <v>0</v>
      </c>
      <c r="E72" s="123">
        <f t="shared" si="147"/>
        <v>0</v>
      </c>
      <c r="F72" s="123">
        <f t="shared" si="149"/>
        <v>0</v>
      </c>
      <c r="G72" s="123">
        <f>IF(L71&lt;0.01,0,IF(Adm!$S$4=Adm!$S$8,L71*$L$15,L71*Adm!$V$4))</f>
        <v>0</v>
      </c>
      <c r="H72" s="123">
        <f>IF(L71&lt;0.01,0,IF(Adm!$S$5=Adm!$S$8,Adm!$AA$11*$L$16/1.16,IF(Adm!$B$4=Adm!$A$119,0,Adm!$AA$11*Adm!$X$4/1.16)))</f>
        <v>0</v>
      </c>
      <c r="I72" s="123">
        <f>IF(L71&lt;0.01,0,Cal!$AB$126/1.16)</f>
        <v>0</v>
      </c>
      <c r="J72" s="123">
        <f t="shared" si="2"/>
        <v>0</v>
      </c>
      <c r="K72" s="123">
        <f>IF(Adm!$G$4="si",MIN(L71+D72+G72+H72+I72-J72,V72),0)</f>
        <v>0</v>
      </c>
      <c r="L72" s="123">
        <f t="shared" si="32"/>
        <v>0</v>
      </c>
      <c r="M72" s="74"/>
      <c r="N72" s="74"/>
      <c r="O72" s="407">
        <f t="shared" si="33"/>
        <v>0</v>
      </c>
      <c r="R72" s="90">
        <f t="shared" si="34"/>
        <v>12</v>
      </c>
      <c r="S72" s="121">
        <f>IF(R72=1,Cal!$AB$127,0)</f>
        <v>0</v>
      </c>
      <c r="U72" s="70">
        <f t="shared" si="105"/>
        <v>0</v>
      </c>
      <c r="V72" s="2178">
        <f t="shared" ca="1" si="35"/>
        <v>0</v>
      </c>
      <c r="X72" s="398"/>
      <c r="Z72" s="268">
        <f t="shared" si="3"/>
        <v>0</v>
      </c>
      <c r="AA72" s="2176">
        <f t="shared" si="36"/>
        <v>0</v>
      </c>
      <c r="AB72" s="33">
        <f t="shared" si="37"/>
        <v>0</v>
      </c>
      <c r="AC72" s="33">
        <f t="shared" si="38"/>
        <v>0</v>
      </c>
      <c r="AD72" s="33">
        <f>IF(AI71&lt;0.01,0,IF(Adm!$S$4=Adm!$S$8,AI71*$AI$15,AI71*Adm!$V$4))</f>
        <v>0</v>
      </c>
      <c r="AE72" s="33"/>
      <c r="AF72" s="33"/>
      <c r="AG72" s="33">
        <f t="shared" si="4"/>
        <v>0</v>
      </c>
      <c r="AH72" s="33"/>
      <c r="AI72" s="401">
        <f t="shared" si="5"/>
        <v>0</v>
      </c>
      <c r="AK72" s="410">
        <f t="shared" si="6"/>
        <v>0</v>
      </c>
      <c r="AN72" s="90">
        <f t="shared" si="39"/>
        <v>12</v>
      </c>
      <c r="AO72" s="121">
        <f>IF(AN72=1,Cal!$AC$127,0)</f>
        <v>0</v>
      </c>
      <c r="AS72" s="200"/>
      <c r="AU72" s="268">
        <f t="shared" si="7"/>
        <v>0</v>
      </c>
      <c r="AV72" s="2177">
        <f t="shared" si="40"/>
        <v>0</v>
      </c>
      <c r="AW72" s="123">
        <f t="shared" si="8"/>
        <v>0</v>
      </c>
      <c r="AX72" s="123">
        <f t="shared" si="41"/>
        <v>0</v>
      </c>
      <c r="AY72" s="123">
        <f>IF(BC71&lt;0.01,0,IF(Adm!$S$4=Adm!$S$8,BC71*$BC$16,BC71*Adm!$V$4))</f>
        <v>0</v>
      </c>
      <c r="AZ72" s="123"/>
      <c r="BA72" s="123">
        <f>IF(BC71&lt;0.01,0,Adm!$Q$6)</f>
        <v>0</v>
      </c>
      <c r="BB72" s="123">
        <f t="shared" si="42"/>
        <v>0</v>
      </c>
      <c r="BC72" s="297">
        <f t="shared" si="43"/>
        <v>0</v>
      </c>
      <c r="BE72" s="425">
        <f t="shared" si="9"/>
        <v>0</v>
      </c>
      <c r="BH72" s="90">
        <f t="shared" si="44"/>
        <v>12</v>
      </c>
      <c r="BI72" s="121">
        <f>IF(BH72=1,Cal!$AD$127,0)</f>
        <v>0</v>
      </c>
      <c r="BM72" s="221"/>
      <c r="BO72" s="295">
        <f t="shared" ca="1" si="10"/>
        <v>3</v>
      </c>
      <c r="BP72" s="269">
        <f t="shared" si="11"/>
        <v>0</v>
      </c>
      <c r="BQ72" s="123">
        <f t="shared" si="45"/>
        <v>0</v>
      </c>
      <c r="BR72" s="123">
        <f t="shared" si="148"/>
        <v>0</v>
      </c>
      <c r="BS72" s="123">
        <f t="shared" si="150"/>
        <v>0</v>
      </c>
      <c r="BT72" s="123">
        <f>IF(BZ71&lt;0.01,0,IF(Plus!$F$22=Plus!$AN$4,BZ71*$BZ$15,IF(Plus!$F$22=Plus!$AN$3,BZ71*Plus!$F$23/1000,BZ71*VLOOKUP(Plus!$G$21,Plus!$AP$2:'Plus'!$AQ$5,2,0))))</f>
        <v>0</v>
      </c>
      <c r="BU72" s="123">
        <f>IF(BZ71&lt;0.01,0,IF(Plus!$F$24=Plus!$AO$3,Plus!$G$13*Plus!$AR$2/1.16,IF(Plus!$F$10=Plus!$AK$7,0,Plus!$G$13*Plus!$AR$2/1.16)))</f>
        <v>0</v>
      </c>
      <c r="BV72" s="123">
        <f>IF(BZ71&lt;0.01,0,Plus!$BD$2)</f>
        <v>0</v>
      </c>
      <c r="BW72" s="123"/>
      <c r="BX72" s="123">
        <f t="shared" si="12"/>
        <v>0</v>
      </c>
      <c r="BY72" s="123">
        <f>IF(Plus!$F$10=Plus!$AK$3,MIN(BZ71+BQ72+BT72+BU72+BV72-BX72,CJ72),0)</f>
        <v>0</v>
      </c>
      <c r="BZ72" s="297">
        <f t="shared" si="144"/>
        <v>0</v>
      </c>
      <c r="CA72" s="74"/>
      <c r="CB72" s="74"/>
      <c r="CC72" s="413">
        <f t="shared" si="47"/>
        <v>0</v>
      </c>
      <c r="CF72" s="90">
        <f t="shared" si="48"/>
        <v>12</v>
      </c>
      <c r="CG72" s="121">
        <f t="shared" si="106"/>
        <v>0</v>
      </c>
      <c r="CI72" s="70">
        <f t="shared" si="107"/>
        <v>0</v>
      </c>
      <c r="CJ72" s="2178">
        <f t="shared" ca="1" si="49"/>
        <v>0</v>
      </c>
      <c r="CL72" s="161"/>
      <c r="CN72" s="308">
        <f t="shared" ca="1" si="13"/>
        <v>3</v>
      </c>
      <c r="CO72" s="309">
        <f t="shared" si="50"/>
        <v>0</v>
      </c>
      <c r="CP72" s="269">
        <f t="shared" si="14"/>
        <v>0</v>
      </c>
      <c r="CQ72" s="123">
        <f t="shared" si="51"/>
        <v>0</v>
      </c>
      <c r="CR72" s="123">
        <f t="shared" si="137"/>
        <v>0</v>
      </c>
      <c r="CS72" s="123">
        <f t="shared" si="138"/>
        <v>0</v>
      </c>
      <c r="CT72" s="33">
        <f>IF(CZ71&lt;0.01,0,IF(Plus!$F$22=Plus!$AN$4,0,IF(Plus!$F$22=Plus!$AN$3,CZ71*Plus!$F$23/1000,CZ71*VLOOKUP(Plus!$G$21,Plus!$AP$2:'Plus'!$AQ$5,2,0))))</f>
        <v>0</v>
      </c>
      <c r="CU72" s="123">
        <f>IF(CZ71&lt;0.01,0,IF(Plus!$F$24=Plus!$AO$3,0,IF(OR(Plus!$F$10=Plus!$AK$7,Plus!$F$10=Plus!$AK$13),0,Plus!$G$13*Plus!$AR$2)))</f>
        <v>0</v>
      </c>
      <c r="CV72" s="123">
        <f>IF(CZ71&lt;0.01,0,IF(OR(Plus!$F$10=Plus!$AK$7,Plus!$F$10=Plus!$AK$13),0,Plus!$BD$2*1.16))</f>
        <v>0</v>
      </c>
      <c r="CW72" s="123">
        <f>IF(CZ71&lt;0.01,0,IF(Plus!$AS$2&gt;0,CQ72*Plus!$AS$3,0))</f>
        <v>0</v>
      </c>
      <c r="CX72" s="123">
        <f t="shared" si="52"/>
        <v>0</v>
      </c>
      <c r="CY72" s="123">
        <f>IF(Plus!$F$10=Plus!$AK$3,MIN(CZ71+CQ72+CT72+CU72+CV72-CX72,DK72),0)</f>
        <v>0</v>
      </c>
      <c r="CZ72" s="297">
        <f t="shared" si="146"/>
        <v>0</v>
      </c>
      <c r="DA72" s="306">
        <f>Plus!O113</f>
        <v>0</v>
      </c>
      <c r="DB72" s="74"/>
      <c r="DC72" s="74"/>
      <c r="DD72" s="407">
        <f t="shared" si="54"/>
        <v>0</v>
      </c>
      <c r="DG72" s="90">
        <f t="shared" si="55"/>
        <v>12</v>
      </c>
      <c r="DH72" s="121">
        <f t="shared" si="108"/>
        <v>0</v>
      </c>
      <c r="DJ72" s="149">
        <f t="shared" si="109"/>
        <v>0</v>
      </c>
      <c r="DK72" s="2179">
        <f t="shared" ca="1" si="56"/>
        <v>0</v>
      </c>
      <c r="DN72" s="120">
        <f t="shared" si="110"/>
        <v>0</v>
      </c>
      <c r="DO72" s="110">
        <f t="shared" si="57"/>
        <v>0</v>
      </c>
      <c r="DP72" s="110">
        <f t="shared" si="124"/>
        <v>0</v>
      </c>
      <c r="DQ72" s="109">
        <f t="shared" si="58"/>
        <v>0</v>
      </c>
      <c r="DR72" s="109">
        <f t="shared" si="59"/>
        <v>0</v>
      </c>
      <c r="DS72" s="113">
        <f t="shared" si="60"/>
        <v>0</v>
      </c>
      <c r="DU72" s="102">
        <f t="shared" si="61"/>
        <v>0</v>
      </c>
      <c r="DV72" s="211">
        <f t="shared" si="125"/>
        <v>48</v>
      </c>
      <c r="DW72" s="212">
        <f t="shared" si="62"/>
        <v>0</v>
      </c>
      <c r="DX72" s="212">
        <f t="shared" si="15"/>
        <v>0</v>
      </c>
      <c r="DY72" s="212">
        <f t="shared" si="111"/>
        <v>0</v>
      </c>
      <c r="DZ72" s="213">
        <f t="shared" si="16"/>
        <v>1000000</v>
      </c>
      <c r="ED72" s="182"/>
      <c r="EF72" s="308">
        <f t="shared" ca="1" si="17"/>
        <v>3</v>
      </c>
      <c r="EG72" s="309">
        <f t="shared" si="63"/>
        <v>0</v>
      </c>
      <c r="EH72" s="269">
        <f t="shared" si="18"/>
        <v>0</v>
      </c>
      <c r="EI72" s="33">
        <f t="shared" si="64"/>
        <v>0</v>
      </c>
      <c r="EJ72" s="33">
        <f t="shared" si="139"/>
        <v>0</v>
      </c>
      <c r="EK72" s="33">
        <f t="shared" si="151"/>
        <v>0</v>
      </c>
      <c r="EL72" s="33">
        <f>IF(ER71&lt;0.01,0,IF(Plus!$F$22=Plus!$AN$4,0,IF(Plus!$F$22=Plus!$AN$3,ER71*Plus!$F$23/1000,ER71*VLOOKUP(Plus!$G$21,Plus!$AP$2:'Plus'!$AQ$5,2,0))))</f>
        <v>0</v>
      </c>
      <c r="EM72" s="33">
        <f>IF(ER71&lt;0.01,0,IF(Plus!$F$24=Plus!$AO$3,0,IF(OR(Plus!$F$10=Plus!$AK$7,Plus!$F$10=Plus!$AK$13),0,Plus!$G$13*Plus!$AR$2)))</f>
        <v>0</v>
      </c>
      <c r="EN72" s="33">
        <f>IF(ER71&lt;0.01,0,IF(OR(Plus!$F$10=Plus!$AK$7,Plus!$F$10=Plus!$AK$13),0,Plus!$BD$2*1.16))</f>
        <v>0</v>
      </c>
      <c r="EO72" s="33">
        <f>IF(ER71&lt;0.01,0,IF(Plus!$AS$2&gt;0,EI72*Plus!$AS$3,0))</f>
        <v>0</v>
      </c>
      <c r="EP72" s="33">
        <f t="shared" si="65"/>
        <v>0</v>
      </c>
      <c r="EQ72" s="33">
        <f>IF(Plus!$F$10=Plus!$AK$3,MIN(ER71+EI72+EL72+EM72+EN72-EP72,FC72),0)</f>
        <v>0</v>
      </c>
      <c r="ER72" s="311">
        <f t="shared" si="145"/>
        <v>0</v>
      </c>
      <c r="ES72" s="340">
        <f>Plus!O113</f>
        <v>0</v>
      </c>
      <c r="ET72" s="74"/>
      <c r="EU72" s="74"/>
      <c r="EV72" s="416">
        <f t="shared" si="134"/>
        <v>0</v>
      </c>
      <c r="EY72" s="90">
        <f t="shared" si="68"/>
        <v>12</v>
      </c>
      <c r="EZ72" s="121">
        <f t="shared" si="112"/>
        <v>0</v>
      </c>
      <c r="FB72" s="149">
        <f t="shared" si="113"/>
        <v>0</v>
      </c>
      <c r="FC72" s="2179">
        <f t="shared" ca="1" si="69"/>
        <v>0</v>
      </c>
      <c r="FE72" s="120">
        <f t="shared" si="114"/>
        <v>0</v>
      </c>
      <c r="FF72" s="110">
        <f t="shared" si="70"/>
        <v>0</v>
      </c>
      <c r="FG72" s="110">
        <f t="shared" si="71"/>
        <v>0</v>
      </c>
      <c r="FH72" s="109">
        <f t="shared" si="72"/>
        <v>0</v>
      </c>
      <c r="FI72" s="109">
        <f t="shared" si="19"/>
        <v>0</v>
      </c>
      <c r="FJ72" s="113">
        <f t="shared" si="73"/>
        <v>0</v>
      </c>
      <c r="FL72" s="102">
        <f t="shared" si="74"/>
        <v>0</v>
      </c>
      <c r="FM72" s="211">
        <f t="shared" si="127"/>
        <v>48</v>
      </c>
      <c r="FN72" s="212">
        <f t="shared" si="75"/>
        <v>0</v>
      </c>
      <c r="FO72" s="212">
        <f t="shared" si="20"/>
        <v>0</v>
      </c>
      <c r="FP72" s="212">
        <f t="shared" si="155"/>
        <v>0</v>
      </c>
      <c r="FQ72" s="213">
        <f t="shared" si="21"/>
        <v>1000000</v>
      </c>
      <c r="FV72" s="359"/>
      <c r="FX72" s="308">
        <f t="shared" ca="1" si="22"/>
        <v>3</v>
      </c>
      <c r="FY72" s="309">
        <f t="shared" si="76"/>
        <v>0</v>
      </c>
      <c r="FZ72" s="269">
        <f t="shared" si="23"/>
        <v>0</v>
      </c>
      <c r="GA72" s="33">
        <f t="shared" si="77"/>
        <v>0</v>
      </c>
      <c r="GB72" s="33">
        <f t="shared" si="141"/>
        <v>0</v>
      </c>
      <c r="GC72" s="33">
        <f t="shared" si="142"/>
        <v>0</v>
      </c>
      <c r="GD72" s="33">
        <f>IF(GJ71&lt;0.01,0,IF(Plus!$F$22=Plus!$AN$4,0,IF(Plus!$F$22=Plus!$AN$3,GJ71*Plus!$F$23/1000,GJ71*VLOOKUP(Plus!$G$21,Plus!$AP$2:$AQ$5,2,0))))</f>
        <v>0</v>
      </c>
      <c r="GE72" s="33">
        <f>IF(GJ71&lt;0.01,0,IF(Plus!$F$24=Plus!$AO$3,0,IF(OR(Plus!$F$10=Plus!$AK$7,Plus!$F$10=Plus!$AK$13,Plus!$F$10=Plus!$AK$14),0,IF(OR(Plus!$F$10=Plus!$AK$10,Plus!$F$10=Plus!$AK$11),Plus!$G$13*Adm!$W$7,Plus!$G$13*Adm!$X$4))))</f>
        <v>0</v>
      </c>
      <c r="GF72" s="33">
        <f>IF(GJ71&lt;0.01,0,IF(OR(Plus!$F$10=Plus!$AK$7,Plus!$F$10=Plus!$AK$13),0,Plus!$BD$2*1.16))</f>
        <v>0</v>
      </c>
      <c r="GG72" s="33">
        <f>IF(GJ71&lt;0.01,0,IF(Plus!$AS$2&gt;0,GA72*Plus!$AS$3,0))</f>
        <v>0</v>
      </c>
      <c r="GH72" s="33">
        <f t="shared" si="78"/>
        <v>0</v>
      </c>
      <c r="GI72" s="33">
        <f>IF(Plus!$F$10=Plus!$AK$3,MIN(GJ71+GA72+GD72+GE72+GF72-GH72,GU72),0)</f>
        <v>0</v>
      </c>
      <c r="GJ72" s="311">
        <f t="shared" si="136"/>
        <v>0</v>
      </c>
      <c r="GK72" s="340">
        <f>Plus!O113</f>
        <v>0</v>
      </c>
      <c r="GL72" s="74"/>
      <c r="GM72" s="74"/>
      <c r="GN72" s="419">
        <f t="shared" si="135"/>
        <v>0</v>
      </c>
      <c r="GQ72" s="90">
        <f t="shared" si="80"/>
        <v>12</v>
      </c>
      <c r="GR72" s="121">
        <f t="shared" si="116"/>
        <v>0</v>
      </c>
      <c r="GT72" s="149">
        <f t="shared" si="117"/>
        <v>0</v>
      </c>
      <c r="GU72" s="2179">
        <f t="shared" ca="1" si="81"/>
        <v>0</v>
      </c>
      <c r="GW72" s="120">
        <f t="shared" si="118"/>
        <v>0</v>
      </c>
      <c r="GX72" s="110">
        <f t="shared" si="82"/>
        <v>0</v>
      </c>
      <c r="GY72" s="110">
        <f t="shared" si="83"/>
        <v>0</v>
      </c>
      <c r="GZ72" s="109">
        <f t="shared" si="84"/>
        <v>0</v>
      </c>
      <c r="HA72" s="109">
        <f t="shared" si="24"/>
        <v>0</v>
      </c>
      <c r="HB72" s="113">
        <f t="shared" si="85"/>
        <v>0</v>
      </c>
      <c r="HD72" s="102">
        <f t="shared" si="86"/>
        <v>0</v>
      </c>
      <c r="HE72" s="211">
        <f t="shared" si="129"/>
        <v>48</v>
      </c>
      <c r="HF72" s="212">
        <f t="shared" si="87"/>
        <v>0</v>
      </c>
      <c r="HG72" s="212">
        <f t="shared" si="25"/>
        <v>0</v>
      </c>
      <c r="HH72" s="212">
        <f t="shared" si="156"/>
        <v>0</v>
      </c>
      <c r="HI72" s="213">
        <f t="shared" si="26"/>
        <v>1000000</v>
      </c>
      <c r="HL72" s="182"/>
      <c r="HM72" s="26">
        <f t="shared" ca="1" si="27"/>
        <v>3</v>
      </c>
      <c r="HO72" s="268">
        <f t="shared" si="28"/>
        <v>0</v>
      </c>
      <c r="HP72" s="151">
        <f t="shared" si="157"/>
        <v>0</v>
      </c>
      <c r="HQ72" s="123">
        <f t="shared" si="88"/>
        <v>0</v>
      </c>
      <c r="HR72" s="123">
        <f t="shared" si="89"/>
        <v>0</v>
      </c>
      <c r="HS72" s="123">
        <f t="shared" si="90"/>
        <v>0</v>
      </c>
      <c r="HT72" s="123">
        <f>IF(HY71&lt;0.01,0,IF(Adm!$GS$4=Adm!$GS$8,HY71*$HY$15,IF(Adm!$GS$12=Adm!$GS$13,0,HY71*Adm!$GV$4)))</f>
        <v>0</v>
      </c>
      <c r="HU72" s="123">
        <f>IF(HY71&lt;0.01,0,IF(Adm!$GS$5=Adm!$GS$8,Cal!$BO$108*$HY$16/1.16,IF(Adm!$GS$12=Adm!$GS$13,0,Cal!$BO$108*Adm!$GW$4/1.16)))</f>
        <v>0</v>
      </c>
      <c r="HV72" s="123">
        <f t="shared" si="91"/>
        <v>0</v>
      </c>
      <c r="HW72" s="123">
        <f t="shared" si="92"/>
        <v>0</v>
      </c>
      <c r="HX72" s="123">
        <f>IF(Adm!$GH$6="si",MIN(HY71+HQ72+HT72+HU72+HV72-HW72,IH72),0)</f>
        <v>0</v>
      </c>
      <c r="HY72" s="297">
        <f t="shared" si="93"/>
        <v>0</v>
      </c>
      <c r="HZ72" s="74"/>
      <c r="IA72" s="407">
        <f t="shared" si="94"/>
        <v>0</v>
      </c>
      <c r="IC72" s="90">
        <f t="shared" si="95"/>
        <v>12</v>
      </c>
      <c r="ID72" s="124">
        <f>IF(IC72=1,Cal!$BO$127,0)</f>
        <v>0</v>
      </c>
      <c r="IE72" s="178">
        <f>IF(IC72=1,Adm!$HI$4,0)</f>
        <v>0</v>
      </c>
      <c r="IG72" s="70">
        <f t="shared" si="121"/>
        <v>0</v>
      </c>
      <c r="IH72" s="2178">
        <f t="shared" ca="1" si="96"/>
        <v>0</v>
      </c>
      <c r="IK72" s="217"/>
      <c r="IL72" s="26">
        <f t="shared" ca="1" si="29"/>
        <v>3</v>
      </c>
      <c r="IN72" s="268">
        <f t="shared" si="30"/>
        <v>0</v>
      </c>
      <c r="IO72" s="151">
        <f t="shared" si="154"/>
        <v>0</v>
      </c>
      <c r="IP72" s="123">
        <f t="shared" si="97"/>
        <v>0</v>
      </c>
      <c r="IQ72" s="123">
        <f t="shared" si="98"/>
        <v>0</v>
      </c>
      <c r="IR72" s="123">
        <f t="shared" si="99"/>
        <v>0</v>
      </c>
      <c r="IS72" s="123">
        <f>IF(IX71&lt;0.01,0,IF(Adm!$GS$4=Adm!$GS$8,IX71*$IX$15,IF(Adm!$GS$12=Adm!$GS$13,0,IX71*Adm!$GV$4)))</f>
        <v>0</v>
      </c>
      <c r="IT72" s="123"/>
      <c r="IU72" s="123">
        <f t="shared" si="100"/>
        <v>0</v>
      </c>
      <c r="IV72" s="123">
        <f t="shared" si="101"/>
        <v>0</v>
      </c>
      <c r="IW72" s="123"/>
      <c r="IX72" s="297">
        <f t="shared" si="102"/>
        <v>0</v>
      </c>
      <c r="IY72" s="74"/>
      <c r="IZ72" s="416">
        <f t="shared" si="103"/>
        <v>0</v>
      </c>
      <c r="JB72" s="90">
        <f t="shared" si="104"/>
        <v>12</v>
      </c>
      <c r="JC72" s="124">
        <f>IF(JB72=1,Cal!$BP$127,0)</f>
        <v>0</v>
      </c>
      <c r="JD72" s="178">
        <f>IF(JB72=1,Adm!$HI$4,0)</f>
        <v>0</v>
      </c>
    </row>
    <row r="73" spans="1:264">
      <c r="A73" s="26">
        <f t="shared" ca="1" si="0"/>
        <v>4</v>
      </c>
      <c r="C73" s="33">
        <f t="shared" si="1"/>
        <v>0</v>
      </c>
      <c r="D73" s="123">
        <f t="shared" si="31"/>
        <v>0</v>
      </c>
      <c r="E73" s="123">
        <f t="shared" si="147"/>
        <v>0</v>
      </c>
      <c r="F73" s="123">
        <f t="shared" si="149"/>
        <v>0</v>
      </c>
      <c r="G73" s="123">
        <f>IF(L72&lt;0.01,0,IF(Adm!$S$4=Adm!$S$8,L72*$L$15,L72*Adm!$V$4))</f>
        <v>0</v>
      </c>
      <c r="H73" s="123">
        <f>IF(L72&lt;0.01,0,IF(Adm!$S$5=Adm!$S$8,Adm!$AA$11*$L$16/1.16,IF(Adm!$B$4=Adm!$A$119,0,Adm!$AA$11*Adm!$X$4/1.16)))</f>
        <v>0</v>
      </c>
      <c r="I73" s="123">
        <f>IF(L72&lt;0.01,0,Cal!$AB$126/1.16)</f>
        <v>0</v>
      </c>
      <c r="J73" s="123">
        <f t="shared" si="2"/>
        <v>0</v>
      </c>
      <c r="K73" s="123">
        <f>IF(Adm!$G$4="si",MIN(L72+D73+G73+H73+I73-J73,V73),0)</f>
        <v>0</v>
      </c>
      <c r="L73" s="123">
        <f t="shared" si="32"/>
        <v>0</v>
      </c>
      <c r="M73" s="74"/>
      <c r="N73" s="74"/>
      <c r="O73" s="407">
        <f t="shared" si="33"/>
        <v>0</v>
      </c>
      <c r="R73" s="90">
        <f t="shared" si="34"/>
        <v>1</v>
      </c>
      <c r="S73" s="121">
        <f>IF(R73=1,Cal!$AB$127,0)</f>
        <v>0</v>
      </c>
      <c r="U73" s="70">
        <f t="shared" si="105"/>
        <v>0</v>
      </c>
      <c r="V73" s="2178">
        <f t="shared" ca="1" si="35"/>
        <v>0</v>
      </c>
      <c r="X73" s="398"/>
      <c r="Z73" s="268">
        <f t="shared" si="3"/>
        <v>0</v>
      </c>
      <c r="AA73" s="2176">
        <f t="shared" si="36"/>
        <v>0</v>
      </c>
      <c r="AB73" s="33">
        <f t="shared" si="37"/>
        <v>0</v>
      </c>
      <c r="AC73" s="33">
        <f t="shared" si="38"/>
        <v>0</v>
      </c>
      <c r="AD73" s="33">
        <f>IF(AI72&lt;0.01,0,IF(Adm!$S$4=Adm!$S$8,AI72*$AI$15,AI72*Adm!$V$4))</f>
        <v>0</v>
      </c>
      <c r="AE73" s="33"/>
      <c r="AF73" s="33"/>
      <c r="AG73" s="33">
        <f t="shared" si="4"/>
        <v>0</v>
      </c>
      <c r="AH73" s="33"/>
      <c r="AI73" s="401">
        <f t="shared" si="5"/>
        <v>0</v>
      </c>
      <c r="AK73" s="410">
        <f t="shared" si="6"/>
        <v>0</v>
      </c>
      <c r="AN73" s="90">
        <f t="shared" si="39"/>
        <v>1</v>
      </c>
      <c r="AO73" s="121">
        <f>IF(AN73=1,Cal!$AC$127,0)</f>
        <v>0</v>
      </c>
      <c r="AS73" s="200"/>
      <c r="AU73" s="268">
        <f t="shared" si="7"/>
        <v>0</v>
      </c>
      <c r="AV73" s="2177">
        <f t="shared" si="40"/>
        <v>0</v>
      </c>
      <c r="AW73" s="123">
        <f t="shared" si="8"/>
        <v>0</v>
      </c>
      <c r="AX73" s="123">
        <f t="shared" si="41"/>
        <v>0</v>
      </c>
      <c r="AY73" s="123">
        <f>IF(BC72&lt;0.01,0,IF(Adm!$S$4=Adm!$S$8,BC72*$BC$16,BC72*Adm!$V$4))</f>
        <v>0</v>
      </c>
      <c r="AZ73" s="123"/>
      <c r="BA73" s="123">
        <f>IF(BC72&lt;0.01,0,Adm!$Q$6)</f>
        <v>0</v>
      </c>
      <c r="BB73" s="123">
        <f t="shared" si="42"/>
        <v>0</v>
      </c>
      <c r="BC73" s="297">
        <f t="shared" si="43"/>
        <v>0</v>
      </c>
      <c r="BE73" s="425">
        <f t="shared" si="9"/>
        <v>0</v>
      </c>
      <c r="BH73" s="90">
        <f t="shared" si="44"/>
        <v>1</v>
      </c>
      <c r="BI73" s="121">
        <f>IF(BH73=1,Cal!$AD$127,0)</f>
        <v>0</v>
      </c>
      <c r="BM73" s="221"/>
      <c r="BO73" s="295">
        <f t="shared" ca="1" si="10"/>
        <v>4</v>
      </c>
      <c r="BP73" s="268">
        <f t="shared" si="11"/>
        <v>0</v>
      </c>
      <c r="BQ73" s="123">
        <f t="shared" si="45"/>
        <v>0</v>
      </c>
      <c r="BR73" s="123">
        <f t="shared" si="148"/>
        <v>0</v>
      </c>
      <c r="BS73" s="123">
        <f t="shared" si="150"/>
        <v>0</v>
      </c>
      <c r="BT73" s="123">
        <f>IF(BZ72&lt;0.01,0,IF(Plus!$F$22=Plus!$AN$4,BZ72*$BZ$15,IF(Plus!$F$22=Plus!$AN$3,BZ72*Plus!$F$23/1000,BZ72*VLOOKUP(Plus!$G$21,Plus!$AP$2:'Plus'!$AQ$5,2,0))))</f>
        <v>0</v>
      </c>
      <c r="BU73" s="123">
        <f>IF(BZ72&lt;0.01,0,IF(Plus!$F$24=Plus!$AO$3,Plus!$G$13*Plus!$AR$2/1.16,IF(Plus!$F$10=Plus!$AK$7,0,Plus!$G$13*Plus!$AR$2/1.16)))</f>
        <v>0</v>
      </c>
      <c r="BV73" s="123">
        <f>IF(BZ72&lt;0.01,0,Plus!$BD$2)</f>
        <v>0</v>
      </c>
      <c r="BW73" s="123"/>
      <c r="BX73" s="123">
        <f t="shared" si="12"/>
        <v>0</v>
      </c>
      <c r="BY73" s="123">
        <f>IF(Plus!$F$10=Plus!$AK$3,MIN(BZ72+BQ73+BT73+BU73+BV73-BX73,CJ73),0)</f>
        <v>0</v>
      </c>
      <c r="BZ73" s="297">
        <f t="shared" si="144"/>
        <v>0</v>
      </c>
      <c r="CA73" s="74"/>
      <c r="CB73" s="74"/>
      <c r="CC73" s="413">
        <f t="shared" si="47"/>
        <v>0</v>
      </c>
      <c r="CF73" s="90">
        <f t="shared" si="48"/>
        <v>1</v>
      </c>
      <c r="CG73" s="121">
        <f t="shared" si="106"/>
        <v>0</v>
      </c>
      <c r="CI73" s="70">
        <f t="shared" si="107"/>
        <v>0</v>
      </c>
      <c r="CJ73" s="2178">
        <f t="shared" ca="1" si="49"/>
        <v>0</v>
      </c>
      <c r="CL73" s="161"/>
      <c r="CN73" s="308">
        <f t="shared" ca="1" si="13"/>
        <v>4</v>
      </c>
      <c r="CO73" s="309">
        <f t="shared" si="50"/>
        <v>0</v>
      </c>
      <c r="CP73" s="268">
        <f t="shared" si="14"/>
        <v>0</v>
      </c>
      <c r="CQ73" s="123">
        <f t="shared" si="51"/>
        <v>0</v>
      </c>
      <c r="CR73" s="123">
        <f t="shared" si="137"/>
        <v>0</v>
      </c>
      <c r="CS73" s="123">
        <f t="shared" si="138"/>
        <v>0</v>
      </c>
      <c r="CT73" s="33">
        <f>IF(CZ72&lt;0.01,0,IF(Plus!$F$22=Plus!$AN$4,0,IF(Plus!$F$22=Plus!$AN$3,CZ72*Plus!$F$23/1000,CZ72*VLOOKUP(Plus!$G$21,Plus!$AP$2:'Plus'!$AQ$5,2,0))))</f>
        <v>0</v>
      </c>
      <c r="CU73" s="123">
        <f>IF(CZ72&lt;0.01,0,IF(Plus!$F$24=Plus!$AO$3,0,IF(OR(Plus!$F$10=Plus!$AK$7,Plus!$F$10=Plus!$AK$13),0,Plus!$G$13*Plus!$AR$2)))</f>
        <v>0</v>
      </c>
      <c r="CV73" s="123">
        <f>IF(CZ72&lt;0.01,0,IF(OR(Plus!$F$10=Plus!$AK$7,Plus!$F$10=Plus!$AK$13),0,Plus!$BD$2*1.16))</f>
        <v>0</v>
      </c>
      <c r="CW73" s="123">
        <f>IF(CZ72&lt;0.01,0,IF(Plus!$AS$2&gt;0,CQ73*Plus!$AS$3,0))</f>
        <v>0</v>
      </c>
      <c r="CX73" s="123">
        <f t="shared" si="52"/>
        <v>0</v>
      </c>
      <c r="CY73" s="123">
        <f>IF(Plus!$F$10=Plus!$AK$3,MIN(CZ72+CQ73+CT73+CU73+CV73-CX73,DK73),0)</f>
        <v>0</v>
      </c>
      <c r="CZ73" s="297">
        <f t="shared" si="146"/>
        <v>0</v>
      </c>
      <c r="DA73" s="306">
        <f>Plus!O114</f>
        <v>0</v>
      </c>
      <c r="DB73" s="74"/>
      <c r="DC73" s="74"/>
      <c r="DD73" s="407">
        <f t="shared" si="54"/>
        <v>0</v>
      </c>
      <c r="DG73" s="90">
        <f t="shared" si="55"/>
        <v>1</v>
      </c>
      <c r="DH73" s="121">
        <f t="shared" si="108"/>
        <v>0</v>
      </c>
      <c r="DJ73" s="149">
        <f t="shared" si="109"/>
        <v>0</v>
      </c>
      <c r="DK73" s="2179">
        <f t="shared" ca="1" si="56"/>
        <v>0</v>
      </c>
      <c r="DN73" s="120">
        <f t="shared" si="110"/>
        <v>0</v>
      </c>
      <c r="DO73" s="110">
        <f t="shared" si="57"/>
        <v>0</v>
      </c>
      <c r="DP73" s="110">
        <f t="shared" si="124"/>
        <v>0</v>
      </c>
      <c r="DQ73" s="109">
        <f t="shared" si="58"/>
        <v>0</v>
      </c>
      <c r="DR73" s="109">
        <f t="shared" si="59"/>
        <v>0</v>
      </c>
      <c r="DS73" s="113">
        <f t="shared" si="60"/>
        <v>0</v>
      </c>
      <c r="DU73" s="102">
        <f t="shared" si="61"/>
        <v>0</v>
      </c>
      <c r="DV73" s="333">
        <f t="shared" si="125"/>
        <v>49</v>
      </c>
      <c r="DW73" s="334">
        <f t="shared" si="62"/>
        <v>0</v>
      </c>
      <c r="DX73" s="334">
        <f t="shared" si="15"/>
        <v>0</v>
      </c>
      <c r="DY73" s="334">
        <f>MIN(DZ72+DW73,DY72*(1+$DW$20))</f>
        <v>0</v>
      </c>
      <c r="DZ73" s="213">
        <f t="shared" si="16"/>
        <v>1000000</v>
      </c>
      <c r="ED73" s="182"/>
      <c r="EF73" s="308">
        <f t="shared" ca="1" si="17"/>
        <v>4</v>
      </c>
      <c r="EG73" s="309">
        <f t="shared" si="63"/>
        <v>0</v>
      </c>
      <c r="EH73" s="268">
        <f t="shared" si="18"/>
        <v>0</v>
      </c>
      <c r="EI73" s="33">
        <f t="shared" si="64"/>
        <v>0</v>
      </c>
      <c r="EJ73" s="33">
        <f t="shared" si="139"/>
        <v>0</v>
      </c>
      <c r="EK73" s="33">
        <f t="shared" si="151"/>
        <v>0</v>
      </c>
      <c r="EL73" s="33">
        <f>IF(ER72&lt;0.01,0,IF(Plus!$F$22=Plus!$AN$4,0,IF(Plus!$F$22=Plus!$AN$3,ER72*Plus!$F$23/1000,ER72*VLOOKUP(Plus!$G$21,Plus!$AP$2:'Plus'!$AQ$5,2,0))))</f>
        <v>0</v>
      </c>
      <c r="EM73" s="33">
        <f>IF(ER72&lt;0.01,0,IF(Plus!$F$24=Plus!$AO$3,0,IF(OR(Plus!$F$10=Plus!$AK$7,Plus!$F$10=Plus!$AK$13),0,Plus!$G$13*Plus!$AR$2)))</f>
        <v>0</v>
      </c>
      <c r="EN73" s="33">
        <f>IF(ER72&lt;0.01,0,IF(OR(Plus!$F$10=Plus!$AK$7,Plus!$F$10=Plus!$AK$13),0,Plus!$BD$2*1.16))</f>
        <v>0</v>
      </c>
      <c r="EO73" s="33">
        <f>IF(ER72&lt;0.01,0,IF(Plus!$AS$2&gt;0,EI73*Plus!$AS$3,0))</f>
        <v>0</v>
      </c>
      <c r="EP73" s="33">
        <f t="shared" si="65"/>
        <v>0</v>
      </c>
      <c r="EQ73" s="33">
        <f>IF(Plus!$F$10=Plus!$AK$3,MIN(ER72+EI73+EL73+EM73+EN73-EP73,FC73),0)</f>
        <v>0</v>
      </c>
      <c r="ER73" s="311">
        <f t="shared" si="145"/>
        <v>0</v>
      </c>
      <c r="ES73" s="340">
        <f>Plus!O114</f>
        <v>0</v>
      </c>
      <c r="ET73" s="74"/>
      <c r="EU73" s="74"/>
      <c r="EV73" s="416">
        <f t="shared" si="134"/>
        <v>0</v>
      </c>
      <c r="EY73" s="90">
        <f t="shared" si="68"/>
        <v>1</v>
      </c>
      <c r="EZ73" s="121">
        <f t="shared" si="112"/>
        <v>0</v>
      </c>
      <c r="FB73" s="149">
        <f t="shared" si="113"/>
        <v>0</v>
      </c>
      <c r="FC73" s="2179">
        <f t="shared" ca="1" si="69"/>
        <v>0</v>
      </c>
      <c r="FE73" s="120">
        <f t="shared" si="114"/>
        <v>0</v>
      </c>
      <c r="FF73" s="110">
        <f t="shared" si="70"/>
        <v>0</v>
      </c>
      <c r="FG73" s="110">
        <f t="shared" si="71"/>
        <v>0</v>
      </c>
      <c r="FH73" s="109">
        <f t="shared" si="72"/>
        <v>0</v>
      </c>
      <c r="FI73" s="109">
        <f t="shared" si="19"/>
        <v>0</v>
      </c>
      <c r="FJ73" s="113">
        <f t="shared" si="73"/>
        <v>0</v>
      </c>
      <c r="FL73" s="102">
        <f t="shared" si="74"/>
        <v>0</v>
      </c>
      <c r="FM73" s="326">
        <f t="shared" si="127"/>
        <v>49</v>
      </c>
      <c r="FN73" s="327">
        <f t="shared" si="75"/>
        <v>0</v>
      </c>
      <c r="FO73" s="327">
        <f t="shared" si="20"/>
        <v>0</v>
      </c>
      <c r="FP73" s="327">
        <f>MIN(FQ72+FN73,FP72*(1+$FN$20))</f>
        <v>0</v>
      </c>
      <c r="FQ73" s="213">
        <f t="shared" si="21"/>
        <v>1000000</v>
      </c>
      <c r="FV73" s="359"/>
      <c r="FX73" s="308">
        <f t="shared" ca="1" si="22"/>
        <v>4</v>
      </c>
      <c r="FY73" s="309">
        <f t="shared" si="76"/>
        <v>0</v>
      </c>
      <c r="FZ73" s="268">
        <f t="shared" si="23"/>
        <v>0</v>
      </c>
      <c r="GA73" s="33">
        <f t="shared" si="77"/>
        <v>0</v>
      </c>
      <c r="GB73" s="33">
        <f t="shared" si="141"/>
        <v>0</v>
      </c>
      <c r="GC73" s="33">
        <f t="shared" si="142"/>
        <v>0</v>
      </c>
      <c r="GD73" s="33">
        <f>IF(GJ72&lt;0.01,0,IF(Plus!$F$22=Plus!$AN$4,0,IF(Plus!$F$22=Plus!$AN$3,GJ72*Plus!$F$23/1000,GJ72*VLOOKUP(Plus!$G$21,Plus!$AP$2:$AQ$5,2,0))))</f>
        <v>0</v>
      </c>
      <c r="GE73" s="33">
        <f>IF(GJ72&lt;0.01,0,IF(Plus!$F$24=Plus!$AO$3,0,IF(OR(Plus!$F$10=Plus!$AK$7,Plus!$F$10=Plus!$AK$13,Plus!$F$10=Plus!$AK$14),0,IF(OR(Plus!$F$10=Plus!$AK$10,Plus!$F$10=Plus!$AK$11),Plus!$G$13*Adm!$W$7,Plus!$G$13*Adm!$X$4))))</f>
        <v>0</v>
      </c>
      <c r="GF73" s="33">
        <f>IF(GJ72&lt;0.01,0,IF(OR(Plus!$F$10=Plus!$AK$7,Plus!$F$10=Plus!$AK$13),0,Plus!$BD$2*1.16))</f>
        <v>0</v>
      </c>
      <c r="GG73" s="33">
        <f>IF(GJ72&lt;0.01,0,IF(Plus!$AS$2&gt;0,GA73*Plus!$AS$3,0))</f>
        <v>0</v>
      </c>
      <c r="GH73" s="33">
        <f t="shared" si="78"/>
        <v>0</v>
      </c>
      <c r="GI73" s="33">
        <f>IF(Plus!$F$10=Plus!$AK$3,MIN(GJ72+GA73+GD73+GE73+GF73-GH73,GU73),0)</f>
        <v>0</v>
      </c>
      <c r="GJ73" s="311">
        <f t="shared" si="136"/>
        <v>0</v>
      </c>
      <c r="GK73" s="340">
        <f>Plus!O114</f>
        <v>0</v>
      </c>
      <c r="GL73" s="74"/>
      <c r="GM73" s="74"/>
      <c r="GN73" s="419">
        <f t="shared" si="135"/>
        <v>0</v>
      </c>
      <c r="GQ73" s="90">
        <f t="shared" si="80"/>
        <v>1</v>
      </c>
      <c r="GR73" s="121">
        <f t="shared" si="116"/>
        <v>0</v>
      </c>
      <c r="GT73" s="149">
        <f t="shared" si="117"/>
        <v>0</v>
      </c>
      <c r="GU73" s="2179">
        <f t="shared" ca="1" si="81"/>
        <v>0</v>
      </c>
      <c r="GW73" s="120">
        <f t="shared" si="118"/>
        <v>0</v>
      </c>
      <c r="GX73" s="110">
        <f t="shared" si="82"/>
        <v>0</v>
      </c>
      <c r="GY73" s="110">
        <f t="shared" si="83"/>
        <v>0</v>
      </c>
      <c r="GZ73" s="109">
        <f t="shared" si="84"/>
        <v>0</v>
      </c>
      <c r="HA73" s="109">
        <f t="shared" si="24"/>
        <v>0</v>
      </c>
      <c r="HB73" s="113">
        <f t="shared" si="85"/>
        <v>0</v>
      </c>
      <c r="HD73" s="102">
        <f t="shared" si="86"/>
        <v>0</v>
      </c>
      <c r="HE73" s="326">
        <f t="shared" si="129"/>
        <v>49</v>
      </c>
      <c r="HF73" s="327">
        <f t="shared" si="87"/>
        <v>0</v>
      </c>
      <c r="HG73" s="327">
        <f t="shared" si="25"/>
        <v>0</v>
      </c>
      <c r="HH73" s="327">
        <f>MIN(HI72+HF73,HH72*(1+$FN$20))</f>
        <v>0</v>
      </c>
      <c r="HI73" s="213">
        <f t="shared" si="26"/>
        <v>1000000</v>
      </c>
      <c r="HL73" s="182"/>
      <c r="HM73" s="26">
        <f t="shared" ca="1" si="27"/>
        <v>4</v>
      </c>
      <c r="HO73" s="268">
        <f t="shared" si="28"/>
        <v>0</v>
      </c>
      <c r="HP73" s="976">
        <f t="shared" si="157"/>
        <v>0</v>
      </c>
      <c r="HQ73" s="123">
        <f t="shared" si="88"/>
        <v>0</v>
      </c>
      <c r="HR73" s="123">
        <f t="shared" si="89"/>
        <v>0</v>
      </c>
      <c r="HS73" s="123">
        <f t="shared" si="90"/>
        <v>0</v>
      </c>
      <c r="HT73" s="123">
        <f>IF(HY72&lt;0.01,0,IF(Adm!$GS$4=Adm!$GS$8,HY72*$HY$15,IF(Adm!$GS$12=Adm!$GS$13,0,HY72*Adm!$GV$4)))</f>
        <v>0</v>
      </c>
      <c r="HU73" s="123">
        <f>IF(HY72&lt;0.01,0,IF(Adm!$GS$5=Adm!$GS$8,Cal!$BO$108*$HY$16/1.16,IF(Adm!$GS$12=Adm!$GS$13,0,Cal!$BO$108*Adm!$GW$4/1.16)))</f>
        <v>0</v>
      </c>
      <c r="HV73" s="123">
        <f t="shared" si="91"/>
        <v>0</v>
      </c>
      <c r="HW73" s="123">
        <f t="shared" si="92"/>
        <v>0</v>
      </c>
      <c r="HX73" s="123">
        <f>IF(Adm!$GH$6="si",MIN(HY72+HQ73+HT73+HU73+HV73-HW73,IH73),0)</f>
        <v>0</v>
      </c>
      <c r="HY73" s="297">
        <f t="shared" si="93"/>
        <v>0</v>
      </c>
      <c r="HZ73" s="74"/>
      <c r="IA73" s="407">
        <f t="shared" si="94"/>
        <v>0</v>
      </c>
      <c r="IC73" s="90">
        <f t="shared" si="95"/>
        <v>1</v>
      </c>
      <c r="ID73" s="124">
        <f>IF(IC73=1,Cal!$BO$127,0)</f>
        <v>0</v>
      </c>
      <c r="IE73" s="178">
        <f>IF(IC73=1,Adm!$HI$4,0)</f>
        <v>2.5000000000000001E-3</v>
      </c>
      <c r="IG73" s="70">
        <f t="shared" si="121"/>
        <v>0</v>
      </c>
      <c r="IH73" s="2178">
        <f t="shared" ca="1" si="96"/>
        <v>0</v>
      </c>
      <c r="IK73" s="217"/>
      <c r="IL73" s="26">
        <f t="shared" ca="1" si="29"/>
        <v>4</v>
      </c>
      <c r="IN73" s="268">
        <f t="shared" si="30"/>
        <v>0</v>
      </c>
      <c r="IO73" s="423">
        <f t="shared" si="154"/>
        <v>0</v>
      </c>
      <c r="IP73" s="123">
        <f t="shared" si="97"/>
        <v>0</v>
      </c>
      <c r="IQ73" s="123">
        <f t="shared" si="98"/>
        <v>0</v>
      </c>
      <c r="IR73" s="123">
        <f t="shared" si="99"/>
        <v>0</v>
      </c>
      <c r="IS73" s="123">
        <f>IF(IX72&lt;0.01,0,IF(Adm!$GS$4=Adm!$GS$8,IX72*$IX$15,IF(Adm!$GS$12=Adm!$GS$13,0,IX72*Adm!$GV$4)))</f>
        <v>0</v>
      </c>
      <c r="IT73" s="123"/>
      <c r="IU73" s="123">
        <f t="shared" si="100"/>
        <v>0</v>
      </c>
      <c r="IV73" s="123">
        <f t="shared" si="101"/>
        <v>0</v>
      </c>
      <c r="IW73" s="123"/>
      <c r="IX73" s="297">
        <f t="shared" si="102"/>
        <v>0</v>
      </c>
      <c r="IY73" s="74"/>
      <c r="IZ73" s="416">
        <f t="shared" si="103"/>
        <v>0</v>
      </c>
      <c r="JB73" s="90">
        <f t="shared" si="104"/>
        <v>1</v>
      </c>
      <c r="JC73" s="124">
        <f>IF(JB73=1,Cal!$BP$127,0)</f>
        <v>0</v>
      </c>
      <c r="JD73" s="178">
        <f>IF(JB73=1,Adm!$HI$4,0)</f>
        <v>2.5000000000000001E-3</v>
      </c>
    </row>
    <row r="74" spans="1:264">
      <c r="A74" s="26">
        <f t="shared" ca="1" si="0"/>
        <v>5</v>
      </c>
      <c r="C74" s="33">
        <f t="shared" si="1"/>
        <v>0</v>
      </c>
      <c r="D74" s="123">
        <f t="shared" si="31"/>
        <v>0</v>
      </c>
      <c r="E74" s="123">
        <f t="shared" si="147"/>
        <v>0</v>
      </c>
      <c r="F74" s="123">
        <f t="shared" si="149"/>
        <v>0</v>
      </c>
      <c r="G74" s="123">
        <f>IF(L73&lt;0.01,0,IF(Adm!$S$4=Adm!$S$8,L73*$L$15,L73*Adm!$V$4))</f>
        <v>0</v>
      </c>
      <c r="H74" s="123">
        <f>IF(L73&lt;0.01,0,IF(Adm!$S$5=Adm!$S$8,Adm!$AA$11*$L$16/1.16,IF(Adm!$B$4=Adm!$A$119,0,Adm!$AA$11*Adm!$X$4/1.16)))</f>
        <v>0</v>
      </c>
      <c r="I74" s="123">
        <f>IF(L73&lt;0.01,0,Cal!$AB$126/1.16)</f>
        <v>0</v>
      </c>
      <c r="J74" s="123">
        <f t="shared" si="2"/>
        <v>0</v>
      </c>
      <c r="K74" s="123">
        <f>IF(Adm!$G$4="si",MIN(L73+D74+G74+H74+I74-J74,V74),0)</f>
        <v>0</v>
      </c>
      <c r="L74" s="123">
        <f t="shared" si="32"/>
        <v>0</v>
      </c>
      <c r="M74" s="74"/>
      <c r="N74" s="74"/>
      <c r="O74" s="407">
        <f t="shared" si="33"/>
        <v>0</v>
      </c>
      <c r="R74" s="90">
        <f t="shared" si="34"/>
        <v>2</v>
      </c>
      <c r="S74" s="121">
        <f>IF(R74=1,Cal!$AB$127,0)</f>
        <v>0</v>
      </c>
      <c r="U74" s="70">
        <f t="shared" si="105"/>
        <v>0</v>
      </c>
      <c r="V74" s="2178">
        <f t="shared" ca="1" si="35"/>
        <v>0</v>
      </c>
      <c r="X74" s="398"/>
      <c r="Z74" s="268">
        <f t="shared" si="3"/>
        <v>0</v>
      </c>
      <c r="AA74" s="2176">
        <f t="shared" si="36"/>
        <v>0</v>
      </c>
      <c r="AB74" s="33">
        <f t="shared" si="37"/>
        <v>0</v>
      </c>
      <c r="AC74" s="33">
        <f t="shared" si="38"/>
        <v>0</v>
      </c>
      <c r="AD74" s="33">
        <f>IF(AI73&lt;0.01,0,IF(Adm!$S$4=Adm!$S$8,AI73*$AI$15,AI73*Adm!$V$4))</f>
        <v>0</v>
      </c>
      <c r="AE74" s="33"/>
      <c r="AF74" s="33"/>
      <c r="AG74" s="33">
        <f t="shared" si="4"/>
        <v>0</v>
      </c>
      <c r="AH74" s="33"/>
      <c r="AI74" s="401">
        <f t="shared" si="5"/>
        <v>0</v>
      </c>
      <c r="AK74" s="410">
        <f t="shared" si="6"/>
        <v>0</v>
      </c>
      <c r="AN74" s="90">
        <f t="shared" si="39"/>
        <v>2</v>
      </c>
      <c r="AO74" s="121">
        <f>IF(AN74=1,Cal!$AC$127,0)</f>
        <v>0</v>
      </c>
      <c r="AS74" s="200"/>
      <c r="AU74" s="268">
        <f t="shared" si="7"/>
        <v>0</v>
      </c>
      <c r="AV74" s="2177">
        <f t="shared" si="40"/>
        <v>0</v>
      </c>
      <c r="AW74" s="123">
        <f t="shared" si="8"/>
        <v>0</v>
      </c>
      <c r="AX74" s="123">
        <f t="shared" si="41"/>
        <v>0</v>
      </c>
      <c r="AY74" s="123">
        <f>IF(BC73&lt;0.01,0,IF(Adm!$S$4=Adm!$S$8,BC73*$BC$16,BC73*Adm!$V$4))</f>
        <v>0</v>
      </c>
      <c r="AZ74" s="123"/>
      <c r="BA74" s="123">
        <f>IF(BC73&lt;0.01,0,Adm!$Q$6)</f>
        <v>0</v>
      </c>
      <c r="BB74" s="123">
        <f t="shared" si="42"/>
        <v>0</v>
      </c>
      <c r="BC74" s="297">
        <f t="shared" si="43"/>
        <v>0</v>
      </c>
      <c r="BE74" s="425">
        <f t="shared" si="9"/>
        <v>0</v>
      </c>
      <c r="BH74" s="90">
        <f t="shared" si="44"/>
        <v>2</v>
      </c>
      <c r="BI74" s="121">
        <f>IF(BH74=1,Cal!$AD$127,0)</f>
        <v>0</v>
      </c>
      <c r="BM74" s="221"/>
      <c r="BO74" s="295">
        <f t="shared" ca="1" si="10"/>
        <v>5</v>
      </c>
      <c r="BP74" s="268">
        <f t="shared" si="11"/>
        <v>0</v>
      </c>
      <c r="BQ74" s="123">
        <f t="shared" si="45"/>
        <v>0</v>
      </c>
      <c r="BR74" s="123">
        <f t="shared" si="148"/>
        <v>0</v>
      </c>
      <c r="BS74" s="123">
        <f t="shared" si="150"/>
        <v>0</v>
      </c>
      <c r="BT74" s="123">
        <f>IF(BZ73&lt;0.01,0,IF(Plus!$F$22=Plus!$AN$4,BZ73*$BZ$15,IF(Plus!$F$22=Plus!$AN$3,BZ73*Plus!$F$23/1000,BZ73*VLOOKUP(Plus!$G$21,Plus!$AP$2:'Plus'!$AQ$5,2,0))))</f>
        <v>0</v>
      </c>
      <c r="BU74" s="123">
        <f>IF(BZ73&lt;0.01,0,IF(Plus!$F$24=Plus!$AO$3,Plus!$G$13*Plus!$AR$2/1.16,IF(Plus!$F$10=Plus!$AK$7,0,Plus!$G$13*Plus!$AR$2/1.16)))</f>
        <v>0</v>
      </c>
      <c r="BV74" s="123">
        <f>IF(BZ73&lt;0.01,0,Plus!$BD$2)</f>
        <v>0</v>
      </c>
      <c r="BW74" s="123"/>
      <c r="BX74" s="123">
        <f t="shared" si="12"/>
        <v>0</v>
      </c>
      <c r="BY74" s="123">
        <f>IF(Plus!$F$10=Plus!$AK$3,MIN(BZ73+BQ74+BT74+BU74+BV74-BX74,CJ74),0)</f>
        <v>0</v>
      </c>
      <c r="BZ74" s="297">
        <f t="shared" si="144"/>
        <v>0</v>
      </c>
      <c r="CA74" s="74"/>
      <c r="CB74" s="74"/>
      <c r="CC74" s="413">
        <f t="shared" si="47"/>
        <v>0</v>
      </c>
      <c r="CF74" s="90">
        <f t="shared" si="48"/>
        <v>2</v>
      </c>
      <c r="CG74" s="121">
        <f t="shared" si="106"/>
        <v>0</v>
      </c>
      <c r="CI74" s="70">
        <f t="shared" si="107"/>
        <v>0</v>
      </c>
      <c r="CJ74" s="2178">
        <f t="shared" ca="1" si="49"/>
        <v>0</v>
      </c>
      <c r="CL74" s="161"/>
      <c r="CN74" s="308">
        <f t="shared" ca="1" si="13"/>
        <v>5</v>
      </c>
      <c r="CO74" s="309">
        <f t="shared" si="50"/>
        <v>0</v>
      </c>
      <c r="CP74" s="268">
        <f t="shared" si="14"/>
        <v>0</v>
      </c>
      <c r="CQ74" s="123">
        <f t="shared" si="51"/>
        <v>0</v>
      </c>
      <c r="CR74" s="123">
        <f t="shared" si="137"/>
        <v>0</v>
      </c>
      <c r="CS74" s="123">
        <f t="shared" si="138"/>
        <v>0</v>
      </c>
      <c r="CT74" s="33">
        <f>IF(CZ73&lt;0.01,0,IF(Plus!$F$22=Plus!$AN$4,0,IF(Plus!$F$22=Plus!$AN$3,CZ73*Plus!$F$23/1000,CZ73*VLOOKUP(Plus!$G$21,Plus!$AP$2:'Plus'!$AQ$5,2,0))))</f>
        <v>0</v>
      </c>
      <c r="CU74" s="123">
        <f>IF(CZ73&lt;0.01,0,IF(Plus!$F$24=Plus!$AO$3,0,IF(OR(Plus!$F$10=Plus!$AK$7,Plus!$F$10=Plus!$AK$13),0,Plus!$G$13*Plus!$AR$2)))</f>
        <v>0</v>
      </c>
      <c r="CV74" s="123">
        <f>IF(CZ73&lt;0.01,0,IF(OR(Plus!$F$10=Plus!$AK$7,Plus!$F$10=Plus!$AK$13),0,Plus!$BD$2*1.16))</f>
        <v>0</v>
      </c>
      <c r="CW74" s="123">
        <f>IF(CZ73&lt;0.01,0,IF(Plus!$AS$2&gt;0,CQ74*Plus!$AS$3,0))</f>
        <v>0</v>
      </c>
      <c r="CX74" s="123">
        <f t="shared" si="52"/>
        <v>0</v>
      </c>
      <c r="CY74" s="123">
        <f>IF(Plus!$F$10=Plus!$AK$3,MIN(CZ73+CQ74+CT74+CU74+CV74-CX74,DK74),0)</f>
        <v>0</v>
      </c>
      <c r="CZ74" s="297">
        <f t="shared" si="146"/>
        <v>0</v>
      </c>
      <c r="DA74" s="306">
        <f>Plus!O115</f>
        <v>0</v>
      </c>
      <c r="DB74" s="74"/>
      <c r="DC74" s="74"/>
      <c r="DD74" s="407">
        <f t="shared" si="54"/>
        <v>0</v>
      </c>
      <c r="DG74" s="90">
        <f t="shared" si="55"/>
        <v>2</v>
      </c>
      <c r="DH74" s="121">
        <f t="shared" si="108"/>
        <v>0</v>
      </c>
      <c r="DJ74" s="149">
        <f t="shared" si="109"/>
        <v>0</v>
      </c>
      <c r="DK74" s="2179">
        <f t="shared" ca="1" si="56"/>
        <v>0</v>
      </c>
      <c r="DN74" s="120">
        <f t="shared" si="110"/>
        <v>0</v>
      </c>
      <c r="DO74" s="110">
        <f t="shared" si="57"/>
        <v>0</v>
      </c>
      <c r="DP74" s="110">
        <f t="shared" si="124"/>
        <v>0</v>
      </c>
      <c r="DQ74" s="109">
        <f t="shared" si="58"/>
        <v>0</v>
      </c>
      <c r="DR74" s="109">
        <f t="shared" si="59"/>
        <v>0</v>
      </c>
      <c r="DS74" s="113">
        <f t="shared" si="60"/>
        <v>0</v>
      </c>
      <c r="DU74" s="102">
        <f t="shared" si="61"/>
        <v>0</v>
      </c>
      <c r="DV74" s="211">
        <f t="shared" si="125"/>
        <v>50</v>
      </c>
      <c r="DW74" s="212">
        <f t="shared" si="62"/>
        <v>0</v>
      </c>
      <c r="DX74" s="212">
        <f t="shared" si="15"/>
        <v>0</v>
      </c>
      <c r="DY74" s="212">
        <f t="shared" si="111"/>
        <v>0</v>
      </c>
      <c r="DZ74" s="213">
        <f t="shared" si="16"/>
        <v>1000000</v>
      </c>
      <c r="ED74" s="182"/>
      <c r="EF74" s="308">
        <f t="shared" ca="1" si="17"/>
        <v>5</v>
      </c>
      <c r="EG74" s="309">
        <f t="shared" si="63"/>
        <v>0</v>
      </c>
      <c r="EH74" s="268">
        <f t="shared" si="18"/>
        <v>0</v>
      </c>
      <c r="EI74" s="33">
        <f t="shared" si="64"/>
        <v>0</v>
      </c>
      <c r="EJ74" s="33">
        <f t="shared" si="139"/>
        <v>0</v>
      </c>
      <c r="EK74" s="33">
        <f t="shared" si="151"/>
        <v>0</v>
      </c>
      <c r="EL74" s="33">
        <f>IF(ER73&lt;0.01,0,IF(Plus!$F$22=Plus!$AN$4,0,IF(Plus!$F$22=Plus!$AN$3,ER73*Plus!$F$23/1000,ER73*VLOOKUP(Plus!$G$21,Plus!$AP$2:'Plus'!$AQ$5,2,0))))</f>
        <v>0</v>
      </c>
      <c r="EM74" s="33">
        <f>IF(ER73&lt;0.01,0,IF(Plus!$F$24=Plus!$AO$3,0,IF(OR(Plus!$F$10=Plus!$AK$7,Plus!$F$10=Plus!$AK$13),0,Plus!$G$13*Plus!$AR$2)))</f>
        <v>0</v>
      </c>
      <c r="EN74" s="33">
        <f>IF(ER73&lt;0.01,0,IF(OR(Plus!$F$10=Plus!$AK$7,Plus!$F$10=Plus!$AK$13),0,Plus!$BD$2*1.16))</f>
        <v>0</v>
      </c>
      <c r="EO74" s="33">
        <f>IF(ER73&lt;0.01,0,IF(Plus!$AS$2&gt;0,EI74*Plus!$AS$3,0))</f>
        <v>0</v>
      </c>
      <c r="EP74" s="33">
        <f t="shared" si="65"/>
        <v>0</v>
      </c>
      <c r="EQ74" s="33">
        <f>IF(Plus!$F$10=Plus!$AK$3,MIN(ER73+EI74+EL74+EM74+EN74-EP74,FC74),0)</f>
        <v>0</v>
      </c>
      <c r="ER74" s="311">
        <f t="shared" si="145"/>
        <v>0</v>
      </c>
      <c r="ES74" s="340">
        <f>Plus!O115</f>
        <v>0</v>
      </c>
      <c r="ET74" s="74"/>
      <c r="EU74" s="74"/>
      <c r="EV74" s="416">
        <f t="shared" si="134"/>
        <v>0</v>
      </c>
      <c r="EY74" s="90">
        <f t="shared" si="68"/>
        <v>2</v>
      </c>
      <c r="EZ74" s="121">
        <f t="shared" si="112"/>
        <v>0</v>
      </c>
      <c r="FB74" s="149">
        <f t="shared" si="113"/>
        <v>0</v>
      </c>
      <c r="FC74" s="2179">
        <f t="shared" ca="1" si="69"/>
        <v>0</v>
      </c>
      <c r="FE74" s="120">
        <f t="shared" si="114"/>
        <v>0</v>
      </c>
      <c r="FF74" s="110">
        <f t="shared" si="70"/>
        <v>0</v>
      </c>
      <c r="FG74" s="110">
        <f t="shared" si="71"/>
        <v>0</v>
      </c>
      <c r="FH74" s="109">
        <f t="shared" si="72"/>
        <v>0</v>
      </c>
      <c r="FI74" s="109">
        <f t="shared" si="19"/>
        <v>0</v>
      </c>
      <c r="FJ74" s="113">
        <f t="shared" si="73"/>
        <v>0</v>
      </c>
      <c r="FL74" s="102">
        <f t="shared" si="74"/>
        <v>0</v>
      </c>
      <c r="FM74" s="211">
        <f t="shared" si="127"/>
        <v>50</v>
      </c>
      <c r="FN74" s="212">
        <f t="shared" si="75"/>
        <v>0</v>
      </c>
      <c r="FO74" s="212">
        <f t="shared" si="20"/>
        <v>0</v>
      </c>
      <c r="FP74" s="212">
        <f t="shared" ref="FP74:FP84" si="158">MIN(FQ73+FN74,FP73)</f>
        <v>0</v>
      </c>
      <c r="FQ74" s="213">
        <f t="shared" si="21"/>
        <v>1000000</v>
      </c>
      <c r="FV74" s="359"/>
      <c r="FX74" s="308">
        <f t="shared" ca="1" si="22"/>
        <v>5</v>
      </c>
      <c r="FY74" s="309">
        <f t="shared" si="76"/>
        <v>0</v>
      </c>
      <c r="FZ74" s="268">
        <f t="shared" si="23"/>
        <v>0</v>
      </c>
      <c r="GA74" s="33">
        <f t="shared" si="77"/>
        <v>0</v>
      </c>
      <c r="GB74" s="33">
        <f t="shared" si="141"/>
        <v>0</v>
      </c>
      <c r="GC74" s="33">
        <f t="shared" si="142"/>
        <v>0</v>
      </c>
      <c r="GD74" s="33">
        <f>IF(GJ73&lt;0.01,0,IF(Plus!$F$22=Plus!$AN$4,0,IF(Plus!$F$22=Plus!$AN$3,GJ73*Plus!$F$23/1000,GJ73*VLOOKUP(Plus!$G$21,Plus!$AP$2:$AQ$5,2,0))))</f>
        <v>0</v>
      </c>
      <c r="GE74" s="33">
        <f>IF(GJ73&lt;0.01,0,IF(Plus!$F$24=Plus!$AO$3,0,IF(OR(Plus!$F$10=Plus!$AK$7,Plus!$F$10=Plus!$AK$13,Plus!$F$10=Plus!$AK$14),0,IF(OR(Plus!$F$10=Plus!$AK$10,Plus!$F$10=Plus!$AK$11),Plus!$G$13*Adm!$W$7,Plus!$G$13*Adm!$X$4))))</f>
        <v>0</v>
      </c>
      <c r="GF74" s="33">
        <f>IF(GJ73&lt;0.01,0,IF(OR(Plus!$F$10=Plus!$AK$7,Plus!$F$10=Plus!$AK$13),0,Plus!$BD$2*1.16))</f>
        <v>0</v>
      </c>
      <c r="GG74" s="33">
        <f>IF(GJ73&lt;0.01,0,IF(Plus!$AS$2&gt;0,GA74*Plus!$AS$3,0))</f>
        <v>0</v>
      </c>
      <c r="GH74" s="33">
        <f t="shared" si="78"/>
        <v>0</v>
      </c>
      <c r="GI74" s="33">
        <f>IF(Plus!$F$10=Plus!$AK$3,MIN(GJ73+GA74+GD74+GE74+GF74-GH74,GU74),0)</f>
        <v>0</v>
      </c>
      <c r="GJ74" s="311">
        <f t="shared" si="136"/>
        <v>0</v>
      </c>
      <c r="GK74" s="340">
        <f>Plus!O115</f>
        <v>0</v>
      </c>
      <c r="GL74" s="74"/>
      <c r="GM74" s="74"/>
      <c r="GN74" s="419">
        <f t="shared" si="135"/>
        <v>0</v>
      </c>
      <c r="GQ74" s="90">
        <f t="shared" si="80"/>
        <v>2</v>
      </c>
      <c r="GR74" s="121">
        <f t="shared" si="116"/>
        <v>0</v>
      </c>
      <c r="GT74" s="149">
        <f t="shared" si="117"/>
        <v>0</v>
      </c>
      <c r="GU74" s="2179">
        <f t="shared" ca="1" si="81"/>
        <v>0</v>
      </c>
      <c r="GW74" s="120">
        <f t="shared" si="118"/>
        <v>0</v>
      </c>
      <c r="GX74" s="110">
        <f t="shared" si="82"/>
        <v>0</v>
      </c>
      <c r="GY74" s="110">
        <f t="shared" si="83"/>
        <v>0</v>
      </c>
      <c r="GZ74" s="109">
        <f t="shared" si="84"/>
        <v>0</v>
      </c>
      <c r="HA74" s="109">
        <f t="shared" si="24"/>
        <v>0</v>
      </c>
      <c r="HB74" s="113">
        <f t="shared" si="85"/>
        <v>0</v>
      </c>
      <c r="HD74" s="102">
        <f t="shared" si="86"/>
        <v>0</v>
      </c>
      <c r="HE74" s="211">
        <f t="shared" si="129"/>
        <v>50</v>
      </c>
      <c r="HF74" s="212">
        <f t="shared" si="87"/>
        <v>0</v>
      </c>
      <c r="HG74" s="212">
        <f t="shared" si="25"/>
        <v>0</v>
      </c>
      <c r="HH74" s="212">
        <f t="shared" ref="HH74:HH84" si="159">MIN(HI73+HF74,HH73)</f>
        <v>0</v>
      </c>
      <c r="HI74" s="213">
        <f t="shared" si="26"/>
        <v>1000000</v>
      </c>
      <c r="HL74" s="182"/>
      <c r="HM74" s="26">
        <f t="shared" ca="1" si="27"/>
        <v>5</v>
      </c>
      <c r="HO74" s="268">
        <f t="shared" si="28"/>
        <v>0</v>
      </c>
      <c r="HP74" s="151">
        <f t="shared" si="157"/>
        <v>0</v>
      </c>
      <c r="HQ74" s="123">
        <f t="shared" si="88"/>
        <v>0</v>
      </c>
      <c r="HR74" s="123">
        <f t="shared" si="89"/>
        <v>0</v>
      </c>
      <c r="HS74" s="123">
        <f t="shared" si="90"/>
        <v>0</v>
      </c>
      <c r="HT74" s="123">
        <f>IF(HY73&lt;0.01,0,IF(Adm!$GS$4=Adm!$GS$8,HY73*$HY$15,IF(Adm!$GS$12=Adm!$GS$13,0,HY73*Adm!$GV$4)))</f>
        <v>0</v>
      </c>
      <c r="HU74" s="123">
        <f>IF(HY73&lt;0.01,0,IF(Adm!$GS$5=Adm!$GS$8,Cal!$BO$108*$HY$16/1.16,IF(Adm!$GS$12=Adm!$GS$13,0,Cal!$BO$108*Adm!$GW$4/1.16)))</f>
        <v>0</v>
      </c>
      <c r="HV74" s="123">
        <f t="shared" si="91"/>
        <v>0</v>
      </c>
      <c r="HW74" s="123">
        <f t="shared" si="92"/>
        <v>0</v>
      </c>
      <c r="HX74" s="123">
        <f>IF(Adm!$GH$6="si",MIN(HY73+HQ74+HT74+HU74+HV74-HW74,IH74),0)</f>
        <v>0</v>
      </c>
      <c r="HY74" s="297">
        <f t="shared" si="93"/>
        <v>0</v>
      </c>
      <c r="HZ74" s="74"/>
      <c r="IA74" s="407">
        <f t="shared" si="94"/>
        <v>0</v>
      </c>
      <c r="IC74" s="90">
        <f t="shared" si="95"/>
        <v>2</v>
      </c>
      <c r="ID74" s="124">
        <f>IF(IC74=1,Cal!$BO$127,0)</f>
        <v>0</v>
      </c>
      <c r="IE74" s="178">
        <f>IF(IC74=1,Adm!$HI$4,0)</f>
        <v>0</v>
      </c>
      <c r="IG74" s="70">
        <f t="shared" si="121"/>
        <v>0</v>
      </c>
      <c r="IH74" s="2178">
        <f t="shared" ca="1" si="96"/>
        <v>0</v>
      </c>
      <c r="IK74" s="217"/>
      <c r="IL74" s="26">
        <f t="shared" ca="1" si="29"/>
        <v>5</v>
      </c>
      <c r="IN74" s="268">
        <f t="shared" si="30"/>
        <v>0</v>
      </c>
      <c r="IO74" s="151">
        <f t="shared" si="154"/>
        <v>0</v>
      </c>
      <c r="IP74" s="123">
        <f t="shared" si="97"/>
        <v>0</v>
      </c>
      <c r="IQ74" s="123">
        <f t="shared" si="98"/>
        <v>0</v>
      </c>
      <c r="IR74" s="123">
        <f t="shared" si="99"/>
        <v>0</v>
      </c>
      <c r="IS74" s="123">
        <f>IF(IX73&lt;0.01,0,IF(Adm!$GS$4=Adm!$GS$8,IX73*$IX$15,IF(Adm!$GS$12=Adm!$GS$13,0,IX73*Adm!$GV$4)))</f>
        <v>0</v>
      </c>
      <c r="IT74" s="123"/>
      <c r="IU74" s="123">
        <f t="shared" si="100"/>
        <v>0</v>
      </c>
      <c r="IV74" s="123">
        <f t="shared" si="101"/>
        <v>0</v>
      </c>
      <c r="IW74" s="123"/>
      <c r="IX74" s="297">
        <f t="shared" si="102"/>
        <v>0</v>
      </c>
      <c r="IY74" s="74"/>
      <c r="IZ74" s="416">
        <f t="shared" si="103"/>
        <v>0</v>
      </c>
      <c r="JB74" s="90">
        <f t="shared" si="104"/>
        <v>2</v>
      </c>
      <c r="JC74" s="124">
        <f>IF(JB74=1,Cal!$BP$127,0)</f>
        <v>0</v>
      </c>
      <c r="JD74" s="178">
        <f>IF(JB74=1,Adm!$HI$4,0)</f>
        <v>0</v>
      </c>
    </row>
    <row r="75" spans="1:264">
      <c r="A75" s="26">
        <f t="shared" ca="1" si="0"/>
        <v>6</v>
      </c>
      <c r="C75" s="33">
        <f t="shared" si="1"/>
        <v>0</v>
      </c>
      <c r="D75" s="123">
        <f t="shared" si="31"/>
        <v>0</v>
      </c>
      <c r="E75" s="123">
        <f t="shared" si="147"/>
        <v>0</v>
      </c>
      <c r="F75" s="123">
        <f t="shared" si="149"/>
        <v>0</v>
      </c>
      <c r="G75" s="123">
        <f>IF(L74&lt;0.01,0,IF(Adm!$S$4=Adm!$S$8,L74*$L$15,L74*Adm!$V$4))</f>
        <v>0</v>
      </c>
      <c r="H75" s="123">
        <f>IF(L74&lt;0.01,0,IF(Adm!$S$5=Adm!$S$8,Adm!$AA$11*$L$16/1.16,IF(Adm!$B$4=Adm!$A$119,0,Adm!$AA$11*Adm!$X$4/1.16)))</f>
        <v>0</v>
      </c>
      <c r="I75" s="123">
        <f>IF(L74&lt;0.01,0,Cal!$AB$126/1.16)</f>
        <v>0</v>
      </c>
      <c r="J75" s="123">
        <f t="shared" si="2"/>
        <v>0</v>
      </c>
      <c r="K75" s="123">
        <f>IF(Adm!$G$4="si",MIN(L74+D75+G75+H75+I75-J75,V75),0)</f>
        <v>0</v>
      </c>
      <c r="L75" s="123">
        <f t="shared" si="32"/>
        <v>0</v>
      </c>
      <c r="M75" s="74"/>
      <c r="N75" s="74"/>
      <c r="O75" s="407">
        <f t="shared" si="33"/>
        <v>0</v>
      </c>
      <c r="R75" s="90">
        <f t="shared" si="34"/>
        <v>3</v>
      </c>
      <c r="S75" s="121">
        <f>IF(R75=1,Cal!$AB$127,0)</f>
        <v>0</v>
      </c>
      <c r="U75" s="70">
        <f t="shared" si="105"/>
        <v>0</v>
      </c>
      <c r="V75" s="2178">
        <f t="shared" ca="1" si="35"/>
        <v>0</v>
      </c>
      <c r="X75" s="398"/>
      <c r="Z75" s="268">
        <f t="shared" si="3"/>
        <v>0</v>
      </c>
      <c r="AA75" s="2176">
        <f t="shared" si="36"/>
        <v>0</v>
      </c>
      <c r="AB75" s="33">
        <f t="shared" si="37"/>
        <v>0</v>
      </c>
      <c r="AC75" s="33">
        <f t="shared" si="38"/>
        <v>0</v>
      </c>
      <c r="AD75" s="33">
        <f>IF(AI74&lt;0.01,0,IF(Adm!$S$4=Adm!$S$8,AI74*$AI$15,AI74*Adm!$V$4))</f>
        <v>0</v>
      </c>
      <c r="AE75" s="33"/>
      <c r="AF75" s="33"/>
      <c r="AG75" s="33">
        <f t="shared" si="4"/>
        <v>0</v>
      </c>
      <c r="AH75" s="33"/>
      <c r="AI75" s="401">
        <f t="shared" si="5"/>
        <v>0</v>
      </c>
      <c r="AK75" s="410">
        <f t="shared" si="6"/>
        <v>0</v>
      </c>
      <c r="AN75" s="90">
        <f t="shared" si="39"/>
        <v>3</v>
      </c>
      <c r="AO75" s="121">
        <f>IF(AN75=1,Cal!$AC$127,0)</f>
        <v>0</v>
      </c>
      <c r="AS75" s="200"/>
      <c r="AU75" s="268">
        <f t="shared" si="7"/>
        <v>0</v>
      </c>
      <c r="AV75" s="2177">
        <f t="shared" si="40"/>
        <v>0</v>
      </c>
      <c r="AW75" s="123">
        <f t="shared" si="8"/>
        <v>0</v>
      </c>
      <c r="AX75" s="123">
        <f t="shared" si="41"/>
        <v>0</v>
      </c>
      <c r="AY75" s="123">
        <f>IF(BC74&lt;0.01,0,IF(Adm!$S$4=Adm!$S$8,BC74*$BC$16,BC74*Adm!$V$4))</f>
        <v>0</v>
      </c>
      <c r="AZ75" s="123"/>
      <c r="BA75" s="123">
        <f>IF(BC74&lt;0.01,0,Adm!$Q$6)</f>
        <v>0</v>
      </c>
      <c r="BB75" s="123">
        <f t="shared" si="42"/>
        <v>0</v>
      </c>
      <c r="BC75" s="297">
        <f t="shared" si="43"/>
        <v>0</v>
      </c>
      <c r="BE75" s="425">
        <f t="shared" si="9"/>
        <v>0</v>
      </c>
      <c r="BH75" s="90">
        <f t="shared" si="44"/>
        <v>3</v>
      </c>
      <c r="BI75" s="121">
        <f>IF(BH75=1,Cal!$AD$127,0)</f>
        <v>0</v>
      </c>
      <c r="BM75" s="221"/>
      <c r="BO75" s="295">
        <f t="shared" ca="1" si="10"/>
        <v>6</v>
      </c>
      <c r="BP75" s="268">
        <f t="shared" si="11"/>
        <v>0</v>
      </c>
      <c r="BQ75" s="123">
        <f t="shared" si="45"/>
        <v>0</v>
      </c>
      <c r="BR75" s="123">
        <f t="shared" si="148"/>
        <v>0</v>
      </c>
      <c r="BS75" s="123">
        <f t="shared" si="150"/>
        <v>0</v>
      </c>
      <c r="BT75" s="123">
        <f>IF(BZ74&lt;0.01,0,IF(Plus!$F$22=Plus!$AN$4,BZ74*$BZ$15,IF(Plus!$F$22=Plus!$AN$3,BZ74*Plus!$F$23/1000,BZ74*VLOOKUP(Plus!$G$21,Plus!$AP$2:'Plus'!$AQ$5,2,0))))</f>
        <v>0</v>
      </c>
      <c r="BU75" s="123">
        <f>IF(BZ74&lt;0.01,0,IF(Plus!$F$24=Plus!$AO$3,Plus!$G$13*Plus!$AR$2/1.16,IF(Plus!$F$10=Plus!$AK$7,0,Plus!$G$13*Plus!$AR$2/1.16)))</f>
        <v>0</v>
      </c>
      <c r="BV75" s="123">
        <f>IF(BZ74&lt;0.01,0,Plus!$BD$2)</f>
        <v>0</v>
      </c>
      <c r="BW75" s="123"/>
      <c r="BX75" s="123">
        <f t="shared" si="12"/>
        <v>0</v>
      </c>
      <c r="BY75" s="123">
        <f>IF(Plus!$F$10=Plus!$AK$3,MIN(BZ74+BQ75+BT75+BU75+BV75-BX75,CJ75),0)</f>
        <v>0</v>
      </c>
      <c r="BZ75" s="297">
        <f t="shared" si="144"/>
        <v>0</v>
      </c>
      <c r="CA75" s="74"/>
      <c r="CB75" s="74"/>
      <c r="CC75" s="413">
        <f t="shared" si="47"/>
        <v>0</v>
      </c>
      <c r="CF75" s="90">
        <f t="shared" si="48"/>
        <v>3</v>
      </c>
      <c r="CG75" s="121">
        <f t="shared" si="106"/>
        <v>0</v>
      </c>
      <c r="CI75" s="70">
        <f t="shared" si="107"/>
        <v>0</v>
      </c>
      <c r="CJ75" s="2178">
        <f t="shared" ca="1" si="49"/>
        <v>0</v>
      </c>
      <c r="CL75" s="161"/>
      <c r="CN75" s="308">
        <f t="shared" ca="1" si="13"/>
        <v>6</v>
      </c>
      <c r="CO75" s="309">
        <f t="shared" si="50"/>
        <v>0</v>
      </c>
      <c r="CP75" s="268">
        <f t="shared" si="14"/>
        <v>0</v>
      </c>
      <c r="CQ75" s="123">
        <f t="shared" si="51"/>
        <v>0</v>
      </c>
      <c r="CR75" s="123">
        <f t="shared" si="137"/>
        <v>0</v>
      </c>
      <c r="CS75" s="123">
        <f t="shared" si="138"/>
        <v>0</v>
      </c>
      <c r="CT75" s="33">
        <f>IF(CZ74&lt;0.01,0,IF(Plus!$F$22=Plus!$AN$4,0,IF(Plus!$F$22=Plus!$AN$3,CZ74*Plus!$F$23/1000,CZ74*VLOOKUP(Plus!$G$21,Plus!$AP$2:'Plus'!$AQ$5,2,0))))</f>
        <v>0</v>
      </c>
      <c r="CU75" s="123">
        <f>IF(CZ74&lt;0.01,0,IF(Plus!$F$24=Plus!$AO$3,0,IF(OR(Plus!$F$10=Plus!$AK$7,Plus!$F$10=Plus!$AK$13),0,Plus!$G$13*Plus!$AR$2)))</f>
        <v>0</v>
      </c>
      <c r="CV75" s="123">
        <f>IF(CZ74&lt;0.01,0,IF(OR(Plus!$F$10=Plus!$AK$7,Plus!$F$10=Plus!$AK$13),0,Plus!$BD$2*1.16))</f>
        <v>0</v>
      </c>
      <c r="CW75" s="123">
        <f>IF(CZ74&lt;0.01,0,IF(Plus!$AS$2&gt;0,CQ75*Plus!$AS$3,0))</f>
        <v>0</v>
      </c>
      <c r="CX75" s="123">
        <f t="shared" si="52"/>
        <v>0</v>
      </c>
      <c r="CY75" s="123">
        <f>IF(Plus!$F$10=Plus!$AK$3,MIN(CZ74+CQ75+CT75+CU75+CV75-CX75,DK75),0)</f>
        <v>0</v>
      </c>
      <c r="CZ75" s="297">
        <f t="shared" si="146"/>
        <v>0</v>
      </c>
      <c r="DA75" s="306">
        <f>Plus!O116</f>
        <v>0</v>
      </c>
      <c r="DB75" s="74"/>
      <c r="DC75" s="74"/>
      <c r="DD75" s="407">
        <f t="shared" si="54"/>
        <v>0</v>
      </c>
      <c r="DG75" s="90">
        <f t="shared" si="55"/>
        <v>3</v>
      </c>
      <c r="DH75" s="121">
        <f t="shared" si="108"/>
        <v>0</v>
      </c>
      <c r="DJ75" s="149">
        <f t="shared" si="109"/>
        <v>0</v>
      </c>
      <c r="DK75" s="2179">
        <f t="shared" ca="1" si="56"/>
        <v>0</v>
      </c>
      <c r="DN75" s="120">
        <f t="shared" si="110"/>
        <v>0</v>
      </c>
      <c r="DO75" s="110">
        <f t="shared" si="57"/>
        <v>0</v>
      </c>
      <c r="DP75" s="110">
        <f t="shared" si="124"/>
        <v>0</v>
      </c>
      <c r="DQ75" s="109">
        <f t="shared" si="58"/>
        <v>0</v>
      </c>
      <c r="DR75" s="109">
        <f t="shared" si="59"/>
        <v>0</v>
      </c>
      <c r="DS75" s="113">
        <f t="shared" si="60"/>
        <v>0</v>
      </c>
      <c r="DU75" s="102">
        <f t="shared" si="61"/>
        <v>0</v>
      </c>
      <c r="DV75" s="211">
        <f t="shared" si="125"/>
        <v>51</v>
      </c>
      <c r="DW75" s="212">
        <f t="shared" si="62"/>
        <v>0</v>
      </c>
      <c r="DX75" s="212">
        <f t="shared" si="15"/>
        <v>0</v>
      </c>
      <c r="DY75" s="212">
        <f t="shared" si="111"/>
        <v>0</v>
      </c>
      <c r="DZ75" s="213">
        <f t="shared" si="16"/>
        <v>1000000</v>
      </c>
      <c r="ED75" s="182"/>
      <c r="EF75" s="308">
        <f t="shared" ca="1" si="17"/>
        <v>6</v>
      </c>
      <c r="EG75" s="309">
        <f t="shared" si="63"/>
        <v>0</v>
      </c>
      <c r="EH75" s="268">
        <f t="shared" si="18"/>
        <v>0</v>
      </c>
      <c r="EI75" s="33">
        <f t="shared" si="64"/>
        <v>0</v>
      </c>
      <c r="EJ75" s="33">
        <f t="shared" si="139"/>
        <v>0</v>
      </c>
      <c r="EK75" s="33">
        <f t="shared" si="151"/>
        <v>0</v>
      </c>
      <c r="EL75" s="33">
        <f>IF(ER74&lt;0.01,0,IF(Plus!$F$22=Plus!$AN$4,0,IF(Plus!$F$22=Plus!$AN$3,ER74*Plus!$F$23/1000,ER74*VLOOKUP(Plus!$G$21,Plus!$AP$2:'Plus'!$AQ$5,2,0))))</f>
        <v>0</v>
      </c>
      <c r="EM75" s="33">
        <f>IF(ER74&lt;0.01,0,IF(Plus!$F$24=Plus!$AO$3,0,IF(OR(Plus!$F$10=Plus!$AK$7,Plus!$F$10=Plus!$AK$13),0,Plus!$G$13*Plus!$AR$2)))</f>
        <v>0</v>
      </c>
      <c r="EN75" s="33">
        <f>IF(ER74&lt;0.01,0,IF(OR(Plus!$F$10=Plus!$AK$7,Plus!$F$10=Plus!$AK$13),0,Plus!$BD$2*1.16))</f>
        <v>0</v>
      </c>
      <c r="EO75" s="33">
        <f>IF(ER74&lt;0.01,0,IF(Plus!$AS$2&gt;0,EI75*Plus!$AS$3,0))</f>
        <v>0</v>
      </c>
      <c r="EP75" s="33">
        <f t="shared" si="65"/>
        <v>0</v>
      </c>
      <c r="EQ75" s="33">
        <f>IF(Plus!$F$10=Plus!$AK$3,MIN(ER74+EI75+EL75+EM75+EN75-EP75,FC75),0)</f>
        <v>0</v>
      </c>
      <c r="ER75" s="311">
        <f t="shared" si="145"/>
        <v>0</v>
      </c>
      <c r="ES75" s="340">
        <f>Plus!O116</f>
        <v>0</v>
      </c>
      <c r="ET75" s="74"/>
      <c r="EU75" s="74"/>
      <c r="EV75" s="416">
        <f t="shared" si="134"/>
        <v>0</v>
      </c>
      <c r="EY75" s="90">
        <f t="shared" si="68"/>
        <v>3</v>
      </c>
      <c r="EZ75" s="121">
        <f t="shared" si="112"/>
        <v>0</v>
      </c>
      <c r="FB75" s="149">
        <f t="shared" si="113"/>
        <v>0</v>
      </c>
      <c r="FC75" s="2179">
        <f t="shared" ca="1" si="69"/>
        <v>0</v>
      </c>
      <c r="FE75" s="120">
        <f t="shared" si="114"/>
        <v>0</v>
      </c>
      <c r="FF75" s="110">
        <f t="shared" si="70"/>
        <v>0</v>
      </c>
      <c r="FG75" s="110">
        <f t="shared" si="71"/>
        <v>0</v>
      </c>
      <c r="FH75" s="109">
        <f t="shared" si="72"/>
        <v>0</v>
      </c>
      <c r="FI75" s="109">
        <f t="shared" si="19"/>
        <v>0</v>
      </c>
      <c r="FJ75" s="113">
        <f t="shared" si="73"/>
        <v>0</v>
      </c>
      <c r="FL75" s="102">
        <f t="shared" si="74"/>
        <v>0</v>
      </c>
      <c r="FM75" s="211">
        <f t="shared" si="127"/>
        <v>51</v>
      </c>
      <c r="FN75" s="212">
        <f t="shared" si="75"/>
        <v>0</v>
      </c>
      <c r="FO75" s="212">
        <f t="shared" si="20"/>
        <v>0</v>
      </c>
      <c r="FP75" s="212">
        <f t="shared" si="158"/>
        <v>0</v>
      </c>
      <c r="FQ75" s="213">
        <f t="shared" si="21"/>
        <v>1000000</v>
      </c>
      <c r="FV75" s="359"/>
      <c r="FX75" s="308">
        <f t="shared" ca="1" si="22"/>
        <v>6</v>
      </c>
      <c r="FY75" s="309">
        <f t="shared" si="76"/>
        <v>0</v>
      </c>
      <c r="FZ75" s="268">
        <f t="shared" si="23"/>
        <v>0</v>
      </c>
      <c r="GA75" s="33">
        <f t="shared" si="77"/>
        <v>0</v>
      </c>
      <c r="GB75" s="33">
        <f t="shared" si="141"/>
        <v>0</v>
      </c>
      <c r="GC75" s="33">
        <f t="shared" si="142"/>
        <v>0</v>
      </c>
      <c r="GD75" s="33">
        <f>IF(GJ74&lt;0.01,0,IF(Plus!$F$22=Plus!$AN$4,0,IF(Plus!$F$22=Plus!$AN$3,GJ74*Plus!$F$23/1000,GJ74*VLOOKUP(Plus!$G$21,Plus!$AP$2:$AQ$5,2,0))))</f>
        <v>0</v>
      </c>
      <c r="GE75" s="33">
        <f>IF(GJ74&lt;0.01,0,IF(Plus!$F$24=Plus!$AO$3,0,IF(OR(Plus!$F$10=Plus!$AK$7,Plus!$F$10=Plus!$AK$13,Plus!$F$10=Plus!$AK$14),0,IF(OR(Plus!$F$10=Plus!$AK$10,Plus!$F$10=Plus!$AK$11),Plus!$G$13*Adm!$W$7,Plus!$G$13*Adm!$X$4))))</f>
        <v>0</v>
      </c>
      <c r="GF75" s="33">
        <f>IF(GJ74&lt;0.01,0,IF(OR(Plus!$F$10=Plus!$AK$7,Plus!$F$10=Plus!$AK$13),0,Plus!$BD$2*1.16))</f>
        <v>0</v>
      </c>
      <c r="GG75" s="33">
        <f>IF(GJ74&lt;0.01,0,IF(Plus!$AS$2&gt;0,GA75*Plus!$AS$3,0))</f>
        <v>0</v>
      </c>
      <c r="GH75" s="33">
        <f t="shared" si="78"/>
        <v>0</v>
      </c>
      <c r="GI75" s="33">
        <f>IF(Plus!$F$10=Plus!$AK$3,MIN(GJ74+GA75+GD75+GE75+GF75-GH75,GU75),0)</f>
        <v>0</v>
      </c>
      <c r="GJ75" s="311">
        <f t="shared" si="136"/>
        <v>0</v>
      </c>
      <c r="GK75" s="340">
        <f>Plus!O116</f>
        <v>0</v>
      </c>
      <c r="GL75" s="74"/>
      <c r="GM75" s="74"/>
      <c r="GN75" s="419">
        <f t="shared" si="135"/>
        <v>0</v>
      </c>
      <c r="GQ75" s="90">
        <f t="shared" si="80"/>
        <v>3</v>
      </c>
      <c r="GR75" s="121">
        <f t="shared" si="116"/>
        <v>0</v>
      </c>
      <c r="GT75" s="149">
        <f t="shared" si="117"/>
        <v>0</v>
      </c>
      <c r="GU75" s="2179">
        <f t="shared" ca="1" si="81"/>
        <v>0</v>
      </c>
      <c r="GW75" s="120">
        <f t="shared" si="118"/>
        <v>0</v>
      </c>
      <c r="GX75" s="110">
        <f t="shared" si="82"/>
        <v>0</v>
      </c>
      <c r="GY75" s="110">
        <f t="shared" si="83"/>
        <v>0</v>
      </c>
      <c r="GZ75" s="109">
        <f t="shared" si="84"/>
        <v>0</v>
      </c>
      <c r="HA75" s="109">
        <f t="shared" si="24"/>
        <v>0</v>
      </c>
      <c r="HB75" s="113">
        <f t="shared" si="85"/>
        <v>0</v>
      </c>
      <c r="HD75" s="102">
        <f t="shared" si="86"/>
        <v>0</v>
      </c>
      <c r="HE75" s="211">
        <f t="shared" si="129"/>
        <v>51</v>
      </c>
      <c r="HF75" s="212">
        <f t="shared" si="87"/>
        <v>0</v>
      </c>
      <c r="HG75" s="212">
        <f t="shared" si="25"/>
        <v>0</v>
      </c>
      <c r="HH75" s="212">
        <f t="shared" si="159"/>
        <v>0</v>
      </c>
      <c r="HI75" s="213">
        <f t="shared" si="26"/>
        <v>1000000</v>
      </c>
      <c r="HL75" s="182"/>
      <c r="HM75" s="26">
        <f t="shared" ca="1" si="27"/>
        <v>6</v>
      </c>
      <c r="HO75" s="268">
        <f t="shared" si="28"/>
        <v>0</v>
      </c>
      <c r="HP75" s="151">
        <f t="shared" si="157"/>
        <v>0</v>
      </c>
      <c r="HQ75" s="123">
        <f t="shared" si="88"/>
        <v>0</v>
      </c>
      <c r="HR75" s="123">
        <f t="shared" si="89"/>
        <v>0</v>
      </c>
      <c r="HS75" s="123">
        <f t="shared" si="90"/>
        <v>0</v>
      </c>
      <c r="HT75" s="123">
        <f>IF(HY74&lt;0.01,0,IF(Adm!$GS$4=Adm!$GS$8,HY74*$HY$15,IF(Adm!$GS$12=Adm!$GS$13,0,HY74*Adm!$GV$4)))</f>
        <v>0</v>
      </c>
      <c r="HU75" s="123">
        <f>IF(HY74&lt;0.01,0,IF(Adm!$GS$5=Adm!$GS$8,Cal!$BO$108*$HY$16/1.16,IF(Adm!$GS$12=Adm!$GS$13,0,Cal!$BO$108*Adm!$GW$4/1.16)))</f>
        <v>0</v>
      </c>
      <c r="HV75" s="123">
        <f t="shared" si="91"/>
        <v>0</v>
      </c>
      <c r="HW75" s="123">
        <f t="shared" si="92"/>
        <v>0</v>
      </c>
      <c r="HX75" s="123">
        <f>IF(Adm!$GH$6="si",MIN(HY74+HQ75+HT75+HU75+HV75-HW75,IH75),0)</f>
        <v>0</v>
      </c>
      <c r="HY75" s="297">
        <f t="shared" si="93"/>
        <v>0</v>
      </c>
      <c r="HZ75" s="74"/>
      <c r="IA75" s="407">
        <f t="shared" si="94"/>
        <v>0</v>
      </c>
      <c r="IC75" s="90">
        <f t="shared" si="95"/>
        <v>3</v>
      </c>
      <c r="ID75" s="124">
        <f>IF(IC75=1,Cal!$BO$127,0)</f>
        <v>0</v>
      </c>
      <c r="IE75" s="178">
        <f>IF(IC75=1,Adm!$HI$4,0)</f>
        <v>0</v>
      </c>
      <c r="IG75" s="70">
        <f t="shared" si="121"/>
        <v>0</v>
      </c>
      <c r="IH75" s="2178">
        <f t="shared" ca="1" si="96"/>
        <v>0</v>
      </c>
      <c r="IK75" s="217"/>
      <c r="IL75" s="26">
        <f t="shared" ca="1" si="29"/>
        <v>6</v>
      </c>
      <c r="IN75" s="268">
        <f t="shared" si="30"/>
        <v>0</v>
      </c>
      <c r="IO75" s="151">
        <f t="shared" si="154"/>
        <v>0</v>
      </c>
      <c r="IP75" s="123">
        <f t="shared" si="97"/>
        <v>0</v>
      </c>
      <c r="IQ75" s="123">
        <f t="shared" si="98"/>
        <v>0</v>
      </c>
      <c r="IR75" s="123">
        <f t="shared" si="99"/>
        <v>0</v>
      </c>
      <c r="IS75" s="123">
        <f>IF(IX74&lt;0.01,0,IF(Adm!$GS$4=Adm!$GS$8,IX74*$IX$15,IF(Adm!$GS$12=Adm!$GS$13,0,IX74*Adm!$GV$4)))</f>
        <v>0</v>
      </c>
      <c r="IT75" s="123"/>
      <c r="IU75" s="123">
        <f t="shared" si="100"/>
        <v>0</v>
      </c>
      <c r="IV75" s="123">
        <f t="shared" si="101"/>
        <v>0</v>
      </c>
      <c r="IW75" s="123"/>
      <c r="IX75" s="297">
        <f t="shared" si="102"/>
        <v>0</v>
      </c>
      <c r="IY75" s="74"/>
      <c r="IZ75" s="416">
        <f t="shared" si="103"/>
        <v>0</v>
      </c>
      <c r="JB75" s="90">
        <f t="shared" si="104"/>
        <v>3</v>
      </c>
      <c r="JC75" s="124">
        <f>IF(JB75=1,Cal!$BP$127,0)</f>
        <v>0</v>
      </c>
      <c r="JD75" s="178">
        <f>IF(JB75=1,Adm!$HI$4,0)</f>
        <v>0</v>
      </c>
    </row>
    <row r="76" spans="1:264">
      <c r="A76" s="26">
        <f t="shared" ca="1" si="0"/>
        <v>7</v>
      </c>
      <c r="C76" s="33">
        <f t="shared" si="1"/>
        <v>0</v>
      </c>
      <c r="D76" s="123">
        <f t="shared" si="31"/>
        <v>0</v>
      </c>
      <c r="E76" s="123">
        <f t="shared" si="147"/>
        <v>0</v>
      </c>
      <c r="F76" s="123">
        <f t="shared" si="149"/>
        <v>0</v>
      </c>
      <c r="G76" s="123">
        <f>IF(L75&lt;0.01,0,IF(Adm!$S$4=Adm!$S$8,L75*$L$15,L75*Adm!$V$4))</f>
        <v>0</v>
      </c>
      <c r="H76" s="123">
        <f>IF(L75&lt;0.01,0,IF(Adm!$S$5=Adm!$S$8,Adm!$AA$11*$L$16/1.16,IF(Adm!$B$4=Adm!$A$119,0,Adm!$AA$11*Adm!$X$4/1.16)))</f>
        <v>0</v>
      </c>
      <c r="I76" s="123">
        <f>IF(L75&lt;0.01,0,Cal!$AB$126/1.16)</f>
        <v>0</v>
      </c>
      <c r="J76" s="123">
        <f t="shared" si="2"/>
        <v>0</v>
      </c>
      <c r="K76" s="123">
        <f>IF(Adm!$G$4="si",MIN(L75+D76+G76+H76+I76-J76,V76),0)</f>
        <v>0</v>
      </c>
      <c r="L76" s="123">
        <f t="shared" si="32"/>
        <v>0</v>
      </c>
      <c r="M76" s="74"/>
      <c r="N76" s="74"/>
      <c r="O76" s="407">
        <f t="shared" si="33"/>
        <v>0</v>
      </c>
      <c r="R76" s="90">
        <f t="shared" si="34"/>
        <v>4</v>
      </c>
      <c r="S76" s="121">
        <f>IF(R76=1,Cal!$AB$127,0)</f>
        <v>0</v>
      </c>
      <c r="U76" s="70">
        <f t="shared" si="105"/>
        <v>0</v>
      </c>
      <c r="V76" s="2178">
        <f t="shared" ca="1" si="35"/>
        <v>0</v>
      </c>
      <c r="X76" s="398"/>
      <c r="Z76" s="268">
        <f t="shared" si="3"/>
        <v>0</v>
      </c>
      <c r="AA76" s="2176">
        <f t="shared" si="36"/>
        <v>0</v>
      </c>
      <c r="AB76" s="33">
        <f t="shared" si="37"/>
        <v>0</v>
      </c>
      <c r="AC76" s="33">
        <f t="shared" si="38"/>
        <v>0</v>
      </c>
      <c r="AD76" s="33">
        <f>IF(AI75&lt;0.01,0,IF(Adm!$S$4=Adm!$S$8,AI75*$AI$15,AI75*Adm!$V$4))</f>
        <v>0</v>
      </c>
      <c r="AE76" s="33"/>
      <c r="AF76" s="33"/>
      <c r="AG76" s="33">
        <f t="shared" si="4"/>
        <v>0</v>
      </c>
      <c r="AH76" s="33"/>
      <c r="AI76" s="401">
        <f t="shared" si="5"/>
        <v>0</v>
      </c>
      <c r="AK76" s="410">
        <f t="shared" si="6"/>
        <v>0</v>
      </c>
      <c r="AN76" s="90">
        <f t="shared" si="39"/>
        <v>4</v>
      </c>
      <c r="AO76" s="121">
        <f>IF(AN76=1,Cal!$AC$127,0)</f>
        <v>0</v>
      </c>
      <c r="AS76" s="200"/>
      <c r="AU76" s="268">
        <f t="shared" si="7"/>
        <v>0</v>
      </c>
      <c r="AV76" s="2177">
        <f t="shared" si="40"/>
        <v>0</v>
      </c>
      <c r="AW76" s="123">
        <f t="shared" si="8"/>
        <v>0</v>
      </c>
      <c r="AX76" s="123">
        <f t="shared" si="41"/>
        <v>0</v>
      </c>
      <c r="AY76" s="123">
        <f>IF(BC75&lt;0.01,0,IF(Adm!$S$4=Adm!$S$8,BC75*$BC$16,BC75*Adm!$V$4))</f>
        <v>0</v>
      </c>
      <c r="AZ76" s="123"/>
      <c r="BA76" s="123">
        <f>IF(BC75&lt;0.01,0,Adm!$Q$6)</f>
        <v>0</v>
      </c>
      <c r="BB76" s="123">
        <f t="shared" si="42"/>
        <v>0</v>
      </c>
      <c r="BC76" s="297">
        <f t="shared" si="43"/>
        <v>0</v>
      </c>
      <c r="BE76" s="425">
        <f t="shared" si="9"/>
        <v>0</v>
      </c>
      <c r="BH76" s="90">
        <f t="shared" si="44"/>
        <v>4</v>
      </c>
      <c r="BI76" s="121">
        <f>IF(BH76=1,Cal!$AD$127,0)</f>
        <v>0</v>
      </c>
      <c r="BM76" s="221"/>
      <c r="BO76" s="295">
        <f t="shared" ca="1" si="10"/>
        <v>7</v>
      </c>
      <c r="BP76" s="268">
        <f t="shared" si="11"/>
        <v>0</v>
      </c>
      <c r="BQ76" s="123">
        <f t="shared" si="45"/>
        <v>0</v>
      </c>
      <c r="BR76" s="123">
        <f t="shared" si="148"/>
        <v>0</v>
      </c>
      <c r="BS76" s="123">
        <f t="shared" si="150"/>
        <v>0</v>
      </c>
      <c r="BT76" s="123">
        <f>IF(BZ75&lt;0.01,0,IF(Plus!$F$22=Plus!$AN$4,BZ75*$BZ$15,IF(Plus!$F$22=Plus!$AN$3,BZ75*Plus!$F$23/1000,BZ75*VLOOKUP(Plus!$G$21,Plus!$AP$2:'Plus'!$AQ$5,2,0))))</f>
        <v>0</v>
      </c>
      <c r="BU76" s="123">
        <f>IF(BZ75&lt;0.01,0,IF(Plus!$F$24=Plus!$AO$3,Plus!$G$13*Plus!$AR$2/1.16,IF(Plus!$F$10=Plus!$AK$7,0,Plus!$G$13*Plus!$AR$2/1.16)))</f>
        <v>0</v>
      </c>
      <c r="BV76" s="123">
        <f>IF(BZ75&lt;0.01,0,Plus!$BD$2)</f>
        <v>0</v>
      </c>
      <c r="BW76" s="123"/>
      <c r="BX76" s="123">
        <f t="shared" si="12"/>
        <v>0</v>
      </c>
      <c r="BY76" s="123">
        <f>IF(Plus!$F$10=Plus!$AK$3,MIN(BZ75+BQ76+BT76+BU76+BV76-BX76,CJ76),0)</f>
        <v>0</v>
      </c>
      <c r="BZ76" s="297">
        <f t="shared" si="144"/>
        <v>0</v>
      </c>
      <c r="CA76" s="74"/>
      <c r="CB76" s="74"/>
      <c r="CC76" s="413">
        <f t="shared" si="47"/>
        <v>0</v>
      </c>
      <c r="CF76" s="90">
        <f t="shared" si="48"/>
        <v>4</v>
      </c>
      <c r="CG76" s="121">
        <f t="shared" si="106"/>
        <v>0</v>
      </c>
      <c r="CI76" s="70">
        <f t="shared" si="107"/>
        <v>0</v>
      </c>
      <c r="CJ76" s="2178">
        <f t="shared" ca="1" si="49"/>
        <v>0</v>
      </c>
      <c r="CL76" s="161"/>
      <c r="CN76" s="308">
        <f t="shared" ca="1" si="13"/>
        <v>7</v>
      </c>
      <c r="CO76" s="309">
        <f t="shared" si="50"/>
        <v>0</v>
      </c>
      <c r="CP76" s="268">
        <f t="shared" si="14"/>
        <v>0</v>
      </c>
      <c r="CQ76" s="123">
        <f t="shared" si="51"/>
        <v>0</v>
      </c>
      <c r="CR76" s="123">
        <f t="shared" si="137"/>
        <v>0</v>
      </c>
      <c r="CS76" s="123">
        <f t="shared" si="138"/>
        <v>0</v>
      </c>
      <c r="CT76" s="33">
        <f>IF(CZ75&lt;0.01,0,IF(Plus!$F$22=Plus!$AN$4,0,IF(Plus!$F$22=Plus!$AN$3,CZ75*Plus!$F$23/1000,CZ75*VLOOKUP(Plus!$G$21,Plus!$AP$2:'Plus'!$AQ$5,2,0))))</f>
        <v>0</v>
      </c>
      <c r="CU76" s="123">
        <f>IF(CZ75&lt;0.01,0,IF(Plus!$F$24=Plus!$AO$3,0,IF(OR(Plus!$F$10=Plus!$AK$7,Plus!$F$10=Plus!$AK$13),0,Plus!$G$13*Plus!$AR$2)))</f>
        <v>0</v>
      </c>
      <c r="CV76" s="123">
        <f>IF(CZ75&lt;0.01,0,IF(OR(Plus!$F$10=Plus!$AK$7,Plus!$F$10=Plus!$AK$13),0,Plus!$BD$2*1.16))</f>
        <v>0</v>
      </c>
      <c r="CW76" s="123">
        <f>IF(CZ75&lt;0.01,0,IF(Plus!$AS$2&gt;0,CQ76*Plus!$AS$3,0))</f>
        <v>0</v>
      </c>
      <c r="CX76" s="123">
        <f t="shared" si="52"/>
        <v>0</v>
      </c>
      <c r="CY76" s="123">
        <f>IF(Plus!$F$10=Plus!$AK$3,MIN(CZ75+CQ76+CT76+CU76+CV76-CX76,DK76),0)</f>
        <v>0</v>
      </c>
      <c r="CZ76" s="297">
        <f t="shared" si="146"/>
        <v>0</v>
      </c>
      <c r="DA76" s="306">
        <f>Plus!O117</f>
        <v>0</v>
      </c>
      <c r="DB76" s="74"/>
      <c r="DC76" s="74"/>
      <c r="DD76" s="407">
        <f t="shared" si="54"/>
        <v>0</v>
      </c>
      <c r="DG76" s="90">
        <f t="shared" si="55"/>
        <v>4</v>
      </c>
      <c r="DH76" s="121">
        <f t="shared" si="108"/>
        <v>0</v>
      </c>
      <c r="DJ76" s="149">
        <f t="shared" si="109"/>
        <v>0</v>
      </c>
      <c r="DK76" s="2179">
        <f t="shared" ca="1" si="56"/>
        <v>0</v>
      </c>
      <c r="DN76" s="120">
        <f t="shared" si="110"/>
        <v>0</v>
      </c>
      <c r="DO76" s="110">
        <f t="shared" si="57"/>
        <v>0</v>
      </c>
      <c r="DP76" s="110">
        <f t="shared" si="124"/>
        <v>0</v>
      </c>
      <c r="DQ76" s="109">
        <f t="shared" si="58"/>
        <v>0</v>
      </c>
      <c r="DR76" s="109">
        <f t="shared" si="59"/>
        <v>0</v>
      </c>
      <c r="DS76" s="113">
        <f t="shared" si="60"/>
        <v>0</v>
      </c>
      <c r="DU76" s="102">
        <f t="shared" si="61"/>
        <v>0</v>
      </c>
      <c r="DV76" s="211">
        <f t="shared" si="125"/>
        <v>52</v>
      </c>
      <c r="DW76" s="212">
        <f t="shared" si="62"/>
        <v>0</v>
      </c>
      <c r="DX76" s="212">
        <f t="shared" si="15"/>
        <v>0</v>
      </c>
      <c r="DY76" s="212">
        <f t="shared" si="111"/>
        <v>0</v>
      </c>
      <c r="DZ76" s="213">
        <f t="shared" si="16"/>
        <v>1000000</v>
      </c>
      <c r="ED76" s="182"/>
      <c r="EF76" s="308">
        <f t="shared" ca="1" si="17"/>
        <v>7</v>
      </c>
      <c r="EG76" s="309">
        <f t="shared" si="63"/>
        <v>0</v>
      </c>
      <c r="EH76" s="268">
        <f t="shared" si="18"/>
        <v>0</v>
      </c>
      <c r="EI76" s="33">
        <f t="shared" si="64"/>
        <v>0</v>
      </c>
      <c r="EJ76" s="33">
        <f t="shared" si="139"/>
        <v>0</v>
      </c>
      <c r="EK76" s="33">
        <f t="shared" si="151"/>
        <v>0</v>
      </c>
      <c r="EL76" s="33">
        <f>IF(ER75&lt;0.01,0,IF(Plus!$F$22=Plus!$AN$4,0,IF(Plus!$F$22=Plus!$AN$3,ER75*Plus!$F$23/1000,ER75*VLOOKUP(Plus!$G$21,Plus!$AP$2:'Plus'!$AQ$5,2,0))))</f>
        <v>0</v>
      </c>
      <c r="EM76" s="33">
        <f>IF(ER75&lt;0.01,0,IF(Plus!$F$24=Plus!$AO$3,0,IF(OR(Plus!$F$10=Plus!$AK$7,Plus!$F$10=Plus!$AK$13),0,Plus!$G$13*Plus!$AR$2)))</f>
        <v>0</v>
      </c>
      <c r="EN76" s="33">
        <f>IF(ER75&lt;0.01,0,IF(OR(Plus!$F$10=Plus!$AK$7,Plus!$F$10=Plus!$AK$13),0,Plus!$BD$2*1.16))</f>
        <v>0</v>
      </c>
      <c r="EO76" s="33">
        <f>IF(ER75&lt;0.01,0,IF(Plus!$AS$2&gt;0,EI76*Plus!$AS$3,0))</f>
        <v>0</v>
      </c>
      <c r="EP76" s="33">
        <f t="shared" si="65"/>
        <v>0</v>
      </c>
      <c r="EQ76" s="33">
        <f>IF(Plus!$F$10=Plus!$AK$3,MIN(ER75+EI76+EL76+EM76+EN76-EP76,FC76),0)</f>
        <v>0</v>
      </c>
      <c r="ER76" s="311">
        <f t="shared" si="145"/>
        <v>0</v>
      </c>
      <c r="ES76" s="340">
        <f>Plus!O117</f>
        <v>0</v>
      </c>
      <c r="ET76" s="74"/>
      <c r="EU76" s="74"/>
      <c r="EV76" s="416">
        <f t="shared" si="134"/>
        <v>0</v>
      </c>
      <c r="EY76" s="90">
        <f t="shared" si="68"/>
        <v>4</v>
      </c>
      <c r="EZ76" s="121">
        <f t="shared" si="112"/>
        <v>0</v>
      </c>
      <c r="FB76" s="149">
        <f t="shared" si="113"/>
        <v>0</v>
      </c>
      <c r="FC76" s="2179">
        <f t="shared" ca="1" si="69"/>
        <v>0</v>
      </c>
      <c r="FE76" s="120">
        <f t="shared" si="114"/>
        <v>0</v>
      </c>
      <c r="FF76" s="110">
        <f t="shared" si="70"/>
        <v>0</v>
      </c>
      <c r="FG76" s="110">
        <f t="shared" si="71"/>
        <v>0</v>
      </c>
      <c r="FH76" s="109">
        <f t="shared" si="72"/>
        <v>0</v>
      </c>
      <c r="FI76" s="109">
        <f t="shared" si="19"/>
        <v>0</v>
      </c>
      <c r="FJ76" s="113">
        <f t="shared" si="73"/>
        <v>0</v>
      </c>
      <c r="FL76" s="102">
        <f t="shared" si="74"/>
        <v>0</v>
      </c>
      <c r="FM76" s="211">
        <f t="shared" si="127"/>
        <v>52</v>
      </c>
      <c r="FN76" s="212">
        <f t="shared" si="75"/>
        <v>0</v>
      </c>
      <c r="FO76" s="212">
        <f t="shared" si="20"/>
        <v>0</v>
      </c>
      <c r="FP76" s="212">
        <f t="shared" si="158"/>
        <v>0</v>
      </c>
      <c r="FQ76" s="213">
        <f t="shared" si="21"/>
        <v>1000000</v>
      </c>
      <c r="FV76" s="359"/>
      <c r="FX76" s="308">
        <f t="shared" ca="1" si="22"/>
        <v>7</v>
      </c>
      <c r="FY76" s="309">
        <f t="shared" si="76"/>
        <v>0</v>
      </c>
      <c r="FZ76" s="268">
        <f t="shared" si="23"/>
        <v>0</v>
      </c>
      <c r="GA76" s="33">
        <f t="shared" si="77"/>
        <v>0</v>
      </c>
      <c r="GB76" s="33">
        <f t="shared" si="141"/>
        <v>0</v>
      </c>
      <c r="GC76" s="33">
        <f t="shared" si="142"/>
        <v>0</v>
      </c>
      <c r="GD76" s="33">
        <f>IF(GJ75&lt;0.01,0,IF(Plus!$F$22=Plus!$AN$4,0,IF(Plus!$F$22=Plus!$AN$3,GJ75*Plus!$F$23/1000,GJ75*VLOOKUP(Plus!$G$21,Plus!$AP$2:$AQ$5,2,0))))</f>
        <v>0</v>
      </c>
      <c r="GE76" s="33">
        <f>IF(GJ75&lt;0.01,0,IF(Plus!$F$24=Plus!$AO$3,0,IF(OR(Plus!$F$10=Plus!$AK$7,Plus!$F$10=Plus!$AK$13,Plus!$F$10=Plus!$AK$14),0,IF(OR(Plus!$F$10=Plus!$AK$10,Plus!$F$10=Plus!$AK$11),Plus!$G$13*Adm!$W$7,Plus!$G$13*Adm!$X$4))))</f>
        <v>0</v>
      </c>
      <c r="GF76" s="33">
        <f>IF(GJ75&lt;0.01,0,IF(OR(Plus!$F$10=Plus!$AK$7,Plus!$F$10=Plus!$AK$13),0,Plus!$BD$2*1.16))</f>
        <v>0</v>
      </c>
      <c r="GG76" s="33">
        <f>IF(GJ75&lt;0.01,0,IF(Plus!$AS$2&gt;0,GA76*Plus!$AS$3,0))</f>
        <v>0</v>
      </c>
      <c r="GH76" s="33">
        <f t="shared" si="78"/>
        <v>0</v>
      </c>
      <c r="GI76" s="33">
        <f>IF(Plus!$F$10=Plus!$AK$3,MIN(GJ75+GA76+GD76+GE76+GF76-GH76,GU76),0)</f>
        <v>0</v>
      </c>
      <c r="GJ76" s="311">
        <f t="shared" si="136"/>
        <v>0</v>
      </c>
      <c r="GK76" s="340">
        <f>Plus!O117</f>
        <v>0</v>
      </c>
      <c r="GL76" s="74"/>
      <c r="GM76" s="74"/>
      <c r="GN76" s="419">
        <f t="shared" si="135"/>
        <v>0</v>
      </c>
      <c r="GQ76" s="90">
        <f t="shared" si="80"/>
        <v>4</v>
      </c>
      <c r="GR76" s="121">
        <f t="shared" si="116"/>
        <v>0</v>
      </c>
      <c r="GT76" s="149">
        <f t="shared" si="117"/>
        <v>0</v>
      </c>
      <c r="GU76" s="2179">
        <f t="shared" ca="1" si="81"/>
        <v>0</v>
      </c>
      <c r="GW76" s="120">
        <f t="shared" si="118"/>
        <v>0</v>
      </c>
      <c r="GX76" s="110">
        <f t="shared" si="82"/>
        <v>0</v>
      </c>
      <c r="GY76" s="110">
        <f t="shared" si="83"/>
        <v>0</v>
      </c>
      <c r="GZ76" s="109">
        <f t="shared" si="84"/>
        <v>0</v>
      </c>
      <c r="HA76" s="109">
        <f t="shared" si="24"/>
        <v>0</v>
      </c>
      <c r="HB76" s="113">
        <f t="shared" si="85"/>
        <v>0</v>
      </c>
      <c r="HD76" s="102">
        <f t="shared" si="86"/>
        <v>0</v>
      </c>
      <c r="HE76" s="211">
        <f t="shared" si="129"/>
        <v>52</v>
      </c>
      <c r="HF76" s="212">
        <f t="shared" si="87"/>
        <v>0</v>
      </c>
      <c r="HG76" s="212">
        <f t="shared" si="25"/>
        <v>0</v>
      </c>
      <c r="HH76" s="212">
        <f t="shared" si="159"/>
        <v>0</v>
      </c>
      <c r="HI76" s="213">
        <f t="shared" si="26"/>
        <v>1000000</v>
      </c>
      <c r="HL76" s="182"/>
      <c r="HM76" s="26">
        <f t="shared" ca="1" si="27"/>
        <v>7</v>
      </c>
      <c r="HO76" s="268">
        <f t="shared" si="28"/>
        <v>0</v>
      </c>
      <c r="HP76" s="151">
        <f t="shared" si="157"/>
        <v>0</v>
      </c>
      <c r="HQ76" s="123">
        <f t="shared" si="88"/>
        <v>0</v>
      </c>
      <c r="HR76" s="123">
        <f t="shared" si="89"/>
        <v>0</v>
      </c>
      <c r="HS76" s="123">
        <f t="shared" si="90"/>
        <v>0</v>
      </c>
      <c r="HT76" s="123">
        <f>IF(HY75&lt;0.01,0,IF(Adm!$GS$4=Adm!$GS$8,HY75*$HY$15,IF(Adm!$GS$12=Adm!$GS$13,0,HY75*Adm!$GV$4)))</f>
        <v>0</v>
      </c>
      <c r="HU76" s="123">
        <f>IF(HY75&lt;0.01,0,IF(Adm!$GS$5=Adm!$GS$8,Cal!$BO$108*$HY$16/1.16,IF(Adm!$GS$12=Adm!$GS$13,0,Cal!$BO$108*Adm!$GW$4/1.16)))</f>
        <v>0</v>
      </c>
      <c r="HV76" s="123">
        <f t="shared" si="91"/>
        <v>0</v>
      </c>
      <c r="HW76" s="123">
        <f t="shared" si="92"/>
        <v>0</v>
      </c>
      <c r="HX76" s="123">
        <f>IF(Adm!$GH$6="si",MIN(HY75+HQ76+HT76+HU76+HV76-HW76,IH76),0)</f>
        <v>0</v>
      </c>
      <c r="HY76" s="297">
        <f t="shared" si="93"/>
        <v>0</v>
      </c>
      <c r="HZ76" s="74"/>
      <c r="IA76" s="407">
        <f t="shared" si="94"/>
        <v>0</v>
      </c>
      <c r="IC76" s="90">
        <f t="shared" si="95"/>
        <v>4</v>
      </c>
      <c r="ID76" s="124">
        <f>IF(IC76=1,Cal!$BO$127,0)</f>
        <v>0</v>
      </c>
      <c r="IE76" s="178">
        <f>IF(IC76=1,Adm!$HI$4,0)</f>
        <v>0</v>
      </c>
      <c r="IG76" s="70">
        <f t="shared" si="121"/>
        <v>0</v>
      </c>
      <c r="IH76" s="2178">
        <f t="shared" ca="1" si="96"/>
        <v>0</v>
      </c>
      <c r="IK76" s="217"/>
      <c r="IL76" s="26">
        <f t="shared" ca="1" si="29"/>
        <v>7</v>
      </c>
      <c r="IN76" s="268">
        <f t="shared" si="30"/>
        <v>0</v>
      </c>
      <c r="IO76" s="151">
        <f t="shared" si="154"/>
        <v>0</v>
      </c>
      <c r="IP76" s="123">
        <f t="shared" si="97"/>
        <v>0</v>
      </c>
      <c r="IQ76" s="123">
        <f t="shared" si="98"/>
        <v>0</v>
      </c>
      <c r="IR76" s="123">
        <f t="shared" si="99"/>
        <v>0</v>
      </c>
      <c r="IS76" s="123">
        <f>IF(IX75&lt;0.01,0,IF(Adm!$GS$4=Adm!$GS$8,IX75*$IX$15,IF(Adm!$GS$12=Adm!$GS$13,0,IX75*Adm!$GV$4)))</f>
        <v>0</v>
      </c>
      <c r="IT76" s="123"/>
      <c r="IU76" s="123">
        <f t="shared" si="100"/>
        <v>0</v>
      </c>
      <c r="IV76" s="123">
        <f t="shared" si="101"/>
        <v>0</v>
      </c>
      <c r="IW76" s="123"/>
      <c r="IX76" s="297">
        <f t="shared" si="102"/>
        <v>0</v>
      </c>
      <c r="IY76" s="74"/>
      <c r="IZ76" s="416">
        <f t="shared" si="103"/>
        <v>0</v>
      </c>
      <c r="JB76" s="90">
        <f t="shared" si="104"/>
        <v>4</v>
      </c>
      <c r="JC76" s="124">
        <f>IF(JB76=1,Cal!$BP$127,0)</f>
        <v>0</v>
      </c>
      <c r="JD76" s="178">
        <f>IF(JB76=1,Adm!$HI$4,0)</f>
        <v>0</v>
      </c>
    </row>
    <row r="77" spans="1:264">
      <c r="A77" s="26">
        <f t="shared" ca="1" si="0"/>
        <v>8</v>
      </c>
      <c r="C77" s="33">
        <f t="shared" si="1"/>
        <v>0</v>
      </c>
      <c r="D77" s="123">
        <f t="shared" si="31"/>
        <v>0</v>
      </c>
      <c r="E77" s="123">
        <f t="shared" si="147"/>
        <v>0</v>
      </c>
      <c r="F77" s="123">
        <f t="shared" si="149"/>
        <v>0</v>
      </c>
      <c r="G77" s="123">
        <f>IF(L76&lt;0.01,0,IF(Adm!$S$4=Adm!$S$8,L76*$L$15,L76*Adm!$V$4))</f>
        <v>0</v>
      </c>
      <c r="H77" s="123">
        <f>IF(L76&lt;0.01,0,IF(Adm!$S$5=Adm!$S$8,Adm!$AA$11*$L$16/1.16,IF(Adm!$B$4=Adm!$A$119,0,Adm!$AA$11*Adm!$X$4/1.16)))</f>
        <v>0</v>
      </c>
      <c r="I77" s="123">
        <f>IF(L76&lt;0.01,0,Cal!$AB$126/1.16)</f>
        <v>0</v>
      </c>
      <c r="J77" s="123">
        <f t="shared" si="2"/>
        <v>0</v>
      </c>
      <c r="K77" s="123">
        <f>IF(Adm!$G$4="si",MIN(L76+D77+G77+H77+I77-J77,V77),0)</f>
        <v>0</v>
      </c>
      <c r="L77" s="123">
        <f t="shared" si="32"/>
        <v>0</v>
      </c>
      <c r="M77" s="74"/>
      <c r="N77" s="74"/>
      <c r="O77" s="407">
        <f t="shared" si="33"/>
        <v>0</v>
      </c>
      <c r="R77" s="90">
        <f t="shared" si="34"/>
        <v>5</v>
      </c>
      <c r="S77" s="121">
        <f>IF(R77=1,Cal!$AB$127,0)</f>
        <v>0</v>
      </c>
      <c r="U77" s="70">
        <f t="shared" si="105"/>
        <v>0</v>
      </c>
      <c r="V77" s="2178">
        <f t="shared" ca="1" si="35"/>
        <v>0</v>
      </c>
      <c r="X77" s="398"/>
      <c r="Z77" s="268">
        <f t="shared" si="3"/>
        <v>0</v>
      </c>
      <c r="AA77" s="2176">
        <f t="shared" si="36"/>
        <v>0</v>
      </c>
      <c r="AB77" s="33">
        <f t="shared" si="37"/>
        <v>0</v>
      </c>
      <c r="AC77" s="33">
        <f t="shared" si="38"/>
        <v>0</v>
      </c>
      <c r="AD77" s="33">
        <f>IF(AI76&lt;0.01,0,IF(Adm!$S$4=Adm!$S$8,AI76*$AI$15,AI76*Adm!$V$4))</f>
        <v>0</v>
      </c>
      <c r="AE77" s="33"/>
      <c r="AF77" s="33"/>
      <c r="AG77" s="33">
        <f t="shared" si="4"/>
        <v>0</v>
      </c>
      <c r="AH77" s="33"/>
      <c r="AI77" s="401">
        <f t="shared" si="5"/>
        <v>0</v>
      </c>
      <c r="AK77" s="410">
        <f t="shared" si="6"/>
        <v>0</v>
      </c>
      <c r="AN77" s="90">
        <f t="shared" si="39"/>
        <v>5</v>
      </c>
      <c r="AO77" s="121">
        <f>IF(AN77=1,Cal!$AC$127,0)</f>
        <v>0</v>
      </c>
      <c r="AS77" s="200"/>
      <c r="AU77" s="268">
        <f t="shared" si="7"/>
        <v>0</v>
      </c>
      <c r="AV77" s="2177">
        <f t="shared" si="40"/>
        <v>0</v>
      </c>
      <c r="AW77" s="123">
        <f t="shared" si="8"/>
        <v>0</v>
      </c>
      <c r="AX77" s="123">
        <f t="shared" si="41"/>
        <v>0</v>
      </c>
      <c r="AY77" s="123">
        <f>IF(BC76&lt;0.01,0,IF(Adm!$S$4=Adm!$S$8,BC76*$BC$16,BC76*Adm!$V$4))</f>
        <v>0</v>
      </c>
      <c r="AZ77" s="123"/>
      <c r="BA77" s="123">
        <f>IF(BC76&lt;0.01,0,Adm!$Q$6)</f>
        <v>0</v>
      </c>
      <c r="BB77" s="123">
        <f t="shared" si="42"/>
        <v>0</v>
      </c>
      <c r="BC77" s="297">
        <f t="shared" si="43"/>
        <v>0</v>
      </c>
      <c r="BE77" s="425">
        <f t="shared" si="9"/>
        <v>0</v>
      </c>
      <c r="BH77" s="90">
        <f t="shared" si="44"/>
        <v>5</v>
      </c>
      <c r="BI77" s="121">
        <f>IF(BH77=1,Cal!$AD$127,0)</f>
        <v>0</v>
      </c>
      <c r="BM77" s="221"/>
      <c r="BO77" s="295">
        <f t="shared" ca="1" si="10"/>
        <v>8</v>
      </c>
      <c r="BP77" s="268">
        <f t="shared" si="11"/>
        <v>0</v>
      </c>
      <c r="BQ77" s="123">
        <f t="shared" si="45"/>
        <v>0</v>
      </c>
      <c r="BR77" s="123">
        <f t="shared" si="148"/>
        <v>0</v>
      </c>
      <c r="BS77" s="123">
        <f t="shared" si="150"/>
        <v>0</v>
      </c>
      <c r="BT77" s="123">
        <f>IF(BZ76&lt;0.01,0,IF(Plus!$F$22=Plus!$AN$4,BZ76*$BZ$15,IF(Plus!$F$22=Plus!$AN$3,BZ76*Plus!$F$23/1000,BZ76*VLOOKUP(Plus!$G$21,Plus!$AP$2:'Plus'!$AQ$5,2,0))))</f>
        <v>0</v>
      </c>
      <c r="BU77" s="123">
        <f>IF(BZ76&lt;0.01,0,IF(Plus!$F$24=Plus!$AO$3,Plus!$G$13*Plus!$AR$2/1.16,IF(Plus!$F$10=Plus!$AK$7,0,Plus!$G$13*Plus!$AR$2/1.16)))</f>
        <v>0</v>
      </c>
      <c r="BV77" s="123">
        <f>IF(BZ76&lt;0.01,0,Plus!$BD$2)</f>
        <v>0</v>
      </c>
      <c r="BW77" s="123"/>
      <c r="BX77" s="123">
        <f t="shared" si="12"/>
        <v>0</v>
      </c>
      <c r="BY77" s="123">
        <f>IF(Plus!$F$10=Plus!$AK$3,MIN(BZ76+BQ77+BT77+BU77+BV77-BX77,CJ77),0)</f>
        <v>0</v>
      </c>
      <c r="BZ77" s="297">
        <f t="shared" si="144"/>
        <v>0</v>
      </c>
      <c r="CA77" s="74"/>
      <c r="CB77" s="74"/>
      <c r="CC77" s="413">
        <f t="shared" si="47"/>
        <v>0</v>
      </c>
      <c r="CF77" s="90">
        <f t="shared" si="48"/>
        <v>5</v>
      </c>
      <c r="CG77" s="121">
        <f t="shared" si="106"/>
        <v>0</v>
      </c>
      <c r="CI77" s="70">
        <f t="shared" si="107"/>
        <v>0</v>
      </c>
      <c r="CJ77" s="2178">
        <f t="shared" ca="1" si="49"/>
        <v>0</v>
      </c>
      <c r="CL77" s="161"/>
      <c r="CN77" s="308">
        <f t="shared" ca="1" si="13"/>
        <v>8</v>
      </c>
      <c r="CO77" s="309">
        <f t="shared" si="50"/>
        <v>0</v>
      </c>
      <c r="CP77" s="268">
        <f t="shared" si="14"/>
        <v>0</v>
      </c>
      <c r="CQ77" s="123">
        <f t="shared" si="51"/>
        <v>0</v>
      </c>
      <c r="CR77" s="123">
        <f t="shared" si="137"/>
        <v>0</v>
      </c>
      <c r="CS77" s="123">
        <f t="shared" si="138"/>
        <v>0</v>
      </c>
      <c r="CT77" s="33">
        <f>IF(CZ76&lt;0.01,0,IF(Plus!$F$22=Plus!$AN$4,0,IF(Plus!$F$22=Plus!$AN$3,CZ76*Plus!$F$23/1000,CZ76*VLOOKUP(Plus!$G$21,Plus!$AP$2:'Plus'!$AQ$5,2,0))))</f>
        <v>0</v>
      </c>
      <c r="CU77" s="123">
        <f>IF(CZ76&lt;0.01,0,IF(Plus!$F$24=Plus!$AO$3,0,IF(OR(Plus!$F$10=Plus!$AK$7,Plus!$F$10=Plus!$AK$13),0,Plus!$G$13*Plus!$AR$2)))</f>
        <v>0</v>
      </c>
      <c r="CV77" s="123">
        <f>IF(CZ76&lt;0.01,0,IF(OR(Plus!$F$10=Plus!$AK$7,Plus!$F$10=Plus!$AK$13),0,Plus!$BD$2*1.16))</f>
        <v>0</v>
      </c>
      <c r="CW77" s="123">
        <f>IF(CZ76&lt;0.01,0,IF(Plus!$AS$2&gt;0,CQ77*Plus!$AS$3,0))</f>
        <v>0</v>
      </c>
      <c r="CX77" s="123">
        <f t="shared" si="52"/>
        <v>0</v>
      </c>
      <c r="CY77" s="123">
        <f>IF(Plus!$F$10=Plus!$AK$3,MIN(CZ76+CQ77+CT77+CU77+CV77-CX77,DK77),0)</f>
        <v>0</v>
      </c>
      <c r="CZ77" s="297">
        <f t="shared" si="146"/>
        <v>0</v>
      </c>
      <c r="DA77" s="306">
        <f>Plus!O118</f>
        <v>0</v>
      </c>
      <c r="DB77" s="74"/>
      <c r="DC77" s="74"/>
      <c r="DD77" s="407">
        <f t="shared" si="54"/>
        <v>0</v>
      </c>
      <c r="DG77" s="90">
        <f t="shared" si="55"/>
        <v>5</v>
      </c>
      <c r="DH77" s="121">
        <f t="shared" si="108"/>
        <v>0</v>
      </c>
      <c r="DJ77" s="149">
        <f t="shared" si="109"/>
        <v>0</v>
      </c>
      <c r="DK77" s="2179">
        <f t="shared" ca="1" si="56"/>
        <v>0</v>
      </c>
      <c r="DN77" s="120">
        <f t="shared" si="110"/>
        <v>0</v>
      </c>
      <c r="DO77" s="110">
        <f t="shared" si="57"/>
        <v>0</v>
      </c>
      <c r="DP77" s="110">
        <f t="shared" si="124"/>
        <v>0</v>
      </c>
      <c r="DQ77" s="109">
        <f t="shared" si="58"/>
        <v>0</v>
      </c>
      <c r="DR77" s="109">
        <f t="shared" si="59"/>
        <v>0</v>
      </c>
      <c r="DS77" s="113">
        <f t="shared" si="60"/>
        <v>0</v>
      </c>
      <c r="DU77" s="102">
        <f t="shared" si="61"/>
        <v>0</v>
      </c>
      <c r="DV77" s="211">
        <f t="shared" si="125"/>
        <v>53</v>
      </c>
      <c r="DW77" s="212">
        <f t="shared" si="62"/>
        <v>0</v>
      </c>
      <c r="DX77" s="212">
        <f t="shared" si="15"/>
        <v>0</v>
      </c>
      <c r="DY77" s="212">
        <f t="shared" si="111"/>
        <v>0</v>
      </c>
      <c r="DZ77" s="213">
        <f t="shared" si="16"/>
        <v>1000000</v>
      </c>
      <c r="ED77" s="182"/>
      <c r="EF77" s="308">
        <f t="shared" ca="1" si="17"/>
        <v>8</v>
      </c>
      <c r="EG77" s="309">
        <f t="shared" si="63"/>
        <v>0</v>
      </c>
      <c r="EH77" s="268">
        <f t="shared" si="18"/>
        <v>0</v>
      </c>
      <c r="EI77" s="33">
        <f t="shared" si="64"/>
        <v>0</v>
      </c>
      <c r="EJ77" s="33">
        <f t="shared" si="139"/>
        <v>0</v>
      </c>
      <c r="EK77" s="33">
        <f t="shared" si="151"/>
        <v>0</v>
      </c>
      <c r="EL77" s="33">
        <f>IF(ER76&lt;0.01,0,IF(Plus!$F$22=Plus!$AN$4,0,IF(Plus!$F$22=Plus!$AN$3,ER76*Plus!$F$23/1000,ER76*VLOOKUP(Plus!$G$21,Plus!$AP$2:'Plus'!$AQ$5,2,0))))</f>
        <v>0</v>
      </c>
      <c r="EM77" s="33">
        <f>IF(ER76&lt;0.01,0,IF(Plus!$F$24=Plus!$AO$3,0,IF(OR(Plus!$F$10=Plus!$AK$7,Plus!$F$10=Plus!$AK$13),0,Plus!$G$13*Plus!$AR$2)))</f>
        <v>0</v>
      </c>
      <c r="EN77" s="33">
        <f>IF(ER76&lt;0.01,0,IF(OR(Plus!$F$10=Plus!$AK$7,Plus!$F$10=Plus!$AK$13),0,Plus!$BD$2*1.16))</f>
        <v>0</v>
      </c>
      <c r="EO77" s="33">
        <f>IF(ER76&lt;0.01,0,IF(Plus!$AS$2&gt;0,EI77*Plus!$AS$3,0))</f>
        <v>0</v>
      </c>
      <c r="EP77" s="33">
        <f t="shared" si="65"/>
        <v>0</v>
      </c>
      <c r="EQ77" s="33">
        <f>IF(Plus!$F$10=Plus!$AK$3,MIN(ER76+EI77+EL77+EM77+EN77-EP77,FC77),0)</f>
        <v>0</v>
      </c>
      <c r="ER77" s="311">
        <f t="shared" si="145"/>
        <v>0</v>
      </c>
      <c r="ES77" s="340">
        <f>Plus!O118</f>
        <v>0</v>
      </c>
      <c r="ET77" s="74"/>
      <c r="EU77" s="74"/>
      <c r="EV77" s="416">
        <f t="shared" si="134"/>
        <v>0</v>
      </c>
      <c r="EY77" s="90">
        <f t="shared" si="68"/>
        <v>5</v>
      </c>
      <c r="EZ77" s="121">
        <f t="shared" si="112"/>
        <v>0</v>
      </c>
      <c r="FB77" s="149">
        <f t="shared" si="113"/>
        <v>0</v>
      </c>
      <c r="FC77" s="2179">
        <f t="shared" ca="1" si="69"/>
        <v>0</v>
      </c>
      <c r="FE77" s="120">
        <f t="shared" si="114"/>
        <v>0</v>
      </c>
      <c r="FF77" s="110">
        <f t="shared" si="70"/>
        <v>0</v>
      </c>
      <c r="FG77" s="110">
        <f t="shared" si="71"/>
        <v>0</v>
      </c>
      <c r="FH77" s="109">
        <f t="shared" si="72"/>
        <v>0</v>
      </c>
      <c r="FI77" s="109">
        <f t="shared" si="19"/>
        <v>0</v>
      </c>
      <c r="FJ77" s="113">
        <f t="shared" si="73"/>
        <v>0</v>
      </c>
      <c r="FL77" s="102">
        <f t="shared" si="74"/>
        <v>0</v>
      </c>
      <c r="FM77" s="211">
        <f t="shared" si="127"/>
        <v>53</v>
      </c>
      <c r="FN77" s="212">
        <f t="shared" si="75"/>
        <v>0</v>
      </c>
      <c r="FO77" s="212">
        <f t="shared" si="20"/>
        <v>0</v>
      </c>
      <c r="FP77" s="212">
        <f t="shared" si="158"/>
        <v>0</v>
      </c>
      <c r="FQ77" s="213">
        <f t="shared" si="21"/>
        <v>1000000</v>
      </c>
      <c r="FV77" s="359"/>
      <c r="FX77" s="308">
        <f t="shared" ca="1" si="22"/>
        <v>8</v>
      </c>
      <c r="FY77" s="309">
        <f t="shared" si="76"/>
        <v>0</v>
      </c>
      <c r="FZ77" s="268">
        <f t="shared" si="23"/>
        <v>0</v>
      </c>
      <c r="GA77" s="33">
        <f t="shared" si="77"/>
        <v>0</v>
      </c>
      <c r="GB77" s="33">
        <f t="shared" si="141"/>
        <v>0</v>
      </c>
      <c r="GC77" s="33">
        <f t="shared" si="142"/>
        <v>0</v>
      </c>
      <c r="GD77" s="33">
        <f>IF(GJ76&lt;0.01,0,IF(Plus!$F$22=Plus!$AN$4,0,IF(Plus!$F$22=Plus!$AN$3,GJ76*Plus!$F$23/1000,GJ76*VLOOKUP(Plus!$G$21,Plus!$AP$2:$AQ$5,2,0))))</f>
        <v>0</v>
      </c>
      <c r="GE77" s="33">
        <f>IF(GJ76&lt;0.01,0,IF(Plus!$F$24=Plus!$AO$3,0,IF(OR(Plus!$F$10=Plus!$AK$7,Plus!$F$10=Plus!$AK$13,Plus!$F$10=Plus!$AK$14),0,IF(OR(Plus!$F$10=Plus!$AK$10,Plus!$F$10=Plus!$AK$11),Plus!$G$13*Adm!$W$7,Plus!$G$13*Adm!$X$4))))</f>
        <v>0</v>
      </c>
      <c r="GF77" s="33">
        <f>IF(GJ76&lt;0.01,0,IF(OR(Plus!$F$10=Plus!$AK$7,Plus!$F$10=Plus!$AK$13),0,Plus!$BD$2*1.16))</f>
        <v>0</v>
      </c>
      <c r="GG77" s="33">
        <f>IF(GJ76&lt;0.01,0,IF(Plus!$AS$2&gt;0,GA77*Plus!$AS$3,0))</f>
        <v>0</v>
      </c>
      <c r="GH77" s="33">
        <f t="shared" si="78"/>
        <v>0</v>
      </c>
      <c r="GI77" s="33">
        <f>IF(Plus!$F$10=Plus!$AK$3,MIN(GJ76+GA77+GD77+GE77+GF77-GH77,GU77),0)</f>
        <v>0</v>
      </c>
      <c r="GJ77" s="311">
        <f t="shared" si="136"/>
        <v>0</v>
      </c>
      <c r="GK77" s="340">
        <f>Plus!O118</f>
        <v>0</v>
      </c>
      <c r="GL77" s="74"/>
      <c r="GM77" s="74"/>
      <c r="GN77" s="419">
        <f t="shared" si="135"/>
        <v>0</v>
      </c>
      <c r="GQ77" s="90">
        <f t="shared" si="80"/>
        <v>5</v>
      </c>
      <c r="GR77" s="121">
        <f t="shared" si="116"/>
        <v>0</v>
      </c>
      <c r="GT77" s="149">
        <f t="shared" si="117"/>
        <v>0</v>
      </c>
      <c r="GU77" s="2179">
        <f t="shared" ca="1" si="81"/>
        <v>0</v>
      </c>
      <c r="GW77" s="120">
        <f t="shared" si="118"/>
        <v>0</v>
      </c>
      <c r="GX77" s="110">
        <f t="shared" si="82"/>
        <v>0</v>
      </c>
      <c r="GY77" s="110">
        <f t="shared" si="83"/>
        <v>0</v>
      </c>
      <c r="GZ77" s="109">
        <f t="shared" si="84"/>
        <v>0</v>
      </c>
      <c r="HA77" s="109">
        <f t="shared" si="24"/>
        <v>0</v>
      </c>
      <c r="HB77" s="113">
        <f t="shared" si="85"/>
        <v>0</v>
      </c>
      <c r="HD77" s="102">
        <f t="shared" si="86"/>
        <v>0</v>
      </c>
      <c r="HE77" s="211">
        <f t="shared" si="129"/>
        <v>53</v>
      </c>
      <c r="HF77" s="212">
        <f t="shared" si="87"/>
        <v>0</v>
      </c>
      <c r="HG77" s="212">
        <f t="shared" si="25"/>
        <v>0</v>
      </c>
      <c r="HH77" s="212">
        <f t="shared" si="159"/>
        <v>0</v>
      </c>
      <c r="HI77" s="213">
        <f t="shared" si="26"/>
        <v>1000000</v>
      </c>
      <c r="HL77" s="182"/>
      <c r="HM77" s="26">
        <f t="shared" ca="1" si="27"/>
        <v>8</v>
      </c>
      <c r="HO77" s="268">
        <f t="shared" si="28"/>
        <v>0</v>
      </c>
      <c r="HP77" s="151">
        <f t="shared" si="157"/>
        <v>0</v>
      </c>
      <c r="HQ77" s="123">
        <f t="shared" si="88"/>
        <v>0</v>
      </c>
      <c r="HR77" s="123">
        <f t="shared" si="89"/>
        <v>0</v>
      </c>
      <c r="HS77" s="123">
        <f t="shared" si="90"/>
        <v>0</v>
      </c>
      <c r="HT77" s="123">
        <f>IF(HY76&lt;0.01,0,IF(Adm!$GS$4=Adm!$GS$8,HY76*$HY$15,IF(Adm!$GS$12=Adm!$GS$13,0,HY76*Adm!$GV$4)))</f>
        <v>0</v>
      </c>
      <c r="HU77" s="123">
        <f>IF(HY76&lt;0.01,0,IF(Adm!$GS$5=Adm!$GS$8,Cal!$BO$108*$HY$16/1.16,IF(Adm!$GS$12=Adm!$GS$13,0,Cal!$BO$108*Adm!$GW$4/1.16)))</f>
        <v>0</v>
      </c>
      <c r="HV77" s="123">
        <f t="shared" si="91"/>
        <v>0</v>
      </c>
      <c r="HW77" s="123">
        <f t="shared" si="92"/>
        <v>0</v>
      </c>
      <c r="HX77" s="123">
        <f>IF(Adm!$GH$6="si",MIN(HY76+HQ77+HT77+HU77+HV77-HW77,IH77),0)</f>
        <v>0</v>
      </c>
      <c r="HY77" s="297">
        <f t="shared" si="93"/>
        <v>0</v>
      </c>
      <c r="HZ77" s="74"/>
      <c r="IA77" s="407">
        <f t="shared" si="94"/>
        <v>0</v>
      </c>
      <c r="IC77" s="90">
        <f t="shared" si="95"/>
        <v>5</v>
      </c>
      <c r="ID77" s="124">
        <f>IF(IC77=1,Cal!$BO$127,0)</f>
        <v>0</v>
      </c>
      <c r="IE77" s="178">
        <f>IF(IC77=1,Adm!$HI$4,0)</f>
        <v>0</v>
      </c>
      <c r="IG77" s="70">
        <f t="shared" si="121"/>
        <v>0</v>
      </c>
      <c r="IH77" s="2178">
        <f t="shared" ca="1" si="96"/>
        <v>0</v>
      </c>
      <c r="IK77" s="217"/>
      <c r="IL77" s="26">
        <f t="shared" ca="1" si="29"/>
        <v>8</v>
      </c>
      <c r="IN77" s="268">
        <f t="shared" si="30"/>
        <v>0</v>
      </c>
      <c r="IO77" s="151">
        <f t="shared" si="154"/>
        <v>0</v>
      </c>
      <c r="IP77" s="123">
        <f t="shared" si="97"/>
        <v>0</v>
      </c>
      <c r="IQ77" s="123">
        <f t="shared" si="98"/>
        <v>0</v>
      </c>
      <c r="IR77" s="123">
        <f t="shared" si="99"/>
        <v>0</v>
      </c>
      <c r="IS77" s="123">
        <f>IF(IX76&lt;0.01,0,IF(Adm!$GS$4=Adm!$GS$8,IX76*$IX$15,IF(Adm!$GS$12=Adm!$GS$13,0,IX76*Adm!$GV$4)))</f>
        <v>0</v>
      </c>
      <c r="IT77" s="123"/>
      <c r="IU77" s="123">
        <f t="shared" si="100"/>
        <v>0</v>
      </c>
      <c r="IV77" s="123">
        <f t="shared" si="101"/>
        <v>0</v>
      </c>
      <c r="IW77" s="123"/>
      <c r="IX77" s="297">
        <f t="shared" si="102"/>
        <v>0</v>
      </c>
      <c r="IY77" s="74"/>
      <c r="IZ77" s="416">
        <f t="shared" si="103"/>
        <v>0</v>
      </c>
      <c r="JB77" s="90">
        <f t="shared" si="104"/>
        <v>5</v>
      </c>
      <c r="JC77" s="124">
        <f>IF(JB77=1,Cal!$BP$127,0)</f>
        <v>0</v>
      </c>
      <c r="JD77" s="178">
        <f>IF(JB77=1,Adm!$HI$4,0)</f>
        <v>0</v>
      </c>
    </row>
    <row r="78" spans="1:264">
      <c r="A78" s="26">
        <f t="shared" ca="1" si="0"/>
        <v>9</v>
      </c>
      <c r="C78" s="33">
        <f t="shared" si="1"/>
        <v>0</v>
      </c>
      <c r="D78" s="123">
        <f t="shared" si="31"/>
        <v>0</v>
      </c>
      <c r="E78" s="123">
        <f t="shared" si="147"/>
        <v>0</v>
      </c>
      <c r="F78" s="123">
        <f t="shared" si="149"/>
        <v>0</v>
      </c>
      <c r="G78" s="123">
        <f>IF(L77&lt;0.01,0,IF(Adm!$S$4=Adm!$S$8,L77*$L$15,L77*Adm!$V$4))</f>
        <v>0</v>
      </c>
      <c r="H78" s="123">
        <f>IF(L77&lt;0.01,0,IF(Adm!$S$5=Adm!$S$8,Adm!$AA$11*$L$16/1.16,IF(Adm!$B$4=Adm!$A$119,0,Adm!$AA$11*Adm!$X$4/1.16)))</f>
        <v>0</v>
      </c>
      <c r="I78" s="123">
        <f>IF(L77&lt;0.01,0,Cal!$AB$126/1.16)</f>
        <v>0</v>
      </c>
      <c r="J78" s="123">
        <f t="shared" si="2"/>
        <v>0</v>
      </c>
      <c r="K78" s="123">
        <f>IF(Adm!$G$4="si",MIN(L77+D78+G78+H78+I78-J78,V78),0)</f>
        <v>0</v>
      </c>
      <c r="L78" s="123">
        <f t="shared" si="32"/>
        <v>0</v>
      </c>
      <c r="M78" s="74"/>
      <c r="N78" s="74"/>
      <c r="O78" s="407">
        <f t="shared" si="33"/>
        <v>0</v>
      </c>
      <c r="R78" s="90">
        <f t="shared" si="34"/>
        <v>6</v>
      </c>
      <c r="S78" s="121">
        <f>IF(R78=1,Cal!$AB$127,0)</f>
        <v>0</v>
      </c>
      <c r="U78" s="70">
        <f t="shared" si="105"/>
        <v>0</v>
      </c>
      <c r="V78" s="2178">
        <f t="shared" ca="1" si="35"/>
        <v>0</v>
      </c>
      <c r="X78" s="398"/>
      <c r="Z78" s="268">
        <f t="shared" si="3"/>
        <v>0</v>
      </c>
      <c r="AA78" s="2176">
        <f t="shared" si="36"/>
        <v>0</v>
      </c>
      <c r="AB78" s="33">
        <f t="shared" si="37"/>
        <v>0</v>
      </c>
      <c r="AC78" s="33">
        <f t="shared" si="38"/>
        <v>0</v>
      </c>
      <c r="AD78" s="33">
        <f>IF(AI77&lt;0.01,0,IF(Adm!$S$4=Adm!$S$8,AI77*$AI$15,AI77*Adm!$V$4))</f>
        <v>0</v>
      </c>
      <c r="AE78" s="33"/>
      <c r="AF78" s="33"/>
      <c r="AG78" s="33">
        <f t="shared" si="4"/>
        <v>0</v>
      </c>
      <c r="AH78" s="33"/>
      <c r="AI78" s="401">
        <f t="shared" si="5"/>
        <v>0</v>
      </c>
      <c r="AK78" s="410">
        <f t="shared" si="6"/>
        <v>0</v>
      </c>
      <c r="AN78" s="90">
        <f t="shared" si="39"/>
        <v>6</v>
      </c>
      <c r="AO78" s="121">
        <f>IF(AN78=1,Cal!$AC$127,0)</f>
        <v>0</v>
      </c>
      <c r="AS78" s="200"/>
      <c r="AU78" s="268">
        <f t="shared" si="7"/>
        <v>0</v>
      </c>
      <c r="AV78" s="2177">
        <f t="shared" si="40"/>
        <v>0</v>
      </c>
      <c r="AW78" s="123">
        <f t="shared" si="8"/>
        <v>0</v>
      </c>
      <c r="AX78" s="123">
        <f t="shared" si="41"/>
        <v>0</v>
      </c>
      <c r="AY78" s="123">
        <f>IF(BC77&lt;0.01,0,IF(Adm!$S$4=Adm!$S$8,BC77*$BC$16,BC77*Adm!$V$4))</f>
        <v>0</v>
      </c>
      <c r="AZ78" s="123"/>
      <c r="BA78" s="123">
        <f>IF(BC77&lt;0.01,0,Adm!$Q$6)</f>
        <v>0</v>
      </c>
      <c r="BB78" s="123">
        <f t="shared" si="42"/>
        <v>0</v>
      </c>
      <c r="BC78" s="297">
        <f t="shared" si="43"/>
        <v>0</v>
      </c>
      <c r="BE78" s="425">
        <f t="shared" si="9"/>
        <v>0</v>
      </c>
      <c r="BH78" s="90">
        <f t="shared" si="44"/>
        <v>6</v>
      </c>
      <c r="BI78" s="121">
        <f>IF(BH78=1,Cal!$AD$127,0)</f>
        <v>0</v>
      </c>
      <c r="BM78" s="221"/>
      <c r="BO78" s="295">
        <f t="shared" ca="1" si="10"/>
        <v>9</v>
      </c>
      <c r="BP78" s="268">
        <f t="shared" si="11"/>
        <v>0</v>
      </c>
      <c r="BQ78" s="123">
        <f t="shared" si="45"/>
        <v>0</v>
      </c>
      <c r="BR78" s="123">
        <f t="shared" si="148"/>
        <v>0</v>
      </c>
      <c r="BS78" s="123">
        <f t="shared" si="150"/>
        <v>0</v>
      </c>
      <c r="BT78" s="123">
        <f>IF(BZ77&lt;0.01,0,IF(Plus!$F$22=Plus!$AN$4,BZ77*$BZ$15,IF(Plus!$F$22=Plus!$AN$3,BZ77*Plus!$F$23/1000,BZ77*VLOOKUP(Plus!$G$21,Plus!$AP$2:'Plus'!$AQ$5,2,0))))</f>
        <v>0</v>
      </c>
      <c r="BU78" s="123">
        <f>IF(BZ77&lt;0.01,0,IF(Plus!$F$24=Plus!$AO$3,Plus!$G$13*Plus!$AR$2/1.16,IF(Plus!$F$10=Plus!$AK$7,0,Plus!$G$13*Plus!$AR$2/1.16)))</f>
        <v>0</v>
      </c>
      <c r="BV78" s="123">
        <f>IF(BZ77&lt;0.01,0,Plus!$BD$2)</f>
        <v>0</v>
      </c>
      <c r="BW78" s="123"/>
      <c r="BX78" s="123">
        <f t="shared" si="12"/>
        <v>0</v>
      </c>
      <c r="BY78" s="123">
        <f>IF(Plus!$F$10=Plus!$AK$3,MIN(BZ77+BQ78+BT78+BU78+BV78-BX78,CJ78),0)</f>
        <v>0</v>
      </c>
      <c r="BZ78" s="297">
        <f t="shared" si="144"/>
        <v>0</v>
      </c>
      <c r="CA78" s="74"/>
      <c r="CB78" s="74"/>
      <c r="CC78" s="413">
        <f t="shared" si="47"/>
        <v>0</v>
      </c>
      <c r="CF78" s="90">
        <f t="shared" si="48"/>
        <v>6</v>
      </c>
      <c r="CG78" s="121">
        <f t="shared" si="106"/>
        <v>0</v>
      </c>
      <c r="CI78" s="70">
        <f t="shared" si="107"/>
        <v>0</v>
      </c>
      <c r="CJ78" s="2178">
        <f t="shared" ca="1" si="49"/>
        <v>0</v>
      </c>
      <c r="CL78" s="161"/>
      <c r="CN78" s="308">
        <f t="shared" ca="1" si="13"/>
        <v>9</v>
      </c>
      <c r="CO78" s="309">
        <f t="shared" si="50"/>
        <v>0</v>
      </c>
      <c r="CP78" s="268">
        <f t="shared" si="14"/>
        <v>0</v>
      </c>
      <c r="CQ78" s="123">
        <f t="shared" si="51"/>
        <v>0</v>
      </c>
      <c r="CR78" s="123">
        <f t="shared" si="137"/>
        <v>0</v>
      </c>
      <c r="CS78" s="123">
        <f t="shared" si="138"/>
        <v>0</v>
      </c>
      <c r="CT78" s="33">
        <f>IF(CZ77&lt;0.01,0,IF(Plus!$F$22=Plus!$AN$4,0,IF(Plus!$F$22=Plus!$AN$3,CZ77*Plus!$F$23/1000,CZ77*VLOOKUP(Plus!$G$21,Plus!$AP$2:'Plus'!$AQ$5,2,0))))</f>
        <v>0</v>
      </c>
      <c r="CU78" s="123">
        <f>IF(CZ77&lt;0.01,0,IF(Plus!$F$24=Plus!$AO$3,0,IF(OR(Plus!$F$10=Plus!$AK$7,Plus!$F$10=Plus!$AK$13),0,Plus!$G$13*Plus!$AR$2)))</f>
        <v>0</v>
      </c>
      <c r="CV78" s="123">
        <f>IF(CZ77&lt;0.01,0,IF(OR(Plus!$F$10=Plus!$AK$7,Plus!$F$10=Plus!$AK$13),0,Plus!$BD$2*1.16))</f>
        <v>0</v>
      </c>
      <c r="CW78" s="123">
        <f>IF(CZ77&lt;0.01,0,IF(Plus!$AS$2&gt;0,CQ78*Plus!$AS$3,0))</f>
        <v>0</v>
      </c>
      <c r="CX78" s="123">
        <f t="shared" si="52"/>
        <v>0</v>
      </c>
      <c r="CY78" s="123">
        <f>IF(Plus!$F$10=Plus!$AK$3,MIN(CZ77+CQ78+CT78+CU78+CV78-CX78,DK78),0)</f>
        <v>0</v>
      </c>
      <c r="CZ78" s="297">
        <f t="shared" si="146"/>
        <v>0</v>
      </c>
      <c r="DA78" s="306">
        <f>Plus!O119</f>
        <v>0</v>
      </c>
      <c r="DB78" s="74"/>
      <c r="DC78" s="74"/>
      <c r="DD78" s="407">
        <f t="shared" si="54"/>
        <v>0</v>
      </c>
      <c r="DG78" s="90">
        <f t="shared" si="55"/>
        <v>6</v>
      </c>
      <c r="DH78" s="121">
        <f t="shared" si="108"/>
        <v>0</v>
      </c>
      <c r="DJ78" s="149">
        <f t="shared" si="109"/>
        <v>0</v>
      </c>
      <c r="DK78" s="2179">
        <f t="shared" ca="1" si="56"/>
        <v>0</v>
      </c>
      <c r="DN78" s="120">
        <f t="shared" si="110"/>
        <v>0</v>
      </c>
      <c r="DO78" s="110">
        <f t="shared" si="57"/>
        <v>0</v>
      </c>
      <c r="DP78" s="110">
        <f t="shared" si="124"/>
        <v>0</v>
      </c>
      <c r="DQ78" s="109">
        <f t="shared" si="58"/>
        <v>0</v>
      </c>
      <c r="DR78" s="109">
        <f t="shared" si="59"/>
        <v>0</v>
      </c>
      <c r="DS78" s="113">
        <f t="shared" si="60"/>
        <v>0</v>
      </c>
      <c r="DU78" s="102">
        <f t="shared" si="61"/>
        <v>0</v>
      </c>
      <c r="DV78" s="211">
        <f t="shared" si="125"/>
        <v>54</v>
      </c>
      <c r="DW78" s="212">
        <f t="shared" si="62"/>
        <v>0</v>
      </c>
      <c r="DX78" s="212">
        <f t="shared" si="15"/>
        <v>0</v>
      </c>
      <c r="DY78" s="212">
        <f t="shared" si="111"/>
        <v>0</v>
      </c>
      <c r="DZ78" s="213">
        <f t="shared" si="16"/>
        <v>1000000</v>
      </c>
      <c r="ED78" s="182"/>
      <c r="EF78" s="308">
        <f t="shared" ca="1" si="17"/>
        <v>9</v>
      </c>
      <c r="EG78" s="309">
        <f t="shared" si="63"/>
        <v>0</v>
      </c>
      <c r="EH78" s="268">
        <f t="shared" si="18"/>
        <v>0</v>
      </c>
      <c r="EI78" s="33">
        <f t="shared" si="64"/>
        <v>0</v>
      </c>
      <c r="EJ78" s="33">
        <f t="shared" si="139"/>
        <v>0</v>
      </c>
      <c r="EK78" s="33">
        <f t="shared" si="151"/>
        <v>0</v>
      </c>
      <c r="EL78" s="33">
        <f>IF(ER77&lt;0.01,0,IF(Plus!$F$22=Plus!$AN$4,0,IF(Plus!$F$22=Plus!$AN$3,ER77*Plus!$F$23/1000,ER77*VLOOKUP(Plus!$G$21,Plus!$AP$2:'Plus'!$AQ$5,2,0))))</f>
        <v>0</v>
      </c>
      <c r="EM78" s="33">
        <f>IF(ER77&lt;0.01,0,IF(Plus!$F$24=Plus!$AO$3,0,IF(OR(Plus!$F$10=Plus!$AK$7,Plus!$F$10=Plus!$AK$13),0,Plus!$G$13*Plus!$AR$2)))</f>
        <v>0</v>
      </c>
      <c r="EN78" s="33">
        <f>IF(ER77&lt;0.01,0,IF(OR(Plus!$F$10=Plus!$AK$7,Plus!$F$10=Plus!$AK$13),0,Plus!$BD$2*1.16))</f>
        <v>0</v>
      </c>
      <c r="EO78" s="33">
        <f>IF(ER77&lt;0.01,0,IF(Plus!$AS$2&gt;0,EI78*Plus!$AS$3,0))</f>
        <v>0</v>
      </c>
      <c r="EP78" s="33">
        <f t="shared" si="65"/>
        <v>0</v>
      </c>
      <c r="EQ78" s="33">
        <f>IF(Plus!$F$10=Plus!$AK$3,MIN(ER77+EI78+EL78+EM78+EN78-EP78,FC78),0)</f>
        <v>0</v>
      </c>
      <c r="ER78" s="311">
        <f t="shared" si="145"/>
        <v>0</v>
      </c>
      <c r="ES78" s="340">
        <f>Plus!O119</f>
        <v>0</v>
      </c>
      <c r="ET78" s="74"/>
      <c r="EU78" s="74"/>
      <c r="EV78" s="416">
        <f t="shared" si="134"/>
        <v>0</v>
      </c>
      <c r="EY78" s="90">
        <f t="shared" si="68"/>
        <v>6</v>
      </c>
      <c r="EZ78" s="121">
        <f t="shared" si="112"/>
        <v>0</v>
      </c>
      <c r="FB78" s="149">
        <f t="shared" si="113"/>
        <v>0</v>
      </c>
      <c r="FC78" s="2179">
        <f t="shared" ca="1" si="69"/>
        <v>0</v>
      </c>
      <c r="FE78" s="120">
        <f t="shared" si="114"/>
        <v>0</v>
      </c>
      <c r="FF78" s="110">
        <f t="shared" si="70"/>
        <v>0</v>
      </c>
      <c r="FG78" s="110">
        <f t="shared" si="71"/>
        <v>0</v>
      </c>
      <c r="FH78" s="109">
        <f t="shared" si="72"/>
        <v>0</v>
      </c>
      <c r="FI78" s="109">
        <f t="shared" si="19"/>
        <v>0</v>
      </c>
      <c r="FJ78" s="113">
        <f t="shared" si="73"/>
        <v>0</v>
      </c>
      <c r="FL78" s="102">
        <f t="shared" si="74"/>
        <v>0</v>
      </c>
      <c r="FM78" s="211">
        <f t="shared" si="127"/>
        <v>54</v>
      </c>
      <c r="FN78" s="212">
        <f t="shared" si="75"/>
        <v>0</v>
      </c>
      <c r="FO78" s="212">
        <f t="shared" si="20"/>
        <v>0</v>
      </c>
      <c r="FP78" s="212">
        <f t="shared" si="158"/>
        <v>0</v>
      </c>
      <c r="FQ78" s="213">
        <f t="shared" si="21"/>
        <v>1000000</v>
      </c>
      <c r="FV78" s="359"/>
      <c r="FX78" s="308">
        <f t="shared" ca="1" si="22"/>
        <v>9</v>
      </c>
      <c r="FY78" s="309">
        <f t="shared" si="76"/>
        <v>0</v>
      </c>
      <c r="FZ78" s="268">
        <f t="shared" si="23"/>
        <v>0</v>
      </c>
      <c r="GA78" s="33">
        <f t="shared" si="77"/>
        <v>0</v>
      </c>
      <c r="GB78" s="33">
        <f t="shared" si="141"/>
        <v>0</v>
      </c>
      <c r="GC78" s="33">
        <f t="shared" si="142"/>
        <v>0</v>
      </c>
      <c r="GD78" s="33">
        <f>IF(GJ77&lt;0.01,0,IF(Plus!$F$22=Plus!$AN$4,0,IF(Plus!$F$22=Plus!$AN$3,GJ77*Plus!$F$23/1000,GJ77*VLOOKUP(Plus!$G$21,Plus!$AP$2:$AQ$5,2,0))))</f>
        <v>0</v>
      </c>
      <c r="GE78" s="33">
        <f>IF(GJ77&lt;0.01,0,IF(Plus!$F$24=Plus!$AO$3,0,IF(OR(Plus!$F$10=Plus!$AK$7,Plus!$F$10=Plus!$AK$13,Plus!$F$10=Plus!$AK$14),0,IF(OR(Plus!$F$10=Plus!$AK$10,Plus!$F$10=Plus!$AK$11),Plus!$G$13*Adm!$W$7,Plus!$G$13*Adm!$X$4))))</f>
        <v>0</v>
      </c>
      <c r="GF78" s="33">
        <f>IF(GJ77&lt;0.01,0,IF(OR(Plus!$F$10=Plus!$AK$7,Plus!$F$10=Plus!$AK$13),0,Plus!$BD$2*1.16))</f>
        <v>0</v>
      </c>
      <c r="GG78" s="33">
        <f>IF(GJ77&lt;0.01,0,IF(Plus!$AS$2&gt;0,GA78*Plus!$AS$3,0))</f>
        <v>0</v>
      </c>
      <c r="GH78" s="33">
        <f t="shared" si="78"/>
        <v>0</v>
      </c>
      <c r="GI78" s="33">
        <f>IF(Plus!$F$10=Plus!$AK$3,MIN(GJ77+GA78+GD78+GE78+GF78-GH78,GU78),0)</f>
        <v>0</v>
      </c>
      <c r="GJ78" s="311">
        <f t="shared" si="136"/>
        <v>0</v>
      </c>
      <c r="GK78" s="340">
        <f>Plus!O119</f>
        <v>0</v>
      </c>
      <c r="GL78" s="74"/>
      <c r="GM78" s="74"/>
      <c r="GN78" s="419">
        <f t="shared" si="135"/>
        <v>0</v>
      </c>
      <c r="GQ78" s="90">
        <f t="shared" si="80"/>
        <v>6</v>
      </c>
      <c r="GR78" s="121">
        <f t="shared" si="116"/>
        <v>0</v>
      </c>
      <c r="GT78" s="149">
        <f t="shared" si="117"/>
        <v>0</v>
      </c>
      <c r="GU78" s="2179">
        <f t="shared" ca="1" si="81"/>
        <v>0</v>
      </c>
      <c r="GW78" s="120">
        <f t="shared" si="118"/>
        <v>0</v>
      </c>
      <c r="GX78" s="110">
        <f t="shared" si="82"/>
        <v>0</v>
      </c>
      <c r="GY78" s="110">
        <f t="shared" si="83"/>
        <v>0</v>
      </c>
      <c r="GZ78" s="109">
        <f t="shared" si="84"/>
        <v>0</v>
      </c>
      <c r="HA78" s="109">
        <f t="shared" si="24"/>
        <v>0</v>
      </c>
      <c r="HB78" s="113">
        <f t="shared" si="85"/>
        <v>0</v>
      </c>
      <c r="HD78" s="102">
        <f t="shared" si="86"/>
        <v>0</v>
      </c>
      <c r="HE78" s="211">
        <f t="shared" si="129"/>
        <v>54</v>
      </c>
      <c r="HF78" s="212">
        <f t="shared" si="87"/>
        <v>0</v>
      </c>
      <c r="HG78" s="212">
        <f t="shared" si="25"/>
        <v>0</v>
      </c>
      <c r="HH78" s="212">
        <f t="shared" si="159"/>
        <v>0</v>
      </c>
      <c r="HI78" s="213">
        <f t="shared" si="26"/>
        <v>1000000</v>
      </c>
      <c r="HL78" s="182"/>
      <c r="HM78" s="26">
        <f t="shared" ca="1" si="27"/>
        <v>9</v>
      </c>
      <c r="HO78" s="268">
        <f t="shared" si="28"/>
        <v>0</v>
      </c>
      <c r="HP78" s="151">
        <f t="shared" si="157"/>
        <v>0</v>
      </c>
      <c r="HQ78" s="123">
        <f t="shared" si="88"/>
        <v>0</v>
      </c>
      <c r="HR78" s="123">
        <f t="shared" si="89"/>
        <v>0</v>
      </c>
      <c r="HS78" s="123">
        <f t="shared" si="90"/>
        <v>0</v>
      </c>
      <c r="HT78" s="123">
        <f>IF(HY77&lt;0.01,0,IF(Adm!$GS$4=Adm!$GS$8,HY77*$HY$15,IF(Adm!$GS$12=Adm!$GS$13,0,HY77*Adm!$GV$4)))</f>
        <v>0</v>
      </c>
      <c r="HU78" s="123">
        <f>IF(HY77&lt;0.01,0,IF(Adm!$GS$5=Adm!$GS$8,Cal!$BO$108*$HY$16/1.16,IF(Adm!$GS$12=Adm!$GS$13,0,Cal!$BO$108*Adm!$GW$4/1.16)))</f>
        <v>0</v>
      </c>
      <c r="HV78" s="123">
        <f t="shared" si="91"/>
        <v>0</v>
      </c>
      <c r="HW78" s="123">
        <f t="shared" si="92"/>
        <v>0</v>
      </c>
      <c r="HX78" s="123">
        <f>IF(Adm!$GH$6="si",MIN(HY77+HQ78+HT78+HU78+HV78-HW78,IH78),0)</f>
        <v>0</v>
      </c>
      <c r="HY78" s="297">
        <f t="shared" si="93"/>
        <v>0</v>
      </c>
      <c r="HZ78" s="74"/>
      <c r="IA78" s="407">
        <f t="shared" si="94"/>
        <v>0</v>
      </c>
      <c r="IC78" s="90">
        <f t="shared" si="95"/>
        <v>6</v>
      </c>
      <c r="ID78" s="124">
        <f>IF(IC78=1,Cal!$BO$127,0)</f>
        <v>0</v>
      </c>
      <c r="IE78" s="178">
        <f>IF(IC78=1,Adm!$HI$4,0)</f>
        <v>0</v>
      </c>
      <c r="IG78" s="70">
        <f t="shared" si="121"/>
        <v>0</v>
      </c>
      <c r="IH78" s="2178">
        <f t="shared" ca="1" si="96"/>
        <v>0</v>
      </c>
      <c r="IK78" s="217"/>
      <c r="IL78" s="26">
        <f t="shared" ca="1" si="29"/>
        <v>9</v>
      </c>
      <c r="IN78" s="268">
        <f t="shared" si="30"/>
        <v>0</v>
      </c>
      <c r="IO78" s="151">
        <f t="shared" si="154"/>
        <v>0</v>
      </c>
      <c r="IP78" s="123">
        <f t="shared" si="97"/>
        <v>0</v>
      </c>
      <c r="IQ78" s="123">
        <f t="shared" si="98"/>
        <v>0</v>
      </c>
      <c r="IR78" s="123">
        <f t="shared" si="99"/>
        <v>0</v>
      </c>
      <c r="IS78" s="123">
        <f>IF(IX77&lt;0.01,0,IF(Adm!$GS$4=Adm!$GS$8,IX77*$IX$15,IF(Adm!$GS$12=Adm!$GS$13,0,IX77*Adm!$GV$4)))</f>
        <v>0</v>
      </c>
      <c r="IT78" s="123"/>
      <c r="IU78" s="123">
        <f t="shared" si="100"/>
        <v>0</v>
      </c>
      <c r="IV78" s="123">
        <f t="shared" si="101"/>
        <v>0</v>
      </c>
      <c r="IW78" s="123"/>
      <c r="IX78" s="297">
        <f t="shared" si="102"/>
        <v>0</v>
      </c>
      <c r="IY78" s="74"/>
      <c r="IZ78" s="416">
        <f t="shared" si="103"/>
        <v>0</v>
      </c>
      <c r="JB78" s="90">
        <f t="shared" si="104"/>
        <v>6</v>
      </c>
      <c r="JC78" s="124">
        <f>IF(JB78=1,Cal!$BP$127,0)</f>
        <v>0</v>
      </c>
      <c r="JD78" s="178">
        <f>IF(JB78=1,Adm!$HI$4,0)</f>
        <v>0</v>
      </c>
    </row>
    <row r="79" spans="1:264">
      <c r="A79" s="26">
        <f t="shared" ca="1" si="0"/>
        <v>10</v>
      </c>
      <c r="C79" s="33">
        <f t="shared" si="1"/>
        <v>0</v>
      </c>
      <c r="D79" s="123">
        <f t="shared" si="31"/>
        <v>0</v>
      </c>
      <c r="E79" s="123">
        <f t="shared" si="147"/>
        <v>0</v>
      </c>
      <c r="F79" s="123">
        <f t="shared" si="149"/>
        <v>0</v>
      </c>
      <c r="G79" s="123">
        <f>IF(L78&lt;0.01,0,IF(Adm!$S$4=Adm!$S$8,L78*$L$15,L78*Adm!$V$4))</f>
        <v>0</v>
      </c>
      <c r="H79" s="123">
        <f>IF(L78&lt;0.01,0,IF(Adm!$S$5=Adm!$S$8,Adm!$AA$11*$L$16/1.16,IF(Adm!$B$4=Adm!$A$119,0,Adm!$AA$11*Adm!$X$4/1.16)))</f>
        <v>0</v>
      </c>
      <c r="I79" s="123">
        <f>IF(L78&lt;0.01,0,Cal!$AB$126/1.16)</f>
        <v>0</v>
      </c>
      <c r="J79" s="123">
        <f t="shared" si="2"/>
        <v>0</v>
      </c>
      <c r="K79" s="123">
        <f>IF(Adm!$G$4="si",MIN(L78+D79+G79+H79+I79-J79,V79),0)</f>
        <v>0</v>
      </c>
      <c r="L79" s="123">
        <f t="shared" si="32"/>
        <v>0</v>
      </c>
      <c r="M79" s="74"/>
      <c r="N79" s="74"/>
      <c r="O79" s="407">
        <f t="shared" si="33"/>
        <v>0</v>
      </c>
      <c r="R79" s="90">
        <f t="shared" si="34"/>
        <v>7</v>
      </c>
      <c r="S79" s="121">
        <f>IF(R79=1,Cal!$AB$127,0)</f>
        <v>0</v>
      </c>
      <c r="U79" s="70">
        <f t="shared" si="105"/>
        <v>0</v>
      </c>
      <c r="V79" s="2178">
        <f t="shared" ca="1" si="35"/>
        <v>0</v>
      </c>
      <c r="X79" s="398"/>
      <c r="Z79" s="268">
        <f t="shared" si="3"/>
        <v>0</v>
      </c>
      <c r="AA79" s="2176">
        <f t="shared" si="36"/>
        <v>0</v>
      </c>
      <c r="AB79" s="33">
        <f t="shared" si="37"/>
        <v>0</v>
      </c>
      <c r="AC79" s="33">
        <f t="shared" si="38"/>
        <v>0</v>
      </c>
      <c r="AD79" s="33">
        <f>IF(AI78&lt;0.01,0,IF(Adm!$S$4=Adm!$S$8,AI78*$AI$15,AI78*Adm!$V$4))</f>
        <v>0</v>
      </c>
      <c r="AE79" s="33"/>
      <c r="AF79" s="33"/>
      <c r="AG79" s="33">
        <f t="shared" si="4"/>
        <v>0</v>
      </c>
      <c r="AH79" s="33"/>
      <c r="AI79" s="401">
        <f t="shared" si="5"/>
        <v>0</v>
      </c>
      <c r="AK79" s="410">
        <f t="shared" si="6"/>
        <v>0</v>
      </c>
      <c r="AN79" s="90">
        <f t="shared" si="39"/>
        <v>7</v>
      </c>
      <c r="AO79" s="121">
        <f>IF(AN79=1,Cal!$AC$127,0)</f>
        <v>0</v>
      </c>
      <c r="AS79" s="200"/>
      <c r="AU79" s="268">
        <f t="shared" si="7"/>
        <v>0</v>
      </c>
      <c r="AV79" s="2177">
        <f t="shared" si="40"/>
        <v>0</v>
      </c>
      <c r="AW79" s="123">
        <f t="shared" si="8"/>
        <v>0</v>
      </c>
      <c r="AX79" s="123">
        <f t="shared" si="41"/>
        <v>0</v>
      </c>
      <c r="AY79" s="123">
        <f>IF(BC78&lt;0.01,0,IF(Adm!$S$4=Adm!$S$8,BC78*$BC$16,BC78*Adm!$V$4))</f>
        <v>0</v>
      </c>
      <c r="AZ79" s="123"/>
      <c r="BA79" s="123">
        <f>IF(BC78&lt;0.01,0,Adm!$Q$6)</f>
        <v>0</v>
      </c>
      <c r="BB79" s="123">
        <f t="shared" si="42"/>
        <v>0</v>
      </c>
      <c r="BC79" s="297">
        <f t="shared" si="43"/>
        <v>0</v>
      </c>
      <c r="BE79" s="425">
        <f t="shared" si="9"/>
        <v>0</v>
      </c>
      <c r="BH79" s="90">
        <f t="shared" si="44"/>
        <v>7</v>
      </c>
      <c r="BI79" s="121">
        <f>IF(BH79=1,Cal!$AD$127,0)</f>
        <v>0</v>
      </c>
      <c r="BM79" s="221"/>
      <c r="BO79" s="295">
        <f t="shared" ca="1" si="10"/>
        <v>10</v>
      </c>
      <c r="BP79" s="268">
        <f t="shared" si="11"/>
        <v>0</v>
      </c>
      <c r="BQ79" s="123">
        <f t="shared" si="45"/>
        <v>0</v>
      </c>
      <c r="BR79" s="123">
        <f t="shared" si="148"/>
        <v>0</v>
      </c>
      <c r="BS79" s="123">
        <f t="shared" si="150"/>
        <v>0</v>
      </c>
      <c r="BT79" s="123">
        <f>IF(BZ78&lt;0.01,0,IF(Plus!$F$22=Plus!$AN$4,BZ78*$BZ$15,IF(Plus!$F$22=Plus!$AN$3,BZ78*Plus!$F$23/1000,BZ78*VLOOKUP(Plus!$G$21,Plus!$AP$2:'Plus'!$AQ$5,2,0))))</f>
        <v>0</v>
      </c>
      <c r="BU79" s="123">
        <f>IF(BZ78&lt;0.01,0,IF(Plus!$F$24=Plus!$AO$3,Plus!$G$13*Plus!$AR$2/1.16,IF(Plus!$F$10=Plus!$AK$7,0,Plus!$G$13*Plus!$AR$2/1.16)))</f>
        <v>0</v>
      </c>
      <c r="BV79" s="123">
        <f>IF(BZ78&lt;0.01,0,Plus!$BD$2)</f>
        <v>0</v>
      </c>
      <c r="BW79" s="123"/>
      <c r="BX79" s="123">
        <f t="shared" si="12"/>
        <v>0</v>
      </c>
      <c r="BY79" s="123">
        <f>IF(Plus!$F$10=Plus!$AK$3,MIN(BZ78+BQ79+BT79+BU79+BV79-BX79,CJ79),0)</f>
        <v>0</v>
      </c>
      <c r="BZ79" s="297">
        <f t="shared" si="144"/>
        <v>0</v>
      </c>
      <c r="CA79" s="74"/>
      <c r="CB79" s="74"/>
      <c r="CC79" s="413">
        <f t="shared" si="47"/>
        <v>0</v>
      </c>
      <c r="CF79" s="90">
        <f t="shared" si="48"/>
        <v>7</v>
      </c>
      <c r="CG79" s="121">
        <f t="shared" si="106"/>
        <v>0</v>
      </c>
      <c r="CI79" s="70">
        <f t="shared" si="107"/>
        <v>0</v>
      </c>
      <c r="CJ79" s="2178">
        <f t="shared" ca="1" si="49"/>
        <v>0</v>
      </c>
      <c r="CL79" s="161"/>
      <c r="CN79" s="308">
        <f t="shared" ca="1" si="13"/>
        <v>10</v>
      </c>
      <c r="CO79" s="309">
        <f t="shared" si="50"/>
        <v>0</v>
      </c>
      <c r="CP79" s="268">
        <f t="shared" si="14"/>
        <v>0</v>
      </c>
      <c r="CQ79" s="123">
        <f t="shared" si="51"/>
        <v>0</v>
      </c>
      <c r="CR79" s="123">
        <f t="shared" si="137"/>
        <v>0</v>
      </c>
      <c r="CS79" s="123">
        <f t="shared" si="138"/>
        <v>0</v>
      </c>
      <c r="CT79" s="33">
        <f>IF(CZ78&lt;0.01,0,IF(Plus!$F$22=Plus!$AN$4,0,IF(Plus!$F$22=Plus!$AN$3,CZ78*Plus!$F$23/1000,CZ78*VLOOKUP(Plus!$G$21,Plus!$AP$2:'Plus'!$AQ$5,2,0))))</f>
        <v>0</v>
      </c>
      <c r="CU79" s="123">
        <f>IF(CZ78&lt;0.01,0,IF(Plus!$F$24=Plus!$AO$3,0,IF(OR(Plus!$F$10=Plus!$AK$7,Plus!$F$10=Plus!$AK$13),0,Plus!$G$13*Plus!$AR$2)))</f>
        <v>0</v>
      </c>
      <c r="CV79" s="123">
        <f>IF(CZ78&lt;0.01,0,IF(OR(Plus!$F$10=Plus!$AK$7,Plus!$F$10=Plus!$AK$13),0,Plus!$BD$2*1.16))</f>
        <v>0</v>
      </c>
      <c r="CW79" s="123">
        <f>IF(CZ78&lt;0.01,0,IF(Plus!$AS$2&gt;0,CQ79*Plus!$AS$3,0))</f>
        <v>0</v>
      </c>
      <c r="CX79" s="123">
        <f t="shared" si="52"/>
        <v>0</v>
      </c>
      <c r="CY79" s="123">
        <f>IF(Plus!$F$10=Plus!$AK$3,MIN(CZ78+CQ79+CT79+CU79+CV79-CX79,DK79),0)</f>
        <v>0</v>
      </c>
      <c r="CZ79" s="297">
        <f t="shared" si="146"/>
        <v>0</v>
      </c>
      <c r="DA79" s="306">
        <f>Plus!O120</f>
        <v>0</v>
      </c>
      <c r="DB79" s="74"/>
      <c r="DC79" s="74"/>
      <c r="DD79" s="407">
        <f t="shared" si="54"/>
        <v>0</v>
      </c>
      <c r="DG79" s="90">
        <f t="shared" si="55"/>
        <v>7</v>
      </c>
      <c r="DH79" s="121">
        <f t="shared" si="108"/>
        <v>0</v>
      </c>
      <c r="DJ79" s="149">
        <f t="shared" si="109"/>
        <v>0</v>
      </c>
      <c r="DK79" s="2179">
        <f t="shared" ca="1" si="56"/>
        <v>0</v>
      </c>
      <c r="DN79" s="120">
        <f t="shared" si="110"/>
        <v>0</v>
      </c>
      <c r="DO79" s="110">
        <f t="shared" si="57"/>
        <v>0</v>
      </c>
      <c r="DP79" s="110">
        <f t="shared" si="124"/>
        <v>0</v>
      </c>
      <c r="DQ79" s="109">
        <f t="shared" si="58"/>
        <v>0</v>
      </c>
      <c r="DR79" s="109">
        <f t="shared" si="59"/>
        <v>0</v>
      </c>
      <c r="DS79" s="113">
        <f t="shared" si="60"/>
        <v>0</v>
      </c>
      <c r="DU79" s="102">
        <f t="shared" si="61"/>
        <v>0</v>
      </c>
      <c r="DV79" s="211">
        <f t="shared" si="125"/>
        <v>55</v>
      </c>
      <c r="DW79" s="212">
        <f t="shared" si="62"/>
        <v>0</v>
      </c>
      <c r="DX79" s="212">
        <f t="shared" si="15"/>
        <v>0</v>
      </c>
      <c r="DY79" s="212">
        <f t="shared" si="111"/>
        <v>0</v>
      </c>
      <c r="DZ79" s="213">
        <f t="shared" si="16"/>
        <v>1000000</v>
      </c>
      <c r="ED79" s="182"/>
      <c r="EF79" s="308">
        <f t="shared" ca="1" si="17"/>
        <v>10</v>
      </c>
      <c r="EG79" s="309">
        <f t="shared" si="63"/>
        <v>0</v>
      </c>
      <c r="EH79" s="268">
        <f t="shared" si="18"/>
        <v>0</v>
      </c>
      <c r="EI79" s="33">
        <f t="shared" si="64"/>
        <v>0</v>
      </c>
      <c r="EJ79" s="33">
        <f t="shared" si="139"/>
        <v>0</v>
      </c>
      <c r="EK79" s="33">
        <f t="shared" si="151"/>
        <v>0</v>
      </c>
      <c r="EL79" s="33">
        <f>IF(ER78&lt;0.01,0,IF(Plus!$F$22=Plus!$AN$4,0,IF(Plus!$F$22=Plus!$AN$3,ER78*Plus!$F$23/1000,ER78*VLOOKUP(Plus!$G$21,Plus!$AP$2:'Plus'!$AQ$5,2,0))))</f>
        <v>0</v>
      </c>
      <c r="EM79" s="33">
        <f>IF(ER78&lt;0.01,0,IF(Plus!$F$24=Plus!$AO$3,0,IF(OR(Plus!$F$10=Plus!$AK$7,Plus!$F$10=Plus!$AK$13),0,Plus!$G$13*Plus!$AR$2)))</f>
        <v>0</v>
      </c>
      <c r="EN79" s="33">
        <f>IF(ER78&lt;0.01,0,IF(OR(Plus!$F$10=Plus!$AK$7,Plus!$F$10=Plus!$AK$13),0,Plus!$BD$2*1.16))</f>
        <v>0</v>
      </c>
      <c r="EO79" s="33">
        <f>IF(ER78&lt;0.01,0,IF(Plus!$AS$2&gt;0,EI79*Plus!$AS$3,0))</f>
        <v>0</v>
      </c>
      <c r="EP79" s="33">
        <f t="shared" si="65"/>
        <v>0</v>
      </c>
      <c r="EQ79" s="33">
        <f>IF(Plus!$F$10=Plus!$AK$3,MIN(ER78+EI79+EL79+EM79+EN79-EP79,FC79),0)</f>
        <v>0</v>
      </c>
      <c r="ER79" s="311">
        <f t="shared" si="145"/>
        <v>0</v>
      </c>
      <c r="ES79" s="340">
        <f>Plus!O120</f>
        <v>0</v>
      </c>
      <c r="ET79" s="74"/>
      <c r="EU79" s="74"/>
      <c r="EV79" s="416">
        <f t="shared" si="134"/>
        <v>0</v>
      </c>
      <c r="EY79" s="90">
        <f t="shared" si="68"/>
        <v>7</v>
      </c>
      <c r="EZ79" s="121">
        <f t="shared" si="112"/>
        <v>0</v>
      </c>
      <c r="FB79" s="149">
        <f t="shared" si="113"/>
        <v>0</v>
      </c>
      <c r="FC79" s="2179">
        <f t="shared" ca="1" si="69"/>
        <v>0</v>
      </c>
      <c r="FE79" s="120">
        <f t="shared" si="114"/>
        <v>0</v>
      </c>
      <c r="FF79" s="110">
        <f t="shared" si="70"/>
        <v>0</v>
      </c>
      <c r="FG79" s="110">
        <f t="shared" si="71"/>
        <v>0</v>
      </c>
      <c r="FH79" s="109">
        <f t="shared" si="72"/>
        <v>0</v>
      </c>
      <c r="FI79" s="109">
        <f t="shared" si="19"/>
        <v>0</v>
      </c>
      <c r="FJ79" s="113">
        <f t="shared" si="73"/>
        <v>0</v>
      </c>
      <c r="FL79" s="102">
        <f t="shared" si="74"/>
        <v>0</v>
      </c>
      <c r="FM79" s="211">
        <f t="shared" si="127"/>
        <v>55</v>
      </c>
      <c r="FN79" s="212">
        <f t="shared" si="75"/>
        <v>0</v>
      </c>
      <c r="FO79" s="212">
        <f t="shared" si="20"/>
        <v>0</v>
      </c>
      <c r="FP79" s="212">
        <f t="shared" si="158"/>
        <v>0</v>
      </c>
      <c r="FQ79" s="213">
        <f t="shared" si="21"/>
        <v>1000000</v>
      </c>
      <c r="FV79" s="359"/>
      <c r="FX79" s="308">
        <f t="shared" ca="1" si="22"/>
        <v>10</v>
      </c>
      <c r="FY79" s="309">
        <f t="shared" si="76"/>
        <v>0</v>
      </c>
      <c r="FZ79" s="268">
        <f t="shared" si="23"/>
        <v>0</v>
      </c>
      <c r="GA79" s="33">
        <f t="shared" si="77"/>
        <v>0</v>
      </c>
      <c r="GB79" s="33">
        <f t="shared" si="141"/>
        <v>0</v>
      </c>
      <c r="GC79" s="33">
        <f t="shared" si="142"/>
        <v>0</v>
      </c>
      <c r="GD79" s="33">
        <f>IF(GJ78&lt;0.01,0,IF(Plus!$F$22=Plus!$AN$4,0,IF(Plus!$F$22=Plus!$AN$3,GJ78*Plus!$F$23/1000,GJ78*VLOOKUP(Plus!$G$21,Plus!$AP$2:$AQ$5,2,0))))</f>
        <v>0</v>
      </c>
      <c r="GE79" s="33">
        <f>IF(GJ78&lt;0.01,0,IF(Plus!$F$24=Plus!$AO$3,0,IF(OR(Plus!$F$10=Plus!$AK$7,Plus!$F$10=Plus!$AK$13,Plus!$F$10=Plus!$AK$14),0,IF(OR(Plus!$F$10=Plus!$AK$10,Plus!$F$10=Plus!$AK$11),Plus!$G$13*Adm!$W$7,Plus!$G$13*Adm!$X$4))))</f>
        <v>0</v>
      </c>
      <c r="GF79" s="33">
        <f>IF(GJ78&lt;0.01,0,IF(OR(Plus!$F$10=Plus!$AK$7,Plus!$F$10=Plus!$AK$13),0,Plus!$BD$2*1.16))</f>
        <v>0</v>
      </c>
      <c r="GG79" s="33">
        <f>IF(GJ78&lt;0.01,0,IF(Plus!$AS$2&gt;0,GA79*Plus!$AS$3,0))</f>
        <v>0</v>
      </c>
      <c r="GH79" s="33">
        <f t="shared" si="78"/>
        <v>0</v>
      </c>
      <c r="GI79" s="33">
        <f>IF(Plus!$F$10=Plus!$AK$3,MIN(GJ78+GA79+GD79+GE79+GF79-GH79,GU79),0)</f>
        <v>0</v>
      </c>
      <c r="GJ79" s="311">
        <f t="shared" si="136"/>
        <v>0</v>
      </c>
      <c r="GK79" s="340">
        <f>Plus!O120</f>
        <v>0</v>
      </c>
      <c r="GL79" s="74"/>
      <c r="GM79" s="74"/>
      <c r="GN79" s="419">
        <f t="shared" si="135"/>
        <v>0</v>
      </c>
      <c r="GQ79" s="90">
        <f t="shared" si="80"/>
        <v>7</v>
      </c>
      <c r="GR79" s="121">
        <f t="shared" si="116"/>
        <v>0</v>
      </c>
      <c r="GT79" s="149">
        <f t="shared" si="117"/>
        <v>0</v>
      </c>
      <c r="GU79" s="2179">
        <f t="shared" ca="1" si="81"/>
        <v>0</v>
      </c>
      <c r="GW79" s="120">
        <f t="shared" si="118"/>
        <v>0</v>
      </c>
      <c r="GX79" s="110">
        <f t="shared" si="82"/>
        <v>0</v>
      </c>
      <c r="GY79" s="110">
        <f t="shared" si="83"/>
        <v>0</v>
      </c>
      <c r="GZ79" s="109">
        <f t="shared" si="84"/>
        <v>0</v>
      </c>
      <c r="HA79" s="109">
        <f t="shared" si="24"/>
        <v>0</v>
      </c>
      <c r="HB79" s="113">
        <f t="shared" si="85"/>
        <v>0</v>
      </c>
      <c r="HD79" s="102">
        <f t="shared" si="86"/>
        <v>0</v>
      </c>
      <c r="HE79" s="211">
        <f t="shared" si="129"/>
        <v>55</v>
      </c>
      <c r="HF79" s="212">
        <f t="shared" si="87"/>
        <v>0</v>
      </c>
      <c r="HG79" s="212">
        <f t="shared" si="25"/>
        <v>0</v>
      </c>
      <c r="HH79" s="212">
        <f t="shared" si="159"/>
        <v>0</v>
      </c>
      <c r="HI79" s="213">
        <f t="shared" si="26"/>
        <v>1000000</v>
      </c>
      <c r="HL79" s="182"/>
      <c r="HM79" s="26">
        <f t="shared" ca="1" si="27"/>
        <v>10</v>
      </c>
      <c r="HO79" s="268">
        <f t="shared" si="28"/>
        <v>0</v>
      </c>
      <c r="HP79" s="151">
        <f t="shared" si="157"/>
        <v>0</v>
      </c>
      <c r="HQ79" s="123">
        <f t="shared" si="88"/>
        <v>0</v>
      </c>
      <c r="HR79" s="123">
        <f t="shared" si="89"/>
        <v>0</v>
      </c>
      <c r="HS79" s="123">
        <f t="shared" si="90"/>
        <v>0</v>
      </c>
      <c r="HT79" s="123">
        <f>IF(HY78&lt;0.01,0,IF(Adm!$GS$4=Adm!$GS$8,HY78*$HY$15,IF(Adm!$GS$12=Adm!$GS$13,0,HY78*Adm!$GV$4)))</f>
        <v>0</v>
      </c>
      <c r="HU79" s="123">
        <f>IF(HY78&lt;0.01,0,IF(Adm!$GS$5=Adm!$GS$8,Cal!$BO$108*$HY$16/1.16,IF(Adm!$GS$12=Adm!$GS$13,0,Cal!$BO$108*Adm!$GW$4/1.16)))</f>
        <v>0</v>
      </c>
      <c r="HV79" s="123">
        <f t="shared" si="91"/>
        <v>0</v>
      </c>
      <c r="HW79" s="123">
        <f t="shared" si="92"/>
        <v>0</v>
      </c>
      <c r="HX79" s="123">
        <f>IF(Adm!$GH$6="si",MIN(HY78+HQ79+HT79+HU79+HV79-HW79,IH79),0)</f>
        <v>0</v>
      </c>
      <c r="HY79" s="297">
        <f t="shared" si="93"/>
        <v>0</v>
      </c>
      <c r="HZ79" s="74"/>
      <c r="IA79" s="407">
        <f t="shared" si="94"/>
        <v>0</v>
      </c>
      <c r="IC79" s="90">
        <f t="shared" si="95"/>
        <v>7</v>
      </c>
      <c r="ID79" s="124">
        <f>IF(IC79=1,Cal!$BO$127,0)</f>
        <v>0</v>
      </c>
      <c r="IE79" s="178">
        <f>IF(IC79=1,Adm!$HI$4,0)</f>
        <v>0</v>
      </c>
      <c r="IG79" s="70">
        <f t="shared" si="121"/>
        <v>0</v>
      </c>
      <c r="IH79" s="2178">
        <f t="shared" ca="1" si="96"/>
        <v>0</v>
      </c>
      <c r="IK79" s="217"/>
      <c r="IL79" s="26">
        <f t="shared" ca="1" si="29"/>
        <v>10</v>
      </c>
      <c r="IN79" s="268">
        <f t="shared" si="30"/>
        <v>0</v>
      </c>
      <c r="IO79" s="151">
        <f t="shared" si="154"/>
        <v>0</v>
      </c>
      <c r="IP79" s="123">
        <f t="shared" si="97"/>
        <v>0</v>
      </c>
      <c r="IQ79" s="123">
        <f t="shared" si="98"/>
        <v>0</v>
      </c>
      <c r="IR79" s="123">
        <f t="shared" si="99"/>
        <v>0</v>
      </c>
      <c r="IS79" s="123">
        <f>IF(IX78&lt;0.01,0,IF(Adm!$GS$4=Adm!$GS$8,IX78*$IX$15,IF(Adm!$GS$12=Adm!$GS$13,0,IX78*Adm!$GV$4)))</f>
        <v>0</v>
      </c>
      <c r="IT79" s="123"/>
      <c r="IU79" s="123">
        <f t="shared" si="100"/>
        <v>0</v>
      </c>
      <c r="IV79" s="123">
        <f t="shared" si="101"/>
        <v>0</v>
      </c>
      <c r="IW79" s="123"/>
      <c r="IX79" s="297">
        <f t="shared" si="102"/>
        <v>0</v>
      </c>
      <c r="IY79" s="74"/>
      <c r="IZ79" s="416">
        <f t="shared" si="103"/>
        <v>0</v>
      </c>
      <c r="JB79" s="90">
        <f t="shared" si="104"/>
        <v>7</v>
      </c>
      <c r="JC79" s="124">
        <f>IF(JB79=1,Cal!$BP$127,0)</f>
        <v>0</v>
      </c>
      <c r="JD79" s="178">
        <f>IF(JB79=1,Adm!$HI$4,0)</f>
        <v>0</v>
      </c>
    </row>
    <row r="80" spans="1:264">
      <c r="A80" s="26">
        <f t="shared" ca="1" si="0"/>
        <v>11</v>
      </c>
      <c r="C80" s="33">
        <f t="shared" si="1"/>
        <v>0</v>
      </c>
      <c r="D80" s="123">
        <f t="shared" si="31"/>
        <v>0</v>
      </c>
      <c r="E80" s="123">
        <f t="shared" si="147"/>
        <v>0</v>
      </c>
      <c r="F80" s="123">
        <f t="shared" si="149"/>
        <v>0</v>
      </c>
      <c r="G80" s="123">
        <f>IF(L79&lt;0.01,0,IF(Adm!$S$4=Adm!$S$8,L79*$L$15,L79*Adm!$V$4))</f>
        <v>0</v>
      </c>
      <c r="H80" s="123">
        <f>IF(L79&lt;0.01,0,IF(Adm!$S$5=Adm!$S$8,Adm!$AA$11*$L$16/1.16,IF(Adm!$B$4=Adm!$A$119,0,Adm!$AA$11*Adm!$X$4/1.16)))</f>
        <v>0</v>
      </c>
      <c r="I80" s="123">
        <f>IF(L79&lt;0.01,0,Cal!$AB$126/1.16)</f>
        <v>0</v>
      </c>
      <c r="J80" s="123">
        <f t="shared" si="2"/>
        <v>0</v>
      </c>
      <c r="K80" s="123">
        <f>IF(Adm!$G$4="si",MIN(L79+D80+G80+H80+I80-J80,V80),0)</f>
        <v>0</v>
      </c>
      <c r="L80" s="123">
        <f t="shared" si="32"/>
        <v>0</v>
      </c>
      <c r="M80" s="74"/>
      <c r="N80" s="74"/>
      <c r="O80" s="407">
        <f t="shared" si="33"/>
        <v>0</v>
      </c>
      <c r="R80" s="90">
        <f t="shared" si="34"/>
        <v>8</v>
      </c>
      <c r="S80" s="121">
        <f>IF(R80=1,Cal!$AB$127,0)</f>
        <v>0</v>
      </c>
      <c r="U80" s="70">
        <f t="shared" si="105"/>
        <v>0</v>
      </c>
      <c r="V80" s="2178">
        <f t="shared" ca="1" si="35"/>
        <v>0</v>
      </c>
      <c r="X80" s="398"/>
      <c r="Z80" s="268">
        <f t="shared" si="3"/>
        <v>0</v>
      </c>
      <c r="AA80" s="2176">
        <f t="shared" si="36"/>
        <v>0</v>
      </c>
      <c r="AB80" s="33">
        <f t="shared" si="37"/>
        <v>0</v>
      </c>
      <c r="AC80" s="33">
        <f t="shared" si="38"/>
        <v>0</v>
      </c>
      <c r="AD80" s="33">
        <f>IF(AI79&lt;0.01,0,IF(Adm!$S$4=Adm!$S$8,AI79*$AI$15,AI79*Adm!$V$4))</f>
        <v>0</v>
      </c>
      <c r="AE80" s="33"/>
      <c r="AF80" s="33"/>
      <c r="AG80" s="33">
        <f t="shared" si="4"/>
        <v>0</v>
      </c>
      <c r="AH80" s="33"/>
      <c r="AI80" s="401">
        <f t="shared" si="5"/>
        <v>0</v>
      </c>
      <c r="AK80" s="410">
        <f t="shared" si="6"/>
        <v>0</v>
      </c>
      <c r="AN80" s="90">
        <f t="shared" si="39"/>
        <v>8</v>
      </c>
      <c r="AO80" s="121">
        <f>IF(AN80=1,Cal!$AC$127,0)</f>
        <v>0</v>
      </c>
      <c r="AS80" s="200"/>
      <c r="AU80" s="268">
        <f t="shared" si="7"/>
        <v>0</v>
      </c>
      <c r="AV80" s="2177">
        <f t="shared" si="40"/>
        <v>0</v>
      </c>
      <c r="AW80" s="123">
        <f t="shared" si="8"/>
        <v>0</v>
      </c>
      <c r="AX80" s="123">
        <f t="shared" si="41"/>
        <v>0</v>
      </c>
      <c r="AY80" s="123">
        <f>IF(BC79&lt;0.01,0,IF(Adm!$S$4=Adm!$S$8,BC79*$BC$16,BC79*Adm!$V$4))</f>
        <v>0</v>
      </c>
      <c r="AZ80" s="123"/>
      <c r="BA80" s="123">
        <f>IF(BC79&lt;0.01,0,Adm!$Q$6)</f>
        <v>0</v>
      </c>
      <c r="BB80" s="123">
        <f t="shared" si="42"/>
        <v>0</v>
      </c>
      <c r="BC80" s="297">
        <f t="shared" si="43"/>
        <v>0</v>
      </c>
      <c r="BE80" s="425">
        <f t="shared" si="9"/>
        <v>0</v>
      </c>
      <c r="BH80" s="90">
        <f t="shared" si="44"/>
        <v>8</v>
      </c>
      <c r="BI80" s="121">
        <f>IF(BH80=1,Cal!$AD$127,0)</f>
        <v>0</v>
      </c>
      <c r="BM80" s="221"/>
      <c r="BO80" s="295">
        <f t="shared" ca="1" si="10"/>
        <v>11</v>
      </c>
      <c r="BP80" s="268">
        <f t="shared" si="11"/>
        <v>0</v>
      </c>
      <c r="BQ80" s="123">
        <f t="shared" si="45"/>
        <v>0</v>
      </c>
      <c r="BR80" s="123">
        <f t="shared" si="148"/>
        <v>0</v>
      </c>
      <c r="BS80" s="123">
        <f t="shared" si="150"/>
        <v>0</v>
      </c>
      <c r="BT80" s="123">
        <f>IF(BZ79&lt;0.01,0,IF(Plus!$F$22=Plus!$AN$4,BZ79*$BZ$15,IF(Plus!$F$22=Plus!$AN$3,BZ79*Plus!$F$23/1000,BZ79*VLOOKUP(Plus!$G$21,Plus!$AP$2:'Plus'!$AQ$5,2,0))))</f>
        <v>0</v>
      </c>
      <c r="BU80" s="123">
        <f>IF(BZ79&lt;0.01,0,IF(Plus!$F$24=Plus!$AO$3,Plus!$G$13*Plus!$AR$2/1.16,IF(Plus!$F$10=Plus!$AK$7,0,Plus!$G$13*Plus!$AR$2/1.16)))</f>
        <v>0</v>
      </c>
      <c r="BV80" s="123">
        <f>IF(BZ79&lt;0.01,0,Plus!$BD$2)</f>
        <v>0</v>
      </c>
      <c r="BW80" s="123"/>
      <c r="BX80" s="123">
        <f t="shared" si="12"/>
        <v>0</v>
      </c>
      <c r="BY80" s="123">
        <f>IF(Plus!$F$10=Plus!$AK$3,MIN(BZ79+BQ80+BT80+BU80+BV80-BX80,CJ80),0)</f>
        <v>0</v>
      </c>
      <c r="BZ80" s="297">
        <f t="shared" si="144"/>
        <v>0</v>
      </c>
      <c r="CA80" s="74"/>
      <c r="CB80" s="74"/>
      <c r="CC80" s="413">
        <f t="shared" si="47"/>
        <v>0</v>
      </c>
      <c r="CF80" s="90">
        <f t="shared" si="48"/>
        <v>8</v>
      </c>
      <c r="CG80" s="121">
        <f t="shared" si="106"/>
        <v>0</v>
      </c>
      <c r="CI80" s="70">
        <f t="shared" si="107"/>
        <v>0</v>
      </c>
      <c r="CJ80" s="2178">
        <f t="shared" ca="1" si="49"/>
        <v>0</v>
      </c>
      <c r="CL80" s="161"/>
      <c r="CN80" s="308">
        <f t="shared" ca="1" si="13"/>
        <v>11</v>
      </c>
      <c r="CO80" s="309">
        <f t="shared" si="50"/>
        <v>0</v>
      </c>
      <c r="CP80" s="268">
        <f t="shared" si="14"/>
        <v>0</v>
      </c>
      <c r="CQ80" s="123">
        <f t="shared" si="51"/>
        <v>0</v>
      </c>
      <c r="CR80" s="123">
        <f t="shared" si="137"/>
        <v>0</v>
      </c>
      <c r="CS80" s="123">
        <f t="shared" si="138"/>
        <v>0</v>
      </c>
      <c r="CT80" s="33">
        <f>IF(CZ79&lt;0.01,0,IF(Plus!$F$22=Plus!$AN$4,0,IF(Plus!$F$22=Plus!$AN$3,CZ79*Plus!$F$23/1000,CZ79*VLOOKUP(Plus!$G$21,Plus!$AP$2:'Plus'!$AQ$5,2,0))))</f>
        <v>0</v>
      </c>
      <c r="CU80" s="123">
        <f>IF(CZ79&lt;0.01,0,IF(Plus!$F$24=Plus!$AO$3,0,IF(OR(Plus!$F$10=Plus!$AK$7,Plus!$F$10=Plus!$AK$13),0,Plus!$G$13*Plus!$AR$2)))</f>
        <v>0</v>
      </c>
      <c r="CV80" s="123">
        <f>IF(CZ79&lt;0.01,0,IF(OR(Plus!$F$10=Plus!$AK$7,Plus!$F$10=Plus!$AK$13),0,Plus!$BD$2*1.16))</f>
        <v>0</v>
      </c>
      <c r="CW80" s="123">
        <f>IF(CZ79&lt;0.01,0,IF(Plus!$AS$2&gt;0,CQ80*Plus!$AS$3,0))</f>
        <v>0</v>
      </c>
      <c r="CX80" s="123">
        <f t="shared" si="52"/>
        <v>0</v>
      </c>
      <c r="CY80" s="123">
        <f>IF(Plus!$F$10=Plus!$AK$3,MIN(CZ79+CQ80+CT80+CU80+CV80-CX80,DK80),0)</f>
        <v>0</v>
      </c>
      <c r="CZ80" s="297">
        <f t="shared" si="146"/>
        <v>0</v>
      </c>
      <c r="DA80" s="306">
        <f>Plus!O121</f>
        <v>0</v>
      </c>
      <c r="DB80" s="74"/>
      <c r="DC80" s="74"/>
      <c r="DD80" s="407">
        <f t="shared" si="54"/>
        <v>0</v>
      </c>
      <c r="DG80" s="90">
        <f t="shared" si="55"/>
        <v>8</v>
      </c>
      <c r="DH80" s="121">
        <f t="shared" si="108"/>
        <v>0</v>
      </c>
      <c r="DJ80" s="149">
        <f t="shared" si="109"/>
        <v>0</v>
      </c>
      <c r="DK80" s="2179">
        <f t="shared" ca="1" si="56"/>
        <v>0</v>
      </c>
      <c r="DN80" s="120">
        <f t="shared" si="110"/>
        <v>0</v>
      </c>
      <c r="DO80" s="110">
        <f t="shared" si="57"/>
        <v>0</v>
      </c>
      <c r="DP80" s="110">
        <f t="shared" si="124"/>
        <v>0</v>
      </c>
      <c r="DQ80" s="109">
        <f t="shared" si="58"/>
        <v>0</v>
      </c>
      <c r="DR80" s="109">
        <f t="shared" si="59"/>
        <v>0</v>
      </c>
      <c r="DS80" s="113">
        <f t="shared" si="60"/>
        <v>0</v>
      </c>
      <c r="DU80" s="102">
        <f t="shared" si="61"/>
        <v>0</v>
      </c>
      <c r="DV80" s="211">
        <f t="shared" si="125"/>
        <v>56</v>
      </c>
      <c r="DW80" s="212">
        <f t="shared" si="62"/>
        <v>0</v>
      </c>
      <c r="DX80" s="212">
        <f t="shared" si="15"/>
        <v>0</v>
      </c>
      <c r="DY80" s="212">
        <f t="shared" si="111"/>
        <v>0</v>
      </c>
      <c r="DZ80" s="213">
        <f t="shared" si="16"/>
        <v>1000000</v>
      </c>
      <c r="ED80" s="182"/>
      <c r="EF80" s="308">
        <f t="shared" ca="1" si="17"/>
        <v>11</v>
      </c>
      <c r="EG80" s="309">
        <f t="shared" si="63"/>
        <v>0</v>
      </c>
      <c r="EH80" s="268">
        <f t="shared" si="18"/>
        <v>0</v>
      </c>
      <c r="EI80" s="33">
        <f t="shared" si="64"/>
        <v>0</v>
      </c>
      <c r="EJ80" s="33">
        <f t="shared" si="139"/>
        <v>0</v>
      </c>
      <c r="EK80" s="33">
        <f t="shared" si="151"/>
        <v>0</v>
      </c>
      <c r="EL80" s="33">
        <f>IF(ER79&lt;0.01,0,IF(Plus!$F$22=Plus!$AN$4,0,IF(Plus!$F$22=Plus!$AN$3,ER79*Plus!$F$23/1000,ER79*VLOOKUP(Plus!$G$21,Plus!$AP$2:'Plus'!$AQ$5,2,0))))</f>
        <v>0</v>
      </c>
      <c r="EM80" s="33">
        <f>IF(ER79&lt;0.01,0,IF(Plus!$F$24=Plus!$AO$3,0,IF(OR(Plus!$F$10=Plus!$AK$7,Plus!$F$10=Plus!$AK$13),0,Plus!$G$13*Plus!$AR$2)))</f>
        <v>0</v>
      </c>
      <c r="EN80" s="33">
        <f>IF(ER79&lt;0.01,0,IF(OR(Plus!$F$10=Plus!$AK$7,Plus!$F$10=Plus!$AK$13),0,Plus!$BD$2*1.16))</f>
        <v>0</v>
      </c>
      <c r="EO80" s="33">
        <f>IF(ER79&lt;0.01,0,IF(Plus!$AS$2&gt;0,EI80*Plus!$AS$3,0))</f>
        <v>0</v>
      </c>
      <c r="EP80" s="33">
        <f t="shared" si="65"/>
        <v>0</v>
      </c>
      <c r="EQ80" s="33">
        <f>IF(Plus!$F$10=Plus!$AK$3,MIN(ER79+EI80+EL80+EM80+EN80-EP80,FC80),0)</f>
        <v>0</v>
      </c>
      <c r="ER80" s="311">
        <f t="shared" si="145"/>
        <v>0</v>
      </c>
      <c r="ES80" s="340">
        <f>Plus!O121</f>
        <v>0</v>
      </c>
      <c r="ET80" s="74"/>
      <c r="EU80" s="74"/>
      <c r="EV80" s="416">
        <f t="shared" si="134"/>
        <v>0</v>
      </c>
      <c r="EY80" s="90">
        <f t="shared" si="68"/>
        <v>8</v>
      </c>
      <c r="EZ80" s="121">
        <f t="shared" si="112"/>
        <v>0</v>
      </c>
      <c r="FB80" s="149">
        <f t="shared" si="113"/>
        <v>0</v>
      </c>
      <c r="FC80" s="2179">
        <f t="shared" ca="1" si="69"/>
        <v>0</v>
      </c>
      <c r="FE80" s="120">
        <f t="shared" si="114"/>
        <v>0</v>
      </c>
      <c r="FF80" s="110">
        <f t="shared" si="70"/>
        <v>0</v>
      </c>
      <c r="FG80" s="110">
        <f t="shared" si="71"/>
        <v>0</v>
      </c>
      <c r="FH80" s="109">
        <f t="shared" si="72"/>
        <v>0</v>
      </c>
      <c r="FI80" s="109">
        <f t="shared" si="19"/>
        <v>0</v>
      </c>
      <c r="FJ80" s="113">
        <f t="shared" si="73"/>
        <v>0</v>
      </c>
      <c r="FL80" s="102">
        <f t="shared" si="74"/>
        <v>0</v>
      </c>
      <c r="FM80" s="211">
        <f t="shared" si="127"/>
        <v>56</v>
      </c>
      <c r="FN80" s="212">
        <f t="shared" si="75"/>
        <v>0</v>
      </c>
      <c r="FO80" s="212">
        <f t="shared" si="20"/>
        <v>0</v>
      </c>
      <c r="FP80" s="212">
        <f t="shared" si="158"/>
        <v>0</v>
      </c>
      <c r="FQ80" s="213">
        <f t="shared" si="21"/>
        <v>1000000</v>
      </c>
      <c r="FV80" s="359"/>
      <c r="FX80" s="308">
        <f t="shared" ca="1" si="22"/>
        <v>11</v>
      </c>
      <c r="FY80" s="309">
        <f t="shared" si="76"/>
        <v>0</v>
      </c>
      <c r="FZ80" s="268">
        <f t="shared" si="23"/>
        <v>0</v>
      </c>
      <c r="GA80" s="33">
        <f t="shared" si="77"/>
        <v>0</v>
      </c>
      <c r="GB80" s="33">
        <f t="shared" si="141"/>
        <v>0</v>
      </c>
      <c r="GC80" s="33">
        <f t="shared" si="142"/>
        <v>0</v>
      </c>
      <c r="GD80" s="33">
        <f>IF(GJ79&lt;0.01,0,IF(Plus!$F$22=Plus!$AN$4,0,IF(Plus!$F$22=Plus!$AN$3,GJ79*Plus!$F$23/1000,GJ79*VLOOKUP(Plus!$G$21,Plus!$AP$2:$AQ$5,2,0))))</f>
        <v>0</v>
      </c>
      <c r="GE80" s="33">
        <f>IF(GJ79&lt;0.01,0,IF(Plus!$F$24=Plus!$AO$3,0,IF(OR(Plus!$F$10=Plus!$AK$7,Plus!$F$10=Plus!$AK$13,Plus!$F$10=Plus!$AK$14),0,IF(OR(Plus!$F$10=Plus!$AK$10,Plus!$F$10=Plus!$AK$11),Plus!$G$13*Adm!$W$7,Plus!$G$13*Adm!$X$4))))</f>
        <v>0</v>
      </c>
      <c r="GF80" s="33">
        <f>IF(GJ79&lt;0.01,0,IF(OR(Plus!$F$10=Plus!$AK$7,Plus!$F$10=Plus!$AK$13),0,Plus!$BD$2*1.16))</f>
        <v>0</v>
      </c>
      <c r="GG80" s="33">
        <f>IF(GJ79&lt;0.01,0,IF(Plus!$AS$2&gt;0,GA80*Plus!$AS$3,0))</f>
        <v>0</v>
      </c>
      <c r="GH80" s="33">
        <f t="shared" si="78"/>
        <v>0</v>
      </c>
      <c r="GI80" s="33">
        <f>IF(Plus!$F$10=Plus!$AK$3,MIN(GJ79+GA80+GD80+GE80+GF80-GH80,GU80),0)</f>
        <v>0</v>
      </c>
      <c r="GJ80" s="311">
        <f t="shared" si="136"/>
        <v>0</v>
      </c>
      <c r="GK80" s="340">
        <f>Plus!O121</f>
        <v>0</v>
      </c>
      <c r="GL80" s="74"/>
      <c r="GM80" s="74"/>
      <c r="GN80" s="419">
        <f t="shared" si="135"/>
        <v>0</v>
      </c>
      <c r="GQ80" s="90">
        <f t="shared" si="80"/>
        <v>8</v>
      </c>
      <c r="GR80" s="121">
        <f t="shared" si="116"/>
        <v>0</v>
      </c>
      <c r="GT80" s="149">
        <f t="shared" si="117"/>
        <v>0</v>
      </c>
      <c r="GU80" s="2179">
        <f t="shared" ca="1" si="81"/>
        <v>0</v>
      </c>
      <c r="GW80" s="120">
        <f t="shared" si="118"/>
        <v>0</v>
      </c>
      <c r="GX80" s="110">
        <f t="shared" si="82"/>
        <v>0</v>
      </c>
      <c r="GY80" s="110">
        <f t="shared" si="83"/>
        <v>0</v>
      </c>
      <c r="GZ80" s="109">
        <f t="shared" si="84"/>
        <v>0</v>
      </c>
      <c r="HA80" s="109">
        <f t="shared" si="24"/>
        <v>0</v>
      </c>
      <c r="HB80" s="113">
        <f t="shared" si="85"/>
        <v>0</v>
      </c>
      <c r="HD80" s="102">
        <f t="shared" si="86"/>
        <v>0</v>
      </c>
      <c r="HE80" s="211">
        <f t="shared" si="129"/>
        <v>56</v>
      </c>
      <c r="HF80" s="212">
        <f t="shared" si="87"/>
        <v>0</v>
      </c>
      <c r="HG80" s="212">
        <f t="shared" si="25"/>
        <v>0</v>
      </c>
      <c r="HH80" s="212">
        <f t="shared" si="159"/>
        <v>0</v>
      </c>
      <c r="HI80" s="213">
        <f t="shared" si="26"/>
        <v>1000000</v>
      </c>
      <c r="HL80" s="182"/>
      <c r="HM80" s="26">
        <f t="shared" ca="1" si="27"/>
        <v>11</v>
      </c>
      <c r="HO80" s="268">
        <f t="shared" si="28"/>
        <v>0</v>
      </c>
      <c r="HP80" s="151">
        <f t="shared" si="157"/>
        <v>0</v>
      </c>
      <c r="HQ80" s="123">
        <f t="shared" si="88"/>
        <v>0</v>
      </c>
      <c r="HR80" s="123">
        <f t="shared" si="89"/>
        <v>0</v>
      </c>
      <c r="HS80" s="123">
        <f t="shared" si="90"/>
        <v>0</v>
      </c>
      <c r="HT80" s="123">
        <f>IF(HY79&lt;0.01,0,IF(Adm!$GS$4=Adm!$GS$8,HY79*$HY$15,IF(Adm!$GS$12=Adm!$GS$13,0,HY79*Adm!$GV$4)))</f>
        <v>0</v>
      </c>
      <c r="HU80" s="123">
        <f>IF(HY79&lt;0.01,0,IF(Adm!$GS$5=Adm!$GS$8,Cal!$BO$108*$HY$16/1.16,IF(Adm!$GS$12=Adm!$GS$13,0,Cal!$BO$108*Adm!$GW$4/1.16)))</f>
        <v>0</v>
      </c>
      <c r="HV80" s="123">
        <f t="shared" si="91"/>
        <v>0</v>
      </c>
      <c r="HW80" s="123">
        <f t="shared" si="92"/>
        <v>0</v>
      </c>
      <c r="HX80" s="123">
        <f>IF(Adm!$GH$6="si",MIN(HY79+HQ80+HT80+HU80+HV80-HW80,IH80),0)</f>
        <v>0</v>
      </c>
      <c r="HY80" s="297">
        <f t="shared" si="93"/>
        <v>0</v>
      </c>
      <c r="HZ80" s="74"/>
      <c r="IA80" s="407">
        <f t="shared" si="94"/>
        <v>0</v>
      </c>
      <c r="IC80" s="90">
        <f t="shared" si="95"/>
        <v>8</v>
      </c>
      <c r="ID80" s="124">
        <f>IF(IC80=1,Cal!$BO$127,0)</f>
        <v>0</v>
      </c>
      <c r="IE80" s="178">
        <f>IF(IC80=1,Adm!$HI$4,0)</f>
        <v>0</v>
      </c>
      <c r="IG80" s="70">
        <f t="shared" si="121"/>
        <v>0</v>
      </c>
      <c r="IH80" s="2178">
        <f t="shared" ca="1" si="96"/>
        <v>0</v>
      </c>
      <c r="IK80" s="217"/>
      <c r="IL80" s="26">
        <f t="shared" ca="1" si="29"/>
        <v>11</v>
      </c>
      <c r="IN80" s="268">
        <f t="shared" si="30"/>
        <v>0</v>
      </c>
      <c r="IO80" s="151">
        <f t="shared" si="154"/>
        <v>0</v>
      </c>
      <c r="IP80" s="123">
        <f t="shared" si="97"/>
        <v>0</v>
      </c>
      <c r="IQ80" s="123">
        <f t="shared" si="98"/>
        <v>0</v>
      </c>
      <c r="IR80" s="123">
        <f t="shared" si="99"/>
        <v>0</v>
      </c>
      <c r="IS80" s="123">
        <f>IF(IX79&lt;0.01,0,IF(Adm!$GS$4=Adm!$GS$8,IX79*$IX$15,IF(Adm!$GS$12=Adm!$GS$13,0,IX79*Adm!$GV$4)))</f>
        <v>0</v>
      </c>
      <c r="IT80" s="123"/>
      <c r="IU80" s="123">
        <f t="shared" si="100"/>
        <v>0</v>
      </c>
      <c r="IV80" s="123">
        <f t="shared" si="101"/>
        <v>0</v>
      </c>
      <c r="IW80" s="123"/>
      <c r="IX80" s="297">
        <f t="shared" si="102"/>
        <v>0</v>
      </c>
      <c r="IY80" s="74"/>
      <c r="IZ80" s="416">
        <f t="shared" si="103"/>
        <v>0</v>
      </c>
      <c r="JB80" s="90">
        <f t="shared" si="104"/>
        <v>8</v>
      </c>
      <c r="JC80" s="124">
        <f>IF(JB80=1,Cal!$BP$127,0)</f>
        <v>0</v>
      </c>
      <c r="JD80" s="178">
        <f>IF(JB80=1,Adm!$HI$4,0)</f>
        <v>0</v>
      </c>
    </row>
    <row r="81" spans="1:264">
      <c r="A81" s="26">
        <f t="shared" ca="1" si="0"/>
        <v>12</v>
      </c>
      <c r="C81" s="33">
        <f t="shared" si="1"/>
        <v>0</v>
      </c>
      <c r="D81" s="123">
        <f t="shared" si="31"/>
        <v>0</v>
      </c>
      <c r="E81" s="123">
        <f t="shared" si="147"/>
        <v>0</v>
      </c>
      <c r="F81" s="123">
        <f t="shared" si="149"/>
        <v>0</v>
      </c>
      <c r="G81" s="123">
        <f>IF(L80&lt;0.01,0,IF(Adm!$S$4=Adm!$S$8,L80*$L$15,L80*Adm!$V$4))</f>
        <v>0</v>
      </c>
      <c r="H81" s="123">
        <f>IF(L80&lt;0.01,0,IF(Adm!$S$5=Adm!$S$8,Adm!$AA$11*$L$16/1.16,IF(Adm!$B$4=Adm!$A$119,0,Adm!$AA$11*Adm!$X$4/1.16)))</f>
        <v>0</v>
      </c>
      <c r="I81" s="123">
        <f>IF(L80&lt;0.01,0,Cal!$AB$126/1.16)</f>
        <v>0</v>
      </c>
      <c r="J81" s="123">
        <f t="shared" si="2"/>
        <v>0</v>
      </c>
      <c r="K81" s="123">
        <f>IF(Adm!$G$4="si",MIN(L80+D81+G81+H81+I81-J81,V81),0)</f>
        <v>0</v>
      </c>
      <c r="L81" s="123">
        <f t="shared" si="32"/>
        <v>0</v>
      </c>
      <c r="M81" s="74"/>
      <c r="N81" s="74"/>
      <c r="O81" s="407">
        <f t="shared" si="33"/>
        <v>0</v>
      </c>
      <c r="R81" s="90">
        <f t="shared" si="34"/>
        <v>9</v>
      </c>
      <c r="S81" s="121">
        <f>IF(R81=1,Cal!$AB$127,0)</f>
        <v>0</v>
      </c>
      <c r="U81" s="70">
        <f t="shared" si="105"/>
        <v>0</v>
      </c>
      <c r="V81" s="2178">
        <f t="shared" ca="1" si="35"/>
        <v>0</v>
      </c>
      <c r="X81" s="398"/>
      <c r="Z81" s="268">
        <f t="shared" si="3"/>
        <v>0</v>
      </c>
      <c r="AA81" s="2176">
        <f t="shared" si="36"/>
        <v>0</v>
      </c>
      <c r="AB81" s="33">
        <f t="shared" si="37"/>
        <v>0</v>
      </c>
      <c r="AC81" s="33">
        <f t="shared" si="38"/>
        <v>0</v>
      </c>
      <c r="AD81" s="33">
        <f>IF(AI80&lt;0.01,0,IF(Adm!$S$4=Adm!$S$8,AI80*$AI$15,AI80*Adm!$V$4))</f>
        <v>0</v>
      </c>
      <c r="AE81" s="33"/>
      <c r="AF81" s="33"/>
      <c r="AG81" s="33">
        <f t="shared" si="4"/>
        <v>0</v>
      </c>
      <c r="AH81" s="33"/>
      <c r="AI81" s="401">
        <f t="shared" si="5"/>
        <v>0</v>
      </c>
      <c r="AK81" s="410">
        <f t="shared" si="6"/>
        <v>0</v>
      </c>
      <c r="AN81" s="90">
        <f t="shared" si="39"/>
        <v>9</v>
      </c>
      <c r="AO81" s="121">
        <f>IF(AN81=1,Cal!$AC$127,0)</f>
        <v>0</v>
      </c>
      <c r="AS81" s="200"/>
      <c r="AU81" s="268">
        <f t="shared" si="7"/>
        <v>0</v>
      </c>
      <c r="AV81" s="2177">
        <f t="shared" si="40"/>
        <v>0</v>
      </c>
      <c r="AW81" s="123">
        <f t="shared" si="8"/>
        <v>0</v>
      </c>
      <c r="AX81" s="123">
        <f t="shared" si="41"/>
        <v>0</v>
      </c>
      <c r="AY81" s="123">
        <f>IF(BC80&lt;0.01,0,IF(Adm!$S$4=Adm!$S$8,BC80*$BC$16,BC80*Adm!$V$4))</f>
        <v>0</v>
      </c>
      <c r="AZ81" s="123"/>
      <c r="BA81" s="123">
        <f>IF(BC80&lt;0.01,0,Adm!$Q$6)</f>
        <v>0</v>
      </c>
      <c r="BB81" s="123">
        <f t="shared" si="42"/>
        <v>0</v>
      </c>
      <c r="BC81" s="297">
        <f t="shared" si="43"/>
        <v>0</v>
      </c>
      <c r="BE81" s="425">
        <f t="shared" si="9"/>
        <v>0</v>
      </c>
      <c r="BH81" s="90">
        <f t="shared" si="44"/>
        <v>9</v>
      </c>
      <c r="BI81" s="121">
        <f>IF(BH81=1,Cal!$AD$127,0)</f>
        <v>0</v>
      </c>
      <c r="BM81" s="221"/>
      <c r="BO81" s="295">
        <f t="shared" ca="1" si="10"/>
        <v>12</v>
      </c>
      <c r="BP81" s="268">
        <f t="shared" si="11"/>
        <v>0</v>
      </c>
      <c r="BQ81" s="123">
        <f t="shared" si="45"/>
        <v>0</v>
      </c>
      <c r="BR81" s="123">
        <f t="shared" si="148"/>
        <v>0</v>
      </c>
      <c r="BS81" s="123">
        <f t="shared" si="150"/>
        <v>0</v>
      </c>
      <c r="BT81" s="123">
        <f>IF(BZ80&lt;0.01,0,IF(Plus!$F$22=Plus!$AN$4,BZ80*$BZ$15,IF(Plus!$F$22=Plus!$AN$3,BZ80*Plus!$F$23/1000,BZ80*VLOOKUP(Plus!$G$21,Plus!$AP$2:'Plus'!$AQ$5,2,0))))</f>
        <v>0</v>
      </c>
      <c r="BU81" s="123">
        <f>IF(BZ80&lt;0.01,0,IF(Plus!$F$24=Plus!$AO$3,Plus!$G$13*Plus!$AR$2/1.16,IF(Plus!$F$10=Plus!$AK$7,0,Plus!$G$13*Plus!$AR$2/1.16)))</f>
        <v>0</v>
      </c>
      <c r="BV81" s="123">
        <f>IF(BZ80&lt;0.01,0,Plus!$BD$2)</f>
        <v>0</v>
      </c>
      <c r="BW81" s="123"/>
      <c r="BX81" s="123">
        <f t="shared" si="12"/>
        <v>0</v>
      </c>
      <c r="BY81" s="123">
        <f>IF(Plus!$F$10=Plus!$AK$3,MIN(BZ80+BQ81+BT81+BU81+BV81-BX81,CJ81),0)</f>
        <v>0</v>
      </c>
      <c r="BZ81" s="297">
        <f t="shared" si="144"/>
        <v>0</v>
      </c>
      <c r="CA81" s="74"/>
      <c r="CB81" s="74"/>
      <c r="CC81" s="413">
        <f t="shared" si="47"/>
        <v>0</v>
      </c>
      <c r="CF81" s="90">
        <f t="shared" si="48"/>
        <v>9</v>
      </c>
      <c r="CG81" s="121">
        <f t="shared" si="106"/>
        <v>0</v>
      </c>
      <c r="CI81" s="70">
        <f t="shared" si="107"/>
        <v>0</v>
      </c>
      <c r="CJ81" s="2178">
        <f t="shared" ca="1" si="49"/>
        <v>0</v>
      </c>
      <c r="CL81" s="161"/>
      <c r="CN81" s="308">
        <f t="shared" ca="1" si="13"/>
        <v>12</v>
      </c>
      <c r="CO81" s="309">
        <f t="shared" si="50"/>
        <v>0</v>
      </c>
      <c r="CP81" s="268">
        <f t="shared" si="14"/>
        <v>0</v>
      </c>
      <c r="CQ81" s="123">
        <f t="shared" si="51"/>
        <v>0</v>
      </c>
      <c r="CR81" s="123">
        <f t="shared" si="137"/>
        <v>0</v>
      </c>
      <c r="CS81" s="123">
        <f t="shared" si="138"/>
        <v>0</v>
      </c>
      <c r="CT81" s="33">
        <f>IF(CZ80&lt;0.01,0,IF(Plus!$F$22=Plus!$AN$4,0,IF(Plus!$F$22=Plus!$AN$3,CZ80*Plus!$F$23/1000,CZ80*VLOOKUP(Plus!$G$21,Plus!$AP$2:'Plus'!$AQ$5,2,0))))</f>
        <v>0</v>
      </c>
      <c r="CU81" s="123">
        <f>IF(CZ80&lt;0.01,0,IF(Plus!$F$24=Plus!$AO$3,0,IF(OR(Plus!$F$10=Plus!$AK$7,Plus!$F$10=Plus!$AK$13),0,Plus!$G$13*Plus!$AR$2)))</f>
        <v>0</v>
      </c>
      <c r="CV81" s="123">
        <f>IF(CZ80&lt;0.01,0,IF(OR(Plus!$F$10=Plus!$AK$7,Plus!$F$10=Plus!$AK$13),0,Plus!$BD$2*1.16))</f>
        <v>0</v>
      </c>
      <c r="CW81" s="123">
        <f>IF(CZ80&lt;0.01,0,IF(Plus!$AS$2&gt;0,CQ81*Plus!$AS$3,0))</f>
        <v>0</v>
      </c>
      <c r="CX81" s="123">
        <f t="shared" si="52"/>
        <v>0</v>
      </c>
      <c r="CY81" s="123">
        <f>IF(Plus!$F$10=Plus!$AK$3,MIN(CZ80+CQ81+CT81+CU81+CV81-CX81,DK81),0)</f>
        <v>0</v>
      </c>
      <c r="CZ81" s="297">
        <f t="shared" si="146"/>
        <v>0</v>
      </c>
      <c r="DA81" s="306">
        <f>Plus!O122</f>
        <v>0</v>
      </c>
      <c r="DB81" s="74"/>
      <c r="DC81" s="74"/>
      <c r="DD81" s="407">
        <f t="shared" si="54"/>
        <v>0</v>
      </c>
      <c r="DG81" s="90">
        <f t="shared" si="55"/>
        <v>9</v>
      </c>
      <c r="DH81" s="121">
        <f t="shared" si="108"/>
        <v>0</v>
      </c>
      <c r="DJ81" s="149">
        <f t="shared" si="109"/>
        <v>0</v>
      </c>
      <c r="DK81" s="2179">
        <f t="shared" ca="1" si="56"/>
        <v>0</v>
      </c>
      <c r="DN81" s="120">
        <f t="shared" si="110"/>
        <v>0</v>
      </c>
      <c r="DO81" s="110">
        <f t="shared" si="57"/>
        <v>0</v>
      </c>
      <c r="DP81" s="110">
        <f t="shared" si="124"/>
        <v>0</v>
      </c>
      <c r="DQ81" s="109">
        <f t="shared" si="58"/>
        <v>0</v>
      </c>
      <c r="DR81" s="109">
        <f t="shared" si="59"/>
        <v>0</v>
      </c>
      <c r="DS81" s="113">
        <f t="shared" si="60"/>
        <v>0</v>
      </c>
      <c r="DU81" s="102">
        <f t="shared" si="61"/>
        <v>0</v>
      </c>
      <c r="DV81" s="211">
        <f t="shared" si="125"/>
        <v>57</v>
      </c>
      <c r="DW81" s="212">
        <f t="shared" si="62"/>
        <v>0</v>
      </c>
      <c r="DX81" s="212">
        <f t="shared" si="15"/>
        <v>0</v>
      </c>
      <c r="DY81" s="212">
        <f t="shared" si="111"/>
        <v>0</v>
      </c>
      <c r="DZ81" s="213">
        <f t="shared" si="16"/>
        <v>1000000</v>
      </c>
      <c r="ED81" s="182"/>
      <c r="EF81" s="308">
        <f t="shared" ca="1" si="17"/>
        <v>12</v>
      </c>
      <c r="EG81" s="309">
        <f t="shared" si="63"/>
        <v>0</v>
      </c>
      <c r="EH81" s="268">
        <f t="shared" si="18"/>
        <v>0</v>
      </c>
      <c r="EI81" s="33">
        <f t="shared" si="64"/>
        <v>0</v>
      </c>
      <c r="EJ81" s="33">
        <f t="shared" si="139"/>
        <v>0</v>
      </c>
      <c r="EK81" s="33">
        <f t="shared" si="151"/>
        <v>0</v>
      </c>
      <c r="EL81" s="33">
        <f>IF(ER80&lt;0.01,0,IF(Plus!$F$22=Plus!$AN$4,0,IF(Plus!$F$22=Plus!$AN$3,ER80*Plus!$F$23/1000,ER80*VLOOKUP(Plus!$G$21,Plus!$AP$2:'Plus'!$AQ$5,2,0))))</f>
        <v>0</v>
      </c>
      <c r="EM81" s="33">
        <f>IF(ER80&lt;0.01,0,IF(Plus!$F$24=Plus!$AO$3,0,IF(OR(Plus!$F$10=Plus!$AK$7,Plus!$F$10=Plus!$AK$13),0,Plus!$G$13*Plus!$AR$2)))</f>
        <v>0</v>
      </c>
      <c r="EN81" s="33">
        <f>IF(ER80&lt;0.01,0,IF(OR(Plus!$F$10=Plus!$AK$7,Plus!$F$10=Plus!$AK$13),0,Plus!$BD$2*1.16))</f>
        <v>0</v>
      </c>
      <c r="EO81" s="33">
        <f>IF(ER80&lt;0.01,0,IF(Plus!$AS$2&gt;0,EI81*Plus!$AS$3,0))</f>
        <v>0</v>
      </c>
      <c r="EP81" s="33">
        <f t="shared" si="65"/>
        <v>0</v>
      </c>
      <c r="EQ81" s="33">
        <f>IF(Plus!$F$10=Plus!$AK$3,MIN(ER80+EI81+EL81+EM81+EN81-EP81,FC81),0)</f>
        <v>0</v>
      </c>
      <c r="ER81" s="311">
        <f t="shared" si="145"/>
        <v>0</v>
      </c>
      <c r="ES81" s="340">
        <f>Plus!O122</f>
        <v>0</v>
      </c>
      <c r="ET81" s="74"/>
      <c r="EU81" s="74"/>
      <c r="EV81" s="416">
        <f t="shared" si="134"/>
        <v>0</v>
      </c>
      <c r="EY81" s="90">
        <f t="shared" si="68"/>
        <v>9</v>
      </c>
      <c r="EZ81" s="121">
        <f t="shared" si="112"/>
        <v>0</v>
      </c>
      <c r="FB81" s="149">
        <f t="shared" si="113"/>
        <v>0</v>
      </c>
      <c r="FC81" s="2179">
        <f t="shared" ca="1" si="69"/>
        <v>0</v>
      </c>
      <c r="FE81" s="120">
        <f t="shared" si="114"/>
        <v>0</v>
      </c>
      <c r="FF81" s="110">
        <f t="shared" si="70"/>
        <v>0</v>
      </c>
      <c r="FG81" s="110">
        <f t="shared" si="71"/>
        <v>0</v>
      </c>
      <c r="FH81" s="109">
        <f t="shared" si="72"/>
        <v>0</v>
      </c>
      <c r="FI81" s="109">
        <f t="shared" si="19"/>
        <v>0</v>
      </c>
      <c r="FJ81" s="113">
        <f t="shared" si="73"/>
        <v>0</v>
      </c>
      <c r="FL81" s="102">
        <f t="shared" si="74"/>
        <v>0</v>
      </c>
      <c r="FM81" s="211">
        <f t="shared" si="127"/>
        <v>57</v>
      </c>
      <c r="FN81" s="212">
        <f t="shared" si="75"/>
        <v>0</v>
      </c>
      <c r="FO81" s="212">
        <f t="shared" si="20"/>
        <v>0</v>
      </c>
      <c r="FP81" s="212">
        <f t="shared" si="158"/>
        <v>0</v>
      </c>
      <c r="FQ81" s="213">
        <f t="shared" si="21"/>
        <v>1000000</v>
      </c>
      <c r="FV81" s="359"/>
      <c r="FX81" s="308">
        <f t="shared" ca="1" si="22"/>
        <v>12</v>
      </c>
      <c r="FY81" s="309">
        <f t="shared" si="76"/>
        <v>0</v>
      </c>
      <c r="FZ81" s="268">
        <f t="shared" si="23"/>
        <v>0</v>
      </c>
      <c r="GA81" s="33">
        <f t="shared" si="77"/>
        <v>0</v>
      </c>
      <c r="GB81" s="33">
        <f t="shared" si="141"/>
        <v>0</v>
      </c>
      <c r="GC81" s="33">
        <f t="shared" si="142"/>
        <v>0</v>
      </c>
      <c r="GD81" s="33">
        <f>IF(GJ80&lt;0.01,0,IF(Plus!$F$22=Plus!$AN$4,0,IF(Plus!$F$22=Plus!$AN$3,GJ80*Plus!$F$23/1000,GJ80*VLOOKUP(Plus!$G$21,Plus!$AP$2:$AQ$5,2,0))))</f>
        <v>0</v>
      </c>
      <c r="GE81" s="33">
        <f>IF(GJ80&lt;0.01,0,IF(Plus!$F$24=Plus!$AO$3,0,IF(OR(Plus!$F$10=Plus!$AK$7,Plus!$F$10=Plus!$AK$13,Plus!$F$10=Plus!$AK$14),0,IF(OR(Plus!$F$10=Plus!$AK$10,Plus!$F$10=Plus!$AK$11),Plus!$G$13*Adm!$W$7,Plus!$G$13*Adm!$X$4))))</f>
        <v>0</v>
      </c>
      <c r="GF81" s="33">
        <f>IF(GJ80&lt;0.01,0,IF(OR(Plus!$F$10=Plus!$AK$7,Plus!$F$10=Plus!$AK$13),0,Plus!$BD$2*1.16))</f>
        <v>0</v>
      </c>
      <c r="GG81" s="33">
        <f>IF(GJ80&lt;0.01,0,IF(Plus!$AS$2&gt;0,GA81*Plus!$AS$3,0))</f>
        <v>0</v>
      </c>
      <c r="GH81" s="33">
        <f t="shared" si="78"/>
        <v>0</v>
      </c>
      <c r="GI81" s="33">
        <f>IF(Plus!$F$10=Plus!$AK$3,MIN(GJ80+GA81+GD81+GE81+GF81-GH81,GU81),0)</f>
        <v>0</v>
      </c>
      <c r="GJ81" s="311">
        <f t="shared" si="136"/>
        <v>0</v>
      </c>
      <c r="GK81" s="340">
        <f>Plus!O122</f>
        <v>0</v>
      </c>
      <c r="GL81" s="74"/>
      <c r="GM81" s="74"/>
      <c r="GN81" s="419">
        <f t="shared" si="135"/>
        <v>0</v>
      </c>
      <c r="GQ81" s="90">
        <f t="shared" si="80"/>
        <v>9</v>
      </c>
      <c r="GR81" s="121">
        <f t="shared" si="116"/>
        <v>0</v>
      </c>
      <c r="GT81" s="149">
        <f t="shared" si="117"/>
        <v>0</v>
      </c>
      <c r="GU81" s="2179">
        <f t="shared" ca="1" si="81"/>
        <v>0</v>
      </c>
      <c r="GW81" s="120">
        <f t="shared" si="118"/>
        <v>0</v>
      </c>
      <c r="GX81" s="110">
        <f t="shared" si="82"/>
        <v>0</v>
      </c>
      <c r="GY81" s="110">
        <f t="shared" si="83"/>
        <v>0</v>
      </c>
      <c r="GZ81" s="109">
        <f t="shared" si="84"/>
        <v>0</v>
      </c>
      <c r="HA81" s="109">
        <f t="shared" si="24"/>
        <v>0</v>
      </c>
      <c r="HB81" s="113">
        <f t="shared" si="85"/>
        <v>0</v>
      </c>
      <c r="HD81" s="102">
        <f t="shared" si="86"/>
        <v>0</v>
      </c>
      <c r="HE81" s="211">
        <f t="shared" si="129"/>
        <v>57</v>
      </c>
      <c r="HF81" s="212">
        <f t="shared" si="87"/>
        <v>0</v>
      </c>
      <c r="HG81" s="212">
        <f t="shared" si="25"/>
        <v>0</v>
      </c>
      <c r="HH81" s="212">
        <f t="shared" si="159"/>
        <v>0</v>
      </c>
      <c r="HI81" s="213">
        <f t="shared" si="26"/>
        <v>1000000</v>
      </c>
      <c r="HL81" s="182"/>
      <c r="HM81" s="26">
        <f t="shared" ca="1" si="27"/>
        <v>12</v>
      </c>
      <c r="HO81" s="268">
        <f t="shared" si="28"/>
        <v>0</v>
      </c>
      <c r="HP81" s="151">
        <f t="shared" si="157"/>
        <v>0</v>
      </c>
      <c r="HQ81" s="123">
        <f t="shared" si="88"/>
        <v>0</v>
      </c>
      <c r="HR81" s="123">
        <f t="shared" si="89"/>
        <v>0</v>
      </c>
      <c r="HS81" s="123">
        <f t="shared" si="90"/>
        <v>0</v>
      </c>
      <c r="HT81" s="123">
        <f>IF(HY80&lt;0.01,0,IF(Adm!$GS$4=Adm!$GS$8,HY80*$HY$15,IF(Adm!$GS$12=Adm!$GS$13,0,HY80*Adm!$GV$4)))</f>
        <v>0</v>
      </c>
      <c r="HU81" s="123">
        <f>IF(HY80&lt;0.01,0,IF(Adm!$GS$5=Adm!$GS$8,Cal!$BO$108*$HY$16/1.16,IF(Adm!$GS$12=Adm!$GS$13,0,Cal!$BO$108*Adm!$GW$4/1.16)))</f>
        <v>0</v>
      </c>
      <c r="HV81" s="123">
        <f t="shared" si="91"/>
        <v>0</v>
      </c>
      <c r="HW81" s="123">
        <f t="shared" si="92"/>
        <v>0</v>
      </c>
      <c r="HX81" s="123">
        <f>IF(Adm!$GH$6="si",MIN(HY80+HQ81+HT81+HU81+HV81-HW81,IH81),0)</f>
        <v>0</v>
      </c>
      <c r="HY81" s="297">
        <f t="shared" si="93"/>
        <v>0</v>
      </c>
      <c r="HZ81" s="74"/>
      <c r="IA81" s="407">
        <f t="shared" si="94"/>
        <v>0</v>
      </c>
      <c r="IC81" s="90">
        <f t="shared" si="95"/>
        <v>9</v>
      </c>
      <c r="ID81" s="124">
        <f>IF(IC81=1,Cal!$BO$127,0)</f>
        <v>0</v>
      </c>
      <c r="IE81" s="178">
        <f>IF(IC81=1,Adm!$HI$4,0)</f>
        <v>0</v>
      </c>
      <c r="IG81" s="70">
        <f t="shared" si="121"/>
        <v>0</v>
      </c>
      <c r="IH81" s="2178">
        <f t="shared" ca="1" si="96"/>
        <v>0</v>
      </c>
      <c r="IK81" s="217"/>
      <c r="IL81" s="26">
        <f t="shared" ca="1" si="29"/>
        <v>12</v>
      </c>
      <c r="IN81" s="268">
        <f t="shared" si="30"/>
        <v>0</v>
      </c>
      <c r="IO81" s="151">
        <f t="shared" si="154"/>
        <v>0</v>
      </c>
      <c r="IP81" s="123">
        <f t="shared" si="97"/>
        <v>0</v>
      </c>
      <c r="IQ81" s="123">
        <f t="shared" si="98"/>
        <v>0</v>
      </c>
      <c r="IR81" s="123">
        <f t="shared" si="99"/>
        <v>0</v>
      </c>
      <c r="IS81" s="123">
        <f>IF(IX80&lt;0.01,0,IF(Adm!$GS$4=Adm!$GS$8,IX80*$IX$15,IF(Adm!$GS$12=Adm!$GS$13,0,IX80*Adm!$GV$4)))</f>
        <v>0</v>
      </c>
      <c r="IT81" s="123"/>
      <c r="IU81" s="123">
        <f t="shared" si="100"/>
        <v>0</v>
      </c>
      <c r="IV81" s="123">
        <f t="shared" si="101"/>
        <v>0</v>
      </c>
      <c r="IW81" s="123"/>
      <c r="IX81" s="297">
        <f t="shared" si="102"/>
        <v>0</v>
      </c>
      <c r="IY81" s="74"/>
      <c r="IZ81" s="416">
        <f t="shared" si="103"/>
        <v>0</v>
      </c>
      <c r="JB81" s="90">
        <f t="shared" si="104"/>
        <v>9</v>
      </c>
      <c r="JC81" s="124">
        <f>IF(JB81=1,Cal!$BP$127,0)</f>
        <v>0</v>
      </c>
      <c r="JD81" s="178">
        <f>IF(JB81=1,Adm!$HI$4,0)</f>
        <v>0</v>
      </c>
    </row>
    <row r="82" spans="1:264">
      <c r="A82" s="26">
        <f t="shared" ca="1" si="0"/>
        <v>1</v>
      </c>
      <c r="C82" s="33">
        <f t="shared" si="1"/>
        <v>0</v>
      </c>
      <c r="D82" s="123">
        <f t="shared" si="31"/>
        <v>0</v>
      </c>
      <c r="E82" s="123">
        <f t="shared" si="147"/>
        <v>0</v>
      </c>
      <c r="F82" s="123">
        <f t="shared" si="149"/>
        <v>0</v>
      </c>
      <c r="G82" s="123">
        <f>IF(L81&lt;0.01,0,IF(Adm!$S$4=Adm!$S$8,L81*$L$15,L81*Adm!$V$4))</f>
        <v>0</v>
      </c>
      <c r="H82" s="123">
        <f>IF(L81&lt;0.01,0,IF(Adm!$S$5=Adm!$S$8,Adm!$AA$11*$L$16/1.16,IF(Adm!$B$4=Adm!$A$119,0,Adm!$AA$11*Adm!$X$4/1.16)))</f>
        <v>0</v>
      </c>
      <c r="I82" s="123">
        <f>IF(L81&lt;0.01,0,Cal!$AB$126/1.16)</f>
        <v>0</v>
      </c>
      <c r="J82" s="123">
        <f t="shared" si="2"/>
        <v>0</v>
      </c>
      <c r="K82" s="123">
        <f>IF(Adm!$G$4="si",MIN(L81+D82+G82+H82+I82-J82,V82),0)</f>
        <v>0</v>
      </c>
      <c r="L82" s="123">
        <f t="shared" si="32"/>
        <v>0</v>
      </c>
      <c r="M82" s="74"/>
      <c r="N82" s="74"/>
      <c r="O82" s="407">
        <f t="shared" si="33"/>
        <v>0</v>
      </c>
      <c r="R82" s="90">
        <f t="shared" si="34"/>
        <v>10</v>
      </c>
      <c r="S82" s="121">
        <f>IF(R82=1,Cal!$AB$127,0)</f>
        <v>0</v>
      </c>
      <c r="U82" s="70">
        <f t="shared" si="105"/>
        <v>0</v>
      </c>
      <c r="V82" s="2178">
        <f t="shared" ca="1" si="35"/>
        <v>0</v>
      </c>
      <c r="X82" s="398"/>
      <c r="Z82" s="268">
        <f t="shared" si="3"/>
        <v>0</v>
      </c>
      <c r="AA82" s="2176">
        <f t="shared" si="36"/>
        <v>0</v>
      </c>
      <c r="AB82" s="33">
        <f t="shared" si="37"/>
        <v>0</v>
      </c>
      <c r="AC82" s="33">
        <f t="shared" si="38"/>
        <v>0</v>
      </c>
      <c r="AD82" s="33">
        <f>IF(AI81&lt;0.01,0,IF(Adm!$S$4=Adm!$S$8,AI81*$AI$15,AI81*Adm!$V$4))</f>
        <v>0</v>
      </c>
      <c r="AE82" s="33"/>
      <c r="AF82" s="33"/>
      <c r="AG82" s="33">
        <f t="shared" si="4"/>
        <v>0</v>
      </c>
      <c r="AH82" s="33"/>
      <c r="AI82" s="401">
        <f t="shared" si="5"/>
        <v>0</v>
      </c>
      <c r="AK82" s="410">
        <f t="shared" si="6"/>
        <v>0</v>
      </c>
      <c r="AN82" s="90">
        <f t="shared" si="39"/>
        <v>10</v>
      </c>
      <c r="AO82" s="121">
        <f>IF(AN82=1,Cal!$AC$127,0)</f>
        <v>0</v>
      </c>
      <c r="AS82" s="200"/>
      <c r="AU82" s="268">
        <f t="shared" si="7"/>
        <v>0</v>
      </c>
      <c r="AV82" s="2177">
        <f t="shared" si="40"/>
        <v>0</v>
      </c>
      <c r="AW82" s="123">
        <f t="shared" si="8"/>
        <v>0</v>
      </c>
      <c r="AX82" s="123">
        <f t="shared" si="41"/>
        <v>0</v>
      </c>
      <c r="AY82" s="123">
        <f>IF(BC81&lt;0.01,0,IF(Adm!$S$4=Adm!$S$8,BC81*$BC$16,BC81*Adm!$V$4))</f>
        <v>0</v>
      </c>
      <c r="AZ82" s="123"/>
      <c r="BA82" s="123">
        <f>IF(BC81&lt;0.01,0,Adm!$Q$6)</f>
        <v>0</v>
      </c>
      <c r="BB82" s="123">
        <f t="shared" si="42"/>
        <v>0</v>
      </c>
      <c r="BC82" s="297">
        <f t="shared" si="43"/>
        <v>0</v>
      </c>
      <c r="BE82" s="425">
        <f t="shared" si="9"/>
        <v>0</v>
      </c>
      <c r="BH82" s="90">
        <f t="shared" si="44"/>
        <v>10</v>
      </c>
      <c r="BI82" s="121">
        <f>IF(BH82=1,Cal!$AD$127,0)</f>
        <v>0</v>
      </c>
      <c r="BM82" s="221"/>
      <c r="BO82" s="295">
        <f t="shared" ca="1" si="10"/>
        <v>1</v>
      </c>
      <c r="BP82" s="268">
        <f t="shared" si="11"/>
        <v>0</v>
      </c>
      <c r="BQ82" s="123">
        <f t="shared" si="45"/>
        <v>0</v>
      </c>
      <c r="BR82" s="123">
        <f t="shared" si="148"/>
        <v>0</v>
      </c>
      <c r="BS82" s="123">
        <f t="shared" si="150"/>
        <v>0</v>
      </c>
      <c r="BT82" s="123">
        <f>IF(BZ81&lt;0.01,0,IF(Plus!$F$22=Plus!$AN$4,BZ81*$BZ$15,IF(Plus!$F$22=Plus!$AN$3,BZ81*Plus!$F$23/1000,BZ81*VLOOKUP(Plus!$G$21,Plus!$AP$2:'Plus'!$AQ$5,2,0))))</f>
        <v>0</v>
      </c>
      <c r="BU82" s="123">
        <f>IF(BZ81&lt;0.01,0,IF(Plus!$F$24=Plus!$AO$3,Plus!$G$13*Plus!$AR$2/1.16,IF(Plus!$F$10=Plus!$AK$7,0,Plus!$G$13*Plus!$AR$2/1.16)))</f>
        <v>0</v>
      </c>
      <c r="BV82" s="123">
        <f>IF(BZ81&lt;0.01,0,Plus!$BD$2)</f>
        <v>0</v>
      </c>
      <c r="BW82" s="123"/>
      <c r="BX82" s="123">
        <f t="shared" si="12"/>
        <v>0</v>
      </c>
      <c r="BY82" s="123">
        <f>IF(Plus!$F$10=Plus!$AK$3,MIN(BZ81+BQ82+BT82+BU82+BV82-BX82,CJ82),0)</f>
        <v>0</v>
      </c>
      <c r="BZ82" s="297">
        <f t="shared" si="144"/>
        <v>0</v>
      </c>
      <c r="CA82" s="74"/>
      <c r="CB82" s="74"/>
      <c r="CC82" s="413">
        <f t="shared" si="47"/>
        <v>0</v>
      </c>
      <c r="CF82" s="90">
        <f t="shared" si="48"/>
        <v>10</v>
      </c>
      <c r="CG82" s="121">
        <f t="shared" si="106"/>
        <v>0</v>
      </c>
      <c r="CI82" s="70">
        <f t="shared" si="107"/>
        <v>0</v>
      </c>
      <c r="CJ82" s="2178">
        <f t="shared" ca="1" si="49"/>
        <v>0</v>
      </c>
      <c r="CL82" s="161"/>
      <c r="CN82" s="308">
        <f t="shared" ca="1" si="13"/>
        <v>1</v>
      </c>
      <c r="CO82" s="309">
        <f t="shared" si="50"/>
        <v>0</v>
      </c>
      <c r="CP82" s="268">
        <f t="shared" si="14"/>
        <v>0</v>
      </c>
      <c r="CQ82" s="123">
        <f t="shared" si="51"/>
        <v>0</v>
      </c>
      <c r="CR82" s="123">
        <f t="shared" si="137"/>
        <v>0</v>
      </c>
      <c r="CS82" s="123">
        <f t="shared" si="138"/>
        <v>0</v>
      </c>
      <c r="CT82" s="33">
        <f>IF(CZ81&lt;0.01,0,IF(Plus!$F$22=Plus!$AN$4,0,IF(Plus!$F$22=Plus!$AN$3,CZ81*Plus!$F$23/1000,CZ81*VLOOKUP(Plus!$G$21,Plus!$AP$2:'Plus'!$AQ$5,2,0))))</f>
        <v>0</v>
      </c>
      <c r="CU82" s="123">
        <f>IF(CZ81&lt;0.01,0,IF(Plus!$F$24=Plus!$AO$3,0,IF(OR(Plus!$F$10=Plus!$AK$7,Plus!$F$10=Plus!$AK$13),0,Plus!$G$13*Plus!$AR$2)))</f>
        <v>0</v>
      </c>
      <c r="CV82" s="123">
        <f>IF(CZ81&lt;0.01,0,IF(OR(Plus!$F$10=Plus!$AK$7,Plus!$F$10=Plus!$AK$13),0,Plus!$BD$2*1.16))</f>
        <v>0</v>
      </c>
      <c r="CW82" s="123">
        <f>IF(CZ81&lt;0.01,0,IF(Plus!$AS$2&gt;0,CQ82*Plus!$AS$3,0))</f>
        <v>0</v>
      </c>
      <c r="CX82" s="123">
        <f t="shared" si="52"/>
        <v>0</v>
      </c>
      <c r="CY82" s="123">
        <f>IF(Plus!$F$10=Plus!$AK$3,MIN(CZ81+CQ82+CT82+CU82+CV82-CX82,DK82),0)</f>
        <v>0</v>
      </c>
      <c r="CZ82" s="297">
        <f t="shared" si="146"/>
        <v>0</v>
      </c>
      <c r="DA82" s="306">
        <f>Plus!O123</f>
        <v>0</v>
      </c>
      <c r="DB82" s="74"/>
      <c r="DC82" s="74"/>
      <c r="DD82" s="407">
        <f t="shared" si="54"/>
        <v>0</v>
      </c>
      <c r="DG82" s="90">
        <f t="shared" si="55"/>
        <v>10</v>
      </c>
      <c r="DH82" s="121">
        <f t="shared" si="108"/>
        <v>0</v>
      </c>
      <c r="DJ82" s="149">
        <f t="shared" si="109"/>
        <v>0</v>
      </c>
      <c r="DK82" s="2179">
        <f t="shared" ca="1" si="56"/>
        <v>0</v>
      </c>
      <c r="DN82" s="120">
        <f t="shared" si="110"/>
        <v>0</v>
      </c>
      <c r="DO82" s="110">
        <f t="shared" si="57"/>
        <v>0</v>
      </c>
      <c r="DP82" s="110">
        <f t="shared" si="124"/>
        <v>0</v>
      </c>
      <c r="DQ82" s="109">
        <f t="shared" si="58"/>
        <v>0</v>
      </c>
      <c r="DR82" s="109">
        <f t="shared" si="59"/>
        <v>0</v>
      </c>
      <c r="DS82" s="113">
        <f t="shared" si="60"/>
        <v>0</v>
      </c>
      <c r="DU82" s="102">
        <f t="shared" si="61"/>
        <v>0</v>
      </c>
      <c r="DV82" s="211">
        <f t="shared" si="125"/>
        <v>58</v>
      </c>
      <c r="DW82" s="212">
        <f t="shared" si="62"/>
        <v>0</v>
      </c>
      <c r="DX82" s="212">
        <f t="shared" si="15"/>
        <v>0</v>
      </c>
      <c r="DY82" s="212">
        <f t="shared" si="111"/>
        <v>0</v>
      </c>
      <c r="DZ82" s="213">
        <f t="shared" si="16"/>
        <v>1000000</v>
      </c>
      <c r="ED82" s="182"/>
      <c r="EF82" s="308">
        <f t="shared" ca="1" si="17"/>
        <v>1</v>
      </c>
      <c r="EG82" s="309">
        <f t="shared" si="63"/>
        <v>0</v>
      </c>
      <c r="EH82" s="268">
        <f t="shared" si="18"/>
        <v>0</v>
      </c>
      <c r="EI82" s="33">
        <f t="shared" si="64"/>
        <v>0</v>
      </c>
      <c r="EJ82" s="33">
        <f t="shared" si="139"/>
        <v>0</v>
      </c>
      <c r="EK82" s="33">
        <f t="shared" si="151"/>
        <v>0</v>
      </c>
      <c r="EL82" s="33">
        <f>IF(ER81&lt;0.01,0,IF(Plus!$F$22=Plus!$AN$4,0,IF(Plus!$F$22=Plus!$AN$3,ER81*Plus!$F$23/1000,ER81*VLOOKUP(Plus!$G$21,Plus!$AP$2:'Plus'!$AQ$5,2,0))))</f>
        <v>0</v>
      </c>
      <c r="EM82" s="33">
        <f>IF(ER81&lt;0.01,0,IF(Plus!$F$24=Plus!$AO$3,0,IF(OR(Plus!$F$10=Plus!$AK$7,Plus!$F$10=Plus!$AK$13),0,Plus!$G$13*Plus!$AR$2)))</f>
        <v>0</v>
      </c>
      <c r="EN82" s="33">
        <f>IF(ER81&lt;0.01,0,IF(OR(Plus!$F$10=Plus!$AK$7,Plus!$F$10=Plus!$AK$13),0,Plus!$BD$2*1.16))</f>
        <v>0</v>
      </c>
      <c r="EO82" s="33">
        <f>IF(ER81&lt;0.01,0,IF(Plus!$AS$2&gt;0,EI82*Plus!$AS$3,0))</f>
        <v>0</v>
      </c>
      <c r="EP82" s="33">
        <f t="shared" si="65"/>
        <v>0</v>
      </c>
      <c r="EQ82" s="33">
        <f>IF(Plus!$F$10=Plus!$AK$3,MIN(ER81+EI82+EL82+EM82+EN82-EP82,FC82),0)</f>
        <v>0</v>
      </c>
      <c r="ER82" s="311">
        <f t="shared" si="145"/>
        <v>0</v>
      </c>
      <c r="ES82" s="340">
        <f>Plus!O123</f>
        <v>0</v>
      </c>
      <c r="ET82" s="74"/>
      <c r="EU82" s="74"/>
      <c r="EV82" s="416">
        <f t="shared" si="134"/>
        <v>0</v>
      </c>
      <c r="EY82" s="90">
        <f t="shared" si="68"/>
        <v>10</v>
      </c>
      <c r="EZ82" s="121">
        <f t="shared" si="112"/>
        <v>0</v>
      </c>
      <c r="FB82" s="149">
        <f t="shared" si="113"/>
        <v>0</v>
      </c>
      <c r="FC82" s="2179">
        <f t="shared" ca="1" si="69"/>
        <v>0</v>
      </c>
      <c r="FE82" s="120">
        <f t="shared" si="114"/>
        <v>0</v>
      </c>
      <c r="FF82" s="110">
        <f t="shared" si="70"/>
        <v>0</v>
      </c>
      <c r="FG82" s="110">
        <f t="shared" si="71"/>
        <v>0</v>
      </c>
      <c r="FH82" s="109">
        <f t="shared" si="72"/>
        <v>0</v>
      </c>
      <c r="FI82" s="109">
        <f t="shared" si="19"/>
        <v>0</v>
      </c>
      <c r="FJ82" s="113">
        <f t="shared" si="73"/>
        <v>0</v>
      </c>
      <c r="FL82" s="102">
        <f t="shared" si="74"/>
        <v>0</v>
      </c>
      <c r="FM82" s="211">
        <f t="shared" si="127"/>
        <v>58</v>
      </c>
      <c r="FN82" s="212">
        <f t="shared" si="75"/>
        <v>0</v>
      </c>
      <c r="FO82" s="212">
        <f t="shared" si="20"/>
        <v>0</v>
      </c>
      <c r="FP82" s="212">
        <f t="shared" si="158"/>
        <v>0</v>
      </c>
      <c r="FQ82" s="213">
        <f t="shared" si="21"/>
        <v>1000000</v>
      </c>
      <c r="FV82" s="359"/>
      <c r="FX82" s="308">
        <f t="shared" ca="1" si="22"/>
        <v>1</v>
      </c>
      <c r="FY82" s="309">
        <f t="shared" si="76"/>
        <v>0</v>
      </c>
      <c r="FZ82" s="268">
        <f t="shared" si="23"/>
        <v>0</v>
      </c>
      <c r="GA82" s="33">
        <f t="shared" si="77"/>
        <v>0</v>
      </c>
      <c r="GB82" s="33">
        <f t="shared" si="141"/>
        <v>0</v>
      </c>
      <c r="GC82" s="33">
        <f t="shared" si="142"/>
        <v>0</v>
      </c>
      <c r="GD82" s="33">
        <f>IF(GJ81&lt;0.01,0,IF(Plus!$F$22=Plus!$AN$4,0,IF(Plus!$F$22=Plus!$AN$3,GJ81*Plus!$F$23/1000,GJ81*VLOOKUP(Plus!$G$21,Plus!$AP$2:$AQ$5,2,0))))</f>
        <v>0</v>
      </c>
      <c r="GE82" s="33">
        <f>IF(GJ81&lt;0.01,0,IF(Plus!$F$24=Plus!$AO$3,0,IF(OR(Plus!$F$10=Plus!$AK$7,Plus!$F$10=Plus!$AK$13,Plus!$F$10=Plus!$AK$14),0,IF(OR(Plus!$F$10=Plus!$AK$10,Plus!$F$10=Plus!$AK$11),Plus!$G$13*Adm!$W$7,Plus!$G$13*Adm!$X$4))))</f>
        <v>0</v>
      </c>
      <c r="GF82" s="33">
        <f>IF(GJ81&lt;0.01,0,IF(OR(Plus!$F$10=Plus!$AK$7,Plus!$F$10=Plus!$AK$13),0,Plus!$BD$2*1.16))</f>
        <v>0</v>
      </c>
      <c r="GG82" s="33">
        <f>IF(GJ81&lt;0.01,0,IF(Plus!$AS$2&gt;0,GA82*Plus!$AS$3,0))</f>
        <v>0</v>
      </c>
      <c r="GH82" s="33">
        <f t="shared" si="78"/>
        <v>0</v>
      </c>
      <c r="GI82" s="33">
        <f>IF(Plus!$F$10=Plus!$AK$3,MIN(GJ81+GA82+GD82+GE82+GF82-GH82,GU82),0)</f>
        <v>0</v>
      </c>
      <c r="GJ82" s="311">
        <f t="shared" si="136"/>
        <v>0</v>
      </c>
      <c r="GK82" s="340">
        <f>Plus!O123</f>
        <v>0</v>
      </c>
      <c r="GL82" s="74"/>
      <c r="GM82" s="74"/>
      <c r="GN82" s="419">
        <f t="shared" si="135"/>
        <v>0</v>
      </c>
      <c r="GQ82" s="90">
        <f t="shared" si="80"/>
        <v>10</v>
      </c>
      <c r="GR82" s="121">
        <f t="shared" si="116"/>
        <v>0</v>
      </c>
      <c r="GT82" s="149">
        <f t="shared" si="117"/>
        <v>0</v>
      </c>
      <c r="GU82" s="2179">
        <f t="shared" ca="1" si="81"/>
        <v>0</v>
      </c>
      <c r="GW82" s="120">
        <f t="shared" si="118"/>
        <v>0</v>
      </c>
      <c r="GX82" s="110">
        <f t="shared" si="82"/>
        <v>0</v>
      </c>
      <c r="GY82" s="110">
        <f t="shared" si="83"/>
        <v>0</v>
      </c>
      <c r="GZ82" s="109">
        <f t="shared" si="84"/>
        <v>0</v>
      </c>
      <c r="HA82" s="109">
        <f t="shared" si="24"/>
        <v>0</v>
      </c>
      <c r="HB82" s="113">
        <f t="shared" si="85"/>
        <v>0</v>
      </c>
      <c r="HD82" s="102">
        <f t="shared" si="86"/>
        <v>0</v>
      </c>
      <c r="HE82" s="211">
        <f t="shared" si="129"/>
        <v>58</v>
      </c>
      <c r="HF82" s="212">
        <f t="shared" si="87"/>
        <v>0</v>
      </c>
      <c r="HG82" s="212">
        <f t="shared" si="25"/>
        <v>0</v>
      </c>
      <c r="HH82" s="212">
        <f t="shared" si="159"/>
        <v>0</v>
      </c>
      <c r="HI82" s="213">
        <f t="shared" si="26"/>
        <v>1000000</v>
      </c>
      <c r="HL82" s="182"/>
      <c r="HM82" s="26">
        <f t="shared" ca="1" si="27"/>
        <v>1</v>
      </c>
      <c r="HO82" s="268">
        <f t="shared" si="28"/>
        <v>0</v>
      </c>
      <c r="HP82" s="151">
        <f t="shared" si="157"/>
        <v>0</v>
      </c>
      <c r="HQ82" s="123">
        <f t="shared" si="88"/>
        <v>0</v>
      </c>
      <c r="HR82" s="123">
        <f t="shared" si="89"/>
        <v>0</v>
      </c>
      <c r="HS82" s="123">
        <f t="shared" si="90"/>
        <v>0</v>
      </c>
      <c r="HT82" s="123">
        <f>IF(HY81&lt;0.01,0,IF(Adm!$GS$4=Adm!$GS$8,HY81*$HY$15,IF(Adm!$GS$12=Adm!$GS$13,0,HY81*Adm!$GV$4)))</f>
        <v>0</v>
      </c>
      <c r="HU82" s="123">
        <f>IF(HY81&lt;0.01,0,IF(Adm!$GS$5=Adm!$GS$8,Cal!$BO$108*$HY$16/1.16,IF(Adm!$GS$12=Adm!$GS$13,0,Cal!$BO$108*Adm!$GW$4/1.16)))</f>
        <v>0</v>
      </c>
      <c r="HV82" s="123">
        <f t="shared" si="91"/>
        <v>0</v>
      </c>
      <c r="HW82" s="123">
        <f t="shared" si="92"/>
        <v>0</v>
      </c>
      <c r="HX82" s="123">
        <f>IF(Adm!$GH$6="si",MIN(HY81+HQ82+HT82+HU82+HV82-HW82,IH82),0)</f>
        <v>0</v>
      </c>
      <c r="HY82" s="297">
        <f t="shared" si="93"/>
        <v>0</v>
      </c>
      <c r="HZ82" s="74"/>
      <c r="IA82" s="407">
        <f t="shared" si="94"/>
        <v>0</v>
      </c>
      <c r="IC82" s="90">
        <f t="shared" si="95"/>
        <v>10</v>
      </c>
      <c r="ID82" s="124">
        <f>IF(IC82=1,Cal!$BO$127,0)</f>
        <v>0</v>
      </c>
      <c r="IE82" s="178">
        <f>IF(IC82=1,Adm!$HI$4,0)</f>
        <v>0</v>
      </c>
      <c r="IG82" s="70">
        <f t="shared" si="121"/>
        <v>0</v>
      </c>
      <c r="IH82" s="2178">
        <f t="shared" ca="1" si="96"/>
        <v>0</v>
      </c>
      <c r="IK82" s="217"/>
      <c r="IL82" s="26">
        <f t="shared" ca="1" si="29"/>
        <v>1</v>
      </c>
      <c r="IN82" s="268">
        <f t="shared" si="30"/>
        <v>0</v>
      </c>
      <c r="IO82" s="151">
        <f t="shared" si="154"/>
        <v>0</v>
      </c>
      <c r="IP82" s="123">
        <f t="shared" si="97"/>
        <v>0</v>
      </c>
      <c r="IQ82" s="123">
        <f t="shared" si="98"/>
        <v>0</v>
      </c>
      <c r="IR82" s="123">
        <f t="shared" si="99"/>
        <v>0</v>
      </c>
      <c r="IS82" s="123">
        <f>IF(IX81&lt;0.01,0,IF(Adm!$GS$4=Adm!$GS$8,IX81*$IX$15,IF(Adm!$GS$12=Adm!$GS$13,0,IX81*Adm!$GV$4)))</f>
        <v>0</v>
      </c>
      <c r="IT82" s="123"/>
      <c r="IU82" s="123">
        <f t="shared" si="100"/>
        <v>0</v>
      </c>
      <c r="IV82" s="123">
        <f t="shared" si="101"/>
        <v>0</v>
      </c>
      <c r="IW82" s="123"/>
      <c r="IX82" s="297">
        <f t="shared" si="102"/>
        <v>0</v>
      </c>
      <c r="IY82" s="74"/>
      <c r="IZ82" s="416">
        <f t="shared" si="103"/>
        <v>0</v>
      </c>
      <c r="JB82" s="90">
        <f t="shared" si="104"/>
        <v>10</v>
      </c>
      <c r="JC82" s="124">
        <f>IF(JB82=1,Cal!$BP$127,0)</f>
        <v>0</v>
      </c>
      <c r="JD82" s="178">
        <f>IF(JB82=1,Adm!$HI$4,0)</f>
        <v>0</v>
      </c>
    </row>
    <row r="83" spans="1:264">
      <c r="A83" s="26">
        <f t="shared" ca="1" si="0"/>
        <v>2</v>
      </c>
      <c r="C83" s="33">
        <f t="shared" si="1"/>
        <v>0</v>
      </c>
      <c r="D83" s="123">
        <f t="shared" si="31"/>
        <v>0</v>
      </c>
      <c r="E83" s="123">
        <f t="shared" si="147"/>
        <v>0</v>
      </c>
      <c r="F83" s="123">
        <f t="shared" si="149"/>
        <v>0</v>
      </c>
      <c r="G83" s="123">
        <f>IF(L82&lt;0.01,0,IF(Adm!$S$4=Adm!$S$8,L82*$L$15,L82*Adm!$V$4))</f>
        <v>0</v>
      </c>
      <c r="H83" s="123">
        <f>IF(L82&lt;0.01,0,IF(Adm!$S$5=Adm!$S$8,Adm!$AA$11*$L$16/1.16,IF(Adm!$B$4=Adm!$A$119,0,Adm!$AA$11*Adm!$X$4/1.16)))</f>
        <v>0</v>
      </c>
      <c r="I83" s="123">
        <f>IF(L82&lt;0.01,0,Cal!$AB$126/1.16)</f>
        <v>0</v>
      </c>
      <c r="J83" s="123">
        <f t="shared" si="2"/>
        <v>0</v>
      </c>
      <c r="K83" s="123">
        <f>IF(Adm!$G$4="si",MIN(L82+D83+G83+H83+I83-J83,V83),0)</f>
        <v>0</v>
      </c>
      <c r="L83" s="123">
        <f t="shared" si="32"/>
        <v>0</v>
      </c>
      <c r="M83" s="74"/>
      <c r="N83" s="74"/>
      <c r="O83" s="407">
        <f t="shared" si="33"/>
        <v>0</v>
      </c>
      <c r="R83" s="90">
        <f t="shared" si="34"/>
        <v>11</v>
      </c>
      <c r="S83" s="121">
        <f>IF(R83=1,Cal!$AB$127,0)</f>
        <v>0</v>
      </c>
      <c r="U83" s="70">
        <f t="shared" si="105"/>
        <v>0</v>
      </c>
      <c r="V83" s="2178">
        <f t="shared" ca="1" si="35"/>
        <v>0</v>
      </c>
      <c r="X83" s="398"/>
      <c r="Z83" s="268">
        <f t="shared" si="3"/>
        <v>0</v>
      </c>
      <c r="AA83" s="2176">
        <f t="shared" si="36"/>
        <v>0</v>
      </c>
      <c r="AB83" s="33">
        <f t="shared" si="37"/>
        <v>0</v>
      </c>
      <c r="AC83" s="33">
        <f t="shared" si="38"/>
        <v>0</v>
      </c>
      <c r="AD83" s="33">
        <f>IF(AI82&lt;0.01,0,IF(Adm!$S$4=Adm!$S$8,AI82*$AI$15,AI82*Adm!$V$4))</f>
        <v>0</v>
      </c>
      <c r="AE83" s="33"/>
      <c r="AF83" s="33"/>
      <c r="AG83" s="33">
        <f t="shared" si="4"/>
        <v>0</v>
      </c>
      <c r="AH83" s="33"/>
      <c r="AI83" s="401">
        <f t="shared" si="5"/>
        <v>0</v>
      </c>
      <c r="AK83" s="410">
        <f t="shared" si="6"/>
        <v>0</v>
      </c>
      <c r="AN83" s="90">
        <f t="shared" si="39"/>
        <v>11</v>
      </c>
      <c r="AO83" s="121">
        <f>IF(AN83=1,Cal!$AC$127,0)</f>
        <v>0</v>
      </c>
      <c r="AS83" s="200"/>
      <c r="AU83" s="268">
        <f t="shared" si="7"/>
        <v>0</v>
      </c>
      <c r="AV83" s="2177">
        <f t="shared" si="40"/>
        <v>0</v>
      </c>
      <c r="AW83" s="123">
        <f t="shared" si="8"/>
        <v>0</v>
      </c>
      <c r="AX83" s="123">
        <f t="shared" si="41"/>
        <v>0</v>
      </c>
      <c r="AY83" s="123">
        <f>IF(BC82&lt;0.01,0,IF(Adm!$S$4=Adm!$S$8,BC82*$BC$16,BC82*Adm!$V$4))</f>
        <v>0</v>
      </c>
      <c r="AZ83" s="123"/>
      <c r="BA83" s="123">
        <f>IF(BC82&lt;0.01,0,Adm!$Q$6)</f>
        <v>0</v>
      </c>
      <c r="BB83" s="123">
        <f t="shared" si="42"/>
        <v>0</v>
      </c>
      <c r="BC83" s="297">
        <f t="shared" si="43"/>
        <v>0</v>
      </c>
      <c r="BE83" s="425">
        <f t="shared" si="9"/>
        <v>0</v>
      </c>
      <c r="BH83" s="90">
        <f t="shared" si="44"/>
        <v>11</v>
      </c>
      <c r="BI83" s="121">
        <f>IF(BH83=1,Cal!$AD$127,0)</f>
        <v>0</v>
      </c>
      <c r="BM83" s="221"/>
      <c r="BO83" s="295">
        <f t="shared" ca="1" si="10"/>
        <v>2</v>
      </c>
      <c r="BP83" s="268">
        <f t="shared" si="11"/>
        <v>0</v>
      </c>
      <c r="BQ83" s="123">
        <f t="shared" si="45"/>
        <v>0</v>
      </c>
      <c r="BR83" s="123">
        <f t="shared" si="148"/>
        <v>0</v>
      </c>
      <c r="BS83" s="123">
        <f t="shared" si="150"/>
        <v>0</v>
      </c>
      <c r="BT83" s="123">
        <f>IF(BZ82&lt;0.01,0,IF(Plus!$F$22=Plus!$AN$4,BZ82*$BZ$15,IF(Plus!$F$22=Plus!$AN$3,BZ82*Plus!$F$23/1000,BZ82*VLOOKUP(Plus!$G$21,Plus!$AP$2:'Plus'!$AQ$5,2,0))))</f>
        <v>0</v>
      </c>
      <c r="BU83" s="123">
        <f>IF(BZ82&lt;0.01,0,IF(Plus!$F$24=Plus!$AO$3,Plus!$G$13*Plus!$AR$2/1.16,IF(Plus!$F$10=Plus!$AK$7,0,Plus!$G$13*Plus!$AR$2/1.16)))</f>
        <v>0</v>
      </c>
      <c r="BV83" s="123">
        <f>IF(BZ82&lt;0.01,0,Plus!$BD$2)</f>
        <v>0</v>
      </c>
      <c r="BW83" s="123"/>
      <c r="BX83" s="123">
        <f t="shared" si="12"/>
        <v>0</v>
      </c>
      <c r="BY83" s="123">
        <f>IF(Plus!$F$10=Plus!$AK$3,MIN(BZ82+BQ83+BT83+BU83+BV83-BX83,CJ83),0)</f>
        <v>0</v>
      </c>
      <c r="BZ83" s="297">
        <f t="shared" si="144"/>
        <v>0</v>
      </c>
      <c r="CA83" s="74"/>
      <c r="CB83" s="74"/>
      <c r="CC83" s="413">
        <f t="shared" si="47"/>
        <v>0</v>
      </c>
      <c r="CF83" s="90">
        <f t="shared" si="48"/>
        <v>11</v>
      </c>
      <c r="CG83" s="121">
        <f t="shared" si="106"/>
        <v>0</v>
      </c>
      <c r="CI83" s="70">
        <f t="shared" si="107"/>
        <v>0</v>
      </c>
      <c r="CJ83" s="2178">
        <f t="shared" ca="1" si="49"/>
        <v>0</v>
      </c>
      <c r="CL83" s="161"/>
      <c r="CN83" s="308">
        <f t="shared" ca="1" si="13"/>
        <v>2</v>
      </c>
      <c r="CO83" s="309">
        <f t="shared" si="50"/>
        <v>0</v>
      </c>
      <c r="CP83" s="268">
        <f t="shared" si="14"/>
        <v>0</v>
      </c>
      <c r="CQ83" s="123">
        <f t="shared" si="51"/>
        <v>0</v>
      </c>
      <c r="CR83" s="123">
        <f t="shared" si="137"/>
        <v>0</v>
      </c>
      <c r="CS83" s="123">
        <f t="shared" si="138"/>
        <v>0</v>
      </c>
      <c r="CT83" s="33">
        <f>IF(CZ82&lt;0.01,0,IF(Plus!$F$22=Plus!$AN$4,0,IF(Plus!$F$22=Plus!$AN$3,CZ82*Plus!$F$23/1000,CZ82*VLOOKUP(Plus!$G$21,Plus!$AP$2:'Plus'!$AQ$5,2,0))))</f>
        <v>0</v>
      </c>
      <c r="CU83" s="123">
        <f>IF(CZ82&lt;0.01,0,IF(Plus!$F$24=Plus!$AO$3,0,IF(OR(Plus!$F$10=Plus!$AK$7,Plus!$F$10=Plus!$AK$13),0,Plus!$G$13*Plus!$AR$2)))</f>
        <v>0</v>
      </c>
      <c r="CV83" s="123">
        <f>IF(CZ82&lt;0.01,0,IF(OR(Plus!$F$10=Plus!$AK$7,Plus!$F$10=Plus!$AK$13),0,Plus!$BD$2*1.16))</f>
        <v>0</v>
      </c>
      <c r="CW83" s="123">
        <f>IF(CZ82&lt;0.01,0,IF(Plus!$AS$2&gt;0,CQ83*Plus!$AS$3,0))</f>
        <v>0</v>
      </c>
      <c r="CX83" s="123">
        <f t="shared" si="52"/>
        <v>0</v>
      </c>
      <c r="CY83" s="123">
        <f>IF(Plus!$F$10=Plus!$AK$3,MIN(CZ82+CQ83+CT83+CU83+CV83-CX83,DK83),0)</f>
        <v>0</v>
      </c>
      <c r="CZ83" s="297">
        <f t="shared" si="146"/>
        <v>0</v>
      </c>
      <c r="DA83" s="306">
        <f>Plus!O124</f>
        <v>0</v>
      </c>
      <c r="DB83" s="74"/>
      <c r="DC83" s="74"/>
      <c r="DD83" s="407">
        <f t="shared" si="54"/>
        <v>0</v>
      </c>
      <c r="DG83" s="90">
        <f t="shared" si="55"/>
        <v>11</v>
      </c>
      <c r="DH83" s="121">
        <f t="shared" si="108"/>
        <v>0</v>
      </c>
      <c r="DJ83" s="149">
        <f t="shared" si="109"/>
        <v>0</v>
      </c>
      <c r="DK83" s="2179">
        <f t="shared" ca="1" si="56"/>
        <v>0</v>
      </c>
      <c r="DN83" s="120">
        <f t="shared" si="110"/>
        <v>0</v>
      </c>
      <c r="DO83" s="110">
        <f t="shared" si="57"/>
        <v>0</v>
      </c>
      <c r="DP83" s="110">
        <f t="shared" si="124"/>
        <v>0</v>
      </c>
      <c r="DQ83" s="109">
        <f t="shared" si="58"/>
        <v>0</v>
      </c>
      <c r="DR83" s="109">
        <f t="shared" si="59"/>
        <v>0</v>
      </c>
      <c r="DS83" s="113">
        <f t="shared" si="60"/>
        <v>0</v>
      </c>
      <c r="DU83" s="102">
        <f t="shared" si="61"/>
        <v>0</v>
      </c>
      <c r="DV83" s="211">
        <f t="shared" si="125"/>
        <v>59</v>
      </c>
      <c r="DW83" s="212">
        <f t="shared" si="62"/>
        <v>0</v>
      </c>
      <c r="DX83" s="212">
        <f t="shared" si="15"/>
        <v>0</v>
      </c>
      <c r="DY83" s="212">
        <f t="shared" si="111"/>
        <v>0</v>
      </c>
      <c r="DZ83" s="213">
        <f t="shared" si="16"/>
        <v>1000000</v>
      </c>
      <c r="ED83" s="182"/>
      <c r="EF83" s="308">
        <f t="shared" ca="1" si="17"/>
        <v>2</v>
      </c>
      <c r="EG83" s="309">
        <f t="shared" si="63"/>
        <v>0</v>
      </c>
      <c r="EH83" s="268">
        <f t="shared" si="18"/>
        <v>0</v>
      </c>
      <c r="EI83" s="33">
        <f t="shared" si="64"/>
        <v>0</v>
      </c>
      <c r="EJ83" s="33">
        <f t="shared" si="139"/>
        <v>0</v>
      </c>
      <c r="EK83" s="33">
        <f t="shared" si="151"/>
        <v>0</v>
      </c>
      <c r="EL83" s="33">
        <f>IF(ER82&lt;0.01,0,IF(Plus!$F$22=Plus!$AN$4,0,IF(Plus!$F$22=Plus!$AN$3,ER82*Plus!$F$23/1000,ER82*VLOOKUP(Plus!$G$21,Plus!$AP$2:'Plus'!$AQ$5,2,0))))</f>
        <v>0</v>
      </c>
      <c r="EM83" s="33">
        <f>IF(ER82&lt;0.01,0,IF(Plus!$F$24=Plus!$AO$3,0,IF(OR(Plus!$F$10=Plus!$AK$7,Plus!$F$10=Plus!$AK$13),0,Plus!$G$13*Plus!$AR$2)))</f>
        <v>0</v>
      </c>
      <c r="EN83" s="33">
        <f>IF(ER82&lt;0.01,0,IF(OR(Plus!$F$10=Plus!$AK$7,Plus!$F$10=Plus!$AK$13),0,Plus!$BD$2*1.16))</f>
        <v>0</v>
      </c>
      <c r="EO83" s="33">
        <f>IF(ER82&lt;0.01,0,IF(Plus!$AS$2&gt;0,EI83*Plus!$AS$3,0))</f>
        <v>0</v>
      </c>
      <c r="EP83" s="33">
        <f t="shared" si="65"/>
        <v>0</v>
      </c>
      <c r="EQ83" s="33">
        <f>IF(Plus!$F$10=Plus!$AK$3,MIN(ER82+EI83+EL83+EM83+EN83-EP83,FC83),0)</f>
        <v>0</v>
      </c>
      <c r="ER83" s="311">
        <f t="shared" si="145"/>
        <v>0</v>
      </c>
      <c r="ES83" s="340">
        <f>Plus!O124</f>
        <v>0</v>
      </c>
      <c r="ET83" s="74"/>
      <c r="EU83" s="74"/>
      <c r="EV83" s="416">
        <f t="shared" si="134"/>
        <v>0</v>
      </c>
      <c r="EY83" s="90">
        <f t="shared" si="68"/>
        <v>11</v>
      </c>
      <c r="EZ83" s="121">
        <f t="shared" si="112"/>
        <v>0</v>
      </c>
      <c r="FB83" s="149">
        <f t="shared" si="113"/>
        <v>0</v>
      </c>
      <c r="FC83" s="2179">
        <f t="shared" ca="1" si="69"/>
        <v>0</v>
      </c>
      <c r="FE83" s="120">
        <f t="shared" si="114"/>
        <v>0</v>
      </c>
      <c r="FF83" s="110">
        <f t="shared" si="70"/>
        <v>0</v>
      </c>
      <c r="FG83" s="110">
        <f t="shared" si="71"/>
        <v>0</v>
      </c>
      <c r="FH83" s="109">
        <f t="shared" si="72"/>
        <v>0</v>
      </c>
      <c r="FI83" s="109">
        <f t="shared" si="19"/>
        <v>0</v>
      </c>
      <c r="FJ83" s="113">
        <f t="shared" si="73"/>
        <v>0</v>
      </c>
      <c r="FL83" s="102">
        <f t="shared" si="74"/>
        <v>0</v>
      </c>
      <c r="FM83" s="211">
        <f t="shared" si="127"/>
        <v>59</v>
      </c>
      <c r="FN83" s="212">
        <f t="shared" si="75"/>
        <v>0</v>
      </c>
      <c r="FO83" s="212">
        <f t="shared" si="20"/>
        <v>0</v>
      </c>
      <c r="FP83" s="212">
        <f t="shared" si="158"/>
        <v>0</v>
      </c>
      <c r="FQ83" s="213">
        <f t="shared" si="21"/>
        <v>1000000</v>
      </c>
      <c r="FV83" s="359"/>
      <c r="FX83" s="308">
        <f t="shared" ca="1" si="22"/>
        <v>2</v>
      </c>
      <c r="FY83" s="309">
        <f t="shared" si="76"/>
        <v>0</v>
      </c>
      <c r="FZ83" s="268">
        <f t="shared" si="23"/>
        <v>0</v>
      </c>
      <c r="GA83" s="33">
        <f t="shared" si="77"/>
        <v>0</v>
      </c>
      <c r="GB83" s="33">
        <f t="shared" si="141"/>
        <v>0</v>
      </c>
      <c r="GC83" s="33">
        <f t="shared" si="142"/>
        <v>0</v>
      </c>
      <c r="GD83" s="33">
        <f>IF(GJ82&lt;0.01,0,IF(Plus!$F$22=Plus!$AN$4,0,IF(Plus!$F$22=Plus!$AN$3,GJ82*Plus!$F$23/1000,GJ82*VLOOKUP(Plus!$G$21,Plus!$AP$2:$AQ$5,2,0))))</f>
        <v>0</v>
      </c>
      <c r="GE83" s="33">
        <f>IF(GJ82&lt;0.01,0,IF(Plus!$F$24=Plus!$AO$3,0,IF(OR(Plus!$F$10=Plus!$AK$7,Plus!$F$10=Plus!$AK$13,Plus!$F$10=Plus!$AK$14),0,IF(OR(Plus!$F$10=Plus!$AK$10,Plus!$F$10=Plus!$AK$11),Plus!$G$13*Adm!$W$7,Plus!$G$13*Adm!$X$4))))</f>
        <v>0</v>
      </c>
      <c r="GF83" s="33">
        <f>IF(GJ82&lt;0.01,0,IF(OR(Plus!$F$10=Plus!$AK$7,Plus!$F$10=Plus!$AK$13),0,Plus!$BD$2*1.16))</f>
        <v>0</v>
      </c>
      <c r="GG83" s="33">
        <f>IF(GJ82&lt;0.01,0,IF(Plus!$AS$2&gt;0,GA83*Plus!$AS$3,0))</f>
        <v>0</v>
      </c>
      <c r="GH83" s="33">
        <f t="shared" si="78"/>
        <v>0</v>
      </c>
      <c r="GI83" s="33">
        <f>IF(Plus!$F$10=Plus!$AK$3,MIN(GJ82+GA83+GD83+GE83+GF83-GH83,GU83),0)</f>
        <v>0</v>
      </c>
      <c r="GJ83" s="311">
        <f t="shared" si="136"/>
        <v>0</v>
      </c>
      <c r="GK83" s="340">
        <f>Plus!O124</f>
        <v>0</v>
      </c>
      <c r="GL83" s="74"/>
      <c r="GM83" s="74"/>
      <c r="GN83" s="419">
        <f t="shared" si="135"/>
        <v>0</v>
      </c>
      <c r="GQ83" s="90">
        <f t="shared" si="80"/>
        <v>11</v>
      </c>
      <c r="GR83" s="121">
        <f t="shared" si="116"/>
        <v>0</v>
      </c>
      <c r="GT83" s="149">
        <f t="shared" si="117"/>
        <v>0</v>
      </c>
      <c r="GU83" s="2179">
        <f t="shared" ca="1" si="81"/>
        <v>0</v>
      </c>
      <c r="GW83" s="120">
        <f t="shared" si="118"/>
        <v>0</v>
      </c>
      <c r="GX83" s="110">
        <f t="shared" si="82"/>
        <v>0</v>
      </c>
      <c r="GY83" s="110">
        <f t="shared" si="83"/>
        <v>0</v>
      </c>
      <c r="GZ83" s="109">
        <f t="shared" si="84"/>
        <v>0</v>
      </c>
      <c r="HA83" s="109">
        <f t="shared" si="24"/>
        <v>0</v>
      </c>
      <c r="HB83" s="113">
        <f t="shared" si="85"/>
        <v>0</v>
      </c>
      <c r="HD83" s="102">
        <f t="shared" si="86"/>
        <v>0</v>
      </c>
      <c r="HE83" s="211">
        <f t="shared" si="129"/>
        <v>59</v>
      </c>
      <c r="HF83" s="212">
        <f t="shared" si="87"/>
        <v>0</v>
      </c>
      <c r="HG83" s="212">
        <f t="shared" si="25"/>
        <v>0</v>
      </c>
      <c r="HH83" s="212">
        <f t="shared" si="159"/>
        <v>0</v>
      </c>
      <c r="HI83" s="213">
        <f t="shared" si="26"/>
        <v>1000000</v>
      </c>
      <c r="HL83" s="182"/>
      <c r="HM83" s="26">
        <f t="shared" ca="1" si="27"/>
        <v>2</v>
      </c>
      <c r="HO83" s="268">
        <f t="shared" si="28"/>
        <v>0</v>
      </c>
      <c r="HP83" s="151">
        <f t="shared" si="157"/>
        <v>0</v>
      </c>
      <c r="HQ83" s="123">
        <f t="shared" si="88"/>
        <v>0</v>
      </c>
      <c r="HR83" s="123">
        <f t="shared" si="89"/>
        <v>0</v>
      </c>
      <c r="HS83" s="123">
        <f t="shared" si="90"/>
        <v>0</v>
      </c>
      <c r="HT83" s="123">
        <f>IF(HY82&lt;0.01,0,IF(Adm!$GS$4=Adm!$GS$8,HY82*$HY$15,IF(Adm!$GS$12=Adm!$GS$13,0,HY82*Adm!$GV$4)))</f>
        <v>0</v>
      </c>
      <c r="HU83" s="123">
        <f>IF(HY82&lt;0.01,0,IF(Adm!$GS$5=Adm!$GS$8,Cal!$BO$108*$HY$16/1.16,IF(Adm!$GS$12=Adm!$GS$13,0,Cal!$BO$108*Adm!$GW$4/1.16)))</f>
        <v>0</v>
      </c>
      <c r="HV83" s="123">
        <f t="shared" si="91"/>
        <v>0</v>
      </c>
      <c r="HW83" s="123">
        <f t="shared" si="92"/>
        <v>0</v>
      </c>
      <c r="HX83" s="123">
        <f>IF(Adm!$GH$6="si",MIN(HY82+HQ83+HT83+HU83+HV83-HW83,IH83),0)</f>
        <v>0</v>
      </c>
      <c r="HY83" s="297">
        <f t="shared" si="93"/>
        <v>0</v>
      </c>
      <c r="HZ83" s="74"/>
      <c r="IA83" s="407">
        <f t="shared" si="94"/>
        <v>0</v>
      </c>
      <c r="IC83" s="90">
        <f t="shared" si="95"/>
        <v>11</v>
      </c>
      <c r="ID83" s="124">
        <f>IF(IC83=1,Cal!$BO$127,0)</f>
        <v>0</v>
      </c>
      <c r="IE83" s="178">
        <f>IF(IC83=1,Adm!$HI$4,0)</f>
        <v>0</v>
      </c>
      <c r="IG83" s="70">
        <f t="shared" si="121"/>
        <v>0</v>
      </c>
      <c r="IH83" s="2178">
        <f t="shared" ca="1" si="96"/>
        <v>0</v>
      </c>
      <c r="IK83" s="217"/>
      <c r="IL83" s="26">
        <f t="shared" ca="1" si="29"/>
        <v>2</v>
      </c>
      <c r="IN83" s="268">
        <f t="shared" si="30"/>
        <v>0</v>
      </c>
      <c r="IO83" s="151">
        <f t="shared" si="154"/>
        <v>0</v>
      </c>
      <c r="IP83" s="123">
        <f t="shared" si="97"/>
        <v>0</v>
      </c>
      <c r="IQ83" s="123">
        <f t="shared" si="98"/>
        <v>0</v>
      </c>
      <c r="IR83" s="123">
        <f t="shared" si="99"/>
        <v>0</v>
      </c>
      <c r="IS83" s="123">
        <f>IF(IX82&lt;0.01,0,IF(Adm!$GS$4=Adm!$GS$8,IX82*$IX$15,IF(Adm!$GS$12=Adm!$GS$13,0,IX82*Adm!$GV$4)))</f>
        <v>0</v>
      </c>
      <c r="IT83" s="123"/>
      <c r="IU83" s="123">
        <f t="shared" si="100"/>
        <v>0</v>
      </c>
      <c r="IV83" s="123">
        <f t="shared" si="101"/>
        <v>0</v>
      </c>
      <c r="IW83" s="123"/>
      <c r="IX83" s="297">
        <f t="shared" si="102"/>
        <v>0</v>
      </c>
      <c r="IY83" s="74"/>
      <c r="IZ83" s="416">
        <f t="shared" si="103"/>
        <v>0</v>
      </c>
      <c r="JB83" s="90">
        <f t="shared" si="104"/>
        <v>11</v>
      </c>
      <c r="JC83" s="124">
        <f>IF(JB83=1,Cal!$BP$127,0)</f>
        <v>0</v>
      </c>
      <c r="JD83" s="178">
        <f>IF(JB83=1,Adm!$HI$4,0)</f>
        <v>0</v>
      </c>
    </row>
    <row r="84" spans="1:264">
      <c r="A84" s="26">
        <f t="shared" ca="1" si="0"/>
        <v>3</v>
      </c>
      <c r="C84" s="33">
        <f t="shared" si="1"/>
        <v>0</v>
      </c>
      <c r="D84" s="123">
        <f t="shared" si="31"/>
        <v>0</v>
      </c>
      <c r="E84" s="123">
        <f t="shared" si="147"/>
        <v>0</v>
      </c>
      <c r="F84" s="123">
        <f t="shared" si="149"/>
        <v>0</v>
      </c>
      <c r="G84" s="123">
        <f>IF(L83&lt;0.01,0,IF(Adm!$S$4=Adm!$S$8,L83*$L$15,L83*Adm!$V$4))</f>
        <v>0</v>
      </c>
      <c r="H84" s="123">
        <f>IF(L83&lt;0.01,0,IF(Adm!$S$5=Adm!$S$8,Adm!$AA$11*$L$16/1.16,IF(Adm!$B$4=Adm!$A$119,0,Adm!$AA$11*Adm!$X$4/1.16)))</f>
        <v>0</v>
      </c>
      <c r="I84" s="123">
        <f>IF(L83&lt;0.01,0,Cal!$AB$126/1.16)</f>
        <v>0</v>
      </c>
      <c r="J84" s="123">
        <f t="shared" si="2"/>
        <v>0</v>
      </c>
      <c r="K84" s="123">
        <f>IF(Adm!$G$4="si",MIN(L83+D84+G84+H84+I84-J84,V84),0)</f>
        <v>0</v>
      </c>
      <c r="L84" s="123">
        <f t="shared" si="32"/>
        <v>0</v>
      </c>
      <c r="M84" s="74"/>
      <c r="N84" s="74"/>
      <c r="O84" s="407">
        <f t="shared" si="33"/>
        <v>0</v>
      </c>
      <c r="R84" s="90">
        <f t="shared" si="34"/>
        <v>12</v>
      </c>
      <c r="S84" s="121">
        <f>IF(R84=1,Cal!$AB$127,0)</f>
        <v>0</v>
      </c>
      <c r="U84" s="70">
        <f t="shared" si="105"/>
        <v>0</v>
      </c>
      <c r="V84" s="2178">
        <f t="shared" ca="1" si="35"/>
        <v>0</v>
      </c>
      <c r="X84" s="398"/>
      <c r="Z84" s="268">
        <f t="shared" si="3"/>
        <v>0</v>
      </c>
      <c r="AA84" s="2176">
        <f t="shared" si="36"/>
        <v>0</v>
      </c>
      <c r="AB84" s="33">
        <f t="shared" si="37"/>
        <v>0</v>
      </c>
      <c r="AC84" s="33">
        <f t="shared" si="38"/>
        <v>0</v>
      </c>
      <c r="AD84" s="33">
        <f>IF(AI83&lt;0.01,0,IF(Adm!$S$4=Adm!$S$8,AI83*$AI$15,AI83*Adm!$V$4))</f>
        <v>0</v>
      </c>
      <c r="AE84" s="33"/>
      <c r="AF84" s="33"/>
      <c r="AG84" s="33">
        <f t="shared" si="4"/>
        <v>0</v>
      </c>
      <c r="AH84" s="33"/>
      <c r="AI84" s="401">
        <f t="shared" si="5"/>
        <v>0</v>
      </c>
      <c r="AK84" s="410">
        <f t="shared" si="6"/>
        <v>0</v>
      </c>
      <c r="AN84" s="90">
        <f t="shared" si="39"/>
        <v>12</v>
      </c>
      <c r="AO84" s="121">
        <f>IF(AN84=1,Cal!$AC$127,0)</f>
        <v>0</v>
      </c>
      <c r="AS84" s="200"/>
      <c r="AU84" s="268">
        <f t="shared" si="7"/>
        <v>0</v>
      </c>
      <c r="AV84" s="2177">
        <f t="shared" si="40"/>
        <v>0</v>
      </c>
      <c r="AW84" s="123">
        <f t="shared" si="8"/>
        <v>0</v>
      </c>
      <c r="AX84" s="123">
        <f t="shared" si="41"/>
        <v>0</v>
      </c>
      <c r="AY84" s="123">
        <f>IF(BC83&lt;0.01,0,IF(Adm!$S$4=Adm!$S$8,BC83*$BC$16,BC83*Adm!$V$4))</f>
        <v>0</v>
      </c>
      <c r="AZ84" s="123"/>
      <c r="BA84" s="123">
        <f>IF(BC83&lt;0.01,0,Adm!$Q$6)</f>
        <v>0</v>
      </c>
      <c r="BB84" s="123">
        <f t="shared" si="42"/>
        <v>0</v>
      </c>
      <c r="BC84" s="297">
        <f t="shared" si="43"/>
        <v>0</v>
      </c>
      <c r="BE84" s="425">
        <f t="shared" si="9"/>
        <v>0</v>
      </c>
      <c r="BH84" s="90">
        <f t="shared" si="44"/>
        <v>12</v>
      </c>
      <c r="BI84" s="121">
        <f>IF(BH84=1,Cal!$AD$127,0)</f>
        <v>0</v>
      </c>
      <c r="BM84" s="221"/>
      <c r="BO84" s="295">
        <f t="shared" ca="1" si="10"/>
        <v>3</v>
      </c>
      <c r="BP84" s="268">
        <f t="shared" si="11"/>
        <v>0</v>
      </c>
      <c r="BQ84" s="123">
        <f t="shared" si="45"/>
        <v>0</v>
      </c>
      <c r="BR84" s="123">
        <f t="shared" si="148"/>
        <v>0</v>
      </c>
      <c r="BS84" s="123">
        <f t="shared" si="150"/>
        <v>0</v>
      </c>
      <c r="BT84" s="123">
        <f>IF(BZ83&lt;0.01,0,IF(Plus!$F$22=Plus!$AN$4,BZ83*$BZ$15,IF(Plus!$F$22=Plus!$AN$3,BZ83*Plus!$F$23/1000,BZ83*VLOOKUP(Plus!$G$21,Plus!$AP$2:'Plus'!$AQ$5,2,0))))</f>
        <v>0</v>
      </c>
      <c r="BU84" s="123">
        <f>IF(BZ83&lt;0.01,0,IF(Plus!$F$24=Plus!$AO$3,Plus!$G$13*Plus!$AR$2/1.16,IF(Plus!$F$10=Plus!$AK$7,0,Plus!$G$13*Plus!$AR$2/1.16)))</f>
        <v>0</v>
      </c>
      <c r="BV84" s="123">
        <f>IF(BZ83&lt;0.01,0,Plus!$BD$2)</f>
        <v>0</v>
      </c>
      <c r="BW84" s="123"/>
      <c r="BX84" s="123">
        <f t="shared" si="12"/>
        <v>0</v>
      </c>
      <c r="BY84" s="123">
        <f>IF(Plus!$F$10=Plus!$AK$3,MIN(BZ83+BQ84+BT84+BU84+BV84-BX84,CJ84),0)</f>
        <v>0</v>
      </c>
      <c r="BZ84" s="297">
        <f t="shared" si="144"/>
        <v>0</v>
      </c>
      <c r="CA84" s="74"/>
      <c r="CB84" s="74"/>
      <c r="CC84" s="413">
        <f t="shared" si="47"/>
        <v>0</v>
      </c>
      <c r="CF84" s="90">
        <f t="shared" si="48"/>
        <v>12</v>
      </c>
      <c r="CG84" s="121">
        <f t="shared" si="106"/>
        <v>0</v>
      </c>
      <c r="CI84" s="70">
        <f t="shared" si="107"/>
        <v>0</v>
      </c>
      <c r="CJ84" s="2178">
        <f t="shared" ca="1" si="49"/>
        <v>0</v>
      </c>
      <c r="CL84" s="161"/>
      <c r="CN84" s="308">
        <f t="shared" ca="1" si="13"/>
        <v>3</v>
      </c>
      <c r="CO84" s="309">
        <f t="shared" si="50"/>
        <v>0</v>
      </c>
      <c r="CP84" s="269">
        <f t="shared" si="14"/>
        <v>0</v>
      </c>
      <c r="CQ84" s="123">
        <f t="shared" si="51"/>
        <v>0</v>
      </c>
      <c r="CR84" s="123">
        <f t="shared" si="137"/>
        <v>0</v>
      </c>
      <c r="CS84" s="123">
        <f t="shared" si="138"/>
        <v>0</v>
      </c>
      <c r="CT84" s="33">
        <f>IF(CZ83&lt;0.01,0,IF(Plus!$F$22=Plus!$AN$4,0,IF(Plus!$F$22=Plus!$AN$3,CZ83*Plus!$F$23/1000,CZ83*VLOOKUP(Plus!$G$21,Plus!$AP$2:'Plus'!$AQ$5,2,0))))</f>
        <v>0</v>
      </c>
      <c r="CU84" s="123">
        <f>IF(CZ83&lt;0.01,0,IF(Plus!$F$24=Plus!$AO$3,0,IF(OR(Plus!$F$10=Plus!$AK$7,Plus!$F$10=Plus!$AK$13),0,Plus!$G$13*Plus!$AR$2)))</f>
        <v>0</v>
      </c>
      <c r="CV84" s="123">
        <f>IF(CZ83&lt;0.01,0,IF(OR(Plus!$F$10=Plus!$AK$7,Plus!$F$10=Plus!$AK$13),0,Plus!$BD$2*1.16))</f>
        <v>0</v>
      </c>
      <c r="CW84" s="123">
        <f>IF(CZ83&lt;0.01,0,IF(Plus!$AS$2&gt;0,CQ84*Plus!$AS$3,0))</f>
        <v>0</v>
      </c>
      <c r="CX84" s="123">
        <f t="shared" si="52"/>
        <v>0</v>
      </c>
      <c r="CY84" s="123">
        <f>IF(Plus!$F$10=Plus!$AK$3,MIN(CZ83+CQ84+CT84+CU84+CV84-CX84,DK84),0)</f>
        <v>0</v>
      </c>
      <c r="CZ84" s="297">
        <f t="shared" si="146"/>
        <v>0</v>
      </c>
      <c r="DA84" s="315"/>
      <c r="DB84" s="74"/>
      <c r="DC84" s="74"/>
      <c r="DD84" s="407">
        <f t="shared" si="54"/>
        <v>0</v>
      </c>
      <c r="DG84" s="90">
        <f t="shared" si="55"/>
        <v>12</v>
      </c>
      <c r="DH84" s="121">
        <f t="shared" si="108"/>
        <v>0</v>
      </c>
      <c r="DJ84" s="149">
        <f t="shared" si="109"/>
        <v>0</v>
      </c>
      <c r="DK84" s="2179">
        <f t="shared" ca="1" si="56"/>
        <v>0</v>
      </c>
      <c r="DN84" s="120">
        <f t="shared" si="110"/>
        <v>0</v>
      </c>
      <c r="DO84" s="110">
        <f t="shared" si="57"/>
        <v>0</v>
      </c>
      <c r="DP84" s="110">
        <f t="shared" si="124"/>
        <v>0</v>
      </c>
      <c r="DQ84" s="109">
        <f t="shared" si="58"/>
        <v>0</v>
      </c>
      <c r="DR84" s="109">
        <f t="shared" si="59"/>
        <v>0</v>
      </c>
      <c r="DS84" s="113">
        <f t="shared" si="60"/>
        <v>0</v>
      </c>
      <c r="DU84" s="102">
        <f t="shared" si="61"/>
        <v>0</v>
      </c>
      <c r="DV84" s="211">
        <f t="shared" si="125"/>
        <v>60</v>
      </c>
      <c r="DW84" s="212">
        <f t="shared" si="62"/>
        <v>0</v>
      </c>
      <c r="DX84" s="212">
        <f t="shared" si="15"/>
        <v>0</v>
      </c>
      <c r="DY84" s="212">
        <f t="shared" si="111"/>
        <v>0</v>
      </c>
      <c r="DZ84" s="213">
        <f t="shared" si="16"/>
        <v>1000000</v>
      </c>
      <c r="ED84" s="182"/>
      <c r="EF84" s="308">
        <f t="shared" ca="1" si="17"/>
        <v>3</v>
      </c>
      <c r="EG84" s="309">
        <f t="shared" si="63"/>
        <v>0</v>
      </c>
      <c r="EH84" s="337">
        <f t="shared" si="18"/>
        <v>0</v>
      </c>
      <c r="EI84" s="33">
        <f t="shared" si="64"/>
        <v>0</v>
      </c>
      <c r="EJ84" s="33">
        <f t="shared" si="139"/>
        <v>0</v>
      </c>
      <c r="EK84" s="33">
        <f t="shared" si="151"/>
        <v>0</v>
      </c>
      <c r="EL84" s="33">
        <f>IF(ER83&lt;0.01,0,IF(Plus!$F$22=Plus!$AN$4,0,IF(Plus!$F$22=Plus!$AN$3,ER83*Plus!$F$23/1000,ER83*VLOOKUP(Plus!$G$21,Plus!$AP$2:'Plus'!$AQ$5,2,0))))</f>
        <v>0</v>
      </c>
      <c r="EM84" s="33">
        <f>IF(ER83&lt;0.01,0,IF(Plus!$F$24=Plus!$AO$3,0,IF(OR(Plus!$F$10=Plus!$AK$7,Plus!$F$10=Plus!$AK$13),0,Plus!$G$13*Plus!$AR$2)))</f>
        <v>0</v>
      </c>
      <c r="EN84" s="33">
        <f>IF(ER83&lt;0.01,0,IF(OR(Plus!$F$10=Plus!$AK$7,Plus!$F$10=Plus!$AK$13),0,Plus!$BD$2*1.16))</f>
        <v>0</v>
      </c>
      <c r="EO84" s="33">
        <f>IF(ER83&lt;0.01,0,IF(Plus!$AS$2&gt;0,EI84*Plus!$AS$3,0))</f>
        <v>0</v>
      </c>
      <c r="EP84" s="33">
        <f t="shared" si="65"/>
        <v>0</v>
      </c>
      <c r="EQ84" s="33">
        <f>IF(Plus!$F$10=Plus!$AK$3,MIN(ER83+EI84+EL84+EM84+EN84-EP84,FC84),0)</f>
        <v>0</v>
      </c>
      <c r="ER84" s="311">
        <f t="shared" si="145"/>
        <v>0</v>
      </c>
      <c r="ES84" s="358"/>
      <c r="ET84" s="74"/>
      <c r="EU84" s="74"/>
      <c r="EV84" s="416">
        <f t="shared" si="134"/>
        <v>0</v>
      </c>
      <c r="EY84" s="90">
        <f t="shared" si="68"/>
        <v>12</v>
      </c>
      <c r="EZ84" s="121">
        <f t="shared" si="112"/>
        <v>0</v>
      </c>
      <c r="FB84" s="149">
        <f t="shared" si="113"/>
        <v>0</v>
      </c>
      <c r="FC84" s="2179">
        <f t="shared" ca="1" si="69"/>
        <v>0</v>
      </c>
      <c r="FE84" s="120">
        <f t="shared" si="114"/>
        <v>0</v>
      </c>
      <c r="FF84" s="110">
        <f t="shared" si="70"/>
        <v>0</v>
      </c>
      <c r="FG84" s="110">
        <f t="shared" si="71"/>
        <v>0</v>
      </c>
      <c r="FH84" s="109">
        <f t="shared" si="72"/>
        <v>0</v>
      </c>
      <c r="FI84" s="109">
        <f t="shared" si="19"/>
        <v>0</v>
      </c>
      <c r="FJ84" s="113">
        <f t="shared" si="73"/>
        <v>0</v>
      </c>
      <c r="FL84" s="102">
        <f t="shared" si="74"/>
        <v>0</v>
      </c>
      <c r="FM84" s="211">
        <f t="shared" si="127"/>
        <v>60</v>
      </c>
      <c r="FN84" s="212">
        <f t="shared" si="75"/>
        <v>0</v>
      </c>
      <c r="FO84" s="212">
        <f t="shared" si="20"/>
        <v>0</v>
      </c>
      <c r="FP84" s="212">
        <f t="shared" si="158"/>
        <v>0</v>
      </c>
      <c r="FQ84" s="213">
        <f t="shared" si="21"/>
        <v>1000000</v>
      </c>
      <c r="FV84" s="359"/>
      <c r="FX84" s="308">
        <f t="shared" ca="1" si="22"/>
        <v>3</v>
      </c>
      <c r="FY84" s="309">
        <f t="shared" si="76"/>
        <v>0</v>
      </c>
      <c r="FZ84" s="337">
        <f t="shared" si="23"/>
        <v>0</v>
      </c>
      <c r="GA84" s="33">
        <f t="shared" si="77"/>
        <v>0</v>
      </c>
      <c r="GB84" s="33">
        <f t="shared" si="141"/>
        <v>0</v>
      </c>
      <c r="GC84" s="33">
        <f t="shared" si="142"/>
        <v>0</v>
      </c>
      <c r="GD84" s="33">
        <f>IF(GJ83&lt;0.01,0,IF(Plus!$F$22=Plus!$AN$4,0,IF(Plus!$F$22=Plus!$AN$3,GJ83*Plus!$F$23/1000,GJ83*VLOOKUP(Plus!$G$21,Plus!$AP$2:$AQ$5,2,0))))</f>
        <v>0</v>
      </c>
      <c r="GE84" s="33">
        <f>IF(GJ83&lt;0.01,0,IF(Plus!$F$24=Plus!$AO$3,0,IF(OR(Plus!$F$10=Plus!$AK$7,Plus!$F$10=Plus!$AK$13,Plus!$F$10=Plus!$AK$14),0,IF(OR(Plus!$F$10=Plus!$AK$10,Plus!$F$10=Plus!$AK$11),Plus!$G$13*Adm!$W$7,Plus!$G$13*Adm!$X$4))))</f>
        <v>0</v>
      </c>
      <c r="GF84" s="33">
        <f>IF(GJ83&lt;0.01,0,IF(OR(Plus!$F$10=Plus!$AK$7,Plus!$F$10=Plus!$AK$13),0,Plus!$BD$2*1.16))</f>
        <v>0</v>
      </c>
      <c r="GG84" s="33">
        <f>IF(GJ83&lt;0.01,0,IF(Plus!$AS$2&gt;0,GA84*Plus!$AS$3,0))</f>
        <v>0</v>
      </c>
      <c r="GH84" s="33">
        <f t="shared" si="78"/>
        <v>0</v>
      </c>
      <c r="GI84" s="33">
        <f>IF(Plus!$F$10=Plus!$AK$3,MIN(GJ83+GA84+GD84+GE84+GF84-GH84,GU84),0)</f>
        <v>0</v>
      </c>
      <c r="GJ84" s="311">
        <f t="shared" si="136"/>
        <v>0</v>
      </c>
      <c r="GK84" s="357">
        <f>Plus!O125</f>
        <v>0</v>
      </c>
      <c r="GL84" s="74"/>
      <c r="GM84" s="74"/>
      <c r="GN84" s="419">
        <f t="shared" si="135"/>
        <v>0</v>
      </c>
      <c r="GQ84" s="90">
        <f t="shared" si="80"/>
        <v>12</v>
      </c>
      <c r="GR84" s="121">
        <f t="shared" si="116"/>
        <v>0</v>
      </c>
      <c r="GT84" s="149">
        <f t="shared" si="117"/>
        <v>0</v>
      </c>
      <c r="GU84" s="2179">
        <f t="shared" ca="1" si="81"/>
        <v>0</v>
      </c>
      <c r="GW84" s="120">
        <f t="shared" si="118"/>
        <v>0</v>
      </c>
      <c r="GX84" s="110">
        <f t="shared" si="82"/>
        <v>0</v>
      </c>
      <c r="GY84" s="110">
        <f t="shared" si="83"/>
        <v>0</v>
      </c>
      <c r="GZ84" s="109">
        <f t="shared" si="84"/>
        <v>0</v>
      </c>
      <c r="HA84" s="109">
        <f t="shared" si="24"/>
        <v>0</v>
      </c>
      <c r="HB84" s="113">
        <f t="shared" si="85"/>
        <v>0</v>
      </c>
      <c r="HD84" s="102">
        <f t="shared" si="86"/>
        <v>0</v>
      </c>
      <c r="HE84" s="211">
        <f t="shared" si="129"/>
        <v>60</v>
      </c>
      <c r="HF84" s="212">
        <f t="shared" si="87"/>
        <v>0</v>
      </c>
      <c r="HG84" s="212">
        <f t="shared" si="25"/>
        <v>0</v>
      </c>
      <c r="HH84" s="212">
        <f t="shared" si="159"/>
        <v>0</v>
      </c>
      <c r="HI84" s="213">
        <f t="shared" si="26"/>
        <v>1000000</v>
      </c>
      <c r="HL84" s="182"/>
      <c r="HM84" s="26">
        <f t="shared" ca="1" si="27"/>
        <v>3</v>
      </c>
      <c r="HO84" s="268">
        <f t="shared" si="28"/>
        <v>0</v>
      </c>
      <c r="HP84" s="151">
        <f t="shared" si="157"/>
        <v>0</v>
      </c>
      <c r="HQ84" s="123">
        <f t="shared" si="88"/>
        <v>0</v>
      </c>
      <c r="HR84" s="123">
        <f t="shared" si="89"/>
        <v>0</v>
      </c>
      <c r="HS84" s="123">
        <f t="shared" si="90"/>
        <v>0</v>
      </c>
      <c r="HT84" s="123">
        <f>IF(HY83&lt;0.01,0,IF(Adm!$GS$4=Adm!$GS$8,HY83*$HY$15,IF(Adm!$GS$12=Adm!$GS$13,0,HY83*Adm!$GV$4)))</f>
        <v>0</v>
      </c>
      <c r="HU84" s="123">
        <f>IF(HY83&lt;0.01,0,IF(Adm!$GS$5=Adm!$GS$8,Cal!$BO$108*$HY$16/1.16,IF(Adm!$GS$12=Adm!$GS$13,0,Cal!$BO$108*Adm!$GW$4/1.16)))</f>
        <v>0</v>
      </c>
      <c r="HV84" s="123">
        <f t="shared" si="91"/>
        <v>0</v>
      </c>
      <c r="HW84" s="123">
        <f t="shared" si="92"/>
        <v>0</v>
      </c>
      <c r="HX84" s="123">
        <f>IF(Adm!$GH$6="si",MIN(HY83+HQ84+HT84+HU84+HV84-HW84,IH84),0)</f>
        <v>0</v>
      </c>
      <c r="HY84" s="297">
        <f t="shared" si="93"/>
        <v>0</v>
      </c>
      <c r="HZ84" s="74"/>
      <c r="IA84" s="407">
        <f t="shared" si="94"/>
        <v>0</v>
      </c>
      <c r="IC84" s="90">
        <f t="shared" si="95"/>
        <v>12</v>
      </c>
      <c r="ID84" s="124">
        <f>IF(IC84=1,Cal!$BO$127,0)</f>
        <v>0</v>
      </c>
      <c r="IE84" s="178">
        <f>IF(IC84=1,Adm!$HI$4,0)</f>
        <v>0</v>
      </c>
      <c r="IG84" s="70">
        <f t="shared" si="121"/>
        <v>0</v>
      </c>
      <c r="IH84" s="2178">
        <f t="shared" ca="1" si="96"/>
        <v>0</v>
      </c>
      <c r="IK84" s="217"/>
      <c r="IL84" s="26">
        <f t="shared" ca="1" si="29"/>
        <v>3</v>
      </c>
      <c r="IN84" s="268">
        <f t="shared" si="30"/>
        <v>0</v>
      </c>
      <c r="IO84" s="151">
        <f t="shared" si="154"/>
        <v>0</v>
      </c>
      <c r="IP84" s="123">
        <f t="shared" si="97"/>
        <v>0</v>
      </c>
      <c r="IQ84" s="123">
        <f t="shared" si="98"/>
        <v>0</v>
      </c>
      <c r="IR84" s="123">
        <f t="shared" si="99"/>
        <v>0</v>
      </c>
      <c r="IS84" s="123">
        <f>IF(IX83&lt;0.01,0,IF(Adm!$GS$4=Adm!$GS$8,IX83*$IX$15,IF(Adm!$GS$12=Adm!$GS$13,0,IX83*Adm!$GV$4)))</f>
        <v>0</v>
      </c>
      <c r="IT84" s="123"/>
      <c r="IU84" s="123">
        <f t="shared" si="100"/>
        <v>0</v>
      </c>
      <c r="IV84" s="123">
        <f t="shared" si="101"/>
        <v>0</v>
      </c>
      <c r="IW84" s="123"/>
      <c r="IX84" s="297">
        <f t="shared" si="102"/>
        <v>0</v>
      </c>
      <c r="IY84" s="74"/>
      <c r="IZ84" s="416">
        <f t="shared" si="103"/>
        <v>0</v>
      </c>
      <c r="JB84" s="90">
        <f t="shared" si="104"/>
        <v>12</v>
      </c>
      <c r="JC84" s="124">
        <f>IF(JB84=1,Cal!$BP$127,0)</f>
        <v>0</v>
      </c>
      <c r="JD84" s="178">
        <f>IF(JB84=1,Adm!$HI$4,0)</f>
        <v>0</v>
      </c>
    </row>
    <row r="85" spans="1:264">
      <c r="A85" s="26">
        <f t="shared" ca="1" si="0"/>
        <v>4</v>
      </c>
      <c r="C85" s="33">
        <f t="shared" si="1"/>
        <v>0</v>
      </c>
      <c r="D85" s="123">
        <f t="shared" si="31"/>
        <v>0</v>
      </c>
      <c r="E85" s="123">
        <f t="shared" si="147"/>
        <v>0</v>
      </c>
      <c r="F85" s="123">
        <f t="shared" si="149"/>
        <v>0</v>
      </c>
      <c r="G85" s="123">
        <f>IF(L84&lt;0.01,0,IF(Adm!$S$4=Adm!$S$8,L84*$L$15,L84*Adm!$V$4))</f>
        <v>0</v>
      </c>
      <c r="H85" s="123">
        <f>IF(L84&lt;0.01,0,IF(Adm!$S$5=Adm!$S$8,Adm!$AA$11*$L$16/1.16,IF(Adm!$B$4=Adm!$A$119,0,Adm!$AA$11*Adm!$X$4/1.16)))</f>
        <v>0</v>
      </c>
      <c r="I85" s="123">
        <f>IF(L84&lt;0.01,0,Cal!$AB$126/1.16)</f>
        <v>0</v>
      </c>
      <c r="J85" s="123">
        <f t="shared" si="2"/>
        <v>0</v>
      </c>
      <c r="K85" s="123">
        <f>IF(Adm!$G$4="si",MIN(L84+D85+G85+H85+I85-J85,V85),0)</f>
        <v>0</v>
      </c>
      <c r="L85" s="123">
        <f t="shared" si="32"/>
        <v>0</v>
      </c>
      <c r="M85" s="74"/>
      <c r="N85" s="74"/>
      <c r="O85" s="407">
        <f t="shared" si="33"/>
        <v>0</v>
      </c>
      <c r="R85" s="90">
        <f t="shared" si="34"/>
        <v>1</v>
      </c>
      <c r="S85" s="121">
        <f>IF(R85=1,Cal!$AB$127,0)</f>
        <v>0</v>
      </c>
      <c r="U85" s="70">
        <f t="shared" si="105"/>
        <v>0</v>
      </c>
      <c r="V85" s="2178">
        <f t="shared" ca="1" si="35"/>
        <v>0</v>
      </c>
      <c r="X85" s="398"/>
      <c r="Z85" s="268">
        <f t="shared" si="3"/>
        <v>0</v>
      </c>
      <c r="AA85" s="2176">
        <f t="shared" si="36"/>
        <v>0</v>
      </c>
      <c r="AB85" s="33">
        <f t="shared" si="37"/>
        <v>0</v>
      </c>
      <c r="AC85" s="33">
        <f t="shared" si="38"/>
        <v>0</v>
      </c>
      <c r="AD85" s="33">
        <f>IF(AI84&lt;0.01,0,IF(Adm!$S$4=Adm!$S$8,AI84*$AI$15,AI84*Adm!$V$4))</f>
        <v>0</v>
      </c>
      <c r="AE85" s="33"/>
      <c r="AF85" s="33"/>
      <c r="AG85" s="33">
        <f t="shared" si="4"/>
        <v>0</v>
      </c>
      <c r="AH85" s="33"/>
      <c r="AI85" s="401">
        <f t="shared" si="5"/>
        <v>0</v>
      </c>
      <c r="AK85" s="410">
        <f t="shared" si="6"/>
        <v>0</v>
      </c>
      <c r="AN85" s="90">
        <f t="shared" si="39"/>
        <v>1</v>
      </c>
      <c r="AO85" s="121">
        <f>IF(AN85=1,Cal!$AC$127,0)</f>
        <v>0</v>
      </c>
      <c r="AS85" s="200"/>
      <c r="AU85" s="268">
        <f t="shared" si="7"/>
        <v>0</v>
      </c>
      <c r="AV85" s="2177">
        <f t="shared" si="40"/>
        <v>0</v>
      </c>
      <c r="AW85" s="123">
        <f t="shared" si="8"/>
        <v>0</v>
      </c>
      <c r="AX85" s="123">
        <f t="shared" si="41"/>
        <v>0</v>
      </c>
      <c r="AY85" s="123">
        <f>IF(BC84&lt;0.01,0,IF(Adm!$S$4=Adm!$S$8,BC84*$BC$16,BC84*Adm!$V$4))</f>
        <v>0</v>
      </c>
      <c r="AZ85" s="123"/>
      <c r="BA85" s="123">
        <f>IF(BC84&lt;0.01,0,Adm!$Q$6)</f>
        <v>0</v>
      </c>
      <c r="BB85" s="123">
        <f t="shared" si="42"/>
        <v>0</v>
      </c>
      <c r="BC85" s="297">
        <f t="shared" si="43"/>
        <v>0</v>
      </c>
      <c r="BE85" s="425">
        <f t="shared" si="9"/>
        <v>0</v>
      </c>
      <c r="BH85" s="90">
        <f t="shared" si="44"/>
        <v>1</v>
      </c>
      <c r="BI85" s="121">
        <f>IF(BH85=1,Cal!$AD$127,0)</f>
        <v>0</v>
      </c>
      <c r="BM85" s="221"/>
      <c r="BO85" s="295">
        <f t="shared" ca="1" si="10"/>
        <v>4</v>
      </c>
      <c r="BP85" s="268">
        <f t="shared" si="11"/>
        <v>0</v>
      </c>
      <c r="BQ85" s="123">
        <f t="shared" si="45"/>
        <v>0</v>
      </c>
      <c r="BR85" s="123">
        <f t="shared" si="148"/>
        <v>0</v>
      </c>
      <c r="BS85" s="123">
        <f t="shared" si="150"/>
        <v>0</v>
      </c>
      <c r="BT85" s="123">
        <f>IF(BZ84&lt;0.01,0,IF(Plus!$F$22=Plus!$AN$4,BZ84*$BZ$15,IF(Plus!$F$22=Plus!$AN$3,BZ84*Plus!$F$23/1000,BZ84*VLOOKUP(Plus!$G$21,Plus!$AP$2:'Plus'!$AQ$5,2,0))))</f>
        <v>0</v>
      </c>
      <c r="BU85" s="123">
        <f>IF(BZ84&lt;0.01,0,IF(Plus!$F$24=Plus!$AO$3,Plus!$G$13*Plus!$AR$2/1.16,IF(Plus!$F$10=Plus!$AK$7,0,Plus!$G$13*Plus!$AR$2/1.16)))</f>
        <v>0</v>
      </c>
      <c r="BV85" s="123">
        <f>IF(BZ84&lt;0.01,0,Plus!$BD$2)</f>
        <v>0</v>
      </c>
      <c r="BW85" s="123"/>
      <c r="BX85" s="123">
        <f t="shared" si="12"/>
        <v>0</v>
      </c>
      <c r="BY85" s="123">
        <f>IF(Plus!$F$10=Plus!$AK$3,MIN(BZ84+BQ85+BT85+BU85+BV85-BX85,CJ85),0)</f>
        <v>0</v>
      </c>
      <c r="BZ85" s="297">
        <f t="shared" si="144"/>
        <v>0</v>
      </c>
      <c r="CA85" s="74"/>
      <c r="CB85" s="74"/>
      <c r="CC85" s="413">
        <f t="shared" si="47"/>
        <v>0</v>
      </c>
      <c r="CF85" s="90">
        <f t="shared" si="48"/>
        <v>1</v>
      </c>
      <c r="CG85" s="121">
        <f t="shared" si="106"/>
        <v>0</v>
      </c>
      <c r="CI85" s="70">
        <f t="shared" si="107"/>
        <v>0</v>
      </c>
      <c r="CJ85" s="2178">
        <f t="shared" ca="1" si="49"/>
        <v>0</v>
      </c>
      <c r="CL85" s="161"/>
      <c r="CN85" s="308">
        <f t="shared" ca="1" si="13"/>
        <v>4</v>
      </c>
      <c r="CO85" s="309">
        <f t="shared" si="50"/>
        <v>0</v>
      </c>
      <c r="CP85" s="268">
        <f t="shared" si="14"/>
        <v>0</v>
      </c>
      <c r="CQ85" s="123">
        <f t="shared" si="51"/>
        <v>0</v>
      </c>
      <c r="CR85" s="123">
        <f t="shared" si="137"/>
        <v>0</v>
      </c>
      <c r="CS85" s="123">
        <f t="shared" si="138"/>
        <v>0</v>
      </c>
      <c r="CT85" s="33">
        <f>IF(CZ84&lt;0.01,0,IF(Plus!$F$22=Plus!$AN$4,0,IF(Plus!$F$22=Plus!$AN$3,CZ84*Plus!$F$23/1000,CZ84*VLOOKUP(Plus!$G$21,Plus!$AP$2:'Plus'!$AQ$5,2,0))))</f>
        <v>0</v>
      </c>
      <c r="CU85" s="123">
        <f>IF(CZ84&lt;0.01,0,IF(Plus!$F$24=Plus!$AO$3,0,IF(OR(Plus!$F$10=Plus!$AK$7,Plus!$F$10=Plus!$AK$13),0,Plus!$G$13*Plus!$AR$2)))</f>
        <v>0</v>
      </c>
      <c r="CV85" s="123">
        <f>IF(CZ84&lt;0.01,0,IF(OR(Plus!$F$10=Plus!$AK$7,Plus!$F$10=Plus!$AK$13),0,Plus!$BD$2*1.16))</f>
        <v>0</v>
      </c>
      <c r="CW85" s="123">
        <f>IF(CZ84&lt;0.01,0,IF(Plus!$AS$2&gt;0,CQ85*Plus!$AS$3,0))</f>
        <v>0</v>
      </c>
      <c r="CX85" s="123">
        <f t="shared" si="52"/>
        <v>0</v>
      </c>
      <c r="CY85" s="123">
        <f>IF(Plus!$F$10=Plus!$AK$3,MIN(CZ84+CQ85+CT85+CU85+CV85-CX85,DK85),0)</f>
        <v>0</v>
      </c>
      <c r="CZ85" s="297">
        <f t="shared" si="146"/>
        <v>0</v>
      </c>
      <c r="DA85" s="306">
        <f>Plus!O126</f>
        <v>0</v>
      </c>
      <c r="DB85" s="74"/>
      <c r="DC85" s="74"/>
      <c r="DD85" s="407">
        <f t="shared" si="54"/>
        <v>0</v>
      </c>
      <c r="DG85" s="90">
        <f t="shared" si="55"/>
        <v>1</v>
      </c>
      <c r="DH85" s="121">
        <f t="shared" si="108"/>
        <v>0</v>
      </c>
      <c r="DJ85" s="149">
        <f t="shared" si="109"/>
        <v>0</v>
      </c>
      <c r="DK85" s="2179">
        <f t="shared" ca="1" si="56"/>
        <v>0</v>
      </c>
      <c r="DN85" s="120">
        <f t="shared" si="110"/>
        <v>0</v>
      </c>
      <c r="DO85" s="110">
        <f t="shared" si="57"/>
        <v>0</v>
      </c>
      <c r="DP85" s="110">
        <f t="shared" si="124"/>
        <v>0</v>
      </c>
      <c r="DQ85" s="109">
        <f t="shared" si="58"/>
        <v>0</v>
      </c>
      <c r="DR85" s="109">
        <f t="shared" si="59"/>
        <v>0</v>
      </c>
      <c r="DS85" s="113">
        <f t="shared" si="60"/>
        <v>0</v>
      </c>
      <c r="DU85" s="102">
        <f t="shared" si="61"/>
        <v>0</v>
      </c>
      <c r="DV85" s="333">
        <f t="shared" si="125"/>
        <v>61</v>
      </c>
      <c r="DW85" s="334">
        <f t="shared" si="62"/>
        <v>0</v>
      </c>
      <c r="DX85" s="334">
        <f t="shared" si="15"/>
        <v>0</v>
      </c>
      <c r="DY85" s="334">
        <f>MIN(DZ84+DW85,DY84*(1+$DW$20))</f>
        <v>0</v>
      </c>
      <c r="DZ85" s="213">
        <f t="shared" si="16"/>
        <v>1000000</v>
      </c>
      <c r="ED85" s="182"/>
      <c r="EF85" s="308">
        <f t="shared" ca="1" si="17"/>
        <v>4</v>
      </c>
      <c r="EG85" s="309">
        <f t="shared" si="63"/>
        <v>0</v>
      </c>
      <c r="EH85" s="268">
        <f t="shared" si="18"/>
        <v>0</v>
      </c>
      <c r="EI85" s="33">
        <f t="shared" si="64"/>
        <v>0</v>
      </c>
      <c r="EJ85" s="33">
        <f t="shared" si="139"/>
        <v>0</v>
      </c>
      <c r="EK85" s="33">
        <f t="shared" si="151"/>
        <v>0</v>
      </c>
      <c r="EL85" s="33">
        <f>IF(ER84&lt;0.01,0,IF(Plus!$F$22=Plus!$AN$4,0,IF(Plus!$F$22=Plus!$AN$3,ER84*Plus!$F$23/1000,ER84*VLOOKUP(Plus!$G$21,Plus!$AP$2:'Plus'!$AQ$5,2,0))))</f>
        <v>0</v>
      </c>
      <c r="EM85" s="33">
        <f>IF(ER84&lt;0.01,0,IF(Plus!$F$24=Plus!$AO$3,0,IF(OR(Plus!$F$10=Plus!$AK$7,Plus!$F$10=Plus!$AK$13),0,Plus!$G$13*Plus!$AR$2)))</f>
        <v>0</v>
      </c>
      <c r="EN85" s="33">
        <f>IF(ER84&lt;0.01,0,IF(OR(Plus!$F$10=Plus!$AK$7,Plus!$F$10=Plus!$AK$13),0,Plus!$BD$2*1.16))</f>
        <v>0</v>
      </c>
      <c r="EO85" s="33">
        <f>IF(ER84&lt;0.01,0,IF(Plus!$AS$2&gt;0,EI85*Plus!$AS$3,0))</f>
        <v>0</v>
      </c>
      <c r="EP85" s="33">
        <f t="shared" si="65"/>
        <v>0</v>
      </c>
      <c r="EQ85" s="33">
        <f>IF(Plus!$F$10=Plus!$AK$3,MIN(ER84+EI85+EL85+EM85+EN85-EP85,FC85),0)</f>
        <v>0</v>
      </c>
      <c r="ER85" s="311">
        <f t="shared" si="145"/>
        <v>0</v>
      </c>
      <c r="ES85" s="340">
        <f>Plus!O126</f>
        <v>0</v>
      </c>
      <c r="ET85" s="74"/>
      <c r="EU85" s="74"/>
      <c r="EV85" s="416">
        <f t="shared" si="134"/>
        <v>0</v>
      </c>
      <c r="EY85" s="90">
        <f t="shared" si="68"/>
        <v>1</v>
      </c>
      <c r="EZ85" s="121">
        <f t="shared" si="112"/>
        <v>0</v>
      </c>
      <c r="FB85" s="149">
        <f t="shared" si="113"/>
        <v>0</v>
      </c>
      <c r="FC85" s="2179">
        <f t="shared" ca="1" si="69"/>
        <v>0</v>
      </c>
      <c r="FE85" s="120">
        <f t="shared" si="114"/>
        <v>0</v>
      </c>
      <c r="FF85" s="110">
        <f t="shared" si="70"/>
        <v>0</v>
      </c>
      <c r="FG85" s="110">
        <f t="shared" si="71"/>
        <v>0</v>
      </c>
      <c r="FH85" s="109">
        <f t="shared" si="72"/>
        <v>0</v>
      </c>
      <c r="FI85" s="109">
        <f t="shared" si="19"/>
        <v>0</v>
      </c>
      <c r="FJ85" s="113">
        <f t="shared" si="73"/>
        <v>0</v>
      </c>
      <c r="FL85" s="102">
        <f t="shared" si="74"/>
        <v>0</v>
      </c>
      <c r="FM85" s="326">
        <f t="shared" si="127"/>
        <v>61</v>
      </c>
      <c r="FN85" s="327">
        <f t="shared" si="75"/>
        <v>0</v>
      </c>
      <c r="FO85" s="327">
        <f t="shared" si="20"/>
        <v>0</v>
      </c>
      <c r="FP85" s="327">
        <f>MIN(FQ84+FN85,FP84*(1+$FN$20))</f>
        <v>0</v>
      </c>
      <c r="FQ85" s="213">
        <f t="shared" si="21"/>
        <v>1000000</v>
      </c>
      <c r="FV85" s="359"/>
      <c r="FX85" s="308">
        <f t="shared" ca="1" si="22"/>
        <v>4</v>
      </c>
      <c r="FY85" s="309">
        <f t="shared" si="76"/>
        <v>0</v>
      </c>
      <c r="FZ85" s="268">
        <f t="shared" si="23"/>
        <v>0</v>
      </c>
      <c r="GA85" s="33">
        <f t="shared" si="77"/>
        <v>0</v>
      </c>
      <c r="GB85" s="33">
        <f t="shared" si="141"/>
        <v>0</v>
      </c>
      <c r="GC85" s="33">
        <f t="shared" si="142"/>
        <v>0</v>
      </c>
      <c r="GD85" s="33">
        <f>IF(GJ84&lt;0.01,0,IF(Plus!$F$22=Plus!$AN$4,0,IF(Plus!$F$22=Plus!$AN$3,GJ84*Plus!$F$23/1000,GJ84*VLOOKUP(Plus!$G$21,Plus!$AP$2:$AQ$5,2,0))))</f>
        <v>0</v>
      </c>
      <c r="GE85" s="33">
        <f>IF(GJ84&lt;0.01,0,IF(Plus!$F$24=Plus!$AO$3,0,IF(OR(Plus!$F$10=Plus!$AK$7,Plus!$F$10=Plus!$AK$13,Plus!$F$10=Plus!$AK$14),0,IF(OR(Plus!$F$10=Plus!$AK$10,Plus!$F$10=Plus!$AK$11),Plus!$G$13*Adm!$W$7,Plus!$G$13*Adm!$X$4))))</f>
        <v>0</v>
      </c>
      <c r="GF85" s="33">
        <f>IF(GJ84&lt;0.01,0,IF(OR(Plus!$F$10=Plus!$AK$7,Plus!$F$10=Plus!$AK$13),0,Plus!$BD$2*1.16))</f>
        <v>0</v>
      </c>
      <c r="GG85" s="33">
        <f>IF(GJ84&lt;0.01,0,IF(Plus!$AS$2&gt;0,GA85*Plus!$AS$3,0))</f>
        <v>0</v>
      </c>
      <c r="GH85" s="33">
        <f t="shared" si="78"/>
        <v>0</v>
      </c>
      <c r="GI85" s="33">
        <f>IF(Plus!$F$10=Plus!$AK$3,MIN(GJ84+GA85+GD85+GE85+GF85-GH85,GU85),0)</f>
        <v>0</v>
      </c>
      <c r="GJ85" s="311">
        <f t="shared" si="136"/>
        <v>0</v>
      </c>
      <c r="GK85" s="340">
        <f>Plus!O126</f>
        <v>0</v>
      </c>
      <c r="GL85" s="74"/>
      <c r="GM85" s="74"/>
      <c r="GN85" s="419">
        <f t="shared" si="135"/>
        <v>0</v>
      </c>
      <c r="GQ85" s="90">
        <f t="shared" si="80"/>
        <v>1</v>
      </c>
      <c r="GR85" s="121">
        <f t="shared" si="116"/>
        <v>0</v>
      </c>
      <c r="GT85" s="149">
        <f t="shared" si="117"/>
        <v>0</v>
      </c>
      <c r="GU85" s="2179">
        <f t="shared" ca="1" si="81"/>
        <v>0</v>
      </c>
      <c r="GW85" s="120">
        <f t="shared" si="118"/>
        <v>0</v>
      </c>
      <c r="GX85" s="110">
        <f t="shared" si="82"/>
        <v>0</v>
      </c>
      <c r="GY85" s="110">
        <f t="shared" si="83"/>
        <v>0</v>
      </c>
      <c r="GZ85" s="109">
        <f t="shared" si="84"/>
        <v>0</v>
      </c>
      <c r="HA85" s="109">
        <f t="shared" si="24"/>
        <v>0</v>
      </c>
      <c r="HB85" s="113">
        <f t="shared" si="85"/>
        <v>0</v>
      </c>
      <c r="HD85" s="102">
        <f t="shared" si="86"/>
        <v>0</v>
      </c>
      <c r="HE85" s="326">
        <f t="shared" si="129"/>
        <v>61</v>
      </c>
      <c r="HF85" s="327">
        <f t="shared" si="87"/>
        <v>0</v>
      </c>
      <c r="HG85" s="327">
        <f t="shared" si="25"/>
        <v>0</v>
      </c>
      <c r="HH85" s="327">
        <f>MIN(HI84+HF85,HH84*(1+$FN$20))</f>
        <v>0</v>
      </c>
      <c r="HI85" s="213">
        <f t="shared" si="26"/>
        <v>1000000</v>
      </c>
      <c r="HL85" s="182"/>
      <c r="HM85" s="26">
        <f t="shared" ca="1" si="27"/>
        <v>4</v>
      </c>
      <c r="HO85" s="268">
        <f t="shared" si="28"/>
        <v>0</v>
      </c>
      <c r="HP85" s="976">
        <f t="shared" si="157"/>
        <v>0</v>
      </c>
      <c r="HQ85" s="123">
        <f t="shared" si="88"/>
        <v>0</v>
      </c>
      <c r="HR85" s="123">
        <f t="shared" si="89"/>
        <v>0</v>
      </c>
      <c r="HS85" s="123">
        <f t="shared" si="90"/>
        <v>0</v>
      </c>
      <c r="HT85" s="123">
        <f>IF(HY84&lt;0.01,0,IF(Adm!$GS$4=Adm!$GS$8,HY84*$HY$15,IF(Adm!$GS$12=Adm!$GS$13,0,HY84*Adm!$GV$4)))</f>
        <v>0</v>
      </c>
      <c r="HU85" s="123">
        <f>IF(HY84&lt;0.01,0,IF(Adm!$GS$5=Adm!$GS$8,Cal!$BO$108*$HY$16/1.16,IF(Adm!$GS$12=Adm!$GS$13,0,Cal!$BO$108*Adm!$GW$4/1.16)))</f>
        <v>0</v>
      </c>
      <c r="HV85" s="123">
        <f t="shared" si="91"/>
        <v>0</v>
      </c>
      <c r="HW85" s="123">
        <f t="shared" si="92"/>
        <v>0</v>
      </c>
      <c r="HX85" s="123">
        <f>IF(Adm!$GH$6="si",MIN(HY84+HQ85+HT85+HU85+HV85-HW85,IH85),0)</f>
        <v>0</v>
      </c>
      <c r="HY85" s="297">
        <f t="shared" si="93"/>
        <v>0</v>
      </c>
      <c r="HZ85" s="74"/>
      <c r="IA85" s="407">
        <f t="shared" si="94"/>
        <v>0</v>
      </c>
      <c r="IC85" s="90">
        <f t="shared" si="95"/>
        <v>1</v>
      </c>
      <c r="ID85" s="124">
        <f>IF(IC85=1,Cal!$BO$127,0)</f>
        <v>0</v>
      </c>
      <c r="IE85" s="178">
        <f>IF(IC85=1,Adm!$HI$4,0)</f>
        <v>2.5000000000000001E-3</v>
      </c>
      <c r="IG85" s="70">
        <f t="shared" si="121"/>
        <v>0</v>
      </c>
      <c r="IH85" s="2178">
        <f t="shared" ca="1" si="96"/>
        <v>0</v>
      </c>
      <c r="IK85" s="217"/>
      <c r="IL85" s="26">
        <f t="shared" ca="1" si="29"/>
        <v>4</v>
      </c>
      <c r="IN85" s="268">
        <f t="shared" si="30"/>
        <v>0</v>
      </c>
      <c r="IO85" s="423">
        <f t="shared" si="154"/>
        <v>0</v>
      </c>
      <c r="IP85" s="123">
        <f t="shared" si="97"/>
        <v>0</v>
      </c>
      <c r="IQ85" s="123">
        <f t="shared" si="98"/>
        <v>0</v>
      </c>
      <c r="IR85" s="123">
        <f t="shared" si="99"/>
        <v>0</v>
      </c>
      <c r="IS85" s="123">
        <f>IF(IX84&lt;0.01,0,IF(Adm!$GS$4=Adm!$GS$8,IX84*$IX$15,IF(Adm!$GS$12=Adm!$GS$13,0,IX84*Adm!$GV$4)))</f>
        <v>0</v>
      </c>
      <c r="IT85" s="123"/>
      <c r="IU85" s="123">
        <f t="shared" si="100"/>
        <v>0</v>
      </c>
      <c r="IV85" s="123">
        <f t="shared" si="101"/>
        <v>0</v>
      </c>
      <c r="IW85" s="123"/>
      <c r="IX85" s="297">
        <f t="shared" si="102"/>
        <v>0</v>
      </c>
      <c r="IY85" s="74"/>
      <c r="IZ85" s="416">
        <f t="shared" si="103"/>
        <v>0</v>
      </c>
      <c r="JB85" s="90">
        <f t="shared" si="104"/>
        <v>1</v>
      </c>
      <c r="JC85" s="124">
        <f>IF(JB85=1,Cal!$BP$127,0)</f>
        <v>0</v>
      </c>
      <c r="JD85" s="178">
        <f>IF(JB85=1,Adm!$HI$4,0)</f>
        <v>2.5000000000000001E-3</v>
      </c>
    </row>
    <row r="86" spans="1:264">
      <c r="A86" s="26">
        <f t="shared" ca="1" si="0"/>
        <v>5</v>
      </c>
      <c r="C86" s="33">
        <f t="shared" si="1"/>
        <v>0</v>
      </c>
      <c r="D86" s="123">
        <f t="shared" si="31"/>
        <v>0</v>
      </c>
      <c r="E86" s="123">
        <f t="shared" si="147"/>
        <v>0</v>
      </c>
      <c r="F86" s="123">
        <f t="shared" si="149"/>
        <v>0</v>
      </c>
      <c r="G86" s="123">
        <f>IF(L85&lt;0.01,0,IF(Adm!$S$4=Adm!$S$8,L85*$L$15,L85*Adm!$V$4))</f>
        <v>0</v>
      </c>
      <c r="H86" s="123">
        <f>IF(L85&lt;0.01,0,IF(Adm!$S$5=Adm!$S$8,Adm!$AA$11*$L$16/1.16,IF(Adm!$B$4=Adm!$A$119,0,Adm!$AA$11*Adm!$X$4/1.16)))</f>
        <v>0</v>
      </c>
      <c r="I86" s="123">
        <f>IF(L85&lt;0.01,0,Cal!$AB$126/1.16)</f>
        <v>0</v>
      </c>
      <c r="J86" s="123">
        <f t="shared" si="2"/>
        <v>0</v>
      </c>
      <c r="K86" s="123">
        <f>IF(Adm!$G$4="si",MIN(L85+D86+G86+H86+I86-J86,V86),0)</f>
        <v>0</v>
      </c>
      <c r="L86" s="123">
        <f t="shared" si="32"/>
        <v>0</v>
      </c>
      <c r="M86" s="74"/>
      <c r="N86" s="74"/>
      <c r="O86" s="407">
        <f t="shared" si="33"/>
        <v>0</v>
      </c>
      <c r="R86" s="90">
        <f t="shared" si="34"/>
        <v>2</v>
      </c>
      <c r="S86" s="121">
        <f>IF(R86=1,Cal!$AB$127,0)</f>
        <v>0</v>
      </c>
      <c r="U86" s="70">
        <f t="shared" si="105"/>
        <v>0</v>
      </c>
      <c r="V86" s="2178">
        <f t="shared" ca="1" si="35"/>
        <v>0</v>
      </c>
      <c r="X86" s="398"/>
      <c r="Z86" s="268">
        <f t="shared" si="3"/>
        <v>0</v>
      </c>
      <c r="AA86" s="2176">
        <f t="shared" si="36"/>
        <v>0</v>
      </c>
      <c r="AB86" s="33">
        <f t="shared" si="37"/>
        <v>0</v>
      </c>
      <c r="AC86" s="33">
        <f t="shared" si="38"/>
        <v>0</v>
      </c>
      <c r="AD86" s="33">
        <f>IF(AI85&lt;0.01,0,IF(Adm!$S$4=Adm!$S$8,AI85*$AI$15,AI85*Adm!$V$4))</f>
        <v>0</v>
      </c>
      <c r="AE86" s="33"/>
      <c r="AF86" s="33"/>
      <c r="AG86" s="33">
        <f t="shared" si="4"/>
        <v>0</v>
      </c>
      <c r="AH86" s="33"/>
      <c r="AI86" s="401">
        <f t="shared" si="5"/>
        <v>0</v>
      </c>
      <c r="AK86" s="410">
        <f t="shared" si="6"/>
        <v>0</v>
      </c>
      <c r="AN86" s="90">
        <f t="shared" si="39"/>
        <v>2</v>
      </c>
      <c r="AO86" s="121">
        <f>IF(AN86=1,Cal!$AC$127,0)</f>
        <v>0</v>
      </c>
      <c r="AS86" s="200"/>
      <c r="AU86" s="268">
        <f t="shared" si="7"/>
        <v>0</v>
      </c>
      <c r="AV86" s="2177">
        <f t="shared" si="40"/>
        <v>0</v>
      </c>
      <c r="AW86" s="123">
        <f t="shared" si="8"/>
        <v>0</v>
      </c>
      <c r="AX86" s="123">
        <f t="shared" si="41"/>
        <v>0</v>
      </c>
      <c r="AY86" s="123">
        <f>IF(BC85&lt;0.01,0,IF(Adm!$S$4=Adm!$S$8,BC85*$BC$16,BC85*Adm!$V$4))</f>
        <v>0</v>
      </c>
      <c r="AZ86" s="123"/>
      <c r="BA86" s="123">
        <f>IF(BC85&lt;0.01,0,Adm!$Q$6)</f>
        <v>0</v>
      </c>
      <c r="BB86" s="123">
        <f t="shared" si="42"/>
        <v>0</v>
      </c>
      <c r="BC86" s="297">
        <f t="shared" si="43"/>
        <v>0</v>
      </c>
      <c r="BE86" s="425">
        <f t="shared" si="9"/>
        <v>0</v>
      </c>
      <c r="BH86" s="90">
        <f t="shared" si="44"/>
        <v>2</v>
      </c>
      <c r="BI86" s="121">
        <f>IF(BH86=1,Cal!$AD$127,0)</f>
        <v>0</v>
      </c>
      <c r="BM86" s="221"/>
      <c r="BO86" s="295">
        <f t="shared" ca="1" si="10"/>
        <v>5</v>
      </c>
      <c r="BP86" s="268">
        <f t="shared" si="11"/>
        <v>0</v>
      </c>
      <c r="BQ86" s="123">
        <f t="shared" si="45"/>
        <v>0</v>
      </c>
      <c r="BR86" s="123">
        <f t="shared" si="148"/>
        <v>0</v>
      </c>
      <c r="BS86" s="123">
        <f t="shared" si="150"/>
        <v>0</v>
      </c>
      <c r="BT86" s="123">
        <f>IF(BZ85&lt;0.01,0,IF(Plus!$F$22=Plus!$AN$4,BZ85*$BZ$15,IF(Plus!$F$22=Plus!$AN$3,BZ85*Plus!$F$23/1000,BZ85*VLOOKUP(Plus!$G$21,Plus!$AP$2:'Plus'!$AQ$5,2,0))))</f>
        <v>0</v>
      </c>
      <c r="BU86" s="123">
        <f>IF(BZ85&lt;0.01,0,IF(Plus!$F$24=Plus!$AO$3,Plus!$G$13*Plus!$AR$2/1.16,IF(Plus!$F$10=Plus!$AK$7,0,Plus!$G$13*Plus!$AR$2/1.16)))</f>
        <v>0</v>
      </c>
      <c r="BV86" s="123">
        <f>IF(BZ85&lt;0.01,0,Plus!$BD$2)</f>
        <v>0</v>
      </c>
      <c r="BW86" s="123"/>
      <c r="BX86" s="123">
        <f t="shared" si="12"/>
        <v>0</v>
      </c>
      <c r="BY86" s="123">
        <f>IF(Plus!$F$10=Plus!$AK$3,MIN(BZ85+BQ86+BT86+BU86+BV86-BX86,CJ86),0)</f>
        <v>0</v>
      </c>
      <c r="BZ86" s="297">
        <f t="shared" si="144"/>
        <v>0</v>
      </c>
      <c r="CA86" s="74"/>
      <c r="CB86" s="74"/>
      <c r="CC86" s="413">
        <f t="shared" si="47"/>
        <v>0</v>
      </c>
      <c r="CF86" s="90">
        <f t="shared" si="48"/>
        <v>2</v>
      </c>
      <c r="CG86" s="121">
        <f t="shared" si="106"/>
        <v>0</v>
      </c>
      <c r="CI86" s="70">
        <f t="shared" si="107"/>
        <v>0</v>
      </c>
      <c r="CJ86" s="2178">
        <f t="shared" ca="1" si="49"/>
        <v>0</v>
      </c>
      <c r="CL86" s="161"/>
      <c r="CN86" s="308">
        <f t="shared" ca="1" si="13"/>
        <v>5</v>
      </c>
      <c r="CO86" s="309">
        <f t="shared" si="50"/>
        <v>0</v>
      </c>
      <c r="CP86" s="268">
        <f t="shared" si="14"/>
        <v>0</v>
      </c>
      <c r="CQ86" s="123">
        <f t="shared" si="51"/>
        <v>0</v>
      </c>
      <c r="CR86" s="123">
        <f t="shared" si="137"/>
        <v>0</v>
      </c>
      <c r="CS86" s="123">
        <f t="shared" si="138"/>
        <v>0</v>
      </c>
      <c r="CT86" s="33">
        <f>IF(CZ85&lt;0.01,0,IF(Plus!$F$22=Plus!$AN$4,0,IF(Plus!$F$22=Plus!$AN$3,CZ85*Plus!$F$23/1000,CZ85*VLOOKUP(Plus!$G$21,Plus!$AP$2:'Plus'!$AQ$5,2,0))))</f>
        <v>0</v>
      </c>
      <c r="CU86" s="123">
        <f>IF(CZ85&lt;0.01,0,IF(Plus!$F$24=Plus!$AO$3,0,IF(OR(Plus!$F$10=Plus!$AK$7,Plus!$F$10=Plus!$AK$13),0,Plus!$G$13*Plus!$AR$2)))</f>
        <v>0</v>
      </c>
      <c r="CV86" s="123">
        <f>IF(CZ85&lt;0.01,0,IF(OR(Plus!$F$10=Plus!$AK$7,Plus!$F$10=Plus!$AK$13),0,Plus!$BD$2*1.16))</f>
        <v>0</v>
      </c>
      <c r="CW86" s="123">
        <f>IF(CZ85&lt;0.01,0,IF(Plus!$AS$2&gt;0,CQ86*Plus!$AS$3,0))</f>
        <v>0</v>
      </c>
      <c r="CX86" s="123">
        <f t="shared" si="52"/>
        <v>0</v>
      </c>
      <c r="CY86" s="123">
        <f>IF(Plus!$F$10=Plus!$AK$3,MIN(CZ85+CQ86+CT86+CU86+CV86-CX86,DK86),0)</f>
        <v>0</v>
      </c>
      <c r="CZ86" s="297">
        <f t="shared" si="146"/>
        <v>0</v>
      </c>
      <c r="DA86" s="306">
        <f>Plus!O127</f>
        <v>0</v>
      </c>
      <c r="DB86" s="74"/>
      <c r="DC86" s="74"/>
      <c r="DD86" s="407">
        <f t="shared" si="54"/>
        <v>0</v>
      </c>
      <c r="DG86" s="90">
        <f t="shared" si="55"/>
        <v>2</v>
      </c>
      <c r="DH86" s="121">
        <f t="shared" si="108"/>
        <v>0</v>
      </c>
      <c r="DJ86" s="149">
        <f t="shared" si="109"/>
        <v>0</v>
      </c>
      <c r="DK86" s="2179">
        <f t="shared" ca="1" si="56"/>
        <v>0</v>
      </c>
      <c r="DN86" s="120">
        <f t="shared" si="110"/>
        <v>0</v>
      </c>
      <c r="DO86" s="110">
        <f t="shared" si="57"/>
        <v>0</v>
      </c>
      <c r="DP86" s="110">
        <f t="shared" si="124"/>
        <v>0</v>
      </c>
      <c r="DQ86" s="109">
        <f t="shared" si="58"/>
        <v>0</v>
      </c>
      <c r="DR86" s="109">
        <f t="shared" si="59"/>
        <v>0</v>
      </c>
      <c r="DS86" s="113">
        <f t="shared" si="60"/>
        <v>0</v>
      </c>
      <c r="DU86" s="102">
        <f t="shared" si="61"/>
        <v>0</v>
      </c>
      <c r="DV86" s="211">
        <f t="shared" si="125"/>
        <v>62</v>
      </c>
      <c r="DW86" s="212">
        <f t="shared" si="62"/>
        <v>0</v>
      </c>
      <c r="DX86" s="212">
        <f t="shared" si="15"/>
        <v>0</v>
      </c>
      <c r="DY86" s="212">
        <f t="shared" si="111"/>
        <v>0</v>
      </c>
      <c r="DZ86" s="213">
        <f t="shared" si="16"/>
        <v>1000000</v>
      </c>
      <c r="ED86" s="182"/>
      <c r="EF86" s="308">
        <f t="shared" ca="1" si="17"/>
        <v>5</v>
      </c>
      <c r="EG86" s="309">
        <f t="shared" si="63"/>
        <v>0</v>
      </c>
      <c r="EH86" s="268">
        <f t="shared" si="18"/>
        <v>0</v>
      </c>
      <c r="EI86" s="33">
        <f t="shared" si="64"/>
        <v>0</v>
      </c>
      <c r="EJ86" s="33">
        <f t="shared" si="139"/>
        <v>0</v>
      </c>
      <c r="EK86" s="33">
        <f t="shared" si="151"/>
        <v>0</v>
      </c>
      <c r="EL86" s="33">
        <f>IF(ER85&lt;0.01,0,IF(Plus!$F$22=Plus!$AN$4,0,IF(Plus!$F$22=Plus!$AN$3,ER85*Plus!$F$23/1000,ER85*VLOOKUP(Plus!$G$21,Plus!$AP$2:'Plus'!$AQ$5,2,0))))</f>
        <v>0</v>
      </c>
      <c r="EM86" s="33">
        <f>IF(ER85&lt;0.01,0,IF(Plus!$F$24=Plus!$AO$3,0,IF(OR(Plus!$F$10=Plus!$AK$7,Plus!$F$10=Plus!$AK$13),0,Plus!$G$13*Plus!$AR$2)))</f>
        <v>0</v>
      </c>
      <c r="EN86" s="33">
        <f>IF(ER85&lt;0.01,0,IF(OR(Plus!$F$10=Plus!$AK$7,Plus!$F$10=Plus!$AK$13),0,Plus!$BD$2*1.16))</f>
        <v>0</v>
      </c>
      <c r="EO86" s="33">
        <f>IF(ER85&lt;0.01,0,IF(Plus!$AS$2&gt;0,EI86*Plus!$AS$3,0))</f>
        <v>0</v>
      </c>
      <c r="EP86" s="33">
        <f t="shared" si="65"/>
        <v>0</v>
      </c>
      <c r="EQ86" s="33">
        <f>IF(Plus!$F$10=Plus!$AK$3,MIN(ER85+EI86+EL86+EM86+EN86-EP86,FC86),0)</f>
        <v>0</v>
      </c>
      <c r="ER86" s="311">
        <f t="shared" si="145"/>
        <v>0</v>
      </c>
      <c r="ES86" s="340">
        <f>Plus!O127</f>
        <v>0</v>
      </c>
      <c r="ET86" s="74"/>
      <c r="EU86" s="74"/>
      <c r="EV86" s="416">
        <f t="shared" si="134"/>
        <v>0</v>
      </c>
      <c r="EY86" s="90">
        <f t="shared" si="68"/>
        <v>2</v>
      </c>
      <c r="EZ86" s="121">
        <f t="shared" si="112"/>
        <v>0</v>
      </c>
      <c r="FB86" s="149">
        <f t="shared" si="113"/>
        <v>0</v>
      </c>
      <c r="FC86" s="2179">
        <f t="shared" ca="1" si="69"/>
        <v>0</v>
      </c>
      <c r="FE86" s="120">
        <f t="shared" si="114"/>
        <v>0</v>
      </c>
      <c r="FF86" s="110">
        <f t="shared" si="70"/>
        <v>0</v>
      </c>
      <c r="FG86" s="110">
        <f t="shared" si="71"/>
        <v>0</v>
      </c>
      <c r="FH86" s="109">
        <f t="shared" si="72"/>
        <v>0</v>
      </c>
      <c r="FI86" s="109">
        <f t="shared" si="19"/>
        <v>0</v>
      </c>
      <c r="FJ86" s="113">
        <f t="shared" si="73"/>
        <v>0</v>
      </c>
      <c r="FL86" s="102">
        <f t="shared" si="74"/>
        <v>0</v>
      </c>
      <c r="FM86" s="211">
        <f t="shared" si="127"/>
        <v>62</v>
      </c>
      <c r="FN86" s="212">
        <f t="shared" si="75"/>
        <v>0</v>
      </c>
      <c r="FO86" s="212">
        <f t="shared" si="20"/>
        <v>0</v>
      </c>
      <c r="FP86" s="212">
        <f t="shared" ref="FP86:FP96" si="160">MIN(FQ85+FN86,FP85)</f>
        <v>0</v>
      </c>
      <c r="FQ86" s="213">
        <f t="shared" si="21"/>
        <v>1000000</v>
      </c>
      <c r="FV86" s="359"/>
      <c r="FX86" s="308">
        <f t="shared" ca="1" si="22"/>
        <v>5</v>
      </c>
      <c r="FY86" s="309">
        <f t="shared" si="76"/>
        <v>0</v>
      </c>
      <c r="FZ86" s="268">
        <f t="shared" si="23"/>
        <v>0</v>
      </c>
      <c r="GA86" s="33">
        <f t="shared" si="77"/>
        <v>0</v>
      </c>
      <c r="GB86" s="33">
        <f t="shared" si="141"/>
        <v>0</v>
      </c>
      <c r="GC86" s="33">
        <f t="shared" si="142"/>
        <v>0</v>
      </c>
      <c r="GD86" s="33">
        <f>IF(GJ85&lt;0.01,0,IF(Plus!$F$22=Plus!$AN$4,0,IF(Plus!$F$22=Plus!$AN$3,GJ85*Plus!$F$23/1000,GJ85*VLOOKUP(Plus!$G$21,Plus!$AP$2:$AQ$5,2,0))))</f>
        <v>0</v>
      </c>
      <c r="GE86" s="33">
        <f>IF(GJ85&lt;0.01,0,IF(Plus!$F$24=Plus!$AO$3,0,IF(OR(Plus!$F$10=Plus!$AK$7,Plus!$F$10=Plus!$AK$13,Plus!$F$10=Plus!$AK$14),0,IF(OR(Plus!$F$10=Plus!$AK$10,Plus!$F$10=Plus!$AK$11),Plus!$G$13*Adm!$W$7,Plus!$G$13*Adm!$X$4))))</f>
        <v>0</v>
      </c>
      <c r="GF86" s="33">
        <f>IF(GJ85&lt;0.01,0,IF(OR(Plus!$F$10=Plus!$AK$7,Plus!$F$10=Plus!$AK$13),0,Plus!$BD$2*1.16))</f>
        <v>0</v>
      </c>
      <c r="GG86" s="33">
        <f>IF(GJ85&lt;0.01,0,IF(Plus!$AS$2&gt;0,GA86*Plus!$AS$3,0))</f>
        <v>0</v>
      </c>
      <c r="GH86" s="33">
        <f t="shared" si="78"/>
        <v>0</v>
      </c>
      <c r="GI86" s="33">
        <f>IF(Plus!$F$10=Plus!$AK$3,MIN(GJ85+GA86+GD86+GE86+GF86-GH86,GU86),0)</f>
        <v>0</v>
      </c>
      <c r="GJ86" s="311">
        <f t="shared" si="136"/>
        <v>0</v>
      </c>
      <c r="GK86" s="340">
        <f>Plus!O127</f>
        <v>0</v>
      </c>
      <c r="GL86" s="74"/>
      <c r="GM86" s="74"/>
      <c r="GN86" s="419">
        <f t="shared" si="135"/>
        <v>0</v>
      </c>
      <c r="GQ86" s="90">
        <f t="shared" si="80"/>
        <v>2</v>
      </c>
      <c r="GR86" s="121">
        <f t="shared" si="116"/>
        <v>0</v>
      </c>
      <c r="GT86" s="149">
        <f t="shared" si="117"/>
        <v>0</v>
      </c>
      <c r="GU86" s="2179">
        <f t="shared" ca="1" si="81"/>
        <v>0</v>
      </c>
      <c r="GW86" s="120">
        <f t="shared" si="118"/>
        <v>0</v>
      </c>
      <c r="GX86" s="110">
        <f t="shared" si="82"/>
        <v>0</v>
      </c>
      <c r="GY86" s="110">
        <f t="shared" si="83"/>
        <v>0</v>
      </c>
      <c r="GZ86" s="109">
        <f t="shared" si="84"/>
        <v>0</v>
      </c>
      <c r="HA86" s="109">
        <f t="shared" si="24"/>
        <v>0</v>
      </c>
      <c r="HB86" s="113">
        <f t="shared" si="85"/>
        <v>0</v>
      </c>
      <c r="HD86" s="102">
        <f t="shared" si="86"/>
        <v>0</v>
      </c>
      <c r="HE86" s="211">
        <f t="shared" si="129"/>
        <v>62</v>
      </c>
      <c r="HF86" s="212">
        <f t="shared" si="87"/>
        <v>0</v>
      </c>
      <c r="HG86" s="212">
        <f t="shared" si="25"/>
        <v>0</v>
      </c>
      <c r="HH86" s="212">
        <f t="shared" ref="HH86:HH96" si="161">MIN(HI85+HF86,HH85)</f>
        <v>0</v>
      </c>
      <c r="HI86" s="213">
        <f t="shared" si="26"/>
        <v>1000000</v>
      </c>
      <c r="HL86" s="182"/>
      <c r="HM86" s="26">
        <f t="shared" ca="1" si="27"/>
        <v>5</v>
      </c>
      <c r="HO86" s="268">
        <f t="shared" si="28"/>
        <v>0</v>
      </c>
      <c r="HP86" s="151">
        <f t="shared" si="157"/>
        <v>0</v>
      </c>
      <c r="HQ86" s="123">
        <f t="shared" si="88"/>
        <v>0</v>
      </c>
      <c r="HR86" s="123">
        <f t="shared" si="89"/>
        <v>0</v>
      </c>
      <c r="HS86" s="123">
        <f t="shared" si="90"/>
        <v>0</v>
      </c>
      <c r="HT86" s="123">
        <f>IF(HY85&lt;0.01,0,IF(Adm!$GS$4=Adm!$GS$8,HY85*$HY$15,IF(Adm!$GS$12=Adm!$GS$13,0,HY85*Adm!$GV$4)))</f>
        <v>0</v>
      </c>
      <c r="HU86" s="123">
        <f>IF(HY85&lt;0.01,0,IF(Adm!$GS$5=Adm!$GS$8,Cal!$BO$108*$HY$16/1.16,IF(Adm!$GS$12=Adm!$GS$13,0,Cal!$BO$108*Adm!$GW$4/1.16)))</f>
        <v>0</v>
      </c>
      <c r="HV86" s="123">
        <f t="shared" si="91"/>
        <v>0</v>
      </c>
      <c r="HW86" s="123">
        <f t="shared" si="92"/>
        <v>0</v>
      </c>
      <c r="HX86" s="123">
        <f>IF(Adm!$GH$6="si",MIN(HY85+HQ86+HT86+HU86+HV86-HW86,IH86),0)</f>
        <v>0</v>
      </c>
      <c r="HY86" s="297">
        <f t="shared" si="93"/>
        <v>0</v>
      </c>
      <c r="HZ86" s="74"/>
      <c r="IA86" s="407">
        <f t="shared" si="94"/>
        <v>0</v>
      </c>
      <c r="IC86" s="90">
        <f t="shared" si="95"/>
        <v>2</v>
      </c>
      <c r="ID86" s="124">
        <f>IF(IC86=1,Cal!$BO$127,0)</f>
        <v>0</v>
      </c>
      <c r="IE86" s="178">
        <f>IF(IC86=1,Adm!$HI$4,0)</f>
        <v>0</v>
      </c>
      <c r="IG86" s="70">
        <f t="shared" si="121"/>
        <v>0</v>
      </c>
      <c r="IH86" s="2178">
        <f t="shared" ca="1" si="96"/>
        <v>0</v>
      </c>
      <c r="IK86" s="217"/>
      <c r="IL86" s="26">
        <f t="shared" ca="1" si="29"/>
        <v>5</v>
      </c>
      <c r="IN86" s="268">
        <f t="shared" si="30"/>
        <v>0</v>
      </c>
      <c r="IO86" s="151">
        <f t="shared" si="154"/>
        <v>0</v>
      </c>
      <c r="IP86" s="123">
        <f t="shared" si="97"/>
        <v>0</v>
      </c>
      <c r="IQ86" s="123">
        <f t="shared" si="98"/>
        <v>0</v>
      </c>
      <c r="IR86" s="123">
        <f t="shared" si="99"/>
        <v>0</v>
      </c>
      <c r="IS86" s="123">
        <f>IF(IX85&lt;0.01,0,IF(Adm!$GS$4=Adm!$GS$8,IX85*$IX$15,IF(Adm!$GS$12=Adm!$GS$13,0,IX85*Adm!$GV$4)))</f>
        <v>0</v>
      </c>
      <c r="IT86" s="123"/>
      <c r="IU86" s="123">
        <f t="shared" si="100"/>
        <v>0</v>
      </c>
      <c r="IV86" s="123">
        <f t="shared" si="101"/>
        <v>0</v>
      </c>
      <c r="IW86" s="123"/>
      <c r="IX86" s="297">
        <f t="shared" si="102"/>
        <v>0</v>
      </c>
      <c r="IY86" s="74"/>
      <c r="IZ86" s="416">
        <f t="shared" si="103"/>
        <v>0</v>
      </c>
      <c r="JB86" s="90">
        <f t="shared" si="104"/>
        <v>2</v>
      </c>
      <c r="JC86" s="124">
        <f>IF(JB86=1,Cal!$BP$127,0)</f>
        <v>0</v>
      </c>
      <c r="JD86" s="178">
        <f>IF(JB86=1,Adm!$HI$4,0)</f>
        <v>0</v>
      </c>
    </row>
    <row r="87" spans="1:264">
      <c r="A87" s="26">
        <f t="shared" ca="1" si="0"/>
        <v>6</v>
      </c>
      <c r="C87" s="33">
        <f t="shared" si="1"/>
        <v>0</v>
      </c>
      <c r="D87" s="123">
        <f t="shared" si="31"/>
        <v>0</v>
      </c>
      <c r="E87" s="123">
        <f t="shared" si="147"/>
        <v>0</v>
      </c>
      <c r="F87" s="123">
        <f t="shared" si="149"/>
        <v>0</v>
      </c>
      <c r="G87" s="123">
        <f>IF(L86&lt;0.01,0,IF(Adm!$S$4=Adm!$S$8,L86*$L$15,L86*Adm!$V$4))</f>
        <v>0</v>
      </c>
      <c r="H87" s="123">
        <f>IF(L86&lt;0.01,0,IF(Adm!$S$5=Adm!$S$8,Adm!$AA$11*$L$16/1.16,IF(Adm!$B$4=Adm!$A$119,0,Adm!$AA$11*Adm!$X$4/1.16)))</f>
        <v>0</v>
      </c>
      <c r="I87" s="123">
        <f>IF(L86&lt;0.01,0,Cal!$AB$126/1.16)</f>
        <v>0</v>
      </c>
      <c r="J87" s="123">
        <f t="shared" si="2"/>
        <v>0</v>
      </c>
      <c r="K87" s="123">
        <f>IF(Adm!$G$4="si",MIN(L86+D87+G87+H87+I87-J87,V87),0)</f>
        <v>0</v>
      </c>
      <c r="L87" s="123">
        <f t="shared" si="32"/>
        <v>0</v>
      </c>
      <c r="M87" s="74"/>
      <c r="N87" s="74"/>
      <c r="O87" s="407">
        <f t="shared" si="33"/>
        <v>0</v>
      </c>
      <c r="R87" s="90">
        <f t="shared" si="34"/>
        <v>3</v>
      </c>
      <c r="S87" s="121">
        <f>IF(R87=1,Cal!$AB$127,0)</f>
        <v>0</v>
      </c>
      <c r="U87" s="70">
        <f t="shared" si="105"/>
        <v>0</v>
      </c>
      <c r="V87" s="2178">
        <f t="shared" ca="1" si="35"/>
        <v>0</v>
      </c>
      <c r="X87" s="398"/>
      <c r="Z87" s="268">
        <f t="shared" si="3"/>
        <v>0</v>
      </c>
      <c r="AA87" s="2176">
        <f t="shared" si="36"/>
        <v>0</v>
      </c>
      <c r="AB87" s="33">
        <f t="shared" si="37"/>
        <v>0</v>
      </c>
      <c r="AC87" s="33">
        <f t="shared" si="38"/>
        <v>0</v>
      </c>
      <c r="AD87" s="33">
        <f>IF(AI86&lt;0.01,0,IF(Adm!$S$4=Adm!$S$8,AI86*$AI$15,AI86*Adm!$V$4))</f>
        <v>0</v>
      </c>
      <c r="AE87" s="33"/>
      <c r="AF87" s="33"/>
      <c r="AG87" s="33">
        <f t="shared" si="4"/>
        <v>0</v>
      </c>
      <c r="AH87" s="33"/>
      <c r="AI87" s="401">
        <f t="shared" si="5"/>
        <v>0</v>
      </c>
      <c r="AK87" s="410">
        <f t="shared" si="6"/>
        <v>0</v>
      </c>
      <c r="AN87" s="90">
        <f t="shared" si="39"/>
        <v>3</v>
      </c>
      <c r="AO87" s="121">
        <f>IF(AN87=1,Cal!$AC$127,0)</f>
        <v>0</v>
      </c>
      <c r="AS87" s="200"/>
      <c r="AU87" s="268">
        <f t="shared" si="7"/>
        <v>0</v>
      </c>
      <c r="AV87" s="2177">
        <f t="shared" si="40"/>
        <v>0</v>
      </c>
      <c r="AW87" s="123">
        <f t="shared" si="8"/>
        <v>0</v>
      </c>
      <c r="AX87" s="123">
        <f t="shared" si="41"/>
        <v>0</v>
      </c>
      <c r="AY87" s="123">
        <f>IF(BC86&lt;0.01,0,IF(Adm!$S$4=Adm!$S$8,BC86*$BC$16,BC86*Adm!$V$4))</f>
        <v>0</v>
      </c>
      <c r="AZ87" s="123"/>
      <c r="BA87" s="123">
        <f>IF(BC86&lt;0.01,0,Adm!$Q$6)</f>
        <v>0</v>
      </c>
      <c r="BB87" s="123">
        <f t="shared" si="42"/>
        <v>0</v>
      </c>
      <c r="BC87" s="297">
        <f t="shared" si="43"/>
        <v>0</v>
      </c>
      <c r="BE87" s="425">
        <f t="shared" si="9"/>
        <v>0</v>
      </c>
      <c r="BH87" s="90">
        <f t="shared" si="44"/>
        <v>3</v>
      </c>
      <c r="BI87" s="121">
        <f>IF(BH87=1,Cal!$AD$127,0)</f>
        <v>0</v>
      </c>
      <c r="BM87" s="221"/>
      <c r="BO87" s="295">
        <f t="shared" ca="1" si="10"/>
        <v>6</v>
      </c>
      <c r="BP87" s="268">
        <f t="shared" si="11"/>
        <v>0</v>
      </c>
      <c r="BQ87" s="123">
        <f t="shared" si="45"/>
        <v>0</v>
      </c>
      <c r="BR87" s="123">
        <f t="shared" si="148"/>
        <v>0</v>
      </c>
      <c r="BS87" s="123">
        <f t="shared" si="150"/>
        <v>0</v>
      </c>
      <c r="BT87" s="123">
        <f>IF(BZ86&lt;0.01,0,IF(Plus!$F$22=Plus!$AN$4,BZ86*$BZ$15,IF(Plus!$F$22=Plus!$AN$3,BZ86*Plus!$F$23/1000,BZ86*VLOOKUP(Plus!$G$21,Plus!$AP$2:'Plus'!$AQ$5,2,0))))</f>
        <v>0</v>
      </c>
      <c r="BU87" s="123">
        <f>IF(BZ86&lt;0.01,0,IF(Plus!$F$24=Plus!$AO$3,Plus!$G$13*Plus!$AR$2/1.16,IF(Plus!$F$10=Plus!$AK$7,0,Plus!$G$13*Plus!$AR$2/1.16)))</f>
        <v>0</v>
      </c>
      <c r="BV87" s="123">
        <f>IF(BZ86&lt;0.01,0,Plus!$BD$2)</f>
        <v>0</v>
      </c>
      <c r="BW87" s="123"/>
      <c r="BX87" s="123">
        <f t="shared" si="12"/>
        <v>0</v>
      </c>
      <c r="BY87" s="123">
        <f>IF(Plus!$F$10=Plus!$AK$3,MIN(BZ86+BQ87+BT87+BU87+BV87-BX87,CJ87),0)</f>
        <v>0</v>
      </c>
      <c r="BZ87" s="297">
        <f t="shared" si="144"/>
        <v>0</v>
      </c>
      <c r="CA87" s="74"/>
      <c r="CB87" s="74"/>
      <c r="CC87" s="413">
        <f t="shared" si="47"/>
        <v>0</v>
      </c>
      <c r="CF87" s="90">
        <f t="shared" si="48"/>
        <v>3</v>
      </c>
      <c r="CG87" s="121">
        <f t="shared" si="106"/>
        <v>0</v>
      </c>
      <c r="CI87" s="70">
        <f t="shared" si="107"/>
        <v>0</v>
      </c>
      <c r="CJ87" s="2178">
        <f t="shared" ca="1" si="49"/>
        <v>0</v>
      </c>
      <c r="CL87" s="161"/>
      <c r="CN87" s="308">
        <f t="shared" ca="1" si="13"/>
        <v>6</v>
      </c>
      <c r="CO87" s="309">
        <f t="shared" si="50"/>
        <v>0</v>
      </c>
      <c r="CP87" s="268">
        <f t="shared" si="14"/>
        <v>0</v>
      </c>
      <c r="CQ87" s="123">
        <f t="shared" si="51"/>
        <v>0</v>
      </c>
      <c r="CR87" s="123">
        <f t="shared" si="137"/>
        <v>0</v>
      </c>
      <c r="CS87" s="123">
        <f t="shared" si="138"/>
        <v>0</v>
      </c>
      <c r="CT87" s="33">
        <f>IF(CZ86&lt;0.01,0,IF(Plus!$F$22=Plus!$AN$4,0,IF(Plus!$F$22=Plus!$AN$3,CZ86*Plus!$F$23/1000,CZ86*VLOOKUP(Plus!$G$21,Plus!$AP$2:'Plus'!$AQ$5,2,0))))</f>
        <v>0</v>
      </c>
      <c r="CU87" s="123">
        <f>IF(CZ86&lt;0.01,0,IF(Plus!$F$24=Plus!$AO$3,0,IF(OR(Plus!$F$10=Plus!$AK$7,Plus!$F$10=Plus!$AK$13),0,Plus!$G$13*Plus!$AR$2)))</f>
        <v>0</v>
      </c>
      <c r="CV87" s="123">
        <f>IF(CZ86&lt;0.01,0,IF(OR(Plus!$F$10=Plus!$AK$7,Plus!$F$10=Plus!$AK$13),0,Plus!$BD$2*1.16))</f>
        <v>0</v>
      </c>
      <c r="CW87" s="123">
        <f>IF(CZ86&lt;0.01,0,IF(Plus!$AS$2&gt;0,CQ87*Plus!$AS$3,0))</f>
        <v>0</v>
      </c>
      <c r="CX87" s="123">
        <f t="shared" si="52"/>
        <v>0</v>
      </c>
      <c r="CY87" s="123">
        <f>IF(Plus!$F$10=Plus!$AK$3,MIN(CZ86+CQ87+CT87+CU87+CV87-CX87,DK87),0)</f>
        <v>0</v>
      </c>
      <c r="CZ87" s="297">
        <f t="shared" si="146"/>
        <v>0</v>
      </c>
      <c r="DA87" s="306">
        <f>Plus!O128</f>
        <v>0</v>
      </c>
      <c r="DB87" s="74"/>
      <c r="DC87" s="74"/>
      <c r="DD87" s="407">
        <f t="shared" si="54"/>
        <v>0</v>
      </c>
      <c r="DG87" s="90">
        <f t="shared" si="55"/>
        <v>3</v>
      </c>
      <c r="DH87" s="121">
        <f t="shared" si="108"/>
        <v>0</v>
      </c>
      <c r="DJ87" s="149">
        <f t="shared" si="109"/>
        <v>0</v>
      </c>
      <c r="DK87" s="2179">
        <f t="shared" ca="1" si="56"/>
        <v>0</v>
      </c>
      <c r="DN87" s="120">
        <f t="shared" si="110"/>
        <v>0</v>
      </c>
      <c r="DO87" s="110">
        <f t="shared" si="57"/>
        <v>0</v>
      </c>
      <c r="DP87" s="110">
        <f t="shared" si="124"/>
        <v>0</v>
      </c>
      <c r="DQ87" s="109">
        <f t="shared" si="58"/>
        <v>0</v>
      </c>
      <c r="DR87" s="109">
        <f t="shared" si="59"/>
        <v>0</v>
      </c>
      <c r="DS87" s="113">
        <f t="shared" si="60"/>
        <v>0</v>
      </c>
      <c r="DU87" s="102">
        <f t="shared" si="61"/>
        <v>0</v>
      </c>
      <c r="DV87" s="211">
        <f t="shared" si="125"/>
        <v>63</v>
      </c>
      <c r="DW87" s="212">
        <f t="shared" si="62"/>
        <v>0</v>
      </c>
      <c r="DX87" s="212">
        <f t="shared" si="15"/>
        <v>0</v>
      </c>
      <c r="DY87" s="212">
        <f t="shared" si="111"/>
        <v>0</v>
      </c>
      <c r="DZ87" s="213">
        <f t="shared" si="16"/>
        <v>1000000</v>
      </c>
      <c r="ED87" s="182"/>
      <c r="EF87" s="308">
        <f t="shared" ca="1" si="17"/>
        <v>6</v>
      </c>
      <c r="EG87" s="309">
        <f t="shared" si="63"/>
        <v>0</v>
      </c>
      <c r="EH87" s="268">
        <f t="shared" si="18"/>
        <v>0</v>
      </c>
      <c r="EI87" s="33">
        <f t="shared" si="64"/>
        <v>0</v>
      </c>
      <c r="EJ87" s="33">
        <f t="shared" si="139"/>
        <v>0</v>
      </c>
      <c r="EK87" s="33">
        <f t="shared" si="151"/>
        <v>0</v>
      </c>
      <c r="EL87" s="33">
        <f>IF(ER86&lt;0.01,0,IF(Plus!$F$22=Plus!$AN$4,0,IF(Plus!$F$22=Plus!$AN$3,ER86*Plus!$F$23/1000,ER86*VLOOKUP(Plus!$G$21,Plus!$AP$2:'Plus'!$AQ$5,2,0))))</f>
        <v>0</v>
      </c>
      <c r="EM87" s="33">
        <f>IF(ER86&lt;0.01,0,IF(Plus!$F$24=Plus!$AO$3,0,IF(OR(Plus!$F$10=Plus!$AK$7,Plus!$F$10=Plus!$AK$13),0,Plus!$G$13*Plus!$AR$2)))</f>
        <v>0</v>
      </c>
      <c r="EN87" s="33">
        <f>IF(ER86&lt;0.01,0,IF(OR(Plus!$F$10=Plus!$AK$7,Plus!$F$10=Plus!$AK$13),0,Plus!$BD$2*1.16))</f>
        <v>0</v>
      </c>
      <c r="EO87" s="33">
        <f>IF(ER86&lt;0.01,0,IF(Plus!$AS$2&gt;0,EI87*Plus!$AS$3,0))</f>
        <v>0</v>
      </c>
      <c r="EP87" s="33">
        <f t="shared" si="65"/>
        <v>0</v>
      </c>
      <c r="EQ87" s="33">
        <f>IF(Plus!$F$10=Plus!$AK$3,MIN(ER86+EI87+EL87+EM87+EN87-EP87,FC87),0)</f>
        <v>0</v>
      </c>
      <c r="ER87" s="311">
        <f t="shared" si="145"/>
        <v>0</v>
      </c>
      <c r="ES87" s="340">
        <f>Plus!O128</f>
        <v>0</v>
      </c>
      <c r="ET87" s="74"/>
      <c r="EU87" s="74"/>
      <c r="EV87" s="416">
        <f t="shared" si="134"/>
        <v>0</v>
      </c>
      <c r="EY87" s="90">
        <f t="shared" si="68"/>
        <v>3</v>
      </c>
      <c r="EZ87" s="121">
        <f t="shared" si="112"/>
        <v>0</v>
      </c>
      <c r="FB87" s="149">
        <f t="shared" si="113"/>
        <v>0</v>
      </c>
      <c r="FC87" s="2179">
        <f t="shared" ca="1" si="69"/>
        <v>0</v>
      </c>
      <c r="FE87" s="120">
        <f t="shared" si="114"/>
        <v>0</v>
      </c>
      <c r="FF87" s="110">
        <f t="shared" si="70"/>
        <v>0</v>
      </c>
      <c r="FG87" s="110">
        <f t="shared" si="71"/>
        <v>0</v>
      </c>
      <c r="FH87" s="109">
        <f t="shared" si="72"/>
        <v>0</v>
      </c>
      <c r="FI87" s="109">
        <f t="shared" si="19"/>
        <v>0</v>
      </c>
      <c r="FJ87" s="113">
        <f t="shared" si="73"/>
        <v>0</v>
      </c>
      <c r="FL87" s="102">
        <f t="shared" si="74"/>
        <v>0</v>
      </c>
      <c r="FM87" s="211">
        <f t="shared" si="127"/>
        <v>63</v>
      </c>
      <c r="FN87" s="212">
        <f t="shared" si="75"/>
        <v>0</v>
      </c>
      <c r="FO87" s="212">
        <f t="shared" si="20"/>
        <v>0</v>
      </c>
      <c r="FP87" s="212">
        <f t="shared" si="160"/>
        <v>0</v>
      </c>
      <c r="FQ87" s="213">
        <f t="shared" si="21"/>
        <v>1000000</v>
      </c>
      <c r="FV87" s="359"/>
      <c r="FX87" s="308">
        <f t="shared" ca="1" si="22"/>
        <v>6</v>
      </c>
      <c r="FY87" s="309">
        <f t="shared" si="76"/>
        <v>0</v>
      </c>
      <c r="FZ87" s="268">
        <f t="shared" si="23"/>
        <v>0</v>
      </c>
      <c r="GA87" s="33">
        <f t="shared" si="77"/>
        <v>0</v>
      </c>
      <c r="GB87" s="33">
        <f t="shared" si="141"/>
        <v>0</v>
      </c>
      <c r="GC87" s="33">
        <f t="shared" si="142"/>
        <v>0</v>
      </c>
      <c r="GD87" s="33">
        <f>IF(GJ86&lt;0.01,0,IF(Plus!$F$22=Plus!$AN$4,0,IF(Plus!$F$22=Plus!$AN$3,GJ86*Plus!$F$23/1000,GJ86*VLOOKUP(Plus!$G$21,Plus!$AP$2:$AQ$5,2,0))))</f>
        <v>0</v>
      </c>
      <c r="GE87" s="33">
        <f>IF(GJ86&lt;0.01,0,IF(Plus!$F$24=Plus!$AO$3,0,IF(OR(Plus!$F$10=Plus!$AK$7,Plus!$F$10=Plus!$AK$13,Plus!$F$10=Plus!$AK$14),0,IF(OR(Plus!$F$10=Plus!$AK$10,Plus!$F$10=Plus!$AK$11),Plus!$G$13*Adm!$W$7,Plus!$G$13*Adm!$X$4))))</f>
        <v>0</v>
      </c>
      <c r="GF87" s="33">
        <f>IF(GJ86&lt;0.01,0,IF(OR(Plus!$F$10=Plus!$AK$7,Plus!$F$10=Plus!$AK$13),0,Plus!$BD$2*1.16))</f>
        <v>0</v>
      </c>
      <c r="GG87" s="33">
        <f>IF(GJ86&lt;0.01,0,IF(Plus!$AS$2&gt;0,GA87*Plus!$AS$3,0))</f>
        <v>0</v>
      </c>
      <c r="GH87" s="33">
        <f t="shared" si="78"/>
        <v>0</v>
      </c>
      <c r="GI87" s="33">
        <f>IF(Plus!$F$10=Plus!$AK$3,MIN(GJ86+GA87+GD87+GE87+GF87-GH87,GU87),0)</f>
        <v>0</v>
      </c>
      <c r="GJ87" s="311">
        <f t="shared" si="136"/>
        <v>0</v>
      </c>
      <c r="GK87" s="340">
        <f>Plus!O128</f>
        <v>0</v>
      </c>
      <c r="GL87" s="74"/>
      <c r="GM87" s="74"/>
      <c r="GN87" s="419">
        <f t="shared" si="135"/>
        <v>0</v>
      </c>
      <c r="GQ87" s="90">
        <f t="shared" si="80"/>
        <v>3</v>
      </c>
      <c r="GR87" s="121">
        <f t="shared" si="116"/>
        <v>0</v>
      </c>
      <c r="GT87" s="149">
        <f t="shared" si="117"/>
        <v>0</v>
      </c>
      <c r="GU87" s="2179">
        <f t="shared" ca="1" si="81"/>
        <v>0</v>
      </c>
      <c r="GW87" s="120">
        <f t="shared" si="118"/>
        <v>0</v>
      </c>
      <c r="GX87" s="110">
        <f t="shared" si="82"/>
        <v>0</v>
      </c>
      <c r="GY87" s="110">
        <f t="shared" si="83"/>
        <v>0</v>
      </c>
      <c r="GZ87" s="109">
        <f t="shared" si="84"/>
        <v>0</v>
      </c>
      <c r="HA87" s="109">
        <f t="shared" si="24"/>
        <v>0</v>
      </c>
      <c r="HB87" s="113">
        <f t="shared" si="85"/>
        <v>0</v>
      </c>
      <c r="HD87" s="102">
        <f t="shared" si="86"/>
        <v>0</v>
      </c>
      <c r="HE87" s="211">
        <f t="shared" si="129"/>
        <v>63</v>
      </c>
      <c r="HF87" s="212">
        <f t="shared" si="87"/>
        <v>0</v>
      </c>
      <c r="HG87" s="212">
        <f t="shared" si="25"/>
        <v>0</v>
      </c>
      <c r="HH87" s="212">
        <f t="shared" si="161"/>
        <v>0</v>
      </c>
      <c r="HI87" s="213">
        <f t="shared" si="26"/>
        <v>1000000</v>
      </c>
      <c r="HL87" s="182"/>
      <c r="HM87" s="26">
        <f t="shared" ca="1" si="27"/>
        <v>6</v>
      </c>
      <c r="HO87" s="268">
        <f t="shared" si="28"/>
        <v>0</v>
      </c>
      <c r="HP87" s="151">
        <f t="shared" si="157"/>
        <v>0</v>
      </c>
      <c r="HQ87" s="123">
        <f t="shared" si="88"/>
        <v>0</v>
      </c>
      <c r="HR87" s="123">
        <f t="shared" si="89"/>
        <v>0</v>
      </c>
      <c r="HS87" s="123">
        <f t="shared" si="90"/>
        <v>0</v>
      </c>
      <c r="HT87" s="123">
        <f>IF(HY86&lt;0.01,0,IF(Adm!$GS$4=Adm!$GS$8,HY86*$HY$15,IF(Adm!$GS$12=Adm!$GS$13,0,HY86*Adm!$GV$4)))</f>
        <v>0</v>
      </c>
      <c r="HU87" s="123">
        <f>IF(HY86&lt;0.01,0,IF(Adm!$GS$5=Adm!$GS$8,Cal!$BO$108*$HY$16/1.16,IF(Adm!$GS$12=Adm!$GS$13,0,Cal!$BO$108*Adm!$GW$4/1.16)))</f>
        <v>0</v>
      </c>
      <c r="HV87" s="123">
        <f t="shared" si="91"/>
        <v>0</v>
      </c>
      <c r="HW87" s="123">
        <f t="shared" si="92"/>
        <v>0</v>
      </c>
      <c r="HX87" s="123">
        <f>IF(Adm!$GH$6="si",MIN(HY86+HQ87+HT87+HU87+HV87-HW87,IH87),0)</f>
        <v>0</v>
      </c>
      <c r="HY87" s="297">
        <f t="shared" si="93"/>
        <v>0</v>
      </c>
      <c r="HZ87" s="74"/>
      <c r="IA87" s="407">
        <f t="shared" si="94"/>
        <v>0</v>
      </c>
      <c r="IC87" s="90">
        <f t="shared" si="95"/>
        <v>3</v>
      </c>
      <c r="ID87" s="124">
        <f>IF(IC87=1,Cal!$BO$127,0)</f>
        <v>0</v>
      </c>
      <c r="IE87" s="178">
        <f>IF(IC87=1,Adm!$HI$4,0)</f>
        <v>0</v>
      </c>
      <c r="IG87" s="70">
        <f t="shared" si="121"/>
        <v>0</v>
      </c>
      <c r="IH87" s="2178">
        <f t="shared" ca="1" si="96"/>
        <v>0</v>
      </c>
      <c r="IK87" s="217"/>
      <c r="IL87" s="26">
        <f t="shared" ca="1" si="29"/>
        <v>6</v>
      </c>
      <c r="IN87" s="268">
        <f t="shared" si="30"/>
        <v>0</v>
      </c>
      <c r="IO87" s="151">
        <f t="shared" si="154"/>
        <v>0</v>
      </c>
      <c r="IP87" s="123">
        <f t="shared" si="97"/>
        <v>0</v>
      </c>
      <c r="IQ87" s="123">
        <f t="shared" si="98"/>
        <v>0</v>
      </c>
      <c r="IR87" s="123">
        <f t="shared" si="99"/>
        <v>0</v>
      </c>
      <c r="IS87" s="123">
        <f>IF(IX86&lt;0.01,0,IF(Adm!$GS$4=Adm!$GS$8,IX86*$IX$15,IF(Adm!$GS$12=Adm!$GS$13,0,IX86*Adm!$GV$4)))</f>
        <v>0</v>
      </c>
      <c r="IT87" s="123"/>
      <c r="IU87" s="123">
        <f t="shared" si="100"/>
        <v>0</v>
      </c>
      <c r="IV87" s="123">
        <f t="shared" si="101"/>
        <v>0</v>
      </c>
      <c r="IW87" s="123"/>
      <c r="IX87" s="297">
        <f t="shared" si="102"/>
        <v>0</v>
      </c>
      <c r="IY87" s="74"/>
      <c r="IZ87" s="416">
        <f t="shared" si="103"/>
        <v>0</v>
      </c>
      <c r="JB87" s="90">
        <f t="shared" si="104"/>
        <v>3</v>
      </c>
      <c r="JC87" s="124">
        <f>IF(JB87=1,Cal!$BP$127,0)</f>
        <v>0</v>
      </c>
      <c r="JD87" s="178">
        <f>IF(JB87=1,Adm!$HI$4,0)</f>
        <v>0</v>
      </c>
    </row>
    <row r="88" spans="1:264">
      <c r="A88" s="26">
        <f t="shared" ca="1" si="0"/>
        <v>7</v>
      </c>
      <c r="C88" s="33">
        <f t="shared" si="1"/>
        <v>0</v>
      </c>
      <c r="D88" s="123">
        <f t="shared" si="31"/>
        <v>0</v>
      </c>
      <c r="E88" s="123">
        <f t="shared" si="147"/>
        <v>0</v>
      </c>
      <c r="F88" s="123">
        <f t="shared" si="149"/>
        <v>0</v>
      </c>
      <c r="G88" s="123">
        <f>IF(L87&lt;0.01,0,IF(Adm!$S$4=Adm!$S$8,L87*$L$15,L87*Adm!$V$4))</f>
        <v>0</v>
      </c>
      <c r="H88" s="123">
        <f>IF(L87&lt;0.01,0,IF(Adm!$S$5=Adm!$S$8,Adm!$AA$11*$L$16/1.16,IF(Adm!$B$4=Adm!$A$119,0,Adm!$AA$11*Adm!$X$4/1.16)))</f>
        <v>0</v>
      </c>
      <c r="I88" s="123">
        <f>IF(L87&lt;0.01,0,Cal!$AB$126/1.16)</f>
        <v>0</v>
      </c>
      <c r="J88" s="123">
        <f t="shared" si="2"/>
        <v>0</v>
      </c>
      <c r="K88" s="123">
        <f>IF(Adm!$G$4="si",MIN(L87+D88+G88+H88+I88-J88,V88),0)</f>
        <v>0</v>
      </c>
      <c r="L88" s="123">
        <f t="shared" si="32"/>
        <v>0</v>
      </c>
      <c r="M88" s="74"/>
      <c r="N88" s="74"/>
      <c r="O88" s="407">
        <f t="shared" si="33"/>
        <v>0</v>
      </c>
      <c r="R88" s="90">
        <f t="shared" si="34"/>
        <v>4</v>
      </c>
      <c r="S88" s="121">
        <f>IF(R88=1,Cal!$AB$127,0)</f>
        <v>0</v>
      </c>
      <c r="U88" s="70">
        <f t="shared" si="105"/>
        <v>0</v>
      </c>
      <c r="V88" s="2178">
        <f t="shared" ca="1" si="35"/>
        <v>0</v>
      </c>
      <c r="X88" s="398"/>
      <c r="Z88" s="268">
        <f t="shared" si="3"/>
        <v>0</v>
      </c>
      <c r="AA88" s="2176">
        <f t="shared" si="36"/>
        <v>0</v>
      </c>
      <c r="AB88" s="33">
        <f t="shared" si="37"/>
        <v>0</v>
      </c>
      <c r="AC88" s="33">
        <f t="shared" si="38"/>
        <v>0</v>
      </c>
      <c r="AD88" s="33">
        <f>IF(AI87&lt;0.01,0,IF(Adm!$S$4=Adm!$S$8,AI87*$AI$15,AI87*Adm!$V$4))</f>
        <v>0</v>
      </c>
      <c r="AE88" s="33"/>
      <c r="AF88" s="33"/>
      <c r="AG88" s="33">
        <f t="shared" si="4"/>
        <v>0</v>
      </c>
      <c r="AH88" s="33"/>
      <c r="AI88" s="401">
        <f t="shared" si="5"/>
        <v>0</v>
      </c>
      <c r="AK88" s="410">
        <f t="shared" si="6"/>
        <v>0</v>
      </c>
      <c r="AN88" s="90">
        <f t="shared" si="39"/>
        <v>4</v>
      </c>
      <c r="AO88" s="121">
        <f>IF(AN88=1,Cal!$AC$127,0)</f>
        <v>0</v>
      </c>
      <c r="AS88" s="200"/>
      <c r="AU88" s="268">
        <f t="shared" si="7"/>
        <v>0</v>
      </c>
      <c r="AV88" s="2177">
        <f t="shared" si="40"/>
        <v>0</v>
      </c>
      <c r="AW88" s="123">
        <f t="shared" si="8"/>
        <v>0</v>
      </c>
      <c r="AX88" s="123">
        <f t="shared" si="41"/>
        <v>0</v>
      </c>
      <c r="AY88" s="123">
        <f>IF(BC87&lt;0.01,0,IF(Adm!$S$4=Adm!$S$8,BC87*$BC$16,BC87*Adm!$V$4))</f>
        <v>0</v>
      </c>
      <c r="AZ88" s="123"/>
      <c r="BA88" s="123">
        <f>IF(BC87&lt;0.01,0,Adm!$Q$6)</f>
        <v>0</v>
      </c>
      <c r="BB88" s="123">
        <f t="shared" si="42"/>
        <v>0</v>
      </c>
      <c r="BC88" s="297">
        <f t="shared" si="43"/>
        <v>0</v>
      </c>
      <c r="BE88" s="425">
        <f t="shared" si="9"/>
        <v>0</v>
      </c>
      <c r="BH88" s="90">
        <f t="shared" si="44"/>
        <v>4</v>
      </c>
      <c r="BI88" s="121">
        <f>IF(BH88=1,Cal!$AD$127,0)</f>
        <v>0</v>
      </c>
      <c r="BM88" s="221"/>
      <c r="BO88" s="295">
        <f t="shared" ca="1" si="10"/>
        <v>7</v>
      </c>
      <c r="BP88" s="268">
        <f t="shared" si="11"/>
        <v>0</v>
      </c>
      <c r="BQ88" s="123">
        <f t="shared" si="45"/>
        <v>0</v>
      </c>
      <c r="BR88" s="123">
        <f t="shared" si="148"/>
        <v>0</v>
      </c>
      <c r="BS88" s="123">
        <f t="shared" si="150"/>
        <v>0</v>
      </c>
      <c r="BT88" s="123">
        <f>IF(BZ87&lt;0.01,0,IF(Plus!$F$22=Plus!$AN$4,BZ87*$BZ$15,IF(Plus!$F$22=Plus!$AN$3,BZ87*Plus!$F$23/1000,BZ87*VLOOKUP(Plus!$G$21,Plus!$AP$2:'Plus'!$AQ$5,2,0))))</f>
        <v>0</v>
      </c>
      <c r="BU88" s="123">
        <f>IF(BZ87&lt;0.01,0,IF(Plus!$F$24=Plus!$AO$3,Plus!$G$13*Plus!$AR$2/1.16,IF(Plus!$F$10=Plus!$AK$7,0,Plus!$G$13*Plus!$AR$2/1.16)))</f>
        <v>0</v>
      </c>
      <c r="BV88" s="123">
        <f>IF(BZ87&lt;0.01,0,Plus!$BD$2)</f>
        <v>0</v>
      </c>
      <c r="BW88" s="123"/>
      <c r="BX88" s="123">
        <f t="shared" si="12"/>
        <v>0</v>
      </c>
      <c r="BY88" s="123">
        <f>IF(Plus!$F$10=Plus!$AK$3,MIN(BZ87+BQ88+BT88+BU88+BV88-BX88,CJ88),0)</f>
        <v>0</v>
      </c>
      <c r="BZ88" s="297">
        <f t="shared" si="144"/>
        <v>0</v>
      </c>
      <c r="CA88" s="74"/>
      <c r="CB88" s="74"/>
      <c r="CC88" s="413">
        <f t="shared" si="47"/>
        <v>0</v>
      </c>
      <c r="CF88" s="90">
        <f t="shared" si="48"/>
        <v>4</v>
      </c>
      <c r="CG88" s="121">
        <f t="shared" si="106"/>
        <v>0</v>
      </c>
      <c r="CI88" s="70">
        <f t="shared" si="107"/>
        <v>0</v>
      </c>
      <c r="CJ88" s="2178">
        <f t="shared" ca="1" si="49"/>
        <v>0</v>
      </c>
      <c r="CL88" s="161"/>
      <c r="CN88" s="308">
        <f t="shared" ca="1" si="13"/>
        <v>7</v>
      </c>
      <c r="CO88" s="309">
        <f t="shared" si="50"/>
        <v>0</v>
      </c>
      <c r="CP88" s="268">
        <f t="shared" si="14"/>
        <v>0</v>
      </c>
      <c r="CQ88" s="123">
        <f t="shared" si="51"/>
        <v>0</v>
      </c>
      <c r="CR88" s="123">
        <f t="shared" si="137"/>
        <v>0</v>
      </c>
      <c r="CS88" s="123">
        <f t="shared" si="138"/>
        <v>0</v>
      </c>
      <c r="CT88" s="33">
        <f>IF(CZ87&lt;0.01,0,IF(Plus!$F$22=Plus!$AN$4,0,IF(Plus!$F$22=Plus!$AN$3,CZ87*Plus!$F$23/1000,CZ87*VLOOKUP(Plus!$G$21,Plus!$AP$2:'Plus'!$AQ$5,2,0))))</f>
        <v>0</v>
      </c>
      <c r="CU88" s="123">
        <f>IF(CZ87&lt;0.01,0,IF(Plus!$F$24=Plus!$AO$3,0,IF(OR(Plus!$F$10=Plus!$AK$7,Plus!$F$10=Plus!$AK$13),0,Plus!$G$13*Plus!$AR$2)))</f>
        <v>0</v>
      </c>
      <c r="CV88" s="123">
        <f>IF(CZ87&lt;0.01,0,IF(OR(Plus!$F$10=Plus!$AK$7,Plus!$F$10=Plus!$AK$13),0,Plus!$BD$2*1.16))</f>
        <v>0</v>
      </c>
      <c r="CW88" s="123">
        <f>IF(CZ87&lt;0.01,0,IF(Plus!$AS$2&gt;0,CQ88*Plus!$AS$3,0))</f>
        <v>0</v>
      </c>
      <c r="CX88" s="123">
        <f t="shared" si="52"/>
        <v>0</v>
      </c>
      <c r="CY88" s="123">
        <f>IF(Plus!$F$10=Plus!$AK$3,MIN(CZ87+CQ88+CT88+CU88+CV88-CX88,DK88),0)</f>
        <v>0</v>
      </c>
      <c r="CZ88" s="297">
        <f t="shared" si="146"/>
        <v>0</v>
      </c>
      <c r="DA88" s="306">
        <f>Plus!O129</f>
        <v>0</v>
      </c>
      <c r="DB88" s="74"/>
      <c r="DC88" s="74"/>
      <c r="DD88" s="407">
        <f t="shared" si="54"/>
        <v>0</v>
      </c>
      <c r="DG88" s="90">
        <f t="shared" si="55"/>
        <v>4</v>
      </c>
      <c r="DH88" s="121">
        <f t="shared" si="108"/>
        <v>0</v>
      </c>
      <c r="DJ88" s="149">
        <f t="shared" si="109"/>
        <v>0</v>
      </c>
      <c r="DK88" s="2179">
        <f t="shared" ca="1" si="56"/>
        <v>0</v>
      </c>
      <c r="DN88" s="120">
        <f t="shared" si="110"/>
        <v>0</v>
      </c>
      <c r="DO88" s="110">
        <f t="shared" si="57"/>
        <v>0</v>
      </c>
      <c r="DP88" s="110">
        <f t="shared" si="124"/>
        <v>0</v>
      </c>
      <c r="DQ88" s="109">
        <f t="shared" si="58"/>
        <v>0</v>
      </c>
      <c r="DR88" s="109">
        <f t="shared" si="59"/>
        <v>0</v>
      </c>
      <c r="DS88" s="113">
        <f t="shared" si="60"/>
        <v>0</v>
      </c>
      <c r="DU88" s="102">
        <f t="shared" si="61"/>
        <v>0</v>
      </c>
      <c r="DV88" s="211">
        <f t="shared" si="125"/>
        <v>64</v>
      </c>
      <c r="DW88" s="212">
        <f t="shared" si="62"/>
        <v>0</v>
      </c>
      <c r="DX88" s="212">
        <f t="shared" si="15"/>
        <v>0</v>
      </c>
      <c r="DY88" s="212">
        <f t="shared" si="111"/>
        <v>0</v>
      </c>
      <c r="DZ88" s="213">
        <f t="shared" si="16"/>
        <v>1000000</v>
      </c>
      <c r="ED88" s="182"/>
      <c r="EF88" s="308">
        <f t="shared" ca="1" si="17"/>
        <v>7</v>
      </c>
      <c r="EG88" s="309">
        <f t="shared" si="63"/>
        <v>0</v>
      </c>
      <c r="EH88" s="268">
        <f t="shared" si="18"/>
        <v>0</v>
      </c>
      <c r="EI88" s="33">
        <f t="shared" si="64"/>
        <v>0</v>
      </c>
      <c r="EJ88" s="33">
        <f t="shared" si="139"/>
        <v>0</v>
      </c>
      <c r="EK88" s="33">
        <f t="shared" si="151"/>
        <v>0</v>
      </c>
      <c r="EL88" s="33">
        <f>IF(ER87&lt;0.01,0,IF(Plus!$F$22=Plus!$AN$4,0,IF(Plus!$F$22=Plus!$AN$3,ER87*Plus!$F$23/1000,ER87*VLOOKUP(Plus!$G$21,Plus!$AP$2:'Plus'!$AQ$5,2,0))))</f>
        <v>0</v>
      </c>
      <c r="EM88" s="33">
        <f>IF(ER87&lt;0.01,0,IF(Plus!$F$24=Plus!$AO$3,0,IF(OR(Plus!$F$10=Plus!$AK$7,Plus!$F$10=Plus!$AK$13),0,Plus!$G$13*Plus!$AR$2)))</f>
        <v>0</v>
      </c>
      <c r="EN88" s="33">
        <f>IF(ER87&lt;0.01,0,IF(OR(Plus!$F$10=Plus!$AK$7,Plus!$F$10=Plus!$AK$13),0,Plus!$BD$2*1.16))</f>
        <v>0</v>
      </c>
      <c r="EO88" s="33">
        <f>IF(ER87&lt;0.01,0,IF(Plus!$AS$2&gt;0,EI88*Plus!$AS$3,0))</f>
        <v>0</v>
      </c>
      <c r="EP88" s="33">
        <f t="shared" si="65"/>
        <v>0</v>
      </c>
      <c r="EQ88" s="33">
        <f>IF(Plus!$F$10=Plus!$AK$3,MIN(ER87+EI88+EL88+EM88+EN88-EP88,FC88),0)</f>
        <v>0</v>
      </c>
      <c r="ER88" s="311">
        <f t="shared" si="145"/>
        <v>0</v>
      </c>
      <c r="ES88" s="340">
        <f>Plus!O129</f>
        <v>0</v>
      </c>
      <c r="ET88" s="74"/>
      <c r="EU88" s="74"/>
      <c r="EV88" s="416">
        <f t="shared" si="134"/>
        <v>0</v>
      </c>
      <c r="EY88" s="90">
        <f t="shared" si="68"/>
        <v>4</v>
      </c>
      <c r="EZ88" s="121">
        <f t="shared" si="112"/>
        <v>0</v>
      </c>
      <c r="FB88" s="149">
        <f t="shared" si="113"/>
        <v>0</v>
      </c>
      <c r="FC88" s="2179">
        <f t="shared" ca="1" si="69"/>
        <v>0</v>
      </c>
      <c r="FE88" s="120">
        <f t="shared" si="114"/>
        <v>0</v>
      </c>
      <c r="FF88" s="110">
        <f t="shared" si="70"/>
        <v>0</v>
      </c>
      <c r="FG88" s="110">
        <f t="shared" si="71"/>
        <v>0</v>
      </c>
      <c r="FH88" s="109">
        <f t="shared" si="72"/>
        <v>0</v>
      </c>
      <c r="FI88" s="109">
        <f t="shared" si="19"/>
        <v>0</v>
      </c>
      <c r="FJ88" s="113">
        <f t="shared" si="73"/>
        <v>0</v>
      </c>
      <c r="FL88" s="102">
        <f t="shared" si="74"/>
        <v>0</v>
      </c>
      <c r="FM88" s="211">
        <f t="shared" si="127"/>
        <v>64</v>
      </c>
      <c r="FN88" s="212">
        <f t="shared" si="75"/>
        <v>0</v>
      </c>
      <c r="FO88" s="212">
        <f t="shared" si="20"/>
        <v>0</v>
      </c>
      <c r="FP88" s="212">
        <f t="shared" si="160"/>
        <v>0</v>
      </c>
      <c r="FQ88" s="213">
        <f t="shared" si="21"/>
        <v>1000000</v>
      </c>
      <c r="FV88" s="359"/>
      <c r="FX88" s="308">
        <f t="shared" ca="1" si="22"/>
        <v>7</v>
      </c>
      <c r="FY88" s="309">
        <f t="shared" si="76"/>
        <v>0</v>
      </c>
      <c r="FZ88" s="268">
        <f t="shared" si="23"/>
        <v>0</v>
      </c>
      <c r="GA88" s="33">
        <f t="shared" si="77"/>
        <v>0</v>
      </c>
      <c r="GB88" s="33">
        <f t="shared" si="141"/>
        <v>0</v>
      </c>
      <c r="GC88" s="33">
        <f t="shared" si="142"/>
        <v>0</v>
      </c>
      <c r="GD88" s="33">
        <f>IF(GJ87&lt;0.01,0,IF(Plus!$F$22=Plus!$AN$4,0,IF(Plus!$F$22=Plus!$AN$3,GJ87*Plus!$F$23/1000,GJ87*VLOOKUP(Plus!$G$21,Plus!$AP$2:$AQ$5,2,0))))</f>
        <v>0</v>
      </c>
      <c r="GE88" s="33">
        <f>IF(GJ87&lt;0.01,0,IF(Plus!$F$24=Plus!$AO$3,0,IF(OR(Plus!$F$10=Plus!$AK$7,Plus!$F$10=Plus!$AK$13,Plus!$F$10=Plus!$AK$14),0,IF(OR(Plus!$F$10=Plus!$AK$10,Plus!$F$10=Plus!$AK$11),Plus!$G$13*Adm!$W$7,Plus!$G$13*Adm!$X$4))))</f>
        <v>0</v>
      </c>
      <c r="GF88" s="33">
        <f>IF(GJ87&lt;0.01,0,IF(OR(Plus!$F$10=Plus!$AK$7,Plus!$F$10=Plus!$AK$13),0,Plus!$BD$2*1.16))</f>
        <v>0</v>
      </c>
      <c r="GG88" s="33">
        <f>IF(GJ87&lt;0.01,0,IF(Plus!$AS$2&gt;0,GA88*Plus!$AS$3,0))</f>
        <v>0</v>
      </c>
      <c r="GH88" s="33">
        <f t="shared" si="78"/>
        <v>0</v>
      </c>
      <c r="GI88" s="33">
        <f>IF(Plus!$F$10=Plus!$AK$3,MIN(GJ87+GA88+GD88+GE88+GF88-GH88,GU88),0)</f>
        <v>0</v>
      </c>
      <c r="GJ88" s="311">
        <f t="shared" si="136"/>
        <v>0</v>
      </c>
      <c r="GK88" s="340">
        <f>Plus!O129</f>
        <v>0</v>
      </c>
      <c r="GL88" s="74"/>
      <c r="GM88" s="74"/>
      <c r="GN88" s="419">
        <f t="shared" si="135"/>
        <v>0</v>
      </c>
      <c r="GQ88" s="90">
        <f t="shared" si="80"/>
        <v>4</v>
      </c>
      <c r="GR88" s="121">
        <f t="shared" si="116"/>
        <v>0</v>
      </c>
      <c r="GT88" s="149">
        <f t="shared" si="117"/>
        <v>0</v>
      </c>
      <c r="GU88" s="2179">
        <f t="shared" ca="1" si="81"/>
        <v>0</v>
      </c>
      <c r="GW88" s="120">
        <f t="shared" si="118"/>
        <v>0</v>
      </c>
      <c r="GX88" s="110">
        <f t="shared" si="82"/>
        <v>0</v>
      </c>
      <c r="GY88" s="110">
        <f t="shared" si="83"/>
        <v>0</v>
      </c>
      <c r="GZ88" s="109">
        <f t="shared" si="84"/>
        <v>0</v>
      </c>
      <c r="HA88" s="109">
        <f t="shared" si="24"/>
        <v>0</v>
      </c>
      <c r="HB88" s="113">
        <f t="shared" si="85"/>
        <v>0</v>
      </c>
      <c r="HD88" s="102">
        <f t="shared" si="86"/>
        <v>0</v>
      </c>
      <c r="HE88" s="211">
        <f t="shared" si="129"/>
        <v>64</v>
      </c>
      <c r="HF88" s="212">
        <f t="shared" si="87"/>
        <v>0</v>
      </c>
      <c r="HG88" s="212">
        <f t="shared" si="25"/>
        <v>0</v>
      </c>
      <c r="HH88" s="212">
        <f t="shared" si="161"/>
        <v>0</v>
      </c>
      <c r="HI88" s="213">
        <f t="shared" si="26"/>
        <v>1000000</v>
      </c>
      <c r="HL88" s="182"/>
      <c r="HM88" s="26">
        <f t="shared" ca="1" si="27"/>
        <v>7</v>
      </c>
      <c r="HO88" s="268">
        <f t="shared" si="28"/>
        <v>0</v>
      </c>
      <c r="HP88" s="151">
        <f t="shared" si="157"/>
        <v>0</v>
      </c>
      <c r="HQ88" s="123">
        <f t="shared" si="88"/>
        <v>0</v>
      </c>
      <c r="HR88" s="123">
        <f t="shared" si="89"/>
        <v>0</v>
      </c>
      <c r="HS88" s="123">
        <f t="shared" si="90"/>
        <v>0</v>
      </c>
      <c r="HT88" s="123">
        <f>IF(HY87&lt;0.01,0,IF(Adm!$GS$4=Adm!$GS$8,HY87*$HY$15,IF(Adm!$GS$12=Adm!$GS$13,0,HY87*Adm!$GV$4)))</f>
        <v>0</v>
      </c>
      <c r="HU88" s="123">
        <f>IF(HY87&lt;0.01,0,IF(Adm!$GS$5=Adm!$GS$8,Cal!$BO$108*$HY$16/1.16,IF(Adm!$GS$12=Adm!$GS$13,0,Cal!$BO$108*Adm!$GW$4/1.16)))</f>
        <v>0</v>
      </c>
      <c r="HV88" s="123">
        <f t="shared" si="91"/>
        <v>0</v>
      </c>
      <c r="HW88" s="123">
        <f t="shared" si="92"/>
        <v>0</v>
      </c>
      <c r="HX88" s="123">
        <f>IF(Adm!$GH$6="si",MIN(HY87+HQ88+HT88+HU88+HV88-HW88,IH88),0)</f>
        <v>0</v>
      </c>
      <c r="HY88" s="297">
        <f t="shared" si="93"/>
        <v>0</v>
      </c>
      <c r="HZ88" s="74"/>
      <c r="IA88" s="407">
        <f t="shared" si="94"/>
        <v>0</v>
      </c>
      <c r="IC88" s="90">
        <f t="shared" si="95"/>
        <v>4</v>
      </c>
      <c r="ID88" s="124">
        <f>IF(IC88=1,Cal!$BO$127,0)</f>
        <v>0</v>
      </c>
      <c r="IE88" s="178">
        <f>IF(IC88=1,Adm!$HI$4,0)</f>
        <v>0</v>
      </c>
      <c r="IG88" s="70">
        <f t="shared" si="121"/>
        <v>0</v>
      </c>
      <c r="IH88" s="2178">
        <f t="shared" ca="1" si="96"/>
        <v>0</v>
      </c>
      <c r="IK88" s="217"/>
      <c r="IL88" s="26">
        <f t="shared" ca="1" si="29"/>
        <v>7</v>
      </c>
      <c r="IN88" s="268">
        <f t="shared" si="30"/>
        <v>0</v>
      </c>
      <c r="IO88" s="151">
        <f t="shared" si="154"/>
        <v>0</v>
      </c>
      <c r="IP88" s="123">
        <f t="shared" si="97"/>
        <v>0</v>
      </c>
      <c r="IQ88" s="123">
        <f t="shared" si="98"/>
        <v>0</v>
      </c>
      <c r="IR88" s="123">
        <f t="shared" si="99"/>
        <v>0</v>
      </c>
      <c r="IS88" s="123">
        <f>IF(IX87&lt;0.01,0,IF(Adm!$GS$4=Adm!$GS$8,IX87*$IX$15,IF(Adm!$GS$12=Adm!$GS$13,0,IX87*Adm!$GV$4)))</f>
        <v>0</v>
      </c>
      <c r="IT88" s="123"/>
      <c r="IU88" s="123">
        <f t="shared" si="100"/>
        <v>0</v>
      </c>
      <c r="IV88" s="123">
        <f t="shared" si="101"/>
        <v>0</v>
      </c>
      <c r="IW88" s="123"/>
      <c r="IX88" s="297">
        <f t="shared" si="102"/>
        <v>0</v>
      </c>
      <c r="IY88" s="74"/>
      <c r="IZ88" s="416">
        <f t="shared" si="103"/>
        <v>0</v>
      </c>
      <c r="JB88" s="90">
        <f t="shared" si="104"/>
        <v>4</v>
      </c>
      <c r="JC88" s="124">
        <f>IF(JB88=1,Cal!$BP$127,0)</f>
        <v>0</v>
      </c>
      <c r="JD88" s="178">
        <f>IF(JB88=1,Adm!$HI$4,0)</f>
        <v>0</v>
      </c>
    </row>
    <row r="89" spans="1:264">
      <c r="A89" s="26">
        <f t="shared" ref="A89:A152" ca="1" si="162">IF(A88=12,1,A88+1)</f>
        <v>8</v>
      </c>
      <c r="C89" s="33">
        <f t="shared" ref="C89:C152" si="163">IF(L88&lt;0.01,0,C88+1)</f>
        <v>0</v>
      </c>
      <c r="D89" s="123">
        <f t="shared" si="31"/>
        <v>0</v>
      </c>
      <c r="E89" s="123">
        <f t="shared" si="147"/>
        <v>0</v>
      </c>
      <c r="F89" s="123">
        <f t="shared" si="149"/>
        <v>0</v>
      </c>
      <c r="G89" s="123">
        <f>IF(L88&lt;0.01,0,IF(Adm!$S$4=Adm!$S$8,L88*$L$15,L88*Adm!$V$4))</f>
        <v>0</v>
      </c>
      <c r="H89" s="123">
        <f>IF(L88&lt;0.01,0,IF(Adm!$S$5=Adm!$S$8,Adm!$AA$11*$L$16/1.16,IF(Adm!$B$4=Adm!$A$119,0,Adm!$AA$11*Adm!$X$4/1.16)))</f>
        <v>0</v>
      </c>
      <c r="I89" s="123">
        <f>IF(L88&lt;0.01,0,Cal!$AB$126/1.16)</f>
        <v>0</v>
      </c>
      <c r="J89" s="123">
        <f t="shared" ref="J89:J152" si="164">IF(L88&lt;0.01,0,F89+G89+H89+I89)</f>
        <v>0</v>
      </c>
      <c r="K89" s="123">
        <f>IF(Adm!$G$4="si",MIN(L88+D89+G89+H89+I89-J89,V89),0)</f>
        <v>0</v>
      </c>
      <c r="L89" s="123">
        <f t="shared" si="32"/>
        <v>0</v>
      </c>
      <c r="M89" s="74"/>
      <c r="N89" s="74"/>
      <c r="O89" s="407">
        <f t="shared" si="33"/>
        <v>0</v>
      </c>
      <c r="R89" s="90">
        <f t="shared" si="34"/>
        <v>5</v>
      </c>
      <c r="S89" s="121">
        <f>IF(R89=1,Cal!$AB$127,0)</f>
        <v>0</v>
      </c>
      <c r="U89" s="70">
        <f t="shared" si="105"/>
        <v>0</v>
      </c>
      <c r="V89" s="2178">
        <f t="shared" ca="1" si="35"/>
        <v>0</v>
      </c>
      <c r="X89" s="398"/>
      <c r="Z89" s="268">
        <f t="shared" ref="Z89:Z152" si="165">IF(AI88&lt;0.01,0,Z88+1)</f>
        <v>0</v>
      </c>
      <c r="AA89" s="2176">
        <f t="shared" si="36"/>
        <v>0</v>
      </c>
      <c r="AB89" s="33">
        <f t="shared" si="37"/>
        <v>0</v>
      </c>
      <c r="AC89" s="33">
        <f t="shared" si="38"/>
        <v>0</v>
      </c>
      <c r="AD89" s="33">
        <f>IF(AI88&lt;0.01,0,IF(Adm!$S$4=Adm!$S$8,AI88*$AI$15,AI88*Adm!$V$4))</f>
        <v>0</v>
      </c>
      <c r="AE89" s="33"/>
      <c r="AF89" s="33"/>
      <c r="AG89" s="33">
        <f t="shared" ref="AG89:AG152" si="166">IF(AI88&lt;0.01,0,AC89+AD89+AE89+AF89)</f>
        <v>0</v>
      </c>
      <c r="AH89" s="33"/>
      <c r="AI89" s="401">
        <f t="shared" ref="AI89:AI152" si="167">AI88-AB89</f>
        <v>0</v>
      </c>
      <c r="AK89" s="410">
        <f t="shared" ref="AK89:AK152" si="168">AG89</f>
        <v>0</v>
      </c>
      <c r="AN89" s="90">
        <f t="shared" si="39"/>
        <v>5</v>
      </c>
      <c r="AO89" s="121">
        <f>IF(AN89=1,Cal!$AC$127,0)</f>
        <v>0</v>
      </c>
      <c r="AS89" s="200"/>
      <c r="AU89" s="268">
        <f t="shared" ref="AU89:AU152" si="169">IF(BC88&lt;0.01,0,AU88+1)</f>
        <v>0</v>
      </c>
      <c r="AV89" s="2177">
        <f t="shared" si="40"/>
        <v>0</v>
      </c>
      <c r="AW89" s="123">
        <f t="shared" ref="AW89:AW152" si="170">IF(BC88&lt;0.01,0,AX89-AV89)</f>
        <v>0</v>
      </c>
      <c r="AX89" s="123">
        <f t="shared" si="41"/>
        <v>0</v>
      </c>
      <c r="AY89" s="123">
        <f>IF(BC88&lt;0.01,0,IF(Adm!$S$4=Adm!$S$8,BC88*$BC$16,BC88*Adm!$V$4))</f>
        <v>0</v>
      </c>
      <c r="AZ89" s="123"/>
      <c r="BA89" s="123">
        <f>IF(BC88&lt;0.01,0,Adm!$Q$6)</f>
        <v>0</v>
      </c>
      <c r="BB89" s="123">
        <f t="shared" ref="BB89:BB152" si="171">IF(BC88&lt;0.01,0,AX89+AY89+AZ89+BA89)</f>
        <v>0</v>
      </c>
      <c r="BC89" s="297">
        <f t="shared" si="43"/>
        <v>0</v>
      </c>
      <c r="BE89" s="425">
        <f t="shared" ref="BE89:BE152" si="172">BB89</f>
        <v>0</v>
      </c>
      <c r="BH89" s="90">
        <f t="shared" si="44"/>
        <v>5</v>
      </c>
      <c r="BI89" s="121">
        <f>IF(BH89=1,Cal!$AD$127,0)</f>
        <v>0</v>
      </c>
      <c r="BM89" s="221"/>
      <c r="BO89" s="295">
        <f t="shared" ref="BO89:BO152" ca="1" si="173">IF(BO88=12,1,BO88+1)</f>
        <v>8</v>
      </c>
      <c r="BP89" s="268">
        <f t="shared" ref="BP89:BP152" si="174">IF(BZ88&lt;0.01,0,BP88+1)</f>
        <v>0</v>
      </c>
      <c r="BQ89" s="123">
        <f t="shared" si="45"/>
        <v>0</v>
      </c>
      <c r="BR89" s="123">
        <f t="shared" si="148"/>
        <v>0</v>
      </c>
      <c r="BS89" s="123">
        <f t="shared" si="150"/>
        <v>0</v>
      </c>
      <c r="BT89" s="123">
        <f>IF(BZ88&lt;0.01,0,IF(Plus!$F$22=Plus!$AN$4,BZ88*$BZ$15,IF(Plus!$F$22=Plus!$AN$3,BZ88*Plus!$F$23/1000,BZ88*VLOOKUP(Plus!$G$21,Plus!$AP$2:'Plus'!$AQ$5,2,0))))</f>
        <v>0</v>
      </c>
      <c r="BU89" s="123">
        <f>IF(BZ88&lt;0.01,0,IF(Plus!$F$24=Plus!$AO$3,Plus!$G$13*Plus!$AR$2/1.16,IF(Plus!$F$10=Plus!$AK$7,0,Plus!$G$13*Plus!$AR$2/1.16)))</f>
        <v>0</v>
      </c>
      <c r="BV89" s="123">
        <f>IF(BZ88&lt;0.01,0,Plus!$BD$2)</f>
        <v>0</v>
      </c>
      <c r="BW89" s="123"/>
      <c r="BX89" s="123">
        <f t="shared" ref="BX89:BX152" si="175">IF(BZ88&lt;0.01,0,BS89+BT89+BU89+BV89)</f>
        <v>0</v>
      </c>
      <c r="BY89" s="123">
        <f>IF(Plus!$F$10=Plus!$AK$3,MIN(BZ88+BQ89+BT89+BU89+BV89-BX89,CJ89),0)</f>
        <v>0</v>
      </c>
      <c r="BZ89" s="297">
        <f t="shared" si="144"/>
        <v>0</v>
      </c>
      <c r="CA89" s="74"/>
      <c r="CB89" s="74"/>
      <c r="CC89" s="413">
        <f t="shared" si="47"/>
        <v>0</v>
      </c>
      <c r="CF89" s="90">
        <f t="shared" si="48"/>
        <v>5</v>
      </c>
      <c r="CG89" s="121">
        <f t="shared" si="106"/>
        <v>0</v>
      </c>
      <c r="CI89" s="70">
        <f t="shared" si="107"/>
        <v>0</v>
      </c>
      <c r="CJ89" s="2178">
        <f t="shared" ca="1" si="49"/>
        <v>0</v>
      </c>
      <c r="CL89" s="161"/>
      <c r="CN89" s="308">
        <f t="shared" ref="CN89:CN152" ca="1" si="176">IF(CN88=12,1,CN88+1)</f>
        <v>8</v>
      </c>
      <c r="CO89" s="309">
        <f t="shared" si="50"/>
        <v>0</v>
      </c>
      <c r="CP89" s="268">
        <f t="shared" ref="CP89:CP152" si="177">IF(CZ88&lt;0.01,0,CP88+1)</f>
        <v>0</v>
      </c>
      <c r="CQ89" s="123">
        <f t="shared" si="51"/>
        <v>0</v>
      </c>
      <c r="CR89" s="123">
        <f t="shared" si="137"/>
        <v>0</v>
      </c>
      <c r="CS89" s="123">
        <f t="shared" si="138"/>
        <v>0</v>
      </c>
      <c r="CT89" s="33">
        <f>IF(CZ88&lt;0.01,0,IF(Plus!$F$22=Plus!$AN$4,0,IF(Plus!$F$22=Plus!$AN$3,CZ88*Plus!$F$23/1000,CZ88*VLOOKUP(Plus!$G$21,Plus!$AP$2:'Plus'!$AQ$5,2,0))))</f>
        <v>0</v>
      </c>
      <c r="CU89" s="123">
        <f>IF(CZ88&lt;0.01,0,IF(Plus!$F$24=Plus!$AO$3,0,IF(OR(Plus!$F$10=Plus!$AK$7,Plus!$F$10=Plus!$AK$13),0,Plus!$G$13*Plus!$AR$2)))</f>
        <v>0</v>
      </c>
      <c r="CV89" s="123">
        <f>IF(CZ88&lt;0.01,0,IF(OR(Plus!$F$10=Plus!$AK$7,Plus!$F$10=Plus!$AK$13),0,Plus!$BD$2*1.16))</f>
        <v>0</v>
      </c>
      <c r="CW89" s="123">
        <f>IF(CZ88&lt;0.01,0,IF(Plus!$AS$2&gt;0,CQ89*Plus!$AS$3,0))</f>
        <v>0</v>
      </c>
      <c r="CX89" s="123">
        <f t="shared" si="52"/>
        <v>0</v>
      </c>
      <c r="CY89" s="123">
        <f>IF(Plus!$F$10=Plus!$AK$3,MIN(CZ88+CQ89+CT89+CU89+CV89-CX89,DK89),0)</f>
        <v>0</v>
      </c>
      <c r="CZ89" s="297">
        <f t="shared" si="146"/>
        <v>0</v>
      </c>
      <c r="DA89" s="306">
        <f>Plus!O130</f>
        <v>0</v>
      </c>
      <c r="DB89" s="74"/>
      <c r="DC89" s="74"/>
      <c r="DD89" s="407">
        <f t="shared" si="54"/>
        <v>0</v>
      </c>
      <c r="DG89" s="90">
        <f t="shared" si="55"/>
        <v>5</v>
      </c>
      <c r="DH89" s="121">
        <f t="shared" si="108"/>
        <v>0</v>
      </c>
      <c r="DJ89" s="149">
        <f t="shared" si="109"/>
        <v>0</v>
      </c>
      <c r="DK89" s="2179">
        <f t="shared" ca="1" si="56"/>
        <v>0</v>
      </c>
      <c r="DN89" s="120">
        <f t="shared" si="110"/>
        <v>0</v>
      </c>
      <c r="DO89" s="110">
        <f t="shared" si="57"/>
        <v>0</v>
      </c>
      <c r="DP89" s="110">
        <f t="shared" si="124"/>
        <v>0</v>
      </c>
      <c r="DQ89" s="109">
        <f t="shared" si="58"/>
        <v>0</v>
      </c>
      <c r="DR89" s="109">
        <f t="shared" si="59"/>
        <v>0</v>
      </c>
      <c r="DS89" s="113">
        <f t="shared" si="60"/>
        <v>0</v>
      </c>
      <c r="DU89" s="102">
        <f t="shared" si="61"/>
        <v>0</v>
      </c>
      <c r="DV89" s="211">
        <f t="shared" si="125"/>
        <v>65</v>
      </c>
      <c r="DW89" s="212">
        <f t="shared" si="62"/>
        <v>0</v>
      </c>
      <c r="DX89" s="212">
        <f t="shared" ref="DX89:DX152" si="178">DY89-DW89</f>
        <v>0</v>
      </c>
      <c r="DY89" s="212">
        <f t="shared" si="111"/>
        <v>0</v>
      </c>
      <c r="DZ89" s="213">
        <f t="shared" ref="DZ89:DZ152" si="179">IF(DZ88&lt;0.001,0,DZ88-DX89-EA91)</f>
        <v>1000000</v>
      </c>
      <c r="ED89" s="182"/>
      <c r="EF89" s="308">
        <f t="shared" ref="EF89:EF152" ca="1" si="180">IF(EF88=12,1,EF88+1)</f>
        <v>8</v>
      </c>
      <c r="EG89" s="309">
        <f t="shared" si="63"/>
        <v>0</v>
      </c>
      <c r="EH89" s="268">
        <f t="shared" ref="EH89:EH152" si="181">IF(ER88&lt;0.01,0,EH88+1)</f>
        <v>0</v>
      </c>
      <c r="EI89" s="33">
        <f t="shared" si="64"/>
        <v>0</v>
      </c>
      <c r="EJ89" s="33">
        <f t="shared" si="139"/>
        <v>0</v>
      </c>
      <c r="EK89" s="33">
        <f t="shared" si="151"/>
        <v>0</v>
      </c>
      <c r="EL89" s="33">
        <f>IF(ER88&lt;0.01,0,IF(Plus!$F$22=Plus!$AN$4,0,IF(Plus!$F$22=Plus!$AN$3,ER88*Plus!$F$23/1000,ER88*VLOOKUP(Plus!$G$21,Plus!$AP$2:'Plus'!$AQ$5,2,0))))</f>
        <v>0</v>
      </c>
      <c r="EM89" s="33">
        <f>IF(ER88&lt;0.01,0,IF(Plus!$F$24=Plus!$AO$3,0,IF(OR(Plus!$F$10=Plus!$AK$7,Plus!$F$10=Plus!$AK$13),0,Plus!$G$13*Plus!$AR$2)))</f>
        <v>0</v>
      </c>
      <c r="EN89" s="33">
        <f>IF(ER88&lt;0.01,0,IF(OR(Plus!$F$10=Plus!$AK$7,Plus!$F$10=Plus!$AK$13),0,Plus!$BD$2*1.16))</f>
        <v>0</v>
      </c>
      <c r="EO89" s="33">
        <f>IF(ER88&lt;0.01,0,IF(Plus!$AS$2&gt;0,EI89*Plus!$AS$3,0))</f>
        <v>0</v>
      </c>
      <c r="EP89" s="33">
        <f t="shared" si="65"/>
        <v>0</v>
      </c>
      <c r="EQ89" s="33">
        <f>IF(Plus!$F$10=Plus!$AK$3,MIN(ER88+EI89+EL89+EM89+EN89-EP89,FC89),0)</f>
        <v>0</v>
      </c>
      <c r="ER89" s="311">
        <f t="shared" si="145"/>
        <v>0</v>
      </c>
      <c r="ES89" s="340">
        <f>Plus!O130</f>
        <v>0</v>
      </c>
      <c r="ET89" s="74"/>
      <c r="EU89" s="74"/>
      <c r="EV89" s="416">
        <f t="shared" si="134"/>
        <v>0</v>
      </c>
      <c r="EY89" s="90">
        <f t="shared" si="68"/>
        <v>5</v>
      </c>
      <c r="EZ89" s="121">
        <f t="shared" si="112"/>
        <v>0</v>
      </c>
      <c r="FB89" s="149">
        <f t="shared" si="113"/>
        <v>0</v>
      </c>
      <c r="FC89" s="2179">
        <f t="shared" ca="1" si="69"/>
        <v>0</v>
      </c>
      <c r="FE89" s="120">
        <f t="shared" si="114"/>
        <v>0</v>
      </c>
      <c r="FF89" s="110">
        <f t="shared" si="70"/>
        <v>0</v>
      </c>
      <c r="FG89" s="110">
        <f t="shared" si="71"/>
        <v>0</v>
      </c>
      <c r="FH89" s="109">
        <f t="shared" si="72"/>
        <v>0</v>
      </c>
      <c r="FI89" s="109">
        <f t="shared" ref="FI89:FI152" si="182">IF(AND($FE$21=2,ES88&lt;0.01),0,IF($FE$21=2,(ER88*FJ89)+EI89,0))</f>
        <v>0</v>
      </c>
      <c r="FJ89" s="113">
        <f t="shared" si="73"/>
        <v>0</v>
      </c>
      <c r="FL89" s="102">
        <f t="shared" si="74"/>
        <v>0</v>
      </c>
      <c r="FM89" s="211">
        <f t="shared" si="127"/>
        <v>65</v>
      </c>
      <c r="FN89" s="212">
        <f t="shared" si="75"/>
        <v>0</v>
      </c>
      <c r="FO89" s="212">
        <f t="shared" ref="FO89:FO152" si="183">FP89-FN89</f>
        <v>0</v>
      </c>
      <c r="FP89" s="212">
        <f t="shared" si="160"/>
        <v>0</v>
      </c>
      <c r="FQ89" s="213">
        <f t="shared" ref="FQ89:FQ152" si="184">IF(FQ88&lt;0.001,0,FQ88-FO89-FR91)</f>
        <v>1000000</v>
      </c>
      <c r="FV89" s="359"/>
      <c r="FX89" s="308">
        <f t="shared" ref="FX89:FX152" ca="1" si="185">IF(FX88=12,1,FX88+1)</f>
        <v>8</v>
      </c>
      <c r="FY89" s="309">
        <f t="shared" si="76"/>
        <v>0</v>
      </c>
      <c r="FZ89" s="268">
        <f t="shared" ref="FZ89:FZ152" si="186">IF(GJ88&lt;0.01,0,FZ88+1)</f>
        <v>0</v>
      </c>
      <c r="GA89" s="33">
        <f t="shared" si="77"/>
        <v>0</v>
      </c>
      <c r="GB89" s="33">
        <f t="shared" si="141"/>
        <v>0</v>
      </c>
      <c r="GC89" s="33">
        <f t="shared" si="142"/>
        <v>0</v>
      </c>
      <c r="GD89" s="33">
        <f>IF(GJ88&lt;0.01,0,IF(Plus!$F$22=Plus!$AN$4,0,IF(Plus!$F$22=Plus!$AN$3,GJ88*Plus!$F$23/1000,GJ88*VLOOKUP(Plus!$G$21,Plus!$AP$2:$AQ$5,2,0))))</f>
        <v>0</v>
      </c>
      <c r="GE89" s="33">
        <f>IF(GJ88&lt;0.01,0,IF(Plus!$F$24=Plus!$AO$3,0,IF(OR(Plus!$F$10=Plus!$AK$7,Plus!$F$10=Plus!$AK$13,Plus!$F$10=Plus!$AK$14),0,IF(OR(Plus!$F$10=Plus!$AK$10,Plus!$F$10=Plus!$AK$11),Plus!$G$13*Adm!$W$7,Plus!$G$13*Adm!$X$4))))</f>
        <v>0</v>
      </c>
      <c r="GF89" s="33">
        <f>IF(GJ88&lt;0.01,0,IF(OR(Plus!$F$10=Plus!$AK$7,Plus!$F$10=Plus!$AK$13),0,Plus!$BD$2*1.16))</f>
        <v>0</v>
      </c>
      <c r="GG89" s="33">
        <f>IF(GJ88&lt;0.01,0,IF(Plus!$AS$2&gt;0,GA89*Plus!$AS$3,0))</f>
        <v>0</v>
      </c>
      <c r="GH89" s="33">
        <f t="shared" si="78"/>
        <v>0</v>
      </c>
      <c r="GI89" s="33">
        <f>IF(Plus!$F$10=Plus!$AK$3,MIN(GJ88+GA89+GD89+GE89+GF89-GH89,GU89),0)</f>
        <v>0</v>
      </c>
      <c r="GJ89" s="311">
        <f t="shared" si="136"/>
        <v>0</v>
      </c>
      <c r="GK89" s="340">
        <f>Plus!O130</f>
        <v>0</v>
      </c>
      <c r="GL89" s="74"/>
      <c r="GM89" s="74"/>
      <c r="GN89" s="419">
        <f t="shared" si="135"/>
        <v>0</v>
      </c>
      <c r="GQ89" s="90">
        <f t="shared" si="80"/>
        <v>5</v>
      </c>
      <c r="GR89" s="121">
        <f t="shared" si="116"/>
        <v>0</v>
      </c>
      <c r="GT89" s="149">
        <f t="shared" si="117"/>
        <v>0</v>
      </c>
      <c r="GU89" s="2179">
        <f t="shared" ca="1" si="81"/>
        <v>0</v>
      </c>
      <c r="GW89" s="120">
        <f t="shared" si="118"/>
        <v>0</v>
      </c>
      <c r="GX89" s="110">
        <f t="shared" si="82"/>
        <v>0</v>
      </c>
      <c r="GY89" s="110">
        <f t="shared" si="83"/>
        <v>0</v>
      </c>
      <c r="GZ89" s="109">
        <f t="shared" si="84"/>
        <v>0</v>
      </c>
      <c r="HA89" s="109">
        <f t="shared" ref="HA89:HA152" si="187">IF(AND($FE$21=2,GK88&lt;0.01),0,IF($FE$21=2,(GJ88*HB89)+GA89,0))</f>
        <v>0</v>
      </c>
      <c r="HB89" s="113">
        <f t="shared" si="85"/>
        <v>0</v>
      </c>
      <c r="HD89" s="102">
        <f t="shared" si="86"/>
        <v>0</v>
      </c>
      <c r="HE89" s="211">
        <f t="shared" si="129"/>
        <v>65</v>
      </c>
      <c r="HF89" s="212">
        <f t="shared" si="87"/>
        <v>0</v>
      </c>
      <c r="HG89" s="212">
        <f t="shared" ref="HG89:HG152" si="188">HH89-HF89</f>
        <v>0</v>
      </c>
      <c r="HH89" s="212">
        <f t="shared" si="161"/>
        <v>0</v>
      </c>
      <c r="HI89" s="213">
        <f t="shared" ref="HI89:HI152" si="189">IF(HI88&lt;0.001,0,HI88-HG89-HJ91)</f>
        <v>1000000</v>
      </c>
      <c r="HL89" s="182"/>
      <c r="HM89" s="26">
        <f t="shared" ref="HM89:HM152" ca="1" si="190">IF(HM88=12,1,HM88+1)</f>
        <v>8</v>
      </c>
      <c r="HO89" s="268">
        <f t="shared" ref="HO89:HO152" si="191">IF(HY88&lt;0.01,0,HO88+1)</f>
        <v>0</v>
      </c>
      <c r="HP89" s="151">
        <f t="shared" si="157"/>
        <v>0</v>
      </c>
      <c r="HQ89" s="123">
        <f t="shared" si="88"/>
        <v>0</v>
      </c>
      <c r="HR89" s="123">
        <f t="shared" si="89"/>
        <v>0</v>
      </c>
      <c r="HS89" s="123">
        <f t="shared" si="90"/>
        <v>0</v>
      </c>
      <c r="HT89" s="123">
        <f>IF(HY88&lt;0.01,0,IF(Adm!$GS$4=Adm!$GS$8,HY88*$HY$15,IF(Adm!$GS$12=Adm!$GS$13,0,HY88*Adm!$GV$4)))</f>
        <v>0</v>
      </c>
      <c r="HU89" s="123">
        <f>IF(HY88&lt;0.01,0,IF(Adm!$GS$5=Adm!$GS$8,Cal!$BO$108*$HY$16/1.16,IF(Adm!$GS$12=Adm!$GS$13,0,Cal!$BO$108*Adm!$GW$4/1.16)))</f>
        <v>0</v>
      </c>
      <c r="HV89" s="123">
        <f t="shared" si="91"/>
        <v>0</v>
      </c>
      <c r="HW89" s="123">
        <f t="shared" ref="HW89:HW152" si="192">IF(HY88&lt;0.01,0,HS89+HT89+HU89+HV89)</f>
        <v>0</v>
      </c>
      <c r="HX89" s="123">
        <f>IF(Adm!$GH$6="si",MIN(HY88+HQ89+HT89+HU89+HV89-HW89,IH89),0)</f>
        <v>0</v>
      </c>
      <c r="HY89" s="297">
        <f t="shared" si="93"/>
        <v>0</v>
      </c>
      <c r="HZ89" s="74"/>
      <c r="IA89" s="407">
        <f t="shared" si="94"/>
        <v>0</v>
      </c>
      <c r="IC89" s="90">
        <f t="shared" si="95"/>
        <v>5</v>
      </c>
      <c r="ID89" s="124">
        <f>IF(IC89=1,Cal!$BO$127,0)</f>
        <v>0</v>
      </c>
      <c r="IE89" s="178">
        <f>IF(IC89=1,Adm!$HI$4,0)</f>
        <v>0</v>
      </c>
      <c r="IG89" s="70">
        <f t="shared" si="121"/>
        <v>0</v>
      </c>
      <c r="IH89" s="2178">
        <f t="shared" ca="1" si="96"/>
        <v>0</v>
      </c>
      <c r="IK89" s="217"/>
      <c r="IL89" s="26">
        <f t="shared" ref="IL89:IL152" ca="1" si="193">IF(IL88=12,1,IL88+1)</f>
        <v>8</v>
      </c>
      <c r="IN89" s="268">
        <f t="shared" ref="IN89:IN152" si="194">IF(IX88&lt;0.01,0,IN88+1)</f>
        <v>0</v>
      </c>
      <c r="IO89" s="151">
        <f t="shared" si="154"/>
        <v>0</v>
      </c>
      <c r="IP89" s="123">
        <f t="shared" si="97"/>
        <v>0</v>
      </c>
      <c r="IQ89" s="123">
        <f t="shared" si="98"/>
        <v>0</v>
      </c>
      <c r="IR89" s="123">
        <f t="shared" si="99"/>
        <v>0</v>
      </c>
      <c r="IS89" s="123">
        <f>IF(IX88&lt;0.01,0,IF(Adm!$GS$4=Adm!$GS$8,IX88*$IX$15,IF(Adm!$GS$12=Adm!$GS$13,0,IX88*Adm!$GV$4)))</f>
        <v>0</v>
      </c>
      <c r="IT89" s="123"/>
      <c r="IU89" s="123">
        <f t="shared" si="100"/>
        <v>0</v>
      </c>
      <c r="IV89" s="123">
        <f t="shared" si="101"/>
        <v>0</v>
      </c>
      <c r="IW89" s="123"/>
      <c r="IX89" s="297">
        <f t="shared" si="102"/>
        <v>0</v>
      </c>
      <c r="IY89" s="74"/>
      <c r="IZ89" s="416">
        <f t="shared" si="103"/>
        <v>0</v>
      </c>
      <c r="JB89" s="90">
        <f t="shared" si="104"/>
        <v>5</v>
      </c>
      <c r="JC89" s="124">
        <f>IF(JB89=1,Cal!$BP$127,0)</f>
        <v>0</v>
      </c>
      <c r="JD89" s="178">
        <f>IF(JB89=1,Adm!$HI$4,0)</f>
        <v>0</v>
      </c>
    </row>
    <row r="90" spans="1:264">
      <c r="A90" s="26">
        <f t="shared" ca="1" si="162"/>
        <v>9</v>
      </c>
      <c r="C90" s="33">
        <f t="shared" si="163"/>
        <v>0</v>
      </c>
      <c r="D90" s="123">
        <f t="shared" ref="D90:D153" si="195">IF(L89&lt;0.01,0,L89*$F$9*30.4166/360)</f>
        <v>0</v>
      </c>
      <c r="E90" s="123">
        <f t="shared" si="147"/>
        <v>0</v>
      </c>
      <c r="F90" s="123">
        <f t="shared" si="149"/>
        <v>0</v>
      </c>
      <c r="G90" s="123">
        <f>IF(L89&lt;0.01,0,IF(Adm!$S$4=Adm!$S$8,L89*$L$15,L89*Adm!$V$4))</f>
        <v>0</v>
      </c>
      <c r="H90" s="123">
        <f>IF(L89&lt;0.01,0,IF(Adm!$S$5=Adm!$S$8,Adm!$AA$11*$L$16/1.16,IF(Adm!$B$4=Adm!$A$119,0,Adm!$AA$11*Adm!$X$4/1.16)))</f>
        <v>0</v>
      </c>
      <c r="I90" s="123">
        <f>IF(L89&lt;0.01,0,Cal!$AB$126/1.16)</f>
        <v>0</v>
      </c>
      <c r="J90" s="123">
        <f t="shared" si="164"/>
        <v>0</v>
      </c>
      <c r="K90" s="123">
        <f>IF(Adm!$G$4="si",MIN(L89+D90+G90+H90+I90-J90,V90),0)</f>
        <v>0</v>
      </c>
      <c r="L90" s="123">
        <f t="shared" ref="L90:L153" si="196">IF(L89&lt;0.01,0,L89-E90-K90)</f>
        <v>0</v>
      </c>
      <c r="M90" s="74"/>
      <c r="N90" s="74"/>
      <c r="O90" s="407">
        <f t="shared" ref="O90:O153" si="197">J90+K90</f>
        <v>0</v>
      </c>
      <c r="R90" s="90">
        <f t="shared" ref="R90:R153" si="198">IF(R89=12,1,R89+1)</f>
        <v>6</v>
      </c>
      <c r="S90" s="121">
        <f>IF(R90=1,Cal!$AB$127,0)</f>
        <v>0</v>
      </c>
      <c r="U90" s="70">
        <f t="shared" si="105"/>
        <v>0</v>
      </c>
      <c r="V90" s="2178">
        <f t="shared" ref="V90:V153" ca="1" si="199">IF(MOD(A90,2)=0,U90*0.05*2,0)</f>
        <v>0</v>
      </c>
      <c r="X90" s="398"/>
      <c r="Z90" s="268">
        <f t="shared" si="165"/>
        <v>0</v>
      </c>
      <c r="AA90" s="2176">
        <f t="shared" ref="AA90:AA153" si="200">IF(AI89&lt;0.01,0,AI89*$AC$9*30.4166/360)</f>
        <v>0</v>
      </c>
      <c r="AB90" s="33">
        <f t="shared" ref="AB90:AB153" si="201">IF(AI89&lt;0.01,0,AC90-AA90)</f>
        <v>0</v>
      </c>
      <c r="AC90" s="33">
        <f t="shared" ref="AC90:AC153" si="202">IF(AI89&lt;0.1,0,MIN(AI89+AA90,AC89*(1+AO90)))</f>
        <v>0</v>
      </c>
      <c r="AD90" s="33">
        <f>IF(AI89&lt;0.01,0,IF(Adm!$S$4=Adm!$S$8,AI89*$AI$15,AI89*Adm!$V$4))</f>
        <v>0</v>
      </c>
      <c r="AE90" s="33"/>
      <c r="AF90" s="33"/>
      <c r="AG90" s="33">
        <f t="shared" si="166"/>
        <v>0</v>
      </c>
      <c r="AH90" s="33"/>
      <c r="AI90" s="401">
        <f t="shared" si="167"/>
        <v>0</v>
      </c>
      <c r="AK90" s="410">
        <f t="shared" si="168"/>
        <v>0</v>
      </c>
      <c r="AN90" s="90">
        <f t="shared" ref="AN90:AN153" si="203">IF(AN89=12,1,AN89+1)</f>
        <v>6</v>
      </c>
      <c r="AO90" s="121">
        <f>IF(AN90=1,Cal!$AC$127,0)</f>
        <v>0</v>
      </c>
      <c r="AS90" s="200"/>
      <c r="AU90" s="268">
        <f t="shared" si="169"/>
        <v>0</v>
      </c>
      <c r="AV90" s="2177">
        <f t="shared" ref="AV90:AV153" si="204">IF(BC89&lt;0.01,0,BC89*$AX$9*30.4166/360)</f>
        <v>0</v>
      </c>
      <c r="AW90" s="123">
        <f t="shared" si="170"/>
        <v>0</v>
      </c>
      <c r="AX90" s="123">
        <f t="shared" ref="AX90:AX153" si="205">IF(BC89&lt;0.1,0,MIN(BC89+AV90,AX89*(1+BI90)))</f>
        <v>0</v>
      </c>
      <c r="AY90" s="123">
        <f>IF(BC89&lt;0.01,0,IF(Adm!$S$4=Adm!$S$8,BC89*$BC$16,BC89*Adm!$V$4))</f>
        <v>0</v>
      </c>
      <c r="AZ90" s="123"/>
      <c r="BA90" s="123">
        <f>IF(BC89&lt;0.01,0,Adm!$Q$6)</f>
        <v>0</v>
      </c>
      <c r="BB90" s="123">
        <f t="shared" si="171"/>
        <v>0</v>
      </c>
      <c r="BC90" s="297">
        <f t="shared" ref="BC90:BC153" si="206">BC89-AW90</f>
        <v>0</v>
      </c>
      <c r="BE90" s="425">
        <f t="shared" si="172"/>
        <v>0</v>
      </c>
      <c r="BH90" s="90">
        <f t="shared" ref="BH90:BH153" si="207">IF(BH89=12,1,BH89+1)</f>
        <v>6</v>
      </c>
      <c r="BI90" s="121">
        <f>IF(BH90=1,Cal!$AD$127,0)</f>
        <v>0</v>
      </c>
      <c r="BM90" s="221"/>
      <c r="BO90" s="295">
        <f t="shared" ca="1" si="173"/>
        <v>9</v>
      </c>
      <c r="BP90" s="268">
        <f t="shared" si="174"/>
        <v>0</v>
      </c>
      <c r="BQ90" s="123">
        <f t="shared" ref="BQ90:BQ153" si="208">IF(BZ89&lt;0.01,0,BZ89*$BS$9*30.4166/360)</f>
        <v>0</v>
      </c>
      <c r="BR90" s="123">
        <f t="shared" si="148"/>
        <v>0</v>
      </c>
      <c r="BS90" s="123">
        <f t="shared" si="150"/>
        <v>0</v>
      </c>
      <c r="BT90" s="123">
        <f>IF(BZ89&lt;0.01,0,IF(Plus!$F$22=Plus!$AN$4,BZ89*$BZ$15,IF(Plus!$F$22=Plus!$AN$3,BZ89*Plus!$F$23/1000,BZ89*VLOOKUP(Plus!$G$21,Plus!$AP$2:'Plus'!$AQ$5,2,0))))</f>
        <v>0</v>
      </c>
      <c r="BU90" s="123">
        <f>IF(BZ89&lt;0.01,0,IF(Plus!$F$24=Plus!$AO$3,Plus!$G$13*Plus!$AR$2/1.16,IF(Plus!$F$10=Plus!$AK$7,0,Plus!$G$13*Plus!$AR$2/1.16)))</f>
        <v>0</v>
      </c>
      <c r="BV90" s="123">
        <f>IF(BZ89&lt;0.01,0,Plus!$BD$2)</f>
        <v>0</v>
      </c>
      <c r="BW90" s="123"/>
      <c r="BX90" s="123">
        <f t="shared" si="175"/>
        <v>0</v>
      </c>
      <c r="BY90" s="123">
        <f>IF(Plus!$F$10=Plus!$AK$3,MIN(BZ89+BQ90+BT90+BU90+BV90-BX90,CJ90),0)</f>
        <v>0</v>
      </c>
      <c r="BZ90" s="297">
        <f t="shared" si="144"/>
        <v>0</v>
      </c>
      <c r="CA90" s="74"/>
      <c r="CB90" s="74"/>
      <c r="CC90" s="413">
        <f t="shared" ref="CC90:CC153" si="209">BX90+BY90</f>
        <v>0</v>
      </c>
      <c r="CF90" s="90">
        <f t="shared" ref="CF90:CF153" si="210">IF(CF89=12,1,CF89+1)</f>
        <v>6</v>
      </c>
      <c r="CG90" s="121">
        <f t="shared" si="106"/>
        <v>0</v>
      </c>
      <c r="CI90" s="70">
        <f t="shared" si="107"/>
        <v>0</v>
      </c>
      <c r="CJ90" s="2178">
        <f t="shared" ref="CJ90:CJ153" ca="1" si="211">IF(MOD(BO90,2)=0,CI90*0.05*2,0)</f>
        <v>0</v>
      </c>
      <c r="CL90" s="161"/>
      <c r="CN90" s="308">
        <f t="shared" ca="1" si="176"/>
        <v>9</v>
      </c>
      <c r="CO90" s="309">
        <f t="shared" ref="CO90:CO153" si="212">IF(CZ89&gt;0,CO89-1,0)</f>
        <v>0</v>
      </c>
      <c r="CP90" s="268">
        <f t="shared" si="177"/>
        <v>0</v>
      </c>
      <c r="CQ90" s="123">
        <f t="shared" ref="CQ90:CQ153" si="213">IF(CZ89&lt;0.01,0,CZ89*$CS$9*30.4166/360)</f>
        <v>0</v>
      </c>
      <c r="CR90" s="123">
        <f t="shared" si="137"/>
        <v>0</v>
      </c>
      <c r="CS90" s="123">
        <f t="shared" si="138"/>
        <v>0</v>
      </c>
      <c r="CT90" s="33">
        <f>IF(CZ89&lt;0.01,0,IF(Plus!$F$22=Plus!$AN$4,0,IF(Plus!$F$22=Plus!$AN$3,CZ89*Plus!$F$23/1000,CZ89*VLOOKUP(Plus!$G$21,Plus!$AP$2:'Plus'!$AQ$5,2,0))))</f>
        <v>0</v>
      </c>
      <c r="CU90" s="123">
        <f>IF(CZ89&lt;0.01,0,IF(Plus!$F$24=Plus!$AO$3,0,IF(OR(Plus!$F$10=Plus!$AK$7,Plus!$F$10=Plus!$AK$13),0,Plus!$G$13*Plus!$AR$2)))</f>
        <v>0</v>
      </c>
      <c r="CV90" s="123">
        <f>IF(CZ89&lt;0.01,0,IF(OR(Plus!$F$10=Plus!$AK$7,Plus!$F$10=Plus!$AK$13),0,Plus!$BD$2*1.16))</f>
        <v>0</v>
      </c>
      <c r="CW90" s="123">
        <f>IF(CZ89&lt;0.01,0,IF(Plus!$AS$2&gt;0,CQ90*Plus!$AS$3,0))</f>
        <v>0</v>
      </c>
      <c r="CX90" s="123">
        <f t="shared" ref="CX90:CX153" si="214">IF(CZ89&lt;0.01,0,CS90+CT90+CU90+CV90+CW90)</f>
        <v>0</v>
      </c>
      <c r="CY90" s="123">
        <f>IF(Plus!$F$10=Plus!$AK$3,MIN(CZ89+CQ90+CT90+CU90+CV90-CX90,DK90),0)</f>
        <v>0</v>
      </c>
      <c r="CZ90" s="297">
        <f t="shared" si="146"/>
        <v>0</v>
      </c>
      <c r="DA90" s="306">
        <f>Plus!O131</f>
        <v>0</v>
      </c>
      <c r="DB90" s="74"/>
      <c r="DC90" s="74"/>
      <c r="DD90" s="407">
        <f t="shared" ref="DD90:DD153" si="215">CS90+CT90+(CU90/1.16)+(CV90/1.16)+CY90</f>
        <v>0</v>
      </c>
      <c r="DG90" s="90">
        <f t="shared" ref="DG90:DG153" si="216">IF(DG89=12,1,DG89+1)</f>
        <v>6</v>
      </c>
      <c r="DH90" s="121">
        <f t="shared" si="108"/>
        <v>0</v>
      </c>
      <c r="DJ90" s="149">
        <f t="shared" si="109"/>
        <v>0</v>
      </c>
      <c r="DK90" s="2179">
        <f t="shared" ref="DK90:DK153" ca="1" si="217">IF(MOD(CN90,2)=0,DJ90*0.05*2,0)</f>
        <v>0</v>
      </c>
      <c r="DN90" s="120">
        <f t="shared" si="110"/>
        <v>0</v>
      </c>
      <c r="DO90" s="110">
        <f t="shared" ref="DO90:DO153" si="218">IF(AND($DP$21=1,DA89&gt;0.1),DP90,0)</f>
        <v>0</v>
      </c>
      <c r="DP90" s="110">
        <f t="shared" si="124"/>
        <v>0</v>
      </c>
      <c r="DQ90" s="109">
        <f t="shared" ref="DQ90:DQ153" si="219">IF(AND(DR90&gt;0.01,$DN$21=2),DR90,0)</f>
        <v>0</v>
      </c>
      <c r="DR90" s="109">
        <f t="shared" ref="DR90:DR153" si="220">IF(AND($DN$21=2,DA89&lt;0.01),0,IF($DN$21=2,(CZ89*DS90)+CQ90,0))</f>
        <v>0</v>
      </c>
      <c r="DS90" s="113">
        <f t="shared" ref="DS90:DS153" si="221">DU90</f>
        <v>0</v>
      </c>
      <c r="DU90" s="102">
        <f t="shared" ref="DU90:DU153" si="222">DX90/DZ89</f>
        <v>0</v>
      </c>
      <c r="DV90" s="211">
        <f t="shared" si="125"/>
        <v>66</v>
      </c>
      <c r="DW90" s="212">
        <f t="shared" ref="DW90:DW153" si="223">DZ89*$DW$18*30.4166/360</f>
        <v>0</v>
      </c>
      <c r="DX90" s="212">
        <f t="shared" si="178"/>
        <v>0</v>
      </c>
      <c r="DY90" s="212">
        <f t="shared" si="111"/>
        <v>0</v>
      </c>
      <c r="DZ90" s="213">
        <f t="shared" si="179"/>
        <v>1000000</v>
      </c>
      <c r="ED90" s="182"/>
      <c r="EF90" s="308">
        <f t="shared" ca="1" si="180"/>
        <v>9</v>
      </c>
      <c r="EG90" s="309">
        <f t="shared" ref="EG90:EG153" si="224">IF(ER89&gt;0,EG89-1,0)</f>
        <v>0</v>
      </c>
      <c r="EH90" s="268">
        <f t="shared" si="181"/>
        <v>0</v>
      </c>
      <c r="EI90" s="33">
        <f t="shared" ref="EI90:EI153" si="225">IF(ER89&lt;0.01,0,ER89*$EK$9*30.4166/360)</f>
        <v>0</v>
      </c>
      <c r="EJ90" s="33">
        <f t="shared" si="139"/>
        <v>0</v>
      </c>
      <c r="EK90" s="33">
        <f t="shared" si="151"/>
        <v>0</v>
      </c>
      <c r="EL90" s="33">
        <f>IF(ER89&lt;0.01,0,IF(Plus!$F$22=Plus!$AN$4,0,IF(Plus!$F$22=Plus!$AN$3,ER89*Plus!$F$23/1000,ER89*VLOOKUP(Plus!$G$21,Plus!$AP$2:'Plus'!$AQ$5,2,0))))</f>
        <v>0</v>
      </c>
      <c r="EM90" s="33">
        <f>IF(ER89&lt;0.01,0,IF(Plus!$F$24=Plus!$AO$3,0,IF(OR(Plus!$F$10=Plus!$AK$7,Plus!$F$10=Plus!$AK$13),0,Plus!$G$13*Plus!$AR$2)))</f>
        <v>0</v>
      </c>
      <c r="EN90" s="33">
        <f>IF(ER89&lt;0.01,0,IF(OR(Plus!$F$10=Plus!$AK$7,Plus!$F$10=Plus!$AK$13),0,Plus!$BD$2*1.16))</f>
        <v>0</v>
      </c>
      <c r="EO90" s="33">
        <f>IF(ER89&lt;0.01,0,IF(Plus!$AS$2&gt;0,EI90*Plus!$AS$3,0))</f>
        <v>0</v>
      </c>
      <c r="EP90" s="33">
        <f t="shared" ref="EP90:EP153" si="226">IF(ER89&lt;0.01,0,EK90+EL90+EM90+EN90+EO90)</f>
        <v>0</v>
      </c>
      <c r="EQ90" s="33">
        <f>IF(Plus!$F$10=Plus!$AK$3,MIN(ER89+EI90+EL90+EM90+EN90-EP90,FC90),0)</f>
        <v>0</v>
      </c>
      <c r="ER90" s="311">
        <f t="shared" si="145"/>
        <v>0</v>
      </c>
      <c r="ES90" s="340">
        <f>Plus!O131</f>
        <v>0</v>
      </c>
      <c r="ET90" s="74"/>
      <c r="EU90" s="74"/>
      <c r="EV90" s="416">
        <f t="shared" si="134"/>
        <v>0</v>
      </c>
      <c r="EY90" s="90">
        <f t="shared" ref="EY90:EY153" si="227">IF(EY89=12,1,EY89+1)</f>
        <v>6</v>
      </c>
      <c r="EZ90" s="121">
        <f t="shared" si="112"/>
        <v>0</v>
      </c>
      <c r="FB90" s="149">
        <f t="shared" si="113"/>
        <v>0</v>
      </c>
      <c r="FC90" s="2179">
        <f t="shared" ref="FC90:FC153" ca="1" si="228">IF(MOD(EF90,2)=0,FB90*0.05*2,0)</f>
        <v>0</v>
      </c>
      <c r="FE90" s="120">
        <f t="shared" si="114"/>
        <v>0</v>
      </c>
      <c r="FF90" s="110">
        <f t="shared" ref="FF90:FF153" si="229">IF(AND($FG$21=1,ES89&gt;0.1),FG90,0)</f>
        <v>0</v>
      </c>
      <c r="FG90" s="110">
        <f t="shared" ref="FG90:FG153" si="230">IF(AND($FG$21=1,$FE$21=2),PMT((($EK$9/360)*(365/12)),EG89,-ER89),0)</f>
        <v>0</v>
      </c>
      <c r="FH90" s="109">
        <f t="shared" ref="FH90:FH153" si="231">IF(AND(FI90&gt;0.01,$FE$21=2),FI90,0)</f>
        <v>0</v>
      </c>
      <c r="FI90" s="109">
        <f t="shared" si="182"/>
        <v>0</v>
      </c>
      <c r="FJ90" s="113">
        <f t="shared" ref="FJ90:FJ153" si="232">FL90</f>
        <v>0</v>
      </c>
      <c r="FL90" s="102">
        <f t="shared" ref="FL90:FL153" si="233">FO90/FQ89</f>
        <v>0</v>
      </c>
      <c r="FM90" s="211">
        <f t="shared" si="127"/>
        <v>66</v>
      </c>
      <c r="FN90" s="212">
        <f t="shared" ref="FN90:FN153" si="234">FQ89*$FN$18*30.4166/360</f>
        <v>0</v>
      </c>
      <c r="FO90" s="212">
        <f t="shared" si="183"/>
        <v>0</v>
      </c>
      <c r="FP90" s="212">
        <f t="shared" si="160"/>
        <v>0</v>
      </c>
      <c r="FQ90" s="213">
        <f t="shared" si="184"/>
        <v>1000000</v>
      </c>
      <c r="FV90" s="359"/>
      <c r="FX90" s="308">
        <f t="shared" ca="1" si="185"/>
        <v>9</v>
      </c>
      <c r="FY90" s="309">
        <f t="shared" ref="FY90:FY153" si="235">IF(GJ89&gt;0,FY89-1,0)</f>
        <v>0</v>
      </c>
      <c r="FZ90" s="268">
        <f t="shared" si="186"/>
        <v>0</v>
      </c>
      <c r="GA90" s="33">
        <f t="shared" ref="GA90:GA153" si="236">IF(GJ89&lt;0.01,0,GJ89*$EK$9*30.4166/360)</f>
        <v>0</v>
      </c>
      <c r="GB90" s="33">
        <f t="shared" si="141"/>
        <v>0</v>
      </c>
      <c r="GC90" s="33">
        <f t="shared" si="142"/>
        <v>0</v>
      </c>
      <c r="GD90" s="33">
        <f>IF(GJ89&lt;0.01,0,IF(Plus!$F$22=Plus!$AN$4,0,IF(Plus!$F$22=Plus!$AN$3,GJ89*Plus!$F$23/1000,GJ89*VLOOKUP(Plus!$G$21,Plus!$AP$2:$AQ$5,2,0))))</f>
        <v>0</v>
      </c>
      <c r="GE90" s="33">
        <f>IF(GJ89&lt;0.01,0,IF(Plus!$F$24=Plus!$AO$3,0,IF(OR(Plus!$F$10=Plus!$AK$7,Plus!$F$10=Plus!$AK$13,Plus!$F$10=Plus!$AK$14),0,IF(OR(Plus!$F$10=Plus!$AK$10,Plus!$F$10=Plus!$AK$11),Plus!$G$13*Adm!$W$7,Plus!$G$13*Adm!$X$4))))</f>
        <v>0</v>
      </c>
      <c r="GF90" s="33">
        <f>IF(GJ89&lt;0.01,0,IF(OR(Plus!$F$10=Plus!$AK$7,Plus!$F$10=Plus!$AK$13),0,Plus!$BD$2*1.16))</f>
        <v>0</v>
      </c>
      <c r="GG90" s="33">
        <f>IF(GJ89&lt;0.01,0,IF(Plus!$AS$2&gt;0,GA90*Plus!$AS$3,0))</f>
        <v>0</v>
      </c>
      <c r="GH90" s="33">
        <f t="shared" ref="GH90:GH153" si="237">IF(GJ89&lt;0.01,0,GC90+GD90+GE90+GF90+GG90)</f>
        <v>0</v>
      </c>
      <c r="GI90" s="33">
        <f>IF(Plus!$F$10=Plus!$AK$3,MIN(GJ89+GA90+GD90+GE90+GF90-GH90,GU90),0)</f>
        <v>0</v>
      </c>
      <c r="GJ90" s="311">
        <f t="shared" si="136"/>
        <v>0</v>
      </c>
      <c r="GK90" s="340">
        <f>Plus!O131</f>
        <v>0</v>
      </c>
      <c r="GL90" s="74"/>
      <c r="GM90" s="74"/>
      <c r="GN90" s="419">
        <f t="shared" si="135"/>
        <v>0</v>
      </c>
      <c r="GQ90" s="90">
        <f t="shared" ref="GQ90:GQ153" si="238">IF(GQ89=12,1,GQ89+1)</f>
        <v>6</v>
      </c>
      <c r="GR90" s="121">
        <f t="shared" si="116"/>
        <v>0</v>
      </c>
      <c r="GT90" s="149">
        <f t="shared" si="117"/>
        <v>0</v>
      </c>
      <c r="GU90" s="2179">
        <f t="shared" ref="GU90:GU153" ca="1" si="239">IF(MOD(FX90,2)=0,GT90*0.05*2,0)</f>
        <v>0</v>
      </c>
      <c r="GW90" s="120">
        <f t="shared" si="118"/>
        <v>0</v>
      </c>
      <c r="GX90" s="110">
        <f t="shared" ref="GX90:GX153" si="240">IF(AND($FG$21=1,GK89&gt;0.1),GY90,0)</f>
        <v>0</v>
      </c>
      <c r="GY90" s="110">
        <f t="shared" ref="GY90:GY153" si="241">IF(AND($FG$21=1,$FE$21=2),PMT((($EK$9/360)*(365/12)),FY89,-GJ89),0)</f>
        <v>0</v>
      </c>
      <c r="GZ90" s="109">
        <f t="shared" ref="GZ90:GZ153" si="242">IF(AND(HA90&gt;0.01,$FE$21=2),HA90,0)</f>
        <v>0</v>
      </c>
      <c r="HA90" s="109">
        <f t="shared" si="187"/>
        <v>0</v>
      </c>
      <c r="HB90" s="113">
        <f t="shared" ref="HB90:HB153" si="243">HD90</f>
        <v>0</v>
      </c>
      <c r="HD90" s="102">
        <f t="shared" ref="HD90:HD153" si="244">HG90/HI89</f>
        <v>0</v>
      </c>
      <c r="HE90" s="211">
        <f t="shared" si="129"/>
        <v>66</v>
      </c>
      <c r="HF90" s="212">
        <f t="shared" ref="HF90:HF153" si="245">HI89*$FN$18*30.4166/360</f>
        <v>0</v>
      </c>
      <c r="HG90" s="212">
        <f t="shared" si="188"/>
        <v>0</v>
      </c>
      <c r="HH90" s="212">
        <f t="shared" si="161"/>
        <v>0</v>
      </c>
      <c r="HI90" s="213">
        <f t="shared" si="189"/>
        <v>1000000</v>
      </c>
      <c r="HL90" s="182"/>
      <c r="HM90" s="26">
        <f t="shared" ca="1" si="190"/>
        <v>9</v>
      </c>
      <c r="HO90" s="268">
        <f t="shared" si="191"/>
        <v>0</v>
      </c>
      <c r="HP90" s="151">
        <f t="shared" si="157"/>
        <v>0</v>
      </c>
      <c r="HQ90" s="123">
        <f t="shared" ref="HQ90:HQ153" si="246">IF(HY89&lt;0.01,0,HY89*HP90*30.4166/360)</f>
        <v>0</v>
      </c>
      <c r="HR90" s="123">
        <f t="shared" ref="HR90:HR153" si="247">IF(HY89&lt;0.01,0,HS90-HQ90)</f>
        <v>0</v>
      </c>
      <c r="HS90" s="123">
        <f t="shared" ref="HS90:HS153" si="248">IF(HY88&lt;0.1,0,MIN(HY89+HQ90,HS89*(1+ID90)))</f>
        <v>0</v>
      </c>
      <c r="HT90" s="123">
        <f>IF(HY89&lt;0.01,0,IF(Adm!$GS$4=Adm!$GS$8,HY89*$HY$15,IF(Adm!$GS$12=Adm!$GS$13,0,HY89*Adm!$GV$4)))</f>
        <v>0</v>
      </c>
      <c r="HU90" s="123">
        <f>IF(HY89&lt;0.01,0,IF(Adm!$GS$5=Adm!$GS$8,Cal!$BO$108*$HY$16/1.16,IF(Adm!$GS$12=Adm!$GS$13,0,Cal!$BO$108*Adm!$GW$4/1.16)))</f>
        <v>0</v>
      </c>
      <c r="HV90" s="123">
        <f t="shared" ref="HV90:HV153" si="249">IF(HY89&lt;0.01,0,0)</f>
        <v>0</v>
      </c>
      <c r="HW90" s="123">
        <f t="shared" si="192"/>
        <v>0</v>
      </c>
      <c r="HX90" s="123">
        <f>IF(Adm!$GH$6="si",MIN(HY89+HQ90+HT90+HU90+HV90-HW90,IH90),0)</f>
        <v>0</v>
      </c>
      <c r="HY90" s="297">
        <f t="shared" ref="HY90:HY153" si="250">IF(HY89&lt;0.01,0,HY89-HR90-HX90)</f>
        <v>0</v>
      </c>
      <c r="HZ90" s="74"/>
      <c r="IA90" s="407">
        <f t="shared" ref="IA90:IA153" si="251">HW90+HX90</f>
        <v>0</v>
      </c>
      <c r="IC90" s="90">
        <f t="shared" ref="IC90:IC153" si="252">IF(IC89=12,1,IC89+1)</f>
        <v>6</v>
      </c>
      <c r="ID90" s="124">
        <f>IF(IC90=1,Cal!$BO$127,0)</f>
        <v>0</v>
      </c>
      <c r="IE90" s="178">
        <f>IF(IC90=1,Adm!$HI$4,0)</f>
        <v>0</v>
      </c>
      <c r="IG90" s="70">
        <f t="shared" si="121"/>
        <v>0</v>
      </c>
      <c r="IH90" s="2178">
        <f t="shared" ref="IH90:IH153" ca="1" si="253">IF(MOD(HM90,2)=0,IG90*0.05*2,0)</f>
        <v>0</v>
      </c>
      <c r="IK90" s="217"/>
      <c r="IL90" s="26">
        <f t="shared" ca="1" si="193"/>
        <v>9</v>
      </c>
      <c r="IN90" s="268">
        <f t="shared" si="194"/>
        <v>0</v>
      </c>
      <c r="IO90" s="151">
        <f t="shared" si="154"/>
        <v>0</v>
      </c>
      <c r="IP90" s="123">
        <f t="shared" ref="IP90:IP153" si="254">IF(IX89&lt;0.01,0,IX89*IO90*30.4166/360)</f>
        <v>0</v>
      </c>
      <c r="IQ90" s="123">
        <f t="shared" ref="IQ90:IQ153" si="255">IF(IX89&lt;0.01,0,IR90-IP90)</f>
        <v>0</v>
      </c>
      <c r="IR90" s="123">
        <f t="shared" ref="IR90:IR153" si="256">IF(IX88&lt;0.1,0,MIN(IX89+IP90,IR89*(1+JC90)))</f>
        <v>0</v>
      </c>
      <c r="IS90" s="123">
        <f>IF(IX89&lt;0.01,0,IF(Adm!$GS$4=Adm!$GS$8,IX89*$IX$15,IF(Adm!$GS$12=Adm!$GS$13,0,IX89*Adm!$GV$4)))</f>
        <v>0</v>
      </c>
      <c r="IT90" s="123"/>
      <c r="IU90" s="123">
        <f t="shared" ref="IU90:IU153" si="257">IF(IX89&lt;0.01,0,0)</f>
        <v>0</v>
      </c>
      <c r="IV90" s="123">
        <f t="shared" ref="IV90:IV153" si="258">IF(IX89&lt;0.01,0,IR90+IS90+IT90+IU90)</f>
        <v>0</v>
      </c>
      <c r="IW90" s="123"/>
      <c r="IX90" s="297">
        <f t="shared" ref="IX90:IX153" si="259">IF(IX89&lt;0.01,0,IX89-IQ90-IW90)</f>
        <v>0</v>
      </c>
      <c r="IY90" s="74"/>
      <c r="IZ90" s="416">
        <f t="shared" ref="IZ90:IZ153" si="260">IV90+IW90</f>
        <v>0</v>
      </c>
      <c r="JB90" s="90">
        <f t="shared" ref="JB90:JB153" si="261">IF(JB89=12,1,JB89+1)</f>
        <v>6</v>
      </c>
      <c r="JC90" s="124">
        <f>IF(JB90=1,Cal!$BP$127,0)</f>
        <v>0</v>
      </c>
      <c r="JD90" s="178">
        <f>IF(JB90=1,Adm!$HI$4,0)</f>
        <v>0</v>
      </c>
    </row>
    <row r="91" spans="1:264">
      <c r="A91" s="26">
        <f t="shared" ca="1" si="162"/>
        <v>10</v>
      </c>
      <c r="C91" s="33">
        <f t="shared" si="163"/>
        <v>0</v>
      </c>
      <c r="D91" s="123">
        <f t="shared" si="195"/>
        <v>0</v>
      </c>
      <c r="E91" s="123">
        <f t="shared" si="147"/>
        <v>0</v>
      </c>
      <c r="F91" s="123">
        <f t="shared" si="149"/>
        <v>0</v>
      </c>
      <c r="G91" s="123">
        <f>IF(L90&lt;0.01,0,IF(Adm!$S$4=Adm!$S$8,L90*$L$15,L90*Adm!$V$4))</f>
        <v>0</v>
      </c>
      <c r="H91" s="123">
        <f>IF(L90&lt;0.01,0,IF(Adm!$S$5=Adm!$S$8,Adm!$AA$11*$L$16/1.16,IF(Adm!$B$4=Adm!$A$119,0,Adm!$AA$11*Adm!$X$4/1.16)))</f>
        <v>0</v>
      </c>
      <c r="I91" s="123">
        <f>IF(L90&lt;0.01,0,Cal!$AB$126/1.16)</f>
        <v>0</v>
      </c>
      <c r="J91" s="123">
        <f t="shared" si="164"/>
        <v>0</v>
      </c>
      <c r="K91" s="123">
        <f>IF(Adm!$G$4="si",MIN(L90+D91+G91+H91+I91-J91,V91),0)</f>
        <v>0</v>
      </c>
      <c r="L91" s="123">
        <f t="shared" si="196"/>
        <v>0</v>
      </c>
      <c r="M91" s="74"/>
      <c r="N91" s="74"/>
      <c r="O91" s="407">
        <f t="shared" si="197"/>
        <v>0</v>
      </c>
      <c r="R91" s="90">
        <f t="shared" si="198"/>
        <v>7</v>
      </c>
      <c r="S91" s="121">
        <f>IF(R91=1,Cal!$AB$127,0)</f>
        <v>0</v>
      </c>
      <c r="U91" s="70">
        <f t="shared" ref="U91:U154" si="262">U90</f>
        <v>0</v>
      </c>
      <c r="V91" s="2178">
        <f t="shared" ca="1" si="199"/>
        <v>0</v>
      </c>
      <c r="X91" s="398"/>
      <c r="Z91" s="268">
        <f t="shared" si="165"/>
        <v>0</v>
      </c>
      <c r="AA91" s="2176">
        <f t="shared" si="200"/>
        <v>0</v>
      </c>
      <c r="AB91" s="33">
        <f t="shared" si="201"/>
        <v>0</v>
      </c>
      <c r="AC91" s="33">
        <f t="shared" si="202"/>
        <v>0</v>
      </c>
      <c r="AD91" s="33">
        <f>IF(AI90&lt;0.01,0,IF(Adm!$S$4=Adm!$S$8,AI90*$AI$15,AI90*Adm!$V$4))</f>
        <v>0</v>
      </c>
      <c r="AE91" s="33"/>
      <c r="AF91" s="33"/>
      <c r="AG91" s="33">
        <f t="shared" si="166"/>
        <v>0</v>
      </c>
      <c r="AH91" s="33"/>
      <c r="AI91" s="401">
        <f t="shared" si="167"/>
        <v>0</v>
      </c>
      <c r="AK91" s="410">
        <f t="shared" si="168"/>
        <v>0</v>
      </c>
      <c r="AN91" s="90">
        <f t="shared" si="203"/>
        <v>7</v>
      </c>
      <c r="AO91" s="121">
        <f>IF(AN91=1,Cal!$AC$127,0)</f>
        <v>0</v>
      </c>
      <c r="AS91" s="200"/>
      <c r="AU91" s="268">
        <f t="shared" si="169"/>
        <v>0</v>
      </c>
      <c r="AV91" s="2177">
        <f t="shared" si="204"/>
        <v>0</v>
      </c>
      <c r="AW91" s="123">
        <f t="shared" si="170"/>
        <v>0</v>
      </c>
      <c r="AX91" s="123">
        <f t="shared" si="205"/>
        <v>0</v>
      </c>
      <c r="AY91" s="123">
        <f>IF(BC90&lt;0.01,0,IF(Adm!$S$4=Adm!$S$8,BC90*$BC$16,BC90*Adm!$V$4))</f>
        <v>0</v>
      </c>
      <c r="AZ91" s="123"/>
      <c r="BA91" s="123">
        <f>IF(BC90&lt;0.01,0,Adm!$Q$6)</f>
        <v>0</v>
      </c>
      <c r="BB91" s="123">
        <f t="shared" si="171"/>
        <v>0</v>
      </c>
      <c r="BC91" s="297">
        <f t="shared" si="206"/>
        <v>0</v>
      </c>
      <c r="BE91" s="425">
        <f t="shared" si="172"/>
        <v>0</v>
      </c>
      <c r="BH91" s="90">
        <f t="shared" si="207"/>
        <v>7</v>
      </c>
      <c r="BI91" s="121">
        <f>IF(BH91=1,Cal!$AD$127,0)</f>
        <v>0</v>
      </c>
      <c r="BM91" s="221"/>
      <c r="BO91" s="295">
        <f t="shared" ca="1" si="173"/>
        <v>10</v>
      </c>
      <c r="BP91" s="268">
        <f t="shared" si="174"/>
        <v>0</v>
      </c>
      <c r="BQ91" s="123">
        <f t="shared" si="208"/>
        <v>0</v>
      </c>
      <c r="BR91" s="123">
        <f t="shared" si="148"/>
        <v>0</v>
      </c>
      <c r="BS91" s="123">
        <f t="shared" si="150"/>
        <v>0</v>
      </c>
      <c r="BT91" s="123">
        <f>IF(BZ90&lt;0.01,0,IF(Plus!$F$22=Plus!$AN$4,BZ90*$BZ$15,IF(Plus!$F$22=Plus!$AN$3,BZ90*Plus!$F$23/1000,BZ90*VLOOKUP(Plus!$G$21,Plus!$AP$2:'Plus'!$AQ$5,2,0))))</f>
        <v>0</v>
      </c>
      <c r="BU91" s="123">
        <f>IF(BZ90&lt;0.01,0,IF(Plus!$F$24=Plus!$AO$3,Plus!$G$13*Plus!$AR$2/1.16,IF(Plus!$F$10=Plus!$AK$7,0,Plus!$G$13*Plus!$AR$2/1.16)))</f>
        <v>0</v>
      </c>
      <c r="BV91" s="123">
        <f>IF(BZ90&lt;0.01,0,Plus!$BD$2)</f>
        <v>0</v>
      </c>
      <c r="BW91" s="123"/>
      <c r="BX91" s="123">
        <f t="shared" si="175"/>
        <v>0</v>
      </c>
      <c r="BY91" s="123">
        <f>IF(Plus!$F$10=Plus!$AK$3,MIN(BZ90+BQ91+BT91+BU91+BV91-BX91,CJ91),0)</f>
        <v>0</v>
      </c>
      <c r="BZ91" s="297">
        <f t="shared" si="144"/>
        <v>0</v>
      </c>
      <c r="CA91" s="74"/>
      <c r="CB91" s="74"/>
      <c r="CC91" s="413">
        <f t="shared" si="209"/>
        <v>0</v>
      </c>
      <c r="CF91" s="90">
        <f t="shared" si="210"/>
        <v>7</v>
      </c>
      <c r="CG91" s="121">
        <f t="shared" ref="CG91:CG154" si="263">IF(CF91=1,$BS$12,0)</f>
        <v>0</v>
      </c>
      <c r="CI91" s="70">
        <f t="shared" ref="CI91:CI154" si="264">CI90</f>
        <v>0</v>
      </c>
      <c r="CJ91" s="2178">
        <f t="shared" ca="1" si="211"/>
        <v>0</v>
      </c>
      <c r="CL91" s="161"/>
      <c r="CN91" s="308">
        <f t="shared" ca="1" si="176"/>
        <v>10</v>
      </c>
      <c r="CO91" s="309">
        <f t="shared" si="212"/>
        <v>0</v>
      </c>
      <c r="CP91" s="268">
        <f t="shared" si="177"/>
        <v>0</v>
      </c>
      <c r="CQ91" s="123">
        <f t="shared" si="213"/>
        <v>0</v>
      </c>
      <c r="CR91" s="123">
        <f t="shared" si="137"/>
        <v>0</v>
      </c>
      <c r="CS91" s="123">
        <f t="shared" si="138"/>
        <v>0</v>
      </c>
      <c r="CT91" s="33">
        <f>IF(CZ90&lt;0.01,0,IF(Plus!$F$22=Plus!$AN$4,0,IF(Plus!$F$22=Plus!$AN$3,CZ90*Plus!$F$23/1000,CZ90*VLOOKUP(Plus!$G$21,Plus!$AP$2:'Plus'!$AQ$5,2,0))))</f>
        <v>0</v>
      </c>
      <c r="CU91" s="123">
        <f>IF(CZ90&lt;0.01,0,IF(Plus!$F$24=Plus!$AO$3,0,IF(OR(Plus!$F$10=Plus!$AK$7,Plus!$F$10=Plus!$AK$13),0,Plus!$G$13*Plus!$AR$2)))</f>
        <v>0</v>
      </c>
      <c r="CV91" s="123">
        <f>IF(CZ90&lt;0.01,0,IF(OR(Plus!$F$10=Plus!$AK$7,Plus!$F$10=Plus!$AK$13),0,Plus!$BD$2*1.16))</f>
        <v>0</v>
      </c>
      <c r="CW91" s="123">
        <f>IF(CZ90&lt;0.01,0,IF(Plus!$AS$2&gt;0,CQ91*Plus!$AS$3,0))</f>
        <v>0</v>
      </c>
      <c r="CX91" s="123">
        <f t="shared" si="214"/>
        <v>0</v>
      </c>
      <c r="CY91" s="123">
        <f>IF(Plus!$F$10=Plus!$AK$3,MIN(CZ90+CQ91+CT91+CU91+CV91-CX91,DK91),0)</f>
        <v>0</v>
      </c>
      <c r="CZ91" s="297">
        <f t="shared" si="146"/>
        <v>0</v>
      </c>
      <c r="DA91" s="306">
        <f>Plus!O132</f>
        <v>0</v>
      </c>
      <c r="DB91" s="74"/>
      <c r="DC91" s="74"/>
      <c r="DD91" s="407">
        <f t="shared" si="215"/>
        <v>0</v>
      </c>
      <c r="DG91" s="90">
        <f t="shared" si="216"/>
        <v>7</v>
      </c>
      <c r="DH91" s="121">
        <f t="shared" ref="DH91:DH154" si="265">IF(DG91=1,$CS$12,0)</f>
        <v>0</v>
      </c>
      <c r="DJ91" s="149">
        <f t="shared" ref="DJ91:DJ154" si="266">DJ90</f>
        <v>0</v>
      </c>
      <c r="DK91" s="2179">
        <f t="shared" ca="1" si="217"/>
        <v>0</v>
      </c>
      <c r="DN91" s="120">
        <f t="shared" ref="DN91:DN154" si="267">IF(DO91&gt;1,DO91,IF(DQ91&gt;1,DQ91,0))</f>
        <v>0</v>
      </c>
      <c r="DO91" s="110">
        <f t="shared" si="218"/>
        <v>0</v>
      </c>
      <c r="DP91" s="110">
        <f t="shared" si="124"/>
        <v>0</v>
      </c>
      <c r="DQ91" s="109">
        <f t="shared" si="219"/>
        <v>0</v>
      </c>
      <c r="DR91" s="109">
        <f t="shared" si="220"/>
        <v>0</v>
      </c>
      <c r="DS91" s="113">
        <f t="shared" si="221"/>
        <v>0</v>
      </c>
      <c r="DU91" s="102">
        <f t="shared" si="222"/>
        <v>0</v>
      </c>
      <c r="DV91" s="211">
        <f t="shared" si="125"/>
        <v>67</v>
      </c>
      <c r="DW91" s="212">
        <f t="shared" si="223"/>
        <v>0</v>
      </c>
      <c r="DX91" s="212">
        <f t="shared" si="178"/>
        <v>0</v>
      </c>
      <c r="DY91" s="212">
        <f t="shared" ref="DY91:DY154" si="268">MIN(DZ90+DW91,DY90)</f>
        <v>0</v>
      </c>
      <c r="DZ91" s="213">
        <f t="shared" si="179"/>
        <v>1000000</v>
      </c>
      <c r="ED91" s="182"/>
      <c r="EF91" s="308">
        <f t="shared" ca="1" si="180"/>
        <v>10</v>
      </c>
      <c r="EG91" s="309">
        <f t="shared" si="224"/>
        <v>0</v>
      </c>
      <c r="EH91" s="268">
        <f t="shared" si="181"/>
        <v>0</v>
      </c>
      <c r="EI91" s="33">
        <f t="shared" si="225"/>
        <v>0</v>
      </c>
      <c r="EJ91" s="33">
        <f t="shared" si="139"/>
        <v>0</v>
      </c>
      <c r="EK91" s="33">
        <f t="shared" si="151"/>
        <v>0</v>
      </c>
      <c r="EL91" s="33">
        <f>IF(ER90&lt;0.01,0,IF(Plus!$F$22=Plus!$AN$4,0,IF(Plus!$F$22=Plus!$AN$3,ER90*Plus!$F$23/1000,ER90*VLOOKUP(Plus!$G$21,Plus!$AP$2:'Plus'!$AQ$5,2,0))))</f>
        <v>0</v>
      </c>
      <c r="EM91" s="33">
        <f>IF(ER90&lt;0.01,0,IF(Plus!$F$24=Plus!$AO$3,0,IF(OR(Plus!$F$10=Plus!$AK$7,Plus!$F$10=Plus!$AK$13),0,Plus!$G$13*Plus!$AR$2)))</f>
        <v>0</v>
      </c>
      <c r="EN91" s="33">
        <f>IF(ER90&lt;0.01,0,IF(OR(Plus!$F$10=Plus!$AK$7,Plus!$F$10=Plus!$AK$13),0,Plus!$BD$2*1.16))</f>
        <v>0</v>
      </c>
      <c r="EO91" s="33">
        <f>IF(ER90&lt;0.01,0,IF(Plus!$AS$2&gt;0,EI91*Plus!$AS$3,0))</f>
        <v>0</v>
      </c>
      <c r="EP91" s="33">
        <f t="shared" si="226"/>
        <v>0</v>
      </c>
      <c r="EQ91" s="33">
        <f>IF(Plus!$F$10=Plus!$AK$3,MIN(ER90+EI91+EL91+EM91+EN91-EP91,FC91),0)</f>
        <v>0</v>
      </c>
      <c r="ER91" s="311">
        <f t="shared" si="145"/>
        <v>0</v>
      </c>
      <c r="ES91" s="340">
        <f>Plus!O132</f>
        <v>0</v>
      </c>
      <c r="ET91" s="74"/>
      <c r="EU91" s="74"/>
      <c r="EV91" s="416">
        <f t="shared" si="134"/>
        <v>0</v>
      </c>
      <c r="EY91" s="90">
        <f t="shared" si="227"/>
        <v>7</v>
      </c>
      <c r="EZ91" s="121">
        <f t="shared" ref="EZ91:EZ154" si="269">IF(EY91=1,$EK$12,0)</f>
        <v>0</v>
      </c>
      <c r="FB91" s="149">
        <f t="shared" ref="FB91:FB154" si="270">FB90</f>
        <v>0</v>
      </c>
      <c r="FC91" s="2179">
        <f t="shared" ca="1" si="228"/>
        <v>0</v>
      </c>
      <c r="FE91" s="120">
        <f t="shared" ref="FE91:FE154" si="271">IF(FF91&gt;1,FF91,IF(FH91&gt;1,FH91,0))</f>
        <v>0</v>
      </c>
      <c r="FF91" s="110">
        <f t="shared" si="229"/>
        <v>0</v>
      </c>
      <c r="FG91" s="110">
        <f t="shared" si="230"/>
        <v>0</v>
      </c>
      <c r="FH91" s="109">
        <f t="shared" si="231"/>
        <v>0</v>
      </c>
      <c r="FI91" s="109">
        <f t="shared" si="182"/>
        <v>0</v>
      </c>
      <c r="FJ91" s="113">
        <f t="shared" si="232"/>
        <v>0</v>
      </c>
      <c r="FL91" s="102">
        <f t="shared" si="233"/>
        <v>0</v>
      </c>
      <c r="FM91" s="211">
        <f t="shared" si="127"/>
        <v>67</v>
      </c>
      <c r="FN91" s="212">
        <f t="shared" si="234"/>
        <v>0</v>
      </c>
      <c r="FO91" s="212">
        <f t="shared" si="183"/>
        <v>0</v>
      </c>
      <c r="FP91" s="212">
        <f t="shared" si="160"/>
        <v>0</v>
      </c>
      <c r="FQ91" s="213">
        <f t="shared" si="184"/>
        <v>1000000</v>
      </c>
      <c r="FV91" s="359"/>
      <c r="FX91" s="308">
        <f t="shared" ca="1" si="185"/>
        <v>10</v>
      </c>
      <c r="FY91" s="309">
        <f t="shared" si="235"/>
        <v>0</v>
      </c>
      <c r="FZ91" s="268">
        <f t="shared" si="186"/>
        <v>0</v>
      </c>
      <c r="GA91" s="33">
        <f t="shared" si="236"/>
        <v>0</v>
      </c>
      <c r="GB91" s="33">
        <f t="shared" si="141"/>
        <v>0</v>
      </c>
      <c r="GC91" s="33">
        <f t="shared" si="142"/>
        <v>0</v>
      </c>
      <c r="GD91" s="33">
        <f>IF(GJ90&lt;0.01,0,IF(Plus!$F$22=Plus!$AN$4,0,IF(Plus!$F$22=Plus!$AN$3,GJ90*Plus!$F$23/1000,GJ90*VLOOKUP(Plus!$G$21,Plus!$AP$2:$AQ$5,2,0))))</f>
        <v>0</v>
      </c>
      <c r="GE91" s="33">
        <f>IF(GJ90&lt;0.01,0,IF(Plus!$F$24=Plus!$AO$3,0,IF(OR(Plus!$F$10=Plus!$AK$7,Plus!$F$10=Plus!$AK$13,Plus!$F$10=Plus!$AK$14),0,IF(OR(Plus!$F$10=Plus!$AK$10,Plus!$F$10=Plus!$AK$11),Plus!$G$13*Adm!$W$7,Plus!$G$13*Adm!$X$4))))</f>
        <v>0</v>
      </c>
      <c r="GF91" s="33">
        <f>IF(GJ90&lt;0.01,0,IF(OR(Plus!$F$10=Plus!$AK$7,Plus!$F$10=Plus!$AK$13),0,Plus!$BD$2*1.16))</f>
        <v>0</v>
      </c>
      <c r="GG91" s="33">
        <f>IF(GJ90&lt;0.01,0,IF(Plus!$AS$2&gt;0,GA91*Plus!$AS$3,0))</f>
        <v>0</v>
      </c>
      <c r="GH91" s="33">
        <f t="shared" si="237"/>
        <v>0</v>
      </c>
      <c r="GI91" s="33">
        <f>IF(Plus!$F$10=Plus!$AK$3,MIN(GJ90+GA91+GD91+GE91+GF91-GH91,GU91),0)</f>
        <v>0</v>
      </c>
      <c r="GJ91" s="311">
        <f t="shared" si="136"/>
        <v>0</v>
      </c>
      <c r="GK91" s="340">
        <f>Plus!O132</f>
        <v>0</v>
      </c>
      <c r="GL91" s="74"/>
      <c r="GM91" s="74"/>
      <c r="GN91" s="419">
        <f t="shared" si="135"/>
        <v>0</v>
      </c>
      <c r="GQ91" s="90">
        <f t="shared" si="238"/>
        <v>7</v>
      </c>
      <c r="GR91" s="121">
        <f t="shared" ref="GR91:GR154" si="272">IF(GQ91=1,$GC$12,0)</f>
        <v>0</v>
      </c>
      <c r="GT91" s="149">
        <f t="shared" ref="GT91:GT154" si="273">GT90</f>
        <v>0</v>
      </c>
      <c r="GU91" s="2179">
        <f t="shared" ca="1" si="239"/>
        <v>0</v>
      </c>
      <c r="GW91" s="120">
        <f t="shared" ref="GW91:GW154" si="274">IF(GX91&gt;1,GX91,IF(GZ91&gt;1,GZ91,0))</f>
        <v>0</v>
      </c>
      <c r="GX91" s="110">
        <f t="shared" si="240"/>
        <v>0</v>
      </c>
      <c r="GY91" s="110">
        <f t="shared" si="241"/>
        <v>0</v>
      </c>
      <c r="GZ91" s="109">
        <f t="shared" si="242"/>
        <v>0</v>
      </c>
      <c r="HA91" s="109">
        <f t="shared" si="187"/>
        <v>0</v>
      </c>
      <c r="HB91" s="113">
        <f t="shared" si="243"/>
        <v>0</v>
      </c>
      <c r="HD91" s="102">
        <f t="shared" si="244"/>
        <v>0</v>
      </c>
      <c r="HE91" s="211">
        <f t="shared" si="129"/>
        <v>67</v>
      </c>
      <c r="HF91" s="212">
        <f t="shared" si="245"/>
        <v>0</v>
      </c>
      <c r="HG91" s="212">
        <f t="shared" si="188"/>
        <v>0</v>
      </c>
      <c r="HH91" s="212">
        <f t="shared" si="161"/>
        <v>0</v>
      </c>
      <c r="HI91" s="213">
        <f t="shared" si="189"/>
        <v>1000000</v>
      </c>
      <c r="HL91" s="182"/>
      <c r="HM91" s="26">
        <f t="shared" ca="1" si="190"/>
        <v>10</v>
      </c>
      <c r="HO91" s="268">
        <f t="shared" si="191"/>
        <v>0</v>
      </c>
      <c r="HP91" s="151">
        <f t="shared" si="157"/>
        <v>0</v>
      </c>
      <c r="HQ91" s="123">
        <f t="shared" si="246"/>
        <v>0</v>
      </c>
      <c r="HR91" s="123">
        <f t="shared" si="247"/>
        <v>0</v>
      </c>
      <c r="HS91" s="123">
        <f t="shared" si="248"/>
        <v>0</v>
      </c>
      <c r="HT91" s="123">
        <f>IF(HY90&lt;0.01,0,IF(Adm!$GS$4=Adm!$GS$8,HY90*$HY$15,IF(Adm!$GS$12=Adm!$GS$13,0,HY90*Adm!$GV$4)))</f>
        <v>0</v>
      </c>
      <c r="HU91" s="123">
        <f>IF(HY90&lt;0.01,0,IF(Adm!$GS$5=Adm!$GS$8,Cal!$BO$108*$HY$16/1.16,IF(Adm!$GS$12=Adm!$GS$13,0,Cal!$BO$108*Adm!$GW$4/1.16)))</f>
        <v>0</v>
      </c>
      <c r="HV91" s="123">
        <f t="shared" si="249"/>
        <v>0</v>
      </c>
      <c r="HW91" s="123">
        <f t="shared" si="192"/>
        <v>0</v>
      </c>
      <c r="HX91" s="123">
        <f>IF(Adm!$GH$6="si",MIN(HY90+HQ91+HT91+HU91+HV91-HW91,IH91),0)</f>
        <v>0</v>
      </c>
      <c r="HY91" s="297">
        <f t="shared" si="250"/>
        <v>0</v>
      </c>
      <c r="HZ91" s="74"/>
      <c r="IA91" s="407">
        <f t="shared" si="251"/>
        <v>0</v>
      </c>
      <c r="IC91" s="90">
        <f t="shared" si="252"/>
        <v>7</v>
      </c>
      <c r="ID91" s="124">
        <f>IF(IC91=1,Cal!$BO$127,0)</f>
        <v>0</v>
      </c>
      <c r="IE91" s="178">
        <f>IF(IC91=1,Adm!$HI$4,0)</f>
        <v>0</v>
      </c>
      <c r="IG91" s="70">
        <f t="shared" ref="IG91:IG154" si="275">IG90</f>
        <v>0</v>
      </c>
      <c r="IH91" s="2178">
        <f t="shared" ca="1" si="253"/>
        <v>0</v>
      </c>
      <c r="IK91" s="217"/>
      <c r="IL91" s="26">
        <f t="shared" ca="1" si="193"/>
        <v>10</v>
      </c>
      <c r="IN91" s="268">
        <f t="shared" si="194"/>
        <v>0</v>
      </c>
      <c r="IO91" s="151">
        <f t="shared" si="154"/>
        <v>0</v>
      </c>
      <c r="IP91" s="123">
        <f t="shared" si="254"/>
        <v>0</v>
      </c>
      <c r="IQ91" s="123">
        <f t="shared" si="255"/>
        <v>0</v>
      </c>
      <c r="IR91" s="123">
        <f t="shared" si="256"/>
        <v>0</v>
      </c>
      <c r="IS91" s="123">
        <f>IF(IX90&lt;0.01,0,IF(Adm!$GS$4=Adm!$GS$8,IX90*$IX$15,IF(Adm!$GS$12=Adm!$GS$13,0,IX90*Adm!$GV$4)))</f>
        <v>0</v>
      </c>
      <c r="IT91" s="123"/>
      <c r="IU91" s="123">
        <f t="shared" si="257"/>
        <v>0</v>
      </c>
      <c r="IV91" s="123">
        <f t="shared" si="258"/>
        <v>0</v>
      </c>
      <c r="IW91" s="123"/>
      <c r="IX91" s="297">
        <f t="shared" si="259"/>
        <v>0</v>
      </c>
      <c r="IY91" s="74"/>
      <c r="IZ91" s="416">
        <f t="shared" si="260"/>
        <v>0</v>
      </c>
      <c r="JB91" s="90">
        <f t="shared" si="261"/>
        <v>7</v>
      </c>
      <c r="JC91" s="124">
        <f>IF(JB91=1,Cal!$BP$127,0)</f>
        <v>0</v>
      </c>
      <c r="JD91" s="178">
        <f>IF(JB91=1,Adm!$HI$4,0)</f>
        <v>0</v>
      </c>
    </row>
    <row r="92" spans="1:264">
      <c r="A92" s="26">
        <f t="shared" ca="1" si="162"/>
        <v>11</v>
      </c>
      <c r="C92" s="33">
        <f t="shared" si="163"/>
        <v>0</v>
      </c>
      <c r="D92" s="123">
        <f t="shared" si="195"/>
        <v>0</v>
      </c>
      <c r="E92" s="123">
        <f t="shared" si="147"/>
        <v>0</v>
      </c>
      <c r="F92" s="123">
        <f t="shared" si="149"/>
        <v>0</v>
      </c>
      <c r="G92" s="123">
        <f>IF(L91&lt;0.01,0,IF(Adm!$S$4=Adm!$S$8,L91*$L$15,L91*Adm!$V$4))</f>
        <v>0</v>
      </c>
      <c r="H92" s="123">
        <f>IF(L91&lt;0.01,0,IF(Adm!$S$5=Adm!$S$8,Adm!$AA$11*$L$16/1.16,IF(Adm!$B$4=Adm!$A$119,0,Adm!$AA$11*Adm!$X$4/1.16)))</f>
        <v>0</v>
      </c>
      <c r="I92" s="123">
        <f>IF(L91&lt;0.01,0,Cal!$AB$126/1.16)</f>
        <v>0</v>
      </c>
      <c r="J92" s="123">
        <f t="shared" si="164"/>
        <v>0</v>
      </c>
      <c r="K92" s="123">
        <f>IF(Adm!$G$4="si",MIN(L91+D92+G92+H92+I92-J92,V92),0)</f>
        <v>0</v>
      </c>
      <c r="L92" s="123">
        <f t="shared" si="196"/>
        <v>0</v>
      </c>
      <c r="M92" s="74"/>
      <c r="N92" s="74"/>
      <c r="O92" s="407">
        <f t="shared" si="197"/>
        <v>0</v>
      </c>
      <c r="R92" s="90">
        <f t="shared" si="198"/>
        <v>8</v>
      </c>
      <c r="S92" s="121">
        <f>IF(R92=1,Cal!$AB$127,0)</f>
        <v>0</v>
      </c>
      <c r="U92" s="70">
        <f t="shared" si="262"/>
        <v>0</v>
      </c>
      <c r="V92" s="2178">
        <f t="shared" ca="1" si="199"/>
        <v>0</v>
      </c>
      <c r="X92" s="398"/>
      <c r="Z92" s="268">
        <f t="shared" si="165"/>
        <v>0</v>
      </c>
      <c r="AA92" s="2176">
        <f t="shared" si="200"/>
        <v>0</v>
      </c>
      <c r="AB92" s="33">
        <f t="shared" si="201"/>
        <v>0</v>
      </c>
      <c r="AC92" s="33">
        <f t="shared" si="202"/>
        <v>0</v>
      </c>
      <c r="AD92" s="33">
        <f>IF(AI91&lt;0.01,0,IF(Adm!$S$4=Adm!$S$8,AI91*$AI$15,AI91*Adm!$V$4))</f>
        <v>0</v>
      </c>
      <c r="AE92" s="33"/>
      <c r="AF92" s="33"/>
      <c r="AG92" s="33">
        <f t="shared" si="166"/>
        <v>0</v>
      </c>
      <c r="AH92" s="33"/>
      <c r="AI92" s="401">
        <f t="shared" si="167"/>
        <v>0</v>
      </c>
      <c r="AK92" s="410">
        <f t="shared" si="168"/>
        <v>0</v>
      </c>
      <c r="AN92" s="90">
        <f t="shared" si="203"/>
        <v>8</v>
      </c>
      <c r="AO92" s="121">
        <f>IF(AN92=1,Cal!$AC$127,0)</f>
        <v>0</v>
      </c>
      <c r="AS92" s="200"/>
      <c r="AU92" s="268">
        <f t="shared" si="169"/>
        <v>0</v>
      </c>
      <c r="AV92" s="2177">
        <f t="shared" si="204"/>
        <v>0</v>
      </c>
      <c r="AW92" s="123">
        <f t="shared" si="170"/>
        <v>0</v>
      </c>
      <c r="AX92" s="123">
        <f t="shared" si="205"/>
        <v>0</v>
      </c>
      <c r="AY92" s="123">
        <f>IF(BC91&lt;0.01,0,IF(Adm!$S$4=Adm!$S$8,BC91*$BC$16,BC91*Adm!$V$4))</f>
        <v>0</v>
      </c>
      <c r="AZ92" s="123"/>
      <c r="BA92" s="123">
        <f>IF(BC91&lt;0.01,0,Adm!$Q$6)</f>
        <v>0</v>
      </c>
      <c r="BB92" s="123">
        <f t="shared" si="171"/>
        <v>0</v>
      </c>
      <c r="BC92" s="297">
        <f t="shared" si="206"/>
        <v>0</v>
      </c>
      <c r="BE92" s="425">
        <f t="shared" si="172"/>
        <v>0</v>
      </c>
      <c r="BH92" s="90">
        <f t="shared" si="207"/>
        <v>8</v>
      </c>
      <c r="BI92" s="121">
        <f>IF(BH92=1,Cal!$AD$127,0)</f>
        <v>0</v>
      </c>
      <c r="BM92" s="221"/>
      <c r="BO92" s="295">
        <f t="shared" ca="1" si="173"/>
        <v>11</v>
      </c>
      <c r="BP92" s="268">
        <f t="shared" si="174"/>
        <v>0</v>
      </c>
      <c r="BQ92" s="123">
        <f t="shared" si="208"/>
        <v>0</v>
      </c>
      <c r="BR92" s="123">
        <f t="shared" si="148"/>
        <v>0</v>
      </c>
      <c r="BS92" s="123">
        <f t="shared" si="150"/>
        <v>0</v>
      </c>
      <c r="BT92" s="123">
        <f>IF(BZ91&lt;0.01,0,IF(Plus!$F$22=Plus!$AN$4,BZ91*$BZ$15,IF(Plus!$F$22=Plus!$AN$3,BZ91*Plus!$F$23/1000,BZ91*VLOOKUP(Plus!$G$21,Plus!$AP$2:'Plus'!$AQ$5,2,0))))</f>
        <v>0</v>
      </c>
      <c r="BU92" s="123">
        <f>IF(BZ91&lt;0.01,0,IF(Plus!$F$24=Plus!$AO$3,Plus!$G$13*Plus!$AR$2/1.16,IF(Plus!$F$10=Plus!$AK$7,0,Plus!$G$13*Plus!$AR$2/1.16)))</f>
        <v>0</v>
      </c>
      <c r="BV92" s="123">
        <f>IF(BZ91&lt;0.01,0,Plus!$BD$2)</f>
        <v>0</v>
      </c>
      <c r="BW92" s="123"/>
      <c r="BX92" s="123">
        <f t="shared" si="175"/>
        <v>0</v>
      </c>
      <c r="BY92" s="123">
        <f>IF(Plus!$F$10=Plus!$AK$3,MIN(BZ91+BQ92+BT92+BU92+BV92-BX92,CJ92),0)</f>
        <v>0</v>
      </c>
      <c r="BZ92" s="297">
        <f t="shared" si="144"/>
        <v>0</v>
      </c>
      <c r="CA92" s="74"/>
      <c r="CB92" s="74"/>
      <c r="CC92" s="413">
        <f t="shared" si="209"/>
        <v>0</v>
      </c>
      <c r="CF92" s="90">
        <f t="shared" si="210"/>
        <v>8</v>
      </c>
      <c r="CG92" s="121">
        <f t="shared" si="263"/>
        <v>0</v>
      </c>
      <c r="CI92" s="70">
        <f t="shared" si="264"/>
        <v>0</v>
      </c>
      <c r="CJ92" s="2178">
        <f t="shared" ca="1" si="211"/>
        <v>0</v>
      </c>
      <c r="CL92" s="161"/>
      <c r="CN92" s="308">
        <f t="shared" ca="1" si="176"/>
        <v>11</v>
      </c>
      <c r="CO92" s="309">
        <f t="shared" si="212"/>
        <v>0</v>
      </c>
      <c r="CP92" s="268">
        <f t="shared" si="177"/>
        <v>0</v>
      </c>
      <c r="CQ92" s="123">
        <f t="shared" si="213"/>
        <v>0</v>
      </c>
      <c r="CR92" s="123">
        <f t="shared" si="137"/>
        <v>0</v>
      </c>
      <c r="CS92" s="123">
        <f t="shared" si="138"/>
        <v>0</v>
      </c>
      <c r="CT92" s="33">
        <f>IF(CZ91&lt;0.01,0,IF(Plus!$F$22=Plus!$AN$4,0,IF(Plus!$F$22=Plus!$AN$3,CZ91*Plus!$F$23/1000,CZ91*VLOOKUP(Plus!$G$21,Plus!$AP$2:'Plus'!$AQ$5,2,0))))</f>
        <v>0</v>
      </c>
      <c r="CU92" s="123">
        <f>IF(CZ91&lt;0.01,0,IF(Plus!$F$24=Plus!$AO$3,0,IF(OR(Plus!$F$10=Plus!$AK$7,Plus!$F$10=Plus!$AK$13),0,Plus!$G$13*Plus!$AR$2)))</f>
        <v>0</v>
      </c>
      <c r="CV92" s="123">
        <f>IF(CZ91&lt;0.01,0,IF(OR(Plus!$F$10=Plus!$AK$7,Plus!$F$10=Plus!$AK$13),0,Plus!$BD$2*1.16))</f>
        <v>0</v>
      </c>
      <c r="CW92" s="123">
        <f>IF(CZ91&lt;0.01,0,IF(Plus!$AS$2&gt;0,CQ92*Plus!$AS$3,0))</f>
        <v>0</v>
      </c>
      <c r="CX92" s="123">
        <f t="shared" si="214"/>
        <v>0</v>
      </c>
      <c r="CY92" s="123">
        <f>IF(Plus!$F$10=Plus!$AK$3,MIN(CZ91+CQ92+CT92+CU92+CV92-CX92,DK92),0)</f>
        <v>0</v>
      </c>
      <c r="CZ92" s="297">
        <f t="shared" si="146"/>
        <v>0</v>
      </c>
      <c r="DA92" s="306">
        <f>Plus!O133</f>
        <v>0</v>
      </c>
      <c r="DB92" s="74"/>
      <c r="DC92" s="74"/>
      <c r="DD92" s="407">
        <f t="shared" si="215"/>
        <v>0</v>
      </c>
      <c r="DG92" s="90">
        <f t="shared" si="216"/>
        <v>8</v>
      </c>
      <c r="DH92" s="121">
        <f t="shared" si="265"/>
        <v>0</v>
      </c>
      <c r="DJ92" s="149">
        <f t="shared" si="266"/>
        <v>0</v>
      </c>
      <c r="DK92" s="2179">
        <f t="shared" ca="1" si="217"/>
        <v>0</v>
      </c>
      <c r="DN92" s="120">
        <f t="shared" si="267"/>
        <v>0</v>
      </c>
      <c r="DO92" s="110">
        <f t="shared" si="218"/>
        <v>0</v>
      </c>
      <c r="DP92" s="110">
        <f t="shared" ref="DP92:DP155" si="276">IF(AND($DP$21=1,$DN$21=2),PMT((($CS$9/360)*(365/12)),CO91,-CZ91),0)</f>
        <v>0</v>
      </c>
      <c r="DQ92" s="109">
        <f t="shared" si="219"/>
        <v>0</v>
      </c>
      <c r="DR92" s="109">
        <f t="shared" si="220"/>
        <v>0</v>
      </c>
      <c r="DS92" s="113">
        <f t="shared" si="221"/>
        <v>0</v>
      </c>
      <c r="DU92" s="102">
        <f t="shared" si="222"/>
        <v>0</v>
      </c>
      <c r="DV92" s="211">
        <f t="shared" ref="DV92:DV155" si="277">IF(DZ91&lt;=0,"",DV91+1)</f>
        <v>68</v>
      </c>
      <c r="DW92" s="212">
        <f t="shared" si="223"/>
        <v>0</v>
      </c>
      <c r="DX92" s="212">
        <f t="shared" si="178"/>
        <v>0</v>
      </c>
      <c r="DY92" s="212">
        <f t="shared" si="268"/>
        <v>0</v>
      </c>
      <c r="DZ92" s="213">
        <f t="shared" si="179"/>
        <v>1000000</v>
      </c>
      <c r="ED92" s="182"/>
      <c r="EF92" s="308">
        <f t="shared" ca="1" si="180"/>
        <v>11</v>
      </c>
      <c r="EG92" s="309">
        <f t="shared" si="224"/>
        <v>0</v>
      </c>
      <c r="EH92" s="268">
        <f t="shared" si="181"/>
        <v>0</v>
      </c>
      <c r="EI92" s="33">
        <f t="shared" si="225"/>
        <v>0</v>
      </c>
      <c r="EJ92" s="33">
        <f t="shared" si="139"/>
        <v>0</v>
      </c>
      <c r="EK92" s="33">
        <f t="shared" si="151"/>
        <v>0</v>
      </c>
      <c r="EL92" s="33">
        <f>IF(ER91&lt;0.01,0,IF(Plus!$F$22=Plus!$AN$4,0,IF(Plus!$F$22=Plus!$AN$3,ER91*Plus!$F$23/1000,ER91*VLOOKUP(Plus!$G$21,Plus!$AP$2:'Plus'!$AQ$5,2,0))))</f>
        <v>0</v>
      </c>
      <c r="EM92" s="33">
        <f>IF(ER91&lt;0.01,0,IF(Plus!$F$24=Plus!$AO$3,0,IF(OR(Plus!$F$10=Plus!$AK$7,Plus!$F$10=Plus!$AK$13),0,Plus!$G$13*Plus!$AR$2)))</f>
        <v>0</v>
      </c>
      <c r="EN92" s="33">
        <f>IF(ER91&lt;0.01,0,IF(OR(Plus!$F$10=Plus!$AK$7,Plus!$F$10=Plus!$AK$13),0,Plus!$BD$2*1.16))</f>
        <v>0</v>
      </c>
      <c r="EO92" s="33">
        <f>IF(ER91&lt;0.01,0,IF(Plus!$AS$2&gt;0,EI92*Plus!$AS$3,0))</f>
        <v>0</v>
      </c>
      <c r="EP92" s="33">
        <f t="shared" si="226"/>
        <v>0</v>
      </c>
      <c r="EQ92" s="33">
        <f>IF(Plus!$F$10=Plus!$AK$3,MIN(ER91+EI92+EL92+EM92+EN92-EP92,FC92),0)</f>
        <v>0</v>
      </c>
      <c r="ER92" s="311">
        <f t="shared" si="145"/>
        <v>0</v>
      </c>
      <c r="ES92" s="340">
        <f>Plus!O133</f>
        <v>0</v>
      </c>
      <c r="ET92" s="74"/>
      <c r="EU92" s="74"/>
      <c r="EV92" s="416">
        <f t="shared" si="134"/>
        <v>0</v>
      </c>
      <c r="EY92" s="90">
        <f t="shared" si="227"/>
        <v>8</v>
      </c>
      <c r="EZ92" s="121">
        <f t="shared" si="269"/>
        <v>0</v>
      </c>
      <c r="FB92" s="149">
        <f t="shared" si="270"/>
        <v>0</v>
      </c>
      <c r="FC92" s="2179">
        <f t="shared" ca="1" si="228"/>
        <v>0</v>
      </c>
      <c r="FE92" s="120">
        <f t="shared" si="271"/>
        <v>0</v>
      </c>
      <c r="FF92" s="110">
        <f t="shared" si="229"/>
        <v>0</v>
      </c>
      <c r="FG92" s="110">
        <f t="shared" si="230"/>
        <v>0</v>
      </c>
      <c r="FH92" s="109">
        <f t="shared" si="231"/>
        <v>0</v>
      </c>
      <c r="FI92" s="109">
        <f t="shared" si="182"/>
        <v>0</v>
      </c>
      <c r="FJ92" s="113">
        <f t="shared" si="232"/>
        <v>0</v>
      </c>
      <c r="FL92" s="102">
        <f t="shared" si="233"/>
        <v>0</v>
      </c>
      <c r="FM92" s="211">
        <f t="shared" ref="FM92:FM155" si="278">IF(FQ91&lt;=0,"",FM91+1)</f>
        <v>68</v>
      </c>
      <c r="FN92" s="212">
        <f t="shared" si="234"/>
        <v>0</v>
      </c>
      <c r="FO92" s="212">
        <f t="shared" si="183"/>
        <v>0</v>
      </c>
      <c r="FP92" s="212">
        <f t="shared" si="160"/>
        <v>0</v>
      </c>
      <c r="FQ92" s="213">
        <f t="shared" si="184"/>
        <v>1000000</v>
      </c>
      <c r="FV92" s="359"/>
      <c r="FX92" s="308">
        <f t="shared" ca="1" si="185"/>
        <v>11</v>
      </c>
      <c r="FY92" s="309">
        <f t="shared" si="235"/>
        <v>0</v>
      </c>
      <c r="FZ92" s="268">
        <f t="shared" si="186"/>
        <v>0</v>
      </c>
      <c r="GA92" s="33">
        <f t="shared" si="236"/>
        <v>0</v>
      </c>
      <c r="GB92" s="33">
        <f t="shared" si="141"/>
        <v>0</v>
      </c>
      <c r="GC92" s="33">
        <f t="shared" si="142"/>
        <v>0</v>
      </c>
      <c r="GD92" s="33">
        <f>IF(GJ91&lt;0.01,0,IF(Plus!$F$22=Plus!$AN$4,0,IF(Plus!$F$22=Plus!$AN$3,GJ91*Plus!$F$23/1000,GJ91*VLOOKUP(Plus!$G$21,Plus!$AP$2:$AQ$5,2,0))))</f>
        <v>0</v>
      </c>
      <c r="GE92" s="33">
        <f>IF(GJ91&lt;0.01,0,IF(Plus!$F$24=Plus!$AO$3,0,IF(OR(Plus!$F$10=Plus!$AK$7,Plus!$F$10=Plus!$AK$13,Plus!$F$10=Plus!$AK$14),0,IF(OR(Plus!$F$10=Plus!$AK$10,Plus!$F$10=Plus!$AK$11),Plus!$G$13*Adm!$W$7,Plus!$G$13*Adm!$X$4))))</f>
        <v>0</v>
      </c>
      <c r="GF92" s="33">
        <f>IF(GJ91&lt;0.01,0,IF(OR(Plus!$F$10=Plus!$AK$7,Plus!$F$10=Plus!$AK$13),0,Plus!$BD$2*1.16))</f>
        <v>0</v>
      </c>
      <c r="GG92" s="33">
        <f>IF(GJ91&lt;0.01,0,IF(Plus!$AS$2&gt;0,GA92*Plus!$AS$3,0))</f>
        <v>0</v>
      </c>
      <c r="GH92" s="33">
        <f t="shared" si="237"/>
        <v>0</v>
      </c>
      <c r="GI92" s="33">
        <f>IF(Plus!$F$10=Plus!$AK$3,MIN(GJ91+GA92+GD92+GE92+GF92-GH92,GU92),0)</f>
        <v>0</v>
      </c>
      <c r="GJ92" s="311">
        <f t="shared" si="136"/>
        <v>0</v>
      </c>
      <c r="GK92" s="340">
        <f>Plus!O133</f>
        <v>0</v>
      </c>
      <c r="GL92" s="74"/>
      <c r="GM92" s="74"/>
      <c r="GN92" s="419">
        <f t="shared" si="135"/>
        <v>0</v>
      </c>
      <c r="GQ92" s="90">
        <f t="shared" si="238"/>
        <v>8</v>
      </c>
      <c r="GR92" s="121">
        <f t="shared" si="272"/>
        <v>0</v>
      </c>
      <c r="GT92" s="149">
        <f t="shared" si="273"/>
        <v>0</v>
      </c>
      <c r="GU92" s="2179">
        <f t="shared" ca="1" si="239"/>
        <v>0</v>
      </c>
      <c r="GW92" s="120">
        <f t="shared" si="274"/>
        <v>0</v>
      </c>
      <c r="GX92" s="110">
        <f t="shared" si="240"/>
        <v>0</v>
      </c>
      <c r="GY92" s="110">
        <f t="shared" si="241"/>
        <v>0</v>
      </c>
      <c r="GZ92" s="109">
        <f t="shared" si="242"/>
        <v>0</v>
      </c>
      <c r="HA92" s="109">
        <f t="shared" si="187"/>
        <v>0</v>
      </c>
      <c r="HB92" s="113">
        <f t="shared" si="243"/>
        <v>0</v>
      </c>
      <c r="HD92" s="102">
        <f t="shared" si="244"/>
        <v>0</v>
      </c>
      <c r="HE92" s="211">
        <f t="shared" ref="HE92:HE155" si="279">IF(HI91&lt;=0,"",HE91+1)</f>
        <v>68</v>
      </c>
      <c r="HF92" s="212">
        <f t="shared" si="245"/>
        <v>0</v>
      </c>
      <c r="HG92" s="212">
        <f t="shared" si="188"/>
        <v>0</v>
      </c>
      <c r="HH92" s="212">
        <f t="shared" si="161"/>
        <v>0</v>
      </c>
      <c r="HI92" s="213">
        <f t="shared" si="189"/>
        <v>1000000</v>
      </c>
      <c r="HL92" s="182"/>
      <c r="HM92" s="26">
        <f t="shared" ca="1" si="190"/>
        <v>11</v>
      </c>
      <c r="HO92" s="268">
        <f t="shared" si="191"/>
        <v>0</v>
      </c>
      <c r="HP92" s="151">
        <f t="shared" si="157"/>
        <v>0</v>
      </c>
      <c r="HQ92" s="123">
        <f t="shared" si="246"/>
        <v>0</v>
      </c>
      <c r="HR92" s="123">
        <f t="shared" si="247"/>
        <v>0</v>
      </c>
      <c r="HS92" s="123">
        <f t="shared" si="248"/>
        <v>0</v>
      </c>
      <c r="HT92" s="123">
        <f>IF(HY91&lt;0.01,0,IF(Adm!$GS$4=Adm!$GS$8,HY91*$HY$15,IF(Adm!$GS$12=Adm!$GS$13,0,HY91*Adm!$GV$4)))</f>
        <v>0</v>
      </c>
      <c r="HU92" s="123">
        <f>IF(HY91&lt;0.01,0,IF(Adm!$GS$5=Adm!$GS$8,Cal!$BO$108*$HY$16/1.16,IF(Adm!$GS$12=Adm!$GS$13,0,Cal!$BO$108*Adm!$GW$4/1.16)))</f>
        <v>0</v>
      </c>
      <c r="HV92" s="123">
        <f t="shared" si="249"/>
        <v>0</v>
      </c>
      <c r="HW92" s="123">
        <f t="shared" si="192"/>
        <v>0</v>
      </c>
      <c r="HX92" s="123">
        <f>IF(Adm!$GH$6="si",MIN(HY91+HQ92+HT92+HU92+HV92-HW92,IH92),0)</f>
        <v>0</v>
      </c>
      <c r="HY92" s="297">
        <f t="shared" si="250"/>
        <v>0</v>
      </c>
      <c r="HZ92" s="74"/>
      <c r="IA92" s="407">
        <f t="shared" si="251"/>
        <v>0</v>
      </c>
      <c r="IC92" s="90">
        <f t="shared" si="252"/>
        <v>8</v>
      </c>
      <c r="ID92" s="124">
        <f>IF(IC92=1,Cal!$BO$127,0)</f>
        <v>0</v>
      </c>
      <c r="IE92" s="178">
        <f>IF(IC92=1,Adm!$HI$4,0)</f>
        <v>0</v>
      </c>
      <c r="IG92" s="70">
        <f t="shared" si="275"/>
        <v>0</v>
      </c>
      <c r="IH92" s="2178">
        <f t="shared" ca="1" si="253"/>
        <v>0</v>
      </c>
      <c r="IK92" s="217"/>
      <c r="IL92" s="26">
        <f t="shared" ca="1" si="193"/>
        <v>11</v>
      </c>
      <c r="IN92" s="268">
        <f t="shared" si="194"/>
        <v>0</v>
      </c>
      <c r="IO92" s="151">
        <f t="shared" si="154"/>
        <v>0</v>
      </c>
      <c r="IP92" s="123">
        <f t="shared" si="254"/>
        <v>0</v>
      </c>
      <c r="IQ92" s="123">
        <f t="shared" si="255"/>
        <v>0</v>
      </c>
      <c r="IR92" s="123">
        <f t="shared" si="256"/>
        <v>0</v>
      </c>
      <c r="IS92" s="123">
        <f>IF(IX91&lt;0.01,0,IF(Adm!$GS$4=Adm!$GS$8,IX91*$IX$15,IF(Adm!$GS$12=Adm!$GS$13,0,IX91*Adm!$GV$4)))</f>
        <v>0</v>
      </c>
      <c r="IT92" s="123"/>
      <c r="IU92" s="123">
        <f t="shared" si="257"/>
        <v>0</v>
      </c>
      <c r="IV92" s="123">
        <f t="shared" si="258"/>
        <v>0</v>
      </c>
      <c r="IW92" s="123"/>
      <c r="IX92" s="297">
        <f t="shared" si="259"/>
        <v>0</v>
      </c>
      <c r="IY92" s="74"/>
      <c r="IZ92" s="416">
        <f t="shared" si="260"/>
        <v>0</v>
      </c>
      <c r="JB92" s="90">
        <f t="shared" si="261"/>
        <v>8</v>
      </c>
      <c r="JC92" s="124">
        <f>IF(JB92=1,Cal!$BP$127,0)</f>
        <v>0</v>
      </c>
      <c r="JD92" s="178">
        <f>IF(JB92=1,Adm!$HI$4,0)</f>
        <v>0</v>
      </c>
    </row>
    <row r="93" spans="1:264">
      <c r="A93" s="26">
        <f t="shared" ca="1" si="162"/>
        <v>12</v>
      </c>
      <c r="C93" s="33">
        <f t="shared" si="163"/>
        <v>0</v>
      </c>
      <c r="D93" s="123">
        <f t="shared" si="195"/>
        <v>0</v>
      </c>
      <c r="E93" s="123">
        <f t="shared" si="147"/>
        <v>0</v>
      </c>
      <c r="F93" s="123">
        <f t="shared" si="149"/>
        <v>0</v>
      </c>
      <c r="G93" s="123">
        <f>IF(L92&lt;0.01,0,IF(Adm!$S$4=Adm!$S$8,L92*$L$15,L92*Adm!$V$4))</f>
        <v>0</v>
      </c>
      <c r="H93" s="123">
        <f>IF(L92&lt;0.01,0,IF(Adm!$S$5=Adm!$S$8,Adm!$AA$11*$L$16/1.16,IF(Adm!$B$4=Adm!$A$119,0,Adm!$AA$11*Adm!$X$4/1.16)))</f>
        <v>0</v>
      </c>
      <c r="I93" s="123">
        <f>IF(L92&lt;0.01,0,Cal!$AB$126/1.16)</f>
        <v>0</v>
      </c>
      <c r="J93" s="123">
        <f t="shared" si="164"/>
        <v>0</v>
      </c>
      <c r="K93" s="123">
        <f>IF(Adm!$G$4="si",MIN(L92+D93+G93+H93+I93-J93,V93),0)</f>
        <v>0</v>
      </c>
      <c r="L93" s="123">
        <f t="shared" si="196"/>
        <v>0</v>
      </c>
      <c r="M93" s="74"/>
      <c r="N93" s="74"/>
      <c r="O93" s="407">
        <f t="shared" si="197"/>
        <v>0</v>
      </c>
      <c r="R93" s="90">
        <f t="shared" si="198"/>
        <v>9</v>
      </c>
      <c r="S93" s="121">
        <f>IF(R93=1,Cal!$AB$127,0)</f>
        <v>0</v>
      </c>
      <c r="U93" s="70">
        <f t="shared" si="262"/>
        <v>0</v>
      </c>
      <c r="V93" s="2178">
        <f t="shared" ca="1" si="199"/>
        <v>0</v>
      </c>
      <c r="X93" s="398"/>
      <c r="Z93" s="268">
        <f t="shared" si="165"/>
        <v>0</v>
      </c>
      <c r="AA93" s="2176">
        <f t="shared" si="200"/>
        <v>0</v>
      </c>
      <c r="AB93" s="33">
        <f t="shared" si="201"/>
        <v>0</v>
      </c>
      <c r="AC93" s="33">
        <f t="shared" si="202"/>
        <v>0</v>
      </c>
      <c r="AD93" s="33">
        <f>IF(AI92&lt;0.01,0,IF(Adm!$S$4=Adm!$S$8,AI92*$AI$15,AI92*Adm!$V$4))</f>
        <v>0</v>
      </c>
      <c r="AE93" s="33"/>
      <c r="AF93" s="33"/>
      <c r="AG93" s="33">
        <f t="shared" si="166"/>
        <v>0</v>
      </c>
      <c r="AH93" s="33"/>
      <c r="AI93" s="401">
        <f t="shared" si="167"/>
        <v>0</v>
      </c>
      <c r="AK93" s="410">
        <f t="shared" si="168"/>
        <v>0</v>
      </c>
      <c r="AN93" s="90">
        <f t="shared" si="203"/>
        <v>9</v>
      </c>
      <c r="AO93" s="121">
        <f>IF(AN93=1,Cal!$AC$127,0)</f>
        <v>0</v>
      </c>
      <c r="AS93" s="200"/>
      <c r="AU93" s="268">
        <f t="shared" si="169"/>
        <v>0</v>
      </c>
      <c r="AV93" s="2177">
        <f t="shared" si="204"/>
        <v>0</v>
      </c>
      <c r="AW93" s="123">
        <f t="shared" si="170"/>
        <v>0</v>
      </c>
      <c r="AX93" s="123">
        <f t="shared" si="205"/>
        <v>0</v>
      </c>
      <c r="AY93" s="123">
        <f>IF(BC92&lt;0.01,0,IF(Adm!$S$4=Adm!$S$8,BC92*$BC$16,BC92*Adm!$V$4))</f>
        <v>0</v>
      </c>
      <c r="AZ93" s="123"/>
      <c r="BA93" s="123">
        <f>IF(BC92&lt;0.01,0,Adm!$Q$6)</f>
        <v>0</v>
      </c>
      <c r="BB93" s="123">
        <f t="shared" si="171"/>
        <v>0</v>
      </c>
      <c r="BC93" s="297">
        <f t="shared" si="206"/>
        <v>0</v>
      </c>
      <c r="BE93" s="425">
        <f t="shared" si="172"/>
        <v>0</v>
      </c>
      <c r="BH93" s="90">
        <f t="shared" si="207"/>
        <v>9</v>
      </c>
      <c r="BI93" s="121">
        <f>IF(BH93=1,Cal!$AD$127,0)</f>
        <v>0</v>
      </c>
      <c r="BM93" s="221"/>
      <c r="BO93" s="295">
        <f t="shared" ca="1" si="173"/>
        <v>12</v>
      </c>
      <c r="BP93" s="268">
        <f t="shared" si="174"/>
        <v>0</v>
      </c>
      <c r="BQ93" s="123">
        <f t="shared" si="208"/>
        <v>0</v>
      </c>
      <c r="BR93" s="123">
        <f t="shared" si="148"/>
        <v>0</v>
      </c>
      <c r="BS93" s="123">
        <f t="shared" si="150"/>
        <v>0</v>
      </c>
      <c r="BT93" s="123">
        <f>IF(BZ92&lt;0.01,0,IF(Plus!$F$22=Plus!$AN$4,BZ92*$BZ$15,IF(Plus!$F$22=Plus!$AN$3,BZ92*Plus!$F$23/1000,BZ92*VLOOKUP(Plus!$G$21,Plus!$AP$2:'Plus'!$AQ$5,2,0))))</f>
        <v>0</v>
      </c>
      <c r="BU93" s="123">
        <f>IF(BZ92&lt;0.01,0,IF(Plus!$F$24=Plus!$AO$3,Plus!$G$13*Plus!$AR$2/1.16,IF(Plus!$F$10=Plus!$AK$7,0,Plus!$G$13*Plus!$AR$2/1.16)))</f>
        <v>0</v>
      </c>
      <c r="BV93" s="123">
        <f>IF(BZ92&lt;0.01,0,Plus!$BD$2)</f>
        <v>0</v>
      </c>
      <c r="BW93" s="123"/>
      <c r="BX93" s="123">
        <f t="shared" si="175"/>
        <v>0</v>
      </c>
      <c r="BY93" s="123">
        <f>IF(Plus!$F$10=Plus!$AK$3,MIN(BZ92+BQ93+BT93+BU93+BV93-BX93,CJ93),0)</f>
        <v>0</v>
      </c>
      <c r="BZ93" s="297">
        <f t="shared" si="144"/>
        <v>0</v>
      </c>
      <c r="CA93" s="74"/>
      <c r="CB93" s="74"/>
      <c r="CC93" s="413">
        <f t="shared" si="209"/>
        <v>0</v>
      </c>
      <c r="CF93" s="90">
        <f t="shared" si="210"/>
        <v>9</v>
      </c>
      <c r="CG93" s="121">
        <f t="shared" si="263"/>
        <v>0</v>
      </c>
      <c r="CI93" s="70">
        <f t="shared" si="264"/>
        <v>0</v>
      </c>
      <c r="CJ93" s="2178">
        <f t="shared" ca="1" si="211"/>
        <v>0</v>
      </c>
      <c r="CL93" s="161"/>
      <c r="CN93" s="308">
        <f t="shared" ca="1" si="176"/>
        <v>12</v>
      </c>
      <c r="CO93" s="309">
        <f t="shared" si="212"/>
        <v>0</v>
      </c>
      <c r="CP93" s="268">
        <f t="shared" si="177"/>
        <v>0</v>
      </c>
      <c r="CQ93" s="123">
        <f t="shared" si="213"/>
        <v>0</v>
      </c>
      <c r="CR93" s="123">
        <f t="shared" si="137"/>
        <v>0</v>
      </c>
      <c r="CS93" s="123">
        <f t="shared" si="138"/>
        <v>0</v>
      </c>
      <c r="CT93" s="33">
        <f>IF(CZ92&lt;0.01,0,IF(Plus!$F$22=Plus!$AN$4,0,IF(Plus!$F$22=Plus!$AN$3,CZ92*Plus!$F$23/1000,CZ92*VLOOKUP(Plus!$G$21,Plus!$AP$2:'Plus'!$AQ$5,2,0))))</f>
        <v>0</v>
      </c>
      <c r="CU93" s="123">
        <f>IF(CZ92&lt;0.01,0,IF(Plus!$F$24=Plus!$AO$3,0,IF(OR(Plus!$F$10=Plus!$AK$7,Plus!$F$10=Plus!$AK$13),0,Plus!$G$13*Plus!$AR$2)))</f>
        <v>0</v>
      </c>
      <c r="CV93" s="123">
        <f>IF(CZ92&lt;0.01,0,IF(OR(Plus!$F$10=Plus!$AK$7,Plus!$F$10=Plus!$AK$13),0,Plus!$BD$2*1.16))</f>
        <v>0</v>
      </c>
      <c r="CW93" s="123">
        <f>IF(CZ92&lt;0.01,0,IF(Plus!$AS$2&gt;0,CQ93*Plus!$AS$3,0))</f>
        <v>0</v>
      </c>
      <c r="CX93" s="123">
        <f t="shared" si="214"/>
        <v>0</v>
      </c>
      <c r="CY93" s="123">
        <f>IF(Plus!$F$10=Plus!$AK$3,MIN(CZ92+CQ93+CT93+CU93+CV93-CX93,DK93),0)</f>
        <v>0</v>
      </c>
      <c r="CZ93" s="297">
        <f t="shared" si="146"/>
        <v>0</v>
      </c>
      <c r="DA93" s="306">
        <f>Plus!O134</f>
        <v>0</v>
      </c>
      <c r="DB93" s="74"/>
      <c r="DC93" s="74"/>
      <c r="DD93" s="407">
        <f t="shared" si="215"/>
        <v>0</v>
      </c>
      <c r="DG93" s="90">
        <f t="shared" si="216"/>
        <v>9</v>
      </c>
      <c r="DH93" s="121">
        <f t="shared" si="265"/>
        <v>0</v>
      </c>
      <c r="DJ93" s="149">
        <f t="shared" si="266"/>
        <v>0</v>
      </c>
      <c r="DK93" s="2179">
        <f t="shared" ca="1" si="217"/>
        <v>0</v>
      </c>
      <c r="DN93" s="120">
        <f t="shared" si="267"/>
        <v>0</v>
      </c>
      <c r="DO93" s="110">
        <f t="shared" si="218"/>
        <v>0</v>
      </c>
      <c r="DP93" s="110">
        <f t="shared" si="276"/>
        <v>0</v>
      </c>
      <c r="DQ93" s="109">
        <f t="shared" si="219"/>
        <v>0</v>
      </c>
      <c r="DR93" s="109">
        <f t="shared" si="220"/>
        <v>0</v>
      </c>
      <c r="DS93" s="113">
        <f t="shared" si="221"/>
        <v>0</v>
      </c>
      <c r="DU93" s="102">
        <f t="shared" si="222"/>
        <v>0</v>
      </c>
      <c r="DV93" s="211">
        <f t="shared" si="277"/>
        <v>69</v>
      </c>
      <c r="DW93" s="212">
        <f t="shared" si="223"/>
        <v>0</v>
      </c>
      <c r="DX93" s="212">
        <f t="shared" si="178"/>
        <v>0</v>
      </c>
      <c r="DY93" s="212">
        <f t="shared" si="268"/>
        <v>0</v>
      </c>
      <c r="DZ93" s="213">
        <f t="shared" si="179"/>
        <v>1000000</v>
      </c>
      <c r="ED93" s="182"/>
      <c r="EF93" s="308">
        <f t="shared" ca="1" si="180"/>
        <v>12</v>
      </c>
      <c r="EG93" s="309">
        <f t="shared" si="224"/>
        <v>0</v>
      </c>
      <c r="EH93" s="268">
        <f t="shared" si="181"/>
        <v>0</v>
      </c>
      <c r="EI93" s="33">
        <f t="shared" si="225"/>
        <v>0</v>
      </c>
      <c r="EJ93" s="33">
        <f t="shared" si="139"/>
        <v>0</v>
      </c>
      <c r="EK93" s="33">
        <f t="shared" si="151"/>
        <v>0</v>
      </c>
      <c r="EL93" s="33">
        <f>IF(ER92&lt;0.01,0,IF(Plus!$F$22=Plus!$AN$4,0,IF(Plus!$F$22=Plus!$AN$3,ER92*Plus!$F$23/1000,ER92*VLOOKUP(Plus!$G$21,Plus!$AP$2:'Plus'!$AQ$5,2,0))))</f>
        <v>0</v>
      </c>
      <c r="EM93" s="33">
        <f>IF(ER92&lt;0.01,0,IF(Plus!$F$24=Plus!$AO$3,0,IF(OR(Plus!$F$10=Plus!$AK$7,Plus!$F$10=Plus!$AK$13),0,Plus!$G$13*Plus!$AR$2)))</f>
        <v>0</v>
      </c>
      <c r="EN93" s="33">
        <f>IF(ER92&lt;0.01,0,IF(OR(Plus!$F$10=Plus!$AK$7,Plus!$F$10=Plus!$AK$13),0,Plus!$BD$2*1.16))</f>
        <v>0</v>
      </c>
      <c r="EO93" s="33">
        <f>IF(ER92&lt;0.01,0,IF(Plus!$AS$2&gt;0,EI93*Plus!$AS$3,0))</f>
        <v>0</v>
      </c>
      <c r="EP93" s="33">
        <f t="shared" si="226"/>
        <v>0</v>
      </c>
      <c r="EQ93" s="33">
        <f>IF(Plus!$F$10=Plus!$AK$3,MIN(ER92+EI93+EL93+EM93+EN93-EP93,FC93),0)</f>
        <v>0</v>
      </c>
      <c r="ER93" s="311">
        <f t="shared" si="145"/>
        <v>0</v>
      </c>
      <c r="ES93" s="340">
        <f>Plus!O134</f>
        <v>0</v>
      </c>
      <c r="ET93" s="74"/>
      <c r="EU93" s="74"/>
      <c r="EV93" s="416">
        <f t="shared" si="134"/>
        <v>0</v>
      </c>
      <c r="EY93" s="90">
        <f t="shared" si="227"/>
        <v>9</v>
      </c>
      <c r="EZ93" s="121">
        <f t="shared" si="269"/>
        <v>0</v>
      </c>
      <c r="FB93" s="149">
        <f t="shared" si="270"/>
        <v>0</v>
      </c>
      <c r="FC93" s="2179">
        <f t="shared" ca="1" si="228"/>
        <v>0</v>
      </c>
      <c r="FE93" s="120">
        <f t="shared" si="271"/>
        <v>0</v>
      </c>
      <c r="FF93" s="110">
        <f t="shared" si="229"/>
        <v>0</v>
      </c>
      <c r="FG93" s="110">
        <f t="shared" si="230"/>
        <v>0</v>
      </c>
      <c r="FH93" s="109">
        <f t="shared" si="231"/>
        <v>0</v>
      </c>
      <c r="FI93" s="109">
        <f t="shared" si="182"/>
        <v>0</v>
      </c>
      <c r="FJ93" s="113">
        <f t="shared" si="232"/>
        <v>0</v>
      </c>
      <c r="FL93" s="102">
        <f t="shared" si="233"/>
        <v>0</v>
      </c>
      <c r="FM93" s="211">
        <f t="shared" si="278"/>
        <v>69</v>
      </c>
      <c r="FN93" s="212">
        <f t="shared" si="234"/>
        <v>0</v>
      </c>
      <c r="FO93" s="212">
        <f t="shared" si="183"/>
        <v>0</v>
      </c>
      <c r="FP93" s="212">
        <f t="shared" si="160"/>
        <v>0</v>
      </c>
      <c r="FQ93" s="213">
        <f t="shared" si="184"/>
        <v>1000000</v>
      </c>
      <c r="FV93" s="359"/>
      <c r="FX93" s="308">
        <f t="shared" ca="1" si="185"/>
        <v>12</v>
      </c>
      <c r="FY93" s="309">
        <f t="shared" si="235"/>
        <v>0</v>
      </c>
      <c r="FZ93" s="268">
        <f t="shared" si="186"/>
        <v>0</v>
      </c>
      <c r="GA93" s="33">
        <f t="shared" si="236"/>
        <v>0</v>
      </c>
      <c r="GB93" s="33">
        <f t="shared" si="141"/>
        <v>0</v>
      </c>
      <c r="GC93" s="33">
        <f t="shared" si="142"/>
        <v>0</v>
      </c>
      <c r="GD93" s="33">
        <f>IF(GJ92&lt;0.01,0,IF(Plus!$F$22=Plus!$AN$4,0,IF(Plus!$F$22=Plus!$AN$3,GJ92*Plus!$F$23/1000,GJ92*VLOOKUP(Plus!$G$21,Plus!$AP$2:$AQ$5,2,0))))</f>
        <v>0</v>
      </c>
      <c r="GE93" s="33">
        <f>IF(GJ92&lt;0.01,0,IF(Plus!$F$24=Plus!$AO$3,0,IF(OR(Plus!$F$10=Plus!$AK$7,Plus!$F$10=Plus!$AK$13,Plus!$F$10=Plus!$AK$14),0,IF(OR(Plus!$F$10=Plus!$AK$10,Plus!$F$10=Plus!$AK$11),Plus!$G$13*Adm!$W$7,Plus!$G$13*Adm!$X$4))))</f>
        <v>0</v>
      </c>
      <c r="GF93" s="33">
        <f>IF(GJ92&lt;0.01,0,IF(OR(Plus!$F$10=Plus!$AK$7,Plus!$F$10=Plus!$AK$13),0,Plus!$BD$2*1.16))</f>
        <v>0</v>
      </c>
      <c r="GG93" s="33">
        <f>IF(GJ92&lt;0.01,0,IF(Plus!$AS$2&gt;0,GA93*Plus!$AS$3,0))</f>
        <v>0</v>
      </c>
      <c r="GH93" s="33">
        <f t="shared" si="237"/>
        <v>0</v>
      </c>
      <c r="GI93" s="33">
        <f>IF(Plus!$F$10=Plus!$AK$3,MIN(GJ92+GA93+GD93+GE93+GF93-GH93,GU93),0)</f>
        <v>0</v>
      </c>
      <c r="GJ93" s="311">
        <f t="shared" si="136"/>
        <v>0</v>
      </c>
      <c r="GK93" s="340">
        <f>Plus!O134</f>
        <v>0</v>
      </c>
      <c r="GL93" s="74"/>
      <c r="GM93" s="74"/>
      <c r="GN93" s="419">
        <f t="shared" si="135"/>
        <v>0</v>
      </c>
      <c r="GQ93" s="90">
        <f t="shared" si="238"/>
        <v>9</v>
      </c>
      <c r="GR93" s="121">
        <f t="shared" si="272"/>
        <v>0</v>
      </c>
      <c r="GT93" s="149">
        <f t="shared" si="273"/>
        <v>0</v>
      </c>
      <c r="GU93" s="2179">
        <f t="shared" ca="1" si="239"/>
        <v>0</v>
      </c>
      <c r="GW93" s="120">
        <f t="shared" si="274"/>
        <v>0</v>
      </c>
      <c r="GX93" s="110">
        <f t="shared" si="240"/>
        <v>0</v>
      </c>
      <c r="GY93" s="110">
        <f t="shared" si="241"/>
        <v>0</v>
      </c>
      <c r="GZ93" s="109">
        <f t="shared" si="242"/>
        <v>0</v>
      </c>
      <c r="HA93" s="109">
        <f t="shared" si="187"/>
        <v>0</v>
      </c>
      <c r="HB93" s="113">
        <f t="shared" si="243"/>
        <v>0</v>
      </c>
      <c r="HD93" s="102">
        <f t="shared" si="244"/>
        <v>0</v>
      </c>
      <c r="HE93" s="211">
        <f t="shared" si="279"/>
        <v>69</v>
      </c>
      <c r="HF93" s="212">
        <f t="shared" si="245"/>
        <v>0</v>
      </c>
      <c r="HG93" s="212">
        <f t="shared" si="188"/>
        <v>0</v>
      </c>
      <c r="HH93" s="212">
        <f t="shared" si="161"/>
        <v>0</v>
      </c>
      <c r="HI93" s="213">
        <f t="shared" si="189"/>
        <v>1000000</v>
      </c>
      <c r="HL93" s="182"/>
      <c r="HM93" s="26">
        <f t="shared" ca="1" si="190"/>
        <v>12</v>
      </c>
      <c r="HO93" s="268">
        <f t="shared" si="191"/>
        <v>0</v>
      </c>
      <c r="HP93" s="151">
        <f t="shared" si="157"/>
        <v>0</v>
      </c>
      <c r="HQ93" s="123">
        <f t="shared" si="246"/>
        <v>0</v>
      </c>
      <c r="HR93" s="123">
        <f t="shared" si="247"/>
        <v>0</v>
      </c>
      <c r="HS93" s="123">
        <f t="shared" si="248"/>
        <v>0</v>
      </c>
      <c r="HT93" s="123">
        <f>IF(HY92&lt;0.01,0,IF(Adm!$GS$4=Adm!$GS$8,HY92*$HY$15,IF(Adm!$GS$12=Adm!$GS$13,0,HY92*Adm!$GV$4)))</f>
        <v>0</v>
      </c>
      <c r="HU93" s="123">
        <f>IF(HY92&lt;0.01,0,IF(Adm!$GS$5=Adm!$GS$8,Cal!$BO$108*$HY$16/1.16,IF(Adm!$GS$12=Adm!$GS$13,0,Cal!$BO$108*Adm!$GW$4/1.16)))</f>
        <v>0</v>
      </c>
      <c r="HV93" s="123">
        <f t="shared" si="249"/>
        <v>0</v>
      </c>
      <c r="HW93" s="123">
        <f t="shared" si="192"/>
        <v>0</v>
      </c>
      <c r="HX93" s="123">
        <f>IF(Adm!$GH$6="si",MIN(HY92+HQ93+HT93+HU93+HV93-HW93,IH93),0)</f>
        <v>0</v>
      </c>
      <c r="HY93" s="297">
        <f t="shared" si="250"/>
        <v>0</v>
      </c>
      <c r="HZ93" s="74"/>
      <c r="IA93" s="407">
        <f t="shared" si="251"/>
        <v>0</v>
      </c>
      <c r="IC93" s="90">
        <f t="shared" si="252"/>
        <v>9</v>
      </c>
      <c r="ID93" s="124">
        <f>IF(IC93=1,Cal!$BO$127,0)</f>
        <v>0</v>
      </c>
      <c r="IE93" s="178">
        <f>IF(IC93=1,Adm!$HI$4,0)</f>
        <v>0</v>
      </c>
      <c r="IG93" s="70">
        <f t="shared" si="275"/>
        <v>0</v>
      </c>
      <c r="IH93" s="2178">
        <f t="shared" ca="1" si="253"/>
        <v>0</v>
      </c>
      <c r="IK93" s="217"/>
      <c r="IL93" s="26">
        <f t="shared" ca="1" si="193"/>
        <v>12</v>
      </c>
      <c r="IN93" s="268">
        <f t="shared" si="194"/>
        <v>0</v>
      </c>
      <c r="IO93" s="151">
        <f t="shared" si="154"/>
        <v>0</v>
      </c>
      <c r="IP93" s="123">
        <f t="shared" si="254"/>
        <v>0</v>
      </c>
      <c r="IQ93" s="123">
        <f t="shared" si="255"/>
        <v>0</v>
      </c>
      <c r="IR93" s="123">
        <f t="shared" si="256"/>
        <v>0</v>
      </c>
      <c r="IS93" s="123">
        <f>IF(IX92&lt;0.01,0,IF(Adm!$GS$4=Adm!$GS$8,IX92*$IX$15,IF(Adm!$GS$12=Adm!$GS$13,0,IX92*Adm!$GV$4)))</f>
        <v>0</v>
      </c>
      <c r="IT93" s="123"/>
      <c r="IU93" s="123">
        <f t="shared" si="257"/>
        <v>0</v>
      </c>
      <c r="IV93" s="123">
        <f t="shared" si="258"/>
        <v>0</v>
      </c>
      <c r="IW93" s="123"/>
      <c r="IX93" s="297">
        <f t="shared" si="259"/>
        <v>0</v>
      </c>
      <c r="IY93" s="74"/>
      <c r="IZ93" s="416">
        <f t="shared" si="260"/>
        <v>0</v>
      </c>
      <c r="JB93" s="90">
        <f t="shared" si="261"/>
        <v>9</v>
      </c>
      <c r="JC93" s="124">
        <f>IF(JB93=1,Cal!$BP$127,0)</f>
        <v>0</v>
      </c>
      <c r="JD93" s="178">
        <f>IF(JB93=1,Adm!$HI$4,0)</f>
        <v>0</v>
      </c>
    </row>
    <row r="94" spans="1:264">
      <c r="A94" s="26">
        <f t="shared" ca="1" si="162"/>
        <v>1</v>
      </c>
      <c r="C94" s="33">
        <f t="shared" si="163"/>
        <v>0</v>
      </c>
      <c r="D94" s="123">
        <f t="shared" si="195"/>
        <v>0</v>
      </c>
      <c r="E94" s="123">
        <f t="shared" si="147"/>
        <v>0</v>
      </c>
      <c r="F94" s="123">
        <f t="shared" si="149"/>
        <v>0</v>
      </c>
      <c r="G94" s="123">
        <f>IF(L93&lt;0.01,0,IF(Adm!$S$4=Adm!$S$8,L93*$L$15,L93*Adm!$V$4))</f>
        <v>0</v>
      </c>
      <c r="H94" s="123">
        <f>IF(L93&lt;0.01,0,IF(Adm!$S$5=Adm!$S$8,Adm!$AA$11*$L$16/1.16,IF(Adm!$B$4=Adm!$A$119,0,Adm!$AA$11*Adm!$X$4/1.16)))</f>
        <v>0</v>
      </c>
      <c r="I94" s="123">
        <f>IF(L93&lt;0.01,0,Cal!$AB$126/1.16)</f>
        <v>0</v>
      </c>
      <c r="J94" s="123">
        <f t="shared" si="164"/>
        <v>0</v>
      </c>
      <c r="K94" s="123">
        <f>IF(Adm!$G$4="si",MIN(L93+D94+G94+H94+I94-J94,V94),0)</f>
        <v>0</v>
      </c>
      <c r="L94" s="123">
        <f t="shared" si="196"/>
        <v>0</v>
      </c>
      <c r="M94" s="74"/>
      <c r="N94" s="74"/>
      <c r="O94" s="407">
        <f t="shared" si="197"/>
        <v>0</v>
      </c>
      <c r="R94" s="90">
        <f t="shared" si="198"/>
        <v>10</v>
      </c>
      <c r="S94" s="121">
        <f>IF(R94=1,Cal!$AB$127,0)</f>
        <v>0</v>
      </c>
      <c r="U94" s="70">
        <f t="shared" si="262"/>
        <v>0</v>
      </c>
      <c r="V94" s="2178">
        <f t="shared" ca="1" si="199"/>
        <v>0</v>
      </c>
      <c r="X94" s="398"/>
      <c r="Z94" s="268">
        <f t="shared" si="165"/>
        <v>0</v>
      </c>
      <c r="AA94" s="2176">
        <f t="shared" si="200"/>
        <v>0</v>
      </c>
      <c r="AB94" s="33">
        <f t="shared" si="201"/>
        <v>0</v>
      </c>
      <c r="AC94" s="33">
        <f t="shared" si="202"/>
        <v>0</v>
      </c>
      <c r="AD94" s="33">
        <f>IF(AI93&lt;0.01,0,IF(Adm!$S$4=Adm!$S$8,AI93*$AI$15,AI93*Adm!$V$4))</f>
        <v>0</v>
      </c>
      <c r="AE94" s="33"/>
      <c r="AF94" s="33"/>
      <c r="AG94" s="33">
        <f t="shared" si="166"/>
        <v>0</v>
      </c>
      <c r="AH94" s="33"/>
      <c r="AI94" s="401">
        <f t="shared" si="167"/>
        <v>0</v>
      </c>
      <c r="AK94" s="410">
        <f t="shared" si="168"/>
        <v>0</v>
      </c>
      <c r="AN94" s="90">
        <f t="shared" si="203"/>
        <v>10</v>
      </c>
      <c r="AO94" s="121">
        <f>IF(AN94=1,Cal!$AC$127,0)</f>
        <v>0</v>
      </c>
      <c r="AS94" s="200"/>
      <c r="AU94" s="268">
        <f t="shared" si="169"/>
        <v>0</v>
      </c>
      <c r="AV94" s="2177">
        <f t="shared" si="204"/>
        <v>0</v>
      </c>
      <c r="AW94" s="123">
        <f t="shared" si="170"/>
        <v>0</v>
      </c>
      <c r="AX94" s="123">
        <f t="shared" si="205"/>
        <v>0</v>
      </c>
      <c r="AY94" s="123">
        <f>IF(BC93&lt;0.01,0,IF(Adm!$S$4=Adm!$S$8,BC93*$BC$16,BC93*Adm!$V$4))</f>
        <v>0</v>
      </c>
      <c r="AZ94" s="123"/>
      <c r="BA94" s="123">
        <f>IF(BC93&lt;0.01,0,Adm!$Q$6)</f>
        <v>0</v>
      </c>
      <c r="BB94" s="123">
        <f t="shared" si="171"/>
        <v>0</v>
      </c>
      <c r="BC94" s="297">
        <f t="shared" si="206"/>
        <v>0</v>
      </c>
      <c r="BE94" s="425">
        <f t="shared" si="172"/>
        <v>0</v>
      </c>
      <c r="BH94" s="90">
        <f t="shared" si="207"/>
        <v>10</v>
      </c>
      <c r="BI94" s="121">
        <f>IF(BH94=1,Cal!$AD$127,0)</f>
        <v>0</v>
      </c>
      <c r="BM94" s="221"/>
      <c r="BO94" s="295">
        <f t="shared" ca="1" si="173"/>
        <v>1</v>
      </c>
      <c r="BP94" s="268">
        <f t="shared" si="174"/>
        <v>0</v>
      </c>
      <c r="BQ94" s="123">
        <f t="shared" si="208"/>
        <v>0</v>
      </c>
      <c r="BR94" s="123">
        <f t="shared" si="148"/>
        <v>0</v>
      </c>
      <c r="BS94" s="123">
        <f t="shared" si="150"/>
        <v>0</v>
      </c>
      <c r="BT94" s="123">
        <f>IF(BZ93&lt;0.01,0,IF(Plus!$F$22=Plus!$AN$4,BZ93*$BZ$15,IF(Plus!$F$22=Plus!$AN$3,BZ93*Plus!$F$23/1000,BZ93*VLOOKUP(Plus!$G$21,Plus!$AP$2:'Plus'!$AQ$5,2,0))))</f>
        <v>0</v>
      </c>
      <c r="BU94" s="123">
        <f>IF(BZ93&lt;0.01,0,IF(Plus!$F$24=Plus!$AO$3,Plus!$G$13*Plus!$AR$2/1.16,IF(Plus!$F$10=Plus!$AK$7,0,Plus!$G$13*Plus!$AR$2/1.16)))</f>
        <v>0</v>
      </c>
      <c r="BV94" s="123">
        <f>IF(BZ93&lt;0.01,0,Plus!$BD$2)</f>
        <v>0</v>
      </c>
      <c r="BW94" s="123"/>
      <c r="BX94" s="123">
        <f t="shared" si="175"/>
        <v>0</v>
      </c>
      <c r="BY94" s="123">
        <f>IF(Plus!$F$10=Plus!$AK$3,MIN(BZ93+BQ94+BT94+BU94+BV94-BX94,CJ94),0)</f>
        <v>0</v>
      </c>
      <c r="BZ94" s="297">
        <f t="shared" si="144"/>
        <v>0</v>
      </c>
      <c r="CA94" s="74"/>
      <c r="CB94" s="74"/>
      <c r="CC94" s="413">
        <f t="shared" si="209"/>
        <v>0</v>
      </c>
      <c r="CF94" s="90">
        <f t="shared" si="210"/>
        <v>10</v>
      </c>
      <c r="CG94" s="121">
        <f t="shared" si="263"/>
        <v>0</v>
      </c>
      <c r="CI94" s="70">
        <f t="shared" si="264"/>
        <v>0</v>
      </c>
      <c r="CJ94" s="2178">
        <f t="shared" ca="1" si="211"/>
        <v>0</v>
      </c>
      <c r="CL94" s="161"/>
      <c r="CN94" s="308">
        <f t="shared" ca="1" si="176"/>
        <v>1</v>
      </c>
      <c r="CO94" s="309">
        <f t="shared" si="212"/>
        <v>0</v>
      </c>
      <c r="CP94" s="268">
        <f t="shared" si="177"/>
        <v>0</v>
      </c>
      <c r="CQ94" s="123">
        <f t="shared" si="213"/>
        <v>0</v>
      </c>
      <c r="CR94" s="123">
        <f t="shared" si="137"/>
        <v>0</v>
      </c>
      <c r="CS94" s="123">
        <f t="shared" si="138"/>
        <v>0</v>
      </c>
      <c r="CT94" s="33">
        <f>IF(CZ93&lt;0.01,0,IF(Plus!$F$22=Plus!$AN$4,0,IF(Plus!$F$22=Plus!$AN$3,CZ93*Plus!$F$23/1000,CZ93*VLOOKUP(Plus!$G$21,Plus!$AP$2:'Plus'!$AQ$5,2,0))))</f>
        <v>0</v>
      </c>
      <c r="CU94" s="123">
        <f>IF(CZ93&lt;0.01,0,IF(Plus!$F$24=Plus!$AO$3,0,IF(OR(Plus!$F$10=Plus!$AK$7,Plus!$F$10=Plus!$AK$13),0,Plus!$G$13*Plus!$AR$2)))</f>
        <v>0</v>
      </c>
      <c r="CV94" s="123">
        <f>IF(CZ93&lt;0.01,0,IF(OR(Plus!$F$10=Plus!$AK$7,Plus!$F$10=Plus!$AK$13),0,Plus!$BD$2*1.16))</f>
        <v>0</v>
      </c>
      <c r="CW94" s="123">
        <f>IF(CZ93&lt;0.01,0,IF(Plus!$AS$2&gt;0,CQ94*Plus!$AS$3,0))</f>
        <v>0</v>
      </c>
      <c r="CX94" s="123">
        <f t="shared" si="214"/>
        <v>0</v>
      </c>
      <c r="CY94" s="123">
        <f>IF(Plus!$F$10=Plus!$AK$3,MIN(CZ93+CQ94+CT94+CU94+CV94-CX94,DK94),0)</f>
        <v>0</v>
      </c>
      <c r="CZ94" s="297">
        <f t="shared" si="146"/>
        <v>0</v>
      </c>
      <c r="DA94" s="306">
        <f>Plus!O135</f>
        <v>0</v>
      </c>
      <c r="DB94" s="74"/>
      <c r="DC94" s="74"/>
      <c r="DD94" s="407">
        <f t="shared" si="215"/>
        <v>0</v>
      </c>
      <c r="DG94" s="90">
        <f t="shared" si="216"/>
        <v>10</v>
      </c>
      <c r="DH94" s="121">
        <f t="shared" si="265"/>
        <v>0</v>
      </c>
      <c r="DJ94" s="149">
        <f t="shared" si="266"/>
        <v>0</v>
      </c>
      <c r="DK94" s="2179">
        <f t="shared" ca="1" si="217"/>
        <v>0</v>
      </c>
      <c r="DN94" s="120">
        <f t="shared" si="267"/>
        <v>0</v>
      </c>
      <c r="DO94" s="110">
        <f t="shared" si="218"/>
        <v>0</v>
      </c>
      <c r="DP94" s="110">
        <f t="shared" si="276"/>
        <v>0</v>
      </c>
      <c r="DQ94" s="109">
        <f t="shared" si="219"/>
        <v>0</v>
      </c>
      <c r="DR94" s="109">
        <f t="shared" si="220"/>
        <v>0</v>
      </c>
      <c r="DS94" s="113">
        <f t="shared" si="221"/>
        <v>0</v>
      </c>
      <c r="DU94" s="102">
        <f t="shared" si="222"/>
        <v>0</v>
      </c>
      <c r="DV94" s="211">
        <f t="shared" si="277"/>
        <v>70</v>
      </c>
      <c r="DW94" s="212">
        <f t="shared" si="223"/>
        <v>0</v>
      </c>
      <c r="DX94" s="212">
        <f t="shared" si="178"/>
        <v>0</v>
      </c>
      <c r="DY94" s="212">
        <f t="shared" si="268"/>
        <v>0</v>
      </c>
      <c r="DZ94" s="213">
        <f t="shared" si="179"/>
        <v>1000000</v>
      </c>
      <c r="ED94" s="182"/>
      <c r="EF94" s="308">
        <f t="shared" ca="1" si="180"/>
        <v>1</v>
      </c>
      <c r="EG94" s="309">
        <f t="shared" si="224"/>
        <v>0</v>
      </c>
      <c r="EH94" s="268">
        <f t="shared" si="181"/>
        <v>0</v>
      </c>
      <c r="EI94" s="33">
        <f t="shared" si="225"/>
        <v>0</v>
      </c>
      <c r="EJ94" s="33">
        <f t="shared" si="139"/>
        <v>0</v>
      </c>
      <c r="EK94" s="33">
        <f t="shared" si="151"/>
        <v>0</v>
      </c>
      <c r="EL94" s="33">
        <f>IF(ER93&lt;0.01,0,IF(Plus!$F$22=Plus!$AN$4,0,IF(Plus!$F$22=Plus!$AN$3,ER93*Plus!$F$23/1000,ER93*VLOOKUP(Plus!$G$21,Plus!$AP$2:'Plus'!$AQ$5,2,0))))</f>
        <v>0</v>
      </c>
      <c r="EM94" s="33">
        <f>IF(ER93&lt;0.01,0,IF(Plus!$F$24=Plus!$AO$3,0,IF(OR(Plus!$F$10=Plus!$AK$7,Plus!$F$10=Plus!$AK$13),0,Plus!$G$13*Plus!$AR$2)))</f>
        <v>0</v>
      </c>
      <c r="EN94" s="33">
        <f>IF(ER93&lt;0.01,0,IF(OR(Plus!$F$10=Plus!$AK$7,Plus!$F$10=Plus!$AK$13),0,Plus!$BD$2*1.16))</f>
        <v>0</v>
      </c>
      <c r="EO94" s="33">
        <f>IF(ER93&lt;0.01,0,IF(Plus!$AS$2&gt;0,EI94*Plus!$AS$3,0))</f>
        <v>0</v>
      </c>
      <c r="EP94" s="33">
        <f t="shared" si="226"/>
        <v>0</v>
      </c>
      <c r="EQ94" s="33">
        <f>IF(Plus!$F$10=Plus!$AK$3,MIN(ER93+EI94+EL94+EM94+EN94-EP94,FC94),0)</f>
        <v>0</v>
      </c>
      <c r="ER94" s="311">
        <f t="shared" si="145"/>
        <v>0</v>
      </c>
      <c r="ES94" s="340">
        <f>Plus!O135</f>
        <v>0</v>
      </c>
      <c r="ET94" s="74"/>
      <c r="EU94" s="74"/>
      <c r="EV94" s="416">
        <f t="shared" si="134"/>
        <v>0</v>
      </c>
      <c r="EY94" s="90">
        <f t="shared" si="227"/>
        <v>10</v>
      </c>
      <c r="EZ94" s="121">
        <f t="shared" si="269"/>
        <v>0</v>
      </c>
      <c r="FB94" s="149">
        <f t="shared" si="270"/>
        <v>0</v>
      </c>
      <c r="FC94" s="2179">
        <f t="shared" ca="1" si="228"/>
        <v>0</v>
      </c>
      <c r="FE94" s="120">
        <f t="shared" si="271"/>
        <v>0</v>
      </c>
      <c r="FF94" s="110">
        <f t="shared" si="229"/>
        <v>0</v>
      </c>
      <c r="FG94" s="110">
        <f t="shared" si="230"/>
        <v>0</v>
      </c>
      <c r="FH94" s="109">
        <f t="shared" si="231"/>
        <v>0</v>
      </c>
      <c r="FI94" s="109">
        <f t="shared" si="182"/>
        <v>0</v>
      </c>
      <c r="FJ94" s="113">
        <f t="shared" si="232"/>
        <v>0</v>
      </c>
      <c r="FL94" s="102">
        <f t="shared" si="233"/>
        <v>0</v>
      </c>
      <c r="FM94" s="211">
        <f t="shared" si="278"/>
        <v>70</v>
      </c>
      <c r="FN94" s="212">
        <f t="shared" si="234"/>
        <v>0</v>
      </c>
      <c r="FO94" s="212">
        <f t="shared" si="183"/>
        <v>0</v>
      </c>
      <c r="FP94" s="212">
        <f t="shared" si="160"/>
        <v>0</v>
      </c>
      <c r="FQ94" s="213">
        <f t="shared" si="184"/>
        <v>1000000</v>
      </c>
      <c r="FV94" s="359"/>
      <c r="FX94" s="308">
        <f t="shared" ca="1" si="185"/>
        <v>1</v>
      </c>
      <c r="FY94" s="309">
        <f t="shared" si="235"/>
        <v>0</v>
      </c>
      <c r="FZ94" s="268">
        <f t="shared" si="186"/>
        <v>0</v>
      </c>
      <c r="GA94" s="33">
        <f t="shared" si="236"/>
        <v>0</v>
      </c>
      <c r="GB94" s="33">
        <f t="shared" si="141"/>
        <v>0</v>
      </c>
      <c r="GC94" s="33">
        <f t="shared" si="142"/>
        <v>0</v>
      </c>
      <c r="GD94" s="33">
        <f>IF(GJ93&lt;0.01,0,IF(Plus!$F$22=Plus!$AN$4,0,IF(Plus!$F$22=Plus!$AN$3,GJ93*Plus!$F$23/1000,GJ93*VLOOKUP(Plus!$G$21,Plus!$AP$2:$AQ$5,2,0))))</f>
        <v>0</v>
      </c>
      <c r="GE94" s="33">
        <f>IF(GJ93&lt;0.01,0,IF(Plus!$F$24=Plus!$AO$3,0,IF(OR(Plus!$F$10=Plus!$AK$7,Plus!$F$10=Plus!$AK$13,Plus!$F$10=Plus!$AK$14),0,IF(OR(Plus!$F$10=Plus!$AK$10,Plus!$F$10=Plus!$AK$11),Plus!$G$13*Adm!$W$7,Plus!$G$13*Adm!$X$4))))</f>
        <v>0</v>
      </c>
      <c r="GF94" s="33">
        <f>IF(GJ93&lt;0.01,0,IF(OR(Plus!$F$10=Plus!$AK$7,Plus!$F$10=Plus!$AK$13),0,Plus!$BD$2*1.16))</f>
        <v>0</v>
      </c>
      <c r="GG94" s="33">
        <f>IF(GJ93&lt;0.01,0,IF(Plus!$AS$2&gt;0,GA94*Plus!$AS$3,0))</f>
        <v>0</v>
      </c>
      <c r="GH94" s="33">
        <f t="shared" si="237"/>
        <v>0</v>
      </c>
      <c r="GI94" s="33">
        <f>IF(Plus!$F$10=Plus!$AK$3,MIN(GJ93+GA94+GD94+GE94+GF94-GH94,GU94),0)</f>
        <v>0</v>
      </c>
      <c r="GJ94" s="311">
        <f t="shared" si="136"/>
        <v>0</v>
      </c>
      <c r="GK94" s="340">
        <f>Plus!O135</f>
        <v>0</v>
      </c>
      <c r="GL94" s="74"/>
      <c r="GM94" s="74"/>
      <c r="GN94" s="419">
        <f t="shared" si="135"/>
        <v>0</v>
      </c>
      <c r="GQ94" s="90">
        <f t="shared" si="238"/>
        <v>10</v>
      </c>
      <c r="GR94" s="121">
        <f t="shared" si="272"/>
        <v>0</v>
      </c>
      <c r="GT94" s="149">
        <f t="shared" si="273"/>
        <v>0</v>
      </c>
      <c r="GU94" s="2179">
        <f t="shared" ca="1" si="239"/>
        <v>0</v>
      </c>
      <c r="GW94" s="120">
        <f t="shared" si="274"/>
        <v>0</v>
      </c>
      <c r="GX94" s="110">
        <f t="shared" si="240"/>
        <v>0</v>
      </c>
      <c r="GY94" s="110">
        <f t="shared" si="241"/>
        <v>0</v>
      </c>
      <c r="GZ94" s="109">
        <f t="shared" si="242"/>
        <v>0</v>
      </c>
      <c r="HA94" s="109">
        <f t="shared" si="187"/>
        <v>0</v>
      </c>
      <c r="HB94" s="113">
        <f t="shared" si="243"/>
        <v>0</v>
      </c>
      <c r="HD94" s="102">
        <f t="shared" si="244"/>
        <v>0</v>
      </c>
      <c r="HE94" s="211">
        <f t="shared" si="279"/>
        <v>70</v>
      </c>
      <c r="HF94" s="212">
        <f t="shared" si="245"/>
        <v>0</v>
      </c>
      <c r="HG94" s="212">
        <f t="shared" si="188"/>
        <v>0</v>
      </c>
      <c r="HH94" s="212">
        <f t="shared" si="161"/>
        <v>0</v>
      </c>
      <c r="HI94" s="213">
        <f t="shared" si="189"/>
        <v>1000000</v>
      </c>
      <c r="HL94" s="182"/>
      <c r="HM94" s="26">
        <f t="shared" ca="1" si="190"/>
        <v>1</v>
      </c>
      <c r="HO94" s="268">
        <f t="shared" si="191"/>
        <v>0</v>
      </c>
      <c r="HP94" s="151">
        <f t="shared" si="157"/>
        <v>0</v>
      </c>
      <c r="HQ94" s="123">
        <f t="shared" si="246"/>
        <v>0</v>
      </c>
      <c r="HR94" s="123">
        <f t="shared" si="247"/>
        <v>0</v>
      </c>
      <c r="HS94" s="123">
        <f t="shared" si="248"/>
        <v>0</v>
      </c>
      <c r="HT94" s="123">
        <f>IF(HY93&lt;0.01,0,IF(Adm!$GS$4=Adm!$GS$8,HY93*$HY$15,IF(Adm!$GS$12=Adm!$GS$13,0,HY93*Adm!$GV$4)))</f>
        <v>0</v>
      </c>
      <c r="HU94" s="123">
        <f>IF(HY93&lt;0.01,0,IF(Adm!$GS$5=Adm!$GS$8,Cal!$BO$108*$HY$16/1.16,IF(Adm!$GS$12=Adm!$GS$13,0,Cal!$BO$108*Adm!$GW$4/1.16)))</f>
        <v>0</v>
      </c>
      <c r="HV94" s="123">
        <f t="shared" si="249"/>
        <v>0</v>
      </c>
      <c r="HW94" s="123">
        <f t="shared" si="192"/>
        <v>0</v>
      </c>
      <c r="HX94" s="123">
        <f>IF(Adm!$GH$6="si",MIN(HY93+HQ94+HT94+HU94+HV94-HW94,IH94),0)</f>
        <v>0</v>
      </c>
      <c r="HY94" s="297">
        <f t="shared" si="250"/>
        <v>0</v>
      </c>
      <c r="HZ94" s="74"/>
      <c r="IA94" s="407">
        <f t="shared" si="251"/>
        <v>0</v>
      </c>
      <c r="IC94" s="90">
        <f t="shared" si="252"/>
        <v>10</v>
      </c>
      <c r="ID94" s="124">
        <f>IF(IC94=1,Cal!$BO$127,0)</f>
        <v>0</v>
      </c>
      <c r="IE94" s="178">
        <f>IF(IC94=1,Adm!$HI$4,0)</f>
        <v>0</v>
      </c>
      <c r="IG94" s="70">
        <f t="shared" si="275"/>
        <v>0</v>
      </c>
      <c r="IH94" s="2178">
        <f t="shared" ca="1" si="253"/>
        <v>0</v>
      </c>
      <c r="IK94" s="217"/>
      <c r="IL94" s="26">
        <f t="shared" ca="1" si="193"/>
        <v>1</v>
      </c>
      <c r="IN94" s="268">
        <f t="shared" si="194"/>
        <v>0</v>
      </c>
      <c r="IO94" s="151">
        <f t="shared" si="154"/>
        <v>0</v>
      </c>
      <c r="IP94" s="123">
        <f t="shared" si="254"/>
        <v>0</v>
      </c>
      <c r="IQ94" s="123">
        <f t="shared" si="255"/>
        <v>0</v>
      </c>
      <c r="IR94" s="123">
        <f t="shared" si="256"/>
        <v>0</v>
      </c>
      <c r="IS94" s="123">
        <f>IF(IX93&lt;0.01,0,IF(Adm!$GS$4=Adm!$GS$8,IX93*$IX$15,IF(Adm!$GS$12=Adm!$GS$13,0,IX93*Adm!$GV$4)))</f>
        <v>0</v>
      </c>
      <c r="IT94" s="123"/>
      <c r="IU94" s="123">
        <f t="shared" si="257"/>
        <v>0</v>
      </c>
      <c r="IV94" s="123">
        <f t="shared" si="258"/>
        <v>0</v>
      </c>
      <c r="IW94" s="123"/>
      <c r="IX94" s="297">
        <f t="shared" si="259"/>
        <v>0</v>
      </c>
      <c r="IY94" s="74"/>
      <c r="IZ94" s="416">
        <f t="shared" si="260"/>
        <v>0</v>
      </c>
      <c r="JB94" s="90">
        <f t="shared" si="261"/>
        <v>10</v>
      </c>
      <c r="JC94" s="124">
        <f>IF(JB94=1,Cal!$BP$127,0)</f>
        <v>0</v>
      </c>
      <c r="JD94" s="178">
        <f>IF(JB94=1,Adm!$HI$4,0)</f>
        <v>0</v>
      </c>
    </row>
    <row r="95" spans="1:264">
      <c r="A95" s="26">
        <f t="shared" ca="1" si="162"/>
        <v>2</v>
      </c>
      <c r="C95" s="33">
        <f t="shared" si="163"/>
        <v>0</v>
      </c>
      <c r="D95" s="123">
        <f t="shared" si="195"/>
        <v>0</v>
      </c>
      <c r="E95" s="123">
        <f t="shared" si="147"/>
        <v>0</v>
      </c>
      <c r="F95" s="123">
        <f t="shared" si="149"/>
        <v>0</v>
      </c>
      <c r="G95" s="123">
        <f>IF(L94&lt;0.01,0,IF(Adm!$S$4=Adm!$S$8,L94*$L$15,L94*Adm!$V$4))</f>
        <v>0</v>
      </c>
      <c r="H95" s="123">
        <f>IF(L94&lt;0.01,0,IF(Adm!$S$5=Adm!$S$8,Adm!$AA$11*$L$16/1.16,IF(Adm!$B$4=Adm!$A$119,0,Adm!$AA$11*Adm!$X$4/1.16)))</f>
        <v>0</v>
      </c>
      <c r="I95" s="123">
        <f>IF(L94&lt;0.01,0,Cal!$AB$126/1.16)</f>
        <v>0</v>
      </c>
      <c r="J95" s="123">
        <f t="shared" si="164"/>
        <v>0</v>
      </c>
      <c r="K95" s="123">
        <f>IF(Adm!$G$4="si",MIN(L94+D95+G95+H95+I95-J95,V95),0)</f>
        <v>0</v>
      </c>
      <c r="L95" s="123">
        <f t="shared" si="196"/>
        <v>0</v>
      </c>
      <c r="M95" s="74"/>
      <c r="N95" s="74"/>
      <c r="O95" s="407">
        <f t="shared" si="197"/>
        <v>0</v>
      </c>
      <c r="R95" s="90">
        <f t="shared" si="198"/>
        <v>11</v>
      </c>
      <c r="S95" s="121">
        <f>IF(R95=1,Cal!$AB$127,0)</f>
        <v>0</v>
      </c>
      <c r="U95" s="70">
        <f t="shared" si="262"/>
        <v>0</v>
      </c>
      <c r="V95" s="2178">
        <f t="shared" ca="1" si="199"/>
        <v>0</v>
      </c>
      <c r="X95" s="398"/>
      <c r="Z95" s="268">
        <f t="shared" si="165"/>
        <v>0</v>
      </c>
      <c r="AA95" s="2176">
        <f t="shared" si="200"/>
        <v>0</v>
      </c>
      <c r="AB95" s="33">
        <f t="shared" si="201"/>
        <v>0</v>
      </c>
      <c r="AC95" s="33">
        <f t="shared" si="202"/>
        <v>0</v>
      </c>
      <c r="AD95" s="33">
        <f>IF(AI94&lt;0.01,0,IF(Adm!$S$4=Adm!$S$8,AI94*$AI$15,AI94*Adm!$V$4))</f>
        <v>0</v>
      </c>
      <c r="AE95" s="33"/>
      <c r="AF95" s="33"/>
      <c r="AG95" s="33">
        <f t="shared" si="166"/>
        <v>0</v>
      </c>
      <c r="AH95" s="33"/>
      <c r="AI95" s="401">
        <f t="shared" si="167"/>
        <v>0</v>
      </c>
      <c r="AK95" s="410">
        <f t="shared" si="168"/>
        <v>0</v>
      </c>
      <c r="AN95" s="90">
        <f t="shared" si="203"/>
        <v>11</v>
      </c>
      <c r="AO95" s="121">
        <f>IF(AN95=1,Cal!$AC$127,0)</f>
        <v>0</v>
      </c>
      <c r="AS95" s="200"/>
      <c r="AU95" s="268">
        <f t="shared" si="169"/>
        <v>0</v>
      </c>
      <c r="AV95" s="2177">
        <f t="shared" si="204"/>
        <v>0</v>
      </c>
      <c r="AW95" s="123">
        <f t="shared" si="170"/>
        <v>0</v>
      </c>
      <c r="AX95" s="123">
        <f t="shared" si="205"/>
        <v>0</v>
      </c>
      <c r="AY95" s="123">
        <f>IF(BC94&lt;0.01,0,IF(Adm!$S$4=Adm!$S$8,BC94*$BC$16,BC94*Adm!$V$4))</f>
        <v>0</v>
      </c>
      <c r="AZ95" s="123"/>
      <c r="BA95" s="123">
        <f>IF(BC94&lt;0.01,0,Adm!$Q$6)</f>
        <v>0</v>
      </c>
      <c r="BB95" s="123">
        <f t="shared" si="171"/>
        <v>0</v>
      </c>
      <c r="BC95" s="297">
        <f t="shared" si="206"/>
        <v>0</v>
      </c>
      <c r="BE95" s="425">
        <f t="shared" si="172"/>
        <v>0</v>
      </c>
      <c r="BH95" s="90">
        <f t="shared" si="207"/>
        <v>11</v>
      </c>
      <c r="BI95" s="121">
        <f>IF(BH95=1,Cal!$AD$127,0)</f>
        <v>0</v>
      </c>
      <c r="BM95" s="221"/>
      <c r="BO95" s="295">
        <f t="shared" ca="1" si="173"/>
        <v>2</v>
      </c>
      <c r="BP95" s="268">
        <f t="shared" si="174"/>
        <v>0</v>
      </c>
      <c r="BQ95" s="123">
        <f t="shared" si="208"/>
        <v>0</v>
      </c>
      <c r="BR95" s="123">
        <f t="shared" si="148"/>
        <v>0</v>
      </c>
      <c r="BS95" s="123">
        <f t="shared" si="150"/>
        <v>0</v>
      </c>
      <c r="BT95" s="123">
        <f>IF(BZ94&lt;0.01,0,IF(Plus!$F$22=Plus!$AN$4,BZ94*$BZ$15,IF(Plus!$F$22=Plus!$AN$3,BZ94*Plus!$F$23/1000,BZ94*VLOOKUP(Plus!$G$21,Plus!$AP$2:'Plus'!$AQ$5,2,0))))</f>
        <v>0</v>
      </c>
      <c r="BU95" s="123">
        <f>IF(BZ94&lt;0.01,0,IF(Plus!$F$24=Plus!$AO$3,Plus!$G$13*Plus!$AR$2/1.16,IF(Plus!$F$10=Plus!$AK$7,0,Plus!$G$13*Plus!$AR$2/1.16)))</f>
        <v>0</v>
      </c>
      <c r="BV95" s="123">
        <f>IF(BZ94&lt;0.01,0,Plus!$BD$2)</f>
        <v>0</v>
      </c>
      <c r="BW95" s="123"/>
      <c r="BX95" s="123">
        <f t="shared" si="175"/>
        <v>0</v>
      </c>
      <c r="BY95" s="123">
        <f>IF(Plus!$F$10=Plus!$AK$3,MIN(BZ94+BQ95+BT95+BU95+BV95-BX95,CJ95),0)</f>
        <v>0</v>
      </c>
      <c r="BZ95" s="297">
        <f t="shared" si="144"/>
        <v>0</v>
      </c>
      <c r="CA95" s="74"/>
      <c r="CB95" s="74"/>
      <c r="CC95" s="413">
        <f t="shared" si="209"/>
        <v>0</v>
      </c>
      <c r="CF95" s="90">
        <f t="shared" si="210"/>
        <v>11</v>
      </c>
      <c r="CG95" s="121">
        <f t="shared" si="263"/>
        <v>0</v>
      </c>
      <c r="CI95" s="70">
        <f t="shared" si="264"/>
        <v>0</v>
      </c>
      <c r="CJ95" s="2178">
        <f t="shared" ca="1" si="211"/>
        <v>0</v>
      </c>
      <c r="CL95" s="161"/>
      <c r="CN95" s="308">
        <f t="shared" ca="1" si="176"/>
        <v>2</v>
      </c>
      <c r="CO95" s="309">
        <f t="shared" si="212"/>
        <v>0</v>
      </c>
      <c r="CP95" s="268">
        <f t="shared" si="177"/>
        <v>0</v>
      </c>
      <c r="CQ95" s="123">
        <f t="shared" si="213"/>
        <v>0</v>
      </c>
      <c r="CR95" s="123">
        <f t="shared" si="137"/>
        <v>0</v>
      </c>
      <c r="CS95" s="123">
        <f t="shared" si="138"/>
        <v>0</v>
      </c>
      <c r="CT95" s="33">
        <f>IF(CZ94&lt;0.01,0,IF(Plus!$F$22=Plus!$AN$4,0,IF(Plus!$F$22=Plus!$AN$3,CZ94*Plus!$F$23/1000,CZ94*VLOOKUP(Plus!$G$21,Plus!$AP$2:'Plus'!$AQ$5,2,0))))</f>
        <v>0</v>
      </c>
      <c r="CU95" s="123">
        <f>IF(CZ94&lt;0.01,0,IF(Plus!$F$24=Plus!$AO$3,0,IF(OR(Plus!$F$10=Plus!$AK$7,Plus!$F$10=Plus!$AK$13),0,Plus!$G$13*Plus!$AR$2)))</f>
        <v>0</v>
      </c>
      <c r="CV95" s="123">
        <f>IF(CZ94&lt;0.01,0,IF(OR(Plus!$F$10=Plus!$AK$7,Plus!$F$10=Plus!$AK$13),0,Plus!$BD$2*1.16))</f>
        <v>0</v>
      </c>
      <c r="CW95" s="123">
        <f>IF(CZ94&lt;0.01,0,IF(Plus!$AS$2&gt;0,CQ95*Plus!$AS$3,0))</f>
        <v>0</v>
      </c>
      <c r="CX95" s="123">
        <f t="shared" si="214"/>
        <v>0</v>
      </c>
      <c r="CY95" s="123">
        <f>IF(Plus!$F$10=Plus!$AK$3,MIN(CZ94+CQ95+CT95+CU95+CV95-CX95,DK95),0)</f>
        <v>0</v>
      </c>
      <c r="CZ95" s="297">
        <f t="shared" si="146"/>
        <v>0</v>
      </c>
      <c r="DA95" s="306">
        <f>Plus!O136</f>
        <v>0</v>
      </c>
      <c r="DB95" s="74"/>
      <c r="DC95" s="74"/>
      <c r="DD95" s="407">
        <f t="shared" si="215"/>
        <v>0</v>
      </c>
      <c r="DG95" s="90">
        <f t="shared" si="216"/>
        <v>11</v>
      </c>
      <c r="DH95" s="121">
        <f t="shared" si="265"/>
        <v>0</v>
      </c>
      <c r="DJ95" s="149">
        <f t="shared" si="266"/>
        <v>0</v>
      </c>
      <c r="DK95" s="2179">
        <f t="shared" ca="1" si="217"/>
        <v>0</v>
      </c>
      <c r="DN95" s="120">
        <f t="shared" si="267"/>
        <v>0</v>
      </c>
      <c r="DO95" s="110">
        <f t="shared" si="218"/>
        <v>0</v>
      </c>
      <c r="DP95" s="110">
        <f t="shared" si="276"/>
        <v>0</v>
      </c>
      <c r="DQ95" s="109">
        <f t="shared" si="219"/>
        <v>0</v>
      </c>
      <c r="DR95" s="109">
        <f t="shared" si="220"/>
        <v>0</v>
      </c>
      <c r="DS95" s="113">
        <f t="shared" si="221"/>
        <v>0</v>
      </c>
      <c r="DU95" s="102">
        <f t="shared" si="222"/>
        <v>0</v>
      </c>
      <c r="DV95" s="211">
        <f t="shared" si="277"/>
        <v>71</v>
      </c>
      <c r="DW95" s="212">
        <f t="shared" si="223"/>
        <v>0</v>
      </c>
      <c r="DX95" s="212">
        <f t="shared" si="178"/>
        <v>0</v>
      </c>
      <c r="DY95" s="212">
        <f t="shared" si="268"/>
        <v>0</v>
      </c>
      <c r="DZ95" s="213">
        <f t="shared" si="179"/>
        <v>1000000</v>
      </c>
      <c r="ED95" s="182"/>
      <c r="EF95" s="308">
        <f t="shared" ca="1" si="180"/>
        <v>2</v>
      </c>
      <c r="EG95" s="309">
        <f t="shared" si="224"/>
        <v>0</v>
      </c>
      <c r="EH95" s="268">
        <f t="shared" si="181"/>
        <v>0</v>
      </c>
      <c r="EI95" s="33">
        <f t="shared" si="225"/>
        <v>0</v>
      </c>
      <c r="EJ95" s="33">
        <f t="shared" si="139"/>
        <v>0</v>
      </c>
      <c r="EK95" s="33">
        <f t="shared" si="151"/>
        <v>0</v>
      </c>
      <c r="EL95" s="33">
        <f>IF(ER94&lt;0.01,0,IF(Plus!$F$22=Plus!$AN$4,0,IF(Plus!$F$22=Plus!$AN$3,ER94*Plus!$F$23/1000,ER94*VLOOKUP(Plus!$G$21,Plus!$AP$2:'Plus'!$AQ$5,2,0))))</f>
        <v>0</v>
      </c>
      <c r="EM95" s="33">
        <f>IF(ER94&lt;0.01,0,IF(Plus!$F$24=Plus!$AO$3,0,IF(OR(Plus!$F$10=Plus!$AK$7,Plus!$F$10=Plus!$AK$13),0,Plus!$G$13*Plus!$AR$2)))</f>
        <v>0</v>
      </c>
      <c r="EN95" s="33">
        <f>IF(ER94&lt;0.01,0,IF(OR(Plus!$F$10=Plus!$AK$7,Plus!$F$10=Plus!$AK$13),0,Plus!$BD$2*1.16))</f>
        <v>0</v>
      </c>
      <c r="EO95" s="33">
        <f>IF(ER94&lt;0.01,0,IF(Plus!$AS$2&gt;0,EI95*Plus!$AS$3,0))</f>
        <v>0</v>
      </c>
      <c r="EP95" s="33">
        <f t="shared" si="226"/>
        <v>0</v>
      </c>
      <c r="EQ95" s="33">
        <f>IF(Plus!$F$10=Plus!$AK$3,MIN(ER94+EI95+EL95+EM95+EN95-EP95,FC95),0)</f>
        <v>0</v>
      </c>
      <c r="ER95" s="311">
        <f t="shared" si="145"/>
        <v>0</v>
      </c>
      <c r="ES95" s="340">
        <f>Plus!O136</f>
        <v>0</v>
      </c>
      <c r="ET95" s="74"/>
      <c r="EU95" s="74"/>
      <c r="EV95" s="416">
        <f t="shared" si="134"/>
        <v>0</v>
      </c>
      <c r="EY95" s="90">
        <f t="shared" si="227"/>
        <v>11</v>
      </c>
      <c r="EZ95" s="121">
        <f t="shared" si="269"/>
        <v>0</v>
      </c>
      <c r="FB95" s="149">
        <f t="shared" si="270"/>
        <v>0</v>
      </c>
      <c r="FC95" s="2179">
        <f t="shared" ca="1" si="228"/>
        <v>0</v>
      </c>
      <c r="FE95" s="120">
        <f t="shared" si="271"/>
        <v>0</v>
      </c>
      <c r="FF95" s="110">
        <f t="shared" si="229"/>
        <v>0</v>
      </c>
      <c r="FG95" s="110">
        <f t="shared" si="230"/>
        <v>0</v>
      </c>
      <c r="FH95" s="109">
        <f t="shared" si="231"/>
        <v>0</v>
      </c>
      <c r="FI95" s="109">
        <f t="shared" si="182"/>
        <v>0</v>
      </c>
      <c r="FJ95" s="113">
        <f t="shared" si="232"/>
        <v>0</v>
      </c>
      <c r="FL95" s="102">
        <f t="shared" si="233"/>
        <v>0</v>
      </c>
      <c r="FM95" s="211">
        <f t="shared" si="278"/>
        <v>71</v>
      </c>
      <c r="FN95" s="212">
        <f t="shared" si="234"/>
        <v>0</v>
      </c>
      <c r="FO95" s="212">
        <f t="shared" si="183"/>
        <v>0</v>
      </c>
      <c r="FP95" s="212">
        <f t="shared" si="160"/>
        <v>0</v>
      </c>
      <c r="FQ95" s="213">
        <f t="shared" si="184"/>
        <v>1000000</v>
      </c>
      <c r="FV95" s="359"/>
      <c r="FX95" s="308">
        <f t="shared" ca="1" si="185"/>
        <v>2</v>
      </c>
      <c r="FY95" s="309">
        <f t="shared" si="235"/>
        <v>0</v>
      </c>
      <c r="FZ95" s="268">
        <f t="shared" si="186"/>
        <v>0</v>
      </c>
      <c r="GA95" s="33">
        <f t="shared" si="236"/>
        <v>0</v>
      </c>
      <c r="GB95" s="33">
        <f t="shared" si="141"/>
        <v>0</v>
      </c>
      <c r="GC95" s="33">
        <f t="shared" si="142"/>
        <v>0</v>
      </c>
      <c r="GD95" s="33">
        <f>IF(GJ94&lt;0.01,0,IF(Plus!$F$22=Plus!$AN$4,0,IF(Plus!$F$22=Plus!$AN$3,GJ94*Plus!$F$23/1000,GJ94*VLOOKUP(Plus!$G$21,Plus!$AP$2:$AQ$5,2,0))))</f>
        <v>0</v>
      </c>
      <c r="GE95" s="33">
        <f>IF(GJ94&lt;0.01,0,IF(Plus!$F$24=Plus!$AO$3,0,IF(OR(Plus!$F$10=Plus!$AK$7,Plus!$F$10=Plus!$AK$13,Plus!$F$10=Plus!$AK$14),0,IF(OR(Plus!$F$10=Plus!$AK$10,Plus!$F$10=Plus!$AK$11),Plus!$G$13*Adm!$W$7,Plus!$G$13*Adm!$X$4))))</f>
        <v>0</v>
      </c>
      <c r="GF95" s="33">
        <f>IF(GJ94&lt;0.01,0,IF(OR(Plus!$F$10=Plus!$AK$7,Plus!$F$10=Plus!$AK$13),0,Plus!$BD$2*1.16))</f>
        <v>0</v>
      </c>
      <c r="GG95" s="33">
        <f>IF(GJ94&lt;0.01,0,IF(Plus!$AS$2&gt;0,GA95*Plus!$AS$3,0))</f>
        <v>0</v>
      </c>
      <c r="GH95" s="33">
        <f t="shared" si="237"/>
        <v>0</v>
      </c>
      <c r="GI95" s="33">
        <f>IF(Plus!$F$10=Plus!$AK$3,MIN(GJ94+GA95+GD95+GE95+GF95-GH95,GU95),0)</f>
        <v>0</v>
      </c>
      <c r="GJ95" s="311">
        <f t="shared" si="136"/>
        <v>0</v>
      </c>
      <c r="GK95" s="340">
        <f>Plus!O136</f>
        <v>0</v>
      </c>
      <c r="GL95" s="74"/>
      <c r="GM95" s="74"/>
      <c r="GN95" s="419">
        <f t="shared" si="135"/>
        <v>0</v>
      </c>
      <c r="GQ95" s="90">
        <f t="shared" si="238"/>
        <v>11</v>
      </c>
      <c r="GR95" s="121">
        <f t="shared" si="272"/>
        <v>0</v>
      </c>
      <c r="GT95" s="149">
        <f t="shared" si="273"/>
        <v>0</v>
      </c>
      <c r="GU95" s="2179">
        <f t="shared" ca="1" si="239"/>
        <v>0</v>
      </c>
      <c r="GW95" s="120">
        <f t="shared" si="274"/>
        <v>0</v>
      </c>
      <c r="GX95" s="110">
        <f t="shared" si="240"/>
        <v>0</v>
      </c>
      <c r="GY95" s="110">
        <f t="shared" si="241"/>
        <v>0</v>
      </c>
      <c r="GZ95" s="109">
        <f t="shared" si="242"/>
        <v>0</v>
      </c>
      <c r="HA95" s="109">
        <f t="shared" si="187"/>
        <v>0</v>
      </c>
      <c r="HB95" s="113">
        <f t="shared" si="243"/>
        <v>0</v>
      </c>
      <c r="HD95" s="102">
        <f t="shared" si="244"/>
        <v>0</v>
      </c>
      <c r="HE95" s="211">
        <f t="shared" si="279"/>
        <v>71</v>
      </c>
      <c r="HF95" s="212">
        <f t="shared" si="245"/>
        <v>0</v>
      </c>
      <c r="HG95" s="212">
        <f t="shared" si="188"/>
        <v>0</v>
      </c>
      <c r="HH95" s="212">
        <f t="shared" si="161"/>
        <v>0</v>
      </c>
      <c r="HI95" s="213">
        <f t="shared" si="189"/>
        <v>1000000</v>
      </c>
      <c r="HL95" s="182"/>
      <c r="HM95" s="26">
        <f t="shared" ca="1" si="190"/>
        <v>2</v>
      </c>
      <c r="HO95" s="268">
        <f t="shared" si="191"/>
        <v>0</v>
      </c>
      <c r="HP95" s="151">
        <f t="shared" si="157"/>
        <v>0</v>
      </c>
      <c r="HQ95" s="123">
        <f t="shared" si="246"/>
        <v>0</v>
      </c>
      <c r="HR95" s="123">
        <f t="shared" si="247"/>
        <v>0</v>
      </c>
      <c r="HS95" s="123">
        <f t="shared" si="248"/>
        <v>0</v>
      </c>
      <c r="HT95" s="123">
        <f>IF(HY94&lt;0.01,0,IF(Adm!$GS$4=Adm!$GS$8,HY94*$HY$15,IF(Adm!$GS$12=Adm!$GS$13,0,HY94*Adm!$GV$4)))</f>
        <v>0</v>
      </c>
      <c r="HU95" s="123">
        <f>IF(HY94&lt;0.01,0,IF(Adm!$GS$5=Adm!$GS$8,Cal!$BO$108*$HY$16/1.16,IF(Adm!$GS$12=Adm!$GS$13,0,Cal!$BO$108*Adm!$GW$4/1.16)))</f>
        <v>0</v>
      </c>
      <c r="HV95" s="123">
        <f t="shared" si="249"/>
        <v>0</v>
      </c>
      <c r="HW95" s="123">
        <f t="shared" si="192"/>
        <v>0</v>
      </c>
      <c r="HX95" s="123">
        <f>IF(Adm!$GH$6="si",MIN(HY94+HQ95+HT95+HU95+HV95-HW95,IH95),0)</f>
        <v>0</v>
      </c>
      <c r="HY95" s="297">
        <f t="shared" si="250"/>
        <v>0</v>
      </c>
      <c r="HZ95" s="74"/>
      <c r="IA95" s="407">
        <f t="shared" si="251"/>
        <v>0</v>
      </c>
      <c r="IC95" s="90">
        <f t="shared" si="252"/>
        <v>11</v>
      </c>
      <c r="ID95" s="124">
        <f>IF(IC95=1,Cal!$BO$127,0)</f>
        <v>0</v>
      </c>
      <c r="IE95" s="178">
        <f>IF(IC95=1,Adm!$HI$4,0)</f>
        <v>0</v>
      </c>
      <c r="IG95" s="70">
        <f t="shared" si="275"/>
        <v>0</v>
      </c>
      <c r="IH95" s="2178">
        <f t="shared" ca="1" si="253"/>
        <v>0</v>
      </c>
      <c r="IK95" s="217"/>
      <c r="IL95" s="26">
        <f t="shared" ca="1" si="193"/>
        <v>2</v>
      </c>
      <c r="IN95" s="268">
        <f t="shared" si="194"/>
        <v>0</v>
      </c>
      <c r="IO95" s="151">
        <f t="shared" si="154"/>
        <v>0</v>
      </c>
      <c r="IP95" s="123">
        <f t="shared" si="254"/>
        <v>0</v>
      </c>
      <c r="IQ95" s="123">
        <f t="shared" si="255"/>
        <v>0</v>
      </c>
      <c r="IR95" s="123">
        <f t="shared" si="256"/>
        <v>0</v>
      </c>
      <c r="IS95" s="123">
        <f>IF(IX94&lt;0.01,0,IF(Adm!$GS$4=Adm!$GS$8,IX94*$IX$15,IF(Adm!$GS$12=Adm!$GS$13,0,IX94*Adm!$GV$4)))</f>
        <v>0</v>
      </c>
      <c r="IT95" s="123"/>
      <c r="IU95" s="123">
        <f t="shared" si="257"/>
        <v>0</v>
      </c>
      <c r="IV95" s="123">
        <f t="shared" si="258"/>
        <v>0</v>
      </c>
      <c r="IW95" s="123"/>
      <c r="IX95" s="297">
        <f t="shared" si="259"/>
        <v>0</v>
      </c>
      <c r="IY95" s="74"/>
      <c r="IZ95" s="416">
        <f t="shared" si="260"/>
        <v>0</v>
      </c>
      <c r="JB95" s="90">
        <f t="shared" si="261"/>
        <v>11</v>
      </c>
      <c r="JC95" s="124">
        <f>IF(JB95=1,Cal!$BP$127,0)</f>
        <v>0</v>
      </c>
      <c r="JD95" s="178">
        <f>IF(JB95=1,Adm!$HI$4,0)</f>
        <v>0</v>
      </c>
    </row>
    <row r="96" spans="1:264">
      <c r="A96" s="26">
        <f t="shared" ca="1" si="162"/>
        <v>3</v>
      </c>
      <c r="C96" s="33">
        <f t="shared" si="163"/>
        <v>0</v>
      </c>
      <c r="D96" s="123">
        <f t="shared" si="195"/>
        <v>0</v>
      </c>
      <c r="E96" s="123">
        <f t="shared" si="147"/>
        <v>0</v>
      </c>
      <c r="F96" s="123">
        <f t="shared" si="149"/>
        <v>0</v>
      </c>
      <c r="G96" s="123">
        <f>IF(L95&lt;0.01,0,IF(Adm!$S$4=Adm!$S$8,L95*$L$15,L95*Adm!$V$4))</f>
        <v>0</v>
      </c>
      <c r="H96" s="123">
        <f>IF(L95&lt;0.01,0,IF(Adm!$S$5=Adm!$S$8,Adm!$AA$11*$L$16/1.16,IF(Adm!$B$4=Adm!$A$119,0,Adm!$AA$11*Adm!$X$4/1.16)))</f>
        <v>0</v>
      </c>
      <c r="I96" s="123">
        <f>IF(L95&lt;0.01,0,Cal!$AB$126/1.16)</f>
        <v>0</v>
      </c>
      <c r="J96" s="123">
        <f t="shared" si="164"/>
        <v>0</v>
      </c>
      <c r="K96" s="123">
        <f>IF(Adm!$G$4="si",MIN(L95+D96+G96+H96+I96-J96,V96),0)</f>
        <v>0</v>
      </c>
      <c r="L96" s="123">
        <f t="shared" si="196"/>
        <v>0</v>
      </c>
      <c r="M96" s="74"/>
      <c r="N96" s="74"/>
      <c r="O96" s="407">
        <f t="shared" si="197"/>
        <v>0</v>
      </c>
      <c r="R96" s="90">
        <f t="shared" si="198"/>
        <v>12</v>
      </c>
      <c r="S96" s="121">
        <f>IF(R96=1,Cal!$AB$127,0)</f>
        <v>0</v>
      </c>
      <c r="U96" s="70">
        <f t="shared" si="262"/>
        <v>0</v>
      </c>
      <c r="V96" s="2178">
        <f t="shared" ca="1" si="199"/>
        <v>0</v>
      </c>
      <c r="X96" s="398"/>
      <c r="Z96" s="268">
        <f t="shared" si="165"/>
        <v>0</v>
      </c>
      <c r="AA96" s="2176">
        <f t="shared" si="200"/>
        <v>0</v>
      </c>
      <c r="AB96" s="33">
        <f t="shared" si="201"/>
        <v>0</v>
      </c>
      <c r="AC96" s="33">
        <f t="shared" si="202"/>
        <v>0</v>
      </c>
      <c r="AD96" s="33">
        <f>IF(AI95&lt;0.01,0,IF(Adm!$S$4=Adm!$S$8,AI95*$AI$15,AI95*Adm!$V$4))</f>
        <v>0</v>
      </c>
      <c r="AE96" s="33"/>
      <c r="AF96" s="33"/>
      <c r="AG96" s="33">
        <f t="shared" si="166"/>
        <v>0</v>
      </c>
      <c r="AH96" s="33"/>
      <c r="AI96" s="401">
        <f t="shared" si="167"/>
        <v>0</v>
      </c>
      <c r="AK96" s="410">
        <f t="shared" si="168"/>
        <v>0</v>
      </c>
      <c r="AN96" s="90">
        <f t="shared" si="203"/>
        <v>12</v>
      </c>
      <c r="AO96" s="121">
        <f>IF(AN96=1,Cal!$AC$127,0)</f>
        <v>0</v>
      </c>
      <c r="AS96" s="200"/>
      <c r="AU96" s="268">
        <f t="shared" si="169"/>
        <v>0</v>
      </c>
      <c r="AV96" s="2177">
        <f t="shared" si="204"/>
        <v>0</v>
      </c>
      <c r="AW96" s="123">
        <f t="shared" si="170"/>
        <v>0</v>
      </c>
      <c r="AX96" s="123">
        <f t="shared" si="205"/>
        <v>0</v>
      </c>
      <c r="AY96" s="123">
        <f>IF(BC95&lt;0.01,0,IF(Adm!$S$4=Adm!$S$8,BC95*$BC$16,BC95*Adm!$V$4))</f>
        <v>0</v>
      </c>
      <c r="AZ96" s="123"/>
      <c r="BA96" s="123">
        <f>IF(BC95&lt;0.01,0,Adm!$Q$6)</f>
        <v>0</v>
      </c>
      <c r="BB96" s="123">
        <f t="shared" si="171"/>
        <v>0</v>
      </c>
      <c r="BC96" s="297">
        <f t="shared" si="206"/>
        <v>0</v>
      </c>
      <c r="BE96" s="425">
        <f t="shared" si="172"/>
        <v>0</v>
      </c>
      <c r="BH96" s="90">
        <f t="shared" si="207"/>
        <v>12</v>
      </c>
      <c r="BI96" s="121">
        <f>IF(BH96=1,Cal!$AD$127,0)</f>
        <v>0</v>
      </c>
      <c r="BM96" s="221"/>
      <c r="BO96" s="295">
        <f t="shared" ca="1" si="173"/>
        <v>3</v>
      </c>
      <c r="BP96" s="268">
        <f t="shared" si="174"/>
        <v>0</v>
      </c>
      <c r="BQ96" s="123">
        <f t="shared" si="208"/>
        <v>0</v>
      </c>
      <c r="BR96" s="123">
        <f t="shared" si="148"/>
        <v>0</v>
      </c>
      <c r="BS96" s="123">
        <f t="shared" si="150"/>
        <v>0</v>
      </c>
      <c r="BT96" s="123">
        <f>IF(BZ95&lt;0.01,0,IF(Plus!$F$22=Plus!$AN$4,BZ95*$BZ$15,IF(Plus!$F$22=Plus!$AN$3,BZ95*Plus!$F$23/1000,BZ95*VLOOKUP(Plus!$G$21,Plus!$AP$2:'Plus'!$AQ$5,2,0))))</f>
        <v>0</v>
      </c>
      <c r="BU96" s="123">
        <f>IF(BZ95&lt;0.01,0,IF(Plus!$F$24=Plus!$AO$3,Plus!$G$13*Plus!$AR$2/1.16,IF(Plus!$F$10=Plus!$AK$7,0,Plus!$G$13*Plus!$AR$2/1.16)))</f>
        <v>0</v>
      </c>
      <c r="BV96" s="123">
        <f>IF(BZ95&lt;0.01,0,Plus!$BD$2)</f>
        <v>0</v>
      </c>
      <c r="BW96" s="123"/>
      <c r="BX96" s="123">
        <f t="shared" si="175"/>
        <v>0</v>
      </c>
      <c r="BY96" s="123">
        <f>IF(Plus!$F$10=Plus!$AK$3,MIN(BZ95+BQ96+BT96+BU96+BV96-BX96,CJ96),0)</f>
        <v>0</v>
      </c>
      <c r="BZ96" s="297">
        <f t="shared" si="144"/>
        <v>0</v>
      </c>
      <c r="CA96" s="74"/>
      <c r="CB96" s="74"/>
      <c r="CC96" s="413">
        <f t="shared" si="209"/>
        <v>0</v>
      </c>
      <c r="CF96" s="90">
        <f t="shared" si="210"/>
        <v>12</v>
      </c>
      <c r="CG96" s="121">
        <f t="shared" si="263"/>
        <v>0</v>
      </c>
      <c r="CI96" s="70">
        <f t="shared" si="264"/>
        <v>0</v>
      </c>
      <c r="CJ96" s="2178">
        <f t="shared" ca="1" si="211"/>
        <v>0</v>
      </c>
      <c r="CL96" s="161"/>
      <c r="CN96" s="308">
        <f t="shared" ca="1" si="176"/>
        <v>3</v>
      </c>
      <c r="CO96" s="309">
        <f t="shared" si="212"/>
        <v>0</v>
      </c>
      <c r="CP96" s="268">
        <f t="shared" si="177"/>
        <v>0</v>
      </c>
      <c r="CQ96" s="123">
        <f t="shared" si="213"/>
        <v>0</v>
      </c>
      <c r="CR96" s="123">
        <f t="shared" si="137"/>
        <v>0</v>
      </c>
      <c r="CS96" s="123">
        <f t="shared" si="138"/>
        <v>0</v>
      </c>
      <c r="CT96" s="33">
        <f>IF(CZ95&lt;0.01,0,IF(Plus!$F$22=Plus!$AN$4,0,IF(Plus!$F$22=Plus!$AN$3,CZ95*Plus!$F$23/1000,CZ95*VLOOKUP(Plus!$G$21,Plus!$AP$2:'Plus'!$AQ$5,2,0))))</f>
        <v>0</v>
      </c>
      <c r="CU96" s="123">
        <f>IF(CZ95&lt;0.01,0,IF(Plus!$F$24=Plus!$AO$3,0,IF(OR(Plus!$F$10=Plus!$AK$7,Plus!$F$10=Plus!$AK$13),0,Plus!$G$13*Plus!$AR$2)))</f>
        <v>0</v>
      </c>
      <c r="CV96" s="123">
        <f>IF(CZ95&lt;0.01,0,IF(OR(Plus!$F$10=Plus!$AK$7,Plus!$F$10=Plus!$AK$13),0,Plus!$BD$2*1.16))</f>
        <v>0</v>
      </c>
      <c r="CW96" s="123">
        <f>IF(CZ95&lt;0.01,0,IF(Plus!$AS$2&gt;0,CQ96*Plus!$AS$3,0))</f>
        <v>0</v>
      </c>
      <c r="CX96" s="123">
        <f t="shared" si="214"/>
        <v>0</v>
      </c>
      <c r="CY96" s="123">
        <f>IF(Plus!$F$10=Plus!$AK$3,MIN(CZ95+CQ96+CT96+CU96+CV96-CX96,DK96),0)</f>
        <v>0</v>
      </c>
      <c r="CZ96" s="297">
        <f t="shared" si="146"/>
        <v>0</v>
      </c>
      <c r="DA96" s="306">
        <f>Plus!O137</f>
        <v>0</v>
      </c>
      <c r="DB96" s="74"/>
      <c r="DC96" s="74"/>
      <c r="DD96" s="407">
        <f t="shared" si="215"/>
        <v>0</v>
      </c>
      <c r="DG96" s="90">
        <f t="shared" si="216"/>
        <v>12</v>
      </c>
      <c r="DH96" s="121">
        <f t="shared" si="265"/>
        <v>0</v>
      </c>
      <c r="DJ96" s="149">
        <f t="shared" si="266"/>
        <v>0</v>
      </c>
      <c r="DK96" s="2179">
        <f t="shared" ca="1" si="217"/>
        <v>0</v>
      </c>
      <c r="DN96" s="120">
        <f t="shared" si="267"/>
        <v>0</v>
      </c>
      <c r="DO96" s="110">
        <f t="shared" si="218"/>
        <v>0</v>
      </c>
      <c r="DP96" s="110">
        <f t="shared" si="276"/>
        <v>0</v>
      </c>
      <c r="DQ96" s="109">
        <f t="shared" si="219"/>
        <v>0</v>
      </c>
      <c r="DR96" s="109">
        <f t="shared" si="220"/>
        <v>0</v>
      </c>
      <c r="DS96" s="113">
        <f t="shared" si="221"/>
        <v>0</v>
      </c>
      <c r="DU96" s="102">
        <f t="shared" si="222"/>
        <v>0</v>
      </c>
      <c r="DV96" s="211">
        <f t="shared" si="277"/>
        <v>72</v>
      </c>
      <c r="DW96" s="212">
        <f t="shared" si="223"/>
        <v>0</v>
      </c>
      <c r="DX96" s="212">
        <f t="shared" si="178"/>
        <v>0</v>
      </c>
      <c r="DY96" s="212">
        <f t="shared" si="268"/>
        <v>0</v>
      </c>
      <c r="DZ96" s="213">
        <f t="shared" si="179"/>
        <v>1000000</v>
      </c>
      <c r="ED96" s="182"/>
      <c r="EF96" s="308">
        <f t="shared" ca="1" si="180"/>
        <v>3</v>
      </c>
      <c r="EG96" s="309">
        <f t="shared" si="224"/>
        <v>0</v>
      </c>
      <c r="EH96" s="268">
        <f t="shared" si="181"/>
        <v>0</v>
      </c>
      <c r="EI96" s="33">
        <f t="shared" si="225"/>
        <v>0</v>
      </c>
      <c r="EJ96" s="33">
        <f t="shared" si="139"/>
        <v>0</v>
      </c>
      <c r="EK96" s="33">
        <f t="shared" si="151"/>
        <v>0</v>
      </c>
      <c r="EL96" s="33">
        <f>IF(ER95&lt;0.01,0,IF(Plus!$F$22=Plus!$AN$4,0,IF(Plus!$F$22=Plus!$AN$3,ER95*Plus!$F$23/1000,ER95*VLOOKUP(Plus!$G$21,Plus!$AP$2:'Plus'!$AQ$5,2,0))))</f>
        <v>0</v>
      </c>
      <c r="EM96" s="33">
        <f>IF(ER95&lt;0.01,0,IF(Plus!$F$24=Plus!$AO$3,0,IF(OR(Plus!$F$10=Plus!$AK$7,Plus!$F$10=Plus!$AK$13),0,Plus!$G$13*Plus!$AR$2)))</f>
        <v>0</v>
      </c>
      <c r="EN96" s="33">
        <f>IF(ER95&lt;0.01,0,IF(OR(Plus!$F$10=Plus!$AK$7,Plus!$F$10=Plus!$AK$13),0,Plus!$BD$2*1.16))</f>
        <v>0</v>
      </c>
      <c r="EO96" s="33">
        <f>IF(ER95&lt;0.01,0,IF(Plus!$AS$2&gt;0,EI96*Plus!$AS$3,0))</f>
        <v>0</v>
      </c>
      <c r="EP96" s="33">
        <f t="shared" si="226"/>
        <v>0</v>
      </c>
      <c r="EQ96" s="33">
        <f>IF(Plus!$F$10=Plus!$AK$3,MIN(ER95+EI96+EL96+EM96+EN96-EP96,FC96),0)</f>
        <v>0</v>
      </c>
      <c r="ER96" s="311">
        <f t="shared" si="145"/>
        <v>0</v>
      </c>
      <c r="ES96" s="340">
        <f>Plus!O137</f>
        <v>0</v>
      </c>
      <c r="ET96" s="74"/>
      <c r="EU96" s="74"/>
      <c r="EV96" s="416">
        <f t="shared" si="134"/>
        <v>0</v>
      </c>
      <c r="EY96" s="90">
        <f t="shared" si="227"/>
        <v>12</v>
      </c>
      <c r="EZ96" s="121">
        <f t="shared" si="269"/>
        <v>0</v>
      </c>
      <c r="FB96" s="149">
        <f t="shared" si="270"/>
        <v>0</v>
      </c>
      <c r="FC96" s="2179">
        <f t="shared" ca="1" si="228"/>
        <v>0</v>
      </c>
      <c r="FE96" s="120">
        <f t="shared" si="271"/>
        <v>0</v>
      </c>
      <c r="FF96" s="110">
        <f t="shared" si="229"/>
        <v>0</v>
      </c>
      <c r="FG96" s="110">
        <f t="shared" si="230"/>
        <v>0</v>
      </c>
      <c r="FH96" s="109">
        <f t="shared" si="231"/>
        <v>0</v>
      </c>
      <c r="FI96" s="109">
        <f t="shared" si="182"/>
        <v>0</v>
      </c>
      <c r="FJ96" s="113">
        <f t="shared" si="232"/>
        <v>0</v>
      </c>
      <c r="FL96" s="102">
        <f t="shared" si="233"/>
        <v>0</v>
      </c>
      <c r="FM96" s="211">
        <f t="shared" si="278"/>
        <v>72</v>
      </c>
      <c r="FN96" s="212">
        <f t="shared" si="234"/>
        <v>0</v>
      </c>
      <c r="FO96" s="212">
        <f t="shared" si="183"/>
        <v>0</v>
      </c>
      <c r="FP96" s="212">
        <f t="shared" si="160"/>
        <v>0</v>
      </c>
      <c r="FQ96" s="213">
        <f t="shared" si="184"/>
        <v>1000000</v>
      </c>
      <c r="FV96" s="359"/>
      <c r="FX96" s="308">
        <f t="shared" ca="1" si="185"/>
        <v>3</v>
      </c>
      <c r="FY96" s="309">
        <f t="shared" si="235"/>
        <v>0</v>
      </c>
      <c r="FZ96" s="268">
        <f t="shared" si="186"/>
        <v>0</v>
      </c>
      <c r="GA96" s="33">
        <f t="shared" si="236"/>
        <v>0</v>
      </c>
      <c r="GB96" s="33">
        <f t="shared" si="141"/>
        <v>0</v>
      </c>
      <c r="GC96" s="33">
        <f t="shared" si="142"/>
        <v>0</v>
      </c>
      <c r="GD96" s="33">
        <f>IF(GJ95&lt;0.01,0,IF(Plus!$F$22=Plus!$AN$4,0,IF(Plus!$F$22=Plus!$AN$3,GJ95*Plus!$F$23/1000,GJ95*VLOOKUP(Plus!$G$21,Plus!$AP$2:$AQ$5,2,0))))</f>
        <v>0</v>
      </c>
      <c r="GE96" s="33">
        <f>IF(GJ95&lt;0.01,0,IF(Plus!$F$24=Plus!$AO$3,0,IF(OR(Plus!$F$10=Plus!$AK$7,Plus!$F$10=Plus!$AK$13,Plus!$F$10=Plus!$AK$14),0,IF(OR(Plus!$F$10=Plus!$AK$10,Plus!$F$10=Plus!$AK$11),Plus!$G$13*Adm!$W$7,Plus!$G$13*Adm!$X$4))))</f>
        <v>0</v>
      </c>
      <c r="GF96" s="33">
        <f>IF(GJ95&lt;0.01,0,IF(OR(Plus!$F$10=Plus!$AK$7,Plus!$F$10=Plus!$AK$13),0,Plus!$BD$2*1.16))</f>
        <v>0</v>
      </c>
      <c r="GG96" s="33">
        <f>IF(GJ95&lt;0.01,0,IF(Plus!$AS$2&gt;0,GA96*Plus!$AS$3,0))</f>
        <v>0</v>
      </c>
      <c r="GH96" s="33">
        <f t="shared" si="237"/>
        <v>0</v>
      </c>
      <c r="GI96" s="33">
        <f>IF(Plus!$F$10=Plus!$AK$3,MIN(GJ95+GA96+GD96+GE96+GF96-GH96,GU96),0)</f>
        <v>0</v>
      </c>
      <c r="GJ96" s="311">
        <f t="shared" si="136"/>
        <v>0</v>
      </c>
      <c r="GK96" s="340">
        <f>Plus!O137</f>
        <v>0</v>
      </c>
      <c r="GL96" s="74"/>
      <c r="GM96" s="74"/>
      <c r="GN96" s="419">
        <f t="shared" si="135"/>
        <v>0</v>
      </c>
      <c r="GQ96" s="90">
        <f t="shared" si="238"/>
        <v>12</v>
      </c>
      <c r="GR96" s="121">
        <f t="shared" si="272"/>
        <v>0</v>
      </c>
      <c r="GT96" s="149">
        <f t="shared" si="273"/>
        <v>0</v>
      </c>
      <c r="GU96" s="2179">
        <f t="shared" ca="1" si="239"/>
        <v>0</v>
      </c>
      <c r="GW96" s="120">
        <f t="shared" si="274"/>
        <v>0</v>
      </c>
      <c r="GX96" s="110">
        <f t="shared" si="240"/>
        <v>0</v>
      </c>
      <c r="GY96" s="110">
        <f t="shared" si="241"/>
        <v>0</v>
      </c>
      <c r="GZ96" s="109">
        <f t="shared" si="242"/>
        <v>0</v>
      </c>
      <c r="HA96" s="109">
        <f t="shared" si="187"/>
        <v>0</v>
      </c>
      <c r="HB96" s="113">
        <f t="shared" si="243"/>
        <v>0</v>
      </c>
      <c r="HD96" s="102">
        <f t="shared" si="244"/>
        <v>0</v>
      </c>
      <c r="HE96" s="211">
        <f t="shared" si="279"/>
        <v>72</v>
      </c>
      <c r="HF96" s="212">
        <f t="shared" si="245"/>
        <v>0</v>
      </c>
      <c r="HG96" s="212">
        <f t="shared" si="188"/>
        <v>0</v>
      </c>
      <c r="HH96" s="212">
        <f t="shared" si="161"/>
        <v>0</v>
      </c>
      <c r="HI96" s="213">
        <f t="shared" si="189"/>
        <v>1000000</v>
      </c>
      <c r="HL96" s="182"/>
      <c r="HM96" s="26">
        <f t="shared" ca="1" si="190"/>
        <v>3</v>
      </c>
      <c r="HO96" s="268">
        <f t="shared" si="191"/>
        <v>0</v>
      </c>
      <c r="HP96" s="151">
        <f t="shared" si="157"/>
        <v>0</v>
      </c>
      <c r="HQ96" s="123">
        <f t="shared" si="246"/>
        <v>0</v>
      </c>
      <c r="HR96" s="123">
        <f t="shared" si="247"/>
        <v>0</v>
      </c>
      <c r="HS96" s="123">
        <f t="shared" si="248"/>
        <v>0</v>
      </c>
      <c r="HT96" s="123">
        <f>IF(HY95&lt;0.01,0,IF(Adm!$GS$4=Adm!$GS$8,HY95*$HY$15,IF(Adm!$GS$12=Adm!$GS$13,0,HY95*Adm!$GV$4)))</f>
        <v>0</v>
      </c>
      <c r="HU96" s="123">
        <f>IF(HY95&lt;0.01,0,IF(Adm!$GS$5=Adm!$GS$8,Cal!$BO$108*$HY$16/1.16,IF(Adm!$GS$12=Adm!$GS$13,0,Cal!$BO$108*Adm!$GW$4/1.16)))</f>
        <v>0</v>
      </c>
      <c r="HV96" s="123">
        <f t="shared" si="249"/>
        <v>0</v>
      </c>
      <c r="HW96" s="123">
        <f t="shared" si="192"/>
        <v>0</v>
      </c>
      <c r="HX96" s="123">
        <f>IF(Adm!$GH$6="si",MIN(HY95+HQ96+HT96+HU96+HV96-HW96,IH96),0)</f>
        <v>0</v>
      </c>
      <c r="HY96" s="297">
        <f t="shared" si="250"/>
        <v>0</v>
      </c>
      <c r="HZ96" s="74"/>
      <c r="IA96" s="407">
        <f t="shared" si="251"/>
        <v>0</v>
      </c>
      <c r="IC96" s="90">
        <f t="shared" si="252"/>
        <v>12</v>
      </c>
      <c r="ID96" s="124">
        <f>IF(IC96=1,Cal!$BO$127,0)</f>
        <v>0</v>
      </c>
      <c r="IE96" s="178">
        <f>IF(IC96=1,Adm!$HI$4,0)</f>
        <v>0</v>
      </c>
      <c r="IG96" s="70">
        <f t="shared" si="275"/>
        <v>0</v>
      </c>
      <c r="IH96" s="2178">
        <f t="shared" ca="1" si="253"/>
        <v>0</v>
      </c>
      <c r="IK96" s="217"/>
      <c r="IL96" s="26">
        <f t="shared" ca="1" si="193"/>
        <v>3</v>
      </c>
      <c r="IN96" s="268">
        <f t="shared" si="194"/>
        <v>0</v>
      </c>
      <c r="IO96" s="151">
        <f t="shared" si="154"/>
        <v>0</v>
      </c>
      <c r="IP96" s="123">
        <f t="shared" si="254"/>
        <v>0</v>
      </c>
      <c r="IQ96" s="123">
        <f t="shared" si="255"/>
        <v>0</v>
      </c>
      <c r="IR96" s="123">
        <f t="shared" si="256"/>
        <v>0</v>
      </c>
      <c r="IS96" s="123">
        <f>IF(IX95&lt;0.01,0,IF(Adm!$GS$4=Adm!$GS$8,IX95*$IX$15,IF(Adm!$GS$12=Adm!$GS$13,0,IX95*Adm!$GV$4)))</f>
        <v>0</v>
      </c>
      <c r="IT96" s="123"/>
      <c r="IU96" s="123">
        <f t="shared" si="257"/>
        <v>0</v>
      </c>
      <c r="IV96" s="123">
        <f t="shared" si="258"/>
        <v>0</v>
      </c>
      <c r="IW96" s="123"/>
      <c r="IX96" s="297">
        <f t="shared" si="259"/>
        <v>0</v>
      </c>
      <c r="IY96" s="74"/>
      <c r="IZ96" s="416">
        <f t="shared" si="260"/>
        <v>0</v>
      </c>
      <c r="JB96" s="90">
        <f t="shared" si="261"/>
        <v>12</v>
      </c>
      <c r="JC96" s="124">
        <f>IF(JB96=1,Cal!$BP$127,0)</f>
        <v>0</v>
      </c>
      <c r="JD96" s="178">
        <f>IF(JB96=1,Adm!$HI$4,0)</f>
        <v>0</v>
      </c>
    </row>
    <row r="97" spans="1:264">
      <c r="A97" s="26">
        <f t="shared" ca="1" si="162"/>
        <v>4</v>
      </c>
      <c r="C97" s="33">
        <f t="shared" si="163"/>
        <v>0</v>
      </c>
      <c r="D97" s="123">
        <f t="shared" si="195"/>
        <v>0</v>
      </c>
      <c r="E97" s="123">
        <f t="shared" si="147"/>
        <v>0</v>
      </c>
      <c r="F97" s="123">
        <f t="shared" si="149"/>
        <v>0</v>
      </c>
      <c r="G97" s="123">
        <f>IF(L96&lt;0.01,0,IF(Adm!$S$4=Adm!$S$8,L96*$L$15,L96*Adm!$V$4))</f>
        <v>0</v>
      </c>
      <c r="H97" s="123">
        <f>IF(L96&lt;0.01,0,IF(Adm!$S$5=Adm!$S$8,Adm!$AA$11*$L$16/1.16,IF(Adm!$B$4=Adm!$A$119,0,Adm!$AA$11*Adm!$X$4/1.16)))</f>
        <v>0</v>
      </c>
      <c r="I97" s="123">
        <f>IF(L96&lt;0.01,0,Cal!$AB$126/1.16)</f>
        <v>0</v>
      </c>
      <c r="J97" s="123">
        <f t="shared" si="164"/>
        <v>0</v>
      </c>
      <c r="K97" s="123">
        <f>IF(Adm!$G$4="si",MIN(L96+D97+G97+H97+I97-J97,V97),0)</f>
        <v>0</v>
      </c>
      <c r="L97" s="123">
        <f t="shared" si="196"/>
        <v>0</v>
      </c>
      <c r="M97" s="74"/>
      <c r="N97" s="74"/>
      <c r="O97" s="407">
        <f t="shared" si="197"/>
        <v>0</v>
      </c>
      <c r="R97" s="90">
        <f t="shared" si="198"/>
        <v>1</v>
      </c>
      <c r="S97" s="121">
        <f>IF(R97=1,Cal!$AB$127,0)</f>
        <v>0</v>
      </c>
      <c r="U97" s="70">
        <f t="shared" si="262"/>
        <v>0</v>
      </c>
      <c r="V97" s="2178">
        <f t="shared" ca="1" si="199"/>
        <v>0</v>
      </c>
      <c r="X97" s="398"/>
      <c r="Z97" s="268">
        <f t="shared" si="165"/>
        <v>0</v>
      </c>
      <c r="AA97" s="2176">
        <f t="shared" si="200"/>
        <v>0</v>
      </c>
      <c r="AB97" s="33">
        <f t="shared" si="201"/>
        <v>0</v>
      </c>
      <c r="AC97" s="33">
        <f t="shared" si="202"/>
        <v>0</v>
      </c>
      <c r="AD97" s="33">
        <f>IF(AI96&lt;0.01,0,IF(Adm!$S$4=Adm!$S$8,AI96*$AI$15,AI96*Adm!$V$4))</f>
        <v>0</v>
      </c>
      <c r="AE97" s="33"/>
      <c r="AF97" s="33"/>
      <c r="AG97" s="33">
        <f t="shared" si="166"/>
        <v>0</v>
      </c>
      <c r="AH97" s="33"/>
      <c r="AI97" s="401">
        <f t="shared" si="167"/>
        <v>0</v>
      </c>
      <c r="AK97" s="410">
        <f t="shared" si="168"/>
        <v>0</v>
      </c>
      <c r="AN97" s="90">
        <f t="shared" si="203"/>
        <v>1</v>
      </c>
      <c r="AO97" s="121">
        <f>IF(AN97=1,Cal!$AC$127,0)</f>
        <v>0</v>
      </c>
      <c r="AS97" s="200"/>
      <c r="AU97" s="268">
        <f t="shared" si="169"/>
        <v>0</v>
      </c>
      <c r="AV97" s="2177">
        <f t="shared" si="204"/>
        <v>0</v>
      </c>
      <c r="AW97" s="123">
        <f t="shared" si="170"/>
        <v>0</v>
      </c>
      <c r="AX97" s="123">
        <f t="shared" si="205"/>
        <v>0</v>
      </c>
      <c r="AY97" s="123">
        <f>IF(BC96&lt;0.01,0,IF(Adm!$S$4=Adm!$S$8,BC96*$BC$16,BC96*Adm!$V$4))</f>
        <v>0</v>
      </c>
      <c r="AZ97" s="123"/>
      <c r="BA97" s="123">
        <f>IF(BC96&lt;0.01,0,Adm!$Q$6)</f>
        <v>0</v>
      </c>
      <c r="BB97" s="123">
        <f t="shared" si="171"/>
        <v>0</v>
      </c>
      <c r="BC97" s="297">
        <f t="shared" si="206"/>
        <v>0</v>
      </c>
      <c r="BE97" s="425">
        <f t="shared" si="172"/>
        <v>0</v>
      </c>
      <c r="BH97" s="90">
        <f t="shared" si="207"/>
        <v>1</v>
      </c>
      <c r="BI97" s="121">
        <f>IF(BH97=1,Cal!$AD$127,0)</f>
        <v>0</v>
      </c>
      <c r="BM97" s="221"/>
      <c r="BO97" s="295">
        <f t="shared" ca="1" si="173"/>
        <v>4</v>
      </c>
      <c r="BP97" s="268">
        <f t="shared" si="174"/>
        <v>0</v>
      </c>
      <c r="BQ97" s="123">
        <f t="shared" si="208"/>
        <v>0</v>
      </c>
      <c r="BR97" s="123">
        <f t="shared" si="148"/>
        <v>0</v>
      </c>
      <c r="BS97" s="123">
        <f t="shared" si="150"/>
        <v>0</v>
      </c>
      <c r="BT97" s="123">
        <f>IF(BZ96&lt;0.01,0,IF(Plus!$F$22=Plus!$AN$4,BZ96*$BZ$15,IF(Plus!$F$22=Plus!$AN$3,BZ96*Plus!$F$23/1000,BZ96*VLOOKUP(Plus!$G$21,Plus!$AP$2:'Plus'!$AQ$5,2,0))))</f>
        <v>0</v>
      </c>
      <c r="BU97" s="123">
        <f>IF(BZ96&lt;0.01,0,IF(Plus!$F$24=Plus!$AO$3,Plus!$G$13*Plus!$AR$2/1.16,IF(Plus!$F$10=Plus!$AK$7,0,Plus!$G$13*Plus!$AR$2/1.16)))</f>
        <v>0</v>
      </c>
      <c r="BV97" s="123">
        <f>IF(BZ96&lt;0.01,0,Plus!$BD$2)</f>
        <v>0</v>
      </c>
      <c r="BW97" s="123"/>
      <c r="BX97" s="123">
        <f t="shared" si="175"/>
        <v>0</v>
      </c>
      <c r="BY97" s="123">
        <f>IF(Plus!$F$10=Plus!$AK$3,MIN(BZ96+BQ97+BT97+BU97+BV97-BX97,CJ97),0)</f>
        <v>0</v>
      </c>
      <c r="BZ97" s="297">
        <f t="shared" si="144"/>
        <v>0</v>
      </c>
      <c r="CA97" s="74"/>
      <c r="CB97" s="74"/>
      <c r="CC97" s="413">
        <f t="shared" si="209"/>
        <v>0</v>
      </c>
      <c r="CF97" s="90">
        <f t="shared" si="210"/>
        <v>1</v>
      </c>
      <c r="CG97" s="121">
        <f t="shared" si="263"/>
        <v>0</v>
      </c>
      <c r="CI97" s="70">
        <f t="shared" si="264"/>
        <v>0</v>
      </c>
      <c r="CJ97" s="2178">
        <f t="shared" ca="1" si="211"/>
        <v>0</v>
      </c>
      <c r="CL97" s="161"/>
      <c r="CN97" s="308">
        <f t="shared" ca="1" si="176"/>
        <v>4</v>
      </c>
      <c r="CO97" s="309">
        <f t="shared" si="212"/>
        <v>0</v>
      </c>
      <c r="CP97" s="268">
        <f t="shared" si="177"/>
        <v>0</v>
      </c>
      <c r="CQ97" s="123">
        <f t="shared" si="213"/>
        <v>0</v>
      </c>
      <c r="CR97" s="123">
        <f t="shared" si="137"/>
        <v>0</v>
      </c>
      <c r="CS97" s="123">
        <f t="shared" si="138"/>
        <v>0</v>
      </c>
      <c r="CT97" s="33">
        <f>IF(CZ96&lt;0.01,0,IF(Plus!$F$22=Plus!$AN$4,0,IF(Plus!$F$22=Plus!$AN$3,CZ96*Plus!$F$23/1000,CZ96*VLOOKUP(Plus!$G$21,Plus!$AP$2:'Plus'!$AQ$5,2,0))))</f>
        <v>0</v>
      </c>
      <c r="CU97" s="123">
        <f>IF(CZ96&lt;0.01,0,IF(Plus!$F$24=Plus!$AO$3,0,IF(OR(Plus!$F$10=Plus!$AK$7,Plus!$F$10=Plus!$AK$13),0,Plus!$G$13*Plus!$AR$2)))</f>
        <v>0</v>
      </c>
      <c r="CV97" s="123">
        <f>IF(CZ96&lt;0.01,0,IF(OR(Plus!$F$10=Plus!$AK$7,Plus!$F$10=Plus!$AK$13),0,Plus!$BD$2*1.16))</f>
        <v>0</v>
      </c>
      <c r="CW97" s="123">
        <f>IF(CZ96&lt;0.01,0,IF(Plus!$AS$2&gt;0,CQ97*Plus!$AS$3,0))</f>
        <v>0</v>
      </c>
      <c r="CX97" s="123">
        <f t="shared" si="214"/>
        <v>0</v>
      </c>
      <c r="CY97" s="123">
        <f>IF(Plus!$F$10=Plus!$AK$3,MIN(CZ96+CQ97+CT97+CU97+CV97-CX97,DK97),0)</f>
        <v>0</v>
      </c>
      <c r="CZ97" s="297">
        <f t="shared" si="146"/>
        <v>0</v>
      </c>
      <c r="DA97" s="306">
        <f>Plus!O138</f>
        <v>0</v>
      </c>
      <c r="DB97" s="74"/>
      <c r="DC97" s="74"/>
      <c r="DD97" s="407">
        <f t="shared" si="215"/>
        <v>0</v>
      </c>
      <c r="DG97" s="90">
        <f t="shared" si="216"/>
        <v>1</v>
      </c>
      <c r="DH97" s="121">
        <f t="shared" si="265"/>
        <v>0</v>
      </c>
      <c r="DJ97" s="149">
        <f t="shared" si="266"/>
        <v>0</v>
      </c>
      <c r="DK97" s="2179">
        <f t="shared" ca="1" si="217"/>
        <v>0</v>
      </c>
      <c r="DN97" s="120">
        <f t="shared" si="267"/>
        <v>0</v>
      </c>
      <c r="DO97" s="110">
        <f t="shared" si="218"/>
        <v>0</v>
      </c>
      <c r="DP97" s="110">
        <f t="shared" si="276"/>
        <v>0</v>
      </c>
      <c r="DQ97" s="109">
        <f t="shared" si="219"/>
        <v>0</v>
      </c>
      <c r="DR97" s="109">
        <f t="shared" si="220"/>
        <v>0</v>
      </c>
      <c r="DS97" s="113">
        <f t="shared" si="221"/>
        <v>0</v>
      </c>
      <c r="DU97" s="102">
        <f t="shared" si="222"/>
        <v>0</v>
      </c>
      <c r="DV97" s="333">
        <f t="shared" si="277"/>
        <v>73</v>
      </c>
      <c r="DW97" s="334">
        <f t="shared" si="223"/>
        <v>0</v>
      </c>
      <c r="DX97" s="334">
        <f t="shared" si="178"/>
        <v>0</v>
      </c>
      <c r="DY97" s="334">
        <f>MIN(DZ96+DW97,DY96*(1+$DW$20))</f>
        <v>0</v>
      </c>
      <c r="DZ97" s="213">
        <f t="shared" si="179"/>
        <v>1000000</v>
      </c>
      <c r="ED97" s="182"/>
      <c r="EF97" s="308">
        <f t="shared" ca="1" si="180"/>
        <v>4</v>
      </c>
      <c r="EG97" s="309">
        <f t="shared" si="224"/>
        <v>0</v>
      </c>
      <c r="EH97" s="268">
        <f t="shared" si="181"/>
        <v>0</v>
      </c>
      <c r="EI97" s="33">
        <f t="shared" si="225"/>
        <v>0</v>
      </c>
      <c r="EJ97" s="33">
        <f t="shared" si="139"/>
        <v>0</v>
      </c>
      <c r="EK97" s="33">
        <f t="shared" si="151"/>
        <v>0</v>
      </c>
      <c r="EL97" s="33">
        <f>IF(ER96&lt;0.01,0,IF(Plus!$F$22=Plus!$AN$4,0,IF(Plus!$F$22=Plus!$AN$3,ER96*Plus!$F$23/1000,ER96*VLOOKUP(Plus!$G$21,Plus!$AP$2:'Plus'!$AQ$5,2,0))))</f>
        <v>0</v>
      </c>
      <c r="EM97" s="33">
        <f>IF(ER96&lt;0.01,0,IF(Plus!$F$24=Plus!$AO$3,0,IF(OR(Plus!$F$10=Plus!$AK$7,Plus!$F$10=Plus!$AK$13),0,Plus!$G$13*Plus!$AR$2)))</f>
        <v>0</v>
      </c>
      <c r="EN97" s="33">
        <f>IF(ER96&lt;0.01,0,IF(OR(Plus!$F$10=Plus!$AK$7,Plus!$F$10=Plus!$AK$13),0,Plus!$BD$2*1.16))</f>
        <v>0</v>
      </c>
      <c r="EO97" s="33">
        <f>IF(ER96&lt;0.01,0,IF(Plus!$AS$2&gt;0,EI97*Plus!$AS$3,0))</f>
        <v>0</v>
      </c>
      <c r="EP97" s="33">
        <f t="shared" si="226"/>
        <v>0</v>
      </c>
      <c r="EQ97" s="33">
        <f>IF(Plus!$F$10=Plus!$AK$3,MIN(ER96+EI97+EL97+EM97+EN97-EP97,FC97),0)</f>
        <v>0</v>
      </c>
      <c r="ER97" s="311">
        <f t="shared" si="145"/>
        <v>0</v>
      </c>
      <c r="ES97" s="340">
        <f>Plus!O138</f>
        <v>0</v>
      </c>
      <c r="ET97" s="74"/>
      <c r="EU97" s="74"/>
      <c r="EV97" s="416">
        <f t="shared" si="134"/>
        <v>0</v>
      </c>
      <c r="EY97" s="90">
        <f t="shared" si="227"/>
        <v>1</v>
      </c>
      <c r="EZ97" s="121">
        <f t="shared" si="269"/>
        <v>0</v>
      </c>
      <c r="FB97" s="149">
        <f t="shared" si="270"/>
        <v>0</v>
      </c>
      <c r="FC97" s="2179">
        <f t="shared" ca="1" si="228"/>
        <v>0</v>
      </c>
      <c r="FE97" s="120">
        <f t="shared" si="271"/>
        <v>0</v>
      </c>
      <c r="FF97" s="110">
        <f t="shared" si="229"/>
        <v>0</v>
      </c>
      <c r="FG97" s="110">
        <f t="shared" si="230"/>
        <v>0</v>
      </c>
      <c r="FH97" s="109">
        <f t="shared" si="231"/>
        <v>0</v>
      </c>
      <c r="FI97" s="109">
        <f t="shared" si="182"/>
        <v>0</v>
      </c>
      <c r="FJ97" s="113">
        <f t="shared" si="232"/>
        <v>0</v>
      </c>
      <c r="FL97" s="102">
        <f t="shared" si="233"/>
        <v>0</v>
      </c>
      <c r="FM97" s="326">
        <f t="shared" si="278"/>
        <v>73</v>
      </c>
      <c r="FN97" s="327">
        <f t="shared" si="234"/>
        <v>0</v>
      </c>
      <c r="FO97" s="327">
        <f t="shared" si="183"/>
        <v>0</v>
      </c>
      <c r="FP97" s="327">
        <f>MIN(FQ96+FN97,FP96*(1+$FN$20))</f>
        <v>0</v>
      </c>
      <c r="FQ97" s="213">
        <f t="shared" si="184"/>
        <v>1000000</v>
      </c>
      <c r="FV97" s="359"/>
      <c r="FX97" s="308">
        <f t="shared" ca="1" si="185"/>
        <v>4</v>
      </c>
      <c r="FY97" s="309">
        <f t="shared" si="235"/>
        <v>0</v>
      </c>
      <c r="FZ97" s="268">
        <f t="shared" si="186"/>
        <v>0</v>
      </c>
      <c r="GA97" s="33">
        <f t="shared" si="236"/>
        <v>0</v>
      </c>
      <c r="GB97" s="33">
        <f t="shared" si="141"/>
        <v>0</v>
      </c>
      <c r="GC97" s="33">
        <f t="shared" si="142"/>
        <v>0</v>
      </c>
      <c r="GD97" s="33">
        <f>IF(GJ96&lt;0.01,0,IF(Plus!$F$22=Plus!$AN$4,0,IF(Plus!$F$22=Plus!$AN$3,GJ96*Plus!$F$23/1000,GJ96*VLOOKUP(Plus!$G$21,Plus!$AP$2:$AQ$5,2,0))))</f>
        <v>0</v>
      </c>
      <c r="GE97" s="33">
        <f>IF(GJ96&lt;0.01,0,IF(Plus!$F$24=Plus!$AO$3,0,IF(OR(Plus!$F$10=Plus!$AK$7,Plus!$F$10=Plus!$AK$13,Plus!$F$10=Plus!$AK$14),0,IF(OR(Plus!$F$10=Plus!$AK$10,Plus!$F$10=Plus!$AK$11),Plus!$G$13*Adm!$W$7,Plus!$G$13*Adm!$X$4))))</f>
        <v>0</v>
      </c>
      <c r="GF97" s="33">
        <f>IF(GJ96&lt;0.01,0,IF(OR(Plus!$F$10=Plus!$AK$7,Plus!$F$10=Plus!$AK$13),0,Plus!$BD$2*1.16))</f>
        <v>0</v>
      </c>
      <c r="GG97" s="33">
        <f>IF(GJ96&lt;0.01,0,IF(Plus!$AS$2&gt;0,GA97*Plus!$AS$3,0))</f>
        <v>0</v>
      </c>
      <c r="GH97" s="33">
        <f t="shared" si="237"/>
        <v>0</v>
      </c>
      <c r="GI97" s="33">
        <f>IF(Plus!$F$10=Plus!$AK$3,MIN(GJ96+GA97+GD97+GE97+GF97-GH97,GU97),0)</f>
        <v>0</v>
      </c>
      <c r="GJ97" s="311">
        <f t="shared" si="136"/>
        <v>0</v>
      </c>
      <c r="GK97" s="340">
        <f>Plus!O138</f>
        <v>0</v>
      </c>
      <c r="GL97" s="74"/>
      <c r="GM97" s="74"/>
      <c r="GN97" s="419">
        <f t="shared" si="135"/>
        <v>0</v>
      </c>
      <c r="GQ97" s="90">
        <f t="shared" si="238"/>
        <v>1</v>
      </c>
      <c r="GR97" s="121">
        <f t="shared" si="272"/>
        <v>0</v>
      </c>
      <c r="GT97" s="149">
        <f t="shared" si="273"/>
        <v>0</v>
      </c>
      <c r="GU97" s="2179">
        <f t="shared" ca="1" si="239"/>
        <v>0</v>
      </c>
      <c r="GW97" s="120">
        <f t="shared" si="274"/>
        <v>0</v>
      </c>
      <c r="GX97" s="110">
        <f t="shared" si="240"/>
        <v>0</v>
      </c>
      <c r="GY97" s="110">
        <f t="shared" si="241"/>
        <v>0</v>
      </c>
      <c r="GZ97" s="109">
        <f t="shared" si="242"/>
        <v>0</v>
      </c>
      <c r="HA97" s="109">
        <f t="shared" si="187"/>
        <v>0</v>
      </c>
      <c r="HB97" s="113">
        <f t="shared" si="243"/>
        <v>0</v>
      </c>
      <c r="HD97" s="102">
        <f t="shared" si="244"/>
        <v>0</v>
      </c>
      <c r="HE97" s="326">
        <f t="shared" si="279"/>
        <v>73</v>
      </c>
      <c r="HF97" s="327">
        <f t="shared" si="245"/>
        <v>0</v>
      </c>
      <c r="HG97" s="327">
        <f t="shared" si="188"/>
        <v>0</v>
      </c>
      <c r="HH97" s="327">
        <f>MIN(HI96+HF97,HH96*(1+$FN$20))</f>
        <v>0</v>
      </c>
      <c r="HI97" s="213">
        <f t="shared" si="189"/>
        <v>1000000</v>
      </c>
      <c r="HL97" s="182"/>
      <c r="HM97" s="26">
        <f t="shared" ca="1" si="190"/>
        <v>4</v>
      </c>
      <c r="HO97" s="268">
        <f t="shared" si="191"/>
        <v>0</v>
      </c>
      <c r="HP97" s="976">
        <f t="shared" si="157"/>
        <v>0</v>
      </c>
      <c r="HQ97" s="123">
        <f t="shared" si="246"/>
        <v>0</v>
      </c>
      <c r="HR97" s="123">
        <f t="shared" si="247"/>
        <v>0</v>
      </c>
      <c r="HS97" s="123">
        <f t="shared" si="248"/>
        <v>0</v>
      </c>
      <c r="HT97" s="123">
        <f>IF(HY96&lt;0.01,0,IF(Adm!$GS$4=Adm!$GS$8,HY96*$HY$15,IF(Adm!$GS$12=Adm!$GS$13,0,HY96*Adm!$GV$4)))</f>
        <v>0</v>
      </c>
      <c r="HU97" s="123">
        <f>IF(HY96&lt;0.01,0,IF(Adm!$GS$5=Adm!$GS$8,Cal!$BO$108*$HY$16/1.16,IF(Adm!$GS$12=Adm!$GS$13,0,Cal!$BO$108*Adm!$GW$4/1.16)))</f>
        <v>0</v>
      </c>
      <c r="HV97" s="123">
        <f t="shared" si="249"/>
        <v>0</v>
      </c>
      <c r="HW97" s="123">
        <f t="shared" si="192"/>
        <v>0</v>
      </c>
      <c r="HX97" s="123">
        <f>IF(Adm!$GH$6="si",MIN(HY96+HQ97+HT97+HU97+HV97-HW97,IH97),0)</f>
        <v>0</v>
      </c>
      <c r="HY97" s="297">
        <f t="shared" si="250"/>
        <v>0</v>
      </c>
      <c r="HZ97" s="74"/>
      <c r="IA97" s="407">
        <f t="shared" si="251"/>
        <v>0</v>
      </c>
      <c r="IC97" s="90">
        <f t="shared" si="252"/>
        <v>1</v>
      </c>
      <c r="ID97" s="124">
        <f>IF(IC97=1,Cal!$BO$127,0)</f>
        <v>0</v>
      </c>
      <c r="IE97" s="178">
        <f>IF(IC97=1,Adm!$HI$4,0)</f>
        <v>2.5000000000000001E-3</v>
      </c>
      <c r="IG97" s="70">
        <f t="shared" si="275"/>
        <v>0</v>
      </c>
      <c r="IH97" s="2178">
        <f t="shared" ca="1" si="253"/>
        <v>0</v>
      </c>
      <c r="IK97" s="217"/>
      <c r="IL97" s="26">
        <f t="shared" ca="1" si="193"/>
        <v>4</v>
      </c>
      <c r="IN97" s="268">
        <f t="shared" si="194"/>
        <v>0</v>
      </c>
      <c r="IO97" s="423">
        <f t="shared" si="154"/>
        <v>0</v>
      </c>
      <c r="IP97" s="123">
        <f t="shared" si="254"/>
        <v>0</v>
      </c>
      <c r="IQ97" s="123">
        <f t="shared" si="255"/>
        <v>0</v>
      </c>
      <c r="IR97" s="123">
        <f t="shared" si="256"/>
        <v>0</v>
      </c>
      <c r="IS97" s="123">
        <f>IF(IX96&lt;0.01,0,IF(Adm!$GS$4=Adm!$GS$8,IX96*$IX$15,IF(Adm!$GS$12=Adm!$GS$13,0,IX96*Adm!$GV$4)))</f>
        <v>0</v>
      </c>
      <c r="IT97" s="123"/>
      <c r="IU97" s="123">
        <f t="shared" si="257"/>
        <v>0</v>
      </c>
      <c r="IV97" s="123">
        <f t="shared" si="258"/>
        <v>0</v>
      </c>
      <c r="IW97" s="123"/>
      <c r="IX97" s="297">
        <f t="shared" si="259"/>
        <v>0</v>
      </c>
      <c r="IY97" s="74"/>
      <c r="IZ97" s="416">
        <f t="shared" si="260"/>
        <v>0</v>
      </c>
      <c r="JB97" s="90">
        <f t="shared" si="261"/>
        <v>1</v>
      </c>
      <c r="JC97" s="124">
        <f>IF(JB97=1,Cal!$BP$127,0)</f>
        <v>0</v>
      </c>
      <c r="JD97" s="178">
        <f>IF(JB97=1,Adm!$HI$4,0)</f>
        <v>2.5000000000000001E-3</v>
      </c>
    </row>
    <row r="98" spans="1:264">
      <c r="A98" s="26">
        <f t="shared" ca="1" si="162"/>
        <v>5</v>
      </c>
      <c r="C98" s="33">
        <f t="shared" si="163"/>
        <v>0</v>
      </c>
      <c r="D98" s="123">
        <f t="shared" si="195"/>
        <v>0</v>
      </c>
      <c r="E98" s="123">
        <f t="shared" si="147"/>
        <v>0</v>
      </c>
      <c r="F98" s="123">
        <f t="shared" si="149"/>
        <v>0</v>
      </c>
      <c r="G98" s="123">
        <f>IF(L97&lt;0.01,0,IF(Adm!$S$4=Adm!$S$8,L97*$L$15,L97*Adm!$V$4))</f>
        <v>0</v>
      </c>
      <c r="H98" s="123">
        <f>IF(L97&lt;0.01,0,IF(Adm!$S$5=Adm!$S$8,Adm!$AA$11*$L$16/1.16,IF(Adm!$B$4=Adm!$A$119,0,Adm!$AA$11*Adm!$X$4/1.16)))</f>
        <v>0</v>
      </c>
      <c r="I98" s="123">
        <f>IF(L97&lt;0.01,0,Cal!$AB$126/1.16)</f>
        <v>0</v>
      </c>
      <c r="J98" s="123">
        <f t="shared" si="164"/>
        <v>0</v>
      </c>
      <c r="K98" s="123">
        <f>IF(Adm!$G$4="si",MIN(L97+D98+G98+H98+I98-J98,V98),0)</f>
        <v>0</v>
      </c>
      <c r="L98" s="123">
        <f t="shared" si="196"/>
        <v>0</v>
      </c>
      <c r="M98" s="74"/>
      <c r="N98" s="74"/>
      <c r="O98" s="407">
        <f t="shared" si="197"/>
        <v>0</v>
      </c>
      <c r="R98" s="90">
        <f t="shared" si="198"/>
        <v>2</v>
      </c>
      <c r="S98" s="121">
        <f>IF(R98=1,Cal!$AB$127,0)</f>
        <v>0</v>
      </c>
      <c r="U98" s="70">
        <f t="shared" si="262"/>
        <v>0</v>
      </c>
      <c r="V98" s="2178">
        <f t="shared" ca="1" si="199"/>
        <v>0</v>
      </c>
      <c r="X98" s="398"/>
      <c r="Z98" s="268">
        <f t="shared" si="165"/>
        <v>0</v>
      </c>
      <c r="AA98" s="2176">
        <f t="shared" si="200"/>
        <v>0</v>
      </c>
      <c r="AB98" s="33">
        <f t="shared" si="201"/>
        <v>0</v>
      </c>
      <c r="AC98" s="33">
        <f t="shared" si="202"/>
        <v>0</v>
      </c>
      <c r="AD98" s="33">
        <f>IF(AI97&lt;0.01,0,IF(Adm!$S$4=Adm!$S$8,AI97*$AI$15,AI97*Adm!$V$4))</f>
        <v>0</v>
      </c>
      <c r="AE98" s="33"/>
      <c r="AF98" s="33"/>
      <c r="AG98" s="33">
        <f t="shared" si="166"/>
        <v>0</v>
      </c>
      <c r="AH98" s="33"/>
      <c r="AI98" s="401">
        <f t="shared" si="167"/>
        <v>0</v>
      </c>
      <c r="AK98" s="410">
        <f t="shared" si="168"/>
        <v>0</v>
      </c>
      <c r="AN98" s="90">
        <f t="shared" si="203"/>
        <v>2</v>
      </c>
      <c r="AO98" s="121">
        <f>IF(AN98=1,Cal!$AC$127,0)</f>
        <v>0</v>
      </c>
      <c r="AS98" s="200"/>
      <c r="AU98" s="268">
        <f t="shared" si="169"/>
        <v>0</v>
      </c>
      <c r="AV98" s="2177">
        <f t="shared" si="204"/>
        <v>0</v>
      </c>
      <c r="AW98" s="123">
        <f t="shared" si="170"/>
        <v>0</v>
      </c>
      <c r="AX98" s="123">
        <f t="shared" si="205"/>
        <v>0</v>
      </c>
      <c r="AY98" s="123">
        <f>IF(BC97&lt;0.01,0,IF(Adm!$S$4=Adm!$S$8,BC97*$BC$16,BC97*Adm!$V$4))</f>
        <v>0</v>
      </c>
      <c r="AZ98" s="123"/>
      <c r="BA98" s="123">
        <f>IF(BC97&lt;0.01,0,Adm!$Q$6)</f>
        <v>0</v>
      </c>
      <c r="BB98" s="123">
        <f t="shared" si="171"/>
        <v>0</v>
      </c>
      <c r="BC98" s="297">
        <f t="shared" si="206"/>
        <v>0</v>
      </c>
      <c r="BE98" s="425">
        <f t="shared" si="172"/>
        <v>0</v>
      </c>
      <c r="BH98" s="90">
        <f t="shared" si="207"/>
        <v>2</v>
      </c>
      <c r="BI98" s="121">
        <f>IF(BH98=1,Cal!$AD$127,0)</f>
        <v>0</v>
      </c>
      <c r="BM98" s="221"/>
      <c r="BO98" s="295">
        <f t="shared" ca="1" si="173"/>
        <v>5</v>
      </c>
      <c r="BP98" s="268">
        <f t="shared" si="174"/>
        <v>0</v>
      </c>
      <c r="BQ98" s="123">
        <f t="shared" si="208"/>
        <v>0</v>
      </c>
      <c r="BR98" s="123">
        <f t="shared" si="148"/>
        <v>0</v>
      </c>
      <c r="BS98" s="123">
        <f t="shared" si="150"/>
        <v>0</v>
      </c>
      <c r="BT98" s="123">
        <f>IF(BZ97&lt;0.01,0,IF(Plus!$F$22=Plus!$AN$4,BZ97*$BZ$15,IF(Plus!$F$22=Plus!$AN$3,BZ97*Plus!$F$23/1000,BZ97*VLOOKUP(Plus!$G$21,Plus!$AP$2:'Plus'!$AQ$5,2,0))))</f>
        <v>0</v>
      </c>
      <c r="BU98" s="123">
        <f>IF(BZ97&lt;0.01,0,IF(Plus!$F$24=Plus!$AO$3,Plus!$G$13*Plus!$AR$2/1.16,IF(Plus!$F$10=Plus!$AK$7,0,Plus!$G$13*Plus!$AR$2/1.16)))</f>
        <v>0</v>
      </c>
      <c r="BV98" s="123">
        <f>IF(BZ97&lt;0.01,0,Plus!$BD$2)</f>
        <v>0</v>
      </c>
      <c r="BW98" s="123"/>
      <c r="BX98" s="123">
        <f t="shared" si="175"/>
        <v>0</v>
      </c>
      <c r="BY98" s="123">
        <f>IF(Plus!$F$10=Plus!$AK$3,MIN(BZ97+BQ98+BT98+BU98+BV98-BX98,CJ98),0)</f>
        <v>0</v>
      </c>
      <c r="BZ98" s="297">
        <f t="shared" ref="BZ98:BZ161" si="280">IF(BZ97&lt;0.01,0,BZ97-BR98-BY98)</f>
        <v>0</v>
      </c>
      <c r="CA98" s="74"/>
      <c r="CB98" s="74"/>
      <c r="CC98" s="413">
        <f t="shared" si="209"/>
        <v>0</v>
      </c>
      <c r="CF98" s="90">
        <f t="shared" si="210"/>
        <v>2</v>
      </c>
      <c r="CG98" s="121">
        <f t="shared" si="263"/>
        <v>0</v>
      </c>
      <c r="CI98" s="70">
        <f t="shared" si="264"/>
        <v>0</v>
      </c>
      <c r="CJ98" s="2178">
        <f t="shared" ca="1" si="211"/>
        <v>0</v>
      </c>
      <c r="CL98" s="161"/>
      <c r="CN98" s="308">
        <f t="shared" ca="1" si="176"/>
        <v>5</v>
      </c>
      <c r="CO98" s="309">
        <f t="shared" si="212"/>
        <v>0</v>
      </c>
      <c r="CP98" s="268">
        <f t="shared" si="177"/>
        <v>0</v>
      </c>
      <c r="CQ98" s="123">
        <f t="shared" si="213"/>
        <v>0</v>
      </c>
      <c r="CR98" s="123">
        <f t="shared" si="137"/>
        <v>0</v>
      </c>
      <c r="CS98" s="123">
        <f t="shared" si="138"/>
        <v>0</v>
      </c>
      <c r="CT98" s="33">
        <f>IF(CZ97&lt;0.01,0,IF(Plus!$F$22=Plus!$AN$4,0,IF(Plus!$F$22=Plus!$AN$3,CZ97*Plus!$F$23/1000,CZ97*VLOOKUP(Plus!$G$21,Plus!$AP$2:'Plus'!$AQ$5,2,0))))</f>
        <v>0</v>
      </c>
      <c r="CU98" s="123">
        <f>IF(CZ97&lt;0.01,0,IF(Plus!$F$24=Plus!$AO$3,0,IF(OR(Plus!$F$10=Plus!$AK$7,Plus!$F$10=Plus!$AK$13),0,Plus!$G$13*Plus!$AR$2)))</f>
        <v>0</v>
      </c>
      <c r="CV98" s="123">
        <f>IF(CZ97&lt;0.01,0,IF(OR(Plus!$F$10=Plus!$AK$7,Plus!$F$10=Plus!$AK$13),0,Plus!$BD$2*1.16))</f>
        <v>0</v>
      </c>
      <c r="CW98" s="123">
        <f>IF(CZ97&lt;0.01,0,IF(Plus!$AS$2&gt;0,CQ98*Plus!$AS$3,0))</f>
        <v>0</v>
      </c>
      <c r="CX98" s="123">
        <f t="shared" si="214"/>
        <v>0</v>
      </c>
      <c r="CY98" s="123">
        <f>IF(Plus!$F$10=Plus!$AK$3,MIN(CZ97+CQ98+CT98+CU98+CV98-CX98,DK98),0)</f>
        <v>0</v>
      </c>
      <c r="CZ98" s="297">
        <f t="shared" si="146"/>
        <v>0</v>
      </c>
      <c r="DA98" s="306">
        <f>Plus!O139</f>
        <v>0</v>
      </c>
      <c r="DB98" s="74"/>
      <c r="DC98" s="74"/>
      <c r="DD98" s="407">
        <f t="shared" si="215"/>
        <v>0</v>
      </c>
      <c r="DG98" s="90">
        <f t="shared" si="216"/>
        <v>2</v>
      </c>
      <c r="DH98" s="121">
        <f t="shared" si="265"/>
        <v>0</v>
      </c>
      <c r="DJ98" s="149">
        <f t="shared" si="266"/>
        <v>0</v>
      </c>
      <c r="DK98" s="2179">
        <f t="shared" ca="1" si="217"/>
        <v>0</v>
      </c>
      <c r="DN98" s="120">
        <f t="shared" si="267"/>
        <v>0</v>
      </c>
      <c r="DO98" s="110">
        <f t="shared" si="218"/>
        <v>0</v>
      </c>
      <c r="DP98" s="110">
        <f t="shared" si="276"/>
        <v>0</v>
      </c>
      <c r="DQ98" s="109">
        <f t="shared" si="219"/>
        <v>0</v>
      </c>
      <c r="DR98" s="109">
        <f t="shared" si="220"/>
        <v>0</v>
      </c>
      <c r="DS98" s="113">
        <f t="shared" si="221"/>
        <v>0</v>
      </c>
      <c r="DU98" s="102">
        <f t="shared" si="222"/>
        <v>0</v>
      </c>
      <c r="DV98" s="211">
        <f t="shared" si="277"/>
        <v>74</v>
      </c>
      <c r="DW98" s="212">
        <f t="shared" si="223"/>
        <v>0</v>
      </c>
      <c r="DX98" s="212">
        <f t="shared" si="178"/>
        <v>0</v>
      </c>
      <c r="DY98" s="212">
        <f t="shared" si="268"/>
        <v>0</v>
      </c>
      <c r="DZ98" s="213">
        <f t="shared" si="179"/>
        <v>1000000</v>
      </c>
      <c r="ED98" s="182"/>
      <c r="EF98" s="308">
        <f t="shared" ca="1" si="180"/>
        <v>5</v>
      </c>
      <c r="EG98" s="309">
        <f t="shared" si="224"/>
        <v>0</v>
      </c>
      <c r="EH98" s="268">
        <f t="shared" si="181"/>
        <v>0</v>
      </c>
      <c r="EI98" s="33">
        <f t="shared" si="225"/>
        <v>0</v>
      </c>
      <c r="EJ98" s="33">
        <f t="shared" si="139"/>
        <v>0</v>
      </c>
      <c r="EK98" s="33">
        <f t="shared" si="151"/>
        <v>0</v>
      </c>
      <c r="EL98" s="33">
        <f>IF(ER97&lt;0.01,0,IF(Plus!$F$22=Plus!$AN$4,0,IF(Plus!$F$22=Plus!$AN$3,ER97*Plus!$F$23/1000,ER97*VLOOKUP(Plus!$G$21,Plus!$AP$2:'Plus'!$AQ$5,2,0))))</f>
        <v>0</v>
      </c>
      <c r="EM98" s="33">
        <f>IF(ER97&lt;0.01,0,IF(Plus!$F$24=Plus!$AO$3,0,IF(OR(Plus!$F$10=Plus!$AK$7,Plus!$F$10=Plus!$AK$13),0,Plus!$G$13*Plus!$AR$2)))</f>
        <v>0</v>
      </c>
      <c r="EN98" s="33">
        <f>IF(ER97&lt;0.01,0,IF(OR(Plus!$F$10=Plus!$AK$7,Plus!$F$10=Plus!$AK$13),0,Plus!$BD$2*1.16))</f>
        <v>0</v>
      </c>
      <c r="EO98" s="33">
        <f>IF(ER97&lt;0.01,0,IF(Plus!$AS$2&gt;0,EI98*Plus!$AS$3,0))</f>
        <v>0</v>
      </c>
      <c r="EP98" s="33">
        <f t="shared" si="226"/>
        <v>0</v>
      </c>
      <c r="EQ98" s="33">
        <f>IF(Plus!$F$10=Plus!$AK$3,MIN(ER97+EI98+EL98+EM98+EN98-EP98,FC98),0)</f>
        <v>0</v>
      </c>
      <c r="ER98" s="311">
        <f t="shared" si="145"/>
        <v>0</v>
      </c>
      <c r="ES98" s="340">
        <f>Plus!O139</f>
        <v>0</v>
      </c>
      <c r="ET98" s="74"/>
      <c r="EU98" s="74"/>
      <c r="EV98" s="416">
        <f t="shared" ref="EV98:EV161" si="281">EK98+EL98+(EM98/1.16)+(EN98/1.16)+EQ98</f>
        <v>0</v>
      </c>
      <c r="EY98" s="90">
        <f t="shared" si="227"/>
        <v>2</v>
      </c>
      <c r="EZ98" s="121">
        <f t="shared" si="269"/>
        <v>0</v>
      </c>
      <c r="FB98" s="149">
        <f t="shared" si="270"/>
        <v>0</v>
      </c>
      <c r="FC98" s="2179">
        <f t="shared" ca="1" si="228"/>
        <v>0</v>
      </c>
      <c r="FE98" s="120">
        <f t="shared" si="271"/>
        <v>0</v>
      </c>
      <c r="FF98" s="110">
        <f t="shared" si="229"/>
        <v>0</v>
      </c>
      <c r="FG98" s="110">
        <f t="shared" si="230"/>
        <v>0</v>
      </c>
      <c r="FH98" s="109">
        <f t="shared" si="231"/>
        <v>0</v>
      </c>
      <c r="FI98" s="109">
        <f t="shared" si="182"/>
        <v>0</v>
      </c>
      <c r="FJ98" s="113">
        <f t="shared" si="232"/>
        <v>0</v>
      </c>
      <c r="FL98" s="102">
        <f t="shared" si="233"/>
        <v>0</v>
      </c>
      <c r="FM98" s="211">
        <f t="shared" si="278"/>
        <v>74</v>
      </c>
      <c r="FN98" s="212">
        <f t="shared" si="234"/>
        <v>0</v>
      </c>
      <c r="FO98" s="212">
        <f t="shared" si="183"/>
        <v>0</v>
      </c>
      <c r="FP98" s="212">
        <f t="shared" ref="FP98:FP108" si="282">MIN(FQ97+FN98,FP97)</f>
        <v>0</v>
      </c>
      <c r="FQ98" s="213">
        <f t="shared" si="184"/>
        <v>1000000</v>
      </c>
      <c r="FV98" s="359"/>
      <c r="FX98" s="308">
        <f t="shared" ca="1" si="185"/>
        <v>5</v>
      </c>
      <c r="FY98" s="309">
        <f t="shared" si="235"/>
        <v>0</v>
      </c>
      <c r="FZ98" s="268">
        <f t="shared" si="186"/>
        <v>0</v>
      </c>
      <c r="GA98" s="33">
        <f t="shared" si="236"/>
        <v>0</v>
      </c>
      <c r="GB98" s="33">
        <f t="shared" si="141"/>
        <v>0</v>
      </c>
      <c r="GC98" s="33">
        <f t="shared" si="142"/>
        <v>0</v>
      </c>
      <c r="GD98" s="33">
        <f>IF(GJ97&lt;0.01,0,IF(Plus!$F$22=Plus!$AN$4,0,IF(Plus!$F$22=Plus!$AN$3,GJ97*Plus!$F$23/1000,GJ97*VLOOKUP(Plus!$G$21,Plus!$AP$2:$AQ$5,2,0))))</f>
        <v>0</v>
      </c>
      <c r="GE98" s="33">
        <f>IF(GJ97&lt;0.01,0,IF(Plus!$F$24=Plus!$AO$3,0,IF(OR(Plus!$F$10=Plus!$AK$7,Plus!$F$10=Plus!$AK$13,Plus!$F$10=Plus!$AK$14),0,IF(OR(Plus!$F$10=Plus!$AK$10,Plus!$F$10=Plus!$AK$11),Plus!$G$13*Adm!$W$7,Plus!$G$13*Adm!$X$4))))</f>
        <v>0</v>
      </c>
      <c r="GF98" s="33">
        <f>IF(GJ97&lt;0.01,0,IF(OR(Plus!$F$10=Plus!$AK$7,Plus!$F$10=Plus!$AK$13),0,Plus!$BD$2*1.16))</f>
        <v>0</v>
      </c>
      <c r="GG98" s="33">
        <f>IF(GJ97&lt;0.01,0,IF(Plus!$AS$2&gt;0,GA98*Plus!$AS$3,0))</f>
        <v>0</v>
      </c>
      <c r="GH98" s="33">
        <f t="shared" si="237"/>
        <v>0</v>
      </c>
      <c r="GI98" s="33">
        <f>IF(Plus!$F$10=Plus!$AK$3,MIN(GJ97+GA98+GD98+GE98+GF98-GH98,GU98),0)</f>
        <v>0</v>
      </c>
      <c r="GJ98" s="311">
        <f t="shared" si="136"/>
        <v>0</v>
      </c>
      <c r="GK98" s="340">
        <f>Plus!O139</f>
        <v>0</v>
      </c>
      <c r="GL98" s="74"/>
      <c r="GM98" s="74"/>
      <c r="GN98" s="419">
        <f t="shared" ref="GN98:GN161" si="283">GC98+GD98+(GE98/1.16)+(GF98/1.16)+GI98</f>
        <v>0</v>
      </c>
      <c r="GQ98" s="90">
        <f t="shared" si="238"/>
        <v>2</v>
      </c>
      <c r="GR98" s="121">
        <f t="shared" si="272"/>
        <v>0</v>
      </c>
      <c r="GT98" s="149">
        <f t="shared" si="273"/>
        <v>0</v>
      </c>
      <c r="GU98" s="2179">
        <f t="shared" ca="1" si="239"/>
        <v>0</v>
      </c>
      <c r="GW98" s="120">
        <f t="shared" si="274"/>
        <v>0</v>
      </c>
      <c r="GX98" s="110">
        <f t="shared" si="240"/>
        <v>0</v>
      </c>
      <c r="GY98" s="110">
        <f t="shared" si="241"/>
        <v>0</v>
      </c>
      <c r="GZ98" s="109">
        <f t="shared" si="242"/>
        <v>0</v>
      </c>
      <c r="HA98" s="109">
        <f t="shared" si="187"/>
        <v>0</v>
      </c>
      <c r="HB98" s="113">
        <f t="shared" si="243"/>
        <v>0</v>
      </c>
      <c r="HD98" s="102">
        <f t="shared" si="244"/>
        <v>0</v>
      </c>
      <c r="HE98" s="211">
        <f t="shared" si="279"/>
        <v>74</v>
      </c>
      <c r="HF98" s="212">
        <f t="shared" si="245"/>
        <v>0</v>
      </c>
      <c r="HG98" s="212">
        <f t="shared" si="188"/>
        <v>0</v>
      </c>
      <c r="HH98" s="212">
        <f t="shared" ref="HH98:HH108" si="284">MIN(HI97+HF98,HH97)</f>
        <v>0</v>
      </c>
      <c r="HI98" s="213">
        <f t="shared" si="189"/>
        <v>1000000</v>
      </c>
      <c r="HL98" s="182"/>
      <c r="HM98" s="26">
        <f t="shared" ca="1" si="190"/>
        <v>5</v>
      </c>
      <c r="HO98" s="268">
        <f t="shared" si="191"/>
        <v>0</v>
      </c>
      <c r="HP98" s="151">
        <f t="shared" si="157"/>
        <v>0</v>
      </c>
      <c r="HQ98" s="123">
        <f t="shared" si="246"/>
        <v>0</v>
      </c>
      <c r="HR98" s="123">
        <f t="shared" si="247"/>
        <v>0</v>
      </c>
      <c r="HS98" s="123">
        <f t="shared" si="248"/>
        <v>0</v>
      </c>
      <c r="HT98" s="123">
        <f>IF(HY97&lt;0.01,0,IF(Adm!$GS$4=Adm!$GS$8,HY97*$HY$15,IF(Adm!$GS$12=Adm!$GS$13,0,HY97*Adm!$GV$4)))</f>
        <v>0</v>
      </c>
      <c r="HU98" s="123">
        <f>IF(HY97&lt;0.01,0,IF(Adm!$GS$5=Adm!$GS$8,Cal!$BO$108*$HY$16/1.16,IF(Adm!$GS$12=Adm!$GS$13,0,Cal!$BO$108*Adm!$GW$4/1.16)))</f>
        <v>0</v>
      </c>
      <c r="HV98" s="123">
        <f t="shared" si="249"/>
        <v>0</v>
      </c>
      <c r="HW98" s="123">
        <f t="shared" si="192"/>
        <v>0</v>
      </c>
      <c r="HX98" s="123">
        <f>IF(Adm!$GH$6="si",MIN(HY97+HQ98+HT98+HU98+HV98-HW98,IH98),0)</f>
        <v>0</v>
      </c>
      <c r="HY98" s="297">
        <f t="shared" si="250"/>
        <v>0</v>
      </c>
      <c r="HZ98" s="74"/>
      <c r="IA98" s="407">
        <f t="shared" si="251"/>
        <v>0</v>
      </c>
      <c r="IC98" s="90">
        <f t="shared" si="252"/>
        <v>2</v>
      </c>
      <c r="ID98" s="124">
        <f>IF(IC98=1,Cal!$BO$127,0)</f>
        <v>0</v>
      </c>
      <c r="IE98" s="178">
        <f>IF(IC98=1,Adm!$HI$4,0)</f>
        <v>0</v>
      </c>
      <c r="IG98" s="70">
        <f t="shared" si="275"/>
        <v>0</v>
      </c>
      <c r="IH98" s="2178">
        <f t="shared" ca="1" si="253"/>
        <v>0</v>
      </c>
      <c r="IK98" s="217"/>
      <c r="IL98" s="26">
        <f t="shared" ca="1" si="193"/>
        <v>5</v>
      </c>
      <c r="IN98" s="268">
        <f t="shared" si="194"/>
        <v>0</v>
      </c>
      <c r="IO98" s="151">
        <f t="shared" si="154"/>
        <v>0</v>
      </c>
      <c r="IP98" s="123">
        <f t="shared" si="254"/>
        <v>0</v>
      </c>
      <c r="IQ98" s="123">
        <f t="shared" si="255"/>
        <v>0</v>
      </c>
      <c r="IR98" s="123">
        <f t="shared" si="256"/>
        <v>0</v>
      </c>
      <c r="IS98" s="123">
        <f>IF(IX97&lt;0.01,0,IF(Adm!$GS$4=Adm!$GS$8,IX97*$IX$15,IF(Adm!$GS$12=Adm!$GS$13,0,IX97*Adm!$GV$4)))</f>
        <v>0</v>
      </c>
      <c r="IT98" s="123"/>
      <c r="IU98" s="123">
        <f t="shared" si="257"/>
        <v>0</v>
      </c>
      <c r="IV98" s="123">
        <f t="shared" si="258"/>
        <v>0</v>
      </c>
      <c r="IW98" s="123"/>
      <c r="IX98" s="297">
        <f t="shared" si="259"/>
        <v>0</v>
      </c>
      <c r="IY98" s="74"/>
      <c r="IZ98" s="416">
        <f t="shared" si="260"/>
        <v>0</v>
      </c>
      <c r="JB98" s="90">
        <f t="shared" si="261"/>
        <v>2</v>
      </c>
      <c r="JC98" s="124">
        <f>IF(JB98=1,Cal!$BP$127,0)</f>
        <v>0</v>
      </c>
      <c r="JD98" s="178">
        <f>IF(JB98=1,Adm!$HI$4,0)</f>
        <v>0</v>
      </c>
    </row>
    <row r="99" spans="1:264">
      <c r="A99" s="26">
        <f t="shared" ca="1" si="162"/>
        <v>6</v>
      </c>
      <c r="C99" s="33">
        <f t="shared" si="163"/>
        <v>0</v>
      </c>
      <c r="D99" s="123">
        <f t="shared" si="195"/>
        <v>0</v>
      </c>
      <c r="E99" s="123">
        <f t="shared" si="147"/>
        <v>0</v>
      </c>
      <c r="F99" s="123">
        <f t="shared" si="149"/>
        <v>0</v>
      </c>
      <c r="G99" s="123">
        <f>IF(L98&lt;0.01,0,IF(Adm!$S$4=Adm!$S$8,L98*$L$15,L98*Adm!$V$4))</f>
        <v>0</v>
      </c>
      <c r="H99" s="123">
        <f>IF(L98&lt;0.01,0,IF(Adm!$S$5=Adm!$S$8,Adm!$AA$11*$L$16/1.16,IF(Adm!$B$4=Adm!$A$119,0,Adm!$AA$11*Adm!$X$4/1.16)))</f>
        <v>0</v>
      </c>
      <c r="I99" s="123">
        <f>IF(L98&lt;0.01,0,Cal!$AB$126/1.16)</f>
        <v>0</v>
      </c>
      <c r="J99" s="123">
        <f t="shared" si="164"/>
        <v>0</v>
      </c>
      <c r="K99" s="123">
        <f>IF(Adm!$G$4="si",MIN(L98+D99+G99+H99+I99-J99,V99),0)</f>
        <v>0</v>
      </c>
      <c r="L99" s="123">
        <f t="shared" si="196"/>
        <v>0</v>
      </c>
      <c r="M99" s="74"/>
      <c r="N99" s="74"/>
      <c r="O99" s="407">
        <f t="shared" si="197"/>
        <v>0</v>
      </c>
      <c r="R99" s="90">
        <f t="shared" si="198"/>
        <v>3</v>
      </c>
      <c r="S99" s="121">
        <f>IF(R99=1,Cal!$AB$127,0)</f>
        <v>0</v>
      </c>
      <c r="U99" s="70">
        <f t="shared" si="262"/>
        <v>0</v>
      </c>
      <c r="V99" s="2178">
        <f t="shared" ca="1" si="199"/>
        <v>0</v>
      </c>
      <c r="X99" s="398"/>
      <c r="Z99" s="268">
        <f t="shared" si="165"/>
        <v>0</v>
      </c>
      <c r="AA99" s="2176">
        <f t="shared" si="200"/>
        <v>0</v>
      </c>
      <c r="AB99" s="33">
        <f t="shared" si="201"/>
        <v>0</v>
      </c>
      <c r="AC99" s="33">
        <f t="shared" si="202"/>
        <v>0</v>
      </c>
      <c r="AD99" s="33">
        <f>IF(AI98&lt;0.01,0,IF(Adm!$S$4=Adm!$S$8,AI98*$AI$15,AI98*Adm!$V$4))</f>
        <v>0</v>
      </c>
      <c r="AE99" s="33"/>
      <c r="AF99" s="33"/>
      <c r="AG99" s="33">
        <f t="shared" si="166"/>
        <v>0</v>
      </c>
      <c r="AH99" s="33"/>
      <c r="AI99" s="401">
        <f t="shared" si="167"/>
        <v>0</v>
      </c>
      <c r="AK99" s="410">
        <f t="shared" si="168"/>
        <v>0</v>
      </c>
      <c r="AN99" s="90">
        <f t="shared" si="203"/>
        <v>3</v>
      </c>
      <c r="AO99" s="121">
        <f>IF(AN99=1,Cal!$AC$127,0)</f>
        <v>0</v>
      </c>
      <c r="AS99" s="200"/>
      <c r="AU99" s="268">
        <f t="shared" si="169"/>
        <v>0</v>
      </c>
      <c r="AV99" s="2177">
        <f t="shared" si="204"/>
        <v>0</v>
      </c>
      <c r="AW99" s="123">
        <f t="shared" si="170"/>
        <v>0</v>
      </c>
      <c r="AX99" s="123">
        <f t="shared" si="205"/>
        <v>0</v>
      </c>
      <c r="AY99" s="123">
        <f>IF(BC98&lt;0.01,0,IF(Adm!$S$4=Adm!$S$8,BC98*$BC$16,BC98*Adm!$V$4))</f>
        <v>0</v>
      </c>
      <c r="AZ99" s="123"/>
      <c r="BA99" s="123">
        <f>IF(BC98&lt;0.01,0,Adm!$Q$6)</f>
        <v>0</v>
      </c>
      <c r="BB99" s="123">
        <f t="shared" si="171"/>
        <v>0</v>
      </c>
      <c r="BC99" s="297">
        <f t="shared" si="206"/>
        <v>0</v>
      </c>
      <c r="BE99" s="425">
        <f t="shared" si="172"/>
        <v>0</v>
      </c>
      <c r="BH99" s="90">
        <f t="shared" si="207"/>
        <v>3</v>
      </c>
      <c r="BI99" s="121">
        <f>IF(BH99=1,Cal!$AD$127,0)</f>
        <v>0</v>
      </c>
      <c r="BM99" s="221"/>
      <c r="BO99" s="295">
        <f t="shared" ca="1" si="173"/>
        <v>6</v>
      </c>
      <c r="BP99" s="268">
        <f t="shared" si="174"/>
        <v>0</v>
      </c>
      <c r="BQ99" s="123">
        <f t="shared" si="208"/>
        <v>0</v>
      </c>
      <c r="BR99" s="123">
        <f t="shared" si="148"/>
        <v>0</v>
      </c>
      <c r="BS99" s="123">
        <f t="shared" si="150"/>
        <v>0</v>
      </c>
      <c r="BT99" s="123">
        <f>IF(BZ98&lt;0.01,0,IF(Plus!$F$22=Plus!$AN$4,BZ98*$BZ$15,IF(Plus!$F$22=Plus!$AN$3,BZ98*Plus!$F$23/1000,BZ98*VLOOKUP(Plus!$G$21,Plus!$AP$2:'Plus'!$AQ$5,2,0))))</f>
        <v>0</v>
      </c>
      <c r="BU99" s="123">
        <f>IF(BZ98&lt;0.01,0,IF(Plus!$F$24=Plus!$AO$3,Plus!$G$13*Plus!$AR$2/1.16,IF(Plus!$F$10=Plus!$AK$7,0,Plus!$G$13*Plus!$AR$2/1.16)))</f>
        <v>0</v>
      </c>
      <c r="BV99" s="123">
        <f>IF(BZ98&lt;0.01,0,Plus!$BD$2)</f>
        <v>0</v>
      </c>
      <c r="BW99" s="123"/>
      <c r="BX99" s="123">
        <f t="shared" si="175"/>
        <v>0</v>
      </c>
      <c r="BY99" s="123">
        <f>IF(Plus!$F$10=Plus!$AK$3,MIN(BZ98+BQ99+BT99+BU99+BV99-BX99,CJ99),0)</f>
        <v>0</v>
      </c>
      <c r="BZ99" s="297">
        <f t="shared" si="280"/>
        <v>0</v>
      </c>
      <c r="CA99" s="74"/>
      <c r="CB99" s="74"/>
      <c r="CC99" s="413">
        <f t="shared" si="209"/>
        <v>0</v>
      </c>
      <c r="CF99" s="90">
        <f t="shared" si="210"/>
        <v>3</v>
      </c>
      <c r="CG99" s="121">
        <f t="shared" si="263"/>
        <v>0</v>
      </c>
      <c r="CI99" s="70">
        <f t="shared" si="264"/>
        <v>0</v>
      </c>
      <c r="CJ99" s="2178">
        <f t="shared" ca="1" si="211"/>
        <v>0</v>
      </c>
      <c r="CL99" s="161"/>
      <c r="CN99" s="308">
        <f t="shared" ca="1" si="176"/>
        <v>6</v>
      </c>
      <c r="CO99" s="309">
        <f t="shared" si="212"/>
        <v>0</v>
      </c>
      <c r="CP99" s="268">
        <f t="shared" si="177"/>
        <v>0</v>
      </c>
      <c r="CQ99" s="123">
        <f t="shared" si="213"/>
        <v>0</v>
      </c>
      <c r="CR99" s="123">
        <f t="shared" si="137"/>
        <v>0</v>
      </c>
      <c r="CS99" s="123">
        <f t="shared" si="138"/>
        <v>0</v>
      </c>
      <c r="CT99" s="33">
        <f>IF(CZ98&lt;0.01,0,IF(Plus!$F$22=Plus!$AN$4,0,IF(Plus!$F$22=Plus!$AN$3,CZ98*Plus!$F$23/1000,CZ98*VLOOKUP(Plus!$G$21,Plus!$AP$2:'Plus'!$AQ$5,2,0))))</f>
        <v>0</v>
      </c>
      <c r="CU99" s="123">
        <f>IF(CZ98&lt;0.01,0,IF(Plus!$F$24=Plus!$AO$3,0,IF(OR(Plus!$F$10=Plus!$AK$7,Plus!$F$10=Plus!$AK$13),0,Plus!$G$13*Plus!$AR$2)))</f>
        <v>0</v>
      </c>
      <c r="CV99" s="123">
        <f>IF(CZ98&lt;0.01,0,IF(OR(Plus!$F$10=Plus!$AK$7,Plus!$F$10=Plus!$AK$13),0,Plus!$BD$2*1.16))</f>
        <v>0</v>
      </c>
      <c r="CW99" s="123">
        <f>IF(CZ98&lt;0.01,0,IF(Plus!$AS$2&gt;0,CQ99*Plus!$AS$3,0))</f>
        <v>0</v>
      </c>
      <c r="CX99" s="123">
        <f t="shared" si="214"/>
        <v>0</v>
      </c>
      <c r="CY99" s="123">
        <f>IF(Plus!$F$10=Plus!$AK$3,MIN(CZ98+CQ99+CT99+CU99+CV99-CX99,DK99),0)</f>
        <v>0</v>
      </c>
      <c r="CZ99" s="297">
        <f t="shared" si="146"/>
        <v>0</v>
      </c>
      <c r="DA99" s="306">
        <f>Plus!O140</f>
        <v>0</v>
      </c>
      <c r="DB99" s="74"/>
      <c r="DC99" s="74"/>
      <c r="DD99" s="407">
        <f t="shared" si="215"/>
        <v>0</v>
      </c>
      <c r="DG99" s="90">
        <f t="shared" si="216"/>
        <v>3</v>
      </c>
      <c r="DH99" s="121">
        <f t="shared" si="265"/>
        <v>0</v>
      </c>
      <c r="DJ99" s="149">
        <f t="shared" si="266"/>
        <v>0</v>
      </c>
      <c r="DK99" s="2179">
        <f t="shared" ca="1" si="217"/>
        <v>0</v>
      </c>
      <c r="DN99" s="120">
        <f t="shared" si="267"/>
        <v>0</v>
      </c>
      <c r="DO99" s="110">
        <f t="shared" si="218"/>
        <v>0</v>
      </c>
      <c r="DP99" s="110">
        <f t="shared" si="276"/>
        <v>0</v>
      </c>
      <c r="DQ99" s="109">
        <f t="shared" si="219"/>
        <v>0</v>
      </c>
      <c r="DR99" s="109">
        <f t="shared" si="220"/>
        <v>0</v>
      </c>
      <c r="DS99" s="113">
        <f t="shared" si="221"/>
        <v>0</v>
      </c>
      <c r="DU99" s="102">
        <f t="shared" si="222"/>
        <v>0</v>
      </c>
      <c r="DV99" s="211">
        <f t="shared" si="277"/>
        <v>75</v>
      </c>
      <c r="DW99" s="212">
        <f t="shared" si="223"/>
        <v>0</v>
      </c>
      <c r="DX99" s="212">
        <f t="shared" si="178"/>
        <v>0</v>
      </c>
      <c r="DY99" s="212">
        <f t="shared" si="268"/>
        <v>0</v>
      </c>
      <c r="DZ99" s="213">
        <f t="shared" si="179"/>
        <v>1000000</v>
      </c>
      <c r="ED99" s="182"/>
      <c r="EF99" s="308">
        <f t="shared" ca="1" si="180"/>
        <v>6</v>
      </c>
      <c r="EG99" s="309">
        <f t="shared" si="224"/>
        <v>0</v>
      </c>
      <c r="EH99" s="268">
        <f t="shared" si="181"/>
        <v>0</v>
      </c>
      <c r="EI99" s="33">
        <f t="shared" si="225"/>
        <v>0</v>
      </c>
      <c r="EJ99" s="33">
        <f t="shared" si="139"/>
        <v>0</v>
      </c>
      <c r="EK99" s="33">
        <f t="shared" si="151"/>
        <v>0</v>
      </c>
      <c r="EL99" s="33">
        <f>IF(ER98&lt;0.01,0,IF(Plus!$F$22=Plus!$AN$4,0,IF(Plus!$F$22=Plus!$AN$3,ER98*Plus!$F$23/1000,ER98*VLOOKUP(Plus!$G$21,Plus!$AP$2:'Plus'!$AQ$5,2,0))))</f>
        <v>0</v>
      </c>
      <c r="EM99" s="33">
        <f>IF(ER98&lt;0.01,0,IF(Plus!$F$24=Plus!$AO$3,0,IF(OR(Plus!$F$10=Plus!$AK$7,Plus!$F$10=Plus!$AK$13),0,Plus!$G$13*Plus!$AR$2)))</f>
        <v>0</v>
      </c>
      <c r="EN99" s="33">
        <f>IF(ER98&lt;0.01,0,IF(OR(Plus!$F$10=Plus!$AK$7,Plus!$F$10=Plus!$AK$13),0,Plus!$BD$2*1.16))</f>
        <v>0</v>
      </c>
      <c r="EO99" s="33">
        <f>IF(ER98&lt;0.01,0,IF(Plus!$AS$2&gt;0,EI99*Plus!$AS$3,0))</f>
        <v>0</v>
      </c>
      <c r="EP99" s="33">
        <f t="shared" si="226"/>
        <v>0</v>
      </c>
      <c r="EQ99" s="33">
        <f>IF(Plus!$F$10=Plus!$AK$3,MIN(ER98+EI99+EL99+EM99+EN99-EP99,FC99),0)</f>
        <v>0</v>
      </c>
      <c r="ER99" s="311">
        <f t="shared" ref="ER99:ER162" si="285">IF(ER98&lt;0.01,0,ER98-EJ99-EQ99-ES99)</f>
        <v>0</v>
      </c>
      <c r="ES99" s="340">
        <f>Plus!O140</f>
        <v>0</v>
      </c>
      <c r="ET99" s="74"/>
      <c r="EU99" s="74"/>
      <c r="EV99" s="416">
        <f t="shared" si="281"/>
        <v>0</v>
      </c>
      <c r="EY99" s="90">
        <f t="shared" si="227"/>
        <v>3</v>
      </c>
      <c r="EZ99" s="121">
        <f t="shared" si="269"/>
        <v>0</v>
      </c>
      <c r="FB99" s="149">
        <f t="shared" si="270"/>
        <v>0</v>
      </c>
      <c r="FC99" s="2179">
        <f t="shared" ca="1" si="228"/>
        <v>0</v>
      </c>
      <c r="FE99" s="120">
        <f t="shared" si="271"/>
        <v>0</v>
      </c>
      <c r="FF99" s="110">
        <f t="shared" si="229"/>
        <v>0</v>
      </c>
      <c r="FG99" s="110">
        <f t="shared" si="230"/>
        <v>0</v>
      </c>
      <c r="FH99" s="109">
        <f t="shared" si="231"/>
        <v>0</v>
      </c>
      <c r="FI99" s="109">
        <f t="shared" si="182"/>
        <v>0</v>
      </c>
      <c r="FJ99" s="113">
        <f t="shared" si="232"/>
        <v>0</v>
      </c>
      <c r="FL99" s="102">
        <f t="shared" si="233"/>
        <v>0</v>
      </c>
      <c r="FM99" s="211">
        <f t="shared" si="278"/>
        <v>75</v>
      </c>
      <c r="FN99" s="212">
        <f t="shared" si="234"/>
        <v>0</v>
      </c>
      <c r="FO99" s="212">
        <f t="shared" si="183"/>
        <v>0</v>
      </c>
      <c r="FP99" s="212">
        <f t="shared" si="282"/>
        <v>0</v>
      </c>
      <c r="FQ99" s="213">
        <f t="shared" si="184"/>
        <v>1000000</v>
      </c>
      <c r="FV99" s="359"/>
      <c r="FX99" s="308">
        <f t="shared" ca="1" si="185"/>
        <v>6</v>
      </c>
      <c r="FY99" s="309">
        <f t="shared" si="235"/>
        <v>0</v>
      </c>
      <c r="FZ99" s="268">
        <f t="shared" si="186"/>
        <v>0</v>
      </c>
      <c r="GA99" s="33">
        <f t="shared" si="236"/>
        <v>0</v>
      </c>
      <c r="GB99" s="33">
        <f t="shared" si="141"/>
        <v>0</v>
      </c>
      <c r="GC99" s="33">
        <f t="shared" si="142"/>
        <v>0</v>
      </c>
      <c r="GD99" s="33">
        <f>IF(GJ98&lt;0.01,0,IF(Plus!$F$22=Plus!$AN$4,0,IF(Plus!$F$22=Plus!$AN$3,GJ98*Plus!$F$23/1000,GJ98*VLOOKUP(Plus!$G$21,Plus!$AP$2:$AQ$5,2,0))))</f>
        <v>0</v>
      </c>
      <c r="GE99" s="33">
        <f>IF(GJ98&lt;0.01,0,IF(Plus!$F$24=Plus!$AO$3,0,IF(OR(Plus!$F$10=Plus!$AK$7,Plus!$F$10=Plus!$AK$13,Plus!$F$10=Plus!$AK$14),0,IF(OR(Plus!$F$10=Plus!$AK$10,Plus!$F$10=Plus!$AK$11),Plus!$G$13*Adm!$W$7,Plus!$G$13*Adm!$X$4))))</f>
        <v>0</v>
      </c>
      <c r="GF99" s="33">
        <f>IF(GJ98&lt;0.01,0,IF(OR(Plus!$F$10=Plus!$AK$7,Plus!$F$10=Plus!$AK$13),0,Plus!$BD$2*1.16))</f>
        <v>0</v>
      </c>
      <c r="GG99" s="33">
        <f>IF(GJ98&lt;0.01,0,IF(Plus!$AS$2&gt;0,GA99*Plus!$AS$3,0))</f>
        <v>0</v>
      </c>
      <c r="GH99" s="33">
        <f t="shared" si="237"/>
        <v>0</v>
      </c>
      <c r="GI99" s="33">
        <f>IF(Plus!$F$10=Plus!$AK$3,MIN(GJ98+GA99+GD99+GE99+GF99-GH99,GU99),0)</f>
        <v>0</v>
      </c>
      <c r="GJ99" s="311">
        <f t="shared" ref="GJ99:GJ162" si="286">IF(GJ98&lt;0.01,0,GJ98-GB99-GI99-GK99)</f>
        <v>0</v>
      </c>
      <c r="GK99" s="340">
        <f>Plus!O140</f>
        <v>0</v>
      </c>
      <c r="GL99" s="74"/>
      <c r="GM99" s="74"/>
      <c r="GN99" s="419">
        <f t="shared" si="283"/>
        <v>0</v>
      </c>
      <c r="GQ99" s="90">
        <f t="shared" si="238"/>
        <v>3</v>
      </c>
      <c r="GR99" s="121">
        <f t="shared" si="272"/>
        <v>0</v>
      </c>
      <c r="GT99" s="149">
        <f t="shared" si="273"/>
        <v>0</v>
      </c>
      <c r="GU99" s="2179">
        <f t="shared" ca="1" si="239"/>
        <v>0</v>
      </c>
      <c r="GW99" s="120">
        <f t="shared" si="274"/>
        <v>0</v>
      </c>
      <c r="GX99" s="110">
        <f t="shared" si="240"/>
        <v>0</v>
      </c>
      <c r="GY99" s="110">
        <f t="shared" si="241"/>
        <v>0</v>
      </c>
      <c r="GZ99" s="109">
        <f t="shared" si="242"/>
        <v>0</v>
      </c>
      <c r="HA99" s="109">
        <f t="shared" si="187"/>
        <v>0</v>
      </c>
      <c r="HB99" s="113">
        <f t="shared" si="243"/>
        <v>0</v>
      </c>
      <c r="HD99" s="102">
        <f t="shared" si="244"/>
        <v>0</v>
      </c>
      <c r="HE99" s="211">
        <f t="shared" si="279"/>
        <v>75</v>
      </c>
      <c r="HF99" s="212">
        <f t="shared" si="245"/>
        <v>0</v>
      </c>
      <c r="HG99" s="212">
        <f t="shared" si="188"/>
        <v>0</v>
      </c>
      <c r="HH99" s="212">
        <f t="shared" si="284"/>
        <v>0</v>
      </c>
      <c r="HI99" s="213">
        <f t="shared" si="189"/>
        <v>1000000</v>
      </c>
      <c r="HL99" s="182"/>
      <c r="HM99" s="26">
        <f t="shared" ca="1" si="190"/>
        <v>6</v>
      </c>
      <c r="HO99" s="268">
        <f t="shared" si="191"/>
        <v>0</v>
      </c>
      <c r="HP99" s="151">
        <f t="shared" si="157"/>
        <v>0</v>
      </c>
      <c r="HQ99" s="123">
        <f t="shared" si="246"/>
        <v>0</v>
      </c>
      <c r="HR99" s="123">
        <f t="shared" si="247"/>
        <v>0</v>
      </c>
      <c r="HS99" s="123">
        <f t="shared" si="248"/>
        <v>0</v>
      </c>
      <c r="HT99" s="123">
        <f>IF(HY98&lt;0.01,0,IF(Adm!$GS$4=Adm!$GS$8,HY98*$HY$15,IF(Adm!$GS$12=Adm!$GS$13,0,HY98*Adm!$GV$4)))</f>
        <v>0</v>
      </c>
      <c r="HU99" s="123">
        <f>IF(HY98&lt;0.01,0,IF(Adm!$GS$5=Adm!$GS$8,Cal!$BO$108*$HY$16/1.16,IF(Adm!$GS$12=Adm!$GS$13,0,Cal!$BO$108*Adm!$GW$4/1.16)))</f>
        <v>0</v>
      </c>
      <c r="HV99" s="123">
        <f t="shared" si="249"/>
        <v>0</v>
      </c>
      <c r="HW99" s="123">
        <f t="shared" si="192"/>
        <v>0</v>
      </c>
      <c r="HX99" s="123">
        <f>IF(Adm!$GH$6="si",MIN(HY98+HQ99+HT99+HU99+HV99-HW99,IH99),0)</f>
        <v>0</v>
      </c>
      <c r="HY99" s="297">
        <f t="shared" si="250"/>
        <v>0</v>
      </c>
      <c r="HZ99" s="74"/>
      <c r="IA99" s="407">
        <f t="shared" si="251"/>
        <v>0</v>
      </c>
      <c r="IC99" s="90">
        <f t="shared" si="252"/>
        <v>3</v>
      </c>
      <c r="ID99" s="124">
        <f>IF(IC99=1,Cal!$BO$127,0)</f>
        <v>0</v>
      </c>
      <c r="IE99" s="178">
        <f>IF(IC99=1,Adm!$HI$4,0)</f>
        <v>0</v>
      </c>
      <c r="IG99" s="70">
        <f t="shared" si="275"/>
        <v>0</v>
      </c>
      <c r="IH99" s="2178">
        <f t="shared" ca="1" si="253"/>
        <v>0</v>
      </c>
      <c r="IK99" s="217"/>
      <c r="IL99" s="26">
        <f t="shared" ca="1" si="193"/>
        <v>6</v>
      </c>
      <c r="IN99" s="268">
        <f t="shared" si="194"/>
        <v>0</v>
      </c>
      <c r="IO99" s="151">
        <f t="shared" si="154"/>
        <v>0</v>
      </c>
      <c r="IP99" s="123">
        <f t="shared" si="254"/>
        <v>0</v>
      </c>
      <c r="IQ99" s="123">
        <f t="shared" si="255"/>
        <v>0</v>
      </c>
      <c r="IR99" s="123">
        <f t="shared" si="256"/>
        <v>0</v>
      </c>
      <c r="IS99" s="123">
        <f>IF(IX98&lt;0.01,0,IF(Adm!$GS$4=Adm!$GS$8,IX98*$IX$15,IF(Adm!$GS$12=Adm!$GS$13,0,IX98*Adm!$GV$4)))</f>
        <v>0</v>
      </c>
      <c r="IT99" s="123"/>
      <c r="IU99" s="123">
        <f t="shared" si="257"/>
        <v>0</v>
      </c>
      <c r="IV99" s="123">
        <f t="shared" si="258"/>
        <v>0</v>
      </c>
      <c r="IW99" s="123"/>
      <c r="IX99" s="297">
        <f t="shared" si="259"/>
        <v>0</v>
      </c>
      <c r="IY99" s="74"/>
      <c r="IZ99" s="416">
        <f t="shared" si="260"/>
        <v>0</v>
      </c>
      <c r="JB99" s="90">
        <f t="shared" si="261"/>
        <v>3</v>
      </c>
      <c r="JC99" s="124">
        <f>IF(JB99=1,Cal!$BP$127,0)</f>
        <v>0</v>
      </c>
      <c r="JD99" s="178">
        <f>IF(JB99=1,Adm!$HI$4,0)</f>
        <v>0</v>
      </c>
    </row>
    <row r="100" spans="1:264">
      <c r="A100" s="26">
        <f t="shared" ca="1" si="162"/>
        <v>7</v>
      </c>
      <c r="C100" s="33">
        <f t="shared" si="163"/>
        <v>0</v>
      </c>
      <c r="D100" s="123">
        <f t="shared" si="195"/>
        <v>0</v>
      </c>
      <c r="E100" s="123">
        <f t="shared" si="147"/>
        <v>0</v>
      </c>
      <c r="F100" s="123">
        <f t="shared" si="149"/>
        <v>0</v>
      </c>
      <c r="G100" s="123">
        <f>IF(L99&lt;0.01,0,IF(Adm!$S$4=Adm!$S$8,L99*$L$15,L99*Adm!$V$4))</f>
        <v>0</v>
      </c>
      <c r="H100" s="123">
        <f>IF(L99&lt;0.01,0,IF(Adm!$S$5=Adm!$S$8,Adm!$AA$11*$L$16/1.16,IF(Adm!$B$4=Adm!$A$119,0,Adm!$AA$11*Adm!$X$4/1.16)))</f>
        <v>0</v>
      </c>
      <c r="I100" s="123">
        <f>IF(L99&lt;0.01,0,Cal!$AB$126/1.16)</f>
        <v>0</v>
      </c>
      <c r="J100" s="123">
        <f t="shared" si="164"/>
        <v>0</v>
      </c>
      <c r="K100" s="123">
        <f>IF(Adm!$G$4="si",MIN(L99+D100+G100+H100+I100-J100,V100),0)</f>
        <v>0</v>
      </c>
      <c r="L100" s="123">
        <f t="shared" si="196"/>
        <v>0</v>
      </c>
      <c r="M100" s="74"/>
      <c r="N100" s="74"/>
      <c r="O100" s="407">
        <f t="shared" si="197"/>
        <v>0</v>
      </c>
      <c r="R100" s="90">
        <f t="shared" si="198"/>
        <v>4</v>
      </c>
      <c r="S100" s="121">
        <f>IF(R100=1,Cal!$AB$127,0)</f>
        <v>0</v>
      </c>
      <c r="U100" s="70">
        <f t="shared" si="262"/>
        <v>0</v>
      </c>
      <c r="V100" s="2178">
        <f t="shared" ca="1" si="199"/>
        <v>0</v>
      </c>
      <c r="X100" s="398"/>
      <c r="Z100" s="268">
        <f t="shared" si="165"/>
        <v>0</v>
      </c>
      <c r="AA100" s="2176">
        <f t="shared" si="200"/>
        <v>0</v>
      </c>
      <c r="AB100" s="33">
        <f t="shared" si="201"/>
        <v>0</v>
      </c>
      <c r="AC100" s="33">
        <f t="shared" si="202"/>
        <v>0</v>
      </c>
      <c r="AD100" s="33">
        <f>IF(AI99&lt;0.01,0,IF(Adm!$S$4=Adm!$S$8,AI99*$AI$15,AI99*Adm!$V$4))</f>
        <v>0</v>
      </c>
      <c r="AE100" s="33"/>
      <c r="AF100" s="33"/>
      <c r="AG100" s="33">
        <f t="shared" si="166"/>
        <v>0</v>
      </c>
      <c r="AH100" s="33"/>
      <c r="AI100" s="401">
        <f t="shared" si="167"/>
        <v>0</v>
      </c>
      <c r="AK100" s="410">
        <f t="shared" si="168"/>
        <v>0</v>
      </c>
      <c r="AN100" s="90">
        <f t="shared" si="203"/>
        <v>4</v>
      </c>
      <c r="AO100" s="121">
        <f>IF(AN100=1,Cal!$AC$127,0)</f>
        <v>0</v>
      </c>
      <c r="AS100" s="200"/>
      <c r="AU100" s="268">
        <f t="shared" si="169"/>
        <v>0</v>
      </c>
      <c r="AV100" s="2177">
        <f t="shared" si="204"/>
        <v>0</v>
      </c>
      <c r="AW100" s="123">
        <f t="shared" si="170"/>
        <v>0</v>
      </c>
      <c r="AX100" s="123">
        <f t="shared" si="205"/>
        <v>0</v>
      </c>
      <c r="AY100" s="123">
        <f>IF(BC99&lt;0.01,0,IF(Adm!$S$4=Adm!$S$8,BC99*$BC$16,BC99*Adm!$V$4))</f>
        <v>0</v>
      </c>
      <c r="AZ100" s="123"/>
      <c r="BA100" s="123">
        <f>IF(BC99&lt;0.01,0,Adm!$Q$6)</f>
        <v>0</v>
      </c>
      <c r="BB100" s="123">
        <f t="shared" si="171"/>
        <v>0</v>
      </c>
      <c r="BC100" s="297">
        <f t="shared" si="206"/>
        <v>0</v>
      </c>
      <c r="BE100" s="425">
        <f t="shared" si="172"/>
        <v>0</v>
      </c>
      <c r="BH100" s="90">
        <f t="shared" si="207"/>
        <v>4</v>
      </c>
      <c r="BI100" s="121">
        <f>IF(BH100=1,Cal!$AD$127,0)</f>
        <v>0</v>
      </c>
      <c r="BM100" s="221"/>
      <c r="BO100" s="295">
        <f t="shared" ca="1" si="173"/>
        <v>7</v>
      </c>
      <c r="BP100" s="268">
        <f t="shared" si="174"/>
        <v>0</v>
      </c>
      <c r="BQ100" s="123">
        <f t="shared" si="208"/>
        <v>0</v>
      </c>
      <c r="BR100" s="123">
        <f t="shared" si="148"/>
        <v>0</v>
      </c>
      <c r="BS100" s="123">
        <f t="shared" si="150"/>
        <v>0</v>
      </c>
      <c r="BT100" s="123">
        <f>IF(BZ99&lt;0.01,0,IF(Plus!$F$22=Plus!$AN$4,BZ99*$BZ$15,IF(Plus!$F$22=Plus!$AN$3,BZ99*Plus!$F$23/1000,BZ99*VLOOKUP(Plus!$G$21,Plus!$AP$2:'Plus'!$AQ$5,2,0))))</f>
        <v>0</v>
      </c>
      <c r="BU100" s="123">
        <f>IF(BZ99&lt;0.01,0,IF(Plus!$F$24=Plus!$AO$3,Plus!$G$13*Plus!$AR$2/1.16,IF(Plus!$F$10=Plus!$AK$7,0,Plus!$G$13*Plus!$AR$2/1.16)))</f>
        <v>0</v>
      </c>
      <c r="BV100" s="123">
        <f>IF(BZ99&lt;0.01,0,Plus!$BD$2)</f>
        <v>0</v>
      </c>
      <c r="BW100" s="123"/>
      <c r="BX100" s="123">
        <f t="shared" si="175"/>
        <v>0</v>
      </c>
      <c r="BY100" s="123">
        <f>IF(Plus!$F$10=Plus!$AK$3,MIN(BZ99+BQ100+BT100+BU100+BV100-BX100,CJ100),0)</f>
        <v>0</v>
      </c>
      <c r="BZ100" s="297">
        <f t="shared" si="280"/>
        <v>0</v>
      </c>
      <c r="CA100" s="74"/>
      <c r="CB100" s="74"/>
      <c r="CC100" s="413">
        <f t="shared" si="209"/>
        <v>0</v>
      </c>
      <c r="CF100" s="90">
        <f t="shared" si="210"/>
        <v>4</v>
      </c>
      <c r="CG100" s="121">
        <f t="shared" si="263"/>
        <v>0</v>
      </c>
      <c r="CI100" s="70">
        <f t="shared" si="264"/>
        <v>0</v>
      </c>
      <c r="CJ100" s="2178">
        <f t="shared" ca="1" si="211"/>
        <v>0</v>
      </c>
      <c r="CL100" s="161"/>
      <c r="CN100" s="308">
        <f t="shared" ca="1" si="176"/>
        <v>7</v>
      </c>
      <c r="CO100" s="309">
        <f t="shared" si="212"/>
        <v>0</v>
      </c>
      <c r="CP100" s="268">
        <f t="shared" si="177"/>
        <v>0</v>
      </c>
      <c r="CQ100" s="123">
        <f t="shared" si="213"/>
        <v>0</v>
      </c>
      <c r="CR100" s="123">
        <f t="shared" si="137"/>
        <v>0</v>
      </c>
      <c r="CS100" s="123">
        <f t="shared" si="138"/>
        <v>0</v>
      </c>
      <c r="CT100" s="33">
        <f>IF(CZ99&lt;0.01,0,IF(Plus!$F$22=Plus!$AN$4,0,IF(Plus!$F$22=Plus!$AN$3,CZ99*Plus!$F$23/1000,CZ99*VLOOKUP(Plus!$G$21,Plus!$AP$2:'Plus'!$AQ$5,2,0))))</f>
        <v>0</v>
      </c>
      <c r="CU100" s="123">
        <f>IF(CZ99&lt;0.01,0,IF(Plus!$F$24=Plus!$AO$3,0,IF(OR(Plus!$F$10=Plus!$AK$7,Plus!$F$10=Plus!$AK$13),0,Plus!$G$13*Plus!$AR$2)))</f>
        <v>0</v>
      </c>
      <c r="CV100" s="123">
        <f>IF(CZ99&lt;0.01,0,IF(OR(Plus!$F$10=Plus!$AK$7,Plus!$F$10=Plus!$AK$13),0,Plus!$BD$2*1.16))</f>
        <v>0</v>
      </c>
      <c r="CW100" s="123">
        <f>IF(CZ99&lt;0.01,0,IF(Plus!$AS$2&gt;0,CQ100*Plus!$AS$3,0))</f>
        <v>0</v>
      </c>
      <c r="CX100" s="123">
        <f t="shared" si="214"/>
        <v>0</v>
      </c>
      <c r="CY100" s="123">
        <f>IF(Plus!$F$10=Plus!$AK$3,MIN(CZ99+CQ100+CT100+CU100+CV100-CX100,DK100),0)</f>
        <v>0</v>
      </c>
      <c r="CZ100" s="297">
        <f t="shared" si="146"/>
        <v>0</v>
      </c>
      <c r="DA100" s="306">
        <f>Plus!O141</f>
        <v>0</v>
      </c>
      <c r="DB100" s="74"/>
      <c r="DC100" s="74"/>
      <c r="DD100" s="407">
        <f t="shared" si="215"/>
        <v>0</v>
      </c>
      <c r="DG100" s="90">
        <f t="shared" si="216"/>
        <v>4</v>
      </c>
      <c r="DH100" s="121">
        <f t="shared" si="265"/>
        <v>0</v>
      </c>
      <c r="DJ100" s="149">
        <f t="shared" si="266"/>
        <v>0</v>
      </c>
      <c r="DK100" s="2179">
        <f t="shared" ca="1" si="217"/>
        <v>0</v>
      </c>
      <c r="DN100" s="120">
        <f t="shared" si="267"/>
        <v>0</v>
      </c>
      <c r="DO100" s="110">
        <f t="shared" si="218"/>
        <v>0</v>
      </c>
      <c r="DP100" s="110">
        <f t="shared" si="276"/>
        <v>0</v>
      </c>
      <c r="DQ100" s="109">
        <f t="shared" si="219"/>
        <v>0</v>
      </c>
      <c r="DR100" s="109">
        <f t="shared" si="220"/>
        <v>0</v>
      </c>
      <c r="DS100" s="113">
        <f t="shared" si="221"/>
        <v>0</v>
      </c>
      <c r="DU100" s="102">
        <f t="shared" si="222"/>
        <v>0</v>
      </c>
      <c r="DV100" s="211">
        <f t="shared" si="277"/>
        <v>76</v>
      </c>
      <c r="DW100" s="212">
        <f t="shared" si="223"/>
        <v>0</v>
      </c>
      <c r="DX100" s="212">
        <f t="shared" si="178"/>
        <v>0</v>
      </c>
      <c r="DY100" s="212">
        <f t="shared" si="268"/>
        <v>0</v>
      </c>
      <c r="DZ100" s="213">
        <f t="shared" si="179"/>
        <v>1000000</v>
      </c>
      <c r="ED100" s="182"/>
      <c r="EF100" s="308">
        <f t="shared" ca="1" si="180"/>
        <v>7</v>
      </c>
      <c r="EG100" s="309">
        <f t="shared" si="224"/>
        <v>0</v>
      </c>
      <c r="EH100" s="268">
        <f t="shared" si="181"/>
        <v>0</v>
      </c>
      <c r="EI100" s="33">
        <f t="shared" si="225"/>
        <v>0</v>
      </c>
      <c r="EJ100" s="33">
        <f t="shared" si="139"/>
        <v>0</v>
      </c>
      <c r="EK100" s="33">
        <f t="shared" si="151"/>
        <v>0</v>
      </c>
      <c r="EL100" s="33">
        <f>IF(ER99&lt;0.01,0,IF(Plus!$F$22=Plus!$AN$4,0,IF(Plus!$F$22=Plus!$AN$3,ER99*Plus!$F$23/1000,ER99*VLOOKUP(Plus!$G$21,Plus!$AP$2:'Plus'!$AQ$5,2,0))))</f>
        <v>0</v>
      </c>
      <c r="EM100" s="33">
        <f>IF(ER99&lt;0.01,0,IF(Plus!$F$24=Plus!$AO$3,0,IF(OR(Plus!$F$10=Plus!$AK$7,Plus!$F$10=Plus!$AK$13),0,Plus!$G$13*Plus!$AR$2)))</f>
        <v>0</v>
      </c>
      <c r="EN100" s="33">
        <f>IF(ER99&lt;0.01,0,IF(OR(Plus!$F$10=Plus!$AK$7,Plus!$F$10=Plus!$AK$13),0,Plus!$BD$2*1.16))</f>
        <v>0</v>
      </c>
      <c r="EO100" s="33">
        <f>IF(ER99&lt;0.01,0,IF(Plus!$AS$2&gt;0,EI100*Plus!$AS$3,0))</f>
        <v>0</v>
      </c>
      <c r="EP100" s="33">
        <f t="shared" si="226"/>
        <v>0</v>
      </c>
      <c r="EQ100" s="33">
        <f>IF(Plus!$F$10=Plus!$AK$3,MIN(ER99+EI100+EL100+EM100+EN100-EP100,FC100),0)</f>
        <v>0</v>
      </c>
      <c r="ER100" s="311">
        <f t="shared" si="285"/>
        <v>0</v>
      </c>
      <c r="ES100" s="340">
        <f>Plus!O141</f>
        <v>0</v>
      </c>
      <c r="ET100" s="74"/>
      <c r="EU100" s="74"/>
      <c r="EV100" s="416">
        <f t="shared" si="281"/>
        <v>0</v>
      </c>
      <c r="EY100" s="90">
        <f t="shared" si="227"/>
        <v>4</v>
      </c>
      <c r="EZ100" s="121">
        <f t="shared" si="269"/>
        <v>0</v>
      </c>
      <c r="FB100" s="149">
        <f t="shared" si="270"/>
        <v>0</v>
      </c>
      <c r="FC100" s="2179">
        <f t="shared" ca="1" si="228"/>
        <v>0</v>
      </c>
      <c r="FE100" s="120">
        <f t="shared" si="271"/>
        <v>0</v>
      </c>
      <c r="FF100" s="110">
        <f t="shared" si="229"/>
        <v>0</v>
      </c>
      <c r="FG100" s="110">
        <f t="shared" si="230"/>
        <v>0</v>
      </c>
      <c r="FH100" s="109">
        <f t="shared" si="231"/>
        <v>0</v>
      </c>
      <c r="FI100" s="109">
        <f t="shared" si="182"/>
        <v>0</v>
      </c>
      <c r="FJ100" s="113">
        <f t="shared" si="232"/>
        <v>0</v>
      </c>
      <c r="FL100" s="102">
        <f t="shared" si="233"/>
        <v>0</v>
      </c>
      <c r="FM100" s="211">
        <f t="shared" si="278"/>
        <v>76</v>
      </c>
      <c r="FN100" s="212">
        <f t="shared" si="234"/>
        <v>0</v>
      </c>
      <c r="FO100" s="212">
        <f t="shared" si="183"/>
        <v>0</v>
      </c>
      <c r="FP100" s="212">
        <f t="shared" si="282"/>
        <v>0</v>
      </c>
      <c r="FQ100" s="213">
        <f t="shared" si="184"/>
        <v>1000000</v>
      </c>
      <c r="FV100" s="359"/>
      <c r="FX100" s="308">
        <f t="shared" ca="1" si="185"/>
        <v>7</v>
      </c>
      <c r="FY100" s="309">
        <f t="shared" si="235"/>
        <v>0</v>
      </c>
      <c r="FZ100" s="268">
        <f t="shared" si="186"/>
        <v>0</v>
      </c>
      <c r="GA100" s="33">
        <f t="shared" si="236"/>
        <v>0</v>
      </c>
      <c r="GB100" s="33">
        <f t="shared" si="141"/>
        <v>0</v>
      </c>
      <c r="GC100" s="33">
        <f t="shared" si="142"/>
        <v>0</v>
      </c>
      <c r="GD100" s="33">
        <f>IF(GJ99&lt;0.01,0,IF(Plus!$F$22=Plus!$AN$4,0,IF(Plus!$F$22=Plus!$AN$3,GJ99*Plus!$F$23/1000,GJ99*VLOOKUP(Plus!$G$21,Plus!$AP$2:$AQ$5,2,0))))</f>
        <v>0</v>
      </c>
      <c r="GE100" s="33">
        <f>IF(GJ99&lt;0.01,0,IF(Plus!$F$24=Plus!$AO$3,0,IF(OR(Plus!$F$10=Plus!$AK$7,Plus!$F$10=Plus!$AK$13,Plus!$F$10=Plus!$AK$14),0,IF(OR(Plus!$F$10=Plus!$AK$10,Plus!$F$10=Plus!$AK$11),Plus!$G$13*Adm!$W$7,Plus!$G$13*Adm!$X$4))))</f>
        <v>0</v>
      </c>
      <c r="GF100" s="33">
        <f>IF(GJ99&lt;0.01,0,IF(OR(Plus!$F$10=Plus!$AK$7,Plus!$F$10=Plus!$AK$13),0,Plus!$BD$2*1.16))</f>
        <v>0</v>
      </c>
      <c r="GG100" s="33">
        <f>IF(GJ99&lt;0.01,0,IF(Plus!$AS$2&gt;0,GA100*Plus!$AS$3,0))</f>
        <v>0</v>
      </c>
      <c r="GH100" s="33">
        <f t="shared" si="237"/>
        <v>0</v>
      </c>
      <c r="GI100" s="33">
        <f>IF(Plus!$F$10=Plus!$AK$3,MIN(GJ99+GA100+GD100+GE100+GF100-GH100,GU100),0)</f>
        <v>0</v>
      </c>
      <c r="GJ100" s="311">
        <f t="shared" si="286"/>
        <v>0</v>
      </c>
      <c r="GK100" s="340">
        <f>Plus!O141</f>
        <v>0</v>
      </c>
      <c r="GL100" s="74"/>
      <c r="GM100" s="74"/>
      <c r="GN100" s="419">
        <f t="shared" si="283"/>
        <v>0</v>
      </c>
      <c r="GQ100" s="90">
        <f t="shared" si="238"/>
        <v>4</v>
      </c>
      <c r="GR100" s="121">
        <f t="shared" si="272"/>
        <v>0</v>
      </c>
      <c r="GT100" s="149">
        <f t="shared" si="273"/>
        <v>0</v>
      </c>
      <c r="GU100" s="2179">
        <f t="shared" ca="1" si="239"/>
        <v>0</v>
      </c>
      <c r="GW100" s="120">
        <f t="shared" si="274"/>
        <v>0</v>
      </c>
      <c r="GX100" s="110">
        <f t="shared" si="240"/>
        <v>0</v>
      </c>
      <c r="GY100" s="110">
        <f t="shared" si="241"/>
        <v>0</v>
      </c>
      <c r="GZ100" s="109">
        <f t="shared" si="242"/>
        <v>0</v>
      </c>
      <c r="HA100" s="109">
        <f t="shared" si="187"/>
        <v>0</v>
      </c>
      <c r="HB100" s="113">
        <f t="shared" si="243"/>
        <v>0</v>
      </c>
      <c r="HD100" s="102">
        <f t="shared" si="244"/>
        <v>0</v>
      </c>
      <c r="HE100" s="211">
        <f t="shared" si="279"/>
        <v>76</v>
      </c>
      <c r="HF100" s="212">
        <f t="shared" si="245"/>
        <v>0</v>
      </c>
      <c r="HG100" s="212">
        <f t="shared" si="188"/>
        <v>0</v>
      </c>
      <c r="HH100" s="212">
        <f t="shared" si="284"/>
        <v>0</v>
      </c>
      <c r="HI100" s="213">
        <f t="shared" si="189"/>
        <v>1000000</v>
      </c>
      <c r="HL100" s="182"/>
      <c r="HM100" s="26">
        <f t="shared" ca="1" si="190"/>
        <v>7</v>
      </c>
      <c r="HO100" s="268">
        <f t="shared" si="191"/>
        <v>0</v>
      </c>
      <c r="HP100" s="151">
        <f t="shared" si="157"/>
        <v>0</v>
      </c>
      <c r="HQ100" s="123">
        <f t="shared" si="246"/>
        <v>0</v>
      </c>
      <c r="HR100" s="123">
        <f t="shared" si="247"/>
        <v>0</v>
      </c>
      <c r="HS100" s="123">
        <f t="shared" si="248"/>
        <v>0</v>
      </c>
      <c r="HT100" s="123">
        <f>IF(HY99&lt;0.01,0,IF(Adm!$GS$4=Adm!$GS$8,HY99*$HY$15,IF(Adm!$GS$12=Adm!$GS$13,0,HY99*Adm!$GV$4)))</f>
        <v>0</v>
      </c>
      <c r="HU100" s="123">
        <f>IF(HY99&lt;0.01,0,IF(Adm!$GS$5=Adm!$GS$8,Cal!$BO$108*$HY$16/1.16,IF(Adm!$GS$12=Adm!$GS$13,0,Cal!$BO$108*Adm!$GW$4/1.16)))</f>
        <v>0</v>
      </c>
      <c r="HV100" s="123">
        <f t="shared" si="249"/>
        <v>0</v>
      </c>
      <c r="HW100" s="123">
        <f t="shared" si="192"/>
        <v>0</v>
      </c>
      <c r="HX100" s="123">
        <f>IF(Adm!$GH$6="si",MIN(HY99+HQ100+HT100+HU100+HV100-HW100,IH100),0)</f>
        <v>0</v>
      </c>
      <c r="HY100" s="297">
        <f t="shared" si="250"/>
        <v>0</v>
      </c>
      <c r="HZ100" s="74"/>
      <c r="IA100" s="407">
        <f t="shared" si="251"/>
        <v>0</v>
      </c>
      <c r="IC100" s="90">
        <f t="shared" si="252"/>
        <v>4</v>
      </c>
      <c r="ID100" s="124">
        <f>IF(IC100=1,Cal!$BO$127,0)</f>
        <v>0</v>
      </c>
      <c r="IE100" s="178">
        <f>IF(IC100=1,Adm!$HI$4,0)</f>
        <v>0</v>
      </c>
      <c r="IG100" s="70">
        <f t="shared" si="275"/>
        <v>0</v>
      </c>
      <c r="IH100" s="2178">
        <f t="shared" ca="1" si="253"/>
        <v>0</v>
      </c>
      <c r="IK100" s="217"/>
      <c r="IL100" s="26">
        <f t="shared" ca="1" si="193"/>
        <v>7</v>
      </c>
      <c r="IN100" s="268">
        <f t="shared" si="194"/>
        <v>0</v>
      </c>
      <c r="IO100" s="151">
        <f t="shared" si="154"/>
        <v>0</v>
      </c>
      <c r="IP100" s="123">
        <f t="shared" si="254"/>
        <v>0</v>
      </c>
      <c r="IQ100" s="123">
        <f t="shared" si="255"/>
        <v>0</v>
      </c>
      <c r="IR100" s="123">
        <f t="shared" si="256"/>
        <v>0</v>
      </c>
      <c r="IS100" s="123">
        <f>IF(IX99&lt;0.01,0,IF(Adm!$GS$4=Adm!$GS$8,IX99*$IX$15,IF(Adm!$GS$12=Adm!$GS$13,0,IX99*Adm!$GV$4)))</f>
        <v>0</v>
      </c>
      <c r="IT100" s="123"/>
      <c r="IU100" s="123">
        <f t="shared" si="257"/>
        <v>0</v>
      </c>
      <c r="IV100" s="123">
        <f t="shared" si="258"/>
        <v>0</v>
      </c>
      <c r="IW100" s="123"/>
      <c r="IX100" s="297">
        <f t="shared" si="259"/>
        <v>0</v>
      </c>
      <c r="IY100" s="74"/>
      <c r="IZ100" s="416">
        <f t="shared" si="260"/>
        <v>0</v>
      </c>
      <c r="JB100" s="90">
        <f t="shared" si="261"/>
        <v>4</v>
      </c>
      <c r="JC100" s="124">
        <f>IF(JB100=1,Cal!$BP$127,0)</f>
        <v>0</v>
      </c>
      <c r="JD100" s="178">
        <f>IF(JB100=1,Adm!$HI$4,0)</f>
        <v>0</v>
      </c>
    </row>
    <row r="101" spans="1:264">
      <c r="A101" s="26">
        <f t="shared" ca="1" si="162"/>
        <v>8</v>
      </c>
      <c r="C101" s="33">
        <f t="shared" si="163"/>
        <v>0</v>
      </c>
      <c r="D101" s="123">
        <f t="shared" si="195"/>
        <v>0</v>
      </c>
      <c r="E101" s="123">
        <f t="shared" si="147"/>
        <v>0</v>
      </c>
      <c r="F101" s="123">
        <f t="shared" si="149"/>
        <v>0</v>
      </c>
      <c r="G101" s="123">
        <f>IF(L100&lt;0.01,0,IF(Adm!$S$4=Adm!$S$8,L100*$L$15,L100*Adm!$V$4))</f>
        <v>0</v>
      </c>
      <c r="H101" s="123">
        <f>IF(L100&lt;0.01,0,IF(Adm!$S$5=Adm!$S$8,Adm!$AA$11*$L$16/1.16,IF(Adm!$B$4=Adm!$A$119,0,Adm!$AA$11*Adm!$X$4/1.16)))</f>
        <v>0</v>
      </c>
      <c r="I101" s="123">
        <f>IF(L100&lt;0.01,0,Cal!$AB$126/1.16)</f>
        <v>0</v>
      </c>
      <c r="J101" s="123">
        <f t="shared" si="164"/>
        <v>0</v>
      </c>
      <c r="K101" s="123">
        <f>IF(Adm!$G$4="si",MIN(L100+D101+G101+H101+I101-J101,V101),0)</f>
        <v>0</v>
      </c>
      <c r="L101" s="123">
        <f t="shared" si="196"/>
        <v>0</v>
      </c>
      <c r="M101" s="74"/>
      <c r="N101" s="74"/>
      <c r="O101" s="407">
        <f t="shared" si="197"/>
        <v>0</v>
      </c>
      <c r="R101" s="90">
        <f t="shared" si="198"/>
        <v>5</v>
      </c>
      <c r="S101" s="121">
        <f>IF(R101=1,Cal!$AB$127,0)</f>
        <v>0</v>
      </c>
      <c r="U101" s="70">
        <f t="shared" si="262"/>
        <v>0</v>
      </c>
      <c r="V101" s="2178">
        <f t="shared" ca="1" si="199"/>
        <v>0</v>
      </c>
      <c r="X101" s="398"/>
      <c r="Z101" s="268">
        <f t="shared" si="165"/>
        <v>0</v>
      </c>
      <c r="AA101" s="2176">
        <f t="shared" si="200"/>
        <v>0</v>
      </c>
      <c r="AB101" s="33">
        <f t="shared" si="201"/>
        <v>0</v>
      </c>
      <c r="AC101" s="33">
        <f t="shared" si="202"/>
        <v>0</v>
      </c>
      <c r="AD101" s="33">
        <f>IF(AI100&lt;0.01,0,IF(Adm!$S$4=Adm!$S$8,AI100*$AI$15,AI100*Adm!$V$4))</f>
        <v>0</v>
      </c>
      <c r="AE101" s="33"/>
      <c r="AF101" s="33"/>
      <c r="AG101" s="33">
        <f t="shared" si="166"/>
        <v>0</v>
      </c>
      <c r="AH101" s="33"/>
      <c r="AI101" s="401">
        <f t="shared" si="167"/>
        <v>0</v>
      </c>
      <c r="AK101" s="410">
        <f t="shared" si="168"/>
        <v>0</v>
      </c>
      <c r="AN101" s="90">
        <f t="shared" si="203"/>
        <v>5</v>
      </c>
      <c r="AO101" s="121">
        <f>IF(AN101=1,Cal!$AC$127,0)</f>
        <v>0</v>
      </c>
      <c r="AS101" s="200"/>
      <c r="AU101" s="268">
        <f t="shared" si="169"/>
        <v>0</v>
      </c>
      <c r="AV101" s="2177">
        <f t="shared" si="204"/>
        <v>0</v>
      </c>
      <c r="AW101" s="123">
        <f t="shared" si="170"/>
        <v>0</v>
      </c>
      <c r="AX101" s="123">
        <f t="shared" si="205"/>
        <v>0</v>
      </c>
      <c r="AY101" s="123">
        <f>IF(BC100&lt;0.01,0,IF(Adm!$S$4=Adm!$S$8,BC100*$BC$16,BC100*Adm!$V$4))</f>
        <v>0</v>
      </c>
      <c r="AZ101" s="123"/>
      <c r="BA101" s="123">
        <f>IF(BC100&lt;0.01,0,Adm!$Q$6)</f>
        <v>0</v>
      </c>
      <c r="BB101" s="123">
        <f t="shared" si="171"/>
        <v>0</v>
      </c>
      <c r="BC101" s="297">
        <f t="shared" si="206"/>
        <v>0</v>
      </c>
      <c r="BE101" s="425">
        <f t="shared" si="172"/>
        <v>0</v>
      </c>
      <c r="BH101" s="90">
        <f t="shared" si="207"/>
        <v>5</v>
      </c>
      <c r="BI101" s="121">
        <f>IF(BH101=1,Cal!$AD$127,0)</f>
        <v>0</v>
      </c>
      <c r="BM101" s="221"/>
      <c r="BO101" s="295">
        <f t="shared" ca="1" si="173"/>
        <v>8</v>
      </c>
      <c r="BP101" s="268">
        <f t="shared" si="174"/>
        <v>0</v>
      </c>
      <c r="BQ101" s="123">
        <f t="shared" si="208"/>
        <v>0</v>
      </c>
      <c r="BR101" s="123">
        <f t="shared" si="148"/>
        <v>0</v>
      </c>
      <c r="BS101" s="123">
        <f t="shared" si="150"/>
        <v>0</v>
      </c>
      <c r="BT101" s="123">
        <f>IF(BZ100&lt;0.01,0,IF(Plus!$F$22=Plus!$AN$4,BZ100*$BZ$15,IF(Plus!$F$22=Plus!$AN$3,BZ100*Plus!$F$23/1000,BZ100*VLOOKUP(Plus!$G$21,Plus!$AP$2:'Plus'!$AQ$5,2,0))))</f>
        <v>0</v>
      </c>
      <c r="BU101" s="123">
        <f>IF(BZ100&lt;0.01,0,IF(Plus!$F$24=Plus!$AO$3,Plus!$G$13*Plus!$AR$2/1.16,IF(Plus!$F$10=Plus!$AK$7,0,Plus!$G$13*Plus!$AR$2/1.16)))</f>
        <v>0</v>
      </c>
      <c r="BV101" s="123">
        <f>IF(BZ100&lt;0.01,0,Plus!$BD$2)</f>
        <v>0</v>
      </c>
      <c r="BW101" s="123"/>
      <c r="BX101" s="123">
        <f t="shared" si="175"/>
        <v>0</v>
      </c>
      <c r="BY101" s="123">
        <f>IF(Plus!$F$10=Plus!$AK$3,MIN(BZ100+BQ101+BT101+BU101+BV101-BX101,CJ101),0)</f>
        <v>0</v>
      </c>
      <c r="BZ101" s="297">
        <f t="shared" si="280"/>
        <v>0</v>
      </c>
      <c r="CA101" s="74"/>
      <c r="CB101" s="74"/>
      <c r="CC101" s="413">
        <f t="shared" si="209"/>
        <v>0</v>
      </c>
      <c r="CF101" s="90">
        <f t="shared" si="210"/>
        <v>5</v>
      </c>
      <c r="CG101" s="121">
        <f t="shared" si="263"/>
        <v>0</v>
      </c>
      <c r="CI101" s="70">
        <f t="shared" si="264"/>
        <v>0</v>
      </c>
      <c r="CJ101" s="2178">
        <f t="shared" ca="1" si="211"/>
        <v>0</v>
      </c>
      <c r="CL101" s="161"/>
      <c r="CN101" s="308">
        <f t="shared" ca="1" si="176"/>
        <v>8</v>
      </c>
      <c r="CO101" s="309">
        <f t="shared" si="212"/>
        <v>0</v>
      </c>
      <c r="CP101" s="268">
        <f t="shared" si="177"/>
        <v>0</v>
      </c>
      <c r="CQ101" s="123">
        <f t="shared" si="213"/>
        <v>0</v>
      </c>
      <c r="CR101" s="123">
        <f t="shared" si="137"/>
        <v>0</v>
      </c>
      <c r="CS101" s="123">
        <f t="shared" si="138"/>
        <v>0</v>
      </c>
      <c r="CT101" s="33">
        <f>IF(CZ100&lt;0.01,0,IF(Plus!$F$22=Plus!$AN$4,0,IF(Plus!$F$22=Plus!$AN$3,CZ100*Plus!$F$23/1000,CZ100*VLOOKUP(Plus!$G$21,Plus!$AP$2:'Plus'!$AQ$5,2,0))))</f>
        <v>0</v>
      </c>
      <c r="CU101" s="123">
        <f>IF(CZ100&lt;0.01,0,IF(Plus!$F$24=Plus!$AO$3,0,IF(OR(Plus!$F$10=Plus!$AK$7,Plus!$F$10=Plus!$AK$13),0,Plus!$G$13*Plus!$AR$2)))</f>
        <v>0</v>
      </c>
      <c r="CV101" s="123">
        <f>IF(CZ100&lt;0.01,0,IF(OR(Plus!$F$10=Plus!$AK$7,Plus!$F$10=Plus!$AK$13),0,Plus!$BD$2*1.16))</f>
        <v>0</v>
      </c>
      <c r="CW101" s="123">
        <f>IF(CZ100&lt;0.01,0,IF(Plus!$AS$2&gt;0,CQ101*Plus!$AS$3,0))</f>
        <v>0</v>
      </c>
      <c r="CX101" s="123">
        <f t="shared" si="214"/>
        <v>0</v>
      </c>
      <c r="CY101" s="123">
        <f>IF(Plus!$F$10=Plus!$AK$3,MIN(CZ100+CQ101+CT101+CU101+CV101-CX101,DK101),0)</f>
        <v>0</v>
      </c>
      <c r="CZ101" s="297">
        <f t="shared" si="146"/>
        <v>0</v>
      </c>
      <c r="DA101" s="306">
        <f>Plus!O142</f>
        <v>0</v>
      </c>
      <c r="DB101" s="74"/>
      <c r="DC101" s="74"/>
      <c r="DD101" s="407">
        <f t="shared" si="215"/>
        <v>0</v>
      </c>
      <c r="DG101" s="90">
        <f t="shared" si="216"/>
        <v>5</v>
      </c>
      <c r="DH101" s="121">
        <f t="shared" si="265"/>
        <v>0</v>
      </c>
      <c r="DJ101" s="149">
        <f t="shared" si="266"/>
        <v>0</v>
      </c>
      <c r="DK101" s="2179">
        <f t="shared" ca="1" si="217"/>
        <v>0</v>
      </c>
      <c r="DN101" s="120">
        <f t="shared" si="267"/>
        <v>0</v>
      </c>
      <c r="DO101" s="110">
        <f t="shared" si="218"/>
        <v>0</v>
      </c>
      <c r="DP101" s="110">
        <f t="shared" si="276"/>
        <v>0</v>
      </c>
      <c r="DQ101" s="109">
        <f t="shared" si="219"/>
        <v>0</v>
      </c>
      <c r="DR101" s="109">
        <f t="shared" si="220"/>
        <v>0</v>
      </c>
      <c r="DS101" s="113">
        <f t="shared" si="221"/>
        <v>0</v>
      </c>
      <c r="DU101" s="102">
        <f t="shared" si="222"/>
        <v>0</v>
      </c>
      <c r="DV101" s="211">
        <f t="shared" si="277"/>
        <v>77</v>
      </c>
      <c r="DW101" s="212">
        <f t="shared" si="223"/>
        <v>0</v>
      </c>
      <c r="DX101" s="212">
        <f t="shared" si="178"/>
        <v>0</v>
      </c>
      <c r="DY101" s="212">
        <f t="shared" si="268"/>
        <v>0</v>
      </c>
      <c r="DZ101" s="213">
        <f t="shared" si="179"/>
        <v>1000000</v>
      </c>
      <c r="ED101" s="182"/>
      <c r="EF101" s="308">
        <f t="shared" ca="1" si="180"/>
        <v>8</v>
      </c>
      <c r="EG101" s="309">
        <f t="shared" si="224"/>
        <v>0</v>
      </c>
      <c r="EH101" s="268">
        <f t="shared" si="181"/>
        <v>0</v>
      </c>
      <c r="EI101" s="33">
        <f t="shared" si="225"/>
        <v>0</v>
      </c>
      <c r="EJ101" s="33">
        <f t="shared" si="139"/>
        <v>0</v>
      </c>
      <c r="EK101" s="33">
        <f t="shared" si="151"/>
        <v>0</v>
      </c>
      <c r="EL101" s="33">
        <f>IF(ER100&lt;0.01,0,IF(Plus!$F$22=Plus!$AN$4,0,IF(Plus!$F$22=Plus!$AN$3,ER100*Plus!$F$23/1000,ER100*VLOOKUP(Plus!$G$21,Plus!$AP$2:'Plus'!$AQ$5,2,0))))</f>
        <v>0</v>
      </c>
      <c r="EM101" s="33">
        <f>IF(ER100&lt;0.01,0,IF(Plus!$F$24=Plus!$AO$3,0,IF(OR(Plus!$F$10=Plus!$AK$7,Plus!$F$10=Plus!$AK$13),0,Plus!$G$13*Plus!$AR$2)))</f>
        <v>0</v>
      </c>
      <c r="EN101" s="33">
        <f>IF(ER100&lt;0.01,0,IF(OR(Plus!$F$10=Plus!$AK$7,Plus!$F$10=Plus!$AK$13),0,Plus!$BD$2*1.16))</f>
        <v>0</v>
      </c>
      <c r="EO101" s="33">
        <f>IF(ER100&lt;0.01,0,IF(Plus!$AS$2&gt;0,EI101*Plus!$AS$3,0))</f>
        <v>0</v>
      </c>
      <c r="EP101" s="33">
        <f t="shared" si="226"/>
        <v>0</v>
      </c>
      <c r="EQ101" s="33">
        <f>IF(Plus!$F$10=Plus!$AK$3,MIN(ER100+EI101+EL101+EM101+EN101-EP101,FC101),0)</f>
        <v>0</v>
      </c>
      <c r="ER101" s="311">
        <f t="shared" si="285"/>
        <v>0</v>
      </c>
      <c r="ES101" s="340">
        <f>Plus!O142</f>
        <v>0</v>
      </c>
      <c r="ET101" s="74"/>
      <c r="EU101" s="74"/>
      <c r="EV101" s="416">
        <f t="shared" si="281"/>
        <v>0</v>
      </c>
      <c r="EY101" s="90">
        <f t="shared" si="227"/>
        <v>5</v>
      </c>
      <c r="EZ101" s="121">
        <f t="shared" si="269"/>
        <v>0</v>
      </c>
      <c r="FB101" s="149">
        <f t="shared" si="270"/>
        <v>0</v>
      </c>
      <c r="FC101" s="2179">
        <f t="shared" ca="1" si="228"/>
        <v>0</v>
      </c>
      <c r="FE101" s="120">
        <f t="shared" si="271"/>
        <v>0</v>
      </c>
      <c r="FF101" s="110">
        <f t="shared" si="229"/>
        <v>0</v>
      </c>
      <c r="FG101" s="110">
        <f t="shared" si="230"/>
        <v>0</v>
      </c>
      <c r="FH101" s="109">
        <f t="shared" si="231"/>
        <v>0</v>
      </c>
      <c r="FI101" s="109">
        <f t="shared" si="182"/>
        <v>0</v>
      </c>
      <c r="FJ101" s="113">
        <f t="shared" si="232"/>
        <v>0</v>
      </c>
      <c r="FL101" s="102">
        <f t="shared" si="233"/>
        <v>0</v>
      </c>
      <c r="FM101" s="211">
        <f t="shared" si="278"/>
        <v>77</v>
      </c>
      <c r="FN101" s="212">
        <f t="shared" si="234"/>
        <v>0</v>
      </c>
      <c r="FO101" s="212">
        <f t="shared" si="183"/>
        <v>0</v>
      </c>
      <c r="FP101" s="212">
        <f t="shared" si="282"/>
        <v>0</v>
      </c>
      <c r="FQ101" s="213">
        <f t="shared" si="184"/>
        <v>1000000</v>
      </c>
      <c r="FV101" s="359"/>
      <c r="FX101" s="308">
        <f t="shared" ca="1" si="185"/>
        <v>8</v>
      </c>
      <c r="FY101" s="309">
        <f t="shared" si="235"/>
        <v>0</v>
      </c>
      <c r="FZ101" s="268">
        <f t="shared" si="186"/>
        <v>0</v>
      </c>
      <c r="GA101" s="33">
        <f t="shared" si="236"/>
        <v>0</v>
      </c>
      <c r="GB101" s="33">
        <f t="shared" si="141"/>
        <v>0</v>
      </c>
      <c r="GC101" s="33">
        <f t="shared" si="142"/>
        <v>0</v>
      </c>
      <c r="GD101" s="33">
        <f>IF(GJ100&lt;0.01,0,IF(Plus!$F$22=Plus!$AN$4,0,IF(Plus!$F$22=Plus!$AN$3,GJ100*Plus!$F$23/1000,GJ100*VLOOKUP(Plus!$G$21,Plus!$AP$2:$AQ$5,2,0))))</f>
        <v>0</v>
      </c>
      <c r="GE101" s="33">
        <f>IF(GJ100&lt;0.01,0,IF(Plus!$F$24=Plus!$AO$3,0,IF(OR(Plus!$F$10=Plus!$AK$7,Plus!$F$10=Plus!$AK$13,Plus!$F$10=Plus!$AK$14),0,IF(OR(Plus!$F$10=Plus!$AK$10,Plus!$F$10=Plus!$AK$11),Plus!$G$13*Adm!$W$7,Plus!$G$13*Adm!$X$4))))</f>
        <v>0</v>
      </c>
      <c r="GF101" s="33">
        <f>IF(GJ100&lt;0.01,0,IF(OR(Plus!$F$10=Plus!$AK$7,Plus!$F$10=Plus!$AK$13),0,Plus!$BD$2*1.16))</f>
        <v>0</v>
      </c>
      <c r="GG101" s="33">
        <f>IF(GJ100&lt;0.01,0,IF(Plus!$AS$2&gt;0,GA101*Plus!$AS$3,0))</f>
        <v>0</v>
      </c>
      <c r="GH101" s="33">
        <f t="shared" si="237"/>
        <v>0</v>
      </c>
      <c r="GI101" s="33">
        <f>IF(Plus!$F$10=Plus!$AK$3,MIN(GJ100+GA101+GD101+GE101+GF101-GH101,GU101),0)</f>
        <v>0</v>
      </c>
      <c r="GJ101" s="311">
        <f t="shared" si="286"/>
        <v>0</v>
      </c>
      <c r="GK101" s="340">
        <f>Plus!O142</f>
        <v>0</v>
      </c>
      <c r="GL101" s="74"/>
      <c r="GM101" s="74"/>
      <c r="GN101" s="419">
        <f t="shared" si="283"/>
        <v>0</v>
      </c>
      <c r="GQ101" s="90">
        <f t="shared" si="238"/>
        <v>5</v>
      </c>
      <c r="GR101" s="121">
        <f t="shared" si="272"/>
        <v>0</v>
      </c>
      <c r="GT101" s="149">
        <f t="shared" si="273"/>
        <v>0</v>
      </c>
      <c r="GU101" s="2179">
        <f t="shared" ca="1" si="239"/>
        <v>0</v>
      </c>
      <c r="GW101" s="120">
        <f t="shared" si="274"/>
        <v>0</v>
      </c>
      <c r="GX101" s="110">
        <f t="shared" si="240"/>
        <v>0</v>
      </c>
      <c r="GY101" s="110">
        <f t="shared" si="241"/>
        <v>0</v>
      </c>
      <c r="GZ101" s="109">
        <f t="shared" si="242"/>
        <v>0</v>
      </c>
      <c r="HA101" s="109">
        <f t="shared" si="187"/>
        <v>0</v>
      </c>
      <c r="HB101" s="113">
        <f t="shared" si="243"/>
        <v>0</v>
      </c>
      <c r="HD101" s="102">
        <f t="shared" si="244"/>
        <v>0</v>
      </c>
      <c r="HE101" s="211">
        <f t="shared" si="279"/>
        <v>77</v>
      </c>
      <c r="HF101" s="212">
        <f t="shared" si="245"/>
        <v>0</v>
      </c>
      <c r="HG101" s="212">
        <f t="shared" si="188"/>
        <v>0</v>
      </c>
      <c r="HH101" s="212">
        <f t="shared" si="284"/>
        <v>0</v>
      </c>
      <c r="HI101" s="213">
        <f t="shared" si="189"/>
        <v>1000000</v>
      </c>
      <c r="HL101" s="182"/>
      <c r="HM101" s="26">
        <f t="shared" ca="1" si="190"/>
        <v>8</v>
      </c>
      <c r="HO101" s="268">
        <f t="shared" si="191"/>
        <v>0</v>
      </c>
      <c r="HP101" s="151">
        <f t="shared" si="157"/>
        <v>0</v>
      </c>
      <c r="HQ101" s="123">
        <f t="shared" si="246"/>
        <v>0</v>
      </c>
      <c r="HR101" s="123">
        <f t="shared" si="247"/>
        <v>0</v>
      </c>
      <c r="HS101" s="123">
        <f t="shared" si="248"/>
        <v>0</v>
      </c>
      <c r="HT101" s="123">
        <f>IF(HY100&lt;0.01,0,IF(Adm!$GS$4=Adm!$GS$8,HY100*$HY$15,IF(Adm!$GS$12=Adm!$GS$13,0,HY100*Adm!$GV$4)))</f>
        <v>0</v>
      </c>
      <c r="HU101" s="123">
        <f>IF(HY100&lt;0.01,0,IF(Adm!$GS$5=Adm!$GS$8,Cal!$BO$108*$HY$16/1.16,IF(Adm!$GS$12=Adm!$GS$13,0,Cal!$BO$108*Adm!$GW$4/1.16)))</f>
        <v>0</v>
      </c>
      <c r="HV101" s="123">
        <f t="shared" si="249"/>
        <v>0</v>
      </c>
      <c r="HW101" s="123">
        <f t="shared" si="192"/>
        <v>0</v>
      </c>
      <c r="HX101" s="123">
        <f>IF(Adm!$GH$6="si",MIN(HY100+HQ101+HT101+HU101+HV101-HW101,IH101),0)</f>
        <v>0</v>
      </c>
      <c r="HY101" s="297">
        <f t="shared" si="250"/>
        <v>0</v>
      </c>
      <c r="HZ101" s="74"/>
      <c r="IA101" s="407">
        <f t="shared" si="251"/>
        <v>0</v>
      </c>
      <c r="IC101" s="90">
        <f t="shared" si="252"/>
        <v>5</v>
      </c>
      <c r="ID101" s="124">
        <f>IF(IC101=1,Cal!$BO$127,0)</f>
        <v>0</v>
      </c>
      <c r="IE101" s="178">
        <f>IF(IC101=1,Adm!$HI$4,0)</f>
        <v>0</v>
      </c>
      <c r="IG101" s="70">
        <f t="shared" si="275"/>
        <v>0</v>
      </c>
      <c r="IH101" s="2178">
        <f t="shared" ca="1" si="253"/>
        <v>0</v>
      </c>
      <c r="IK101" s="217"/>
      <c r="IL101" s="26">
        <f t="shared" ca="1" si="193"/>
        <v>8</v>
      </c>
      <c r="IN101" s="268">
        <f t="shared" si="194"/>
        <v>0</v>
      </c>
      <c r="IO101" s="151">
        <f t="shared" si="154"/>
        <v>0</v>
      </c>
      <c r="IP101" s="123">
        <f t="shared" si="254"/>
        <v>0</v>
      </c>
      <c r="IQ101" s="123">
        <f t="shared" si="255"/>
        <v>0</v>
      </c>
      <c r="IR101" s="123">
        <f t="shared" si="256"/>
        <v>0</v>
      </c>
      <c r="IS101" s="123">
        <f>IF(IX100&lt;0.01,0,IF(Adm!$GS$4=Adm!$GS$8,IX100*$IX$15,IF(Adm!$GS$12=Adm!$GS$13,0,IX100*Adm!$GV$4)))</f>
        <v>0</v>
      </c>
      <c r="IT101" s="123"/>
      <c r="IU101" s="123">
        <f t="shared" si="257"/>
        <v>0</v>
      </c>
      <c r="IV101" s="123">
        <f t="shared" si="258"/>
        <v>0</v>
      </c>
      <c r="IW101" s="123"/>
      <c r="IX101" s="297">
        <f t="shared" si="259"/>
        <v>0</v>
      </c>
      <c r="IY101" s="74"/>
      <c r="IZ101" s="416">
        <f t="shared" si="260"/>
        <v>0</v>
      </c>
      <c r="JB101" s="90">
        <f t="shared" si="261"/>
        <v>5</v>
      </c>
      <c r="JC101" s="124">
        <f>IF(JB101=1,Cal!$BP$127,0)</f>
        <v>0</v>
      </c>
      <c r="JD101" s="178">
        <f>IF(JB101=1,Adm!$HI$4,0)</f>
        <v>0</v>
      </c>
    </row>
    <row r="102" spans="1:264">
      <c r="A102" s="26">
        <f t="shared" ca="1" si="162"/>
        <v>9</v>
      </c>
      <c r="C102" s="33">
        <f t="shared" si="163"/>
        <v>0</v>
      </c>
      <c r="D102" s="123">
        <f t="shared" si="195"/>
        <v>0</v>
      </c>
      <c r="E102" s="123">
        <f t="shared" ref="E102:E165" si="287">IF(L101&lt;0.01,0,F102-D102)</f>
        <v>0</v>
      </c>
      <c r="F102" s="123">
        <f t="shared" si="149"/>
        <v>0</v>
      </c>
      <c r="G102" s="123">
        <f>IF(L101&lt;0.01,0,IF(Adm!$S$4=Adm!$S$8,L101*$L$15,L101*Adm!$V$4))</f>
        <v>0</v>
      </c>
      <c r="H102" s="123">
        <f>IF(L101&lt;0.01,0,IF(Adm!$S$5=Adm!$S$8,Adm!$AA$11*$L$16/1.16,IF(Adm!$B$4=Adm!$A$119,0,Adm!$AA$11*Adm!$X$4/1.16)))</f>
        <v>0</v>
      </c>
      <c r="I102" s="123">
        <f>IF(L101&lt;0.01,0,Cal!$AB$126/1.16)</f>
        <v>0</v>
      </c>
      <c r="J102" s="123">
        <f t="shared" si="164"/>
        <v>0</v>
      </c>
      <c r="K102" s="123">
        <f>IF(Adm!$G$4="si",MIN(L101+D102+G102+H102+I102-J102,V102),0)</f>
        <v>0</v>
      </c>
      <c r="L102" s="123">
        <f t="shared" si="196"/>
        <v>0</v>
      </c>
      <c r="M102" s="74"/>
      <c r="N102" s="74"/>
      <c r="O102" s="407">
        <f t="shared" si="197"/>
        <v>0</v>
      </c>
      <c r="R102" s="90">
        <f t="shared" si="198"/>
        <v>6</v>
      </c>
      <c r="S102" s="121">
        <f>IF(R102=1,Cal!$AB$127,0)</f>
        <v>0</v>
      </c>
      <c r="U102" s="70">
        <f t="shared" si="262"/>
        <v>0</v>
      </c>
      <c r="V102" s="2178">
        <f t="shared" ca="1" si="199"/>
        <v>0</v>
      </c>
      <c r="X102" s="398"/>
      <c r="Z102" s="268">
        <f t="shared" si="165"/>
        <v>0</v>
      </c>
      <c r="AA102" s="2176">
        <f t="shared" si="200"/>
        <v>0</v>
      </c>
      <c r="AB102" s="33">
        <f t="shared" si="201"/>
        <v>0</v>
      </c>
      <c r="AC102" s="33">
        <f t="shared" si="202"/>
        <v>0</v>
      </c>
      <c r="AD102" s="33">
        <f>IF(AI101&lt;0.01,0,IF(Adm!$S$4=Adm!$S$8,AI101*$AI$15,AI101*Adm!$V$4))</f>
        <v>0</v>
      </c>
      <c r="AE102" s="33"/>
      <c r="AF102" s="33"/>
      <c r="AG102" s="33">
        <f t="shared" si="166"/>
        <v>0</v>
      </c>
      <c r="AH102" s="33"/>
      <c r="AI102" s="401">
        <f t="shared" si="167"/>
        <v>0</v>
      </c>
      <c r="AK102" s="410">
        <f t="shared" si="168"/>
        <v>0</v>
      </c>
      <c r="AN102" s="90">
        <f t="shared" si="203"/>
        <v>6</v>
      </c>
      <c r="AO102" s="121">
        <f>IF(AN102=1,Cal!$AC$127,0)</f>
        <v>0</v>
      </c>
      <c r="AS102" s="200"/>
      <c r="AU102" s="268">
        <f t="shared" si="169"/>
        <v>0</v>
      </c>
      <c r="AV102" s="2177">
        <f t="shared" si="204"/>
        <v>0</v>
      </c>
      <c r="AW102" s="123">
        <f t="shared" si="170"/>
        <v>0</v>
      </c>
      <c r="AX102" s="123">
        <f t="shared" si="205"/>
        <v>0</v>
      </c>
      <c r="AY102" s="123">
        <f>IF(BC101&lt;0.01,0,IF(Adm!$S$4=Adm!$S$8,BC101*$BC$16,BC101*Adm!$V$4))</f>
        <v>0</v>
      </c>
      <c r="AZ102" s="123"/>
      <c r="BA102" s="123">
        <f>IF(BC101&lt;0.01,0,Adm!$Q$6)</f>
        <v>0</v>
      </c>
      <c r="BB102" s="123">
        <f t="shared" si="171"/>
        <v>0</v>
      </c>
      <c r="BC102" s="297">
        <f t="shared" si="206"/>
        <v>0</v>
      </c>
      <c r="BE102" s="425">
        <f t="shared" si="172"/>
        <v>0</v>
      </c>
      <c r="BH102" s="90">
        <f t="shared" si="207"/>
        <v>6</v>
      </c>
      <c r="BI102" s="121">
        <f>IF(BH102=1,Cal!$AD$127,0)</f>
        <v>0</v>
      </c>
      <c r="BM102" s="221"/>
      <c r="BO102" s="295">
        <f t="shared" ca="1" si="173"/>
        <v>9</v>
      </c>
      <c r="BP102" s="268">
        <f t="shared" si="174"/>
        <v>0</v>
      </c>
      <c r="BQ102" s="123">
        <f t="shared" si="208"/>
        <v>0</v>
      </c>
      <c r="BR102" s="123">
        <f t="shared" ref="BR102:BR165" si="288">IF(BZ101&lt;0.01,0,BS102-BQ102)</f>
        <v>0</v>
      </c>
      <c r="BS102" s="123">
        <f t="shared" si="150"/>
        <v>0</v>
      </c>
      <c r="BT102" s="123">
        <f>IF(BZ101&lt;0.01,0,IF(Plus!$F$22=Plus!$AN$4,BZ101*$BZ$15,IF(Plus!$F$22=Plus!$AN$3,BZ101*Plus!$F$23/1000,BZ101*VLOOKUP(Plus!$G$21,Plus!$AP$2:'Plus'!$AQ$5,2,0))))</f>
        <v>0</v>
      </c>
      <c r="BU102" s="123">
        <f>IF(BZ101&lt;0.01,0,IF(Plus!$F$24=Plus!$AO$3,Plus!$G$13*Plus!$AR$2/1.16,IF(Plus!$F$10=Plus!$AK$7,0,Plus!$G$13*Plus!$AR$2/1.16)))</f>
        <v>0</v>
      </c>
      <c r="BV102" s="123">
        <f>IF(BZ101&lt;0.01,0,Plus!$BD$2)</f>
        <v>0</v>
      </c>
      <c r="BW102" s="123"/>
      <c r="BX102" s="123">
        <f t="shared" si="175"/>
        <v>0</v>
      </c>
      <c r="BY102" s="123">
        <f>IF(Plus!$F$10=Plus!$AK$3,MIN(BZ101+BQ102+BT102+BU102+BV102-BX102,CJ102),0)</f>
        <v>0</v>
      </c>
      <c r="BZ102" s="297">
        <f t="shared" si="280"/>
        <v>0</v>
      </c>
      <c r="CA102" s="74"/>
      <c r="CB102" s="74"/>
      <c r="CC102" s="413">
        <f t="shared" si="209"/>
        <v>0</v>
      </c>
      <c r="CF102" s="90">
        <f t="shared" si="210"/>
        <v>6</v>
      </c>
      <c r="CG102" s="121">
        <f t="shared" si="263"/>
        <v>0</v>
      </c>
      <c r="CI102" s="70">
        <f t="shared" si="264"/>
        <v>0</v>
      </c>
      <c r="CJ102" s="2178">
        <f t="shared" ca="1" si="211"/>
        <v>0</v>
      </c>
      <c r="CL102" s="161"/>
      <c r="CN102" s="308">
        <f t="shared" ca="1" si="176"/>
        <v>9</v>
      </c>
      <c r="CO102" s="309">
        <f t="shared" si="212"/>
        <v>0</v>
      </c>
      <c r="CP102" s="268">
        <f t="shared" si="177"/>
        <v>0</v>
      </c>
      <c r="CQ102" s="123">
        <f t="shared" si="213"/>
        <v>0</v>
      </c>
      <c r="CR102" s="123">
        <f t="shared" ref="CR102:CR165" si="289">IF(CZ101&lt;0.01,0,MIN(CZ101,CS102-CQ102))</f>
        <v>0</v>
      </c>
      <c r="CS102" s="123">
        <f t="shared" ref="CS102:CS165" si="290">IF(CZ100&lt;0.1,0,MIN(CZ101+CQ102,IF(DN102&gt;0,DN102,CS101*(1+DH102))))</f>
        <v>0</v>
      </c>
      <c r="CT102" s="33">
        <f>IF(CZ101&lt;0.01,0,IF(Plus!$F$22=Plus!$AN$4,0,IF(Plus!$F$22=Plus!$AN$3,CZ101*Plus!$F$23/1000,CZ101*VLOOKUP(Plus!$G$21,Plus!$AP$2:'Plus'!$AQ$5,2,0))))</f>
        <v>0</v>
      </c>
      <c r="CU102" s="123">
        <f>IF(CZ101&lt;0.01,0,IF(Plus!$F$24=Plus!$AO$3,0,IF(OR(Plus!$F$10=Plus!$AK$7,Plus!$F$10=Plus!$AK$13),0,Plus!$G$13*Plus!$AR$2)))</f>
        <v>0</v>
      </c>
      <c r="CV102" s="123">
        <f>IF(CZ101&lt;0.01,0,IF(OR(Plus!$F$10=Plus!$AK$7,Plus!$F$10=Plus!$AK$13),0,Plus!$BD$2*1.16))</f>
        <v>0</v>
      </c>
      <c r="CW102" s="123">
        <f>IF(CZ101&lt;0.01,0,IF(Plus!$AS$2&gt;0,CQ102*Plus!$AS$3,0))</f>
        <v>0</v>
      </c>
      <c r="CX102" s="123">
        <f t="shared" si="214"/>
        <v>0</v>
      </c>
      <c r="CY102" s="123">
        <f>IF(Plus!$F$10=Plus!$AK$3,MIN(CZ101+CQ102+CT102+CU102+CV102-CX102,DK102),0)</f>
        <v>0</v>
      </c>
      <c r="CZ102" s="297">
        <f t="shared" si="146"/>
        <v>0</v>
      </c>
      <c r="DA102" s="306">
        <f>Plus!O143</f>
        <v>0</v>
      </c>
      <c r="DB102" s="74"/>
      <c r="DC102" s="74"/>
      <c r="DD102" s="407">
        <f t="shared" si="215"/>
        <v>0</v>
      </c>
      <c r="DG102" s="90">
        <f t="shared" si="216"/>
        <v>6</v>
      </c>
      <c r="DH102" s="121">
        <f t="shared" si="265"/>
        <v>0</v>
      </c>
      <c r="DJ102" s="149">
        <f t="shared" si="266"/>
        <v>0</v>
      </c>
      <c r="DK102" s="2179">
        <f t="shared" ca="1" si="217"/>
        <v>0</v>
      </c>
      <c r="DN102" s="120">
        <f t="shared" si="267"/>
        <v>0</v>
      </c>
      <c r="DO102" s="110">
        <f t="shared" si="218"/>
        <v>0</v>
      </c>
      <c r="DP102" s="110">
        <f t="shared" si="276"/>
        <v>0</v>
      </c>
      <c r="DQ102" s="109">
        <f t="shared" si="219"/>
        <v>0</v>
      </c>
      <c r="DR102" s="109">
        <f t="shared" si="220"/>
        <v>0</v>
      </c>
      <c r="DS102" s="113">
        <f t="shared" si="221"/>
        <v>0</v>
      </c>
      <c r="DU102" s="102">
        <f t="shared" si="222"/>
        <v>0</v>
      </c>
      <c r="DV102" s="211">
        <f t="shared" si="277"/>
        <v>78</v>
      </c>
      <c r="DW102" s="212">
        <f t="shared" si="223"/>
        <v>0</v>
      </c>
      <c r="DX102" s="212">
        <f t="shared" si="178"/>
        <v>0</v>
      </c>
      <c r="DY102" s="212">
        <f t="shared" si="268"/>
        <v>0</v>
      </c>
      <c r="DZ102" s="213">
        <f t="shared" si="179"/>
        <v>1000000</v>
      </c>
      <c r="ED102" s="182"/>
      <c r="EF102" s="308">
        <f t="shared" ca="1" si="180"/>
        <v>9</v>
      </c>
      <c r="EG102" s="309">
        <f t="shared" si="224"/>
        <v>0</v>
      </c>
      <c r="EH102" s="268">
        <f t="shared" si="181"/>
        <v>0</v>
      </c>
      <c r="EI102" s="33">
        <f t="shared" si="225"/>
        <v>0</v>
      </c>
      <c r="EJ102" s="33">
        <f t="shared" ref="EJ102:EJ165" si="291">IF(ER101&lt;0.01,0,MIN(ER101,EK102-EI102))</f>
        <v>0</v>
      </c>
      <c r="EK102" s="33">
        <f t="shared" si="151"/>
        <v>0</v>
      </c>
      <c r="EL102" s="33">
        <f>IF(ER101&lt;0.01,0,IF(Plus!$F$22=Plus!$AN$4,0,IF(Plus!$F$22=Plus!$AN$3,ER101*Plus!$F$23/1000,ER101*VLOOKUP(Plus!$G$21,Plus!$AP$2:'Plus'!$AQ$5,2,0))))</f>
        <v>0</v>
      </c>
      <c r="EM102" s="33">
        <f>IF(ER101&lt;0.01,0,IF(Plus!$F$24=Plus!$AO$3,0,IF(OR(Plus!$F$10=Plus!$AK$7,Plus!$F$10=Plus!$AK$13),0,Plus!$G$13*Plus!$AR$2)))</f>
        <v>0</v>
      </c>
      <c r="EN102" s="33">
        <f>IF(ER101&lt;0.01,0,IF(OR(Plus!$F$10=Plus!$AK$7,Plus!$F$10=Plus!$AK$13),0,Plus!$BD$2*1.16))</f>
        <v>0</v>
      </c>
      <c r="EO102" s="33">
        <f>IF(ER101&lt;0.01,0,IF(Plus!$AS$2&gt;0,EI102*Plus!$AS$3,0))</f>
        <v>0</v>
      </c>
      <c r="EP102" s="33">
        <f t="shared" si="226"/>
        <v>0</v>
      </c>
      <c r="EQ102" s="33">
        <f>IF(Plus!$F$10=Plus!$AK$3,MIN(ER101+EI102+EL102+EM102+EN102-EP102,FC102),0)</f>
        <v>0</v>
      </c>
      <c r="ER102" s="311">
        <f t="shared" si="285"/>
        <v>0</v>
      </c>
      <c r="ES102" s="340">
        <f>Plus!O143</f>
        <v>0</v>
      </c>
      <c r="ET102" s="74"/>
      <c r="EU102" s="74"/>
      <c r="EV102" s="416">
        <f t="shared" si="281"/>
        <v>0</v>
      </c>
      <c r="EY102" s="90">
        <f t="shared" si="227"/>
        <v>6</v>
      </c>
      <c r="EZ102" s="121">
        <f t="shared" si="269"/>
        <v>0</v>
      </c>
      <c r="FB102" s="149">
        <f t="shared" si="270"/>
        <v>0</v>
      </c>
      <c r="FC102" s="2179">
        <f t="shared" ca="1" si="228"/>
        <v>0</v>
      </c>
      <c r="FE102" s="120">
        <f t="shared" si="271"/>
        <v>0</v>
      </c>
      <c r="FF102" s="110">
        <f t="shared" si="229"/>
        <v>0</v>
      </c>
      <c r="FG102" s="110">
        <f t="shared" si="230"/>
        <v>0</v>
      </c>
      <c r="FH102" s="109">
        <f t="shared" si="231"/>
        <v>0</v>
      </c>
      <c r="FI102" s="109">
        <f t="shared" si="182"/>
        <v>0</v>
      </c>
      <c r="FJ102" s="113">
        <f t="shared" si="232"/>
        <v>0</v>
      </c>
      <c r="FL102" s="102">
        <f t="shared" si="233"/>
        <v>0</v>
      </c>
      <c r="FM102" s="211">
        <f t="shared" si="278"/>
        <v>78</v>
      </c>
      <c r="FN102" s="212">
        <f t="shared" si="234"/>
        <v>0</v>
      </c>
      <c r="FO102" s="212">
        <f t="shared" si="183"/>
        <v>0</v>
      </c>
      <c r="FP102" s="212">
        <f t="shared" si="282"/>
        <v>0</v>
      </c>
      <c r="FQ102" s="213">
        <f t="shared" si="184"/>
        <v>1000000</v>
      </c>
      <c r="FV102" s="359"/>
      <c r="FX102" s="308">
        <f t="shared" ca="1" si="185"/>
        <v>9</v>
      </c>
      <c r="FY102" s="309">
        <f t="shared" si="235"/>
        <v>0</v>
      </c>
      <c r="FZ102" s="268">
        <f t="shared" si="186"/>
        <v>0</v>
      </c>
      <c r="GA102" s="33">
        <f t="shared" si="236"/>
        <v>0</v>
      </c>
      <c r="GB102" s="33">
        <f t="shared" ref="GB102:GB165" si="292">IF(GJ101&lt;0.01,0,MIN(GJ101,GC102-GA102))</f>
        <v>0</v>
      </c>
      <c r="GC102" s="33">
        <f t="shared" ref="GC102:GC165" si="293">IF(GJ100&lt;0.1,0,MIN(GJ101+GA102,IF(GW102&gt;0,GW102,GC101*(1+GR102))))</f>
        <v>0</v>
      </c>
      <c r="GD102" s="33">
        <f>IF(GJ101&lt;0.01,0,IF(Plus!$F$22=Plus!$AN$4,0,IF(Plus!$F$22=Plus!$AN$3,GJ101*Plus!$F$23/1000,GJ101*VLOOKUP(Plus!$G$21,Plus!$AP$2:$AQ$5,2,0))))</f>
        <v>0</v>
      </c>
      <c r="GE102" s="33">
        <f>IF(GJ101&lt;0.01,0,IF(Plus!$F$24=Plus!$AO$3,0,IF(OR(Plus!$F$10=Plus!$AK$7,Plus!$F$10=Plus!$AK$13,Plus!$F$10=Plus!$AK$14),0,IF(OR(Plus!$F$10=Plus!$AK$10,Plus!$F$10=Plus!$AK$11),Plus!$G$13*Adm!$W$7,Plus!$G$13*Adm!$X$4))))</f>
        <v>0</v>
      </c>
      <c r="GF102" s="33">
        <f>IF(GJ101&lt;0.01,0,IF(OR(Plus!$F$10=Plus!$AK$7,Plus!$F$10=Plus!$AK$13),0,Plus!$BD$2*1.16))</f>
        <v>0</v>
      </c>
      <c r="GG102" s="33">
        <f>IF(GJ101&lt;0.01,0,IF(Plus!$AS$2&gt;0,GA102*Plus!$AS$3,0))</f>
        <v>0</v>
      </c>
      <c r="GH102" s="33">
        <f t="shared" si="237"/>
        <v>0</v>
      </c>
      <c r="GI102" s="33">
        <f>IF(Plus!$F$10=Plus!$AK$3,MIN(GJ101+GA102+GD102+GE102+GF102-GH102,GU102),0)</f>
        <v>0</v>
      </c>
      <c r="GJ102" s="311">
        <f t="shared" si="286"/>
        <v>0</v>
      </c>
      <c r="GK102" s="340">
        <f>Plus!O143</f>
        <v>0</v>
      </c>
      <c r="GL102" s="74"/>
      <c r="GM102" s="74"/>
      <c r="GN102" s="419">
        <f t="shared" si="283"/>
        <v>0</v>
      </c>
      <c r="GQ102" s="90">
        <f t="shared" si="238"/>
        <v>6</v>
      </c>
      <c r="GR102" s="121">
        <f t="shared" si="272"/>
        <v>0</v>
      </c>
      <c r="GT102" s="149">
        <f t="shared" si="273"/>
        <v>0</v>
      </c>
      <c r="GU102" s="2179">
        <f t="shared" ca="1" si="239"/>
        <v>0</v>
      </c>
      <c r="GW102" s="120">
        <f t="shared" si="274"/>
        <v>0</v>
      </c>
      <c r="GX102" s="110">
        <f t="shared" si="240"/>
        <v>0</v>
      </c>
      <c r="GY102" s="110">
        <f t="shared" si="241"/>
        <v>0</v>
      </c>
      <c r="GZ102" s="109">
        <f t="shared" si="242"/>
        <v>0</v>
      </c>
      <c r="HA102" s="109">
        <f t="shared" si="187"/>
        <v>0</v>
      </c>
      <c r="HB102" s="113">
        <f t="shared" si="243"/>
        <v>0</v>
      </c>
      <c r="HD102" s="102">
        <f t="shared" si="244"/>
        <v>0</v>
      </c>
      <c r="HE102" s="211">
        <f t="shared" si="279"/>
        <v>78</v>
      </c>
      <c r="HF102" s="212">
        <f t="shared" si="245"/>
        <v>0</v>
      </c>
      <c r="HG102" s="212">
        <f t="shared" si="188"/>
        <v>0</v>
      </c>
      <c r="HH102" s="212">
        <f t="shared" si="284"/>
        <v>0</v>
      </c>
      <c r="HI102" s="213">
        <f t="shared" si="189"/>
        <v>1000000</v>
      </c>
      <c r="HL102" s="182"/>
      <c r="HM102" s="26">
        <f t="shared" ca="1" si="190"/>
        <v>9</v>
      </c>
      <c r="HO102" s="268">
        <f t="shared" si="191"/>
        <v>0</v>
      </c>
      <c r="HP102" s="151">
        <f t="shared" si="157"/>
        <v>0</v>
      </c>
      <c r="HQ102" s="123">
        <f t="shared" si="246"/>
        <v>0</v>
      </c>
      <c r="HR102" s="123">
        <f t="shared" si="247"/>
        <v>0</v>
      </c>
      <c r="HS102" s="123">
        <f t="shared" si="248"/>
        <v>0</v>
      </c>
      <c r="HT102" s="123">
        <f>IF(HY101&lt;0.01,0,IF(Adm!$GS$4=Adm!$GS$8,HY101*$HY$15,IF(Adm!$GS$12=Adm!$GS$13,0,HY101*Adm!$GV$4)))</f>
        <v>0</v>
      </c>
      <c r="HU102" s="123">
        <f>IF(HY101&lt;0.01,0,IF(Adm!$GS$5=Adm!$GS$8,Cal!$BO$108*$HY$16/1.16,IF(Adm!$GS$12=Adm!$GS$13,0,Cal!$BO$108*Adm!$GW$4/1.16)))</f>
        <v>0</v>
      </c>
      <c r="HV102" s="123">
        <f t="shared" si="249"/>
        <v>0</v>
      </c>
      <c r="HW102" s="123">
        <f t="shared" si="192"/>
        <v>0</v>
      </c>
      <c r="HX102" s="123">
        <f>IF(Adm!$GH$6="si",MIN(HY101+HQ102+HT102+HU102+HV102-HW102,IH102),0)</f>
        <v>0</v>
      </c>
      <c r="HY102" s="297">
        <f t="shared" si="250"/>
        <v>0</v>
      </c>
      <c r="HZ102" s="74"/>
      <c r="IA102" s="407">
        <f t="shared" si="251"/>
        <v>0</v>
      </c>
      <c r="IC102" s="90">
        <f t="shared" si="252"/>
        <v>6</v>
      </c>
      <c r="ID102" s="124">
        <f>IF(IC102=1,Cal!$BO$127,0)</f>
        <v>0</v>
      </c>
      <c r="IE102" s="178">
        <f>IF(IC102=1,Adm!$HI$4,0)</f>
        <v>0</v>
      </c>
      <c r="IG102" s="70">
        <f t="shared" si="275"/>
        <v>0</v>
      </c>
      <c r="IH102" s="2178">
        <f t="shared" ca="1" si="253"/>
        <v>0</v>
      </c>
      <c r="IK102" s="217"/>
      <c r="IL102" s="26">
        <f t="shared" ca="1" si="193"/>
        <v>9</v>
      </c>
      <c r="IN102" s="268">
        <f t="shared" si="194"/>
        <v>0</v>
      </c>
      <c r="IO102" s="151">
        <f t="shared" si="154"/>
        <v>0</v>
      </c>
      <c r="IP102" s="123">
        <f t="shared" si="254"/>
        <v>0</v>
      </c>
      <c r="IQ102" s="123">
        <f t="shared" si="255"/>
        <v>0</v>
      </c>
      <c r="IR102" s="123">
        <f t="shared" si="256"/>
        <v>0</v>
      </c>
      <c r="IS102" s="123">
        <f>IF(IX101&lt;0.01,0,IF(Adm!$GS$4=Adm!$GS$8,IX101*$IX$15,IF(Adm!$GS$12=Adm!$GS$13,0,IX101*Adm!$GV$4)))</f>
        <v>0</v>
      </c>
      <c r="IT102" s="123"/>
      <c r="IU102" s="123">
        <f t="shared" si="257"/>
        <v>0</v>
      </c>
      <c r="IV102" s="123">
        <f t="shared" si="258"/>
        <v>0</v>
      </c>
      <c r="IW102" s="123"/>
      <c r="IX102" s="297">
        <f t="shared" si="259"/>
        <v>0</v>
      </c>
      <c r="IY102" s="74"/>
      <c r="IZ102" s="416">
        <f t="shared" si="260"/>
        <v>0</v>
      </c>
      <c r="JB102" s="90">
        <f t="shared" si="261"/>
        <v>6</v>
      </c>
      <c r="JC102" s="124">
        <f>IF(JB102=1,Cal!$BP$127,0)</f>
        <v>0</v>
      </c>
      <c r="JD102" s="178">
        <f>IF(JB102=1,Adm!$HI$4,0)</f>
        <v>0</v>
      </c>
    </row>
    <row r="103" spans="1:264">
      <c r="A103" s="26">
        <f t="shared" ca="1" si="162"/>
        <v>10</v>
      </c>
      <c r="C103" s="33">
        <f t="shared" si="163"/>
        <v>0</v>
      </c>
      <c r="D103" s="123">
        <f t="shared" si="195"/>
        <v>0</v>
      </c>
      <c r="E103" s="123">
        <f t="shared" si="287"/>
        <v>0</v>
      </c>
      <c r="F103" s="123">
        <f t="shared" si="149"/>
        <v>0</v>
      </c>
      <c r="G103" s="123">
        <f>IF(L102&lt;0.01,0,IF(Adm!$S$4=Adm!$S$8,L102*$L$15,L102*Adm!$V$4))</f>
        <v>0</v>
      </c>
      <c r="H103" s="123">
        <f>IF(L102&lt;0.01,0,IF(Adm!$S$5=Adm!$S$8,Adm!$AA$11*$L$16/1.16,IF(Adm!$B$4=Adm!$A$119,0,Adm!$AA$11*Adm!$X$4/1.16)))</f>
        <v>0</v>
      </c>
      <c r="I103" s="123">
        <f>IF(L102&lt;0.01,0,Cal!$AB$126/1.16)</f>
        <v>0</v>
      </c>
      <c r="J103" s="123">
        <f t="shared" si="164"/>
        <v>0</v>
      </c>
      <c r="K103" s="123">
        <f>IF(Adm!$G$4="si",MIN(L102+D103+G103+H103+I103-J103,V103),0)</f>
        <v>0</v>
      </c>
      <c r="L103" s="123">
        <f t="shared" si="196"/>
        <v>0</v>
      </c>
      <c r="M103" s="74"/>
      <c r="N103" s="74"/>
      <c r="O103" s="407">
        <f t="shared" si="197"/>
        <v>0</v>
      </c>
      <c r="R103" s="90">
        <f t="shared" si="198"/>
        <v>7</v>
      </c>
      <c r="S103" s="121">
        <f>IF(R103=1,Cal!$AB$127,0)</f>
        <v>0</v>
      </c>
      <c r="U103" s="70">
        <f t="shared" si="262"/>
        <v>0</v>
      </c>
      <c r="V103" s="2178">
        <f t="shared" ca="1" si="199"/>
        <v>0</v>
      </c>
      <c r="X103" s="398"/>
      <c r="Z103" s="268">
        <f t="shared" si="165"/>
        <v>0</v>
      </c>
      <c r="AA103" s="2176">
        <f t="shared" si="200"/>
        <v>0</v>
      </c>
      <c r="AB103" s="33">
        <f t="shared" si="201"/>
        <v>0</v>
      </c>
      <c r="AC103" s="33">
        <f t="shared" si="202"/>
        <v>0</v>
      </c>
      <c r="AD103" s="33">
        <f>IF(AI102&lt;0.01,0,IF(Adm!$S$4=Adm!$S$8,AI102*$AI$15,AI102*Adm!$V$4))</f>
        <v>0</v>
      </c>
      <c r="AE103" s="33"/>
      <c r="AF103" s="33"/>
      <c r="AG103" s="33">
        <f t="shared" si="166"/>
        <v>0</v>
      </c>
      <c r="AH103" s="33"/>
      <c r="AI103" s="401">
        <f t="shared" si="167"/>
        <v>0</v>
      </c>
      <c r="AK103" s="410">
        <f t="shared" si="168"/>
        <v>0</v>
      </c>
      <c r="AN103" s="90">
        <f t="shared" si="203"/>
        <v>7</v>
      </c>
      <c r="AO103" s="121">
        <f>IF(AN103=1,Cal!$AC$127,0)</f>
        <v>0</v>
      </c>
      <c r="AS103" s="200"/>
      <c r="AU103" s="268">
        <f t="shared" si="169"/>
        <v>0</v>
      </c>
      <c r="AV103" s="2177">
        <f t="shared" si="204"/>
        <v>0</v>
      </c>
      <c r="AW103" s="123">
        <f t="shared" si="170"/>
        <v>0</v>
      </c>
      <c r="AX103" s="123">
        <f t="shared" si="205"/>
        <v>0</v>
      </c>
      <c r="AY103" s="123">
        <f>IF(BC102&lt;0.01,0,IF(Adm!$S$4=Adm!$S$8,BC102*$BC$16,BC102*Adm!$V$4))</f>
        <v>0</v>
      </c>
      <c r="AZ103" s="123"/>
      <c r="BA103" s="123">
        <f>IF(BC102&lt;0.01,0,Adm!$Q$6)</f>
        <v>0</v>
      </c>
      <c r="BB103" s="123">
        <f t="shared" si="171"/>
        <v>0</v>
      </c>
      <c r="BC103" s="297">
        <f t="shared" si="206"/>
        <v>0</v>
      </c>
      <c r="BE103" s="425">
        <f t="shared" si="172"/>
        <v>0</v>
      </c>
      <c r="BH103" s="90">
        <f t="shared" si="207"/>
        <v>7</v>
      </c>
      <c r="BI103" s="121">
        <f>IF(BH103=1,Cal!$AD$127,0)</f>
        <v>0</v>
      </c>
      <c r="BM103" s="221"/>
      <c r="BO103" s="295">
        <f t="shared" ca="1" si="173"/>
        <v>10</v>
      </c>
      <c r="BP103" s="268">
        <f t="shared" si="174"/>
        <v>0</v>
      </c>
      <c r="BQ103" s="123">
        <f t="shared" si="208"/>
        <v>0</v>
      </c>
      <c r="BR103" s="123">
        <f t="shared" si="288"/>
        <v>0</v>
      </c>
      <c r="BS103" s="123">
        <f t="shared" si="150"/>
        <v>0</v>
      </c>
      <c r="BT103" s="123">
        <f>IF(BZ102&lt;0.01,0,IF(Plus!$F$22=Plus!$AN$4,BZ102*$BZ$15,IF(Plus!$F$22=Plus!$AN$3,BZ102*Plus!$F$23/1000,BZ102*VLOOKUP(Plus!$G$21,Plus!$AP$2:'Plus'!$AQ$5,2,0))))</f>
        <v>0</v>
      </c>
      <c r="BU103" s="123">
        <f>IF(BZ102&lt;0.01,0,IF(Plus!$F$24=Plus!$AO$3,Plus!$G$13*Plus!$AR$2/1.16,IF(Plus!$F$10=Plus!$AK$7,0,Plus!$G$13*Plus!$AR$2/1.16)))</f>
        <v>0</v>
      </c>
      <c r="BV103" s="123">
        <f>IF(BZ102&lt;0.01,0,Plus!$BD$2)</f>
        <v>0</v>
      </c>
      <c r="BW103" s="123"/>
      <c r="BX103" s="123">
        <f t="shared" si="175"/>
        <v>0</v>
      </c>
      <c r="BY103" s="123">
        <f>IF(Plus!$F$10=Plus!$AK$3,MIN(BZ102+BQ103+BT103+BU103+BV103-BX103,CJ103),0)</f>
        <v>0</v>
      </c>
      <c r="BZ103" s="297">
        <f t="shared" si="280"/>
        <v>0</v>
      </c>
      <c r="CA103" s="74"/>
      <c r="CB103" s="74"/>
      <c r="CC103" s="413">
        <f t="shared" si="209"/>
        <v>0</v>
      </c>
      <c r="CF103" s="90">
        <f t="shared" si="210"/>
        <v>7</v>
      </c>
      <c r="CG103" s="121">
        <f t="shared" si="263"/>
        <v>0</v>
      </c>
      <c r="CI103" s="70">
        <f t="shared" si="264"/>
        <v>0</v>
      </c>
      <c r="CJ103" s="2178">
        <f t="shared" ca="1" si="211"/>
        <v>0</v>
      </c>
      <c r="CL103" s="161"/>
      <c r="CN103" s="308">
        <f t="shared" ca="1" si="176"/>
        <v>10</v>
      </c>
      <c r="CO103" s="309">
        <f t="shared" si="212"/>
        <v>0</v>
      </c>
      <c r="CP103" s="268">
        <f t="shared" si="177"/>
        <v>0</v>
      </c>
      <c r="CQ103" s="123">
        <f t="shared" si="213"/>
        <v>0</v>
      </c>
      <c r="CR103" s="123">
        <f t="shared" si="289"/>
        <v>0</v>
      </c>
      <c r="CS103" s="123">
        <f t="shared" si="290"/>
        <v>0</v>
      </c>
      <c r="CT103" s="33">
        <f>IF(CZ102&lt;0.01,0,IF(Plus!$F$22=Plus!$AN$4,0,IF(Plus!$F$22=Plus!$AN$3,CZ102*Plus!$F$23/1000,CZ102*VLOOKUP(Plus!$G$21,Plus!$AP$2:'Plus'!$AQ$5,2,0))))</f>
        <v>0</v>
      </c>
      <c r="CU103" s="123">
        <f>IF(CZ102&lt;0.01,0,IF(Plus!$F$24=Plus!$AO$3,0,IF(OR(Plus!$F$10=Plus!$AK$7,Plus!$F$10=Plus!$AK$13),0,Plus!$G$13*Plus!$AR$2)))</f>
        <v>0</v>
      </c>
      <c r="CV103" s="123">
        <f>IF(CZ102&lt;0.01,0,IF(OR(Plus!$F$10=Plus!$AK$7,Plus!$F$10=Plus!$AK$13),0,Plus!$BD$2*1.16))</f>
        <v>0</v>
      </c>
      <c r="CW103" s="123">
        <f>IF(CZ102&lt;0.01,0,IF(Plus!$AS$2&gt;0,CQ103*Plus!$AS$3,0))</f>
        <v>0</v>
      </c>
      <c r="CX103" s="123">
        <f t="shared" si="214"/>
        <v>0</v>
      </c>
      <c r="CY103" s="123">
        <f>IF(Plus!$F$10=Plus!$AK$3,MIN(CZ102+CQ103+CT103+CU103+CV103-CX103,DK103),0)</f>
        <v>0</v>
      </c>
      <c r="CZ103" s="297">
        <f t="shared" si="146"/>
        <v>0</v>
      </c>
      <c r="DA103" s="306">
        <f>Plus!O144</f>
        <v>0</v>
      </c>
      <c r="DB103" s="74"/>
      <c r="DC103" s="74"/>
      <c r="DD103" s="407">
        <f t="shared" si="215"/>
        <v>0</v>
      </c>
      <c r="DG103" s="90">
        <f t="shared" si="216"/>
        <v>7</v>
      </c>
      <c r="DH103" s="121">
        <f t="shared" si="265"/>
        <v>0</v>
      </c>
      <c r="DJ103" s="149">
        <f t="shared" si="266"/>
        <v>0</v>
      </c>
      <c r="DK103" s="2179">
        <f t="shared" ca="1" si="217"/>
        <v>0</v>
      </c>
      <c r="DN103" s="120">
        <f t="shared" si="267"/>
        <v>0</v>
      </c>
      <c r="DO103" s="110">
        <f t="shared" si="218"/>
        <v>0</v>
      </c>
      <c r="DP103" s="110">
        <f t="shared" si="276"/>
        <v>0</v>
      </c>
      <c r="DQ103" s="109">
        <f t="shared" si="219"/>
        <v>0</v>
      </c>
      <c r="DR103" s="109">
        <f t="shared" si="220"/>
        <v>0</v>
      </c>
      <c r="DS103" s="113">
        <f t="shared" si="221"/>
        <v>0</v>
      </c>
      <c r="DU103" s="102">
        <f t="shared" si="222"/>
        <v>0</v>
      </c>
      <c r="DV103" s="211">
        <f t="shared" si="277"/>
        <v>79</v>
      </c>
      <c r="DW103" s="212">
        <f t="shared" si="223"/>
        <v>0</v>
      </c>
      <c r="DX103" s="212">
        <f t="shared" si="178"/>
        <v>0</v>
      </c>
      <c r="DY103" s="212">
        <f t="shared" si="268"/>
        <v>0</v>
      </c>
      <c r="DZ103" s="213">
        <f t="shared" si="179"/>
        <v>1000000</v>
      </c>
      <c r="ED103" s="182"/>
      <c r="EF103" s="308">
        <f t="shared" ca="1" si="180"/>
        <v>10</v>
      </c>
      <c r="EG103" s="309">
        <f t="shared" si="224"/>
        <v>0</v>
      </c>
      <c r="EH103" s="268">
        <f t="shared" si="181"/>
        <v>0</v>
      </c>
      <c r="EI103" s="33">
        <f t="shared" si="225"/>
        <v>0</v>
      </c>
      <c r="EJ103" s="33">
        <f t="shared" si="291"/>
        <v>0</v>
      </c>
      <c r="EK103" s="33">
        <f t="shared" si="151"/>
        <v>0</v>
      </c>
      <c r="EL103" s="33">
        <f>IF(ER102&lt;0.01,0,IF(Plus!$F$22=Plus!$AN$4,0,IF(Plus!$F$22=Plus!$AN$3,ER102*Plus!$F$23/1000,ER102*VLOOKUP(Plus!$G$21,Plus!$AP$2:'Plus'!$AQ$5,2,0))))</f>
        <v>0</v>
      </c>
      <c r="EM103" s="33">
        <f>IF(ER102&lt;0.01,0,IF(Plus!$F$24=Plus!$AO$3,0,IF(OR(Plus!$F$10=Plus!$AK$7,Plus!$F$10=Plus!$AK$13),0,Plus!$G$13*Plus!$AR$2)))</f>
        <v>0</v>
      </c>
      <c r="EN103" s="33">
        <f>IF(ER102&lt;0.01,0,IF(OR(Plus!$F$10=Plus!$AK$7,Plus!$F$10=Plus!$AK$13),0,Plus!$BD$2*1.16))</f>
        <v>0</v>
      </c>
      <c r="EO103" s="33">
        <f>IF(ER102&lt;0.01,0,IF(Plus!$AS$2&gt;0,EI103*Plus!$AS$3,0))</f>
        <v>0</v>
      </c>
      <c r="EP103" s="33">
        <f t="shared" si="226"/>
        <v>0</v>
      </c>
      <c r="EQ103" s="33">
        <f>IF(Plus!$F$10=Plus!$AK$3,MIN(ER102+EI103+EL103+EM103+EN103-EP103,FC103),0)</f>
        <v>0</v>
      </c>
      <c r="ER103" s="311">
        <f t="shared" si="285"/>
        <v>0</v>
      </c>
      <c r="ES103" s="340">
        <f>Plus!O144</f>
        <v>0</v>
      </c>
      <c r="ET103" s="74"/>
      <c r="EU103" s="74"/>
      <c r="EV103" s="416">
        <f t="shared" si="281"/>
        <v>0</v>
      </c>
      <c r="EY103" s="90">
        <f t="shared" si="227"/>
        <v>7</v>
      </c>
      <c r="EZ103" s="121">
        <f t="shared" si="269"/>
        <v>0</v>
      </c>
      <c r="FB103" s="149">
        <f t="shared" si="270"/>
        <v>0</v>
      </c>
      <c r="FC103" s="2179">
        <f t="shared" ca="1" si="228"/>
        <v>0</v>
      </c>
      <c r="FE103" s="120">
        <f t="shared" si="271"/>
        <v>0</v>
      </c>
      <c r="FF103" s="110">
        <f t="shared" si="229"/>
        <v>0</v>
      </c>
      <c r="FG103" s="110">
        <f t="shared" si="230"/>
        <v>0</v>
      </c>
      <c r="FH103" s="109">
        <f t="shared" si="231"/>
        <v>0</v>
      </c>
      <c r="FI103" s="109">
        <f t="shared" si="182"/>
        <v>0</v>
      </c>
      <c r="FJ103" s="113">
        <f t="shared" si="232"/>
        <v>0</v>
      </c>
      <c r="FL103" s="102">
        <f t="shared" si="233"/>
        <v>0</v>
      </c>
      <c r="FM103" s="211">
        <f t="shared" si="278"/>
        <v>79</v>
      </c>
      <c r="FN103" s="212">
        <f t="shared" si="234"/>
        <v>0</v>
      </c>
      <c r="FO103" s="212">
        <f t="shared" si="183"/>
        <v>0</v>
      </c>
      <c r="FP103" s="212">
        <f t="shared" si="282"/>
        <v>0</v>
      </c>
      <c r="FQ103" s="213">
        <f t="shared" si="184"/>
        <v>1000000</v>
      </c>
      <c r="FV103" s="359"/>
      <c r="FX103" s="308">
        <f t="shared" ca="1" si="185"/>
        <v>10</v>
      </c>
      <c r="FY103" s="309">
        <f t="shared" si="235"/>
        <v>0</v>
      </c>
      <c r="FZ103" s="268">
        <f t="shared" si="186"/>
        <v>0</v>
      </c>
      <c r="GA103" s="33">
        <f t="shared" si="236"/>
        <v>0</v>
      </c>
      <c r="GB103" s="33">
        <f t="shared" si="292"/>
        <v>0</v>
      </c>
      <c r="GC103" s="33">
        <f t="shared" si="293"/>
        <v>0</v>
      </c>
      <c r="GD103" s="33">
        <f>IF(GJ102&lt;0.01,0,IF(Plus!$F$22=Plus!$AN$4,0,IF(Plus!$F$22=Plus!$AN$3,GJ102*Plus!$F$23/1000,GJ102*VLOOKUP(Plus!$G$21,Plus!$AP$2:$AQ$5,2,0))))</f>
        <v>0</v>
      </c>
      <c r="GE103" s="33">
        <f>IF(GJ102&lt;0.01,0,IF(Plus!$F$24=Plus!$AO$3,0,IF(OR(Plus!$F$10=Plus!$AK$7,Plus!$F$10=Plus!$AK$13,Plus!$F$10=Plus!$AK$14),0,IF(OR(Plus!$F$10=Plus!$AK$10,Plus!$F$10=Plus!$AK$11),Plus!$G$13*Adm!$W$7,Plus!$G$13*Adm!$X$4))))</f>
        <v>0</v>
      </c>
      <c r="GF103" s="33">
        <f>IF(GJ102&lt;0.01,0,IF(OR(Plus!$F$10=Plus!$AK$7,Plus!$F$10=Plus!$AK$13),0,Plus!$BD$2*1.16))</f>
        <v>0</v>
      </c>
      <c r="GG103" s="33">
        <f>IF(GJ102&lt;0.01,0,IF(Plus!$AS$2&gt;0,GA103*Plus!$AS$3,0))</f>
        <v>0</v>
      </c>
      <c r="GH103" s="33">
        <f t="shared" si="237"/>
        <v>0</v>
      </c>
      <c r="GI103" s="33">
        <f>IF(Plus!$F$10=Plus!$AK$3,MIN(GJ102+GA103+GD103+GE103+GF103-GH103,GU103),0)</f>
        <v>0</v>
      </c>
      <c r="GJ103" s="311">
        <f t="shared" si="286"/>
        <v>0</v>
      </c>
      <c r="GK103" s="340">
        <f>Plus!O144</f>
        <v>0</v>
      </c>
      <c r="GL103" s="74"/>
      <c r="GM103" s="74"/>
      <c r="GN103" s="419">
        <f t="shared" si="283"/>
        <v>0</v>
      </c>
      <c r="GQ103" s="90">
        <f t="shared" si="238"/>
        <v>7</v>
      </c>
      <c r="GR103" s="121">
        <f t="shared" si="272"/>
        <v>0</v>
      </c>
      <c r="GT103" s="149">
        <f t="shared" si="273"/>
        <v>0</v>
      </c>
      <c r="GU103" s="2179">
        <f t="shared" ca="1" si="239"/>
        <v>0</v>
      </c>
      <c r="GW103" s="120">
        <f t="shared" si="274"/>
        <v>0</v>
      </c>
      <c r="GX103" s="110">
        <f t="shared" si="240"/>
        <v>0</v>
      </c>
      <c r="GY103" s="110">
        <f t="shared" si="241"/>
        <v>0</v>
      </c>
      <c r="GZ103" s="109">
        <f t="shared" si="242"/>
        <v>0</v>
      </c>
      <c r="HA103" s="109">
        <f t="shared" si="187"/>
        <v>0</v>
      </c>
      <c r="HB103" s="113">
        <f t="shared" si="243"/>
        <v>0</v>
      </c>
      <c r="HD103" s="102">
        <f t="shared" si="244"/>
        <v>0</v>
      </c>
      <c r="HE103" s="211">
        <f t="shared" si="279"/>
        <v>79</v>
      </c>
      <c r="HF103" s="212">
        <f t="shared" si="245"/>
        <v>0</v>
      </c>
      <c r="HG103" s="212">
        <f t="shared" si="188"/>
        <v>0</v>
      </c>
      <c r="HH103" s="212">
        <f t="shared" si="284"/>
        <v>0</v>
      </c>
      <c r="HI103" s="213">
        <f t="shared" si="189"/>
        <v>1000000</v>
      </c>
      <c r="HL103" s="182"/>
      <c r="HM103" s="26">
        <f t="shared" ca="1" si="190"/>
        <v>10</v>
      </c>
      <c r="HO103" s="268">
        <f t="shared" si="191"/>
        <v>0</v>
      </c>
      <c r="HP103" s="151">
        <f t="shared" si="157"/>
        <v>0</v>
      </c>
      <c r="HQ103" s="123">
        <f t="shared" si="246"/>
        <v>0</v>
      </c>
      <c r="HR103" s="123">
        <f t="shared" si="247"/>
        <v>0</v>
      </c>
      <c r="HS103" s="123">
        <f t="shared" si="248"/>
        <v>0</v>
      </c>
      <c r="HT103" s="123">
        <f>IF(HY102&lt;0.01,0,IF(Adm!$GS$4=Adm!$GS$8,HY102*$HY$15,IF(Adm!$GS$12=Adm!$GS$13,0,HY102*Adm!$GV$4)))</f>
        <v>0</v>
      </c>
      <c r="HU103" s="123">
        <f>IF(HY102&lt;0.01,0,IF(Adm!$GS$5=Adm!$GS$8,Cal!$BO$108*$HY$16/1.16,IF(Adm!$GS$12=Adm!$GS$13,0,Cal!$BO$108*Adm!$GW$4/1.16)))</f>
        <v>0</v>
      </c>
      <c r="HV103" s="123">
        <f t="shared" si="249"/>
        <v>0</v>
      </c>
      <c r="HW103" s="123">
        <f t="shared" si="192"/>
        <v>0</v>
      </c>
      <c r="HX103" s="123">
        <f>IF(Adm!$GH$6="si",MIN(HY102+HQ103+HT103+HU103+HV103-HW103,IH103),0)</f>
        <v>0</v>
      </c>
      <c r="HY103" s="297">
        <f t="shared" si="250"/>
        <v>0</v>
      </c>
      <c r="HZ103" s="74"/>
      <c r="IA103" s="407">
        <f t="shared" si="251"/>
        <v>0</v>
      </c>
      <c r="IC103" s="90">
        <f t="shared" si="252"/>
        <v>7</v>
      </c>
      <c r="ID103" s="124">
        <f>IF(IC103=1,Cal!$BO$127,0)</f>
        <v>0</v>
      </c>
      <c r="IE103" s="178">
        <f>IF(IC103=1,Adm!$HI$4,0)</f>
        <v>0</v>
      </c>
      <c r="IG103" s="70">
        <f t="shared" si="275"/>
        <v>0</v>
      </c>
      <c r="IH103" s="2178">
        <f t="shared" ca="1" si="253"/>
        <v>0</v>
      </c>
      <c r="IK103" s="217"/>
      <c r="IL103" s="26">
        <f t="shared" ca="1" si="193"/>
        <v>10</v>
      </c>
      <c r="IN103" s="268">
        <f t="shared" si="194"/>
        <v>0</v>
      </c>
      <c r="IO103" s="151">
        <f t="shared" si="154"/>
        <v>0</v>
      </c>
      <c r="IP103" s="123">
        <f t="shared" si="254"/>
        <v>0</v>
      </c>
      <c r="IQ103" s="123">
        <f t="shared" si="255"/>
        <v>0</v>
      </c>
      <c r="IR103" s="123">
        <f t="shared" si="256"/>
        <v>0</v>
      </c>
      <c r="IS103" s="123">
        <f>IF(IX102&lt;0.01,0,IF(Adm!$GS$4=Adm!$GS$8,IX102*$IX$15,IF(Adm!$GS$12=Adm!$GS$13,0,IX102*Adm!$GV$4)))</f>
        <v>0</v>
      </c>
      <c r="IT103" s="123"/>
      <c r="IU103" s="123">
        <f t="shared" si="257"/>
        <v>0</v>
      </c>
      <c r="IV103" s="123">
        <f t="shared" si="258"/>
        <v>0</v>
      </c>
      <c r="IW103" s="123"/>
      <c r="IX103" s="297">
        <f t="shared" si="259"/>
        <v>0</v>
      </c>
      <c r="IY103" s="74"/>
      <c r="IZ103" s="416">
        <f t="shared" si="260"/>
        <v>0</v>
      </c>
      <c r="JB103" s="90">
        <f t="shared" si="261"/>
        <v>7</v>
      </c>
      <c r="JC103" s="124">
        <f>IF(JB103=1,Cal!$BP$127,0)</f>
        <v>0</v>
      </c>
      <c r="JD103" s="178">
        <f>IF(JB103=1,Adm!$HI$4,0)</f>
        <v>0</v>
      </c>
    </row>
    <row r="104" spans="1:264">
      <c r="A104" s="26">
        <f t="shared" ca="1" si="162"/>
        <v>11</v>
      </c>
      <c r="C104" s="33">
        <f t="shared" si="163"/>
        <v>0</v>
      </c>
      <c r="D104" s="123">
        <f t="shared" si="195"/>
        <v>0</v>
      </c>
      <c r="E104" s="123">
        <f t="shared" si="287"/>
        <v>0</v>
      </c>
      <c r="F104" s="123">
        <f t="shared" si="149"/>
        <v>0</v>
      </c>
      <c r="G104" s="123">
        <f>IF(L103&lt;0.01,0,IF(Adm!$S$4=Adm!$S$8,L103*$L$15,L103*Adm!$V$4))</f>
        <v>0</v>
      </c>
      <c r="H104" s="123">
        <f>IF(L103&lt;0.01,0,IF(Adm!$S$5=Adm!$S$8,Adm!$AA$11*$L$16/1.16,IF(Adm!$B$4=Adm!$A$119,0,Adm!$AA$11*Adm!$X$4/1.16)))</f>
        <v>0</v>
      </c>
      <c r="I104" s="123">
        <f>IF(L103&lt;0.01,0,Cal!$AB$126/1.16)</f>
        <v>0</v>
      </c>
      <c r="J104" s="123">
        <f t="shared" si="164"/>
        <v>0</v>
      </c>
      <c r="K104" s="123">
        <f>IF(Adm!$G$4="si",MIN(L103+D104+G104+H104+I104-J104,V104),0)</f>
        <v>0</v>
      </c>
      <c r="L104" s="123">
        <f t="shared" si="196"/>
        <v>0</v>
      </c>
      <c r="M104" s="74"/>
      <c r="N104" s="74"/>
      <c r="O104" s="407">
        <f t="shared" si="197"/>
        <v>0</v>
      </c>
      <c r="R104" s="90">
        <f t="shared" si="198"/>
        <v>8</v>
      </c>
      <c r="S104" s="121">
        <f>IF(R104=1,Cal!$AB$127,0)</f>
        <v>0</v>
      </c>
      <c r="U104" s="70">
        <f t="shared" si="262"/>
        <v>0</v>
      </c>
      <c r="V104" s="2178">
        <f t="shared" ca="1" si="199"/>
        <v>0</v>
      </c>
      <c r="X104" s="398"/>
      <c r="Z104" s="268">
        <f t="shared" si="165"/>
        <v>0</v>
      </c>
      <c r="AA104" s="2176">
        <f t="shared" si="200"/>
        <v>0</v>
      </c>
      <c r="AB104" s="33">
        <f t="shared" si="201"/>
        <v>0</v>
      </c>
      <c r="AC104" s="33">
        <f t="shared" si="202"/>
        <v>0</v>
      </c>
      <c r="AD104" s="33">
        <f>IF(AI103&lt;0.01,0,IF(Adm!$S$4=Adm!$S$8,AI103*$AI$15,AI103*Adm!$V$4))</f>
        <v>0</v>
      </c>
      <c r="AE104" s="33"/>
      <c r="AF104" s="33"/>
      <c r="AG104" s="33">
        <f t="shared" si="166"/>
        <v>0</v>
      </c>
      <c r="AH104" s="33"/>
      <c r="AI104" s="401">
        <f t="shared" si="167"/>
        <v>0</v>
      </c>
      <c r="AK104" s="410">
        <f t="shared" si="168"/>
        <v>0</v>
      </c>
      <c r="AN104" s="90">
        <f t="shared" si="203"/>
        <v>8</v>
      </c>
      <c r="AO104" s="121">
        <f>IF(AN104=1,Cal!$AC$127,0)</f>
        <v>0</v>
      </c>
      <c r="AS104" s="200"/>
      <c r="AU104" s="268">
        <f t="shared" si="169"/>
        <v>0</v>
      </c>
      <c r="AV104" s="2177">
        <f t="shared" si="204"/>
        <v>0</v>
      </c>
      <c r="AW104" s="123">
        <f t="shared" si="170"/>
        <v>0</v>
      </c>
      <c r="AX104" s="123">
        <f t="shared" si="205"/>
        <v>0</v>
      </c>
      <c r="AY104" s="123">
        <f>IF(BC103&lt;0.01,0,IF(Adm!$S$4=Adm!$S$8,BC103*$BC$16,BC103*Adm!$V$4))</f>
        <v>0</v>
      </c>
      <c r="AZ104" s="123"/>
      <c r="BA104" s="123">
        <f>IF(BC103&lt;0.01,0,Adm!$Q$6)</f>
        <v>0</v>
      </c>
      <c r="BB104" s="123">
        <f t="shared" si="171"/>
        <v>0</v>
      </c>
      <c r="BC104" s="297">
        <f t="shared" si="206"/>
        <v>0</v>
      </c>
      <c r="BE104" s="425">
        <f t="shared" si="172"/>
        <v>0</v>
      </c>
      <c r="BH104" s="90">
        <f t="shared" si="207"/>
        <v>8</v>
      </c>
      <c r="BI104" s="121">
        <f>IF(BH104=1,Cal!$AD$127,0)</f>
        <v>0</v>
      </c>
      <c r="BM104" s="221"/>
      <c r="BO104" s="295">
        <f t="shared" ca="1" si="173"/>
        <v>11</v>
      </c>
      <c r="BP104" s="268">
        <f t="shared" si="174"/>
        <v>0</v>
      </c>
      <c r="BQ104" s="123">
        <f t="shared" si="208"/>
        <v>0</v>
      </c>
      <c r="BR104" s="123">
        <f t="shared" si="288"/>
        <v>0</v>
      </c>
      <c r="BS104" s="123">
        <f t="shared" si="150"/>
        <v>0</v>
      </c>
      <c r="BT104" s="123">
        <f>IF(BZ103&lt;0.01,0,IF(Plus!$F$22=Plus!$AN$4,BZ103*$BZ$15,IF(Plus!$F$22=Plus!$AN$3,BZ103*Plus!$F$23/1000,BZ103*VLOOKUP(Plus!$G$21,Plus!$AP$2:'Plus'!$AQ$5,2,0))))</f>
        <v>0</v>
      </c>
      <c r="BU104" s="123">
        <f>IF(BZ103&lt;0.01,0,IF(Plus!$F$24=Plus!$AO$3,Plus!$G$13*Plus!$AR$2/1.16,IF(Plus!$F$10=Plus!$AK$7,0,Plus!$G$13*Plus!$AR$2/1.16)))</f>
        <v>0</v>
      </c>
      <c r="BV104" s="123">
        <f>IF(BZ103&lt;0.01,0,Plus!$BD$2)</f>
        <v>0</v>
      </c>
      <c r="BW104" s="123"/>
      <c r="BX104" s="123">
        <f t="shared" si="175"/>
        <v>0</v>
      </c>
      <c r="BY104" s="123">
        <f>IF(Plus!$F$10=Plus!$AK$3,MIN(BZ103+BQ104+BT104+BU104+BV104-BX104,CJ104),0)</f>
        <v>0</v>
      </c>
      <c r="BZ104" s="297">
        <f t="shared" si="280"/>
        <v>0</v>
      </c>
      <c r="CA104" s="74"/>
      <c r="CB104" s="74"/>
      <c r="CC104" s="413">
        <f t="shared" si="209"/>
        <v>0</v>
      </c>
      <c r="CF104" s="90">
        <f t="shared" si="210"/>
        <v>8</v>
      </c>
      <c r="CG104" s="121">
        <f t="shared" si="263"/>
        <v>0</v>
      </c>
      <c r="CI104" s="70">
        <f t="shared" si="264"/>
        <v>0</v>
      </c>
      <c r="CJ104" s="2178">
        <f t="shared" ca="1" si="211"/>
        <v>0</v>
      </c>
      <c r="CL104" s="161"/>
      <c r="CN104" s="308">
        <f t="shared" ca="1" si="176"/>
        <v>11</v>
      </c>
      <c r="CO104" s="309">
        <f t="shared" si="212"/>
        <v>0</v>
      </c>
      <c r="CP104" s="268">
        <f t="shared" si="177"/>
        <v>0</v>
      </c>
      <c r="CQ104" s="123">
        <f t="shared" si="213"/>
        <v>0</v>
      </c>
      <c r="CR104" s="123">
        <f t="shared" si="289"/>
        <v>0</v>
      </c>
      <c r="CS104" s="123">
        <f t="shared" si="290"/>
        <v>0</v>
      </c>
      <c r="CT104" s="33">
        <f>IF(CZ103&lt;0.01,0,IF(Plus!$F$22=Plus!$AN$4,0,IF(Plus!$F$22=Plus!$AN$3,CZ103*Plus!$F$23/1000,CZ103*VLOOKUP(Plus!$G$21,Plus!$AP$2:'Plus'!$AQ$5,2,0))))</f>
        <v>0</v>
      </c>
      <c r="CU104" s="123">
        <f>IF(CZ103&lt;0.01,0,IF(Plus!$F$24=Plus!$AO$3,0,IF(OR(Plus!$F$10=Plus!$AK$7,Plus!$F$10=Plus!$AK$13),0,Plus!$G$13*Plus!$AR$2)))</f>
        <v>0</v>
      </c>
      <c r="CV104" s="123">
        <f>IF(CZ103&lt;0.01,0,IF(OR(Plus!$F$10=Plus!$AK$7,Plus!$F$10=Plus!$AK$13),0,Plus!$BD$2*1.16))</f>
        <v>0</v>
      </c>
      <c r="CW104" s="123">
        <f>IF(CZ103&lt;0.01,0,IF(Plus!$AS$2&gt;0,CQ104*Plus!$AS$3,0))</f>
        <v>0</v>
      </c>
      <c r="CX104" s="123">
        <f t="shared" si="214"/>
        <v>0</v>
      </c>
      <c r="CY104" s="123">
        <f>IF(Plus!$F$10=Plus!$AK$3,MIN(CZ103+CQ104+CT104+CU104+CV104-CX104,DK104),0)</f>
        <v>0</v>
      </c>
      <c r="CZ104" s="297">
        <f t="shared" si="146"/>
        <v>0</v>
      </c>
      <c r="DA104" s="306">
        <f>Plus!O145</f>
        <v>0</v>
      </c>
      <c r="DB104" s="74"/>
      <c r="DC104" s="74"/>
      <c r="DD104" s="407">
        <f t="shared" si="215"/>
        <v>0</v>
      </c>
      <c r="DG104" s="90">
        <f t="shared" si="216"/>
        <v>8</v>
      </c>
      <c r="DH104" s="121">
        <f t="shared" si="265"/>
        <v>0</v>
      </c>
      <c r="DJ104" s="149">
        <f t="shared" si="266"/>
        <v>0</v>
      </c>
      <c r="DK104" s="2179">
        <f t="shared" ca="1" si="217"/>
        <v>0</v>
      </c>
      <c r="DN104" s="120">
        <f t="shared" si="267"/>
        <v>0</v>
      </c>
      <c r="DO104" s="110">
        <f t="shared" si="218"/>
        <v>0</v>
      </c>
      <c r="DP104" s="110">
        <f t="shared" si="276"/>
        <v>0</v>
      </c>
      <c r="DQ104" s="109">
        <f t="shared" si="219"/>
        <v>0</v>
      </c>
      <c r="DR104" s="109">
        <f t="shared" si="220"/>
        <v>0</v>
      </c>
      <c r="DS104" s="113">
        <f t="shared" si="221"/>
        <v>0</v>
      </c>
      <c r="DU104" s="102">
        <f t="shared" si="222"/>
        <v>0</v>
      </c>
      <c r="DV104" s="211">
        <f t="shared" si="277"/>
        <v>80</v>
      </c>
      <c r="DW104" s="212">
        <f t="shared" si="223"/>
        <v>0</v>
      </c>
      <c r="DX104" s="212">
        <f t="shared" si="178"/>
        <v>0</v>
      </c>
      <c r="DY104" s="212">
        <f t="shared" si="268"/>
        <v>0</v>
      </c>
      <c r="DZ104" s="213">
        <f t="shared" si="179"/>
        <v>1000000</v>
      </c>
      <c r="ED104" s="182"/>
      <c r="EF104" s="308">
        <f t="shared" ca="1" si="180"/>
        <v>11</v>
      </c>
      <c r="EG104" s="309">
        <f t="shared" si="224"/>
        <v>0</v>
      </c>
      <c r="EH104" s="268">
        <f t="shared" si="181"/>
        <v>0</v>
      </c>
      <c r="EI104" s="33">
        <f t="shared" si="225"/>
        <v>0</v>
      </c>
      <c r="EJ104" s="33">
        <f t="shared" si="291"/>
        <v>0</v>
      </c>
      <c r="EK104" s="33">
        <f t="shared" si="151"/>
        <v>0</v>
      </c>
      <c r="EL104" s="33">
        <f>IF(ER103&lt;0.01,0,IF(Plus!$F$22=Plus!$AN$4,0,IF(Plus!$F$22=Plus!$AN$3,ER103*Plus!$F$23/1000,ER103*VLOOKUP(Plus!$G$21,Plus!$AP$2:'Plus'!$AQ$5,2,0))))</f>
        <v>0</v>
      </c>
      <c r="EM104" s="33">
        <f>IF(ER103&lt;0.01,0,IF(Plus!$F$24=Plus!$AO$3,0,IF(OR(Plus!$F$10=Plus!$AK$7,Plus!$F$10=Plus!$AK$13),0,Plus!$G$13*Plus!$AR$2)))</f>
        <v>0</v>
      </c>
      <c r="EN104" s="33">
        <f>IF(ER103&lt;0.01,0,IF(OR(Plus!$F$10=Plus!$AK$7,Plus!$F$10=Plus!$AK$13),0,Plus!$BD$2*1.16))</f>
        <v>0</v>
      </c>
      <c r="EO104" s="33">
        <f>IF(ER103&lt;0.01,0,IF(Plus!$AS$2&gt;0,EI104*Plus!$AS$3,0))</f>
        <v>0</v>
      </c>
      <c r="EP104" s="33">
        <f t="shared" si="226"/>
        <v>0</v>
      </c>
      <c r="EQ104" s="33">
        <f>IF(Plus!$F$10=Plus!$AK$3,MIN(ER103+EI104+EL104+EM104+EN104-EP104,FC104),0)</f>
        <v>0</v>
      </c>
      <c r="ER104" s="311">
        <f t="shared" si="285"/>
        <v>0</v>
      </c>
      <c r="ES104" s="340">
        <f>Plus!O145</f>
        <v>0</v>
      </c>
      <c r="ET104" s="74"/>
      <c r="EU104" s="74"/>
      <c r="EV104" s="416">
        <f t="shared" si="281"/>
        <v>0</v>
      </c>
      <c r="EY104" s="90">
        <f t="shared" si="227"/>
        <v>8</v>
      </c>
      <c r="EZ104" s="121">
        <f t="shared" si="269"/>
        <v>0</v>
      </c>
      <c r="FB104" s="149">
        <f t="shared" si="270"/>
        <v>0</v>
      </c>
      <c r="FC104" s="2179">
        <f t="shared" ca="1" si="228"/>
        <v>0</v>
      </c>
      <c r="FE104" s="120">
        <f t="shared" si="271"/>
        <v>0</v>
      </c>
      <c r="FF104" s="110">
        <f t="shared" si="229"/>
        <v>0</v>
      </c>
      <c r="FG104" s="110">
        <f t="shared" si="230"/>
        <v>0</v>
      </c>
      <c r="FH104" s="109">
        <f t="shared" si="231"/>
        <v>0</v>
      </c>
      <c r="FI104" s="109">
        <f t="shared" si="182"/>
        <v>0</v>
      </c>
      <c r="FJ104" s="113">
        <f t="shared" si="232"/>
        <v>0</v>
      </c>
      <c r="FL104" s="102">
        <f t="shared" si="233"/>
        <v>0</v>
      </c>
      <c r="FM104" s="211">
        <f t="shared" si="278"/>
        <v>80</v>
      </c>
      <c r="FN104" s="212">
        <f t="shared" si="234"/>
        <v>0</v>
      </c>
      <c r="FO104" s="212">
        <f t="shared" si="183"/>
        <v>0</v>
      </c>
      <c r="FP104" s="212">
        <f t="shared" si="282"/>
        <v>0</v>
      </c>
      <c r="FQ104" s="213">
        <f t="shared" si="184"/>
        <v>1000000</v>
      </c>
      <c r="FV104" s="359"/>
      <c r="FX104" s="308">
        <f t="shared" ca="1" si="185"/>
        <v>11</v>
      </c>
      <c r="FY104" s="309">
        <f t="shared" si="235"/>
        <v>0</v>
      </c>
      <c r="FZ104" s="268">
        <f t="shared" si="186"/>
        <v>0</v>
      </c>
      <c r="GA104" s="33">
        <f t="shared" si="236"/>
        <v>0</v>
      </c>
      <c r="GB104" s="33">
        <f t="shared" si="292"/>
        <v>0</v>
      </c>
      <c r="GC104" s="33">
        <f t="shared" si="293"/>
        <v>0</v>
      </c>
      <c r="GD104" s="33">
        <f>IF(GJ103&lt;0.01,0,IF(Plus!$F$22=Plus!$AN$4,0,IF(Plus!$F$22=Plus!$AN$3,GJ103*Plus!$F$23/1000,GJ103*VLOOKUP(Plus!$G$21,Plus!$AP$2:$AQ$5,2,0))))</f>
        <v>0</v>
      </c>
      <c r="GE104" s="33">
        <f>IF(GJ103&lt;0.01,0,IF(Plus!$F$24=Plus!$AO$3,0,IF(OR(Plus!$F$10=Plus!$AK$7,Plus!$F$10=Plus!$AK$13,Plus!$F$10=Plus!$AK$14),0,IF(OR(Plus!$F$10=Plus!$AK$10,Plus!$F$10=Plus!$AK$11),Plus!$G$13*Adm!$W$7,Plus!$G$13*Adm!$X$4))))</f>
        <v>0</v>
      </c>
      <c r="GF104" s="33">
        <f>IF(GJ103&lt;0.01,0,IF(OR(Plus!$F$10=Plus!$AK$7,Plus!$F$10=Plus!$AK$13),0,Plus!$BD$2*1.16))</f>
        <v>0</v>
      </c>
      <c r="GG104" s="33">
        <f>IF(GJ103&lt;0.01,0,IF(Plus!$AS$2&gt;0,GA104*Plus!$AS$3,0))</f>
        <v>0</v>
      </c>
      <c r="GH104" s="33">
        <f t="shared" si="237"/>
        <v>0</v>
      </c>
      <c r="GI104" s="33">
        <f>IF(Plus!$F$10=Plus!$AK$3,MIN(GJ103+GA104+GD104+GE104+GF104-GH104,GU104),0)</f>
        <v>0</v>
      </c>
      <c r="GJ104" s="311">
        <f t="shared" si="286"/>
        <v>0</v>
      </c>
      <c r="GK104" s="340">
        <f>Plus!O145</f>
        <v>0</v>
      </c>
      <c r="GL104" s="74"/>
      <c r="GM104" s="74"/>
      <c r="GN104" s="419">
        <f t="shared" si="283"/>
        <v>0</v>
      </c>
      <c r="GQ104" s="90">
        <f t="shared" si="238"/>
        <v>8</v>
      </c>
      <c r="GR104" s="121">
        <f t="shared" si="272"/>
        <v>0</v>
      </c>
      <c r="GT104" s="149">
        <f t="shared" si="273"/>
        <v>0</v>
      </c>
      <c r="GU104" s="2179">
        <f t="shared" ca="1" si="239"/>
        <v>0</v>
      </c>
      <c r="GW104" s="120">
        <f t="shared" si="274"/>
        <v>0</v>
      </c>
      <c r="GX104" s="110">
        <f t="shared" si="240"/>
        <v>0</v>
      </c>
      <c r="GY104" s="110">
        <f t="shared" si="241"/>
        <v>0</v>
      </c>
      <c r="GZ104" s="109">
        <f t="shared" si="242"/>
        <v>0</v>
      </c>
      <c r="HA104" s="109">
        <f t="shared" si="187"/>
        <v>0</v>
      </c>
      <c r="HB104" s="113">
        <f t="shared" si="243"/>
        <v>0</v>
      </c>
      <c r="HD104" s="102">
        <f t="shared" si="244"/>
        <v>0</v>
      </c>
      <c r="HE104" s="211">
        <f t="shared" si="279"/>
        <v>80</v>
      </c>
      <c r="HF104" s="212">
        <f t="shared" si="245"/>
        <v>0</v>
      </c>
      <c r="HG104" s="212">
        <f t="shared" si="188"/>
        <v>0</v>
      </c>
      <c r="HH104" s="212">
        <f t="shared" si="284"/>
        <v>0</v>
      </c>
      <c r="HI104" s="213">
        <f t="shared" si="189"/>
        <v>1000000</v>
      </c>
      <c r="HL104" s="182"/>
      <c r="HM104" s="26">
        <f t="shared" ca="1" si="190"/>
        <v>11</v>
      </c>
      <c r="HO104" s="268">
        <f t="shared" si="191"/>
        <v>0</v>
      </c>
      <c r="HP104" s="151">
        <f t="shared" si="157"/>
        <v>0</v>
      </c>
      <c r="HQ104" s="123">
        <f t="shared" si="246"/>
        <v>0</v>
      </c>
      <c r="HR104" s="123">
        <f t="shared" si="247"/>
        <v>0</v>
      </c>
      <c r="HS104" s="123">
        <f t="shared" si="248"/>
        <v>0</v>
      </c>
      <c r="HT104" s="123">
        <f>IF(HY103&lt;0.01,0,IF(Adm!$GS$4=Adm!$GS$8,HY103*$HY$15,IF(Adm!$GS$12=Adm!$GS$13,0,HY103*Adm!$GV$4)))</f>
        <v>0</v>
      </c>
      <c r="HU104" s="123">
        <f>IF(HY103&lt;0.01,0,IF(Adm!$GS$5=Adm!$GS$8,Cal!$BO$108*$HY$16/1.16,IF(Adm!$GS$12=Adm!$GS$13,0,Cal!$BO$108*Adm!$GW$4/1.16)))</f>
        <v>0</v>
      </c>
      <c r="HV104" s="123">
        <f t="shared" si="249"/>
        <v>0</v>
      </c>
      <c r="HW104" s="123">
        <f t="shared" si="192"/>
        <v>0</v>
      </c>
      <c r="HX104" s="123">
        <f>IF(Adm!$GH$6="si",MIN(HY103+HQ104+HT104+HU104+HV104-HW104,IH104),0)</f>
        <v>0</v>
      </c>
      <c r="HY104" s="297">
        <f t="shared" si="250"/>
        <v>0</v>
      </c>
      <c r="HZ104" s="74"/>
      <c r="IA104" s="407">
        <f t="shared" si="251"/>
        <v>0</v>
      </c>
      <c r="IC104" s="90">
        <f t="shared" si="252"/>
        <v>8</v>
      </c>
      <c r="ID104" s="124">
        <f>IF(IC104=1,Cal!$BO$127,0)</f>
        <v>0</v>
      </c>
      <c r="IE104" s="178">
        <f>IF(IC104=1,Adm!$HI$4,0)</f>
        <v>0</v>
      </c>
      <c r="IG104" s="70">
        <f t="shared" si="275"/>
        <v>0</v>
      </c>
      <c r="IH104" s="2178">
        <f t="shared" ca="1" si="253"/>
        <v>0</v>
      </c>
      <c r="IK104" s="217"/>
      <c r="IL104" s="26">
        <f t="shared" ca="1" si="193"/>
        <v>11</v>
      </c>
      <c r="IN104" s="268">
        <f t="shared" si="194"/>
        <v>0</v>
      </c>
      <c r="IO104" s="151">
        <f t="shared" si="154"/>
        <v>0</v>
      </c>
      <c r="IP104" s="123">
        <f t="shared" si="254"/>
        <v>0</v>
      </c>
      <c r="IQ104" s="123">
        <f t="shared" si="255"/>
        <v>0</v>
      </c>
      <c r="IR104" s="123">
        <f t="shared" si="256"/>
        <v>0</v>
      </c>
      <c r="IS104" s="123">
        <f>IF(IX103&lt;0.01,0,IF(Adm!$GS$4=Adm!$GS$8,IX103*$IX$15,IF(Adm!$GS$12=Adm!$GS$13,0,IX103*Adm!$GV$4)))</f>
        <v>0</v>
      </c>
      <c r="IT104" s="123"/>
      <c r="IU104" s="123">
        <f t="shared" si="257"/>
        <v>0</v>
      </c>
      <c r="IV104" s="123">
        <f t="shared" si="258"/>
        <v>0</v>
      </c>
      <c r="IW104" s="123"/>
      <c r="IX104" s="297">
        <f t="shared" si="259"/>
        <v>0</v>
      </c>
      <c r="IY104" s="74"/>
      <c r="IZ104" s="416">
        <f t="shared" si="260"/>
        <v>0</v>
      </c>
      <c r="JB104" s="90">
        <f t="shared" si="261"/>
        <v>8</v>
      </c>
      <c r="JC104" s="124">
        <f>IF(JB104=1,Cal!$BP$127,0)</f>
        <v>0</v>
      </c>
      <c r="JD104" s="178">
        <f>IF(JB104=1,Adm!$HI$4,0)</f>
        <v>0</v>
      </c>
    </row>
    <row r="105" spans="1:264">
      <c r="A105" s="26">
        <f t="shared" ca="1" si="162"/>
        <v>12</v>
      </c>
      <c r="C105" s="33">
        <f t="shared" si="163"/>
        <v>0</v>
      </c>
      <c r="D105" s="123">
        <f t="shared" si="195"/>
        <v>0</v>
      </c>
      <c r="E105" s="123">
        <f t="shared" si="287"/>
        <v>0</v>
      </c>
      <c r="F105" s="123">
        <f t="shared" si="149"/>
        <v>0</v>
      </c>
      <c r="G105" s="123">
        <f>IF(L104&lt;0.01,0,IF(Adm!$S$4=Adm!$S$8,L104*$L$15,L104*Adm!$V$4))</f>
        <v>0</v>
      </c>
      <c r="H105" s="123">
        <f>IF(L104&lt;0.01,0,IF(Adm!$S$5=Adm!$S$8,Adm!$AA$11*$L$16/1.16,IF(Adm!$B$4=Adm!$A$119,0,Adm!$AA$11*Adm!$X$4/1.16)))</f>
        <v>0</v>
      </c>
      <c r="I105" s="123">
        <f>IF(L104&lt;0.01,0,Cal!$AB$126/1.16)</f>
        <v>0</v>
      </c>
      <c r="J105" s="123">
        <f t="shared" si="164"/>
        <v>0</v>
      </c>
      <c r="K105" s="123">
        <f>IF(Adm!$G$4="si",MIN(L104+D105+G105+H105+I105-J105,V105),0)</f>
        <v>0</v>
      </c>
      <c r="L105" s="123">
        <f t="shared" si="196"/>
        <v>0</v>
      </c>
      <c r="M105" s="74"/>
      <c r="N105" s="74"/>
      <c r="O105" s="407">
        <f t="shared" si="197"/>
        <v>0</v>
      </c>
      <c r="R105" s="90">
        <f t="shared" si="198"/>
        <v>9</v>
      </c>
      <c r="S105" s="121">
        <f>IF(R105=1,Cal!$AB$127,0)</f>
        <v>0</v>
      </c>
      <c r="U105" s="70">
        <f t="shared" si="262"/>
        <v>0</v>
      </c>
      <c r="V105" s="2178">
        <f t="shared" ca="1" si="199"/>
        <v>0</v>
      </c>
      <c r="X105" s="398"/>
      <c r="Z105" s="268">
        <f t="shared" si="165"/>
        <v>0</v>
      </c>
      <c r="AA105" s="2176">
        <f t="shared" si="200"/>
        <v>0</v>
      </c>
      <c r="AB105" s="33">
        <f t="shared" si="201"/>
        <v>0</v>
      </c>
      <c r="AC105" s="33">
        <f t="shared" si="202"/>
        <v>0</v>
      </c>
      <c r="AD105" s="33">
        <f>IF(AI104&lt;0.01,0,IF(Adm!$S$4=Adm!$S$8,AI104*$AI$15,AI104*Adm!$V$4))</f>
        <v>0</v>
      </c>
      <c r="AE105" s="33"/>
      <c r="AF105" s="33"/>
      <c r="AG105" s="33">
        <f t="shared" si="166"/>
        <v>0</v>
      </c>
      <c r="AH105" s="33"/>
      <c r="AI105" s="401">
        <f t="shared" si="167"/>
        <v>0</v>
      </c>
      <c r="AK105" s="410">
        <f t="shared" si="168"/>
        <v>0</v>
      </c>
      <c r="AN105" s="90">
        <f t="shared" si="203"/>
        <v>9</v>
      </c>
      <c r="AO105" s="121">
        <f>IF(AN105=1,Cal!$AC$127,0)</f>
        <v>0</v>
      </c>
      <c r="AS105" s="200"/>
      <c r="AU105" s="268">
        <f t="shared" si="169"/>
        <v>0</v>
      </c>
      <c r="AV105" s="2177">
        <f t="shared" si="204"/>
        <v>0</v>
      </c>
      <c r="AW105" s="123">
        <f t="shared" si="170"/>
        <v>0</v>
      </c>
      <c r="AX105" s="123">
        <f t="shared" si="205"/>
        <v>0</v>
      </c>
      <c r="AY105" s="123">
        <f>IF(BC104&lt;0.01,0,IF(Adm!$S$4=Adm!$S$8,BC104*$BC$16,BC104*Adm!$V$4))</f>
        <v>0</v>
      </c>
      <c r="AZ105" s="123"/>
      <c r="BA105" s="123">
        <f>IF(BC104&lt;0.01,0,Adm!$Q$6)</f>
        <v>0</v>
      </c>
      <c r="BB105" s="123">
        <f t="shared" si="171"/>
        <v>0</v>
      </c>
      <c r="BC105" s="297">
        <f t="shared" si="206"/>
        <v>0</v>
      </c>
      <c r="BE105" s="425">
        <f t="shared" si="172"/>
        <v>0</v>
      </c>
      <c r="BH105" s="90">
        <f t="shared" si="207"/>
        <v>9</v>
      </c>
      <c r="BI105" s="121">
        <f>IF(BH105=1,Cal!$AD$127,0)</f>
        <v>0</v>
      </c>
      <c r="BM105" s="221"/>
      <c r="BO105" s="295">
        <f t="shared" ca="1" si="173"/>
        <v>12</v>
      </c>
      <c r="BP105" s="268">
        <f t="shared" si="174"/>
        <v>0</v>
      </c>
      <c r="BQ105" s="123">
        <f t="shared" si="208"/>
        <v>0</v>
      </c>
      <c r="BR105" s="123">
        <f t="shared" si="288"/>
        <v>0</v>
      </c>
      <c r="BS105" s="123">
        <f t="shared" si="150"/>
        <v>0</v>
      </c>
      <c r="BT105" s="123">
        <f>IF(BZ104&lt;0.01,0,IF(Plus!$F$22=Plus!$AN$4,BZ104*$BZ$15,IF(Plus!$F$22=Plus!$AN$3,BZ104*Plus!$F$23/1000,BZ104*VLOOKUP(Plus!$G$21,Plus!$AP$2:'Plus'!$AQ$5,2,0))))</f>
        <v>0</v>
      </c>
      <c r="BU105" s="123">
        <f>IF(BZ104&lt;0.01,0,IF(Plus!$F$24=Plus!$AO$3,Plus!$G$13*Plus!$AR$2/1.16,IF(Plus!$F$10=Plus!$AK$7,0,Plus!$G$13*Plus!$AR$2/1.16)))</f>
        <v>0</v>
      </c>
      <c r="BV105" s="123">
        <f>IF(BZ104&lt;0.01,0,Plus!$BD$2)</f>
        <v>0</v>
      </c>
      <c r="BW105" s="123"/>
      <c r="BX105" s="123">
        <f t="shared" si="175"/>
        <v>0</v>
      </c>
      <c r="BY105" s="123">
        <f>IF(Plus!$F$10=Plus!$AK$3,MIN(BZ104+BQ105+BT105+BU105+BV105-BX105,CJ105),0)</f>
        <v>0</v>
      </c>
      <c r="BZ105" s="297">
        <f t="shared" si="280"/>
        <v>0</v>
      </c>
      <c r="CA105" s="74"/>
      <c r="CB105" s="74"/>
      <c r="CC105" s="413">
        <f t="shared" si="209"/>
        <v>0</v>
      </c>
      <c r="CF105" s="90">
        <f t="shared" si="210"/>
        <v>9</v>
      </c>
      <c r="CG105" s="121">
        <f t="shared" si="263"/>
        <v>0</v>
      </c>
      <c r="CI105" s="70">
        <f t="shared" si="264"/>
        <v>0</v>
      </c>
      <c r="CJ105" s="2178">
        <f t="shared" ca="1" si="211"/>
        <v>0</v>
      </c>
      <c r="CL105" s="161"/>
      <c r="CN105" s="308">
        <f t="shared" ca="1" si="176"/>
        <v>12</v>
      </c>
      <c r="CO105" s="309">
        <f t="shared" si="212"/>
        <v>0</v>
      </c>
      <c r="CP105" s="268">
        <f t="shared" si="177"/>
        <v>0</v>
      </c>
      <c r="CQ105" s="123">
        <f t="shared" si="213"/>
        <v>0</v>
      </c>
      <c r="CR105" s="123">
        <f t="shared" si="289"/>
        <v>0</v>
      </c>
      <c r="CS105" s="123">
        <f t="shared" si="290"/>
        <v>0</v>
      </c>
      <c r="CT105" s="33">
        <f>IF(CZ104&lt;0.01,0,IF(Plus!$F$22=Plus!$AN$4,0,IF(Plus!$F$22=Plus!$AN$3,CZ104*Plus!$F$23/1000,CZ104*VLOOKUP(Plus!$G$21,Plus!$AP$2:'Plus'!$AQ$5,2,0))))</f>
        <v>0</v>
      </c>
      <c r="CU105" s="123">
        <f>IF(CZ104&lt;0.01,0,IF(Plus!$F$24=Plus!$AO$3,0,IF(OR(Plus!$F$10=Plus!$AK$7,Plus!$F$10=Plus!$AK$13),0,Plus!$G$13*Plus!$AR$2)))</f>
        <v>0</v>
      </c>
      <c r="CV105" s="123">
        <f>IF(CZ104&lt;0.01,0,IF(OR(Plus!$F$10=Plus!$AK$7,Plus!$F$10=Plus!$AK$13),0,Plus!$BD$2*1.16))</f>
        <v>0</v>
      </c>
      <c r="CW105" s="123">
        <f>IF(CZ104&lt;0.01,0,IF(Plus!$AS$2&gt;0,CQ105*Plus!$AS$3,0))</f>
        <v>0</v>
      </c>
      <c r="CX105" s="123">
        <f t="shared" si="214"/>
        <v>0</v>
      </c>
      <c r="CY105" s="123">
        <f>IF(Plus!$F$10=Plus!$AK$3,MIN(CZ104+CQ105+CT105+CU105+CV105-CX105,DK105),0)</f>
        <v>0</v>
      </c>
      <c r="CZ105" s="297">
        <f t="shared" si="146"/>
        <v>0</v>
      </c>
      <c r="DA105" s="306">
        <f>Plus!O146</f>
        <v>0</v>
      </c>
      <c r="DB105" s="74"/>
      <c r="DC105" s="74"/>
      <c r="DD105" s="407">
        <f t="shared" si="215"/>
        <v>0</v>
      </c>
      <c r="DG105" s="90">
        <f t="shared" si="216"/>
        <v>9</v>
      </c>
      <c r="DH105" s="121">
        <f t="shared" si="265"/>
        <v>0</v>
      </c>
      <c r="DJ105" s="149">
        <f t="shared" si="266"/>
        <v>0</v>
      </c>
      <c r="DK105" s="2179">
        <f t="shared" ca="1" si="217"/>
        <v>0</v>
      </c>
      <c r="DN105" s="120">
        <f t="shared" si="267"/>
        <v>0</v>
      </c>
      <c r="DO105" s="110">
        <f t="shared" si="218"/>
        <v>0</v>
      </c>
      <c r="DP105" s="110">
        <f t="shared" si="276"/>
        <v>0</v>
      </c>
      <c r="DQ105" s="109">
        <f t="shared" si="219"/>
        <v>0</v>
      </c>
      <c r="DR105" s="109">
        <f t="shared" si="220"/>
        <v>0</v>
      </c>
      <c r="DS105" s="113">
        <f t="shared" si="221"/>
        <v>0</v>
      </c>
      <c r="DU105" s="102">
        <f t="shared" si="222"/>
        <v>0</v>
      </c>
      <c r="DV105" s="211">
        <f t="shared" si="277"/>
        <v>81</v>
      </c>
      <c r="DW105" s="212">
        <f t="shared" si="223"/>
        <v>0</v>
      </c>
      <c r="DX105" s="212">
        <f t="shared" si="178"/>
        <v>0</v>
      </c>
      <c r="DY105" s="212">
        <f t="shared" si="268"/>
        <v>0</v>
      </c>
      <c r="DZ105" s="213">
        <f t="shared" si="179"/>
        <v>1000000</v>
      </c>
      <c r="ED105" s="182"/>
      <c r="EF105" s="308">
        <f t="shared" ca="1" si="180"/>
        <v>12</v>
      </c>
      <c r="EG105" s="309">
        <f t="shared" si="224"/>
        <v>0</v>
      </c>
      <c r="EH105" s="268">
        <f t="shared" si="181"/>
        <v>0</v>
      </c>
      <c r="EI105" s="33">
        <f t="shared" si="225"/>
        <v>0</v>
      </c>
      <c r="EJ105" s="33">
        <f t="shared" si="291"/>
        <v>0</v>
      </c>
      <c r="EK105" s="33">
        <f t="shared" si="151"/>
        <v>0</v>
      </c>
      <c r="EL105" s="33">
        <f>IF(ER104&lt;0.01,0,IF(Plus!$F$22=Plus!$AN$4,0,IF(Plus!$F$22=Plus!$AN$3,ER104*Plus!$F$23/1000,ER104*VLOOKUP(Plus!$G$21,Plus!$AP$2:'Plus'!$AQ$5,2,0))))</f>
        <v>0</v>
      </c>
      <c r="EM105" s="33">
        <f>IF(ER104&lt;0.01,0,IF(Plus!$F$24=Plus!$AO$3,0,IF(OR(Plus!$F$10=Plus!$AK$7,Plus!$F$10=Plus!$AK$13),0,Plus!$G$13*Plus!$AR$2)))</f>
        <v>0</v>
      </c>
      <c r="EN105" s="33">
        <f>IF(ER104&lt;0.01,0,IF(OR(Plus!$F$10=Plus!$AK$7,Plus!$F$10=Plus!$AK$13),0,Plus!$BD$2*1.16))</f>
        <v>0</v>
      </c>
      <c r="EO105" s="33">
        <f>IF(ER104&lt;0.01,0,IF(Plus!$AS$2&gt;0,EI105*Plus!$AS$3,0))</f>
        <v>0</v>
      </c>
      <c r="EP105" s="33">
        <f t="shared" si="226"/>
        <v>0</v>
      </c>
      <c r="EQ105" s="33">
        <f>IF(Plus!$F$10=Plus!$AK$3,MIN(ER104+EI105+EL105+EM105+EN105-EP105,FC105),0)</f>
        <v>0</v>
      </c>
      <c r="ER105" s="311">
        <f t="shared" si="285"/>
        <v>0</v>
      </c>
      <c r="ES105" s="340">
        <f>Plus!O146</f>
        <v>0</v>
      </c>
      <c r="ET105" s="74"/>
      <c r="EU105" s="74"/>
      <c r="EV105" s="416">
        <f t="shared" si="281"/>
        <v>0</v>
      </c>
      <c r="EY105" s="90">
        <f t="shared" si="227"/>
        <v>9</v>
      </c>
      <c r="EZ105" s="121">
        <f t="shared" si="269"/>
        <v>0</v>
      </c>
      <c r="FB105" s="149">
        <f t="shared" si="270"/>
        <v>0</v>
      </c>
      <c r="FC105" s="2179">
        <f t="shared" ca="1" si="228"/>
        <v>0</v>
      </c>
      <c r="FE105" s="120">
        <f t="shared" si="271"/>
        <v>0</v>
      </c>
      <c r="FF105" s="110">
        <f t="shared" si="229"/>
        <v>0</v>
      </c>
      <c r="FG105" s="110">
        <f t="shared" si="230"/>
        <v>0</v>
      </c>
      <c r="FH105" s="109">
        <f t="shared" si="231"/>
        <v>0</v>
      </c>
      <c r="FI105" s="109">
        <f t="shared" si="182"/>
        <v>0</v>
      </c>
      <c r="FJ105" s="113">
        <f t="shared" si="232"/>
        <v>0</v>
      </c>
      <c r="FL105" s="102">
        <f t="shared" si="233"/>
        <v>0</v>
      </c>
      <c r="FM105" s="211">
        <f t="shared" si="278"/>
        <v>81</v>
      </c>
      <c r="FN105" s="212">
        <f t="shared" si="234"/>
        <v>0</v>
      </c>
      <c r="FO105" s="212">
        <f t="shared" si="183"/>
        <v>0</v>
      </c>
      <c r="FP105" s="212">
        <f t="shared" si="282"/>
        <v>0</v>
      </c>
      <c r="FQ105" s="213">
        <f t="shared" si="184"/>
        <v>1000000</v>
      </c>
      <c r="FV105" s="359"/>
      <c r="FX105" s="308">
        <f t="shared" ca="1" si="185"/>
        <v>12</v>
      </c>
      <c r="FY105" s="309">
        <f t="shared" si="235"/>
        <v>0</v>
      </c>
      <c r="FZ105" s="268">
        <f t="shared" si="186"/>
        <v>0</v>
      </c>
      <c r="GA105" s="33">
        <f t="shared" si="236"/>
        <v>0</v>
      </c>
      <c r="GB105" s="33">
        <f t="shared" si="292"/>
        <v>0</v>
      </c>
      <c r="GC105" s="33">
        <f t="shared" si="293"/>
        <v>0</v>
      </c>
      <c r="GD105" s="33">
        <f>IF(GJ104&lt;0.01,0,IF(Plus!$F$22=Plus!$AN$4,0,IF(Plus!$F$22=Plus!$AN$3,GJ104*Plus!$F$23/1000,GJ104*VLOOKUP(Plus!$G$21,Plus!$AP$2:$AQ$5,2,0))))</f>
        <v>0</v>
      </c>
      <c r="GE105" s="33">
        <f>IF(GJ104&lt;0.01,0,IF(Plus!$F$24=Plus!$AO$3,0,IF(OR(Plus!$F$10=Plus!$AK$7,Plus!$F$10=Plus!$AK$13,Plus!$F$10=Plus!$AK$14),0,IF(OR(Plus!$F$10=Plus!$AK$10,Plus!$F$10=Plus!$AK$11),Plus!$G$13*Adm!$W$7,Plus!$G$13*Adm!$X$4))))</f>
        <v>0</v>
      </c>
      <c r="GF105" s="33">
        <f>IF(GJ104&lt;0.01,0,IF(OR(Plus!$F$10=Plus!$AK$7,Plus!$F$10=Plus!$AK$13),0,Plus!$BD$2*1.16))</f>
        <v>0</v>
      </c>
      <c r="GG105" s="33">
        <f>IF(GJ104&lt;0.01,0,IF(Plus!$AS$2&gt;0,GA105*Plus!$AS$3,0))</f>
        <v>0</v>
      </c>
      <c r="GH105" s="33">
        <f t="shared" si="237"/>
        <v>0</v>
      </c>
      <c r="GI105" s="33">
        <f>IF(Plus!$F$10=Plus!$AK$3,MIN(GJ104+GA105+GD105+GE105+GF105-GH105,GU105),0)</f>
        <v>0</v>
      </c>
      <c r="GJ105" s="311">
        <f t="shared" si="286"/>
        <v>0</v>
      </c>
      <c r="GK105" s="340">
        <f>Plus!O146</f>
        <v>0</v>
      </c>
      <c r="GL105" s="74"/>
      <c r="GM105" s="74"/>
      <c r="GN105" s="419">
        <f t="shared" si="283"/>
        <v>0</v>
      </c>
      <c r="GQ105" s="90">
        <f t="shared" si="238"/>
        <v>9</v>
      </c>
      <c r="GR105" s="121">
        <f t="shared" si="272"/>
        <v>0</v>
      </c>
      <c r="GT105" s="149">
        <f t="shared" si="273"/>
        <v>0</v>
      </c>
      <c r="GU105" s="2179">
        <f t="shared" ca="1" si="239"/>
        <v>0</v>
      </c>
      <c r="GW105" s="120">
        <f t="shared" si="274"/>
        <v>0</v>
      </c>
      <c r="GX105" s="110">
        <f t="shared" si="240"/>
        <v>0</v>
      </c>
      <c r="GY105" s="110">
        <f t="shared" si="241"/>
        <v>0</v>
      </c>
      <c r="GZ105" s="109">
        <f t="shared" si="242"/>
        <v>0</v>
      </c>
      <c r="HA105" s="109">
        <f t="shared" si="187"/>
        <v>0</v>
      </c>
      <c r="HB105" s="113">
        <f t="shared" si="243"/>
        <v>0</v>
      </c>
      <c r="HD105" s="102">
        <f t="shared" si="244"/>
        <v>0</v>
      </c>
      <c r="HE105" s="211">
        <f t="shared" si="279"/>
        <v>81</v>
      </c>
      <c r="HF105" s="212">
        <f t="shared" si="245"/>
        <v>0</v>
      </c>
      <c r="HG105" s="212">
        <f t="shared" si="188"/>
        <v>0</v>
      </c>
      <c r="HH105" s="212">
        <f t="shared" si="284"/>
        <v>0</v>
      </c>
      <c r="HI105" s="213">
        <f t="shared" si="189"/>
        <v>1000000</v>
      </c>
      <c r="HL105" s="182"/>
      <c r="HM105" s="26">
        <f t="shared" ca="1" si="190"/>
        <v>12</v>
      </c>
      <c r="HO105" s="268">
        <f t="shared" si="191"/>
        <v>0</v>
      </c>
      <c r="HP105" s="151">
        <f t="shared" si="157"/>
        <v>0</v>
      </c>
      <c r="HQ105" s="123">
        <f t="shared" si="246"/>
        <v>0</v>
      </c>
      <c r="HR105" s="123">
        <f t="shared" si="247"/>
        <v>0</v>
      </c>
      <c r="HS105" s="123">
        <f t="shared" si="248"/>
        <v>0</v>
      </c>
      <c r="HT105" s="123">
        <f>IF(HY104&lt;0.01,0,IF(Adm!$GS$4=Adm!$GS$8,HY104*$HY$15,IF(Adm!$GS$12=Adm!$GS$13,0,HY104*Adm!$GV$4)))</f>
        <v>0</v>
      </c>
      <c r="HU105" s="123">
        <f>IF(HY104&lt;0.01,0,IF(Adm!$GS$5=Adm!$GS$8,Cal!$BO$108*$HY$16/1.16,IF(Adm!$GS$12=Adm!$GS$13,0,Cal!$BO$108*Adm!$GW$4/1.16)))</f>
        <v>0</v>
      </c>
      <c r="HV105" s="123">
        <f t="shared" si="249"/>
        <v>0</v>
      </c>
      <c r="HW105" s="123">
        <f t="shared" si="192"/>
        <v>0</v>
      </c>
      <c r="HX105" s="123">
        <f>IF(Adm!$GH$6="si",MIN(HY104+HQ105+HT105+HU105+HV105-HW105,IH105),0)</f>
        <v>0</v>
      </c>
      <c r="HY105" s="297">
        <f t="shared" si="250"/>
        <v>0</v>
      </c>
      <c r="HZ105" s="74"/>
      <c r="IA105" s="407">
        <f t="shared" si="251"/>
        <v>0</v>
      </c>
      <c r="IC105" s="90">
        <f t="shared" si="252"/>
        <v>9</v>
      </c>
      <c r="ID105" s="124">
        <f>IF(IC105=1,Cal!$BO$127,0)</f>
        <v>0</v>
      </c>
      <c r="IE105" s="178">
        <f>IF(IC105=1,Adm!$HI$4,0)</f>
        <v>0</v>
      </c>
      <c r="IG105" s="70">
        <f t="shared" si="275"/>
        <v>0</v>
      </c>
      <c r="IH105" s="2178">
        <f t="shared" ca="1" si="253"/>
        <v>0</v>
      </c>
      <c r="IK105" s="217"/>
      <c r="IL105" s="26">
        <f t="shared" ca="1" si="193"/>
        <v>12</v>
      </c>
      <c r="IN105" s="268">
        <f t="shared" si="194"/>
        <v>0</v>
      </c>
      <c r="IO105" s="151">
        <f t="shared" si="154"/>
        <v>0</v>
      </c>
      <c r="IP105" s="123">
        <f t="shared" si="254"/>
        <v>0</v>
      </c>
      <c r="IQ105" s="123">
        <f t="shared" si="255"/>
        <v>0</v>
      </c>
      <c r="IR105" s="123">
        <f t="shared" si="256"/>
        <v>0</v>
      </c>
      <c r="IS105" s="123">
        <f>IF(IX104&lt;0.01,0,IF(Adm!$GS$4=Adm!$GS$8,IX104*$IX$15,IF(Adm!$GS$12=Adm!$GS$13,0,IX104*Adm!$GV$4)))</f>
        <v>0</v>
      </c>
      <c r="IT105" s="123"/>
      <c r="IU105" s="123">
        <f t="shared" si="257"/>
        <v>0</v>
      </c>
      <c r="IV105" s="123">
        <f t="shared" si="258"/>
        <v>0</v>
      </c>
      <c r="IW105" s="123"/>
      <c r="IX105" s="297">
        <f t="shared" si="259"/>
        <v>0</v>
      </c>
      <c r="IY105" s="74"/>
      <c r="IZ105" s="416">
        <f t="shared" si="260"/>
        <v>0</v>
      </c>
      <c r="JB105" s="90">
        <f t="shared" si="261"/>
        <v>9</v>
      </c>
      <c r="JC105" s="124">
        <f>IF(JB105=1,Cal!$BP$127,0)</f>
        <v>0</v>
      </c>
      <c r="JD105" s="178">
        <f>IF(JB105=1,Adm!$HI$4,0)</f>
        <v>0</v>
      </c>
    </row>
    <row r="106" spans="1:264">
      <c r="A106" s="26">
        <f t="shared" ca="1" si="162"/>
        <v>1</v>
      </c>
      <c r="C106" s="33">
        <f t="shared" si="163"/>
        <v>0</v>
      </c>
      <c r="D106" s="123">
        <f t="shared" si="195"/>
        <v>0</v>
      </c>
      <c r="E106" s="123">
        <f t="shared" si="287"/>
        <v>0</v>
      </c>
      <c r="F106" s="123">
        <f t="shared" si="149"/>
        <v>0</v>
      </c>
      <c r="G106" s="123">
        <f>IF(L105&lt;0.01,0,IF(Adm!$S$4=Adm!$S$8,L105*$L$15,L105*Adm!$V$4))</f>
        <v>0</v>
      </c>
      <c r="H106" s="123">
        <f>IF(L105&lt;0.01,0,IF(Adm!$S$5=Adm!$S$8,Adm!$AA$11*$L$16/1.16,IF(Adm!$B$4=Adm!$A$119,0,Adm!$AA$11*Adm!$X$4/1.16)))</f>
        <v>0</v>
      </c>
      <c r="I106" s="123">
        <f>IF(L105&lt;0.01,0,Cal!$AB$126/1.16)</f>
        <v>0</v>
      </c>
      <c r="J106" s="123">
        <f t="shared" si="164"/>
        <v>0</v>
      </c>
      <c r="K106" s="123">
        <f>IF(Adm!$G$4="si",MIN(L105+D106+G106+H106+I106-J106,V106),0)</f>
        <v>0</v>
      </c>
      <c r="L106" s="123">
        <f t="shared" si="196"/>
        <v>0</v>
      </c>
      <c r="M106" s="74"/>
      <c r="N106" s="74"/>
      <c r="O106" s="407">
        <f t="shared" si="197"/>
        <v>0</v>
      </c>
      <c r="R106" s="90">
        <f t="shared" si="198"/>
        <v>10</v>
      </c>
      <c r="S106" s="121">
        <f>IF(R106=1,Cal!$AB$127,0)</f>
        <v>0</v>
      </c>
      <c r="U106" s="70">
        <f t="shared" si="262"/>
        <v>0</v>
      </c>
      <c r="V106" s="2178">
        <f t="shared" ca="1" si="199"/>
        <v>0</v>
      </c>
      <c r="X106" s="398"/>
      <c r="Z106" s="268">
        <f t="shared" si="165"/>
        <v>0</v>
      </c>
      <c r="AA106" s="2176">
        <f t="shared" si="200"/>
        <v>0</v>
      </c>
      <c r="AB106" s="33">
        <f t="shared" si="201"/>
        <v>0</v>
      </c>
      <c r="AC106" s="33">
        <f t="shared" si="202"/>
        <v>0</v>
      </c>
      <c r="AD106" s="33">
        <f>IF(AI105&lt;0.01,0,IF(Adm!$S$4=Adm!$S$8,AI105*$AI$15,AI105*Adm!$V$4))</f>
        <v>0</v>
      </c>
      <c r="AE106" s="33"/>
      <c r="AF106" s="33"/>
      <c r="AG106" s="33">
        <f t="shared" si="166"/>
        <v>0</v>
      </c>
      <c r="AH106" s="33"/>
      <c r="AI106" s="401">
        <f t="shared" si="167"/>
        <v>0</v>
      </c>
      <c r="AK106" s="410">
        <f t="shared" si="168"/>
        <v>0</v>
      </c>
      <c r="AN106" s="90">
        <f t="shared" si="203"/>
        <v>10</v>
      </c>
      <c r="AO106" s="121">
        <f>IF(AN106=1,Cal!$AC$127,0)</f>
        <v>0</v>
      </c>
      <c r="AS106" s="200"/>
      <c r="AU106" s="268">
        <f t="shared" si="169"/>
        <v>0</v>
      </c>
      <c r="AV106" s="2177">
        <f t="shared" si="204"/>
        <v>0</v>
      </c>
      <c r="AW106" s="123">
        <f t="shared" si="170"/>
        <v>0</v>
      </c>
      <c r="AX106" s="123">
        <f t="shared" si="205"/>
        <v>0</v>
      </c>
      <c r="AY106" s="123">
        <f>IF(BC105&lt;0.01,0,IF(Adm!$S$4=Adm!$S$8,BC105*$BC$16,BC105*Adm!$V$4))</f>
        <v>0</v>
      </c>
      <c r="AZ106" s="123"/>
      <c r="BA106" s="123">
        <f>IF(BC105&lt;0.01,0,Adm!$Q$6)</f>
        <v>0</v>
      </c>
      <c r="BB106" s="123">
        <f t="shared" si="171"/>
        <v>0</v>
      </c>
      <c r="BC106" s="297">
        <f t="shared" si="206"/>
        <v>0</v>
      </c>
      <c r="BE106" s="425">
        <f t="shared" si="172"/>
        <v>0</v>
      </c>
      <c r="BH106" s="90">
        <f t="shared" si="207"/>
        <v>10</v>
      </c>
      <c r="BI106" s="121">
        <f>IF(BH106=1,Cal!$AD$127,0)</f>
        <v>0</v>
      </c>
      <c r="BM106" s="221"/>
      <c r="BO106" s="295">
        <f t="shared" ca="1" si="173"/>
        <v>1</v>
      </c>
      <c r="BP106" s="268">
        <f t="shared" si="174"/>
        <v>0</v>
      </c>
      <c r="BQ106" s="123">
        <f t="shared" si="208"/>
        <v>0</v>
      </c>
      <c r="BR106" s="123">
        <f t="shared" si="288"/>
        <v>0</v>
      </c>
      <c r="BS106" s="123">
        <f t="shared" si="150"/>
        <v>0</v>
      </c>
      <c r="BT106" s="123">
        <f>IF(BZ105&lt;0.01,0,IF(Plus!$F$22=Plus!$AN$4,BZ105*$BZ$15,IF(Plus!$F$22=Plus!$AN$3,BZ105*Plus!$F$23/1000,BZ105*VLOOKUP(Plus!$G$21,Plus!$AP$2:'Plus'!$AQ$5,2,0))))</f>
        <v>0</v>
      </c>
      <c r="BU106" s="123">
        <f>IF(BZ105&lt;0.01,0,IF(Plus!$F$24=Plus!$AO$3,Plus!$G$13*Plus!$AR$2/1.16,IF(Plus!$F$10=Plus!$AK$7,0,Plus!$G$13*Plus!$AR$2/1.16)))</f>
        <v>0</v>
      </c>
      <c r="BV106" s="123">
        <f>IF(BZ105&lt;0.01,0,Plus!$BD$2)</f>
        <v>0</v>
      </c>
      <c r="BW106" s="123"/>
      <c r="BX106" s="123">
        <f t="shared" si="175"/>
        <v>0</v>
      </c>
      <c r="BY106" s="123">
        <f>IF(Plus!$F$10=Plus!$AK$3,MIN(BZ105+BQ106+BT106+BU106+BV106-BX106,CJ106),0)</f>
        <v>0</v>
      </c>
      <c r="BZ106" s="297">
        <f t="shared" si="280"/>
        <v>0</v>
      </c>
      <c r="CA106" s="74"/>
      <c r="CB106" s="74"/>
      <c r="CC106" s="413">
        <f t="shared" si="209"/>
        <v>0</v>
      </c>
      <c r="CF106" s="90">
        <f t="shared" si="210"/>
        <v>10</v>
      </c>
      <c r="CG106" s="121">
        <f t="shared" si="263"/>
        <v>0</v>
      </c>
      <c r="CI106" s="70">
        <f t="shared" si="264"/>
        <v>0</v>
      </c>
      <c r="CJ106" s="2178">
        <f t="shared" ca="1" si="211"/>
        <v>0</v>
      </c>
      <c r="CL106" s="161"/>
      <c r="CN106" s="308">
        <f t="shared" ca="1" si="176"/>
        <v>1</v>
      </c>
      <c r="CO106" s="309">
        <f t="shared" si="212"/>
        <v>0</v>
      </c>
      <c r="CP106" s="268">
        <f t="shared" si="177"/>
        <v>0</v>
      </c>
      <c r="CQ106" s="123">
        <f t="shared" si="213"/>
        <v>0</v>
      </c>
      <c r="CR106" s="123">
        <f t="shared" si="289"/>
        <v>0</v>
      </c>
      <c r="CS106" s="123">
        <f t="shared" si="290"/>
        <v>0</v>
      </c>
      <c r="CT106" s="33">
        <f>IF(CZ105&lt;0.01,0,IF(Plus!$F$22=Plus!$AN$4,0,IF(Plus!$F$22=Plus!$AN$3,CZ105*Plus!$F$23/1000,CZ105*VLOOKUP(Plus!$G$21,Plus!$AP$2:'Plus'!$AQ$5,2,0))))</f>
        <v>0</v>
      </c>
      <c r="CU106" s="123">
        <f>IF(CZ105&lt;0.01,0,IF(Plus!$F$24=Plus!$AO$3,0,IF(OR(Plus!$F$10=Plus!$AK$7,Plus!$F$10=Plus!$AK$13),0,Plus!$G$13*Plus!$AR$2)))</f>
        <v>0</v>
      </c>
      <c r="CV106" s="123">
        <f>IF(CZ105&lt;0.01,0,IF(OR(Plus!$F$10=Plus!$AK$7,Plus!$F$10=Plus!$AK$13),0,Plus!$BD$2*1.16))</f>
        <v>0</v>
      </c>
      <c r="CW106" s="123">
        <f>IF(CZ105&lt;0.01,0,IF(Plus!$AS$2&gt;0,CQ106*Plus!$AS$3,0))</f>
        <v>0</v>
      </c>
      <c r="CX106" s="123">
        <f t="shared" si="214"/>
        <v>0</v>
      </c>
      <c r="CY106" s="123">
        <f>IF(Plus!$F$10=Plus!$AK$3,MIN(CZ105+CQ106+CT106+CU106+CV106-CX106,DK106),0)</f>
        <v>0</v>
      </c>
      <c r="CZ106" s="297">
        <f t="shared" ref="CZ106:CZ169" si="294">IF(CZ105&lt;0.01,0,CZ105-CR106-CY106-DA106)</f>
        <v>0</v>
      </c>
      <c r="DA106" s="306">
        <f>Plus!O147</f>
        <v>0</v>
      </c>
      <c r="DB106" s="74"/>
      <c r="DC106" s="74"/>
      <c r="DD106" s="407">
        <f t="shared" si="215"/>
        <v>0</v>
      </c>
      <c r="DG106" s="90">
        <f t="shared" si="216"/>
        <v>10</v>
      </c>
      <c r="DH106" s="121">
        <f t="shared" si="265"/>
        <v>0</v>
      </c>
      <c r="DJ106" s="149">
        <f t="shared" si="266"/>
        <v>0</v>
      </c>
      <c r="DK106" s="2179">
        <f t="shared" ca="1" si="217"/>
        <v>0</v>
      </c>
      <c r="DN106" s="120">
        <f t="shared" si="267"/>
        <v>0</v>
      </c>
      <c r="DO106" s="110">
        <f t="shared" si="218"/>
        <v>0</v>
      </c>
      <c r="DP106" s="110">
        <f t="shared" si="276"/>
        <v>0</v>
      </c>
      <c r="DQ106" s="109">
        <f t="shared" si="219"/>
        <v>0</v>
      </c>
      <c r="DR106" s="109">
        <f t="shared" si="220"/>
        <v>0</v>
      </c>
      <c r="DS106" s="113">
        <f t="shared" si="221"/>
        <v>0</v>
      </c>
      <c r="DU106" s="102">
        <f t="shared" si="222"/>
        <v>0</v>
      </c>
      <c r="DV106" s="211">
        <f t="shared" si="277"/>
        <v>82</v>
      </c>
      <c r="DW106" s="212">
        <f t="shared" si="223"/>
        <v>0</v>
      </c>
      <c r="DX106" s="212">
        <f t="shared" si="178"/>
        <v>0</v>
      </c>
      <c r="DY106" s="212">
        <f t="shared" si="268"/>
        <v>0</v>
      </c>
      <c r="DZ106" s="213">
        <f t="shared" si="179"/>
        <v>1000000</v>
      </c>
      <c r="ED106" s="182"/>
      <c r="EF106" s="308">
        <f t="shared" ca="1" si="180"/>
        <v>1</v>
      </c>
      <c r="EG106" s="309">
        <f t="shared" si="224"/>
        <v>0</v>
      </c>
      <c r="EH106" s="268">
        <f t="shared" si="181"/>
        <v>0</v>
      </c>
      <c r="EI106" s="33">
        <f t="shared" si="225"/>
        <v>0</v>
      </c>
      <c r="EJ106" s="33">
        <f t="shared" si="291"/>
        <v>0</v>
      </c>
      <c r="EK106" s="33">
        <f t="shared" si="151"/>
        <v>0</v>
      </c>
      <c r="EL106" s="33">
        <f>IF(ER105&lt;0.01,0,IF(Plus!$F$22=Plus!$AN$4,0,IF(Plus!$F$22=Plus!$AN$3,ER105*Plus!$F$23/1000,ER105*VLOOKUP(Plus!$G$21,Plus!$AP$2:'Plus'!$AQ$5,2,0))))</f>
        <v>0</v>
      </c>
      <c r="EM106" s="33">
        <f>IF(ER105&lt;0.01,0,IF(Plus!$F$24=Plus!$AO$3,0,IF(OR(Plus!$F$10=Plus!$AK$7,Plus!$F$10=Plus!$AK$13),0,Plus!$G$13*Plus!$AR$2)))</f>
        <v>0</v>
      </c>
      <c r="EN106" s="33">
        <f>IF(ER105&lt;0.01,0,IF(OR(Plus!$F$10=Plus!$AK$7,Plus!$F$10=Plus!$AK$13),0,Plus!$BD$2*1.16))</f>
        <v>0</v>
      </c>
      <c r="EO106" s="33">
        <f>IF(ER105&lt;0.01,0,IF(Plus!$AS$2&gt;0,EI106*Plus!$AS$3,0))</f>
        <v>0</v>
      </c>
      <c r="EP106" s="33">
        <f t="shared" si="226"/>
        <v>0</v>
      </c>
      <c r="EQ106" s="33">
        <f>IF(Plus!$F$10=Plus!$AK$3,MIN(ER105+EI106+EL106+EM106+EN106-EP106,FC106),0)</f>
        <v>0</v>
      </c>
      <c r="ER106" s="311">
        <f t="shared" si="285"/>
        <v>0</v>
      </c>
      <c r="ES106" s="340">
        <f>Plus!O147</f>
        <v>0</v>
      </c>
      <c r="ET106" s="74"/>
      <c r="EU106" s="74"/>
      <c r="EV106" s="416">
        <f t="shared" si="281"/>
        <v>0</v>
      </c>
      <c r="EY106" s="90">
        <f t="shared" si="227"/>
        <v>10</v>
      </c>
      <c r="EZ106" s="121">
        <f t="shared" si="269"/>
        <v>0</v>
      </c>
      <c r="FB106" s="149">
        <f t="shared" si="270"/>
        <v>0</v>
      </c>
      <c r="FC106" s="2179">
        <f t="shared" ca="1" si="228"/>
        <v>0</v>
      </c>
      <c r="FE106" s="120">
        <f t="shared" si="271"/>
        <v>0</v>
      </c>
      <c r="FF106" s="110">
        <f t="shared" si="229"/>
        <v>0</v>
      </c>
      <c r="FG106" s="110">
        <f t="shared" si="230"/>
        <v>0</v>
      </c>
      <c r="FH106" s="109">
        <f t="shared" si="231"/>
        <v>0</v>
      </c>
      <c r="FI106" s="109">
        <f t="shared" si="182"/>
        <v>0</v>
      </c>
      <c r="FJ106" s="113">
        <f t="shared" si="232"/>
        <v>0</v>
      </c>
      <c r="FL106" s="102">
        <f t="shared" si="233"/>
        <v>0</v>
      </c>
      <c r="FM106" s="211">
        <f t="shared" si="278"/>
        <v>82</v>
      </c>
      <c r="FN106" s="212">
        <f t="shared" si="234"/>
        <v>0</v>
      </c>
      <c r="FO106" s="212">
        <f t="shared" si="183"/>
        <v>0</v>
      </c>
      <c r="FP106" s="212">
        <f t="shared" si="282"/>
        <v>0</v>
      </c>
      <c r="FQ106" s="213">
        <f t="shared" si="184"/>
        <v>1000000</v>
      </c>
      <c r="FV106" s="359"/>
      <c r="FX106" s="308">
        <f t="shared" ca="1" si="185"/>
        <v>1</v>
      </c>
      <c r="FY106" s="309">
        <f t="shared" si="235"/>
        <v>0</v>
      </c>
      <c r="FZ106" s="268">
        <f t="shared" si="186"/>
        <v>0</v>
      </c>
      <c r="GA106" s="33">
        <f t="shared" si="236"/>
        <v>0</v>
      </c>
      <c r="GB106" s="33">
        <f t="shared" si="292"/>
        <v>0</v>
      </c>
      <c r="GC106" s="33">
        <f t="shared" si="293"/>
        <v>0</v>
      </c>
      <c r="GD106" s="33">
        <f>IF(GJ105&lt;0.01,0,IF(Plus!$F$22=Plus!$AN$4,0,IF(Plus!$F$22=Plus!$AN$3,GJ105*Plus!$F$23/1000,GJ105*VLOOKUP(Plus!$G$21,Plus!$AP$2:$AQ$5,2,0))))</f>
        <v>0</v>
      </c>
      <c r="GE106" s="33">
        <f>IF(GJ105&lt;0.01,0,IF(Plus!$F$24=Plus!$AO$3,0,IF(OR(Plus!$F$10=Plus!$AK$7,Plus!$F$10=Plus!$AK$13,Plus!$F$10=Plus!$AK$14),0,IF(OR(Plus!$F$10=Plus!$AK$10,Plus!$F$10=Plus!$AK$11),Plus!$G$13*Adm!$W$7,Plus!$G$13*Adm!$X$4))))</f>
        <v>0</v>
      </c>
      <c r="GF106" s="33">
        <f>IF(GJ105&lt;0.01,0,IF(OR(Plus!$F$10=Plus!$AK$7,Plus!$F$10=Plus!$AK$13),0,Plus!$BD$2*1.16))</f>
        <v>0</v>
      </c>
      <c r="GG106" s="33">
        <f>IF(GJ105&lt;0.01,0,IF(Plus!$AS$2&gt;0,GA106*Plus!$AS$3,0))</f>
        <v>0</v>
      </c>
      <c r="GH106" s="33">
        <f t="shared" si="237"/>
        <v>0</v>
      </c>
      <c r="GI106" s="33">
        <f>IF(Plus!$F$10=Plus!$AK$3,MIN(GJ105+GA106+GD106+GE106+GF106-GH106,GU106),0)</f>
        <v>0</v>
      </c>
      <c r="GJ106" s="311">
        <f t="shared" si="286"/>
        <v>0</v>
      </c>
      <c r="GK106" s="340">
        <f>Plus!O147</f>
        <v>0</v>
      </c>
      <c r="GL106" s="74"/>
      <c r="GM106" s="74"/>
      <c r="GN106" s="419">
        <f t="shared" si="283"/>
        <v>0</v>
      </c>
      <c r="GQ106" s="90">
        <f t="shared" si="238"/>
        <v>10</v>
      </c>
      <c r="GR106" s="121">
        <f t="shared" si="272"/>
        <v>0</v>
      </c>
      <c r="GT106" s="149">
        <f t="shared" si="273"/>
        <v>0</v>
      </c>
      <c r="GU106" s="2179">
        <f t="shared" ca="1" si="239"/>
        <v>0</v>
      </c>
      <c r="GW106" s="120">
        <f t="shared" si="274"/>
        <v>0</v>
      </c>
      <c r="GX106" s="110">
        <f t="shared" si="240"/>
        <v>0</v>
      </c>
      <c r="GY106" s="110">
        <f t="shared" si="241"/>
        <v>0</v>
      </c>
      <c r="GZ106" s="109">
        <f t="shared" si="242"/>
        <v>0</v>
      </c>
      <c r="HA106" s="109">
        <f t="shared" si="187"/>
        <v>0</v>
      </c>
      <c r="HB106" s="113">
        <f t="shared" si="243"/>
        <v>0</v>
      </c>
      <c r="HD106" s="102">
        <f t="shared" si="244"/>
        <v>0</v>
      </c>
      <c r="HE106" s="211">
        <f t="shared" si="279"/>
        <v>82</v>
      </c>
      <c r="HF106" s="212">
        <f t="shared" si="245"/>
        <v>0</v>
      </c>
      <c r="HG106" s="212">
        <f t="shared" si="188"/>
        <v>0</v>
      </c>
      <c r="HH106" s="212">
        <f t="shared" si="284"/>
        <v>0</v>
      </c>
      <c r="HI106" s="213">
        <f t="shared" si="189"/>
        <v>1000000</v>
      </c>
      <c r="HL106" s="182"/>
      <c r="HM106" s="26">
        <f t="shared" ca="1" si="190"/>
        <v>1</v>
      </c>
      <c r="HO106" s="268">
        <f t="shared" si="191"/>
        <v>0</v>
      </c>
      <c r="HP106" s="151">
        <f t="shared" si="157"/>
        <v>0</v>
      </c>
      <c r="HQ106" s="123">
        <f t="shared" si="246"/>
        <v>0</v>
      </c>
      <c r="HR106" s="123">
        <f t="shared" si="247"/>
        <v>0</v>
      </c>
      <c r="HS106" s="123">
        <f t="shared" si="248"/>
        <v>0</v>
      </c>
      <c r="HT106" s="123">
        <f>IF(HY105&lt;0.01,0,IF(Adm!$GS$4=Adm!$GS$8,HY105*$HY$15,IF(Adm!$GS$12=Adm!$GS$13,0,HY105*Adm!$GV$4)))</f>
        <v>0</v>
      </c>
      <c r="HU106" s="123">
        <f>IF(HY105&lt;0.01,0,IF(Adm!$GS$5=Adm!$GS$8,Cal!$BO$108*$HY$16/1.16,IF(Adm!$GS$12=Adm!$GS$13,0,Cal!$BO$108*Adm!$GW$4/1.16)))</f>
        <v>0</v>
      </c>
      <c r="HV106" s="123">
        <f t="shared" si="249"/>
        <v>0</v>
      </c>
      <c r="HW106" s="123">
        <f t="shared" si="192"/>
        <v>0</v>
      </c>
      <c r="HX106" s="123">
        <f>IF(Adm!$GH$6="si",MIN(HY105+HQ106+HT106+HU106+HV106-HW106,IH106),0)</f>
        <v>0</v>
      </c>
      <c r="HY106" s="297">
        <f t="shared" si="250"/>
        <v>0</v>
      </c>
      <c r="HZ106" s="74"/>
      <c r="IA106" s="407">
        <f t="shared" si="251"/>
        <v>0</v>
      </c>
      <c r="IC106" s="90">
        <f t="shared" si="252"/>
        <v>10</v>
      </c>
      <c r="ID106" s="124">
        <f>IF(IC106=1,Cal!$BO$127,0)</f>
        <v>0</v>
      </c>
      <c r="IE106" s="178">
        <f>IF(IC106=1,Adm!$HI$4,0)</f>
        <v>0</v>
      </c>
      <c r="IG106" s="70">
        <f t="shared" si="275"/>
        <v>0</v>
      </c>
      <c r="IH106" s="2178">
        <f t="shared" ca="1" si="253"/>
        <v>0</v>
      </c>
      <c r="IK106" s="217"/>
      <c r="IL106" s="26">
        <f t="shared" ca="1" si="193"/>
        <v>1</v>
      </c>
      <c r="IN106" s="268">
        <f t="shared" si="194"/>
        <v>0</v>
      </c>
      <c r="IO106" s="151">
        <f t="shared" si="154"/>
        <v>0</v>
      </c>
      <c r="IP106" s="123">
        <f t="shared" si="254"/>
        <v>0</v>
      </c>
      <c r="IQ106" s="123">
        <f t="shared" si="255"/>
        <v>0</v>
      </c>
      <c r="IR106" s="123">
        <f t="shared" si="256"/>
        <v>0</v>
      </c>
      <c r="IS106" s="123">
        <f>IF(IX105&lt;0.01,0,IF(Adm!$GS$4=Adm!$GS$8,IX105*$IX$15,IF(Adm!$GS$12=Adm!$GS$13,0,IX105*Adm!$GV$4)))</f>
        <v>0</v>
      </c>
      <c r="IT106" s="123"/>
      <c r="IU106" s="123">
        <f t="shared" si="257"/>
        <v>0</v>
      </c>
      <c r="IV106" s="123">
        <f t="shared" si="258"/>
        <v>0</v>
      </c>
      <c r="IW106" s="123"/>
      <c r="IX106" s="297">
        <f t="shared" si="259"/>
        <v>0</v>
      </c>
      <c r="IY106" s="74"/>
      <c r="IZ106" s="416">
        <f t="shared" si="260"/>
        <v>0</v>
      </c>
      <c r="JB106" s="90">
        <f t="shared" si="261"/>
        <v>10</v>
      </c>
      <c r="JC106" s="124">
        <f>IF(JB106=1,Cal!$BP$127,0)</f>
        <v>0</v>
      </c>
      <c r="JD106" s="178">
        <f>IF(JB106=1,Adm!$HI$4,0)</f>
        <v>0</v>
      </c>
    </row>
    <row r="107" spans="1:264">
      <c r="A107" s="26">
        <f t="shared" ca="1" si="162"/>
        <v>2</v>
      </c>
      <c r="C107" s="33">
        <f t="shared" si="163"/>
        <v>0</v>
      </c>
      <c r="D107" s="123">
        <f t="shared" si="195"/>
        <v>0</v>
      </c>
      <c r="E107" s="123">
        <f t="shared" si="287"/>
        <v>0</v>
      </c>
      <c r="F107" s="123">
        <f t="shared" si="149"/>
        <v>0</v>
      </c>
      <c r="G107" s="123">
        <f>IF(L106&lt;0.01,0,IF(Adm!$S$4=Adm!$S$8,L106*$L$15,L106*Adm!$V$4))</f>
        <v>0</v>
      </c>
      <c r="H107" s="123">
        <f>IF(L106&lt;0.01,0,IF(Adm!$S$5=Adm!$S$8,Adm!$AA$11*$L$16/1.16,IF(Adm!$B$4=Adm!$A$119,0,Adm!$AA$11*Adm!$X$4/1.16)))</f>
        <v>0</v>
      </c>
      <c r="I107" s="123">
        <f>IF(L106&lt;0.01,0,Cal!$AB$126/1.16)</f>
        <v>0</v>
      </c>
      <c r="J107" s="123">
        <f t="shared" si="164"/>
        <v>0</v>
      </c>
      <c r="K107" s="123">
        <f>IF(Adm!$G$4="si",MIN(L106+D107+G107+H107+I107-J107,V107),0)</f>
        <v>0</v>
      </c>
      <c r="L107" s="123">
        <f t="shared" si="196"/>
        <v>0</v>
      </c>
      <c r="M107" s="74"/>
      <c r="N107" s="74"/>
      <c r="O107" s="407">
        <f t="shared" si="197"/>
        <v>0</v>
      </c>
      <c r="R107" s="90">
        <f t="shared" si="198"/>
        <v>11</v>
      </c>
      <c r="S107" s="121">
        <f>IF(R107=1,Cal!$AB$127,0)</f>
        <v>0</v>
      </c>
      <c r="U107" s="70">
        <f t="shared" si="262"/>
        <v>0</v>
      </c>
      <c r="V107" s="2178">
        <f t="shared" ca="1" si="199"/>
        <v>0</v>
      </c>
      <c r="X107" s="398"/>
      <c r="Z107" s="268">
        <f t="shared" si="165"/>
        <v>0</v>
      </c>
      <c r="AA107" s="2176">
        <f t="shared" si="200"/>
        <v>0</v>
      </c>
      <c r="AB107" s="33">
        <f t="shared" si="201"/>
        <v>0</v>
      </c>
      <c r="AC107" s="33">
        <f t="shared" si="202"/>
        <v>0</v>
      </c>
      <c r="AD107" s="33">
        <f>IF(AI106&lt;0.01,0,IF(Adm!$S$4=Adm!$S$8,AI106*$AI$15,AI106*Adm!$V$4))</f>
        <v>0</v>
      </c>
      <c r="AE107" s="33"/>
      <c r="AF107" s="33"/>
      <c r="AG107" s="33">
        <f t="shared" si="166"/>
        <v>0</v>
      </c>
      <c r="AH107" s="33"/>
      <c r="AI107" s="401">
        <f t="shared" si="167"/>
        <v>0</v>
      </c>
      <c r="AK107" s="410">
        <f t="shared" si="168"/>
        <v>0</v>
      </c>
      <c r="AN107" s="90">
        <f t="shared" si="203"/>
        <v>11</v>
      </c>
      <c r="AO107" s="121">
        <f>IF(AN107=1,Cal!$AC$127,0)</f>
        <v>0</v>
      </c>
      <c r="AS107" s="200"/>
      <c r="AU107" s="268">
        <f t="shared" si="169"/>
        <v>0</v>
      </c>
      <c r="AV107" s="2177">
        <f t="shared" si="204"/>
        <v>0</v>
      </c>
      <c r="AW107" s="123">
        <f t="shared" si="170"/>
        <v>0</v>
      </c>
      <c r="AX107" s="123">
        <f t="shared" si="205"/>
        <v>0</v>
      </c>
      <c r="AY107" s="123">
        <f>IF(BC106&lt;0.01,0,IF(Adm!$S$4=Adm!$S$8,BC106*$BC$16,BC106*Adm!$V$4))</f>
        <v>0</v>
      </c>
      <c r="AZ107" s="123"/>
      <c r="BA107" s="123">
        <f>IF(BC106&lt;0.01,0,Adm!$Q$6)</f>
        <v>0</v>
      </c>
      <c r="BB107" s="123">
        <f t="shared" si="171"/>
        <v>0</v>
      </c>
      <c r="BC107" s="297">
        <f t="shared" si="206"/>
        <v>0</v>
      </c>
      <c r="BE107" s="425">
        <f t="shared" si="172"/>
        <v>0</v>
      </c>
      <c r="BH107" s="90">
        <f t="shared" si="207"/>
        <v>11</v>
      </c>
      <c r="BI107" s="121">
        <f>IF(BH107=1,Cal!$AD$127,0)</f>
        <v>0</v>
      </c>
      <c r="BM107" s="221"/>
      <c r="BO107" s="295">
        <f t="shared" ca="1" si="173"/>
        <v>2</v>
      </c>
      <c r="BP107" s="268">
        <f t="shared" si="174"/>
        <v>0</v>
      </c>
      <c r="BQ107" s="123">
        <f t="shared" si="208"/>
        <v>0</v>
      </c>
      <c r="BR107" s="123">
        <f t="shared" si="288"/>
        <v>0</v>
      </c>
      <c r="BS107" s="123">
        <f t="shared" si="150"/>
        <v>0</v>
      </c>
      <c r="BT107" s="123">
        <f>IF(BZ106&lt;0.01,0,IF(Plus!$F$22=Plus!$AN$4,BZ106*$BZ$15,IF(Plus!$F$22=Plus!$AN$3,BZ106*Plus!$F$23/1000,BZ106*VLOOKUP(Plus!$G$21,Plus!$AP$2:'Plus'!$AQ$5,2,0))))</f>
        <v>0</v>
      </c>
      <c r="BU107" s="123">
        <f>IF(BZ106&lt;0.01,0,IF(Plus!$F$24=Plus!$AO$3,Plus!$G$13*Plus!$AR$2/1.16,IF(Plus!$F$10=Plus!$AK$7,0,Plus!$G$13*Plus!$AR$2/1.16)))</f>
        <v>0</v>
      </c>
      <c r="BV107" s="123">
        <f>IF(BZ106&lt;0.01,0,Plus!$BD$2)</f>
        <v>0</v>
      </c>
      <c r="BW107" s="123"/>
      <c r="BX107" s="123">
        <f t="shared" si="175"/>
        <v>0</v>
      </c>
      <c r="BY107" s="123">
        <f>IF(Plus!$F$10=Plus!$AK$3,MIN(BZ106+BQ107+BT107+BU107+BV107-BX107,CJ107),0)</f>
        <v>0</v>
      </c>
      <c r="BZ107" s="297">
        <f t="shared" si="280"/>
        <v>0</v>
      </c>
      <c r="CA107" s="74"/>
      <c r="CB107" s="74"/>
      <c r="CC107" s="413">
        <f t="shared" si="209"/>
        <v>0</v>
      </c>
      <c r="CF107" s="90">
        <f t="shared" si="210"/>
        <v>11</v>
      </c>
      <c r="CG107" s="121">
        <f t="shared" si="263"/>
        <v>0</v>
      </c>
      <c r="CI107" s="70">
        <f t="shared" si="264"/>
        <v>0</v>
      </c>
      <c r="CJ107" s="2178">
        <f t="shared" ca="1" si="211"/>
        <v>0</v>
      </c>
      <c r="CL107" s="161"/>
      <c r="CN107" s="308">
        <f t="shared" ca="1" si="176"/>
        <v>2</v>
      </c>
      <c r="CO107" s="309">
        <f t="shared" si="212"/>
        <v>0</v>
      </c>
      <c r="CP107" s="268">
        <f t="shared" si="177"/>
        <v>0</v>
      </c>
      <c r="CQ107" s="123">
        <f t="shared" si="213"/>
        <v>0</v>
      </c>
      <c r="CR107" s="123">
        <f t="shared" si="289"/>
        <v>0</v>
      </c>
      <c r="CS107" s="123">
        <f t="shared" si="290"/>
        <v>0</v>
      </c>
      <c r="CT107" s="33">
        <f>IF(CZ106&lt;0.01,0,IF(Plus!$F$22=Plus!$AN$4,0,IF(Plus!$F$22=Plus!$AN$3,CZ106*Plus!$F$23/1000,CZ106*VLOOKUP(Plus!$G$21,Plus!$AP$2:'Plus'!$AQ$5,2,0))))</f>
        <v>0</v>
      </c>
      <c r="CU107" s="123">
        <f>IF(CZ106&lt;0.01,0,IF(Plus!$F$24=Plus!$AO$3,0,IF(OR(Plus!$F$10=Plus!$AK$7,Plus!$F$10=Plus!$AK$13),0,Plus!$G$13*Plus!$AR$2)))</f>
        <v>0</v>
      </c>
      <c r="CV107" s="123">
        <f>IF(CZ106&lt;0.01,0,IF(OR(Plus!$F$10=Plus!$AK$7,Plus!$F$10=Plus!$AK$13),0,Plus!$BD$2*1.16))</f>
        <v>0</v>
      </c>
      <c r="CW107" s="123">
        <f>IF(CZ106&lt;0.01,0,IF(Plus!$AS$2&gt;0,CQ107*Plus!$AS$3,0))</f>
        <v>0</v>
      </c>
      <c r="CX107" s="123">
        <f t="shared" si="214"/>
        <v>0</v>
      </c>
      <c r="CY107" s="123">
        <f>IF(Plus!$F$10=Plus!$AK$3,MIN(CZ106+CQ107+CT107+CU107+CV107-CX107,DK107),0)</f>
        <v>0</v>
      </c>
      <c r="CZ107" s="297">
        <f t="shared" si="294"/>
        <v>0</v>
      </c>
      <c r="DA107" s="306">
        <f>Plus!O148</f>
        <v>0</v>
      </c>
      <c r="DB107" s="74"/>
      <c r="DC107" s="74"/>
      <c r="DD107" s="407">
        <f t="shared" si="215"/>
        <v>0</v>
      </c>
      <c r="DG107" s="90">
        <f t="shared" si="216"/>
        <v>11</v>
      </c>
      <c r="DH107" s="121">
        <f t="shared" si="265"/>
        <v>0</v>
      </c>
      <c r="DJ107" s="149">
        <f t="shared" si="266"/>
        <v>0</v>
      </c>
      <c r="DK107" s="2179">
        <f t="shared" ca="1" si="217"/>
        <v>0</v>
      </c>
      <c r="DN107" s="120">
        <f t="shared" si="267"/>
        <v>0</v>
      </c>
      <c r="DO107" s="110">
        <f t="shared" si="218"/>
        <v>0</v>
      </c>
      <c r="DP107" s="110">
        <f t="shared" si="276"/>
        <v>0</v>
      </c>
      <c r="DQ107" s="109">
        <f t="shared" si="219"/>
        <v>0</v>
      </c>
      <c r="DR107" s="109">
        <f t="shared" si="220"/>
        <v>0</v>
      </c>
      <c r="DS107" s="113">
        <f t="shared" si="221"/>
        <v>0</v>
      </c>
      <c r="DU107" s="102">
        <f t="shared" si="222"/>
        <v>0</v>
      </c>
      <c r="DV107" s="211">
        <f t="shared" si="277"/>
        <v>83</v>
      </c>
      <c r="DW107" s="212">
        <f t="shared" si="223"/>
        <v>0</v>
      </c>
      <c r="DX107" s="212">
        <f t="shared" si="178"/>
        <v>0</v>
      </c>
      <c r="DY107" s="212">
        <f t="shared" si="268"/>
        <v>0</v>
      </c>
      <c r="DZ107" s="213">
        <f t="shared" si="179"/>
        <v>1000000</v>
      </c>
      <c r="ED107" s="182"/>
      <c r="EF107" s="308">
        <f t="shared" ca="1" si="180"/>
        <v>2</v>
      </c>
      <c r="EG107" s="309">
        <f t="shared" si="224"/>
        <v>0</v>
      </c>
      <c r="EH107" s="268">
        <f t="shared" si="181"/>
        <v>0</v>
      </c>
      <c r="EI107" s="33">
        <f t="shared" si="225"/>
        <v>0</v>
      </c>
      <c r="EJ107" s="33">
        <f t="shared" si="291"/>
        <v>0</v>
      </c>
      <c r="EK107" s="33">
        <f t="shared" si="151"/>
        <v>0</v>
      </c>
      <c r="EL107" s="33">
        <f>IF(ER106&lt;0.01,0,IF(Plus!$F$22=Plus!$AN$4,0,IF(Plus!$F$22=Plus!$AN$3,ER106*Plus!$F$23/1000,ER106*VLOOKUP(Plus!$G$21,Plus!$AP$2:'Plus'!$AQ$5,2,0))))</f>
        <v>0</v>
      </c>
      <c r="EM107" s="33">
        <f>IF(ER106&lt;0.01,0,IF(Plus!$F$24=Plus!$AO$3,0,IF(OR(Plus!$F$10=Plus!$AK$7,Plus!$F$10=Plus!$AK$13),0,Plus!$G$13*Plus!$AR$2)))</f>
        <v>0</v>
      </c>
      <c r="EN107" s="33">
        <f>IF(ER106&lt;0.01,0,IF(OR(Plus!$F$10=Plus!$AK$7,Plus!$F$10=Plus!$AK$13),0,Plus!$BD$2*1.16))</f>
        <v>0</v>
      </c>
      <c r="EO107" s="33">
        <f>IF(ER106&lt;0.01,0,IF(Plus!$AS$2&gt;0,EI107*Plus!$AS$3,0))</f>
        <v>0</v>
      </c>
      <c r="EP107" s="33">
        <f t="shared" si="226"/>
        <v>0</v>
      </c>
      <c r="EQ107" s="33">
        <f>IF(Plus!$F$10=Plus!$AK$3,MIN(ER106+EI107+EL107+EM107+EN107-EP107,FC107),0)</f>
        <v>0</v>
      </c>
      <c r="ER107" s="311">
        <f t="shared" si="285"/>
        <v>0</v>
      </c>
      <c r="ES107" s="340">
        <f>Plus!O148</f>
        <v>0</v>
      </c>
      <c r="ET107" s="74"/>
      <c r="EU107" s="74"/>
      <c r="EV107" s="416">
        <f t="shared" si="281"/>
        <v>0</v>
      </c>
      <c r="EY107" s="90">
        <f t="shared" si="227"/>
        <v>11</v>
      </c>
      <c r="EZ107" s="121">
        <f t="shared" si="269"/>
        <v>0</v>
      </c>
      <c r="FB107" s="149">
        <f t="shared" si="270"/>
        <v>0</v>
      </c>
      <c r="FC107" s="2179">
        <f t="shared" ca="1" si="228"/>
        <v>0</v>
      </c>
      <c r="FE107" s="120">
        <f t="shared" si="271"/>
        <v>0</v>
      </c>
      <c r="FF107" s="110">
        <f t="shared" si="229"/>
        <v>0</v>
      </c>
      <c r="FG107" s="110">
        <f t="shared" si="230"/>
        <v>0</v>
      </c>
      <c r="FH107" s="109">
        <f t="shared" si="231"/>
        <v>0</v>
      </c>
      <c r="FI107" s="109">
        <f t="shared" si="182"/>
        <v>0</v>
      </c>
      <c r="FJ107" s="113">
        <f t="shared" si="232"/>
        <v>0</v>
      </c>
      <c r="FL107" s="102">
        <f t="shared" si="233"/>
        <v>0</v>
      </c>
      <c r="FM107" s="211">
        <f t="shared" si="278"/>
        <v>83</v>
      </c>
      <c r="FN107" s="212">
        <f t="shared" si="234"/>
        <v>0</v>
      </c>
      <c r="FO107" s="212">
        <f t="shared" si="183"/>
        <v>0</v>
      </c>
      <c r="FP107" s="212">
        <f t="shared" si="282"/>
        <v>0</v>
      </c>
      <c r="FQ107" s="213">
        <f t="shared" si="184"/>
        <v>1000000</v>
      </c>
      <c r="FV107" s="359"/>
      <c r="FX107" s="308">
        <f t="shared" ca="1" si="185"/>
        <v>2</v>
      </c>
      <c r="FY107" s="309">
        <f t="shared" si="235"/>
        <v>0</v>
      </c>
      <c r="FZ107" s="268">
        <f t="shared" si="186"/>
        <v>0</v>
      </c>
      <c r="GA107" s="33">
        <f t="shared" si="236"/>
        <v>0</v>
      </c>
      <c r="GB107" s="33">
        <f t="shared" si="292"/>
        <v>0</v>
      </c>
      <c r="GC107" s="33">
        <f t="shared" si="293"/>
        <v>0</v>
      </c>
      <c r="GD107" s="33">
        <f>IF(GJ106&lt;0.01,0,IF(Plus!$F$22=Plus!$AN$4,0,IF(Plus!$F$22=Plus!$AN$3,GJ106*Plus!$F$23/1000,GJ106*VLOOKUP(Plus!$G$21,Plus!$AP$2:$AQ$5,2,0))))</f>
        <v>0</v>
      </c>
      <c r="GE107" s="33">
        <f>IF(GJ106&lt;0.01,0,IF(Plus!$F$24=Plus!$AO$3,0,IF(OR(Plus!$F$10=Plus!$AK$7,Plus!$F$10=Plus!$AK$13,Plus!$F$10=Plus!$AK$14),0,IF(OR(Plus!$F$10=Plus!$AK$10,Plus!$F$10=Plus!$AK$11),Plus!$G$13*Adm!$W$7,Plus!$G$13*Adm!$X$4))))</f>
        <v>0</v>
      </c>
      <c r="GF107" s="33">
        <f>IF(GJ106&lt;0.01,0,IF(OR(Plus!$F$10=Plus!$AK$7,Plus!$F$10=Plus!$AK$13),0,Plus!$BD$2*1.16))</f>
        <v>0</v>
      </c>
      <c r="GG107" s="33">
        <f>IF(GJ106&lt;0.01,0,IF(Plus!$AS$2&gt;0,GA107*Plus!$AS$3,0))</f>
        <v>0</v>
      </c>
      <c r="GH107" s="33">
        <f t="shared" si="237"/>
        <v>0</v>
      </c>
      <c r="GI107" s="33">
        <f>IF(Plus!$F$10=Plus!$AK$3,MIN(GJ106+GA107+GD107+GE107+GF107-GH107,GU107),0)</f>
        <v>0</v>
      </c>
      <c r="GJ107" s="311">
        <f t="shared" si="286"/>
        <v>0</v>
      </c>
      <c r="GK107" s="340">
        <f>Plus!O148</f>
        <v>0</v>
      </c>
      <c r="GL107" s="74"/>
      <c r="GM107" s="74"/>
      <c r="GN107" s="419">
        <f t="shared" si="283"/>
        <v>0</v>
      </c>
      <c r="GQ107" s="90">
        <f t="shared" si="238"/>
        <v>11</v>
      </c>
      <c r="GR107" s="121">
        <f t="shared" si="272"/>
        <v>0</v>
      </c>
      <c r="GT107" s="149">
        <f t="shared" si="273"/>
        <v>0</v>
      </c>
      <c r="GU107" s="2179">
        <f t="shared" ca="1" si="239"/>
        <v>0</v>
      </c>
      <c r="GW107" s="120">
        <f t="shared" si="274"/>
        <v>0</v>
      </c>
      <c r="GX107" s="110">
        <f t="shared" si="240"/>
        <v>0</v>
      </c>
      <c r="GY107" s="110">
        <f t="shared" si="241"/>
        <v>0</v>
      </c>
      <c r="GZ107" s="109">
        <f t="shared" si="242"/>
        <v>0</v>
      </c>
      <c r="HA107" s="109">
        <f t="shared" si="187"/>
        <v>0</v>
      </c>
      <c r="HB107" s="113">
        <f t="shared" si="243"/>
        <v>0</v>
      </c>
      <c r="HD107" s="102">
        <f t="shared" si="244"/>
        <v>0</v>
      </c>
      <c r="HE107" s="211">
        <f t="shared" si="279"/>
        <v>83</v>
      </c>
      <c r="HF107" s="212">
        <f t="shared" si="245"/>
        <v>0</v>
      </c>
      <c r="HG107" s="212">
        <f t="shared" si="188"/>
        <v>0</v>
      </c>
      <c r="HH107" s="212">
        <f t="shared" si="284"/>
        <v>0</v>
      </c>
      <c r="HI107" s="213">
        <f t="shared" si="189"/>
        <v>1000000</v>
      </c>
      <c r="HL107" s="182"/>
      <c r="HM107" s="26">
        <f t="shared" ca="1" si="190"/>
        <v>2</v>
      </c>
      <c r="HO107" s="268">
        <f t="shared" si="191"/>
        <v>0</v>
      </c>
      <c r="HP107" s="151">
        <f t="shared" si="157"/>
        <v>0</v>
      </c>
      <c r="HQ107" s="123">
        <f t="shared" si="246"/>
        <v>0</v>
      </c>
      <c r="HR107" s="123">
        <f t="shared" si="247"/>
        <v>0</v>
      </c>
      <c r="HS107" s="123">
        <f t="shared" si="248"/>
        <v>0</v>
      </c>
      <c r="HT107" s="123">
        <f>IF(HY106&lt;0.01,0,IF(Adm!$GS$4=Adm!$GS$8,HY106*$HY$15,IF(Adm!$GS$12=Adm!$GS$13,0,HY106*Adm!$GV$4)))</f>
        <v>0</v>
      </c>
      <c r="HU107" s="123">
        <f>IF(HY106&lt;0.01,0,IF(Adm!$GS$5=Adm!$GS$8,Cal!$BO$108*$HY$16/1.16,IF(Adm!$GS$12=Adm!$GS$13,0,Cal!$BO$108*Adm!$GW$4/1.16)))</f>
        <v>0</v>
      </c>
      <c r="HV107" s="123">
        <f t="shared" si="249"/>
        <v>0</v>
      </c>
      <c r="HW107" s="123">
        <f t="shared" si="192"/>
        <v>0</v>
      </c>
      <c r="HX107" s="123">
        <f>IF(Adm!$GH$6="si",MIN(HY106+HQ107+HT107+HU107+HV107-HW107,IH107),0)</f>
        <v>0</v>
      </c>
      <c r="HY107" s="297">
        <f t="shared" si="250"/>
        <v>0</v>
      </c>
      <c r="HZ107" s="74"/>
      <c r="IA107" s="407">
        <f t="shared" si="251"/>
        <v>0</v>
      </c>
      <c r="IC107" s="90">
        <f t="shared" si="252"/>
        <v>11</v>
      </c>
      <c r="ID107" s="124">
        <f>IF(IC107=1,Cal!$BO$127,0)</f>
        <v>0</v>
      </c>
      <c r="IE107" s="178">
        <f>IF(IC107=1,Adm!$HI$4,0)</f>
        <v>0</v>
      </c>
      <c r="IG107" s="70">
        <f t="shared" si="275"/>
        <v>0</v>
      </c>
      <c r="IH107" s="2178">
        <f t="shared" ca="1" si="253"/>
        <v>0</v>
      </c>
      <c r="IK107" s="217"/>
      <c r="IL107" s="26">
        <f t="shared" ca="1" si="193"/>
        <v>2</v>
      </c>
      <c r="IN107" s="268">
        <f t="shared" si="194"/>
        <v>0</v>
      </c>
      <c r="IO107" s="151">
        <f t="shared" si="154"/>
        <v>0</v>
      </c>
      <c r="IP107" s="123">
        <f t="shared" si="254"/>
        <v>0</v>
      </c>
      <c r="IQ107" s="123">
        <f t="shared" si="255"/>
        <v>0</v>
      </c>
      <c r="IR107" s="123">
        <f t="shared" si="256"/>
        <v>0</v>
      </c>
      <c r="IS107" s="123">
        <f>IF(IX106&lt;0.01,0,IF(Adm!$GS$4=Adm!$GS$8,IX106*$IX$15,IF(Adm!$GS$12=Adm!$GS$13,0,IX106*Adm!$GV$4)))</f>
        <v>0</v>
      </c>
      <c r="IT107" s="123"/>
      <c r="IU107" s="123">
        <f t="shared" si="257"/>
        <v>0</v>
      </c>
      <c r="IV107" s="123">
        <f t="shared" si="258"/>
        <v>0</v>
      </c>
      <c r="IW107" s="123"/>
      <c r="IX107" s="297">
        <f t="shared" si="259"/>
        <v>0</v>
      </c>
      <c r="IY107" s="74"/>
      <c r="IZ107" s="416">
        <f t="shared" si="260"/>
        <v>0</v>
      </c>
      <c r="JB107" s="90">
        <f t="shared" si="261"/>
        <v>11</v>
      </c>
      <c r="JC107" s="124">
        <f>IF(JB107=1,Cal!$BP$127,0)</f>
        <v>0</v>
      </c>
      <c r="JD107" s="178">
        <f>IF(JB107=1,Adm!$HI$4,0)</f>
        <v>0</v>
      </c>
    </row>
    <row r="108" spans="1:264">
      <c r="A108" s="26">
        <f t="shared" ca="1" si="162"/>
        <v>3</v>
      </c>
      <c r="C108" s="33">
        <f t="shared" si="163"/>
        <v>0</v>
      </c>
      <c r="D108" s="123">
        <f t="shared" si="195"/>
        <v>0</v>
      </c>
      <c r="E108" s="123">
        <f t="shared" si="287"/>
        <v>0</v>
      </c>
      <c r="F108" s="123">
        <f t="shared" ref="F108:F171" si="295">IF(L107&lt;0.1,0,MIN(L107+D108,F107*(1+S108)))</f>
        <v>0</v>
      </c>
      <c r="G108" s="123">
        <f>IF(L107&lt;0.01,0,IF(Adm!$S$4=Adm!$S$8,L107*$L$15,L107*Adm!$V$4))</f>
        <v>0</v>
      </c>
      <c r="H108" s="123">
        <f>IF(L107&lt;0.01,0,IF(Adm!$S$5=Adm!$S$8,Adm!$AA$11*$L$16/1.16,IF(Adm!$B$4=Adm!$A$119,0,Adm!$AA$11*Adm!$X$4/1.16)))</f>
        <v>0</v>
      </c>
      <c r="I108" s="123">
        <f>IF(L107&lt;0.01,0,Cal!$AB$126/1.16)</f>
        <v>0</v>
      </c>
      <c r="J108" s="123">
        <f t="shared" si="164"/>
        <v>0</v>
      </c>
      <c r="K108" s="123">
        <f>IF(Adm!$G$4="si",MIN(L107+D108+G108+H108+I108-J108,V108),0)</f>
        <v>0</v>
      </c>
      <c r="L108" s="123">
        <f t="shared" si="196"/>
        <v>0</v>
      </c>
      <c r="M108" s="74"/>
      <c r="N108" s="74"/>
      <c r="O108" s="407">
        <f t="shared" si="197"/>
        <v>0</v>
      </c>
      <c r="R108" s="90">
        <f t="shared" si="198"/>
        <v>12</v>
      </c>
      <c r="S108" s="121">
        <f>IF(R108=1,Cal!$AB$127,0)</f>
        <v>0</v>
      </c>
      <c r="U108" s="70">
        <f t="shared" si="262"/>
        <v>0</v>
      </c>
      <c r="V108" s="2178">
        <f t="shared" ca="1" si="199"/>
        <v>0</v>
      </c>
      <c r="X108" s="398"/>
      <c r="Z108" s="268">
        <f t="shared" si="165"/>
        <v>0</v>
      </c>
      <c r="AA108" s="2176">
        <f t="shared" si="200"/>
        <v>0</v>
      </c>
      <c r="AB108" s="33">
        <f t="shared" si="201"/>
        <v>0</v>
      </c>
      <c r="AC108" s="33">
        <f t="shared" si="202"/>
        <v>0</v>
      </c>
      <c r="AD108" s="33">
        <f>IF(AI107&lt;0.01,0,IF(Adm!$S$4=Adm!$S$8,AI107*$AI$15,AI107*Adm!$V$4))</f>
        <v>0</v>
      </c>
      <c r="AE108" s="33"/>
      <c r="AF108" s="33"/>
      <c r="AG108" s="33">
        <f t="shared" si="166"/>
        <v>0</v>
      </c>
      <c r="AH108" s="33"/>
      <c r="AI108" s="401">
        <f t="shared" si="167"/>
        <v>0</v>
      </c>
      <c r="AK108" s="410">
        <f t="shared" si="168"/>
        <v>0</v>
      </c>
      <c r="AN108" s="90">
        <f t="shared" si="203"/>
        <v>12</v>
      </c>
      <c r="AO108" s="121">
        <f>IF(AN108=1,Cal!$AC$127,0)</f>
        <v>0</v>
      </c>
      <c r="AS108" s="200"/>
      <c r="AU108" s="268">
        <f t="shared" si="169"/>
        <v>0</v>
      </c>
      <c r="AV108" s="2177">
        <f t="shared" si="204"/>
        <v>0</v>
      </c>
      <c r="AW108" s="123">
        <f t="shared" si="170"/>
        <v>0</v>
      </c>
      <c r="AX108" s="123">
        <f t="shared" si="205"/>
        <v>0</v>
      </c>
      <c r="AY108" s="123">
        <f>IF(BC107&lt;0.01,0,IF(Adm!$S$4=Adm!$S$8,BC107*$BC$16,BC107*Adm!$V$4))</f>
        <v>0</v>
      </c>
      <c r="AZ108" s="123"/>
      <c r="BA108" s="123">
        <f>IF(BC107&lt;0.01,0,Adm!$Q$6)</f>
        <v>0</v>
      </c>
      <c r="BB108" s="123">
        <f t="shared" si="171"/>
        <v>0</v>
      </c>
      <c r="BC108" s="297">
        <f t="shared" si="206"/>
        <v>0</v>
      </c>
      <c r="BE108" s="425">
        <f t="shared" si="172"/>
        <v>0</v>
      </c>
      <c r="BH108" s="90">
        <f t="shared" si="207"/>
        <v>12</v>
      </c>
      <c r="BI108" s="121">
        <f>IF(BH108=1,Cal!$AD$127,0)</f>
        <v>0</v>
      </c>
      <c r="BM108" s="221"/>
      <c r="BO108" s="295">
        <f t="shared" ca="1" si="173"/>
        <v>3</v>
      </c>
      <c r="BP108" s="268">
        <f t="shared" si="174"/>
        <v>0</v>
      </c>
      <c r="BQ108" s="123">
        <f t="shared" si="208"/>
        <v>0</v>
      </c>
      <c r="BR108" s="123">
        <f t="shared" si="288"/>
        <v>0</v>
      </c>
      <c r="BS108" s="123">
        <f t="shared" ref="BS108:BS171" si="296">IF(BZ107&lt;0.1,0,MIN(BZ107+BQ108,BS107*(1+CG108)))</f>
        <v>0</v>
      </c>
      <c r="BT108" s="123">
        <f>IF(BZ107&lt;0.01,0,IF(Plus!$F$22=Plus!$AN$4,BZ107*$BZ$15,IF(Plus!$F$22=Plus!$AN$3,BZ107*Plus!$F$23/1000,BZ107*VLOOKUP(Plus!$G$21,Plus!$AP$2:'Plus'!$AQ$5,2,0))))</f>
        <v>0</v>
      </c>
      <c r="BU108" s="123">
        <f>IF(BZ107&lt;0.01,0,IF(Plus!$F$24=Plus!$AO$3,Plus!$G$13*Plus!$AR$2/1.16,IF(Plus!$F$10=Plus!$AK$7,0,Plus!$G$13*Plus!$AR$2/1.16)))</f>
        <v>0</v>
      </c>
      <c r="BV108" s="123">
        <f>IF(BZ107&lt;0.01,0,Plus!$BD$2)</f>
        <v>0</v>
      </c>
      <c r="BW108" s="123"/>
      <c r="BX108" s="123">
        <f t="shared" si="175"/>
        <v>0</v>
      </c>
      <c r="BY108" s="123">
        <f>IF(Plus!$F$10=Plus!$AK$3,MIN(BZ107+BQ108+BT108+BU108+BV108-BX108,CJ108),0)</f>
        <v>0</v>
      </c>
      <c r="BZ108" s="297">
        <f t="shared" si="280"/>
        <v>0</v>
      </c>
      <c r="CA108" s="74"/>
      <c r="CB108" s="74"/>
      <c r="CC108" s="413">
        <f t="shared" si="209"/>
        <v>0</v>
      </c>
      <c r="CF108" s="90">
        <f t="shared" si="210"/>
        <v>12</v>
      </c>
      <c r="CG108" s="121">
        <f t="shared" si="263"/>
        <v>0</v>
      </c>
      <c r="CI108" s="70">
        <f t="shared" si="264"/>
        <v>0</v>
      </c>
      <c r="CJ108" s="2178">
        <f t="shared" ca="1" si="211"/>
        <v>0</v>
      </c>
      <c r="CL108" s="161"/>
      <c r="CN108" s="308">
        <f t="shared" ca="1" si="176"/>
        <v>3</v>
      </c>
      <c r="CO108" s="309">
        <f t="shared" si="212"/>
        <v>0</v>
      </c>
      <c r="CP108" s="268">
        <f t="shared" si="177"/>
        <v>0</v>
      </c>
      <c r="CQ108" s="123">
        <f t="shared" si="213"/>
        <v>0</v>
      </c>
      <c r="CR108" s="123">
        <f t="shared" si="289"/>
        <v>0</v>
      </c>
      <c r="CS108" s="123">
        <f t="shared" si="290"/>
        <v>0</v>
      </c>
      <c r="CT108" s="33">
        <f>IF(CZ107&lt;0.01,0,IF(Plus!$F$22=Plus!$AN$4,0,IF(Plus!$F$22=Plus!$AN$3,CZ107*Plus!$F$23/1000,CZ107*VLOOKUP(Plus!$G$21,Plus!$AP$2:'Plus'!$AQ$5,2,0))))</f>
        <v>0</v>
      </c>
      <c r="CU108" s="123">
        <f>IF(CZ107&lt;0.01,0,IF(Plus!$F$24=Plus!$AO$3,0,IF(OR(Plus!$F$10=Plus!$AK$7,Plus!$F$10=Plus!$AK$13),0,Plus!$G$13*Plus!$AR$2)))</f>
        <v>0</v>
      </c>
      <c r="CV108" s="123">
        <f>IF(CZ107&lt;0.01,0,IF(OR(Plus!$F$10=Plus!$AK$7,Plus!$F$10=Plus!$AK$13),0,Plus!$BD$2*1.16))</f>
        <v>0</v>
      </c>
      <c r="CW108" s="123">
        <f>IF(CZ107&lt;0.01,0,IF(Plus!$AS$2&gt;0,CQ108*Plus!$AS$3,0))</f>
        <v>0</v>
      </c>
      <c r="CX108" s="123">
        <f t="shared" si="214"/>
        <v>0</v>
      </c>
      <c r="CY108" s="123">
        <f>IF(Plus!$F$10=Plus!$AK$3,MIN(CZ107+CQ108+CT108+CU108+CV108-CX108,DK108),0)</f>
        <v>0</v>
      </c>
      <c r="CZ108" s="297">
        <f t="shared" si="294"/>
        <v>0</v>
      </c>
      <c r="DA108" s="306">
        <f>Plus!O149</f>
        <v>0</v>
      </c>
      <c r="DB108" s="74"/>
      <c r="DC108" s="74"/>
      <c r="DD108" s="407">
        <f t="shared" si="215"/>
        <v>0</v>
      </c>
      <c r="DG108" s="90">
        <f t="shared" si="216"/>
        <v>12</v>
      </c>
      <c r="DH108" s="121">
        <f t="shared" si="265"/>
        <v>0</v>
      </c>
      <c r="DJ108" s="149">
        <f t="shared" si="266"/>
        <v>0</v>
      </c>
      <c r="DK108" s="2179">
        <f t="shared" ca="1" si="217"/>
        <v>0</v>
      </c>
      <c r="DN108" s="120">
        <f t="shared" si="267"/>
        <v>0</v>
      </c>
      <c r="DO108" s="110">
        <f t="shared" si="218"/>
        <v>0</v>
      </c>
      <c r="DP108" s="110">
        <f t="shared" si="276"/>
        <v>0</v>
      </c>
      <c r="DQ108" s="109">
        <f t="shared" si="219"/>
        <v>0</v>
      </c>
      <c r="DR108" s="109">
        <f t="shared" si="220"/>
        <v>0</v>
      </c>
      <c r="DS108" s="113">
        <f t="shared" si="221"/>
        <v>0</v>
      </c>
      <c r="DU108" s="102">
        <f t="shared" si="222"/>
        <v>0</v>
      </c>
      <c r="DV108" s="211">
        <f t="shared" si="277"/>
        <v>84</v>
      </c>
      <c r="DW108" s="212">
        <f t="shared" si="223"/>
        <v>0</v>
      </c>
      <c r="DX108" s="212">
        <f t="shared" si="178"/>
        <v>0</v>
      </c>
      <c r="DY108" s="212">
        <f t="shared" si="268"/>
        <v>0</v>
      </c>
      <c r="DZ108" s="213">
        <f t="shared" si="179"/>
        <v>1000000</v>
      </c>
      <c r="ED108" s="182"/>
      <c r="EF108" s="308">
        <f t="shared" ca="1" si="180"/>
        <v>3</v>
      </c>
      <c r="EG108" s="309">
        <f t="shared" si="224"/>
        <v>0</v>
      </c>
      <c r="EH108" s="268">
        <f t="shared" si="181"/>
        <v>0</v>
      </c>
      <c r="EI108" s="33">
        <f t="shared" si="225"/>
        <v>0</v>
      </c>
      <c r="EJ108" s="33">
        <f t="shared" si="291"/>
        <v>0</v>
      </c>
      <c r="EK108" s="33">
        <f t="shared" ref="EK108:EK171" si="297">IF(ER106&lt;0.1,0,MIN(ER107+EI108,IF(FE108&gt;0,FE108,EK107*(1+EZ108))))</f>
        <v>0</v>
      </c>
      <c r="EL108" s="33">
        <f>IF(ER107&lt;0.01,0,IF(Plus!$F$22=Plus!$AN$4,0,IF(Plus!$F$22=Plus!$AN$3,ER107*Plus!$F$23/1000,ER107*VLOOKUP(Plus!$G$21,Plus!$AP$2:'Plus'!$AQ$5,2,0))))</f>
        <v>0</v>
      </c>
      <c r="EM108" s="33">
        <f>IF(ER107&lt;0.01,0,IF(Plus!$F$24=Plus!$AO$3,0,IF(OR(Plus!$F$10=Plus!$AK$7,Plus!$F$10=Plus!$AK$13),0,Plus!$G$13*Plus!$AR$2)))</f>
        <v>0</v>
      </c>
      <c r="EN108" s="33">
        <f>IF(ER107&lt;0.01,0,IF(OR(Plus!$F$10=Plus!$AK$7,Plus!$F$10=Plus!$AK$13),0,Plus!$BD$2*1.16))</f>
        <v>0</v>
      </c>
      <c r="EO108" s="33">
        <f>IF(ER107&lt;0.01,0,IF(Plus!$AS$2&gt;0,EI108*Plus!$AS$3,0))</f>
        <v>0</v>
      </c>
      <c r="EP108" s="33">
        <f t="shared" si="226"/>
        <v>0</v>
      </c>
      <c r="EQ108" s="33">
        <f>IF(Plus!$F$10=Plus!$AK$3,MIN(ER107+EI108+EL108+EM108+EN108-EP108,FC108),0)</f>
        <v>0</v>
      </c>
      <c r="ER108" s="311">
        <f t="shared" si="285"/>
        <v>0</v>
      </c>
      <c r="ES108" s="340">
        <f>Plus!O149</f>
        <v>0</v>
      </c>
      <c r="ET108" s="74"/>
      <c r="EU108" s="74"/>
      <c r="EV108" s="416">
        <f t="shared" si="281"/>
        <v>0</v>
      </c>
      <c r="EY108" s="90">
        <f t="shared" si="227"/>
        <v>12</v>
      </c>
      <c r="EZ108" s="121">
        <f t="shared" si="269"/>
        <v>0</v>
      </c>
      <c r="FB108" s="149">
        <f t="shared" si="270"/>
        <v>0</v>
      </c>
      <c r="FC108" s="2179">
        <f t="shared" ca="1" si="228"/>
        <v>0</v>
      </c>
      <c r="FE108" s="120">
        <f t="shared" si="271"/>
        <v>0</v>
      </c>
      <c r="FF108" s="110">
        <f t="shared" si="229"/>
        <v>0</v>
      </c>
      <c r="FG108" s="110">
        <f t="shared" si="230"/>
        <v>0</v>
      </c>
      <c r="FH108" s="109">
        <f t="shared" si="231"/>
        <v>0</v>
      </c>
      <c r="FI108" s="109">
        <f t="shared" si="182"/>
        <v>0</v>
      </c>
      <c r="FJ108" s="113">
        <f t="shared" si="232"/>
        <v>0</v>
      </c>
      <c r="FL108" s="102">
        <f t="shared" si="233"/>
        <v>0</v>
      </c>
      <c r="FM108" s="211">
        <f t="shared" si="278"/>
        <v>84</v>
      </c>
      <c r="FN108" s="212">
        <f t="shared" si="234"/>
        <v>0</v>
      </c>
      <c r="FO108" s="212">
        <f t="shared" si="183"/>
        <v>0</v>
      </c>
      <c r="FP108" s="212">
        <f t="shared" si="282"/>
        <v>0</v>
      </c>
      <c r="FQ108" s="213">
        <f t="shared" si="184"/>
        <v>1000000</v>
      </c>
      <c r="FV108" s="359"/>
      <c r="FX108" s="308">
        <f t="shared" ca="1" si="185"/>
        <v>3</v>
      </c>
      <c r="FY108" s="309">
        <f t="shared" si="235"/>
        <v>0</v>
      </c>
      <c r="FZ108" s="268">
        <f t="shared" si="186"/>
        <v>0</v>
      </c>
      <c r="GA108" s="33">
        <f t="shared" si="236"/>
        <v>0</v>
      </c>
      <c r="GB108" s="33">
        <f t="shared" si="292"/>
        <v>0</v>
      </c>
      <c r="GC108" s="33">
        <f t="shared" si="293"/>
        <v>0</v>
      </c>
      <c r="GD108" s="33">
        <f>IF(GJ107&lt;0.01,0,IF(Plus!$F$22=Plus!$AN$4,0,IF(Plus!$F$22=Plus!$AN$3,GJ107*Plus!$F$23/1000,GJ107*VLOOKUP(Plus!$G$21,Plus!$AP$2:$AQ$5,2,0))))</f>
        <v>0</v>
      </c>
      <c r="GE108" s="33">
        <f>IF(GJ107&lt;0.01,0,IF(Plus!$F$24=Plus!$AO$3,0,IF(OR(Plus!$F$10=Plus!$AK$7,Plus!$F$10=Plus!$AK$13,Plus!$F$10=Plus!$AK$14),0,IF(OR(Plus!$F$10=Plus!$AK$10,Plus!$F$10=Plus!$AK$11),Plus!$G$13*Adm!$W$7,Plus!$G$13*Adm!$X$4))))</f>
        <v>0</v>
      </c>
      <c r="GF108" s="33">
        <f>IF(GJ107&lt;0.01,0,IF(OR(Plus!$F$10=Plus!$AK$7,Plus!$F$10=Plus!$AK$13),0,Plus!$BD$2*1.16))</f>
        <v>0</v>
      </c>
      <c r="GG108" s="33">
        <f>IF(GJ107&lt;0.01,0,IF(Plus!$AS$2&gt;0,GA108*Plus!$AS$3,0))</f>
        <v>0</v>
      </c>
      <c r="GH108" s="33">
        <f t="shared" si="237"/>
        <v>0</v>
      </c>
      <c r="GI108" s="33">
        <f>IF(Plus!$F$10=Plus!$AK$3,MIN(GJ107+GA108+GD108+GE108+GF108-GH108,GU108),0)</f>
        <v>0</v>
      </c>
      <c r="GJ108" s="311">
        <f t="shared" si="286"/>
        <v>0</v>
      </c>
      <c r="GK108" s="340">
        <f>Plus!O149</f>
        <v>0</v>
      </c>
      <c r="GL108" s="74"/>
      <c r="GM108" s="74"/>
      <c r="GN108" s="419">
        <f t="shared" si="283"/>
        <v>0</v>
      </c>
      <c r="GQ108" s="90">
        <f t="shared" si="238"/>
        <v>12</v>
      </c>
      <c r="GR108" s="121">
        <f t="shared" si="272"/>
        <v>0</v>
      </c>
      <c r="GT108" s="149">
        <f t="shared" si="273"/>
        <v>0</v>
      </c>
      <c r="GU108" s="2179">
        <f t="shared" ca="1" si="239"/>
        <v>0</v>
      </c>
      <c r="GW108" s="120">
        <f t="shared" si="274"/>
        <v>0</v>
      </c>
      <c r="GX108" s="110">
        <f t="shared" si="240"/>
        <v>0</v>
      </c>
      <c r="GY108" s="110">
        <f t="shared" si="241"/>
        <v>0</v>
      </c>
      <c r="GZ108" s="109">
        <f t="shared" si="242"/>
        <v>0</v>
      </c>
      <c r="HA108" s="109">
        <f t="shared" si="187"/>
        <v>0</v>
      </c>
      <c r="HB108" s="113">
        <f t="shared" si="243"/>
        <v>0</v>
      </c>
      <c r="HD108" s="102">
        <f t="shared" si="244"/>
        <v>0</v>
      </c>
      <c r="HE108" s="211">
        <f t="shared" si="279"/>
        <v>84</v>
      </c>
      <c r="HF108" s="212">
        <f t="shared" si="245"/>
        <v>0</v>
      </c>
      <c r="HG108" s="212">
        <f t="shared" si="188"/>
        <v>0</v>
      </c>
      <c r="HH108" s="212">
        <f t="shared" si="284"/>
        <v>0</v>
      </c>
      <c r="HI108" s="213">
        <f t="shared" si="189"/>
        <v>1000000</v>
      </c>
      <c r="HL108" s="182"/>
      <c r="HM108" s="26">
        <f t="shared" ca="1" si="190"/>
        <v>3</v>
      </c>
      <c r="HO108" s="268">
        <f t="shared" si="191"/>
        <v>0</v>
      </c>
      <c r="HP108" s="151">
        <f t="shared" si="157"/>
        <v>0</v>
      </c>
      <c r="HQ108" s="123">
        <f t="shared" si="246"/>
        <v>0</v>
      </c>
      <c r="HR108" s="123">
        <f t="shared" si="247"/>
        <v>0</v>
      </c>
      <c r="HS108" s="123">
        <f t="shared" si="248"/>
        <v>0</v>
      </c>
      <c r="HT108" s="123">
        <f>IF(HY107&lt;0.01,0,IF(Adm!$GS$4=Adm!$GS$8,HY107*$HY$15,IF(Adm!$GS$12=Adm!$GS$13,0,HY107*Adm!$GV$4)))</f>
        <v>0</v>
      </c>
      <c r="HU108" s="123">
        <f>IF(HY107&lt;0.01,0,IF(Adm!$GS$5=Adm!$GS$8,Cal!$BO$108*$HY$16/1.16,IF(Adm!$GS$12=Adm!$GS$13,0,Cal!$BO$108*Adm!$GW$4/1.16)))</f>
        <v>0</v>
      </c>
      <c r="HV108" s="123">
        <f t="shared" si="249"/>
        <v>0</v>
      </c>
      <c r="HW108" s="123">
        <f t="shared" si="192"/>
        <v>0</v>
      </c>
      <c r="HX108" s="123">
        <f>IF(Adm!$GH$6="si",MIN(HY107+HQ108+HT108+HU108+HV108-HW108,IH108),0)</f>
        <v>0</v>
      </c>
      <c r="HY108" s="297">
        <f t="shared" si="250"/>
        <v>0</v>
      </c>
      <c r="HZ108" s="74"/>
      <c r="IA108" s="407">
        <f t="shared" si="251"/>
        <v>0</v>
      </c>
      <c r="IC108" s="90">
        <f t="shared" si="252"/>
        <v>12</v>
      </c>
      <c r="ID108" s="124">
        <f>IF(IC108=1,Cal!$BO$127,0)</f>
        <v>0</v>
      </c>
      <c r="IE108" s="178">
        <f>IF(IC108=1,Adm!$HI$4,0)</f>
        <v>0</v>
      </c>
      <c r="IG108" s="70">
        <f t="shared" si="275"/>
        <v>0</v>
      </c>
      <c r="IH108" s="2178">
        <f t="shared" ca="1" si="253"/>
        <v>0</v>
      </c>
      <c r="IK108" s="217"/>
      <c r="IL108" s="26">
        <f t="shared" ca="1" si="193"/>
        <v>3</v>
      </c>
      <c r="IN108" s="268">
        <f t="shared" si="194"/>
        <v>0</v>
      </c>
      <c r="IO108" s="151">
        <f t="shared" si="154"/>
        <v>0</v>
      </c>
      <c r="IP108" s="123">
        <f t="shared" si="254"/>
        <v>0</v>
      </c>
      <c r="IQ108" s="123">
        <f t="shared" si="255"/>
        <v>0</v>
      </c>
      <c r="IR108" s="123">
        <f t="shared" si="256"/>
        <v>0</v>
      </c>
      <c r="IS108" s="123">
        <f>IF(IX107&lt;0.01,0,IF(Adm!$GS$4=Adm!$GS$8,IX107*$IX$15,IF(Adm!$GS$12=Adm!$GS$13,0,IX107*Adm!$GV$4)))</f>
        <v>0</v>
      </c>
      <c r="IT108" s="123"/>
      <c r="IU108" s="123">
        <f t="shared" si="257"/>
        <v>0</v>
      </c>
      <c r="IV108" s="123">
        <f t="shared" si="258"/>
        <v>0</v>
      </c>
      <c r="IW108" s="123"/>
      <c r="IX108" s="297">
        <f t="shared" si="259"/>
        <v>0</v>
      </c>
      <c r="IY108" s="74"/>
      <c r="IZ108" s="416">
        <f t="shared" si="260"/>
        <v>0</v>
      </c>
      <c r="JB108" s="90">
        <f t="shared" si="261"/>
        <v>12</v>
      </c>
      <c r="JC108" s="124">
        <f>IF(JB108=1,Cal!$BP$127,0)</f>
        <v>0</v>
      </c>
      <c r="JD108" s="178">
        <f>IF(JB108=1,Adm!$HI$4,0)</f>
        <v>0</v>
      </c>
    </row>
    <row r="109" spans="1:264">
      <c r="A109" s="26">
        <f t="shared" ca="1" si="162"/>
        <v>4</v>
      </c>
      <c r="C109" s="33">
        <f t="shared" si="163"/>
        <v>0</v>
      </c>
      <c r="D109" s="123">
        <f t="shared" si="195"/>
        <v>0</v>
      </c>
      <c r="E109" s="123">
        <f t="shared" si="287"/>
        <v>0</v>
      </c>
      <c r="F109" s="123">
        <f t="shared" si="295"/>
        <v>0</v>
      </c>
      <c r="G109" s="123">
        <f>IF(L108&lt;0.01,0,IF(Adm!$S$4=Adm!$S$8,L108*$L$15,L108*Adm!$V$4))</f>
        <v>0</v>
      </c>
      <c r="H109" s="123">
        <f>IF(L108&lt;0.01,0,IF(Adm!$S$5=Adm!$S$8,Adm!$AA$11*$L$16/1.16,IF(Adm!$B$4=Adm!$A$119,0,Adm!$AA$11*Adm!$X$4/1.16)))</f>
        <v>0</v>
      </c>
      <c r="I109" s="123">
        <f>IF(L108&lt;0.01,0,Cal!$AB$126/1.16)</f>
        <v>0</v>
      </c>
      <c r="J109" s="123">
        <f t="shared" si="164"/>
        <v>0</v>
      </c>
      <c r="K109" s="123">
        <f>IF(Adm!$G$4="si",MIN(L108+D109+G109+H109+I109-J109,V109),0)</f>
        <v>0</v>
      </c>
      <c r="L109" s="123">
        <f t="shared" si="196"/>
        <v>0</v>
      </c>
      <c r="M109" s="74"/>
      <c r="N109" s="74"/>
      <c r="O109" s="407">
        <f t="shared" si="197"/>
        <v>0</v>
      </c>
      <c r="R109" s="90">
        <f t="shared" si="198"/>
        <v>1</v>
      </c>
      <c r="S109" s="121">
        <f>IF(R109=1,Cal!$AB$127,0)</f>
        <v>0</v>
      </c>
      <c r="U109" s="70">
        <f t="shared" si="262"/>
        <v>0</v>
      </c>
      <c r="V109" s="2178">
        <f t="shared" ca="1" si="199"/>
        <v>0</v>
      </c>
      <c r="X109" s="398"/>
      <c r="Z109" s="268">
        <f t="shared" si="165"/>
        <v>0</v>
      </c>
      <c r="AA109" s="2176">
        <f t="shared" si="200"/>
        <v>0</v>
      </c>
      <c r="AB109" s="33">
        <f t="shared" si="201"/>
        <v>0</v>
      </c>
      <c r="AC109" s="33">
        <f t="shared" si="202"/>
        <v>0</v>
      </c>
      <c r="AD109" s="33">
        <f>IF(AI108&lt;0.01,0,IF(Adm!$S$4=Adm!$S$8,AI108*$AI$15,AI108*Adm!$V$4))</f>
        <v>0</v>
      </c>
      <c r="AE109" s="33"/>
      <c r="AF109" s="33"/>
      <c r="AG109" s="33">
        <f t="shared" si="166"/>
        <v>0</v>
      </c>
      <c r="AH109" s="33"/>
      <c r="AI109" s="401">
        <f t="shared" si="167"/>
        <v>0</v>
      </c>
      <c r="AK109" s="410">
        <f t="shared" si="168"/>
        <v>0</v>
      </c>
      <c r="AN109" s="90">
        <f t="shared" si="203"/>
        <v>1</v>
      </c>
      <c r="AO109" s="121">
        <f>IF(AN109=1,Cal!$AC$127,0)</f>
        <v>0</v>
      </c>
      <c r="AS109" s="200"/>
      <c r="AU109" s="268">
        <f t="shared" si="169"/>
        <v>0</v>
      </c>
      <c r="AV109" s="2177">
        <f t="shared" si="204"/>
        <v>0</v>
      </c>
      <c r="AW109" s="123">
        <f t="shared" si="170"/>
        <v>0</v>
      </c>
      <c r="AX109" s="123">
        <f t="shared" si="205"/>
        <v>0</v>
      </c>
      <c r="AY109" s="123">
        <f>IF(BC108&lt;0.01,0,IF(Adm!$S$4=Adm!$S$8,BC108*$BC$16,BC108*Adm!$V$4))</f>
        <v>0</v>
      </c>
      <c r="AZ109" s="123"/>
      <c r="BA109" s="123">
        <f>IF(BC108&lt;0.01,0,Adm!$Q$6)</f>
        <v>0</v>
      </c>
      <c r="BB109" s="123">
        <f t="shared" si="171"/>
        <v>0</v>
      </c>
      <c r="BC109" s="297">
        <f t="shared" si="206"/>
        <v>0</v>
      </c>
      <c r="BE109" s="425">
        <f t="shared" si="172"/>
        <v>0</v>
      </c>
      <c r="BH109" s="90">
        <f t="shared" si="207"/>
        <v>1</v>
      </c>
      <c r="BI109" s="121">
        <f>IF(BH109=1,Cal!$AD$127,0)</f>
        <v>0</v>
      </c>
      <c r="BM109" s="221"/>
      <c r="BO109" s="295">
        <f t="shared" ca="1" si="173"/>
        <v>4</v>
      </c>
      <c r="BP109" s="268">
        <f t="shared" si="174"/>
        <v>0</v>
      </c>
      <c r="BQ109" s="123">
        <f t="shared" si="208"/>
        <v>0</v>
      </c>
      <c r="BR109" s="123">
        <f t="shared" si="288"/>
        <v>0</v>
      </c>
      <c r="BS109" s="123">
        <f t="shared" si="296"/>
        <v>0</v>
      </c>
      <c r="BT109" s="123">
        <f>IF(BZ108&lt;0.01,0,IF(Plus!$F$22=Plus!$AN$4,BZ108*$BZ$15,IF(Plus!$F$22=Plus!$AN$3,BZ108*Plus!$F$23/1000,BZ108*VLOOKUP(Plus!$G$21,Plus!$AP$2:'Plus'!$AQ$5,2,0))))</f>
        <v>0</v>
      </c>
      <c r="BU109" s="123">
        <f>IF(BZ108&lt;0.01,0,IF(Plus!$F$24=Plus!$AO$3,Plus!$G$13*Plus!$AR$2/1.16,IF(Plus!$F$10=Plus!$AK$7,0,Plus!$G$13*Plus!$AR$2/1.16)))</f>
        <v>0</v>
      </c>
      <c r="BV109" s="123">
        <f>IF(BZ108&lt;0.01,0,Plus!$BD$2)</f>
        <v>0</v>
      </c>
      <c r="BW109" s="123"/>
      <c r="BX109" s="123">
        <f t="shared" si="175"/>
        <v>0</v>
      </c>
      <c r="BY109" s="123">
        <f>IF(Plus!$F$10=Plus!$AK$3,MIN(BZ108+BQ109+BT109+BU109+BV109-BX109,CJ109),0)</f>
        <v>0</v>
      </c>
      <c r="BZ109" s="297">
        <f t="shared" si="280"/>
        <v>0</v>
      </c>
      <c r="CA109" s="74"/>
      <c r="CB109" s="74"/>
      <c r="CC109" s="413">
        <f t="shared" si="209"/>
        <v>0</v>
      </c>
      <c r="CF109" s="90">
        <f t="shared" si="210"/>
        <v>1</v>
      </c>
      <c r="CG109" s="121">
        <f t="shared" si="263"/>
        <v>0</v>
      </c>
      <c r="CI109" s="70">
        <f t="shared" si="264"/>
        <v>0</v>
      </c>
      <c r="CJ109" s="2178">
        <f t="shared" ca="1" si="211"/>
        <v>0</v>
      </c>
      <c r="CL109" s="161"/>
      <c r="CN109" s="308">
        <f t="shared" ca="1" si="176"/>
        <v>4</v>
      </c>
      <c r="CO109" s="309">
        <f t="shared" si="212"/>
        <v>0</v>
      </c>
      <c r="CP109" s="268">
        <f t="shared" si="177"/>
        <v>0</v>
      </c>
      <c r="CQ109" s="123">
        <f t="shared" si="213"/>
        <v>0</v>
      </c>
      <c r="CR109" s="123">
        <f t="shared" si="289"/>
        <v>0</v>
      </c>
      <c r="CS109" s="123">
        <f t="shared" si="290"/>
        <v>0</v>
      </c>
      <c r="CT109" s="33">
        <f>IF(CZ108&lt;0.01,0,IF(Plus!$F$22=Plus!$AN$4,0,IF(Plus!$F$22=Plus!$AN$3,CZ108*Plus!$F$23/1000,CZ108*VLOOKUP(Plus!$G$21,Plus!$AP$2:'Plus'!$AQ$5,2,0))))</f>
        <v>0</v>
      </c>
      <c r="CU109" s="123">
        <f>IF(CZ108&lt;0.01,0,IF(Plus!$F$24=Plus!$AO$3,0,IF(OR(Plus!$F$10=Plus!$AK$7,Plus!$F$10=Plus!$AK$13),0,Plus!$G$13*Plus!$AR$2)))</f>
        <v>0</v>
      </c>
      <c r="CV109" s="123">
        <f>IF(CZ108&lt;0.01,0,IF(OR(Plus!$F$10=Plus!$AK$7,Plus!$F$10=Plus!$AK$13),0,Plus!$BD$2*1.16))</f>
        <v>0</v>
      </c>
      <c r="CW109" s="123">
        <f>IF(CZ108&lt;0.01,0,IF(Plus!$AS$2&gt;0,CQ109*Plus!$AS$3,0))</f>
        <v>0</v>
      </c>
      <c r="CX109" s="123">
        <f t="shared" si="214"/>
        <v>0</v>
      </c>
      <c r="CY109" s="123">
        <f>IF(Plus!$F$10=Plus!$AK$3,MIN(CZ108+CQ109+CT109+CU109+CV109-CX109,DK109),0)</f>
        <v>0</v>
      </c>
      <c r="CZ109" s="297">
        <f t="shared" si="294"/>
        <v>0</v>
      </c>
      <c r="DA109" s="306">
        <f>Plus!O150</f>
        <v>0</v>
      </c>
      <c r="DB109" s="74"/>
      <c r="DC109" s="74"/>
      <c r="DD109" s="407">
        <f t="shared" si="215"/>
        <v>0</v>
      </c>
      <c r="DG109" s="90">
        <f t="shared" si="216"/>
        <v>1</v>
      </c>
      <c r="DH109" s="121">
        <f t="shared" si="265"/>
        <v>0</v>
      </c>
      <c r="DJ109" s="149">
        <f t="shared" si="266"/>
        <v>0</v>
      </c>
      <c r="DK109" s="2179">
        <f t="shared" ca="1" si="217"/>
        <v>0</v>
      </c>
      <c r="DN109" s="120">
        <f t="shared" si="267"/>
        <v>0</v>
      </c>
      <c r="DO109" s="110">
        <f t="shared" si="218"/>
        <v>0</v>
      </c>
      <c r="DP109" s="110">
        <f t="shared" si="276"/>
        <v>0</v>
      </c>
      <c r="DQ109" s="109">
        <f t="shared" si="219"/>
        <v>0</v>
      </c>
      <c r="DR109" s="109">
        <f t="shared" si="220"/>
        <v>0</v>
      </c>
      <c r="DS109" s="113">
        <f t="shared" si="221"/>
        <v>0</v>
      </c>
      <c r="DU109" s="102">
        <f t="shared" si="222"/>
        <v>0</v>
      </c>
      <c r="DV109" s="333">
        <f t="shared" si="277"/>
        <v>85</v>
      </c>
      <c r="DW109" s="334">
        <f t="shared" si="223"/>
        <v>0</v>
      </c>
      <c r="DX109" s="334">
        <f t="shared" si="178"/>
        <v>0</v>
      </c>
      <c r="DY109" s="334">
        <f>MIN(DZ108+DW109,DY108*(1+$DW$20))</f>
        <v>0</v>
      </c>
      <c r="DZ109" s="213">
        <f t="shared" si="179"/>
        <v>1000000</v>
      </c>
      <c r="ED109" s="182"/>
      <c r="EF109" s="308">
        <f t="shared" ca="1" si="180"/>
        <v>4</v>
      </c>
      <c r="EG109" s="309">
        <f t="shared" si="224"/>
        <v>0</v>
      </c>
      <c r="EH109" s="268">
        <f t="shared" si="181"/>
        <v>0</v>
      </c>
      <c r="EI109" s="33">
        <f t="shared" si="225"/>
        <v>0</v>
      </c>
      <c r="EJ109" s="33">
        <f t="shared" si="291"/>
        <v>0</v>
      </c>
      <c r="EK109" s="33">
        <f t="shared" si="297"/>
        <v>0</v>
      </c>
      <c r="EL109" s="33">
        <f>IF(ER108&lt;0.01,0,IF(Plus!$F$22=Plus!$AN$4,0,IF(Plus!$F$22=Plus!$AN$3,ER108*Plus!$F$23/1000,ER108*VLOOKUP(Plus!$G$21,Plus!$AP$2:'Plus'!$AQ$5,2,0))))</f>
        <v>0</v>
      </c>
      <c r="EM109" s="33">
        <f>IF(ER108&lt;0.01,0,IF(Plus!$F$24=Plus!$AO$3,0,IF(OR(Plus!$F$10=Plus!$AK$7,Plus!$F$10=Plus!$AK$13),0,Plus!$G$13*Plus!$AR$2)))</f>
        <v>0</v>
      </c>
      <c r="EN109" s="33">
        <f>IF(ER108&lt;0.01,0,IF(OR(Plus!$F$10=Plus!$AK$7,Plus!$F$10=Plus!$AK$13),0,Plus!$BD$2*1.16))</f>
        <v>0</v>
      </c>
      <c r="EO109" s="33">
        <f>IF(ER108&lt;0.01,0,IF(Plus!$AS$2&gt;0,EI109*Plus!$AS$3,0))</f>
        <v>0</v>
      </c>
      <c r="EP109" s="33">
        <f t="shared" si="226"/>
        <v>0</v>
      </c>
      <c r="EQ109" s="33">
        <f>IF(Plus!$F$10=Plus!$AK$3,MIN(ER108+EI109+EL109+EM109+EN109-EP109,FC109),0)</f>
        <v>0</v>
      </c>
      <c r="ER109" s="311">
        <f t="shared" si="285"/>
        <v>0</v>
      </c>
      <c r="ES109" s="340">
        <f>Plus!O150</f>
        <v>0</v>
      </c>
      <c r="ET109" s="74"/>
      <c r="EU109" s="74"/>
      <c r="EV109" s="416">
        <f t="shared" si="281"/>
        <v>0</v>
      </c>
      <c r="EY109" s="90">
        <f t="shared" si="227"/>
        <v>1</v>
      </c>
      <c r="EZ109" s="121">
        <f t="shared" si="269"/>
        <v>0</v>
      </c>
      <c r="FB109" s="149">
        <f t="shared" si="270"/>
        <v>0</v>
      </c>
      <c r="FC109" s="2179">
        <f t="shared" ca="1" si="228"/>
        <v>0</v>
      </c>
      <c r="FE109" s="120">
        <f t="shared" si="271"/>
        <v>0</v>
      </c>
      <c r="FF109" s="110">
        <f t="shared" si="229"/>
        <v>0</v>
      </c>
      <c r="FG109" s="110">
        <f t="shared" si="230"/>
        <v>0</v>
      </c>
      <c r="FH109" s="109">
        <f t="shared" si="231"/>
        <v>0</v>
      </c>
      <c r="FI109" s="109">
        <f t="shared" si="182"/>
        <v>0</v>
      </c>
      <c r="FJ109" s="113">
        <f t="shared" si="232"/>
        <v>0</v>
      </c>
      <c r="FL109" s="102">
        <f t="shared" si="233"/>
        <v>0</v>
      </c>
      <c r="FM109" s="326">
        <f t="shared" si="278"/>
        <v>85</v>
      </c>
      <c r="FN109" s="327">
        <f t="shared" si="234"/>
        <v>0</v>
      </c>
      <c r="FO109" s="327">
        <f t="shared" si="183"/>
        <v>0</v>
      </c>
      <c r="FP109" s="327">
        <f>MIN(FQ108+FN109,FP108*(1+$FN$20))</f>
        <v>0</v>
      </c>
      <c r="FQ109" s="213">
        <f t="shared" si="184"/>
        <v>1000000</v>
      </c>
      <c r="FV109" s="359"/>
      <c r="FX109" s="308">
        <f t="shared" ca="1" si="185"/>
        <v>4</v>
      </c>
      <c r="FY109" s="309">
        <f t="shared" si="235"/>
        <v>0</v>
      </c>
      <c r="FZ109" s="268">
        <f t="shared" si="186"/>
        <v>0</v>
      </c>
      <c r="GA109" s="33">
        <f t="shared" si="236"/>
        <v>0</v>
      </c>
      <c r="GB109" s="33">
        <f t="shared" si="292"/>
        <v>0</v>
      </c>
      <c r="GC109" s="33">
        <f t="shared" si="293"/>
        <v>0</v>
      </c>
      <c r="GD109" s="33">
        <f>IF(GJ108&lt;0.01,0,IF(Plus!$F$22=Plus!$AN$4,0,IF(Plus!$F$22=Plus!$AN$3,GJ108*Plus!$F$23/1000,GJ108*VLOOKUP(Plus!$G$21,Plus!$AP$2:$AQ$5,2,0))))</f>
        <v>0</v>
      </c>
      <c r="GE109" s="33">
        <f>IF(GJ108&lt;0.01,0,IF(Plus!$F$24=Plus!$AO$3,0,IF(OR(Plus!$F$10=Plus!$AK$7,Plus!$F$10=Plus!$AK$13,Plus!$F$10=Plus!$AK$14),0,IF(OR(Plus!$F$10=Plus!$AK$10,Plus!$F$10=Plus!$AK$11),Plus!$G$13*Adm!$W$7,Plus!$G$13*Adm!$X$4))))</f>
        <v>0</v>
      </c>
      <c r="GF109" s="33">
        <f>IF(GJ108&lt;0.01,0,IF(OR(Plus!$F$10=Plus!$AK$7,Plus!$F$10=Plus!$AK$13),0,Plus!$BD$2*1.16))</f>
        <v>0</v>
      </c>
      <c r="GG109" s="33">
        <f>IF(GJ108&lt;0.01,0,IF(Plus!$AS$2&gt;0,GA109*Plus!$AS$3,0))</f>
        <v>0</v>
      </c>
      <c r="GH109" s="33">
        <f t="shared" si="237"/>
        <v>0</v>
      </c>
      <c r="GI109" s="33">
        <f>IF(Plus!$F$10=Plus!$AK$3,MIN(GJ108+GA109+GD109+GE109+GF109-GH109,GU109),0)</f>
        <v>0</v>
      </c>
      <c r="GJ109" s="311">
        <f t="shared" si="286"/>
        <v>0</v>
      </c>
      <c r="GK109" s="340">
        <f>Plus!O150</f>
        <v>0</v>
      </c>
      <c r="GL109" s="74"/>
      <c r="GM109" s="74"/>
      <c r="GN109" s="419">
        <f t="shared" si="283"/>
        <v>0</v>
      </c>
      <c r="GQ109" s="90">
        <f t="shared" si="238"/>
        <v>1</v>
      </c>
      <c r="GR109" s="121">
        <f t="shared" si="272"/>
        <v>0</v>
      </c>
      <c r="GT109" s="149">
        <f t="shared" si="273"/>
        <v>0</v>
      </c>
      <c r="GU109" s="2179">
        <f t="shared" ca="1" si="239"/>
        <v>0</v>
      </c>
      <c r="GW109" s="120">
        <f t="shared" si="274"/>
        <v>0</v>
      </c>
      <c r="GX109" s="110">
        <f t="shared" si="240"/>
        <v>0</v>
      </c>
      <c r="GY109" s="110">
        <f t="shared" si="241"/>
        <v>0</v>
      </c>
      <c r="GZ109" s="109">
        <f t="shared" si="242"/>
        <v>0</v>
      </c>
      <c r="HA109" s="109">
        <f t="shared" si="187"/>
        <v>0</v>
      </c>
      <c r="HB109" s="113">
        <f t="shared" si="243"/>
        <v>0</v>
      </c>
      <c r="HD109" s="102">
        <f t="shared" si="244"/>
        <v>0</v>
      </c>
      <c r="HE109" s="326">
        <f t="shared" si="279"/>
        <v>85</v>
      </c>
      <c r="HF109" s="327">
        <f t="shared" si="245"/>
        <v>0</v>
      </c>
      <c r="HG109" s="327">
        <f t="shared" si="188"/>
        <v>0</v>
      </c>
      <c r="HH109" s="327">
        <f>MIN(HI108+HF109,HH108*(1+$FN$20))</f>
        <v>0</v>
      </c>
      <c r="HI109" s="213">
        <f t="shared" si="189"/>
        <v>1000000</v>
      </c>
      <c r="HL109" s="182"/>
      <c r="HM109" s="26">
        <f t="shared" ca="1" si="190"/>
        <v>4</v>
      </c>
      <c r="HO109" s="268">
        <f t="shared" si="191"/>
        <v>0</v>
      </c>
      <c r="HP109" s="151">
        <f t="shared" si="157"/>
        <v>0</v>
      </c>
      <c r="HQ109" s="123">
        <f t="shared" si="246"/>
        <v>0</v>
      </c>
      <c r="HR109" s="123">
        <f t="shared" si="247"/>
        <v>0</v>
      </c>
      <c r="HS109" s="123">
        <f t="shared" si="248"/>
        <v>0</v>
      </c>
      <c r="HT109" s="123">
        <f>IF(HY108&lt;0.01,0,IF(Adm!$GS$4=Adm!$GS$8,HY108*$HY$15,IF(Adm!$GS$12=Adm!$GS$13,0,HY108*Adm!$GV$4)))</f>
        <v>0</v>
      </c>
      <c r="HU109" s="123">
        <f>IF(HY108&lt;0.01,0,IF(Adm!$GS$5=Adm!$GS$8,Cal!$BO$108*$HY$16/1.16,IF(Adm!$GS$12=Adm!$GS$13,0,Cal!$BO$108*Adm!$GW$4/1.16)))</f>
        <v>0</v>
      </c>
      <c r="HV109" s="123">
        <f t="shared" si="249"/>
        <v>0</v>
      </c>
      <c r="HW109" s="123">
        <f t="shared" si="192"/>
        <v>0</v>
      </c>
      <c r="HX109" s="123">
        <f>IF(Adm!$GH$6="si",MIN(HY108+HQ109+HT109+HU109+HV109-HW109,IH109),0)</f>
        <v>0</v>
      </c>
      <c r="HY109" s="297">
        <f t="shared" si="250"/>
        <v>0</v>
      </c>
      <c r="HZ109" s="74"/>
      <c r="IA109" s="407">
        <f t="shared" si="251"/>
        <v>0</v>
      </c>
      <c r="IC109" s="90">
        <f t="shared" si="252"/>
        <v>1</v>
      </c>
      <c r="ID109" s="124">
        <f>IF(IC109=1,Cal!$BO$127,0)</f>
        <v>0</v>
      </c>
      <c r="IE109" s="178">
        <f>IF(IC109=1,Adm!$HI$4,0)</f>
        <v>2.5000000000000001E-3</v>
      </c>
      <c r="IG109" s="70">
        <f t="shared" si="275"/>
        <v>0</v>
      </c>
      <c r="IH109" s="2178">
        <f t="shared" ca="1" si="253"/>
        <v>0</v>
      </c>
      <c r="IK109" s="217"/>
      <c r="IL109" s="26">
        <f t="shared" ca="1" si="193"/>
        <v>4</v>
      </c>
      <c r="IN109" s="268">
        <f t="shared" si="194"/>
        <v>0</v>
      </c>
      <c r="IO109" s="151">
        <f t="shared" si="154"/>
        <v>0</v>
      </c>
      <c r="IP109" s="123">
        <f t="shared" si="254"/>
        <v>0</v>
      </c>
      <c r="IQ109" s="123">
        <f t="shared" si="255"/>
        <v>0</v>
      </c>
      <c r="IR109" s="123">
        <f t="shared" si="256"/>
        <v>0</v>
      </c>
      <c r="IS109" s="123">
        <f>IF(IX108&lt;0.01,0,IF(Adm!$GS$4=Adm!$GS$8,IX108*$IX$15,IF(Adm!$GS$12=Adm!$GS$13,0,IX108*Adm!$GV$4)))</f>
        <v>0</v>
      </c>
      <c r="IT109" s="123"/>
      <c r="IU109" s="123">
        <f t="shared" si="257"/>
        <v>0</v>
      </c>
      <c r="IV109" s="123">
        <f t="shared" si="258"/>
        <v>0</v>
      </c>
      <c r="IW109" s="123"/>
      <c r="IX109" s="297">
        <f t="shared" si="259"/>
        <v>0</v>
      </c>
      <c r="IY109" s="74"/>
      <c r="IZ109" s="416">
        <f t="shared" si="260"/>
        <v>0</v>
      </c>
      <c r="JB109" s="90">
        <f t="shared" si="261"/>
        <v>1</v>
      </c>
      <c r="JC109" s="124">
        <f>IF(JB109=1,Cal!$BP$127,0)</f>
        <v>0</v>
      </c>
      <c r="JD109" s="178">
        <f>IF(JB109=1,Adm!$HI$4,0)</f>
        <v>2.5000000000000001E-3</v>
      </c>
    </row>
    <row r="110" spans="1:264">
      <c r="A110" s="26">
        <f t="shared" ca="1" si="162"/>
        <v>5</v>
      </c>
      <c r="C110" s="33">
        <f t="shared" si="163"/>
        <v>0</v>
      </c>
      <c r="D110" s="123">
        <f t="shared" si="195"/>
        <v>0</v>
      </c>
      <c r="E110" s="123">
        <f t="shared" si="287"/>
        <v>0</v>
      </c>
      <c r="F110" s="123">
        <f t="shared" si="295"/>
        <v>0</v>
      </c>
      <c r="G110" s="123">
        <f>IF(L109&lt;0.01,0,IF(Adm!$S$4=Adm!$S$8,L109*$L$15,L109*Adm!$V$4))</f>
        <v>0</v>
      </c>
      <c r="H110" s="123">
        <f>IF(L109&lt;0.01,0,IF(Adm!$S$5=Adm!$S$8,Adm!$AA$11*$L$16/1.16,IF(Adm!$B$4=Adm!$A$119,0,Adm!$AA$11*Adm!$X$4/1.16)))</f>
        <v>0</v>
      </c>
      <c r="I110" s="123">
        <f>IF(L109&lt;0.01,0,Cal!$AB$126/1.16)</f>
        <v>0</v>
      </c>
      <c r="J110" s="123">
        <f t="shared" si="164"/>
        <v>0</v>
      </c>
      <c r="K110" s="123">
        <f>IF(Adm!$G$4="si",MIN(L109+D110+G110+H110+I110-J110,V110),0)</f>
        <v>0</v>
      </c>
      <c r="L110" s="123">
        <f t="shared" si="196"/>
        <v>0</v>
      </c>
      <c r="M110" s="74"/>
      <c r="N110" s="74"/>
      <c r="O110" s="407">
        <f t="shared" si="197"/>
        <v>0</v>
      </c>
      <c r="R110" s="90">
        <f t="shared" si="198"/>
        <v>2</v>
      </c>
      <c r="S110" s="121">
        <f>IF(R110=1,Cal!$AB$127,0)</f>
        <v>0</v>
      </c>
      <c r="U110" s="70">
        <f t="shared" si="262"/>
        <v>0</v>
      </c>
      <c r="V110" s="2178">
        <f t="shared" ca="1" si="199"/>
        <v>0</v>
      </c>
      <c r="X110" s="398"/>
      <c r="Z110" s="268">
        <f t="shared" si="165"/>
        <v>0</v>
      </c>
      <c r="AA110" s="2176">
        <f t="shared" si="200"/>
        <v>0</v>
      </c>
      <c r="AB110" s="33">
        <f t="shared" si="201"/>
        <v>0</v>
      </c>
      <c r="AC110" s="33">
        <f t="shared" si="202"/>
        <v>0</v>
      </c>
      <c r="AD110" s="33">
        <f>IF(AI109&lt;0.01,0,IF(Adm!$S$4=Adm!$S$8,AI109*$AI$15,AI109*Adm!$V$4))</f>
        <v>0</v>
      </c>
      <c r="AE110" s="33"/>
      <c r="AF110" s="33"/>
      <c r="AG110" s="33">
        <f t="shared" si="166"/>
        <v>0</v>
      </c>
      <c r="AH110" s="33"/>
      <c r="AI110" s="401">
        <f t="shared" si="167"/>
        <v>0</v>
      </c>
      <c r="AK110" s="410">
        <f t="shared" si="168"/>
        <v>0</v>
      </c>
      <c r="AN110" s="90">
        <f t="shared" si="203"/>
        <v>2</v>
      </c>
      <c r="AO110" s="121">
        <f>IF(AN110=1,Cal!$AC$127,0)</f>
        <v>0</v>
      </c>
      <c r="AS110" s="200"/>
      <c r="AU110" s="268">
        <f t="shared" si="169"/>
        <v>0</v>
      </c>
      <c r="AV110" s="2177">
        <f t="shared" si="204"/>
        <v>0</v>
      </c>
      <c r="AW110" s="123">
        <f t="shared" si="170"/>
        <v>0</v>
      </c>
      <c r="AX110" s="123">
        <f t="shared" si="205"/>
        <v>0</v>
      </c>
      <c r="AY110" s="123">
        <f>IF(BC109&lt;0.01,0,IF(Adm!$S$4=Adm!$S$8,BC109*$BC$16,BC109*Adm!$V$4))</f>
        <v>0</v>
      </c>
      <c r="AZ110" s="123"/>
      <c r="BA110" s="123">
        <f>IF(BC109&lt;0.01,0,Adm!$Q$6)</f>
        <v>0</v>
      </c>
      <c r="BB110" s="123">
        <f t="shared" si="171"/>
        <v>0</v>
      </c>
      <c r="BC110" s="297">
        <f t="shared" si="206"/>
        <v>0</v>
      </c>
      <c r="BE110" s="425">
        <f t="shared" si="172"/>
        <v>0</v>
      </c>
      <c r="BH110" s="90">
        <f t="shared" si="207"/>
        <v>2</v>
      </c>
      <c r="BI110" s="121">
        <f>IF(BH110=1,Cal!$AD$127,0)</f>
        <v>0</v>
      </c>
      <c r="BM110" s="221"/>
      <c r="BO110" s="295">
        <f t="shared" ca="1" si="173"/>
        <v>5</v>
      </c>
      <c r="BP110" s="268">
        <f t="shared" si="174"/>
        <v>0</v>
      </c>
      <c r="BQ110" s="123">
        <f t="shared" si="208"/>
        <v>0</v>
      </c>
      <c r="BR110" s="123">
        <f t="shared" si="288"/>
        <v>0</v>
      </c>
      <c r="BS110" s="123">
        <f t="shared" si="296"/>
        <v>0</v>
      </c>
      <c r="BT110" s="123">
        <f>IF(BZ109&lt;0.01,0,IF(Plus!$F$22=Plus!$AN$4,BZ109*$BZ$15,IF(Plus!$F$22=Plus!$AN$3,BZ109*Plus!$F$23/1000,BZ109*VLOOKUP(Plus!$G$21,Plus!$AP$2:'Plus'!$AQ$5,2,0))))</f>
        <v>0</v>
      </c>
      <c r="BU110" s="123">
        <f>IF(BZ109&lt;0.01,0,IF(Plus!$F$24=Plus!$AO$3,Plus!$G$13*Plus!$AR$2/1.16,IF(Plus!$F$10=Plus!$AK$7,0,Plus!$G$13*Plus!$AR$2/1.16)))</f>
        <v>0</v>
      </c>
      <c r="BV110" s="123">
        <f>IF(BZ109&lt;0.01,0,Plus!$BD$2)</f>
        <v>0</v>
      </c>
      <c r="BW110" s="123"/>
      <c r="BX110" s="123">
        <f t="shared" si="175"/>
        <v>0</v>
      </c>
      <c r="BY110" s="123">
        <f>IF(Plus!$F$10=Plus!$AK$3,MIN(BZ109+BQ110+BT110+BU110+BV110-BX110,CJ110),0)</f>
        <v>0</v>
      </c>
      <c r="BZ110" s="297">
        <f t="shared" si="280"/>
        <v>0</v>
      </c>
      <c r="CA110" s="74"/>
      <c r="CB110" s="74"/>
      <c r="CC110" s="413">
        <f t="shared" si="209"/>
        <v>0</v>
      </c>
      <c r="CF110" s="90">
        <f t="shared" si="210"/>
        <v>2</v>
      </c>
      <c r="CG110" s="121">
        <f t="shared" si="263"/>
        <v>0</v>
      </c>
      <c r="CI110" s="70">
        <f t="shared" si="264"/>
        <v>0</v>
      </c>
      <c r="CJ110" s="2178">
        <f t="shared" ca="1" si="211"/>
        <v>0</v>
      </c>
      <c r="CL110" s="161"/>
      <c r="CN110" s="308">
        <f t="shared" ca="1" si="176"/>
        <v>5</v>
      </c>
      <c r="CO110" s="309">
        <f t="shared" si="212"/>
        <v>0</v>
      </c>
      <c r="CP110" s="268">
        <f t="shared" si="177"/>
        <v>0</v>
      </c>
      <c r="CQ110" s="123">
        <f t="shared" si="213"/>
        <v>0</v>
      </c>
      <c r="CR110" s="123">
        <f t="shared" si="289"/>
        <v>0</v>
      </c>
      <c r="CS110" s="123">
        <f t="shared" si="290"/>
        <v>0</v>
      </c>
      <c r="CT110" s="33">
        <f>IF(CZ109&lt;0.01,0,IF(Plus!$F$22=Plus!$AN$4,0,IF(Plus!$F$22=Plus!$AN$3,CZ109*Plus!$F$23/1000,CZ109*VLOOKUP(Plus!$G$21,Plus!$AP$2:'Plus'!$AQ$5,2,0))))</f>
        <v>0</v>
      </c>
      <c r="CU110" s="123">
        <f>IF(CZ109&lt;0.01,0,IF(Plus!$F$24=Plus!$AO$3,0,IF(OR(Plus!$F$10=Plus!$AK$7,Plus!$F$10=Plus!$AK$13),0,Plus!$G$13*Plus!$AR$2)))</f>
        <v>0</v>
      </c>
      <c r="CV110" s="123">
        <f>IF(CZ109&lt;0.01,0,IF(OR(Plus!$F$10=Plus!$AK$7,Plus!$F$10=Plus!$AK$13),0,Plus!$BD$2*1.16))</f>
        <v>0</v>
      </c>
      <c r="CW110" s="123">
        <f>IF(CZ109&lt;0.01,0,IF(Plus!$AS$2&gt;0,CQ110*Plus!$AS$3,0))</f>
        <v>0</v>
      </c>
      <c r="CX110" s="123">
        <f t="shared" si="214"/>
        <v>0</v>
      </c>
      <c r="CY110" s="123">
        <f>IF(Plus!$F$10=Plus!$AK$3,MIN(CZ109+CQ110+CT110+CU110+CV110-CX110,DK110),0)</f>
        <v>0</v>
      </c>
      <c r="CZ110" s="297">
        <f t="shared" si="294"/>
        <v>0</v>
      </c>
      <c r="DA110" s="306">
        <f>Plus!O151</f>
        <v>0</v>
      </c>
      <c r="DB110" s="74"/>
      <c r="DC110" s="74"/>
      <c r="DD110" s="407">
        <f t="shared" si="215"/>
        <v>0</v>
      </c>
      <c r="DG110" s="90">
        <f t="shared" si="216"/>
        <v>2</v>
      </c>
      <c r="DH110" s="121">
        <f t="shared" si="265"/>
        <v>0</v>
      </c>
      <c r="DJ110" s="149">
        <f t="shared" si="266"/>
        <v>0</v>
      </c>
      <c r="DK110" s="2179">
        <f t="shared" ca="1" si="217"/>
        <v>0</v>
      </c>
      <c r="DN110" s="120">
        <f t="shared" si="267"/>
        <v>0</v>
      </c>
      <c r="DO110" s="110">
        <f t="shared" si="218"/>
        <v>0</v>
      </c>
      <c r="DP110" s="110">
        <f t="shared" si="276"/>
        <v>0</v>
      </c>
      <c r="DQ110" s="109">
        <f t="shared" si="219"/>
        <v>0</v>
      </c>
      <c r="DR110" s="109">
        <f t="shared" si="220"/>
        <v>0</v>
      </c>
      <c r="DS110" s="113">
        <f t="shared" si="221"/>
        <v>0</v>
      </c>
      <c r="DU110" s="102">
        <f t="shared" si="222"/>
        <v>0</v>
      </c>
      <c r="DV110" s="211">
        <f t="shared" si="277"/>
        <v>86</v>
      </c>
      <c r="DW110" s="212">
        <f t="shared" si="223"/>
        <v>0</v>
      </c>
      <c r="DX110" s="212">
        <f t="shared" si="178"/>
        <v>0</v>
      </c>
      <c r="DY110" s="212">
        <f t="shared" si="268"/>
        <v>0</v>
      </c>
      <c r="DZ110" s="213">
        <f t="shared" si="179"/>
        <v>1000000</v>
      </c>
      <c r="ED110" s="182"/>
      <c r="EF110" s="308">
        <f t="shared" ca="1" si="180"/>
        <v>5</v>
      </c>
      <c r="EG110" s="309">
        <f t="shared" si="224"/>
        <v>0</v>
      </c>
      <c r="EH110" s="268">
        <f t="shared" si="181"/>
        <v>0</v>
      </c>
      <c r="EI110" s="33">
        <f t="shared" si="225"/>
        <v>0</v>
      </c>
      <c r="EJ110" s="33">
        <f t="shared" si="291"/>
        <v>0</v>
      </c>
      <c r="EK110" s="33">
        <f t="shared" si="297"/>
        <v>0</v>
      </c>
      <c r="EL110" s="33">
        <f>IF(ER109&lt;0.01,0,IF(Plus!$F$22=Plus!$AN$4,0,IF(Plus!$F$22=Plus!$AN$3,ER109*Plus!$F$23/1000,ER109*VLOOKUP(Plus!$G$21,Plus!$AP$2:'Plus'!$AQ$5,2,0))))</f>
        <v>0</v>
      </c>
      <c r="EM110" s="33">
        <f>IF(ER109&lt;0.01,0,IF(Plus!$F$24=Plus!$AO$3,0,IF(OR(Plus!$F$10=Plus!$AK$7,Plus!$F$10=Plus!$AK$13),0,Plus!$G$13*Plus!$AR$2)))</f>
        <v>0</v>
      </c>
      <c r="EN110" s="33">
        <f>IF(ER109&lt;0.01,0,IF(OR(Plus!$F$10=Plus!$AK$7,Plus!$F$10=Plus!$AK$13),0,Plus!$BD$2*1.16))</f>
        <v>0</v>
      </c>
      <c r="EO110" s="33">
        <f>IF(ER109&lt;0.01,0,IF(Plus!$AS$2&gt;0,EI110*Plus!$AS$3,0))</f>
        <v>0</v>
      </c>
      <c r="EP110" s="33">
        <f t="shared" si="226"/>
        <v>0</v>
      </c>
      <c r="EQ110" s="33">
        <f>IF(Plus!$F$10=Plus!$AK$3,MIN(ER109+EI110+EL110+EM110+EN110-EP110,FC110),0)</f>
        <v>0</v>
      </c>
      <c r="ER110" s="311">
        <f t="shared" si="285"/>
        <v>0</v>
      </c>
      <c r="ES110" s="340">
        <f>Plus!O151</f>
        <v>0</v>
      </c>
      <c r="ET110" s="74"/>
      <c r="EU110" s="74"/>
      <c r="EV110" s="416">
        <f t="shared" si="281"/>
        <v>0</v>
      </c>
      <c r="EY110" s="90">
        <f t="shared" si="227"/>
        <v>2</v>
      </c>
      <c r="EZ110" s="121">
        <f t="shared" si="269"/>
        <v>0</v>
      </c>
      <c r="FB110" s="149">
        <f t="shared" si="270"/>
        <v>0</v>
      </c>
      <c r="FC110" s="2179">
        <f t="shared" ca="1" si="228"/>
        <v>0</v>
      </c>
      <c r="FE110" s="120">
        <f t="shared" si="271"/>
        <v>0</v>
      </c>
      <c r="FF110" s="110">
        <f t="shared" si="229"/>
        <v>0</v>
      </c>
      <c r="FG110" s="110">
        <f t="shared" si="230"/>
        <v>0</v>
      </c>
      <c r="FH110" s="109">
        <f t="shared" si="231"/>
        <v>0</v>
      </c>
      <c r="FI110" s="109">
        <f t="shared" si="182"/>
        <v>0</v>
      </c>
      <c r="FJ110" s="113">
        <f t="shared" si="232"/>
        <v>0</v>
      </c>
      <c r="FL110" s="102">
        <f t="shared" si="233"/>
        <v>0</v>
      </c>
      <c r="FM110" s="211">
        <f t="shared" si="278"/>
        <v>86</v>
      </c>
      <c r="FN110" s="212">
        <f t="shared" si="234"/>
        <v>0</v>
      </c>
      <c r="FO110" s="212">
        <f t="shared" si="183"/>
        <v>0</v>
      </c>
      <c r="FP110" s="212">
        <f t="shared" ref="FP110:FP120" si="298">MIN(FQ109+FN110,FP109)</f>
        <v>0</v>
      </c>
      <c r="FQ110" s="213">
        <f t="shared" si="184"/>
        <v>1000000</v>
      </c>
      <c r="FV110" s="359"/>
      <c r="FX110" s="308">
        <f t="shared" ca="1" si="185"/>
        <v>5</v>
      </c>
      <c r="FY110" s="309">
        <f t="shared" si="235"/>
        <v>0</v>
      </c>
      <c r="FZ110" s="268">
        <f t="shared" si="186"/>
        <v>0</v>
      </c>
      <c r="GA110" s="33">
        <f t="shared" si="236"/>
        <v>0</v>
      </c>
      <c r="GB110" s="33">
        <f t="shared" si="292"/>
        <v>0</v>
      </c>
      <c r="GC110" s="33">
        <f t="shared" si="293"/>
        <v>0</v>
      </c>
      <c r="GD110" s="33">
        <f>IF(GJ109&lt;0.01,0,IF(Plus!$F$22=Plus!$AN$4,0,IF(Plus!$F$22=Plus!$AN$3,GJ109*Plus!$F$23/1000,GJ109*VLOOKUP(Plus!$G$21,Plus!$AP$2:$AQ$5,2,0))))</f>
        <v>0</v>
      </c>
      <c r="GE110" s="33">
        <f>IF(GJ109&lt;0.01,0,IF(Plus!$F$24=Plus!$AO$3,0,IF(OR(Plus!$F$10=Plus!$AK$7,Plus!$F$10=Plus!$AK$13,Plus!$F$10=Plus!$AK$14),0,IF(OR(Plus!$F$10=Plus!$AK$10,Plus!$F$10=Plus!$AK$11),Plus!$G$13*Adm!$W$7,Plus!$G$13*Adm!$X$4))))</f>
        <v>0</v>
      </c>
      <c r="GF110" s="33">
        <f>IF(GJ109&lt;0.01,0,IF(OR(Plus!$F$10=Plus!$AK$7,Plus!$F$10=Plus!$AK$13),0,Plus!$BD$2*1.16))</f>
        <v>0</v>
      </c>
      <c r="GG110" s="33">
        <f>IF(GJ109&lt;0.01,0,IF(Plus!$AS$2&gt;0,GA110*Plus!$AS$3,0))</f>
        <v>0</v>
      </c>
      <c r="GH110" s="33">
        <f t="shared" si="237"/>
        <v>0</v>
      </c>
      <c r="GI110" s="33">
        <f>IF(Plus!$F$10=Plus!$AK$3,MIN(GJ109+GA110+GD110+GE110+GF110-GH110,GU110),0)</f>
        <v>0</v>
      </c>
      <c r="GJ110" s="311">
        <f t="shared" si="286"/>
        <v>0</v>
      </c>
      <c r="GK110" s="340">
        <f>Plus!O151</f>
        <v>0</v>
      </c>
      <c r="GL110" s="74"/>
      <c r="GM110" s="74"/>
      <c r="GN110" s="419">
        <f t="shared" si="283"/>
        <v>0</v>
      </c>
      <c r="GQ110" s="90">
        <f t="shared" si="238"/>
        <v>2</v>
      </c>
      <c r="GR110" s="121">
        <f t="shared" si="272"/>
        <v>0</v>
      </c>
      <c r="GT110" s="149">
        <f t="shared" si="273"/>
        <v>0</v>
      </c>
      <c r="GU110" s="2179">
        <f t="shared" ca="1" si="239"/>
        <v>0</v>
      </c>
      <c r="GW110" s="120">
        <f t="shared" si="274"/>
        <v>0</v>
      </c>
      <c r="GX110" s="110">
        <f t="shared" si="240"/>
        <v>0</v>
      </c>
      <c r="GY110" s="110">
        <f t="shared" si="241"/>
        <v>0</v>
      </c>
      <c r="GZ110" s="109">
        <f t="shared" si="242"/>
        <v>0</v>
      </c>
      <c r="HA110" s="109">
        <f t="shared" si="187"/>
        <v>0</v>
      </c>
      <c r="HB110" s="113">
        <f t="shared" si="243"/>
        <v>0</v>
      </c>
      <c r="HD110" s="102">
        <f t="shared" si="244"/>
        <v>0</v>
      </c>
      <c r="HE110" s="211">
        <f t="shared" si="279"/>
        <v>86</v>
      </c>
      <c r="HF110" s="212">
        <f t="shared" si="245"/>
        <v>0</v>
      </c>
      <c r="HG110" s="212">
        <f t="shared" si="188"/>
        <v>0</v>
      </c>
      <c r="HH110" s="212">
        <f t="shared" ref="HH110:HH120" si="299">MIN(HI109+HF110,HH109)</f>
        <v>0</v>
      </c>
      <c r="HI110" s="213">
        <f t="shared" si="189"/>
        <v>1000000</v>
      </c>
      <c r="HL110" s="182"/>
      <c r="HM110" s="26">
        <f t="shared" ca="1" si="190"/>
        <v>5</v>
      </c>
      <c r="HO110" s="268">
        <f t="shared" si="191"/>
        <v>0</v>
      </c>
      <c r="HP110" s="151">
        <f t="shared" si="157"/>
        <v>0</v>
      </c>
      <c r="HQ110" s="123">
        <f t="shared" si="246"/>
        <v>0</v>
      </c>
      <c r="HR110" s="123">
        <f t="shared" si="247"/>
        <v>0</v>
      </c>
      <c r="HS110" s="123">
        <f t="shared" si="248"/>
        <v>0</v>
      </c>
      <c r="HT110" s="123">
        <f>IF(HY109&lt;0.01,0,IF(Adm!$GS$4=Adm!$GS$8,HY109*$HY$15,IF(Adm!$GS$12=Adm!$GS$13,0,HY109*Adm!$GV$4)))</f>
        <v>0</v>
      </c>
      <c r="HU110" s="123">
        <f>IF(HY109&lt;0.01,0,IF(Adm!$GS$5=Adm!$GS$8,Cal!$BO$108*$HY$16/1.16,IF(Adm!$GS$12=Adm!$GS$13,0,Cal!$BO$108*Adm!$GW$4/1.16)))</f>
        <v>0</v>
      </c>
      <c r="HV110" s="123">
        <f t="shared" si="249"/>
        <v>0</v>
      </c>
      <c r="HW110" s="123">
        <f t="shared" si="192"/>
        <v>0</v>
      </c>
      <c r="HX110" s="123">
        <f>IF(Adm!$GH$6="si",MIN(HY109+HQ110+HT110+HU110+HV110-HW110,IH110),0)</f>
        <v>0</v>
      </c>
      <c r="HY110" s="297">
        <f t="shared" si="250"/>
        <v>0</v>
      </c>
      <c r="HZ110" s="74"/>
      <c r="IA110" s="407">
        <f t="shared" si="251"/>
        <v>0</v>
      </c>
      <c r="IC110" s="90">
        <f t="shared" si="252"/>
        <v>2</v>
      </c>
      <c r="ID110" s="124">
        <f>IF(IC110=1,Cal!$BO$127,0)</f>
        <v>0</v>
      </c>
      <c r="IE110" s="178">
        <f>IF(IC110=1,Adm!$HI$4,0)</f>
        <v>0</v>
      </c>
      <c r="IG110" s="70">
        <f t="shared" si="275"/>
        <v>0</v>
      </c>
      <c r="IH110" s="2178">
        <f t="shared" ca="1" si="253"/>
        <v>0</v>
      </c>
      <c r="IK110" s="217"/>
      <c r="IL110" s="26">
        <f t="shared" ca="1" si="193"/>
        <v>5</v>
      </c>
      <c r="IN110" s="268">
        <f t="shared" si="194"/>
        <v>0</v>
      </c>
      <c r="IO110" s="151">
        <f t="shared" si="154"/>
        <v>0</v>
      </c>
      <c r="IP110" s="123">
        <f t="shared" si="254"/>
        <v>0</v>
      </c>
      <c r="IQ110" s="123">
        <f t="shared" si="255"/>
        <v>0</v>
      </c>
      <c r="IR110" s="123">
        <f t="shared" si="256"/>
        <v>0</v>
      </c>
      <c r="IS110" s="123">
        <f>IF(IX109&lt;0.01,0,IF(Adm!$GS$4=Adm!$GS$8,IX109*$IX$15,IF(Adm!$GS$12=Adm!$GS$13,0,IX109*Adm!$GV$4)))</f>
        <v>0</v>
      </c>
      <c r="IT110" s="123"/>
      <c r="IU110" s="123">
        <f t="shared" si="257"/>
        <v>0</v>
      </c>
      <c r="IV110" s="123">
        <f t="shared" si="258"/>
        <v>0</v>
      </c>
      <c r="IW110" s="123"/>
      <c r="IX110" s="297">
        <f t="shared" si="259"/>
        <v>0</v>
      </c>
      <c r="IY110" s="74"/>
      <c r="IZ110" s="416">
        <f t="shared" si="260"/>
        <v>0</v>
      </c>
      <c r="JB110" s="90">
        <f t="shared" si="261"/>
        <v>2</v>
      </c>
      <c r="JC110" s="124">
        <f>IF(JB110=1,Cal!$BP$127,0)</f>
        <v>0</v>
      </c>
      <c r="JD110" s="178">
        <f>IF(JB110=1,Adm!$HI$4,0)</f>
        <v>0</v>
      </c>
    </row>
    <row r="111" spans="1:264">
      <c r="A111" s="26">
        <f t="shared" ca="1" si="162"/>
        <v>6</v>
      </c>
      <c r="C111" s="33">
        <f t="shared" si="163"/>
        <v>0</v>
      </c>
      <c r="D111" s="123">
        <f t="shared" si="195"/>
        <v>0</v>
      </c>
      <c r="E111" s="123">
        <f t="shared" si="287"/>
        <v>0</v>
      </c>
      <c r="F111" s="123">
        <f t="shared" si="295"/>
        <v>0</v>
      </c>
      <c r="G111" s="123">
        <f>IF(L110&lt;0.01,0,IF(Adm!$S$4=Adm!$S$8,L110*$L$15,L110*Adm!$V$4))</f>
        <v>0</v>
      </c>
      <c r="H111" s="123">
        <f>IF(L110&lt;0.01,0,IF(Adm!$S$5=Adm!$S$8,Adm!$AA$11*$L$16/1.16,IF(Adm!$B$4=Adm!$A$119,0,Adm!$AA$11*Adm!$X$4/1.16)))</f>
        <v>0</v>
      </c>
      <c r="I111" s="123">
        <f>IF(L110&lt;0.01,0,Cal!$AB$126/1.16)</f>
        <v>0</v>
      </c>
      <c r="J111" s="123">
        <f t="shared" si="164"/>
        <v>0</v>
      </c>
      <c r="K111" s="123">
        <f>IF(Adm!$G$4="si",MIN(L110+D111+G111+H111+I111-J111,V111),0)</f>
        <v>0</v>
      </c>
      <c r="L111" s="123">
        <f t="shared" si="196"/>
        <v>0</v>
      </c>
      <c r="M111" s="74"/>
      <c r="N111" s="74"/>
      <c r="O111" s="407">
        <f t="shared" si="197"/>
        <v>0</v>
      </c>
      <c r="R111" s="90">
        <f t="shared" si="198"/>
        <v>3</v>
      </c>
      <c r="S111" s="121">
        <f>IF(R111=1,Cal!$AB$127,0)</f>
        <v>0</v>
      </c>
      <c r="U111" s="70">
        <f t="shared" si="262"/>
        <v>0</v>
      </c>
      <c r="V111" s="2178">
        <f t="shared" ca="1" si="199"/>
        <v>0</v>
      </c>
      <c r="X111" s="398"/>
      <c r="Z111" s="268">
        <f t="shared" si="165"/>
        <v>0</v>
      </c>
      <c r="AA111" s="2176">
        <f t="shared" si="200"/>
        <v>0</v>
      </c>
      <c r="AB111" s="33">
        <f t="shared" si="201"/>
        <v>0</v>
      </c>
      <c r="AC111" s="33">
        <f t="shared" si="202"/>
        <v>0</v>
      </c>
      <c r="AD111" s="33">
        <f>IF(AI110&lt;0.01,0,IF(Adm!$S$4=Adm!$S$8,AI110*$AI$15,AI110*Adm!$V$4))</f>
        <v>0</v>
      </c>
      <c r="AE111" s="33"/>
      <c r="AF111" s="33"/>
      <c r="AG111" s="33">
        <f t="shared" si="166"/>
        <v>0</v>
      </c>
      <c r="AH111" s="33"/>
      <c r="AI111" s="401">
        <f t="shared" si="167"/>
        <v>0</v>
      </c>
      <c r="AK111" s="410">
        <f t="shared" si="168"/>
        <v>0</v>
      </c>
      <c r="AN111" s="90">
        <f t="shared" si="203"/>
        <v>3</v>
      </c>
      <c r="AO111" s="121">
        <f>IF(AN111=1,Cal!$AC$127,0)</f>
        <v>0</v>
      </c>
      <c r="AS111" s="200"/>
      <c r="AU111" s="268">
        <f t="shared" si="169"/>
        <v>0</v>
      </c>
      <c r="AV111" s="2177">
        <f t="shared" si="204"/>
        <v>0</v>
      </c>
      <c r="AW111" s="123">
        <f t="shared" si="170"/>
        <v>0</v>
      </c>
      <c r="AX111" s="123">
        <f t="shared" si="205"/>
        <v>0</v>
      </c>
      <c r="AY111" s="123">
        <f>IF(BC110&lt;0.01,0,IF(Adm!$S$4=Adm!$S$8,BC110*$BC$16,BC110*Adm!$V$4))</f>
        <v>0</v>
      </c>
      <c r="AZ111" s="123"/>
      <c r="BA111" s="123">
        <f>IF(BC110&lt;0.01,0,Adm!$Q$6)</f>
        <v>0</v>
      </c>
      <c r="BB111" s="123">
        <f t="shared" si="171"/>
        <v>0</v>
      </c>
      <c r="BC111" s="297">
        <f t="shared" si="206"/>
        <v>0</v>
      </c>
      <c r="BE111" s="425">
        <f t="shared" si="172"/>
        <v>0</v>
      </c>
      <c r="BH111" s="90">
        <f t="shared" si="207"/>
        <v>3</v>
      </c>
      <c r="BI111" s="121">
        <f>IF(BH111=1,Cal!$AD$127,0)</f>
        <v>0</v>
      </c>
      <c r="BM111" s="221"/>
      <c r="BO111" s="295">
        <f t="shared" ca="1" si="173"/>
        <v>6</v>
      </c>
      <c r="BP111" s="268">
        <f t="shared" si="174"/>
        <v>0</v>
      </c>
      <c r="BQ111" s="123">
        <f t="shared" si="208"/>
        <v>0</v>
      </c>
      <c r="BR111" s="123">
        <f t="shared" si="288"/>
        <v>0</v>
      </c>
      <c r="BS111" s="123">
        <f t="shared" si="296"/>
        <v>0</v>
      </c>
      <c r="BT111" s="123">
        <f>IF(BZ110&lt;0.01,0,IF(Plus!$F$22=Plus!$AN$4,BZ110*$BZ$15,IF(Plus!$F$22=Plus!$AN$3,BZ110*Plus!$F$23/1000,BZ110*VLOOKUP(Plus!$G$21,Plus!$AP$2:'Plus'!$AQ$5,2,0))))</f>
        <v>0</v>
      </c>
      <c r="BU111" s="123">
        <f>IF(BZ110&lt;0.01,0,IF(Plus!$F$24=Plus!$AO$3,Plus!$G$13*Plus!$AR$2/1.16,IF(Plus!$F$10=Plus!$AK$7,0,Plus!$G$13*Plus!$AR$2/1.16)))</f>
        <v>0</v>
      </c>
      <c r="BV111" s="123">
        <f>IF(BZ110&lt;0.01,0,Plus!$BD$2)</f>
        <v>0</v>
      </c>
      <c r="BW111" s="123"/>
      <c r="BX111" s="123">
        <f t="shared" si="175"/>
        <v>0</v>
      </c>
      <c r="BY111" s="123">
        <f>IF(Plus!$F$10=Plus!$AK$3,MIN(BZ110+BQ111+BT111+BU111+BV111-BX111,CJ111),0)</f>
        <v>0</v>
      </c>
      <c r="BZ111" s="297">
        <f t="shared" si="280"/>
        <v>0</v>
      </c>
      <c r="CA111" s="74"/>
      <c r="CB111" s="74"/>
      <c r="CC111" s="413">
        <f t="shared" si="209"/>
        <v>0</v>
      </c>
      <c r="CF111" s="90">
        <f t="shared" si="210"/>
        <v>3</v>
      </c>
      <c r="CG111" s="121">
        <f t="shared" si="263"/>
        <v>0</v>
      </c>
      <c r="CI111" s="70">
        <f t="shared" si="264"/>
        <v>0</v>
      </c>
      <c r="CJ111" s="2178">
        <f t="shared" ca="1" si="211"/>
        <v>0</v>
      </c>
      <c r="CL111" s="161"/>
      <c r="CN111" s="308">
        <f t="shared" ca="1" si="176"/>
        <v>6</v>
      </c>
      <c r="CO111" s="309">
        <f t="shared" si="212"/>
        <v>0</v>
      </c>
      <c r="CP111" s="268">
        <f t="shared" si="177"/>
        <v>0</v>
      </c>
      <c r="CQ111" s="123">
        <f t="shared" si="213"/>
        <v>0</v>
      </c>
      <c r="CR111" s="123">
        <f t="shared" si="289"/>
        <v>0</v>
      </c>
      <c r="CS111" s="123">
        <f t="shared" si="290"/>
        <v>0</v>
      </c>
      <c r="CT111" s="33">
        <f>IF(CZ110&lt;0.01,0,IF(Plus!$F$22=Plus!$AN$4,0,IF(Plus!$F$22=Plus!$AN$3,CZ110*Plus!$F$23/1000,CZ110*VLOOKUP(Plus!$G$21,Plus!$AP$2:'Plus'!$AQ$5,2,0))))</f>
        <v>0</v>
      </c>
      <c r="CU111" s="123">
        <f>IF(CZ110&lt;0.01,0,IF(Plus!$F$24=Plus!$AO$3,0,IF(OR(Plus!$F$10=Plus!$AK$7,Plus!$F$10=Plus!$AK$13),0,Plus!$G$13*Plus!$AR$2)))</f>
        <v>0</v>
      </c>
      <c r="CV111" s="123">
        <f>IF(CZ110&lt;0.01,0,IF(OR(Plus!$F$10=Plus!$AK$7,Plus!$F$10=Plus!$AK$13),0,Plus!$BD$2*1.16))</f>
        <v>0</v>
      </c>
      <c r="CW111" s="123">
        <f>IF(CZ110&lt;0.01,0,IF(Plus!$AS$2&gt;0,CQ111*Plus!$AS$3,0))</f>
        <v>0</v>
      </c>
      <c r="CX111" s="123">
        <f t="shared" si="214"/>
        <v>0</v>
      </c>
      <c r="CY111" s="123">
        <f>IF(Plus!$F$10=Plus!$AK$3,MIN(CZ110+CQ111+CT111+CU111+CV111-CX111,DK111),0)</f>
        <v>0</v>
      </c>
      <c r="CZ111" s="297">
        <f t="shared" si="294"/>
        <v>0</v>
      </c>
      <c r="DA111" s="306">
        <f>Plus!O152</f>
        <v>0</v>
      </c>
      <c r="DB111" s="74"/>
      <c r="DC111" s="74"/>
      <c r="DD111" s="407">
        <f t="shared" si="215"/>
        <v>0</v>
      </c>
      <c r="DG111" s="90">
        <f t="shared" si="216"/>
        <v>3</v>
      </c>
      <c r="DH111" s="121">
        <f t="shared" si="265"/>
        <v>0</v>
      </c>
      <c r="DJ111" s="149">
        <f t="shared" si="266"/>
        <v>0</v>
      </c>
      <c r="DK111" s="2179">
        <f t="shared" ca="1" si="217"/>
        <v>0</v>
      </c>
      <c r="DN111" s="120">
        <f t="shared" si="267"/>
        <v>0</v>
      </c>
      <c r="DO111" s="110">
        <f t="shared" si="218"/>
        <v>0</v>
      </c>
      <c r="DP111" s="110">
        <f t="shared" si="276"/>
        <v>0</v>
      </c>
      <c r="DQ111" s="109">
        <f t="shared" si="219"/>
        <v>0</v>
      </c>
      <c r="DR111" s="109">
        <f t="shared" si="220"/>
        <v>0</v>
      </c>
      <c r="DS111" s="113">
        <f t="shared" si="221"/>
        <v>0</v>
      </c>
      <c r="DU111" s="102">
        <f t="shared" si="222"/>
        <v>0</v>
      </c>
      <c r="DV111" s="211">
        <f t="shared" si="277"/>
        <v>87</v>
      </c>
      <c r="DW111" s="212">
        <f t="shared" si="223"/>
        <v>0</v>
      </c>
      <c r="DX111" s="212">
        <f t="shared" si="178"/>
        <v>0</v>
      </c>
      <c r="DY111" s="212">
        <f t="shared" si="268"/>
        <v>0</v>
      </c>
      <c r="DZ111" s="213">
        <f t="shared" si="179"/>
        <v>1000000</v>
      </c>
      <c r="ED111" s="182"/>
      <c r="EF111" s="308">
        <f t="shared" ca="1" si="180"/>
        <v>6</v>
      </c>
      <c r="EG111" s="309">
        <f t="shared" si="224"/>
        <v>0</v>
      </c>
      <c r="EH111" s="268">
        <f t="shared" si="181"/>
        <v>0</v>
      </c>
      <c r="EI111" s="33">
        <f t="shared" si="225"/>
        <v>0</v>
      </c>
      <c r="EJ111" s="33">
        <f t="shared" si="291"/>
        <v>0</v>
      </c>
      <c r="EK111" s="33">
        <f t="shared" si="297"/>
        <v>0</v>
      </c>
      <c r="EL111" s="33">
        <f>IF(ER110&lt;0.01,0,IF(Plus!$F$22=Plus!$AN$4,0,IF(Plus!$F$22=Plus!$AN$3,ER110*Plus!$F$23/1000,ER110*VLOOKUP(Plus!$G$21,Plus!$AP$2:'Plus'!$AQ$5,2,0))))</f>
        <v>0</v>
      </c>
      <c r="EM111" s="33">
        <f>IF(ER110&lt;0.01,0,IF(Plus!$F$24=Plus!$AO$3,0,IF(OR(Plus!$F$10=Plus!$AK$7,Plus!$F$10=Plus!$AK$13),0,Plus!$G$13*Plus!$AR$2)))</f>
        <v>0</v>
      </c>
      <c r="EN111" s="33">
        <f>IF(ER110&lt;0.01,0,IF(OR(Plus!$F$10=Plus!$AK$7,Plus!$F$10=Plus!$AK$13),0,Plus!$BD$2*1.16))</f>
        <v>0</v>
      </c>
      <c r="EO111" s="33">
        <f>IF(ER110&lt;0.01,0,IF(Plus!$AS$2&gt;0,EI111*Plus!$AS$3,0))</f>
        <v>0</v>
      </c>
      <c r="EP111" s="33">
        <f t="shared" si="226"/>
        <v>0</v>
      </c>
      <c r="EQ111" s="33">
        <f>IF(Plus!$F$10=Plus!$AK$3,MIN(ER110+EI111+EL111+EM111+EN111-EP111,FC111),0)</f>
        <v>0</v>
      </c>
      <c r="ER111" s="311">
        <f t="shared" si="285"/>
        <v>0</v>
      </c>
      <c r="ES111" s="340">
        <f>Plus!O152</f>
        <v>0</v>
      </c>
      <c r="ET111" s="74"/>
      <c r="EU111" s="74"/>
      <c r="EV111" s="416">
        <f t="shared" si="281"/>
        <v>0</v>
      </c>
      <c r="EY111" s="90">
        <f t="shared" si="227"/>
        <v>3</v>
      </c>
      <c r="EZ111" s="121">
        <f t="shared" si="269"/>
        <v>0</v>
      </c>
      <c r="FB111" s="149">
        <f t="shared" si="270"/>
        <v>0</v>
      </c>
      <c r="FC111" s="2179">
        <f t="shared" ca="1" si="228"/>
        <v>0</v>
      </c>
      <c r="FE111" s="120">
        <f t="shared" si="271"/>
        <v>0</v>
      </c>
      <c r="FF111" s="110">
        <f t="shared" si="229"/>
        <v>0</v>
      </c>
      <c r="FG111" s="110">
        <f t="shared" si="230"/>
        <v>0</v>
      </c>
      <c r="FH111" s="109">
        <f t="shared" si="231"/>
        <v>0</v>
      </c>
      <c r="FI111" s="109">
        <f t="shared" si="182"/>
        <v>0</v>
      </c>
      <c r="FJ111" s="113">
        <f t="shared" si="232"/>
        <v>0</v>
      </c>
      <c r="FL111" s="102">
        <f t="shared" si="233"/>
        <v>0</v>
      </c>
      <c r="FM111" s="211">
        <f t="shared" si="278"/>
        <v>87</v>
      </c>
      <c r="FN111" s="212">
        <f t="shared" si="234"/>
        <v>0</v>
      </c>
      <c r="FO111" s="212">
        <f t="shared" si="183"/>
        <v>0</v>
      </c>
      <c r="FP111" s="212">
        <f t="shared" si="298"/>
        <v>0</v>
      </c>
      <c r="FQ111" s="213">
        <f t="shared" si="184"/>
        <v>1000000</v>
      </c>
      <c r="FV111" s="359"/>
      <c r="FX111" s="308">
        <f t="shared" ca="1" si="185"/>
        <v>6</v>
      </c>
      <c r="FY111" s="309">
        <f t="shared" si="235"/>
        <v>0</v>
      </c>
      <c r="FZ111" s="268">
        <f t="shared" si="186"/>
        <v>0</v>
      </c>
      <c r="GA111" s="33">
        <f t="shared" si="236"/>
        <v>0</v>
      </c>
      <c r="GB111" s="33">
        <f t="shared" si="292"/>
        <v>0</v>
      </c>
      <c r="GC111" s="33">
        <f t="shared" si="293"/>
        <v>0</v>
      </c>
      <c r="GD111" s="33">
        <f>IF(GJ110&lt;0.01,0,IF(Plus!$F$22=Plus!$AN$4,0,IF(Plus!$F$22=Plus!$AN$3,GJ110*Plus!$F$23/1000,GJ110*VLOOKUP(Plus!$G$21,Plus!$AP$2:$AQ$5,2,0))))</f>
        <v>0</v>
      </c>
      <c r="GE111" s="33">
        <f>IF(GJ110&lt;0.01,0,IF(Plus!$F$24=Plus!$AO$3,0,IF(OR(Plus!$F$10=Plus!$AK$7,Plus!$F$10=Plus!$AK$13,Plus!$F$10=Plus!$AK$14),0,IF(OR(Plus!$F$10=Plus!$AK$10,Plus!$F$10=Plus!$AK$11),Plus!$G$13*Adm!$W$7,Plus!$G$13*Adm!$X$4))))</f>
        <v>0</v>
      </c>
      <c r="GF111" s="33">
        <f>IF(GJ110&lt;0.01,0,IF(OR(Plus!$F$10=Plus!$AK$7,Plus!$F$10=Plus!$AK$13),0,Plus!$BD$2*1.16))</f>
        <v>0</v>
      </c>
      <c r="GG111" s="33">
        <f>IF(GJ110&lt;0.01,0,IF(Plus!$AS$2&gt;0,GA111*Plus!$AS$3,0))</f>
        <v>0</v>
      </c>
      <c r="GH111" s="33">
        <f t="shared" si="237"/>
        <v>0</v>
      </c>
      <c r="GI111" s="33">
        <f>IF(Plus!$F$10=Plus!$AK$3,MIN(GJ110+GA111+GD111+GE111+GF111-GH111,GU111),0)</f>
        <v>0</v>
      </c>
      <c r="GJ111" s="311">
        <f t="shared" si="286"/>
        <v>0</v>
      </c>
      <c r="GK111" s="340">
        <f>Plus!O152</f>
        <v>0</v>
      </c>
      <c r="GL111" s="74"/>
      <c r="GM111" s="74"/>
      <c r="GN111" s="419">
        <f t="shared" si="283"/>
        <v>0</v>
      </c>
      <c r="GQ111" s="90">
        <f t="shared" si="238"/>
        <v>3</v>
      </c>
      <c r="GR111" s="121">
        <f t="shared" si="272"/>
        <v>0</v>
      </c>
      <c r="GT111" s="149">
        <f t="shared" si="273"/>
        <v>0</v>
      </c>
      <c r="GU111" s="2179">
        <f t="shared" ca="1" si="239"/>
        <v>0</v>
      </c>
      <c r="GW111" s="120">
        <f t="shared" si="274"/>
        <v>0</v>
      </c>
      <c r="GX111" s="110">
        <f t="shared" si="240"/>
        <v>0</v>
      </c>
      <c r="GY111" s="110">
        <f t="shared" si="241"/>
        <v>0</v>
      </c>
      <c r="GZ111" s="109">
        <f t="shared" si="242"/>
        <v>0</v>
      </c>
      <c r="HA111" s="109">
        <f t="shared" si="187"/>
        <v>0</v>
      </c>
      <c r="HB111" s="113">
        <f t="shared" si="243"/>
        <v>0</v>
      </c>
      <c r="HD111" s="102">
        <f t="shared" si="244"/>
        <v>0</v>
      </c>
      <c r="HE111" s="211">
        <f t="shared" si="279"/>
        <v>87</v>
      </c>
      <c r="HF111" s="212">
        <f t="shared" si="245"/>
        <v>0</v>
      </c>
      <c r="HG111" s="212">
        <f t="shared" si="188"/>
        <v>0</v>
      </c>
      <c r="HH111" s="212">
        <f t="shared" si="299"/>
        <v>0</v>
      </c>
      <c r="HI111" s="213">
        <f t="shared" si="189"/>
        <v>1000000</v>
      </c>
      <c r="HL111" s="182"/>
      <c r="HM111" s="26">
        <f t="shared" ca="1" si="190"/>
        <v>6</v>
      </c>
      <c r="HO111" s="268">
        <f t="shared" si="191"/>
        <v>0</v>
      </c>
      <c r="HP111" s="151">
        <f t="shared" si="157"/>
        <v>0</v>
      </c>
      <c r="HQ111" s="123">
        <f t="shared" si="246"/>
        <v>0</v>
      </c>
      <c r="HR111" s="123">
        <f t="shared" si="247"/>
        <v>0</v>
      </c>
      <c r="HS111" s="123">
        <f t="shared" si="248"/>
        <v>0</v>
      </c>
      <c r="HT111" s="123">
        <f>IF(HY110&lt;0.01,0,IF(Adm!$GS$4=Adm!$GS$8,HY110*$HY$15,IF(Adm!$GS$12=Adm!$GS$13,0,HY110*Adm!$GV$4)))</f>
        <v>0</v>
      </c>
      <c r="HU111" s="123">
        <f>IF(HY110&lt;0.01,0,IF(Adm!$GS$5=Adm!$GS$8,Cal!$BO$108*$HY$16/1.16,IF(Adm!$GS$12=Adm!$GS$13,0,Cal!$BO$108*Adm!$GW$4/1.16)))</f>
        <v>0</v>
      </c>
      <c r="HV111" s="123">
        <f t="shared" si="249"/>
        <v>0</v>
      </c>
      <c r="HW111" s="123">
        <f t="shared" si="192"/>
        <v>0</v>
      </c>
      <c r="HX111" s="123">
        <f>IF(Adm!$GH$6="si",MIN(HY110+HQ111+HT111+HU111+HV111-HW111,IH111),0)</f>
        <v>0</v>
      </c>
      <c r="HY111" s="297">
        <f t="shared" si="250"/>
        <v>0</v>
      </c>
      <c r="HZ111" s="74"/>
      <c r="IA111" s="407">
        <f t="shared" si="251"/>
        <v>0</v>
      </c>
      <c r="IC111" s="90">
        <f t="shared" si="252"/>
        <v>3</v>
      </c>
      <c r="ID111" s="124">
        <f>IF(IC111=1,Cal!$BO$127,0)</f>
        <v>0</v>
      </c>
      <c r="IE111" s="178">
        <f>IF(IC111=1,Adm!$HI$4,0)</f>
        <v>0</v>
      </c>
      <c r="IG111" s="70">
        <f t="shared" si="275"/>
        <v>0</v>
      </c>
      <c r="IH111" s="2178">
        <f t="shared" ca="1" si="253"/>
        <v>0</v>
      </c>
      <c r="IK111" s="217"/>
      <c r="IL111" s="26">
        <f t="shared" ca="1" si="193"/>
        <v>6</v>
      </c>
      <c r="IN111" s="268">
        <f t="shared" si="194"/>
        <v>0</v>
      </c>
      <c r="IO111" s="151">
        <f t="shared" si="154"/>
        <v>0</v>
      </c>
      <c r="IP111" s="123">
        <f t="shared" si="254"/>
        <v>0</v>
      </c>
      <c r="IQ111" s="123">
        <f t="shared" si="255"/>
        <v>0</v>
      </c>
      <c r="IR111" s="123">
        <f t="shared" si="256"/>
        <v>0</v>
      </c>
      <c r="IS111" s="123">
        <f>IF(IX110&lt;0.01,0,IF(Adm!$GS$4=Adm!$GS$8,IX110*$IX$15,IF(Adm!$GS$12=Adm!$GS$13,0,IX110*Adm!$GV$4)))</f>
        <v>0</v>
      </c>
      <c r="IT111" s="123"/>
      <c r="IU111" s="123">
        <f t="shared" si="257"/>
        <v>0</v>
      </c>
      <c r="IV111" s="123">
        <f t="shared" si="258"/>
        <v>0</v>
      </c>
      <c r="IW111" s="123"/>
      <c r="IX111" s="297">
        <f t="shared" si="259"/>
        <v>0</v>
      </c>
      <c r="IY111" s="74"/>
      <c r="IZ111" s="416">
        <f t="shared" si="260"/>
        <v>0</v>
      </c>
      <c r="JB111" s="90">
        <f t="shared" si="261"/>
        <v>3</v>
      </c>
      <c r="JC111" s="124">
        <f>IF(JB111=1,Cal!$BP$127,0)</f>
        <v>0</v>
      </c>
      <c r="JD111" s="178">
        <f>IF(JB111=1,Adm!$HI$4,0)</f>
        <v>0</v>
      </c>
    </row>
    <row r="112" spans="1:264">
      <c r="A112" s="26">
        <f t="shared" ca="1" si="162"/>
        <v>7</v>
      </c>
      <c r="C112" s="33">
        <f t="shared" si="163"/>
        <v>0</v>
      </c>
      <c r="D112" s="123">
        <f t="shared" si="195"/>
        <v>0</v>
      </c>
      <c r="E112" s="123">
        <f t="shared" si="287"/>
        <v>0</v>
      </c>
      <c r="F112" s="123">
        <f t="shared" si="295"/>
        <v>0</v>
      </c>
      <c r="G112" s="123">
        <f>IF(L111&lt;0.01,0,IF(Adm!$S$4=Adm!$S$8,L111*$L$15,L111*Adm!$V$4))</f>
        <v>0</v>
      </c>
      <c r="H112" s="123">
        <f>IF(L111&lt;0.01,0,IF(Adm!$S$5=Adm!$S$8,Adm!$AA$11*$L$16/1.16,IF(Adm!$B$4=Adm!$A$119,0,Adm!$AA$11*Adm!$X$4/1.16)))</f>
        <v>0</v>
      </c>
      <c r="I112" s="123">
        <f>IF(L111&lt;0.01,0,Cal!$AB$126/1.16)</f>
        <v>0</v>
      </c>
      <c r="J112" s="123">
        <f t="shared" si="164"/>
        <v>0</v>
      </c>
      <c r="K112" s="123">
        <f>IF(Adm!$G$4="si",MIN(L111+D112+G112+H112+I112-J112,V112),0)</f>
        <v>0</v>
      </c>
      <c r="L112" s="123">
        <f t="shared" si="196"/>
        <v>0</v>
      </c>
      <c r="M112" s="74"/>
      <c r="N112" s="74"/>
      <c r="O112" s="407">
        <f t="shared" si="197"/>
        <v>0</v>
      </c>
      <c r="R112" s="90">
        <f t="shared" si="198"/>
        <v>4</v>
      </c>
      <c r="S112" s="121">
        <f>IF(R112=1,Cal!$AB$127,0)</f>
        <v>0</v>
      </c>
      <c r="U112" s="70">
        <f t="shared" si="262"/>
        <v>0</v>
      </c>
      <c r="V112" s="2178">
        <f t="shared" ca="1" si="199"/>
        <v>0</v>
      </c>
      <c r="X112" s="398"/>
      <c r="Z112" s="268">
        <f t="shared" si="165"/>
        <v>0</v>
      </c>
      <c r="AA112" s="2176">
        <f t="shared" si="200"/>
        <v>0</v>
      </c>
      <c r="AB112" s="33">
        <f t="shared" si="201"/>
        <v>0</v>
      </c>
      <c r="AC112" s="33">
        <f t="shared" si="202"/>
        <v>0</v>
      </c>
      <c r="AD112" s="33">
        <f>IF(AI111&lt;0.01,0,IF(Adm!$S$4=Adm!$S$8,AI111*$AI$15,AI111*Adm!$V$4))</f>
        <v>0</v>
      </c>
      <c r="AE112" s="33"/>
      <c r="AF112" s="33"/>
      <c r="AG112" s="33">
        <f t="shared" si="166"/>
        <v>0</v>
      </c>
      <c r="AH112" s="33"/>
      <c r="AI112" s="401">
        <f t="shared" si="167"/>
        <v>0</v>
      </c>
      <c r="AK112" s="410">
        <f t="shared" si="168"/>
        <v>0</v>
      </c>
      <c r="AN112" s="90">
        <f t="shared" si="203"/>
        <v>4</v>
      </c>
      <c r="AO112" s="121">
        <f>IF(AN112=1,Cal!$AC$127,0)</f>
        <v>0</v>
      </c>
      <c r="AS112" s="200"/>
      <c r="AU112" s="268">
        <f t="shared" si="169"/>
        <v>0</v>
      </c>
      <c r="AV112" s="2177">
        <f t="shared" si="204"/>
        <v>0</v>
      </c>
      <c r="AW112" s="123">
        <f t="shared" si="170"/>
        <v>0</v>
      </c>
      <c r="AX112" s="123">
        <f t="shared" si="205"/>
        <v>0</v>
      </c>
      <c r="AY112" s="123">
        <f>IF(BC111&lt;0.01,0,IF(Adm!$S$4=Adm!$S$8,BC111*$BC$16,BC111*Adm!$V$4))</f>
        <v>0</v>
      </c>
      <c r="AZ112" s="123"/>
      <c r="BA112" s="123">
        <f>IF(BC111&lt;0.01,0,Adm!$Q$6)</f>
        <v>0</v>
      </c>
      <c r="BB112" s="123">
        <f t="shared" si="171"/>
        <v>0</v>
      </c>
      <c r="BC112" s="297">
        <f t="shared" si="206"/>
        <v>0</v>
      </c>
      <c r="BE112" s="425">
        <f t="shared" si="172"/>
        <v>0</v>
      </c>
      <c r="BH112" s="90">
        <f t="shared" si="207"/>
        <v>4</v>
      </c>
      <c r="BI112" s="121">
        <f>IF(BH112=1,Cal!$AD$127,0)</f>
        <v>0</v>
      </c>
      <c r="BM112" s="221"/>
      <c r="BO112" s="295">
        <f t="shared" ca="1" si="173"/>
        <v>7</v>
      </c>
      <c r="BP112" s="268">
        <f t="shared" si="174"/>
        <v>0</v>
      </c>
      <c r="BQ112" s="123">
        <f t="shared" si="208"/>
        <v>0</v>
      </c>
      <c r="BR112" s="123">
        <f t="shared" si="288"/>
        <v>0</v>
      </c>
      <c r="BS112" s="123">
        <f t="shared" si="296"/>
        <v>0</v>
      </c>
      <c r="BT112" s="123">
        <f>IF(BZ111&lt;0.01,0,IF(Plus!$F$22=Plus!$AN$4,BZ111*$BZ$15,IF(Plus!$F$22=Plus!$AN$3,BZ111*Plus!$F$23/1000,BZ111*VLOOKUP(Plus!$G$21,Plus!$AP$2:'Plus'!$AQ$5,2,0))))</f>
        <v>0</v>
      </c>
      <c r="BU112" s="123">
        <f>IF(BZ111&lt;0.01,0,IF(Plus!$F$24=Plus!$AO$3,Plus!$G$13*Plus!$AR$2/1.16,IF(Plus!$F$10=Plus!$AK$7,0,Plus!$G$13*Plus!$AR$2/1.16)))</f>
        <v>0</v>
      </c>
      <c r="BV112" s="123">
        <f>IF(BZ111&lt;0.01,0,Plus!$BD$2)</f>
        <v>0</v>
      </c>
      <c r="BW112" s="123"/>
      <c r="BX112" s="123">
        <f t="shared" si="175"/>
        <v>0</v>
      </c>
      <c r="BY112" s="123">
        <f>IF(Plus!$F$10=Plus!$AK$3,MIN(BZ111+BQ112+BT112+BU112+BV112-BX112,CJ112),0)</f>
        <v>0</v>
      </c>
      <c r="BZ112" s="297">
        <f t="shared" si="280"/>
        <v>0</v>
      </c>
      <c r="CA112" s="74"/>
      <c r="CB112" s="74"/>
      <c r="CC112" s="413">
        <f t="shared" si="209"/>
        <v>0</v>
      </c>
      <c r="CF112" s="90">
        <f t="shared" si="210"/>
        <v>4</v>
      </c>
      <c r="CG112" s="121">
        <f t="shared" si="263"/>
        <v>0</v>
      </c>
      <c r="CI112" s="70">
        <f t="shared" si="264"/>
        <v>0</v>
      </c>
      <c r="CJ112" s="2178">
        <f t="shared" ca="1" si="211"/>
        <v>0</v>
      </c>
      <c r="CL112" s="161"/>
      <c r="CN112" s="308">
        <f t="shared" ca="1" si="176"/>
        <v>7</v>
      </c>
      <c r="CO112" s="309">
        <f t="shared" si="212"/>
        <v>0</v>
      </c>
      <c r="CP112" s="268">
        <f t="shared" si="177"/>
        <v>0</v>
      </c>
      <c r="CQ112" s="123">
        <f t="shared" si="213"/>
        <v>0</v>
      </c>
      <c r="CR112" s="123">
        <f t="shared" si="289"/>
        <v>0</v>
      </c>
      <c r="CS112" s="123">
        <f t="shared" si="290"/>
        <v>0</v>
      </c>
      <c r="CT112" s="33">
        <f>IF(CZ111&lt;0.01,0,IF(Plus!$F$22=Plus!$AN$4,0,IF(Plus!$F$22=Plus!$AN$3,CZ111*Plus!$F$23/1000,CZ111*VLOOKUP(Plus!$G$21,Plus!$AP$2:'Plus'!$AQ$5,2,0))))</f>
        <v>0</v>
      </c>
      <c r="CU112" s="123">
        <f>IF(CZ111&lt;0.01,0,IF(Plus!$F$24=Plus!$AO$3,0,IF(OR(Plus!$F$10=Plus!$AK$7,Plus!$F$10=Plus!$AK$13),0,Plus!$G$13*Plus!$AR$2)))</f>
        <v>0</v>
      </c>
      <c r="CV112" s="123">
        <f>IF(CZ111&lt;0.01,0,IF(OR(Plus!$F$10=Plus!$AK$7,Plus!$F$10=Plus!$AK$13),0,Plus!$BD$2*1.16))</f>
        <v>0</v>
      </c>
      <c r="CW112" s="123">
        <f>IF(CZ111&lt;0.01,0,IF(Plus!$AS$2&gt;0,CQ112*Plus!$AS$3,0))</f>
        <v>0</v>
      </c>
      <c r="CX112" s="123">
        <f t="shared" si="214"/>
        <v>0</v>
      </c>
      <c r="CY112" s="123">
        <f>IF(Plus!$F$10=Plus!$AK$3,MIN(CZ111+CQ112+CT112+CU112+CV112-CX112,DK112),0)</f>
        <v>0</v>
      </c>
      <c r="CZ112" s="297">
        <f t="shared" si="294"/>
        <v>0</v>
      </c>
      <c r="DA112" s="306">
        <f>Plus!O153</f>
        <v>0</v>
      </c>
      <c r="DB112" s="74"/>
      <c r="DC112" s="74"/>
      <c r="DD112" s="407">
        <f t="shared" si="215"/>
        <v>0</v>
      </c>
      <c r="DG112" s="90">
        <f t="shared" si="216"/>
        <v>4</v>
      </c>
      <c r="DH112" s="121">
        <f t="shared" si="265"/>
        <v>0</v>
      </c>
      <c r="DJ112" s="149">
        <f t="shared" si="266"/>
        <v>0</v>
      </c>
      <c r="DK112" s="2179">
        <f t="shared" ca="1" si="217"/>
        <v>0</v>
      </c>
      <c r="DN112" s="120">
        <f t="shared" si="267"/>
        <v>0</v>
      </c>
      <c r="DO112" s="110">
        <f t="shared" si="218"/>
        <v>0</v>
      </c>
      <c r="DP112" s="110">
        <f t="shared" si="276"/>
        <v>0</v>
      </c>
      <c r="DQ112" s="109">
        <f t="shared" si="219"/>
        <v>0</v>
      </c>
      <c r="DR112" s="109">
        <f t="shared" si="220"/>
        <v>0</v>
      </c>
      <c r="DS112" s="113">
        <f t="shared" si="221"/>
        <v>0</v>
      </c>
      <c r="DU112" s="102">
        <f t="shared" si="222"/>
        <v>0</v>
      </c>
      <c r="DV112" s="211">
        <f t="shared" si="277"/>
        <v>88</v>
      </c>
      <c r="DW112" s="212">
        <f t="shared" si="223"/>
        <v>0</v>
      </c>
      <c r="DX112" s="212">
        <f t="shared" si="178"/>
        <v>0</v>
      </c>
      <c r="DY112" s="212">
        <f t="shared" si="268"/>
        <v>0</v>
      </c>
      <c r="DZ112" s="213">
        <f t="shared" si="179"/>
        <v>1000000</v>
      </c>
      <c r="ED112" s="182"/>
      <c r="EF112" s="308">
        <f t="shared" ca="1" si="180"/>
        <v>7</v>
      </c>
      <c r="EG112" s="309">
        <f t="shared" si="224"/>
        <v>0</v>
      </c>
      <c r="EH112" s="268">
        <f t="shared" si="181"/>
        <v>0</v>
      </c>
      <c r="EI112" s="33">
        <f t="shared" si="225"/>
        <v>0</v>
      </c>
      <c r="EJ112" s="33">
        <f t="shared" si="291"/>
        <v>0</v>
      </c>
      <c r="EK112" s="33">
        <f t="shared" si="297"/>
        <v>0</v>
      </c>
      <c r="EL112" s="33">
        <f>IF(ER111&lt;0.01,0,IF(Plus!$F$22=Plus!$AN$4,0,IF(Plus!$F$22=Plus!$AN$3,ER111*Plus!$F$23/1000,ER111*VLOOKUP(Plus!$G$21,Plus!$AP$2:'Plus'!$AQ$5,2,0))))</f>
        <v>0</v>
      </c>
      <c r="EM112" s="33">
        <f>IF(ER111&lt;0.01,0,IF(Plus!$F$24=Plus!$AO$3,0,IF(OR(Plus!$F$10=Plus!$AK$7,Plus!$F$10=Plus!$AK$13),0,Plus!$G$13*Plus!$AR$2)))</f>
        <v>0</v>
      </c>
      <c r="EN112" s="33">
        <f>IF(ER111&lt;0.01,0,IF(OR(Plus!$F$10=Plus!$AK$7,Plus!$F$10=Plus!$AK$13),0,Plus!$BD$2*1.16))</f>
        <v>0</v>
      </c>
      <c r="EO112" s="33">
        <f>IF(ER111&lt;0.01,0,IF(Plus!$AS$2&gt;0,EI112*Plus!$AS$3,0))</f>
        <v>0</v>
      </c>
      <c r="EP112" s="33">
        <f t="shared" si="226"/>
        <v>0</v>
      </c>
      <c r="EQ112" s="33">
        <f>IF(Plus!$F$10=Plus!$AK$3,MIN(ER111+EI112+EL112+EM112+EN112-EP112,FC112),0)</f>
        <v>0</v>
      </c>
      <c r="ER112" s="311">
        <f t="shared" si="285"/>
        <v>0</v>
      </c>
      <c r="ES112" s="340">
        <f>Plus!O153</f>
        <v>0</v>
      </c>
      <c r="ET112" s="74"/>
      <c r="EU112" s="74"/>
      <c r="EV112" s="416">
        <f t="shared" si="281"/>
        <v>0</v>
      </c>
      <c r="EY112" s="90">
        <f t="shared" si="227"/>
        <v>4</v>
      </c>
      <c r="EZ112" s="121">
        <f t="shared" si="269"/>
        <v>0</v>
      </c>
      <c r="FB112" s="149">
        <f t="shared" si="270"/>
        <v>0</v>
      </c>
      <c r="FC112" s="2179">
        <f t="shared" ca="1" si="228"/>
        <v>0</v>
      </c>
      <c r="FE112" s="120">
        <f t="shared" si="271"/>
        <v>0</v>
      </c>
      <c r="FF112" s="110">
        <f t="shared" si="229"/>
        <v>0</v>
      </c>
      <c r="FG112" s="110">
        <f t="shared" si="230"/>
        <v>0</v>
      </c>
      <c r="FH112" s="109">
        <f t="shared" si="231"/>
        <v>0</v>
      </c>
      <c r="FI112" s="109">
        <f t="shared" si="182"/>
        <v>0</v>
      </c>
      <c r="FJ112" s="113">
        <f t="shared" si="232"/>
        <v>0</v>
      </c>
      <c r="FL112" s="102">
        <f t="shared" si="233"/>
        <v>0</v>
      </c>
      <c r="FM112" s="211">
        <f t="shared" si="278"/>
        <v>88</v>
      </c>
      <c r="FN112" s="212">
        <f t="shared" si="234"/>
        <v>0</v>
      </c>
      <c r="FO112" s="212">
        <f t="shared" si="183"/>
        <v>0</v>
      </c>
      <c r="FP112" s="212">
        <f t="shared" si="298"/>
        <v>0</v>
      </c>
      <c r="FQ112" s="213">
        <f t="shared" si="184"/>
        <v>1000000</v>
      </c>
      <c r="FV112" s="359"/>
      <c r="FX112" s="308">
        <f t="shared" ca="1" si="185"/>
        <v>7</v>
      </c>
      <c r="FY112" s="309">
        <f t="shared" si="235"/>
        <v>0</v>
      </c>
      <c r="FZ112" s="268">
        <f t="shared" si="186"/>
        <v>0</v>
      </c>
      <c r="GA112" s="33">
        <f t="shared" si="236"/>
        <v>0</v>
      </c>
      <c r="GB112" s="33">
        <f t="shared" si="292"/>
        <v>0</v>
      </c>
      <c r="GC112" s="33">
        <f t="shared" si="293"/>
        <v>0</v>
      </c>
      <c r="GD112" s="33">
        <f>IF(GJ111&lt;0.01,0,IF(Plus!$F$22=Plus!$AN$4,0,IF(Plus!$F$22=Plus!$AN$3,GJ111*Plus!$F$23/1000,GJ111*VLOOKUP(Plus!$G$21,Plus!$AP$2:$AQ$5,2,0))))</f>
        <v>0</v>
      </c>
      <c r="GE112" s="33">
        <f>IF(GJ111&lt;0.01,0,IF(Plus!$F$24=Plus!$AO$3,0,IF(OR(Plus!$F$10=Plus!$AK$7,Plus!$F$10=Plus!$AK$13,Plus!$F$10=Plus!$AK$14),0,IF(OR(Plus!$F$10=Plus!$AK$10,Plus!$F$10=Plus!$AK$11),Plus!$G$13*Adm!$W$7,Plus!$G$13*Adm!$X$4))))</f>
        <v>0</v>
      </c>
      <c r="GF112" s="33">
        <f>IF(GJ111&lt;0.01,0,IF(OR(Plus!$F$10=Plus!$AK$7,Plus!$F$10=Plus!$AK$13),0,Plus!$BD$2*1.16))</f>
        <v>0</v>
      </c>
      <c r="GG112" s="33">
        <f>IF(GJ111&lt;0.01,0,IF(Plus!$AS$2&gt;0,GA112*Plus!$AS$3,0))</f>
        <v>0</v>
      </c>
      <c r="GH112" s="33">
        <f t="shared" si="237"/>
        <v>0</v>
      </c>
      <c r="GI112" s="33">
        <f>IF(Plus!$F$10=Plus!$AK$3,MIN(GJ111+GA112+GD112+GE112+GF112-GH112,GU112),0)</f>
        <v>0</v>
      </c>
      <c r="GJ112" s="311">
        <f t="shared" si="286"/>
        <v>0</v>
      </c>
      <c r="GK112" s="340">
        <f>Plus!O153</f>
        <v>0</v>
      </c>
      <c r="GL112" s="74"/>
      <c r="GM112" s="74"/>
      <c r="GN112" s="419">
        <f t="shared" si="283"/>
        <v>0</v>
      </c>
      <c r="GQ112" s="90">
        <f t="shared" si="238"/>
        <v>4</v>
      </c>
      <c r="GR112" s="121">
        <f t="shared" si="272"/>
        <v>0</v>
      </c>
      <c r="GT112" s="149">
        <f t="shared" si="273"/>
        <v>0</v>
      </c>
      <c r="GU112" s="2179">
        <f t="shared" ca="1" si="239"/>
        <v>0</v>
      </c>
      <c r="GW112" s="120">
        <f t="shared" si="274"/>
        <v>0</v>
      </c>
      <c r="GX112" s="110">
        <f t="shared" si="240"/>
        <v>0</v>
      </c>
      <c r="GY112" s="110">
        <f t="shared" si="241"/>
        <v>0</v>
      </c>
      <c r="GZ112" s="109">
        <f t="shared" si="242"/>
        <v>0</v>
      </c>
      <c r="HA112" s="109">
        <f t="shared" si="187"/>
        <v>0</v>
      </c>
      <c r="HB112" s="113">
        <f t="shared" si="243"/>
        <v>0</v>
      </c>
      <c r="HD112" s="102">
        <f t="shared" si="244"/>
        <v>0</v>
      </c>
      <c r="HE112" s="211">
        <f t="shared" si="279"/>
        <v>88</v>
      </c>
      <c r="HF112" s="212">
        <f t="shared" si="245"/>
        <v>0</v>
      </c>
      <c r="HG112" s="212">
        <f t="shared" si="188"/>
        <v>0</v>
      </c>
      <c r="HH112" s="212">
        <f t="shared" si="299"/>
        <v>0</v>
      </c>
      <c r="HI112" s="213">
        <f t="shared" si="189"/>
        <v>1000000</v>
      </c>
      <c r="HL112" s="182"/>
      <c r="HM112" s="26">
        <f t="shared" ca="1" si="190"/>
        <v>7</v>
      </c>
      <c r="HO112" s="268">
        <f t="shared" si="191"/>
        <v>0</v>
      </c>
      <c r="HP112" s="151">
        <f t="shared" si="157"/>
        <v>0</v>
      </c>
      <c r="HQ112" s="123">
        <f t="shared" si="246"/>
        <v>0</v>
      </c>
      <c r="HR112" s="123">
        <f t="shared" si="247"/>
        <v>0</v>
      </c>
      <c r="HS112" s="123">
        <f t="shared" si="248"/>
        <v>0</v>
      </c>
      <c r="HT112" s="123">
        <f>IF(HY111&lt;0.01,0,IF(Adm!$GS$4=Adm!$GS$8,HY111*$HY$15,IF(Adm!$GS$12=Adm!$GS$13,0,HY111*Adm!$GV$4)))</f>
        <v>0</v>
      </c>
      <c r="HU112" s="123">
        <f>IF(HY111&lt;0.01,0,IF(Adm!$GS$5=Adm!$GS$8,Cal!$BO$108*$HY$16/1.16,IF(Adm!$GS$12=Adm!$GS$13,0,Cal!$BO$108*Adm!$GW$4/1.16)))</f>
        <v>0</v>
      </c>
      <c r="HV112" s="123">
        <f t="shared" si="249"/>
        <v>0</v>
      </c>
      <c r="HW112" s="123">
        <f t="shared" si="192"/>
        <v>0</v>
      </c>
      <c r="HX112" s="123">
        <f>IF(Adm!$GH$6="si",MIN(HY111+HQ112+HT112+HU112+HV112-HW112,IH112),0)</f>
        <v>0</v>
      </c>
      <c r="HY112" s="297">
        <f t="shared" si="250"/>
        <v>0</v>
      </c>
      <c r="HZ112" s="74"/>
      <c r="IA112" s="407">
        <f t="shared" si="251"/>
        <v>0</v>
      </c>
      <c r="IC112" s="90">
        <f t="shared" si="252"/>
        <v>4</v>
      </c>
      <c r="ID112" s="124">
        <f>IF(IC112=1,Cal!$BO$127,0)</f>
        <v>0</v>
      </c>
      <c r="IE112" s="178">
        <f>IF(IC112=1,Adm!$HI$4,0)</f>
        <v>0</v>
      </c>
      <c r="IG112" s="70">
        <f t="shared" si="275"/>
        <v>0</v>
      </c>
      <c r="IH112" s="2178">
        <f t="shared" ca="1" si="253"/>
        <v>0</v>
      </c>
      <c r="IK112" s="217"/>
      <c r="IL112" s="26">
        <f t="shared" ca="1" si="193"/>
        <v>7</v>
      </c>
      <c r="IN112" s="268">
        <f t="shared" si="194"/>
        <v>0</v>
      </c>
      <c r="IO112" s="151">
        <f t="shared" si="154"/>
        <v>0</v>
      </c>
      <c r="IP112" s="123">
        <f t="shared" si="254"/>
        <v>0</v>
      </c>
      <c r="IQ112" s="123">
        <f t="shared" si="255"/>
        <v>0</v>
      </c>
      <c r="IR112" s="123">
        <f t="shared" si="256"/>
        <v>0</v>
      </c>
      <c r="IS112" s="123">
        <f>IF(IX111&lt;0.01,0,IF(Adm!$GS$4=Adm!$GS$8,IX111*$IX$15,IF(Adm!$GS$12=Adm!$GS$13,0,IX111*Adm!$GV$4)))</f>
        <v>0</v>
      </c>
      <c r="IT112" s="123"/>
      <c r="IU112" s="123">
        <f t="shared" si="257"/>
        <v>0</v>
      </c>
      <c r="IV112" s="123">
        <f t="shared" si="258"/>
        <v>0</v>
      </c>
      <c r="IW112" s="123"/>
      <c r="IX112" s="297">
        <f t="shared" si="259"/>
        <v>0</v>
      </c>
      <c r="IY112" s="74"/>
      <c r="IZ112" s="416">
        <f t="shared" si="260"/>
        <v>0</v>
      </c>
      <c r="JB112" s="90">
        <f t="shared" si="261"/>
        <v>4</v>
      </c>
      <c r="JC112" s="124">
        <f>IF(JB112=1,Cal!$BP$127,0)</f>
        <v>0</v>
      </c>
      <c r="JD112" s="178">
        <f>IF(JB112=1,Adm!$HI$4,0)</f>
        <v>0</v>
      </c>
    </row>
    <row r="113" spans="1:264">
      <c r="A113" s="26">
        <f t="shared" ca="1" si="162"/>
        <v>8</v>
      </c>
      <c r="C113" s="33">
        <f t="shared" si="163"/>
        <v>0</v>
      </c>
      <c r="D113" s="123">
        <f t="shared" si="195"/>
        <v>0</v>
      </c>
      <c r="E113" s="123">
        <f t="shared" si="287"/>
        <v>0</v>
      </c>
      <c r="F113" s="123">
        <f t="shared" si="295"/>
        <v>0</v>
      </c>
      <c r="G113" s="123">
        <f>IF(L112&lt;0.01,0,IF(Adm!$S$4=Adm!$S$8,L112*$L$15,L112*Adm!$V$4))</f>
        <v>0</v>
      </c>
      <c r="H113" s="123">
        <f>IF(L112&lt;0.01,0,IF(Adm!$S$5=Adm!$S$8,Adm!$AA$11*$L$16/1.16,IF(Adm!$B$4=Adm!$A$119,0,Adm!$AA$11*Adm!$X$4/1.16)))</f>
        <v>0</v>
      </c>
      <c r="I113" s="123">
        <f>IF(L112&lt;0.01,0,Cal!$AB$126/1.16)</f>
        <v>0</v>
      </c>
      <c r="J113" s="123">
        <f t="shared" si="164"/>
        <v>0</v>
      </c>
      <c r="K113" s="123">
        <f>IF(Adm!$G$4="si",MIN(L112+D113+G113+H113+I113-J113,V113),0)</f>
        <v>0</v>
      </c>
      <c r="L113" s="123">
        <f t="shared" si="196"/>
        <v>0</v>
      </c>
      <c r="M113" s="74"/>
      <c r="N113" s="74"/>
      <c r="O113" s="407">
        <f t="shared" si="197"/>
        <v>0</v>
      </c>
      <c r="R113" s="90">
        <f t="shared" si="198"/>
        <v>5</v>
      </c>
      <c r="S113" s="121">
        <f>IF(R113=1,Cal!$AB$127,0)</f>
        <v>0</v>
      </c>
      <c r="U113" s="70">
        <f t="shared" si="262"/>
        <v>0</v>
      </c>
      <c r="V113" s="2178">
        <f t="shared" ca="1" si="199"/>
        <v>0</v>
      </c>
      <c r="X113" s="398"/>
      <c r="Z113" s="268">
        <f t="shared" si="165"/>
        <v>0</v>
      </c>
      <c r="AA113" s="2176">
        <f t="shared" si="200"/>
        <v>0</v>
      </c>
      <c r="AB113" s="33">
        <f t="shared" si="201"/>
        <v>0</v>
      </c>
      <c r="AC113" s="33">
        <f t="shared" si="202"/>
        <v>0</v>
      </c>
      <c r="AD113" s="33">
        <f>IF(AI112&lt;0.01,0,IF(Adm!$S$4=Adm!$S$8,AI112*$AI$15,AI112*Adm!$V$4))</f>
        <v>0</v>
      </c>
      <c r="AE113" s="33"/>
      <c r="AF113" s="33"/>
      <c r="AG113" s="33">
        <f t="shared" si="166"/>
        <v>0</v>
      </c>
      <c r="AH113" s="33"/>
      <c r="AI113" s="401">
        <f t="shared" si="167"/>
        <v>0</v>
      </c>
      <c r="AK113" s="410">
        <f t="shared" si="168"/>
        <v>0</v>
      </c>
      <c r="AN113" s="90">
        <f t="shared" si="203"/>
        <v>5</v>
      </c>
      <c r="AO113" s="121">
        <f>IF(AN113=1,Cal!$AC$127,0)</f>
        <v>0</v>
      </c>
      <c r="AS113" s="200"/>
      <c r="AU113" s="268">
        <f t="shared" si="169"/>
        <v>0</v>
      </c>
      <c r="AV113" s="2177">
        <f t="shared" si="204"/>
        <v>0</v>
      </c>
      <c r="AW113" s="123">
        <f t="shared" si="170"/>
        <v>0</v>
      </c>
      <c r="AX113" s="123">
        <f t="shared" si="205"/>
        <v>0</v>
      </c>
      <c r="AY113" s="123">
        <f>IF(BC112&lt;0.01,0,IF(Adm!$S$4=Adm!$S$8,BC112*$BC$16,BC112*Adm!$V$4))</f>
        <v>0</v>
      </c>
      <c r="AZ113" s="123"/>
      <c r="BA113" s="123">
        <f>IF(BC112&lt;0.01,0,Adm!$Q$6)</f>
        <v>0</v>
      </c>
      <c r="BB113" s="123">
        <f t="shared" si="171"/>
        <v>0</v>
      </c>
      <c r="BC113" s="297">
        <f t="shared" si="206"/>
        <v>0</v>
      </c>
      <c r="BE113" s="425">
        <f t="shared" si="172"/>
        <v>0</v>
      </c>
      <c r="BH113" s="90">
        <f t="shared" si="207"/>
        <v>5</v>
      </c>
      <c r="BI113" s="121">
        <f>IF(BH113=1,Cal!$AD$127,0)</f>
        <v>0</v>
      </c>
      <c r="BM113" s="221"/>
      <c r="BO113" s="295">
        <f t="shared" ca="1" si="173"/>
        <v>8</v>
      </c>
      <c r="BP113" s="268">
        <f t="shared" si="174"/>
        <v>0</v>
      </c>
      <c r="BQ113" s="123">
        <f t="shared" si="208"/>
        <v>0</v>
      </c>
      <c r="BR113" s="123">
        <f t="shared" si="288"/>
        <v>0</v>
      </c>
      <c r="BS113" s="123">
        <f t="shared" si="296"/>
        <v>0</v>
      </c>
      <c r="BT113" s="123">
        <f>IF(BZ112&lt;0.01,0,IF(Plus!$F$22=Plus!$AN$4,BZ112*$BZ$15,IF(Plus!$F$22=Plus!$AN$3,BZ112*Plus!$F$23/1000,BZ112*VLOOKUP(Plus!$G$21,Plus!$AP$2:'Plus'!$AQ$5,2,0))))</f>
        <v>0</v>
      </c>
      <c r="BU113" s="123">
        <f>IF(BZ112&lt;0.01,0,IF(Plus!$F$24=Plus!$AO$3,Plus!$G$13*Plus!$AR$2/1.16,IF(Plus!$F$10=Plus!$AK$7,0,Plus!$G$13*Plus!$AR$2/1.16)))</f>
        <v>0</v>
      </c>
      <c r="BV113" s="123">
        <f>IF(BZ112&lt;0.01,0,Plus!$BD$2)</f>
        <v>0</v>
      </c>
      <c r="BW113" s="123"/>
      <c r="BX113" s="123">
        <f t="shared" si="175"/>
        <v>0</v>
      </c>
      <c r="BY113" s="123">
        <f>IF(Plus!$F$10=Plus!$AK$3,MIN(BZ112+BQ113+BT113+BU113+BV113-BX113,CJ113),0)</f>
        <v>0</v>
      </c>
      <c r="BZ113" s="297">
        <f t="shared" si="280"/>
        <v>0</v>
      </c>
      <c r="CA113" s="74"/>
      <c r="CB113" s="74"/>
      <c r="CC113" s="413">
        <f t="shared" si="209"/>
        <v>0</v>
      </c>
      <c r="CF113" s="90">
        <f t="shared" si="210"/>
        <v>5</v>
      </c>
      <c r="CG113" s="121">
        <f t="shared" si="263"/>
        <v>0</v>
      </c>
      <c r="CI113" s="70">
        <f t="shared" si="264"/>
        <v>0</v>
      </c>
      <c r="CJ113" s="2178">
        <f t="shared" ca="1" si="211"/>
        <v>0</v>
      </c>
      <c r="CL113" s="161"/>
      <c r="CN113" s="308">
        <f t="shared" ca="1" si="176"/>
        <v>8</v>
      </c>
      <c r="CO113" s="309">
        <f t="shared" si="212"/>
        <v>0</v>
      </c>
      <c r="CP113" s="268">
        <f t="shared" si="177"/>
        <v>0</v>
      </c>
      <c r="CQ113" s="123">
        <f t="shared" si="213"/>
        <v>0</v>
      </c>
      <c r="CR113" s="123">
        <f t="shared" si="289"/>
        <v>0</v>
      </c>
      <c r="CS113" s="123">
        <f t="shared" si="290"/>
        <v>0</v>
      </c>
      <c r="CT113" s="33">
        <f>IF(CZ112&lt;0.01,0,IF(Plus!$F$22=Plus!$AN$4,0,IF(Plus!$F$22=Plus!$AN$3,CZ112*Plus!$F$23/1000,CZ112*VLOOKUP(Plus!$G$21,Plus!$AP$2:'Plus'!$AQ$5,2,0))))</f>
        <v>0</v>
      </c>
      <c r="CU113" s="123">
        <f>IF(CZ112&lt;0.01,0,IF(Plus!$F$24=Plus!$AO$3,0,IF(OR(Plus!$F$10=Plus!$AK$7,Plus!$F$10=Plus!$AK$13),0,Plus!$G$13*Plus!$AR$2)))</f>
        <v>0</v>
      </c>
      <c r="CV113" s="123">
        <f>IF(CZ112&lt;0.01,0,IF(OR(Plus!$F$10=Plus!$AK$7,Plus!$F$10=Plus!$AK$13),0,Plus!$BD$2*1.16))</f>
        <v>0</v>
      </c>
      <c r="CW113" s="123">
        <f>IF(CZ112&lt;0.01,0,IF(Plus!$AS$2&gt;0,CQ113*Plus!$AS$3,0))</f>
        <v>0</v>
      </c>
      <c r="CX113" s="123">
        <f t="shared" si="214"/>
        <v>0</v>
      </c>
      <c r="CY113" s="123">
        <f>IF(Plus!$F$10=Plus!$AK$3,MIN(CZ112+CQ113+CT113+CU113+CV113-CX113,DK113),0)</f>
        <v>0</v>
      </c>
      <c r="CZ113" s="297">
        <f t="shared" si="294"/>
        <v>0</v>
      </c>
      <c r="DA113" s="306">
        <f>Plus!O154</f>
        <v>0</v>
      </c>
      <c r="DB113" s="74"/>
      <c r="DC113" s="74"/>
      <c r="DD113" s="407">
        <f t="shared" si="215"/>
        <v>0</v>
      </c>
      <c r="DG113" s="90">
        <f t="shared" si="216"/>
        <v>5</v>
      </c>
      <c r="DH113" s="121">
        <f t="shared" si="265"/>
        <v>0</v>
      </c>
      <c r="DJ113" s="149">
        <f t="shared" si="266"/>
        <v>0</v>
      </c>
      <c r="DK113" s="2179">
        <f t="shared" ca="1" si="217"/>
        <v>0</v>
      </c>
      <c r="DN113" s="120">
        <f t="shared" si="267"/>
        <v>0</v>
      </c>
      <c r="DO113" s="110">
        <f t="shared" si="218"/>
        <v>0</v>
      </c>
      <c r="DP113" s="110">
        <f t="shared" si="276"/>
        <v>0</v>
      </c>
      <c r="DQ113" s="109">
        <f t="shared" si="219"/>
        <v>0</v>
      </c>
      <c r="DR113" s="109">
        <f t="shared" si="220"/>
        <v>0</v>
      </c>
      <c r="DS113" s="113">
        <f t="shared" si="221"/>
        <v>0</v>
      </c>
      <c r="DU113" s="102">
        <f t="shared" si="222"/>
        <v>0</v>
      </c>
      <c r="DV113" s="211">
        <f t="shared" si="277"/>
        <v>89</v>
      </c>
      <c r="DW113" s="212">
        <f t="shared" si="223"/>
        <v>0</v>
      </c>
      <c r="DX113" s="212">
        <f t="shared" si="178"/>
        <v>0</v>
      </c>
      <c r="DY113" s="212">
        <f t="shared" si="268"/>
        <v>0</v>
      </c>
      <c r="DZ113" s="213">
        <f t="shared" si="179"/>
        <v>1000000</v>
      </c>
      <c r="ED113" s="182"/>
      <c r="EF113" s="308">
        <f t="shared" ca="1" si="180"/>
        <v>8</v>
      </c>
      <c r="EG113" s="309">
        <f t="shared" si="224"/>
        <v>0</v>
      </c>
      <c r="EH113" s="268">
        <f t="shared" si="181"/>
        <v>0</v>
      </c>
      <c r="EI113" s="33">
        <f t="shared" si="225"/>
        <v>0</v>
      </c>
      <c r="EJ113" s="33">
        <f t="shared" si="291"/>
        <v>0</v>
      </c>
      <c r="EK113" s="33">
        <f t="shared" si="297"/>
        <v>0</v>
      </c>
      <c r="EL113" s="33">
        <f>IF(ER112&lt;0.01,0,IF(Plus!$F$22=Plus!$AN$4,0,IF(Plus!$F$22=Plus!$AN$3,ER112*Plus!$F$23/1000,ER112*VLOOKUP(Plus!$G$21,Plus!$AP$2:'Plus'!$AQ$5,2,0))))</f>
        <v>0</v>
      </c>
      <c r="EM113" s="33">
        <f>IF(ER112&lt;0.01,0,IF(Plus!$F$24=Plus!$AO$3,0,IF(OR(Plus!$F$10=Plus!$AK$7,Plus!$F$10=Plus!$AK$13),0,Plus!$G$13*Plus!$AR$2)))</f>
        <v>0</v>
      </c>
      <c r="EN113" s="33">
        <f>IF(ER112&lt;0.01,0,IF(OR(Plus!$F$10=Plus!$AK$7,Plus!$F$10=Plus!$AK$13),0,Plus!$BD$2*1.16))</f>
        <v>0</v>
      </c>
      <c r="EO113" s="33">
        <f>IF(ER112&lt;0.01,0,IF(Plus!$AS$2&gt;0,EI113*Plus!$AS$3,0))</f>
        <v>0</v>
      </c>
      <c r="EP113" s="33">
        <f t="shared" si="226"/>
        <v>0</v>
      </c>
      <c r="EQ113" s="33">
        <f>IF(Plus!$F$10=Plus!$AK$3,MIN(ER112+EI113+EL113+EM113+EN113-EP113,FC113),0)</f>
        <v>0</v>
      </c>
      <c r="ER113" s="311">
        <f t="shared" si="285"/>
        <v>0</v>
      </c>
      <c r="ES113" s="340">
        <f>Plus!O154</f>
        <v>0</v>
      </c>
      <c r="ET113" s="74"/>
      <c r="EU113" s="74"/>
      <c r="EV113" s="416">
        <f t="shared" si="281"/>
        <v>0</v>
      </c>
      <c r="EY113" s="90">
        <f t="shared" si="227"/>
        <v>5</v>
      </c>
      <c r="EZ113" s="121">
        <f t="shared" si="269"/>
        <v>0</v>
      </c>
      <c r="FB113" s="149">
        <f t="shared" si="270"/>
        <v>0</v>
      </c>
      <c r="FC113" s="2179">
        <f t="shared" ca="1" si="228"/>
        <v>0</v>
      </c>
      <c r="FE113" s="120">
        <f t="shared" si="271"/>
        <v>0</v>
      </c>
      <c r="FF113" s="110">
        <f t="shared" si="229"/>
        <v>0</v>
      </c>
      <c r="FG113" s="110">
        <f t="shared" si="230"/>
        <v>0</v>
      </c>
      <c r="FH113" s="109">
        <f t="shared" si="231"/>
        <v>0</v>
      </c>
      <c r="FI113" s="109">
        <f t="shared" si="182"/>
        <v>0</v>
      </c>
      <c r="FJ113" s="113">
        <f t="shared" si="232"/>
        <v>0</v>
      </c>
      <c r="FL113" s="102">
        <f t="shared" si="233"/>
        <v>0</v>
      </c>
      <c r="FM113" s="211">
        <f t="shared" si="278"/>
        <v>89</v>
      </c>
      <c r="FN113" s="212">
        <f t="shared" si="234"/>
        <v>0</v>
      </c>
      <c r="FO113" s="212">
        <f t="shared" si="183"/>
        <v>0</v>
      </c>
      <c r="FP113" s="212">
        <f t="shared" si="298"/>
        <v>0</v>
      </c>
      <c r="FQ113" s="213">
        <f t="shared" si="184"/>
        <v>1000000</v>
      </c>
      <c r="FV113" s="359"/>
      <c r="FX113" s="308">
        <f t="shared" ca="1" si="185"/>
        <v>8</v>
      </c>
      <c r="FY113" s="309">
        <f t="shared" si="235"/>
        <v>0</v>
      </c>
      <c r="FZ113" s="268">
        <f t="shared" si="186"/>
        <v>0</v>
      </c>
      <c r="GA113" s="33">
        <f t="shared" si="236"/>
        <v>0</v>
      </c>
      <c r="GB113" s="33">
        <f t="shared" si="292"/>
        <v>0</v>
      </c>
      <c r="GC113" s="33">
        <f t="shared" si="293"/>
        <v>0</v>
      </c>
      <c r="GD113" s="33">
        <f>IF(GJ112&lt;0.01,0,IF(Plus!$F$22=Plus!$AN$4,0,IF(Plus!$F$22=Plus!$AN$3,GJ112*Plus!$F$23/1000,GJ112*VLOOKUP(Plus!$G$21,Plus!$AP$2:$AQ$5,2,0))))</f>
        <v>0</v>
      </c>
      <c r="GE113" s="33">
        <f>IF(GJ112&lt;0.01,0,IF(Plus!$F$24=Plus!$AO$3,0,IF(OR(Plus!$F$10=Plus!$AK$7,Plus!$F$10=Plus!$AK$13,Plus!$F$10=Plus!$AK$14),0,IF(OR(Plus!$F$10=Plus!$AK$10,Plus!$F$10=Plus!$AK$11),Plus!$G$13*Adm!$W$7,Plus!$G$13*Adm!$X$4))))</f>
        <v>0</v>
      </c>
      <c r="GF113" s="33">
        <f>IF(GJ112&lt;0.01,0,IF(OR(Plus!$F$10=Plus!$AK$7,Plus!$F$10=Plus!$AK$13),0,Plus!$BD$2*1.16))</f>
        <v>0</v>
      </c>
      <c r="GG113" s="33">
        <f>IF(GJ112&lt;0.01,0,IF(Plus!$AS$2&gt;0,GA113*Plus!$AS$3,0))</f>
        <v>0</v>
      </c>
      <c r="GH113" s="33">
        <f t="shared" si="237"/>
        <v>0</v>
      </c>
      <c r="GI113" s="33">
        <f>IF(Plus!$F$10=Plus!$AK$3,MIN(GJ112+GA113+GD113+GE113+GF113-GH113,GU113),0)</f>
        <v>0</v>
      </c>
      <c r="GJ113" s="311">
        <f t="shared" si="286"/>
        <v>0</v>
      </c>
      <c r="GK113" s="340">
        <f>Plus!O154</f>
        <v>0</v>
      </c>
      <c r="GL113" s="74"/>
      <c r="GM113" s="74"/>
      <c r="GN113" s="419">
        <f t="shared" si="283"/>
        <v>0</v>
      </c>
      <c r="GQ113" s="90">
        <f t="shared" si="238"/>
        <v>5</v>
      </c>
      <c r="GR113" s="121">
        <f t="shared" si="272"/>
        <v>0</v>
      </c>
      <c r="GT113" s="149">
        <f t="shared" si="273"/>
        <v>0</v>
      </c>
      <c r="GU113" s="2179">
        <f t="shared" ca="1" si="239"/>
        <v>0</v>
      </c>
      <c r="GW113" s="120">
        <f t="shared" si="274"/>
        <v>0</v>
      </c>
      <c r="GX113" s="110">
        <f t="shared" si="240"/>
        <v>0</v>
      </c>
      <c r="GY113" s="110">
        <f t="shared" si="241"/>
        <v>0</v>
      </c>
      <c r="GZ113" s="109">
        <f t="shared" si="242"/>
        <v>0</v>
      </c>
      <c r="HA113" s="109">
        <f t="shared" si="187"/>
        <v>0</v>
      </c>
      <c r="HB113" s="113">
        <f t="shared" si="243"/>
        <v>0</v>
      </c>
      <c r="HD113" s="102">
        <f t="shared" si="244"/>
        <v>0</v>
      </c>
      <c r="HE113" s="211">
        <f t="shared" si="279"/>
        <v>89</v>
      </c>
      <c r="HF113" s="212">
        <f t="shared" si="245"/>
        <v>0</v>
      </c>
      <c r="HG113" s="212">
        <f t="shared" si="188"/>
        <v>0</v>
      </c>
      <c r="HH113" s="212">
        <f t="shared" si="299"/>
        <v>0</v>
      </c>
      <c r="HI113" s="213">
        <f t="shared" si="189"/>
        <v>1000000</v>
      </c>
      <c r="HL113" s="182"/>
      <c r="HM113" s="26">
        <f t="shared" ca="1" si="190"/>
        <v>8</v>
      </c>
      <c r="HO113" s="268">
        <f t="shared" si="191"/>
        <v>0</v>
      </c>
      <c r="HP113" s="151">
        <f t="shared" si="157"/>
        <v>0</v>
      </c>
      <c r="HQ113" s="123">
        <f t="shared" si="246"/>
        <v>0</v>
      </c>
      <c r="HR113" s="123">
        <f t="shared" si="247"/>
        <v>0</v>
      </c>
      <c r="HS113" s="123">
        <f t="shared" si="248"/>
        <v>0</v>
      </c>
      <c r="HT113" s="123">
        <f>IF(HY112&lt;0.01,0,IF(Adm!$GS$4=Adm!$GS$8,HY112*$HY$15,IF(Adm!$GS$12=Adm!$GS$13,0,HY112*Adm!$GV$4)))</f>
        <v>0</v>
      </c>
      <c r="HU113" s="123">
        <f>IF(HY112&lt;0.01,0,IF(Adm!$GS$5=Adm!$GS$8,Cal!$BO$108*$HY$16/1.16,IF(Adm!$GS$12=Adm!$GS$13,0,Cal!$BO$108*Adm!$GW$4/1.16)))</f>
        <v>0</v>
      </c>
      <c r="HV113" s="123">
        <f t="shared" si="249"/>
        <v>0</v>
      </c>
      <c r="HW113" s="123">
        <f t="shared" si="192"/>
        <v>0</v>
      </c>
      <c r="HX113" s="123">
        <f>IF(Adm!$GH$6="si",MIN(HY112+HQ113+HT113+HU113+HV113-HW113,IH113),0)</f>
        <v>0</v>
      </c>
      <c r="HY113" s="297">
        <f t="shared" si="250"/>
        <v>0</v>
      </c>
      <c r="HZ113" s="74"/>
      <c r="IA113" s="407">
        <f t="shared" si="251"/>
        <v>0</v>
      </c>
      <c r="IC113" s="90">
        <f t="shared" si="252"/>
        <v>5</v>
      </c>
      <c r="ID113" s="124">
        <f>IF(IC113=1,Cal!$BO$127,0)</f>
        <v>0</v>
      </c>
      <c r="IE113" s="178">
        <f>IF(IC113=1,Adm!$HI$4,0)</f>
        <v>0</v>
      </c>
      <c r="IG113" s="70">
        <f t="shared" si="275"/>
        <v>0</v>
      </c>
      <c r="IH113" s="2178">
        <f t="shared" ca="1" si="253"/>
        <v>0</v>
      </c>
      <c r="IK113" s="217"/>
      <c r="IL113" s="26">
        <f t="shared" ca="1" si="193"/>
        <v>8</v>
      </c>
      <c r="IN113" s="268">
        <f t="shared" si="194"/>
        <v>0</v>
      </c>
      <c r="IO113" s="151">
        <f t="shared" si="154"/>
        <v>0</v>
      </c>
      <c r="IP113" s="123">
        <f t="shared" si="254"/>
        <v>0</v>
      </c>
      <c r="IQ113" s="123">
        <f t="shared" si="255"/>
        <v>0</v>
      </c>
      <c r="IR113" s="123">
        <f t="shared" si="256"/>
        <v>0</v>
      </c>
      <c r="IS113" s="123">
        <f>IF(IX112&lt;0.01,0,IF(Adm!$GS$4=Adm!$GS$8,IX112*$IX$15,IF(Adm!$GS$12=Adm!$GS$13,0,IX112*Adm!$GV$4)))</f>
        <v>0</v>
      </c>
      <c r="IT113" s="123"/>
      <c r="IU113" s="123">
        <f t="shared" si="257"/>
        <v>0</v>
      </c>
      <c r="IV113" s="123">
        <f t="shared" si="258"/>
        <v>0</v>
      </c>
      <c r="IW113" s="123"/>
      <c r="IX113" s="297">
        <f t="shared" si="259"/>
        <v>0</v>
      </c>
      <c r="IY113" s="74"/>
      <c r="IZ113" s="416">
        <f t="shared" si="260"/>
        <v>0</v>
      </c>
      <c r="JB113" s="90">
        <f t="shared" si="261"/>
        <v>5</v>
      </c>
      <c r="JC113" s="124">
        <f>IF(JB113=1,Cal!$BP$127,0)</f>
        <v>0</v>
      </c>
      <c r="JD113" s="178">
        <f>IF(JB113=1,Adm!$HI$4,0)</f>
        <v>0</v>
      </c>
    </row>
    <row r="114" spans="1:264">
      <c r="A114" s="26">
        <f t="shared" ca="1" si="162"/>
        <v>9</v>
      </c>
      <c r="C114" s="33">
        <f t="shared" si="163"/>
        <v>0</v>
      </c>
      <c r="D114" s="123">
        <f t="shared" si="195"/>
        <v>0</v>
      </c>
      <c r="E114" s="123">
        <f t="shared" si="287"/>
        <v>0</v>
      </c>
      <c r="F114" s="123">
        <f t="shared" si="295"/>
        <v>0</v>
      </c>
      <c r="G114" s="123">
        <f>IF(L113&lt;0.01,0,IF(Adm!$S$4=Adm!$S$8,L113*$L$15,L113*Adm!$V$4))</f>
        <v>0</v>
      </c>
      <c r="H114" s="123">
        <f>IF(L113&lt;0.01,0,IF(Adm!$S$5=Adm!$S$8,Adm!$AA$11*$L$16/1.16,IF(Adm!$B$4=Adm!$A$119,0,Adm!$AA$11*Adm!$X$4/1.16)))</f>
        <v>0</v>
      </c>
      <c r="I114" s="123">
        <f>IF(L113&lt;0.01,0,Cal!$AB$126/1.16)</f>
        <v>0</v>
      </c>
      <c r="J114" s="123">
        <f t="shared" si="164"/>
        <v>0</v>
      </c>
      <c r="K114" s="123">
        <f>IF(Adm!$G$4="si",MIN(L113+D114+G114+H114+I114-J114,V114),0)</f>
        <v>0</v>
      </c>
      <c r="L114" s="123">
        <f t="shared" si="196"/>
        <v>0</v>
      </c>
      <c r="M114" s="74"/>
      <c r="N114" s="74"/>
      <c r="O114" s="407">
        <f t="shared" si="197"/>
        <v>0</v>
      </c>
      <c r="R114" s="90">
        <f t="shared" si="198"/>
        <v>6</v>
      </c>
      <c r="S114" s="121">
        <f>IF(R114=1,Cal!$AB$127,0)</f>
        <v>0</v>
      </c>
      <c r="U114" s="70">
        <f t="shared" si="262"/>
        <v>0</v>
      </c>
      <c r="V114" s="2178">
        <f t="shared" ca="1" si="199"/>
        <v>0</v>
      </c>
      <c r="X114" s="398"/>
      <c r="Z114" s="268">
        <f t="shared" si="165"/>
        <v>0</v>
      </c>
      <c r="AA114" s="2176">
        <f t="shared" si="200"/>
        <v>0</v>
      </c>
      <c r="AB114" s="33">
        <f t="shared" si="201"/>
        <v>0</v>
      </c>
      <c r="AC114" s="33">
        <f t="shared" si="202"/>
        <v>0</v>
      </c>
      <c r="AD114" s="33">
        <f>IF(AI113&lt;0.01,0,IF(Adm!$S$4=Adm!$S$8,AI113*$AI$15,AI113*Adm!$V$4))</f>
        <v>0</v>
      </c>
      <c r="AE114" s="33"/>
      <c r="AF114" s="33"/>
      <c r="AG114" s="33">
        <f t="shared" si="166"/>
        <v>0</v>
      </c>
      <c r="AH114" s="33"/>
      <c r="AI114" s="401">
        <f t="shared" si="167"/>
        <v>0</v>
      </c>
      <c r="AK114" s="410">
        <f t="shared" si="168"/>
        <v>0</v>
      </c>
      <c r="AN114" s="90">
        <f t="shared" si="203"/>
        <v>6</v>
      </c>
      <c r="AO114" s="121">
        <f>IF(AN114=1,Cal!$AC$127,0)</f>
        <v>0</v>
      </c>
      <c r="AS114" s="200"/>
      <c r="AU114" s="268">
        <f t="shared" si="169"/>
        <v>0</v>
      </c>
      <c r="AV114" s="2177">
        <f t="shared" si="204"/>
        <v>0</v>
      </c>
      <c r="AW114" s="123">
        <f t="shared" si="170"/>
        <v>0</v>
      </c>
      <c r="AX114" s="123">
        <f t="shared" si="205"/>
        <v>0</v>
      </c>
      <c r="AY114" s="123">
        <f>IF(BC113&lt;0.01,0,IF(Adm!$S$4=Adm!$S$8,BC113*$BC$16,BC113*Adm!$V$4))</f>
        <v>0</v>
      </c>
      <c r="AZ114" s="123"/>
      <c r="BA114" s="123">
        <f>IF(BC113&lt;0.01,0,Adm!$Q$6)</f>
        <v>0</v>
      </c>
      <c r="BB114" s="123">
        <f t="shared" si="171"/>
        <v>0</v>
      </c>
      <c r="BC114" s="297">
        <f t="shared" si="206"/>
        <v>0</v>
      </c>
      <c r="BE114" s="425">
        <f t="shared" si="172"/>
        <v>0</v>
      </c>
      <c r="BH114" s="90">
        <f t="shared" si="207"/>
        <v>6</v>
      </c>
      <c r="BI114" s="121">
        <f>IF(BH114=1,Cal!$AD$127,0)</f>
        <v>0</v>
      </c>
      <c r="BM114" s="221"/>
      <c r="BO114" s="295">
        <f t="shared" ca="1" si="173"/>
        <v>9</v>
      </c>
      <c r="BP114" s="268">
        <f t="shared" si="174"/>
        <v>0</v>
      </c>
      <c r="BQ114" s="123">
        <f t="shared" si="208"/>
        <v>0</v>
      </c>
      <c r="BR114" s="123">
        <f t="shared" si="288"/>
        <v>0</v>
      </c>
      <c r="BS114" s="123">
        <f t="shared" si="296"/>
        <v>0</v>
      </c>
      <c r="BT114" s="123">
        <f>IF(BZ113&lt;0.01,0,IF(Plus!$F$22=Plus!$AN$4,BZ113*$BZ$15,IF(Plus!$F$22=Plus!$AN$3,BZ113*Plus!$F$23/1000,BZ113*VLOOKUP(Plus!$G$21,Plus!$AP$2:'Plus'!$AQ$5,2,0))))</f>
        <v>0</v>
      </c>
      <c r="BU114" s="123">
        <f>IF(BZ113&lt;0.01,0,IF(Plus!$F$24=Plus!$AO$3,Plus!$G$13*Plus!$AR$2/1.16,IF(Plus!$F$10=Plus!$AK$7,0,Plus!$G$13*Plus!$AR$2/1.16)))</f>
        <v>0</v>
      </c>
      <c r="BV114" s="123">
        <f>IF(BZ113&lt;0.01,0,Plus!$BD$2)</f>
        <v>0</v>
      </c>
      <c r="BW114" s="123"/>
      <c r="BX114" s="123">
        <f t="shared" si="175"/>
        <v>0</v>
      </c>
      <c r="BY114" s="123">
        <f>IF(Plus!$F$10=Plus!$AK$3,MIN(BZ113+BQ114+BT114+BU114+BV114-BX114,CJ114),0)</f>
        <v>0</v>
      </c>
      <c r="BZ114" s="297">
        <f t="shared" si="280"/>
        <v>0</v>
      </c>
      <c r="CA114" s="74"/>
      <c r="CB114" s="74"/>
      <c r="CC114" s="413">
        <f t="shared" si="209"/>
        <v>0</v>
      </c>
      <c r="CF114" s="90">
        <f t="shared" si="210"/>
        <v>6</v>
      </c>
      <c r="CG114" s="121">
        <f t="shared" si="263"/>
        <v>0</v>
      </c>
      <c r="CI114" s="70">
        <f t="shared" si="264"/>
        <v>0</v>
      </c>
      <c r="CJ114" s="2178">
        <f t="shared" ca="1" si="211"/>
        <v>0</v>
      </c>
      <c r="CL114" s="161"/>
      <c r="CN114" s="308">
        <f t="shared" ca="1" si="176"/>
        <v>9</v>
      </c>
      <c r="CO114" s="309">
        <f t="shared" si="212"/>
        <v>0</v>
      </c>
      <c r="CP114" s="268">
        <f t="shared" si="177"/>
        <v>0</v>
      </c>
      <c r="CQ114" s="123">
        <f t="shared" si="213"/>
        <v>0</v>
      </c>
      <c r="CR114" s="123">
        <f t="shared" si="289"/>
        <v>0</v>
      </c>
      <c r="CS114" s="123">
        <f t="shared" si="290"/>
        <v>0</v>
      </c>
      <c r="CT114" s="33">
        <f>IF(CZ113&lt;0.01,0,IF(Plus!$F$22=Plus!$AN$4,0,IF(Plus!$F$22=Plus!$AN$3,CZ113*Plus!$F$23/1000,CZ113*VLOOKUP(Plus!$G$21,Plus!$AP$2:'Plus'!$AQ$5,2,0))))</f>
        <v>0</v>
      </c>
      <c r="CU114" s="123">
        <f>IF(CZ113&lt;0.01,0,IF(Plus!$F$24=Plus!$AO$3,0,IF(OR(Plus!$F$10=Plus!$AK$7,Plus!$F$10=Plus!$AK$13),0,Plus!$G$13*Plus!$AR$2)))</f>
        <v>0</v>
      </c>
      <c r="CV114" s="123">
        <f>IF(CZ113&lt;0.01,0,IF(OR(Plus!$F$10=Plus!$AK$7,Plus!$F$10=Plus!$AK$13),0,Plus!$BD$2*1.16))</f>
        <v>0</v>
      </c>
      <c r="CW114" s="123">
        <f>IF(CZ113&lt;0.01,0,IF(Plus!$AS$2&gt;0,CQ114*Plus!$AS$3,0))</f>
        <v>0</v>
      </c>
      <c r="CX114" s="123">
        <f t="shared" si="214"/>
        <v>0</v>
      </c>
      <c r="CY114" s="123">
        <f>IF(Plus!$F$10=Plus!$AK$3,MIN(CZ113+CQ114+CT114+CU114+CV114-CX114,DK114),0)</f>
        <v>0</v>
      </c>
      <c r="CZ114" s="297">
        <f t="shared" si="294"/>
        <v>0</v>
      </c>
      <c r="DA114" s="306">
        <f>Plus!O155</f>
        <v>0</v>
      </c>
      <c r="DB114" s="74"/>
      <c r="DC114" s="74"/>
      <c r="DD114" s="407">
        <f t="shared" si="215"/>
        <v>0</v>
      </c>
      <c r="DG114" s="90">
        <f t="shared" si="216"/>
        <v>6</v>
      </c>
      <c r="DH114" s="121">
        <f t="shared" si="265"/>
        <v>0</v>
      </c>
      <c r="DJ114" s="149">
        <f t="shared" si="266"/>
        <v>0</v>
      </c>
      <c r="DK114" s="2179">
        <f t="shared" ca="1" si="217"/>
        <v>0</v>
      </c>
      <c r="DN114" s="120">
        <f t="shared" si="267"/>
        <v>0</v>
      </c>
      <c r="DO114" s="110">
        <f t="shared" si="218"/>
        <v>0</v>
      </c>
      <c r="DP114" s="110">
        <f t="shared" si="276"/>
        <v>0</v>
      </c>
      <c r="DQ114" s="109">
        <f t="shared" si="219"/>
        <v>0</v>
      </c>
      <c r="DR114" s="109">
        <f t="shared" si="220"/>
        <v>0</v>
      </c>
      <c r="DS114" s="113">
        <f t="shared" si="221"/>
        <v>0</v>
      </c>
      <c r="DU114" s="102">
        <f t="shared" si="222"/>
        <v>0</v>
      </c>
      <c r="DV114" s="211">
        <f t="shared" si="277"/>
        <v>90</v>
      </c>
      <c r="DW114" s="212">
        <f t="shared" si="223"/>
        <v>0</v>
      </c>
      <c r="DX114" s="212">
        <f t="shared" si="178"/>
        <v>0</v>
      </c>
      <c r="DY114" s="212">
        <f t="shared" si="268"/>
        <v>0</v>
      </c>
      <c r="DZ114" s="213">
        <f t="shared" si="179"/>
        <v>1000000</v>
      </c>
      <c r="ED114" s="182"/>
      <c r="EF114" s="308">
        <f t="shared" ca="1" si="180"/>
        <v>9</v>
      </c>
      <c r="EG114" s="309">
        <f t="shared" si="224"/>
        <v>0</v>
      </c>
      <c r="EH114" s="268">
        <f t="shared" si="181"/>
        <v>0</v>
      </c>
      <c r="EI114" s="33">
        <f t="shared" si="225"/>
        <v>0</v>
      </c>
      <c r="EJ114" s="33">
        <f t="shared" si="291"/>
        <v>0</v>
      </c>
      <c r="EK114" s="33">
        <f t="shared" si="297"/>
        <v>0</v>
      </c>
      <c r="EL114" s="33">
        <f>IF(ER113&lt;0.01,0,IF(Plus!$F$22=Plus!$AN$4,0,IF(Plus!$F$22=Plus!$AN$3,ER113*Plus!$F$23/1000,ER113*VLOOKUP(Plus!$G$21,Plus!$AP$2:'Plus'!$AQ$5,2,0))))</f>
        <v>0</v>
      </c>
      <c r="EM114" s="33">
        <f>IF(ER113&lt;0.01,0,IF(Plus!$F$24=Plus!$AO$3,0,IF(OR(Plus!$F$10=Plus!$AK$7,Plus!$F$10=Plus!$AK$13),0,Plus!$G$13*Plus!$AR$2)))</f>
        <v>0</v>
      </c>
      <c r="EN114" s="33">
        <f>IF(ER113&lt;0.01,0,IF(OR(Plus!$F$10=Plus!$AK$7,Plus!$F$10=Plus!$AK$13),0,Plus!$BD$2*1.16))</f>
        <v>0</v>
      </c>
      <c r="EO114" s="33">
        <f>IF(ER113&lt;0.01,0,IF(Plus!$AS$2&gt;0,EI114*Plus!$AS$3,0))</f>
        <v>0</v>
      </c>
      <c r="EP114" s="33">
        <f t="shared" si="226"/>
        <v>0</v>
      </c>
      <c r="EQ114" s="33">
        <f>IF(Plus!$F$10=Plus!$AK$3,MIN(ER113+EI114+EL114+EM114+EN114-EP114,FC114),0)</f>
        <v>0</v>
      </c>
      <c r="ER114" s="311">
        <f t="shared" si="285"/>
        <v>0</v>
      </c>
      <c r="ES114" s="340">
        <f>Plus!O155</f>
        <v>0</v>
      </c>
      <c r="ET114" s="74"/>
      <c r="EU114" s="74"/>
      <c r="EV114" s="416">
        <f t="shared" si="281"/>
        <v>0</v>
      </c>
      <c r="EY114" s="90">
        <f t="shared" si="227"/>
        <v>6</v>
      </c>
      <c r="EZ114" s="121">
        <f t="shared" si="269"/>
        <v>0</v>
      </c>
      <c r="FB114" s="149">
        <f t="shared" si="270"/>
        <v>0</v>
      </c>
      <c r="FC114" s="2179">
        <f t="shared" ca="1" si="228"/>
        <v>0</v>
      </c>
      <c r="FE114" s="120">
        <f t="shared" si="271"/>
        <v>0</v>
      </c>
      <c r="FF114" s="110">
        <f t="shared" si="229"/>
        <v>0</v>
      </c>
      <c r="FG114" s="110">
        <f t="shared" si="230"/>
        <v>0</v>
      </c>
      <c r="FH114" s="109">
        <f t="shared" si="231"/>
        <v>0</v>
      </c>
      <c r="FI114" s="109">
        <f t="shared" si="182"/>
        <v>0</v>
      </c>
      <c r="FJ114" s="113">
        <f t="shared" si="232"/>
        <v>0</v>
      </c>
      <c r="FL114" s="102">
        <f t="shared" si="233"/>
        <v>0</v>
      </c>
      <c r="FM114" s="211">
        <f t="shared" si="278"/>
        <v>90</v>
      </c>
      <c r="FN114" s="212">
        <f t="shared" si="234"/>
        <v>0</v>
      </c>
      <c r="FO114" s="212">
        <f t="shared" si="183"/>
        <v>0</v>
      </c>
      <c r="FP114" s="212">
        <f t="shared" si="298"/>
        <v>0</v>
      </c>
      <c r="FQ114" s="213">
        <f t="shared" si="184"/>
        <v>1000000</v>
      </c>
      <c r="FV114" s="359"/>
      <c r="FX114" s="308">
        <f t="shared" ca="1" si="185"/>
        <v>9</v>
      </c>
      <c r="FY114" s="309">
        <f t="shared" si="235"/>
        <v>0</v>
      </c>
      <c r="FZ114" s="268">
        <f t="shared" si="186"/>
        <v>0</v>
      </c>
      <c r="GA114" s="33">
        <f t="shared" si="236"/>
        <v>0</v>
      </c>
      <c r="GB114" s="33">
        <f t="shared" si="292"/>
        <v>0</v>
      </c>
      <c r="GC114" s="33">
        <f t="shared" si="293"/>
        <v>0</v>
      </c>
      <c r="GD114" s="33">
        <f>IF(GJ113&lt;0.01,0,IF(Plus!$F$22=Plus!$AN$4,0,IF(Plus!$F$22=Plus!$AN$3,GJ113*Plus!$F$23/1000,GJ113*VLOOKUP(Plus!$G$21,Plus!$AP$2:$AQ$5,2,0))))</f>
        <v>0</v>
      </c>
      <c r="GE114" s="33">
        <f>IF(GJ113&lt;0.01,0,IF(Plus!$F$24=Plus!$AO$3,0,IF(OR(Plus!$F$10=Plus!$AK$7,Plus!$F$10=Plus!$AK$13,Plus!$F$10=Plus!$AK$14),0,IF(OR(Plus!$F$10=Plus!$AK$10,Plus!$F$10=Plus!$AK$11),Plus!$G$13*Adm!$W$7,Plus!$G$13*Adm!$X$4))))</f>
        <v>0</v>
      </c>
      <c r="GF114" s="33">
        <f>IF(GJ113&lt;0.01,0,IF(OR(Plus!$F$10=Plus!$AK$7,Plus!$F$10=Plus!$AK$13),0,Plus!$BD$2*1.16))</f>
        <v>0</v>
      </c>
      <c r="GG114" s="33">
        <f>IF(GJ113&lt;0.01,0,IF(Plus!$AS$2&gt;0,GA114*Plus!$AS$3,0))</f>
        <v>0</v>
      </c>
      <c r="GH114" s="33">
        <f t="shared" si="237"/>
        <v>0</v>
      </c>
      <c r="GI114" s="33">
        <f>IF(Plus!$F$10=Plus!$AK$3,MIN(GJ113+GA114+GD114+GE114+GF114-GH114,GU114),0)</f>
        <v>0</v>
      </c>
      <c r="GJ114" s="311">
        <f t="shared" si="286"/>
        <v>0</v>
      </c>
      <c r="GK114" s="340">
        <f>Plus!O155</f>
        <v>0</v>
      </c>
      <c r="GL114" s="74"/>
      <c r="GM114" s="74"/>
      <c r="GN114" s="419">
        <f t="shared" si="283"/>
        <v>0</v>
      </c>
      <c r="GQ114" s="90">
        <f t="shared" si="238"/>
        <v>6</v>
      </c>
      <c r="GR114" s="121">
        <f t="shared" si="272"/>
        <v>0</v>
      </c>
      <c r="GT114" s="149">
        <f t="shared" si="273"/>
        <v>0</v>
      </c>
      <c r="GU114" s="2179">
        <f t="shared" ca="1" si="239"/>
        <v>0</v>
      </c>
      <c r="GW114" s="120">
        <f t="shared" si="274"/>
        <v>0</v>
      </c>
      <c r="GX114" s="110">
        <f t="shared" si="240"/>
        <v>0</v>
      </c>
      <c r="GY114" s="110">
        <f t="shared" si="241"/>
        <v>0</v>
      </c>
      <c r="GZ114" s="109">
        <f t="shared" si="242"/>
        <v>0</v>
      </c>
      <c r="HA114" s="109">
        <f t="shared" si="187"/>
        <v>0</v>
      </c>
      <c r="HB114" s="113">
        <f t="shared" si="243"/>
        <v>0</v>
      </c>
      <c r="HD114" s="102">
        <f t="shared" si="244"/>
        <v>0</v>
      </c>
      <c r="HE114" s="211">
        <f t="shared" si="279"/>
        <v>90</v>
      </c>
      <c r="HF114" s="212">
        <f t="shared" si="245"/>
        <v>0</v>
      </c>
      <c r="HG114" s="212">
        <f t="shared" si="188"/>
        <v>0</v>
      </c>
      <c r="HH114" s="212">
        <f t="shared" si="299"/>
        <v>0</v>
      </c>
      <c r="HI114" s="213">
        <f t="shared" si="189"/>
        <v>1000000</v>
      </c>
      <c r="HL114" s="182"/>
      <c r="HM114" s="26">
        <f t="shared" ca="1" si="190"/>
        <v>9</v>
      </c>
      <c r="HO114" s="268">
        <f t="shared" si="191"/>
        <v>0</v>
      </c>
      <c r="HP114" s="151">
        <f t="shared" si="157"/>
        <v>0</v>
      </c>
      <c r="HQ114" s="123">
        <f t="shared" si="246"/>
        <v>0</v>
      </c>
      <c r="HR114" s="123">
        <f t="shared" si="247"/>
        <v>0</v>
      </c>
      <c r="HS114" s="123">
        <f t="shared" si="248"/>
        <v>0</v>
      </c>
      <c r="HT114" s="123">
        <f>IF(HY113&lt;0.01,0,IF(Adm!$GS$4=Adm!$GS$8,HY113*$HY$15,IF(Adm!$GS$12=Adm!$GS$13,0,HY113*Adm!$GV$4)))</f>
        <v>0</v>
      </c>
      <c r="HU114" s="123">
        <f>IF(HY113&lt;0.01,0,IF(Adm!$GS$5=Adm!$GS$8,Cal!$BO$108*$HY$16/1.16,IF(Adm!$GS$12=Adm!$GS$13,0,Cal!$BO$108*Adm!$GW$4/1.16)))</f>
        <v>0</v>
      </c>
      <c r="HV114" s="123">
        <f t="shared" si="249"/>
        <v>0</v>
      </c>
      <c r="HW114" s="123">
        <f t="shared" si="192"/>
        <v>0</v>
      </c>
      <c r="HX114" s="123">
        <f>IF(Adm!$GH$6="si",MIN(HY113+HQ114+HT114+HU114+HV114-HW114,IH114),0)</f>
        <v>0</v>
      </c>
      <c r="HY114" s="297">
        <f t="shared" si="250"/>
        <v>0</v>
      </c>
      <c r="HZ114" s="74"/>
      <c r="IA114" s="407">
        <f t="shared" si="251"/>
        <v>0</v>
      </c>
      <c r="IC114" s="90">
        <f t="shared" si="252"/>
        <v>6</v>
      </c>
      <c r="ID114" s="124">
        <f>IF(IC114=1,Cal!$BO$127,0)</f>
        <v>0</v>
      </c>
      <c r="IE114" s="178">
        <f>IF(IC114=1,Adm!$HI$4,0)</f>
        <v>0</v>
      </c>
      <c r="IG114" s="70">
        <f t="shared" si="275"/>
        <v>0</v>
      </c>
      <c r="IH114" s="2178">
        <f t="shared" ca="1" si="253"/>
        <v>0</v>
      </c>
      <c r="IK114" s="217"/>
      <c r="IL114" s="26">
        <f t="shared" ca="1" si="193"/>
        <v>9</v>
      </c>
      <c r="IN114" s="268">
        <f t="shared" si="194"/>
        <v>0</v>
      </c>
      <c r="IO114" s="151">
        <f t="shared" si="154"/>
        <v>0</v>
      </c>
      <c r="IP114" s="123">
        <f t="shared" si="254"/>
        <v>0</v>
      </c>
      <c r="IQ114" s="123">
        <f t="shared" si="255"/>
        <v>0</v>
      </c>
      <c r="IR114" s="123">
        <f t="shared" si="256"/>
        <v>0</v>
      </c>
      <c r="IS114" s="123">
        <f>IF(IX113&lt;0.01,0,IF(Adm!$GS$4=Adm!$GS$8,IX113*$IX$15,IF(Adm!$GS$12=Adm!$GS$13,0,IX113*Adm!$GV$4)))</f>
        <v>0</v>
      </c>
      <c r="IT114" s="123"/>
      <c r="IU114" s="123">
        <f t="shared" si="257"/>
        <v>0</v>
      </c>
      <c r="IV114" s="123">
        <f t="shared" si="258"/>
        <v>0</v>
      </c>
      <c r="IW114" s="123"/>
      <c r="IX114" s="297">
        <f t="shared" si="259"/>
        <v>0</v>
      </c>
      <c r="IY114" s="74"/>
      <c r="IZ114" s="416">
        <f t="shared" si="260"/>
        <v>0</v>
      </c>
      <c r="JB114" s="90">
        <f t="shared" si="261"/>
        <v>6</v>
      </c>
      <c r="JC114" s="124">
        <f>IF(JB114=1,Cal!$BP$127,0)</f>
        <v>0</v>
      </c>
      <c r="JD114" s="178">
        <f>IF(JB114=1,Adm!$HI$4,0)</f>
        <v>0</v>
      </c>
    </row>
    <row r="115" spans="1:264">
      <c r="A115" s="26">
        <f t="shared" ca="1" si="162"/>
        <v>10</v>
      </c>
      <c r="C115" s="33">
        <f t="shared" si="163"/>
        <v>0</v>
      </c>
      <c r="D115" s="123">
        <f t="shared" si="195"/>
        <v>0</v>
      </c>
      <c r="E115" s="123">
        <f t="shared" si="287"/>
        <v>0</v>
      </c>
      <c r="F115" s="123">
        <f t="shared" si="295"/>
        <v>0</v>
      </c>
      <c r="G115" s="123">
        <f>IF(L114&lt;0.01,0,IF(Adm!$S$4=Adm!$S$8,L114*$L$15,L114*Adm!$V$4))</f>
        <v>0</v>
      </c>
      <c r="H115" s="123">
        <f>IF(L114&lt;0.01,0,IF(Adm!$S$5=Adm!$S$8,Adm!$AA$11*$L$16/1.16,IF(Adm!$B$4=Adm!$A$119,0,Adm!$AA$11*Adm!$X$4/1.16)))</f>
        <v>0</v>
      </c>
      <c r="I115" s="123">
        <f>IF(L114&lt;0.01,0,Cal!$AB$126/1.16)</f>
        <v>0</v>
      </c>
      <c r="J115" s="123">
        <f t="shared" si="164"/>
        <v>0</v>
      </c>
      <c r="K115" s="123">
        <f>IF(Adm!$G$4="si",MIN(L114+D115+G115+H115+I115-J115,V115),0)</f>
        <v>0</v>
      </c>
      <c r="L115" s="123">
        <f t="shared" si="196"/>
        <v>0</v>
      </c>
      <c r="M115" s="74"/>
      <c r="N115" s="74"/>
      <c r="O115" s="407">
        <f t="shared" si="197"/>
        <v>0</v>
      </c>
      <c r="R115" s="90">
        <f t="shared" si="198"/>
        <v>7</v>
      </c>
      <c r="S115" s="121">
        <f>IF(R115=1,Cal!$AB$127,0)</f>
        <v>0</v>
      </c>
      <c r="U115" s="70">
        <f t="shared" si="262"/>
        <v>0</v>
      </c>
      <c r="V115" s="2178">
        <f t="shared" ca="1" si="199"/>
        <v>0</v>
      </c>
      <c r="X115" s="398"/>
      <c r="Z115" s="268">
        <f t="shared" si="165"/>
        <v>0</v>
      </c>
      <c r="AA115" s="2176">
        <f t="shared" si="200"/>
        <v>0</v>
      </c>
      <c r="AB115" s="33">
        <f t="shared" si="201"/>
        <v>0</v>
      </c>
      <c r="AC115" s="33">
        <f t="shared" si="202"/>
        <v>0</v>
      </c>
      <c r="AD115" s="33">
        <f>IF(AI114&lt;0.01,0,IF(Adm!$S$4=Adm!$S$8,AI114*$AI$15,AI114*Adm!$V$4))</f>
        <v>0</v>
      </c>
      <c r="AE115" s="33"/>
      <c r="AF115" s="33"/>
      <c r="AG115" s="33">
        <f t="shared" si="166"/>
        <v>0</v>
      </c>
      <c r="AH115" s="33"/>
      <c r="AI115" s="401">
        <f t="shared" si="167"/>
        <v>0</v>
      </c>
      <c r="AK115" s="410">
        <f t="shared" si="168"/>
        <v>0</v>
      </c>
      <c r="AN115" s="90">
        <f t="shared" si="203"/>
        <v>7</v>
      </c>
      <c r="AO115" s="121">
        <f>IF(AN115=1,Cal!$AC$127,0)</f>
        <v>0</v>
      </c>
      <c r="AS115" s="200"/>
      <c r="AU115" s="268">
        <f t="shared" si="169"/>
        <v>0</v>
      </c>
      <c r="AV115" s="2177">
        <f t="shared" si="204"/>
        <v>0</v>
      </c>
      <c r="AW115" s="123">
        <f t="shared" si="170"/>
        <v>0</v>
      </c>
      <c r="AX115" s="123">
        <f t="shared" si="205"/>
        <v>0</v>
      </c>
      <c r="AY115" s="123">
        <f>IF(BC114&lt;0.01,0,IF(Adm!$S$4=Adm!$S$8,BC114*$BC$16,BC114*Adm!$V$4))</f>
        <v>0</v>
      </c>
      <c r="AZ115" s="123"/>
      <c r="BA115" s="123">
        <f>IF(BC114&lt;0.01,0,Adm!$Q$6)</f>
        <v>0</v>
      </c>
      <c r="BB115" s="123">
        <f t="shared" si="171"/>
        <v>0</v>
      </c>
      <c r="BC115" s="297">
        <f t="shared" si="206"/>
        <v>0</v>
      </c>
      <c r="BE115" s="425">
        <f t="shared" si="172"/>
        <v>0</v>
      </c>
      <c r="BH115" s="90">
        <f t="shared" si="207"/>
        <v>7</v>
      </c>
      <c r="BI115" s="121">
        <f>IF(BH115=1,Cal!$AD$127,0)</f>
        <v>0</v>
      </c>
      <c r="BM115" s="221"/>
      <c r="BO115" s="295">
        <f t="shared" ca="1" si="173"/>
        <v>10</v>
      </c>
      <c r="BP115" s="268">
        <f t="shared" si="174"/>
        <v>0</v>
      </c>
      <c r="BQ115" s="123">
        <f t="shared" si="208"/>
        <v>0</v>
      </c>
      <c r="BR115" s="123">
        <f t="shared" si="288"/>
        <v>0</v>
      </c>
      <c r="BS115" s="123">
        <f t="shared" si="296"/>
        <v>0</v>
      </c>
      <c r="BT115" s="123">
        <f>IF(BZ114&lt;0.01,0,IF(Plus!$F$22=Plus!$AN$4,BZ114*$BZ$15,IF(Plus!$F$22=Plus!$AN$3,BZ114*Plus!$F$23/1000,BZ114*VLOOKUP(Plus!$G$21,Plus!$AP$2:'Plus'!$AQ$5,2,0))))</f>
        <v>0</v>
      </c>
      <c r="BU115" s="123">
        <f>IF(BZ114&lt;0.01,0,IF(Plus!$F$24=Plus!$AO$3,Plus!$G$13*Plus!$AR$2/1.16,IF(Plus!$F$10=Plus!$AK$7,0,Plus!$G$13*Plus!$AR$2/1.16)))</f>
        <v>0</v>
      </c>
      <c r="BV115" s="123">
        <f>IF(BZ114&lt;0.01,0,Plus!$BD$2)</f>
        <v>0</v>
      </c>
      <c r="BW115" s="123"/>
      <c r="BX115" s="123">
        <f t="shared" si="175"/>
        <v>0</v>
      </c>
      <c r="BY115" s="123">
        <f>IF(Plus!$F$10=Plus!$AK$3,MIN(BZ114+BQ115+BT115+BU115+BV115-BX115,CJ115),0)</f>
        <v>0</v>
      </c>
      <c r="BZ115" s="297">
        <f t="shared" si="280"/>
        <v>0</v>
      </c>
      <c r="CA115" s="74"/>
      <c r="CB115" s="74"/>
      <c r="CC115" s="413">
        <f t="shared" si="209"/>
        <v>0</v>
      </c>
      <c r="CF115" s="90">
        <f t="shared" si="210"/>
        <v>7</v>
      </c>
      <c r="CG115" s="121">
        <f t="shared" si="263"/>
        <v>0</v>
      </c>
      <c r="CI115" s="70">
        <f t="shared" si="264"/>
        <v>0</v>
      </c>
      <c r="CJ115" s="2178">
        <f t="shared" ca="1" si="211"/>
        <v>0</v>
      </c>
      <c r="CL115" s="161"/>
      <c r="CN115" s="308">
        <f t="shared" ca="1" si="176"/>
        <v>10</v>
      </c>
      <c r="CO115" s="309">
        <f t="shared" si="212"/>
        <v>0</v>
      </c>
      <c r="CP115" s="268">
        <f t="shared" si="177"/>
        <v>0</v>
      </c>
      <c r="CQ115" s="123">
        <f t="shared" si="213"/>
        <v>0</v>
      </c>
      <c r="CR115" s="123">
        <f t="shared" si="289"/>
        <v>0</v>
      </c>
      <c r="CS115" s="123">
        <f t="shared" si="290"/>
        <v>0</v>
      </c>
      <c r="CT115" s="33">
        <f>IF(CZ114&lt;0.01,0,IF(Plus!$F$22=Plus!$AN$4,0,IF(Plus!$F$22=Plus!$AN$3,CZ114*Plus!$F$23/1000,CZ114*VLOOKUP(Plus!$G$21,Plus!$AP$2:'Plus'!$AQ$5,2,0))))</f>
        <v>0</v>
      </c>
      <c r="CU115" s="123">
        <f>IF(CZ114&lt;0.01,0,IF(Plus!$F$24=Plus!$AO$3,0,IF(OR(Plus!$F$10=Plus!$AK$7,Plus!$F$10=Plus!$AK$13),0,Plus!$G$13*Plus!$AR$2)))</f>
        <v>0</v>
      </c>
      <c r="CV115" s="123">
        <f>IF(CZ114&lt;0.01,0,IF(OR(Plus!$F$10=Plus!$AK$7,Plus!$F$10=Plus!$AK$13),0,Plus!$BD$2*1.16))</f>
        <v>0</v>
      </c>
      <c r="CW115" s="123">
        <f>IF(CZ114&lt;0.01,0,IF(Plus!$AS$2&gt;0,CQ115*Plus!$AS$3,0))</f>
        <v>0</v>
      </c>
      <c r="CX115" s="123">
        <f t="shared" si="214"/>
        <v>0</v>
      </c>
      <c r="CY115" s="123">
        <f>IF(Plus!$F$10=Plus!$AK$3,MIN(CZ114+CQ115+CT115+CU115+CV115-CX115,DK115),0)</f>
        <v>0</v>
      </c>
      <c r="CZ115" s="297">
        <f t="shared" si="294"/>
        <v>0</v>
      </c>
      <c r="DA115" s="306">
        <f>Plus!O156</f>
        <v>0</v>
      </c>
      <c r="DB115" s="74"/>
      <c r="DC115" s="74"/>
      <c r="DD115" s="407">
        <f t="shared" si="215"/>
        <v>0</v>
      </c>
      <c r="DG115" s="90">
        <f t="shared" si="216"/>
        <v>7</v>
      </c>
      <c r="DH115" s="121">
        <f t="shared" si="265"/>
        <v>0</v>
      </c>
      <c r="DJ115" s="149">
        <f t="shared" si="266"/>
        <v>0</v>
      </c>
      <c r="DK115" s="2179">
        <f t="shared" ca="1" si="217"/>
        <v>0</v>
      </c>
      <c r="DN115" s="120">
        <f t="shared" si="267"/>
        <v>0</v>
      </c>
      <c r="DO115" s="110">
        <f t="shared" si="218"/>
        <v>0</v>
      </c>
      <c r="DP115" s="110">
        <f t="shared" si="276"/>
        <v>0</v>
      </c>
      <c r="DQ115" s="109">
        <f t="shared" si="219"/>
        <v>0</v>
      </c>
      <c r="DR115" s="109">
        <f t="shared" si="220"/>
        <v>0</v>
      </c>
      <c r="DS115" s="113">
        <f t="shared" si="221"/>
        <v>0</v>
      </c>
      <c r="DU115" s="102">
        <f t="shared" si="222"/>
        <v>0</v>
      </c>
      <c r="DV115" s="211">
        <f t="shared" si="277"/>
        <v>91</v>
      </c>
      <c r="DW115" s="212">
        <f t="shared" si="223"/>
        <v>0</v>
      </c>
      <c r="DX115" s="212">
        <f t="shared" si="178"/>
        <v>0</v>
      </c>
      <c r="DY115" s="212">
        <f t="shared" si="268"/>
        <v>0</v>
      </c>
      <c r="DZ115" s="213">
        <f t="shared" si="179"/>
        <v>1000000</v>
      </c>
      <c r="ED115" s="182"/>
      <c r="EF115" s="308">
        <f t="shared" ca="1" si="180"/>
        <v>10</v>
      </c>
      <c r="EG115" s="309">
        <f t="shared" si="224"/>
        <v>0</v>
      </c>
      <c r="EH115" s="268">
        <f t="shared" si="181"/>
        <v>0</v>
      </c>
      <c r="EI115" s="33">
        <f t="shared" si="225"/>
        <v>0</v>
      </c>
      <c r="EJ115" s="33">
        <f t="shared" si="291"/>
        <v>0</v>
      </c>
      <c r="EK115" s="33">
        <f t="shared" si="297"/>
        <v>0</v>
      </c>
      <c r="EL115" s="33">
        <f>IF(ER114&lt;0.01,0,IF(Plus!$F$22=Plus!$AN$4,0,IF(Plus!$F$22=Plus!$AN$3,ER114*Plus!$F$23/1000,ER114*VLOOKUP(Plus!$G$21,Plus!$AP$2:'Plus'!$AQ$5,2,0))))</f>
        <v>0</v>
      </c>
      <c r="EM115" s="33">
        <f>IF(ER114&lt;0.01,0,IF(Plus!$F$24=Plus!$AO$3,0,IF(OR(Plus!$F$10=Plus!$AK$7,Plus!$F$10=Plus!$AK$13),0,Plus!$G$13*Plus!$AR$2)))</f>
        <v>0</v>
      </c>
      <c r="EN115" s="33">
        <f>IF(ER114&lt;0.01,0,IF(OR(Plus!$F$10=Plus!$AK$7,Plus!$F$10=Plus!$AK$13),0,Plus!$BD$2*1.16))</f>
        <v>0</v>
      </c>
      <c r="EO115" s="33">
        <f>IF(ER114&lt;0.01,0,IF(Plus!$AS$2&gt;0,EI115*Plus!$AS$3,0))</f>
        <v>0</v>
      </c>
      <c r="EP115" s="33">
        <f t="shared" si="226"/>
        <v>0</v>
      </c>
      <c r="EQ115" s="33">
        <f>IF(Plus!$F$10=Plus!$AK$3,MIN(ER114+EI115+EL115+EM115+EN115-EP115,FC115),0)</f>
        <v>0</v>
      </c>
      <c r="ER115" s="311">
        <f t="shared" si="285"/>
        <v>0</v>
      </c>
      <c r="ES115" s="340">
        <f>Plus!O156</f>
        <v>0</v>
      </c>
      <c r="ET115" s="74"/>
      <c r="EU115" s="74"/>
      <c r="EV115" s="416">
        <f t="shared" si="281"/>
        <v>0</v>
      </c>
      <c r="EY115" s="90">
        <f t="shared" si="227"/>
        <v>7</v>
      </c>
      <c r="EZ115" s="121">
        <f t="shared" si="269"/>
        <v>0</v>
      </c>
      <c r="FB115" s="149">
        <f t="shared" si="270"/>
        <v>0</v>
      </c>
      <c r="FC115" s="2179">
        <f t="shared" ca="1" si="228"/>
        <v>0</v>
      </c>
      <c r="FE115" s="120">
        <f t="shared" si="271"/>
        <v>0</v>
      </c>
      <c r="FF115" s="110">
        <f t="shared" si="229"/>
        <v>0</v>
      </c>
      <c r="FG115" s="110">
        <f t="shared" si="230"/>
        <v>0</v>
      </c>
      <c r="FH115" s="109">
        <f t="shared" si="231"/>
        <v>0</v>
      </c>
      <c r="FI115" s="109">
        <f t="shared" si="182"/>
        <v>0</v>
      </c>
      <c r="FJ115" s="113">
        <f t="shared" si="232"/>
        <v>0</v>
      </c>
      <c r="FL115" s="102">
        <f t="shared" si="233"/>
        <v>0</v>
      </c>
      <c r="FM115" s="211">
        <f t="shared" si="278"/>
        <v>91</v>
      </c>
      <c r="FN115" s="212">
        <f t="shared" si="234"/>
        <v>0</v>
      </c>
      <c r="FO115" s="212">
        <f t="shared" si="183"/>
        <v>0</v>
      </c>
      <c r="FP115" s="212">
        <f t="shared" si="298"/>
        <v>0</v>
      </c>
      <c r="FQ115" s="213">
        <f t="shared" si="184"/>
        <v>1000000</v>
      </c>
      <c r="FV115" s="359"/>
      <c r="FX115" s="308">
        <f t="shared" ca="1" si="185"/>
        <v>10</v>
      </c>
      <c r="FY115" s="309">
        <f t="shared" si="235"/>
        <v>0</v>
      </c>
      <c r="FZ115" s="268">
        <f t="shared" si="186"/>
        <v>0</v>
      </c>
      <c r="GA115" s="33">
        <f t="shared" si="236"/>
        <v>0</v>
      </c>
      <c r="GB115" s="33">
        <f t="shared" si="292"/>
        <v>0</v>
      </c>
      <c r="GC115" s="33">
        <f t="shared" si="293"/>
        <v>0</v>
      </c>
      <c r="GD115" s="33">
        <f>IF(GJ114&lt;0.01,0,IF(Plus!$F$22=Plus!$AN$4,0,IF(Plus!$F$22=Plus!$AN$3,GJ114*Plus!$F$23/1000,GJ114*VLOOKUP(Plus!$G$21,Plus!$AP$2:$AQ$5,2,0))))</f>
        <v>0</v>
      </c>
      <c r="GE115" s="33">
        <f>IF(GJ114&lt;0.01,0,IF(Plus!$F$24=Plus!$AO$3,0,IF(OR(Plus!$F$10=Plus!$AK$7,Plus!$F$10=Plus!$AK$13,Plus!$F$10=Plus!$AK$14),0,IF(OR(Plus!$F$10=Plus!$AK$10,Plus!$F$10=Plus!$AK$11),Plus!$G$13*Adm!$W$7,Plus!$G$13*Adm!$X$4))))</f>
        <v>0</v>
      </c>
      <c r="GF115" s="33">
        <f>IF(GJ114&lt;0.01,0,IF(OR(Plus!$F$10=Plus!$AK$7,Plus!$F$10=Plus!$AK$13),0,Plus!$BD$2*1.16))</f>
        <v>0</v>
      </c>
      <c r="GG115" s="33">
        <f>IF(GJ114&lt;0.01,0,IF(Plus!$AS$2&gt;0,GA115*Plus!$AS$3,0))</f>
        <v>0</v>
      </c>
      <c r="GH115" s="33">
        <f t="shared" si="237"/>
        <v>0</v>
      </c>
      <c r="GI115" s="33">
        <f>IF(Plus!$F$10=Plus!$AK$3,MIN(GJ114+GA115+GD115+GE115+GF115-GH115,GU115),0)</f>
        <v>0</v>
      </c>
      <c r="GJ115" s="311">
        <f t="shared" si="286"/>
        <v>0</v>
      </c>
      <c r="GK115" s="340">
        <f>Plus!O156</f>
        <v>0</v>
      </c>
      <c r="GL115" s="74"/>
      <c r="GM115" s="74"/>
      <c r="GN115" s="419">
        <f t="shared" si="283"/>
        <v>0</v>
      </c>
      <c r="GQ115" s="90">
        <f t="shared" si="238"/>
        <v>7</v>
      </c>
      <c r="GR115" s="121">
        <f t="shared" si="272"/>
        <v>0</v>
      </c>
      <c r="GT115" s="149">
        <f t="shared" si="273"/>
        <v>0</v>
      </c>
      <c r="GU115" s="2179">
        <f t="shared" ca="1" si="239"/>
        <v>0</v>
      </c>
      <c r="GW115" s="120">
        <f t="shared" si="274"/>
        <v>0</v>
      </c>
      <c r="GX115" s="110">
        <f t="shared" si="240"/>
        <v>0</v>
      </c>
      <c r="GY115" s="110">
        <f t="shared" si="241"/>
        <v>0</v>
      </c>
      <c r="GZ115" s="109">
        <f t="shared" si="242"/>
        <v>0</v>
      </c>
      <c r="HA115" s="109">
        <f t="shared" si="187"/>
        <v>0</v>
      </c>
      <c r="HB115" s="113">
        <f t="shared" si="243"/>
        <v>0</v>
      </c>
      <c r="HD115" s="102">
        <f t="shared" si="244"/>
        <v>0</v>
      </c>
      <c r="HE115" s="211">
        <f t="shared" si="279"/>
        <v>91</v>
      </c>
      <c r="HF115" s="212">
        <f t="shared" si="245"/>
        <v>0</v>
      </c>
      <c r="HG115" s="212">
        <f t="shared" si="188"/>
        <v>0</v>
      </c>
      <c r="HH115" s="212">
        <f t="shared" si="299"/>
        <v>0</v>
      </c>
      <c r="HI115" s="213">
        <f t="shared" si="189"/>
        <v>1000000</v>
      </c>
      <c r="HL115" s="182"/>
      <c r="HM115" s="26">
        <f t="shared" ca="1" si="190"/>
        <v>10</v>
      </c>
      <c r="HO115" s="268">
        <f t="shared" si="191"/>
        <v>0</v>
      </c>
      <c r="HP115" s="151">
        <f t="shared" si="157"/>
        <v>0</v>
      </c>
      <c r="HQ115" s="123">
        <f t="shared" si="246"/>
        <v>0</v>
      </c>
      <c r="HR115" s="123">
        <f t="shared" si="247"/>
        <v>0</v>
      </c>
      <c r="HS115" s="123">
        <f t="shared" si="248"/>
        <v>0</v>
      </c>
      <c r="HT115" s="123">
        <f>IF(HY114&lt;0.01,0,IF(Adm!$GS$4=Adm!$GS$8,HY114*$HY$15,IF(Adm!$GS$12=Adm!$GS$13,0,HY114*Adm!$GV$4)))</f>
        <v>0</v>
      </c>
      <c r="HU115" s="123">
        <f>IF(HY114&lt;0.01,0,IF(Adm!$GS$5=Adm!$GS$8,Cal!$BO$108*$HY$16/1.16,IF(Adm!$GS$12=Adm!$GS$13,0,Cal!$BO$108*Adm!$GW$4/1.16)))</f>
        <v>0</v>
      </c>
      <c r="HV115" s="123">
        <f t="shared" si="249"/>
        <v>0</v>
      </c>
      <c r="HW115" s="123">
        <f t="shared" si="192"/>
        <v>0</v>
      </c>
      <c r="HX115" s="123">
        <f>IF(Adm!$GH$6="si",MIN(HY114+HQ115+HT115+HU115+HV115-HW115,IH115),0)</f>
        <v>0</v>
      </c>
      <c r="HY115" s="297">
        <f t="shared" si="250"/>
        <v>0</v>
      </c>
      <c r="HZ115" s="74"/>
      <c r="IA115" s="407">
        <f t="shared" si="251"/>
        <v>0</v>
      </c>
      <c r="IC115" s="90">
        <f t="shared" si="252"/>
        <v>7</v>
      </c>
      <c r="ID115" s="124">
        <f>IF(IC115=1,Cal!$BO$127,0)</f>
        <v>0</v>
      </c>
      <c r="IE115" s="178">
        <f>IF(IC115=1,Adm!$HI$4,0)</f>
        <v>0</v>
      </c>
      <c r="IG115" s="70">
        <f t="shared" si="275"/>
        <v>0</v>
      </c>
      <c r="IH115" s="2178">
        <f t="shared" ca="1" si="253"/>
        <v>0</v>
      </c>
      <c r="IK115" s="217"/>
      <c r="IL115" s="26">
        <f t="shared" ca="1" si="193"/>
        <v>10</v>
      </c>
      <c r="IN115" s="268">
        <f t="shared" si="194"/>
        <v>0</v>
      </c>
      <c r="IO115" s="151">
        <f t="shared" si="154"/>
        <v>0</v>
      </c>
      <c r="IP115" s="123">
        <f t="shared" si="254"/>
        <v>0</v>
      </c>
      <c r="IQ115" s="123">
        <f t="shared" si="255"/>
        <v>0</v>
      </c>
      <c r="IR115" s="123">
        <f t="shared" si="256"/>
        <v>0</v>
      </c>
      <c r="IS115" s="123">
        <f>IF(IX114&lt;0.01,0,IF(Adm!$GS$4=Adm!$GS$8,IX114*$IX$15,IF(Adm!$GS$12=Adm!$GS$13,0,IX114*Adm!$GV$4)))</f>
        <v>0</v>
      </c>
      <c r="IT115" s="123"/>
      <c r="IU115" s="123">
        <f t="shared" si="257"/>
        <v>0</v>
      </c>
      <c r="IV115" s="123">
        <f t="shared" si="258"/>
        <v>0</v>
      </c>
      <c r="IW115" s="123"/>
      <c r="IX115" s="297">
        <f t="shared" si="259"/>
        <v>0</v>
      </c>
      <c r="IY115" s="74"/>
      <c r="IZ115" s="416">
        <f t="shared" si="260"/>
        <v>0</v>
      </c>
      <c r="JB115" s="90">
        <f t="shared" si="261"/>
        <v>7</v>
      </c>
      <c r="JC115" s="124">
        <f>IF(JB115=1,Cal!$BP$127,0)</f>
        <v>0</v>
      </c>
      <c r="JD115" s="178">
        <f>IF(JB115=1,Adm!$HI$4,0)</f>
        <v>0</v>
      </c>
    </row>
    <row r="116" spans="1:264">
      <c r="A116" s="26">
        <f t="shared" ca="1" si="162"/>
        <v>11</v>
      </c>
      <c r="C116" s="33">
        <f t="shared" si="163"/>
        <v>0</v>
      </c>
      <c r="D116" s="123">
        <f t="shared" si="195"/>
        <v>0</v>
      </c>
      <c r="E116" s="123">
        <f t="shared" si="287"/>
        <v>0</v>
      </c>
      <c r="F116" s="123">
        <f t="shared" si="295"/>
        <v>0</v>
      </c>
      <c r="G116" s="123">
        <f>IF(L115&lt;0.01,0,IF(Adm!$S$4=Adm!$S$8,L115*$L$15,L115*Adm!$V$4))</f>
        <v>0</v>
      </c>
      <c r="H116" s="123">
        <f>IF(L115&lt;0.01,0,IF(Adm!$S$5=Adm!$S$8,Adm!$AA$11*$L$16/1.16,IF(Adm!$B$4=Adm!$A$119,0,Adm!$AA$11*Adm!$X$4/1.16)))</f>
        <v>0</v>
      </c>
      <c r="I116" s="123">
        <f>IF(L115&lt;0.01,0,Cal!$AB$126/1.16)</f>
        <v>0</v>
      </c>
      <c r="J116" s="123">
        <f t="shared" si="164"/>
        <v>0</v>
      </c>
      <c r="K116" s="123">
        <f>IF(Adm!$G$4="si",MIN(L115+D116+G116+H116+I116-J116,V116),0)</f>
        <v>0</v>
      </c>
      <c r="L116" s="123">
        <f t="shared" si="196"/>
        <v>0</v>
      </c>
      <c r="M116" s="74"/>
      <c r="N116" s="74"/>
      <c r="O116" s="407">
        <f t="shared" si="197"/>
        <v>0</v>
      </c>
      <c r="R116" s="90">
        <f t="shared" si="198"/>
        <v>8</v>
      </c>
      <c r="S116" s="121">
        <f>IF(R116=1,Cal!$AB$127,0)</f>
        <v>0</v>
      </c>
      <c r="U116" s="70">
        <f t="shared" si="262"/>
        <v>0</v>
      </c>
      <c r="V116" s="2178">
        <f t="shared" ca="1" si="199"/>
        <v>0</v>
      </c>
      <c r="X116" s="398"/>
      <c r="Z116" s="268">
        <f t="shared" si="165"/>
        <v>0</v>
      </c>
      <c r="AA116" s="2176">
        <f t="shared" si="200"/>
        <v>0</v>
      </c>
      <c r="AB116" s="33">
        <f t="shared" si="201"/>
        <v>0</v>
      </c>
      <c r="AC116" s="33">
        <f t="shared" si="202"/>
        <v>0</v>
      </c>
      <c r="AD116" s="33">
        <f>IF(AI115&lt;0.01,0,IF(Adm!$S$4=Adm!$S$8,AI115*$AI$15,AI115*Adm!$V$4))</f>
        <v>0</v>
      </c>
      <c r="AE116" s="33"/>
      <c r="AF116" s="33"/>
      <c r="AG116" s="33">
        <f t="shared" si="166"/>
        <v>0</v>
      </c>
      <c r="AH116" s="33"/>
      <c r="AI116" s="401">
        <f t="shared" si="167"/>
        <v>0</v>
      </c>
      <c r="AK116" s="410">
        <f t="shared" si="168"/>
        <v>0</v>
      </c>
      <c r="AN116" s="90">
        <f t="shared" si="203"/>
        <v>8</v>
      </c>
      <c r="AO116" s="121">
        <f>IF(AN116=1,Cal!$AC$127,0)</f>
        <v>0</v>
      </c>
      <c r="AS116" s="200"/>
      <c r="AU116" s="268">
        <f t="shared" si="169"/>
        <v>0</v>
      </c>
      <c r="AV116" s="2177">
        <f t="shared" si="204"/>
        <v>0</v>
      </c>
      <c r="AW116" s="123">
        <f t="shared" si="170"/>
        <v>0</v>
      </c>
      <c r="AX116" s="123">
        <f t="shared" si="205"/>
        <v>0</v>
      </c>
      <c r="AY116" s="123">
        <f>IF(BC115&lt;0.01,0,IF(Adm!$S$4=Adm!$S$8,BC115*$BC$16,BC115*Adm!$V$4))</f>
        <v>0</v>
      </c>
      <c r="AZ116" s="123"/>
      <c r="BA116" s="123">
        <f>IF(BC115&lt;0.01,0,Adm!$Q$6)</f>
        <v>0</v>
      </c>
      <c r="BB116" s="123">
        <f t="shared" si="171"/>
        <v>0</v>
      </c>
      <c r="BC116" s="297">
        <f t="shared" si="206"/>
        <v>0</v>
      </c>
      <c r="BE116" s="425">
        <f t="shared" si="172"/>
        <v>0</v>
      </c>
      <c r="BH116" s="90">
        <f t="shared" si="207"/>
        <v>8</v>
      </c>
      <c r="BI116" s="121">
        <f>IF(BH116=1,Cal!$AD$127,0)</f>
        <v>0</v>
      </c>
      <c r="BM116" s="221"/>
      <c r="BO116" s="295">
        <f t="shared" ca="1" si="173"/>
        <v>11</v>
      </c>
      <c r="BP116" s="268">
        <f t="shared" si="174"/>
        <v>0</v>
      </c>
      <c r="BQ116" s="123">
        <f t="shared" si="208"/>
        <v>0</v>
      </c>
      <c r="BR116" s="123">
        <f t="shared" si="288"/>
        <v>0</v>
      </c>
      <c r="BS116" s="123">
        <f t="shared" si="296"/>
        <v>0</v>
      </c>
      <c r="BT116" s="123">
        <f>IF(BZ115&lt;0.01,0,IF(Plus!$F$22=Plus!$AN$4,BZ115*$BZ$15,IF(Plus!$F$22=Plus!$AN$3,BZ115*Plus!$F$23/1000,BZ115*VLOOKUP(Plus!$G$21,Plus!$AP$2:'Plus'!$AQ$5,2,0))))</f>
        <v>0</v>
      </c>
      <c r="BU116" s="123">
        <f>IF(BZ115&lt;0.01,0,IF(Plus!$F$24=Plus!$AO$3,Plus!$G$13*Plus!$AR$2/1.16,IF(Plus!$F$10=Plus!$AK$7,0,Plus!$G$13*Plus!$AR$2/1.16)))</f>
        <v>0</v>
      </c>
      <c r="BV116" s="123">
        <f>IF(BZ115&lt;0.01,0,Plus!$BD$2)</f>
        <v>0</v>
      </c>
      <c r="BW116" s="123"/>
      <c r="BX116" s="123">
        <f t="shared" si="175"/>
        <v>0</v>
      </c>
      <c r="BY116" s="123">
        <f>IF(Plus!$F$10=Plus!$AK$3,MIN(BZ115+BQ116+BT116+BU116+BV116-BX116,CJ116),0)</f>
        <v>0</v>
      </c>
      <c r="BZ116" s="297">
        <f t="shared" si="280"/>
        <v>0</v>
      </c>
      <c r="CA116" s="74"/>
      <c r="CB116" s="74"/>
      <c r="CC116" s="413">
        <f t="shared" si="209"/>
        <v>0</v>
      </c>
      <c r="CF116" s="90">
        <f t="shared" si="210"/>
        <v>8</v>
      </c>
      <c r="CG116" s="121">
        <f t="shared" si="263"/>
        <v>0</v>
      </c>
      <c r="CI116" s="70">
        <f t="shared" si="264"/>
        <v>0</v>
      </c>
      <c r="CJ116" s="2178">
        <f t="shared" ca="1" si="211"/>
        <v>0</v>
      </c>
      <c r="CL116" s="161"/>
      <c r="CN116" s="308">
        <f t="shared" ca="1" si="176"/>
        <v>11</v>
      </c>
      <c r="CO116" s="309">
        <f t="shared" si="212"/>
        <v>0</v>
      </c>
      <c r="CP116" s="268">
        <f t="shared" si="177"/>
        <v>0</v>
      </c>
      <c r="CQ116" s="123">
        <f t="shared" si="213"/>
        <v>0</v>
      </c>
      <c r="CR116" s="123">
        <f t="shared" si="289"/>
        <v>0</v>
      </c>
      <c r="CS116" s="123">
        <f t="shared" si="290"/>
        <v>0</v>
      </c>
      <c r="CT116" s="33">
        <f>IF(CZ115&lt;0.01,0,IF(Plus!$F$22=Plus!$AN$4,0,IF(Plus!$F$22=Plus!$AN$3,CZ115*Plus!$F$23/1000,CZ115*VLOOKUP(Plus!$G$21,Plus!$AP$2:'Plus'!$AQ$5,2,0))))</f>
        <v>0</v>
      </c>
      <c r="CU116" s="123">
        <f>IF(CZ115&lt;0.01,0,IF(Plus!$F$24=Plus!$AO$3,0,IF(OR(Plus!$F$10=Plus!$AK$7,Plus!$F$10=Plus!$AK$13),0,Plus!$G$13*Plus!$AR$2)))</f>
        <v>0</v>
      </c>
      <c r="CV116" s="123">
        <f>IF(CZ115&lt;0.01,0,IF(OR(Plus!$F$10=Plus!$AK$7,Plus!$F$10=Plus!$AK$13),0,Plus!$BD$2*1.16))</f>
        <v>0</v>
      </c>
      <c r="CW116" s="123">
        <f>IF(CZ115&lt;0.01,0,IF(Plus!$AS$2&gt;0,CQ116*Plus!$AS$3,0))</f>
        <v>0</v>
      </c>
      <c r="CX116" s="123">
        <f t="shared" si="214"/>
        <v>0</v>
      </c>
      <c r="CY116" s="123">
        <f>IF(Plus!$F$10=Plus!$AK$3,MIN(CZ115+CQ116+CT116+CU116+CV116-CX116,DK116),0)</f>
        <v>0</v>
      </c>
      <c r="CZ116" s="297">
        <f t="shared" si="294"/>
        <v>0</v>
      </c>
      <c r="DA116" s="306">
        <f>Plus!O157</f>
        <v>0</v>
      </c>
      <c r="DB116" s="74"/>
      <c r="DC116" s="74"/>
      <c r="DD116" s="407">
        <f t="shared" si="215"/>
        <v>0</v>
      </c>
      <c r="DG116" s="90">
        <f t="shared" si="216"/>
        <v>8</v>
      </c>
      <c r="DH116" s="121">
        <f t="shared" si="265"/>
        <v>0</v>
      </c>
      <c r="DJ116" s="149">
        <f t="shared" si="266"/>
        <v>0</v>
      </c>
      <c r="DK116" s="2179">
        <f t="shared" ca="1" si="217"/>
        <v>0</v>
      </c>
      <c r="DN116" s="120">
        <f t="shared" si="267"/>
        <v>0</v>
      </c>
      <c r="DO116" s="110">
        <f t="shared" si="218"/>
        <v>0</v>
      </c>
      <c r="DP116" s="110">
        <f t="shared" si="276"/>
        <v>0</v>
      </c>
      <c r="DQ116" s="109">
        <f t="shared" si="219"/>
        <v>0</v>
      </c>
      <c r="DR116" s="109">
        <f t="shared" si="220"/>
        <v>0</v>
      </c>
      <c r="DS116" s="113">
        <f t="shared" si="221"/>
        <v>0</v>
      </c>
      <c r="DU116" s="102">
        <f t="shared" si="222"/>
        <v>0</v>
      </c>
      <c r="DV116" s="211">
        <f t="shared" si="277"/>
        <v>92</v>
      </c>
      <c r="DW116" s="212">
        <f t="shared" si="223"/>
        <v>0</v>
      </c>
      <c r="DX116" s="212">
        <f t="shared" si="178"/>
        <v>0</v>
      </c>
      <c r="DY116" s="212">
        <f t="shared" si="268"/>
        <v>0</v>
      </c>
      <c r="DZ116" s="213">
        <f t="shared" si="179"/>
        <v>1000000</v>
      </c>
      <c r="ED116" s="182"/>
      <c r="EF116" s="308">
        <f t="shared" ca="1" si="180"/>
        <v>11</v>
      </c>
      <c r="EG116" s="309">
        <f t="shared" si="224"/>
        <v>0</v>
      </c>
      <c r="EH116" s="268">
        <f t="shared" si="181"/>
        <v>0</v>
      </c>
      <c r="EI116" s="33">
        <f t="shared" si="225"/>
        <v>0</v>
      </c>
      <c r="EJ116" s="33">
        <f t="shared" si="291"/>
        <v>0</v>
      </c>
      <c r="EK116" s="33">
        <f t="shared" si="297"/>
        <v>0</v>
      </c>
      <c r="EL116" s="33">
        <f>IF(ER115&lt;0.01,0,IF(Plus!$F$22=Plus!$AN$4,0,IF(Plus!$F$22=Plus!$AN$3,ER115*Plus!$F$23/1000,ER115*VLOOKUP(Plus!$G$21,Plus!$AP$2:'Plus'!$AQ$5,2,0))))</f>
        <v>0</v>
      </c>
      <c r="EM116" s="33">
        <f>IF(ER115&lt;0.01,0,IF(Plus!$F$24=Plus!$AO$3,0,IF(OR(Plus!$F$10=Plus!$AK$7,Plus!$F$10=Plus!$AK$13),0,Plus!$G$13*Plus!$AR$2)))</f>
        <v>0</v>
      </c>
      <c r="EN116" s="33">
        <f>IF(ER115&lt;0.01,0,IF(OR(Plus!$F$10=Plus!$AK$7,Plus!$F$10=Plus!$AK$13),0,Plus!$BD$2*1.16))</f>
        <v>0</v>
      </c>
      <c r="EO116" s="33">
        <f>IF(ER115&lt;0.01,0,IF(Plus!$AS$2&gt;0,EI116*Plus!$AS$3,0))</f>
        <v>0</v>
      </c>
      <c r="EP116" s="33">
        <f t="shared" si="226"/>
        <v>0</v>
      </c>
      <c r="EQ116" s="33">
        <f>IF(Plus!$F$10=Plus!$AK$3,MIN(ER115+EI116+EL116+EM116+EN116-EP116,FC116),0)</f>
        <v>0</v>
      </c>
      <c r="ER116" s="311">
        <f t="shared" si="285"/>
        <v>0</v>
      </c>
      <c r="ES116" s="340">
        <f>Plus!O157</f>
        <v>0</v>
      </c>
      <c r="ET116" s="74"/>
      <c r="EU116" s="74"/>
      <c r="EV116" s="416">
        <f t="shared" si="281"/>
        <v>0</v>
      </c>
      <c r="EY116" s="90">
        <f t="shared" si="227"/>
        <v>8</v>
      </c>
      <c r="EZ116" s="121">
        <f t="shared" si="269"/>
        <v>0</v>
      </c>
      <c r="FB116" s="149">
        <f t="shared" si="270"/>
        <v>0</v>
      </c>
      <c r="FC116" s="2179">
        <f t="shared" ca="1" si="228"/>
        <v>0</v>
      </c>
      <c r="FE116" s="120">
        <f t="shared" si="271"/>
        <v>0</v>
      </c>
      <c r="FF116" s="110">
        <f t="shared" si="229"/>
        <v>0</v>
      </c>
      <c r="FG116" s="110">
        <f t="shared" si="230"/>
        <v>0</v>
      </c>
      <c r="FH116" s="109">
        <f t="shared" si="231"/>
        <v>0</v>
      </c>
      <c r="FI116" s="109">
        <f t="shared" si="182"/>
        <v>0</v>
      </c>
      <c r="FJ116" s="113">
        <f t="shared" si="232"/>
        <v>0</v>
      </c>
      <c r="FL116" s="102">
        <f t="shared" si="233"/>
        <v>0</v>
      </c>
      <c r="FM116" s="211">
        <f t="shared" si="278"/>
        <v>92</v>
      </c>
      <c r="FN116" s="212">
        <f t="shared" si="234"/>
        <v>0</v>
      </c>
      <c r="FO116" s="212">
        <f t="shared" si="183"/>
        <v>0</v>
      </c>
      <c r="FP116" s="212">
        <f t="shared" si="298"/>
        <v>0</v>
      </c>
      <c r="FQ116" s="213">
        <f t="shared" si="184"/>
        <v>1000000</v>
      </c>
      <c r="FV116" s="359"/>
      <c r="FX116" s="308">
        <f t="shared" ca="1" si="185"/>
        <v>11</v>
      </c>
      <c r="FY116" s="309">
        <f t="shared" si="235"/>
        <v>0</v>
      </c>
      <c r="FZ116" s="268">
        <f t="shared" si="186"/>
        <v>0</v>
      </c>
      <c r="GA116" s="33">
        <f t="shared" si="236"/>
        <v>0</v>
      </c>
      <c r="GB116" s="33">
        <f t="shared" si="292"/>
        <v>0</v>
      </c>
      <c r="GC116" s="33">
        <f t="shared" si="293"/>
        <v>0</v>
      </c>
      <c r="GD116" s="33">
        <f>IF(GJ115&lt;0.01,0,IF(Plus!$F$22=Plus!$AN$4,0,IF(Plus!$F$22=Plus!$AN$3,GJ115*Plus!$F$23/1000,GJ115*VLOOKUP(Plus!$G$21,Plus!$AP$2:$AQ$5,2,0))))</f>
        <v>0</v>
      </c>
      <c r="GE116" s="33">
        <f>IF(GJ115&lt;0.01,0,IF(Plus!$F$24=Plus!$AO$3,0,IF(OR(Plus!$F$10=Plus!$AK$7,Plus!$F$10=Plus!$AK$13,Plus!$F$10=Plus!$AK$14),0,IF(OR(Plus!$F$10=Plus!$AK$10,Plus!$F$10=Plus!$AK$11),Plus!$G$13*Adm!$W$7,Plus!$G$13*Adm!$X$4))))</f>
        <v>0</v>
      </c>
      <c r="GF116" s="33">
        <f>IF(GJ115&lt;0.01,0,IF(OR(Plus!$F$10=Plus!$AK$7,Plus!$F$10=Plus!$AK$13),0,Plus!$BD$2*1.16))</f>
        <v>0</v>
      </c>
      <c r="GG116" s="33">
        <f>IF(GJ115&lt;0.01,0,IF(Plus!$AS$2&gt;0,GA116*Plus!$AS$3,0))</f>
        <v>0</v>
      </c>
      <c r="GH116" s="33">
        <f t="shared" si="237"/>
        <v>0</v>
      </c>
      <c r="GI116" s="33">
        <f>IF(Plus!$F$10=Plus!$AK$3,MIN(GJ115+GA116+GD116+GE116+GF116-GH116,GU116),0)</f>
        <v>0</v>
      </c>
      <c r="GJ116" s="311">
        <f t="shared" si="286"/>
        <v>0</v>
      </c>
      <c r="GK116" s="340">
        <f>Plus!O157</f>
        <v>0</v>
      </c>
      <c r="GL116" s="74"/>
      <c r="GM116" s="74"/>
      <c r="GN116" s="419">
        <f t="shared" si="283"/>
        <v>0</v>
      </c>
      <c r="GQ116" s="90">
        <f t="shared" si="238"/>
        <v>8</v>
      </c>
      <c r="GR116" s="121">
        <f t="shared" si="272"/>
        <v>0</v>
      </c>
      <c r="GT116" s="149">
        <f t="shared" si="273"/>
        <v>0</v>
      </c>
      <c r="GU116" s="2179">
        <f t="shared" ca="1" si="239"/>
        <v>0</v>
      </c>
      <c r="GW116" s="120">
        <f t="shared" si="274"/>
        <v>0</v>
      </c>
      <c r="GX116" s="110">
        <f t="shared" si="240"/>
        <v>0</v>
      </c>
      <c r="GY116" s="110">
        <f t="shared" si="241"/>
        <v>0</v>
      </c>
      <c r="GZ116" s="109">
        <f t="shared" si="242"/>
        <v>0</v>
      </c>
      <c r="HA116" s="109">
        <f t="shared" si="187"/>
        <v>0</v>
      </c>
      <c r="HB116" s="113">
        <f t="shared" si="243"/>
        <v>0</v>
      </c>
      <c r="HD116" s="102">
        <f t="shared" si="244"/>
        <v>0</v>
      </c>
      <c r="HE116" s="211">
        <f t="shared" si="279"/>
        <v>92</v>
      </c>
      <c r="HF116" s="212">
        <f t="shared" si="245"/>
        <v>0</v>
      </c>
      <c r="HG116" s="212">
        <f t="shared" si="188"/>
        <v>0</v>
      </c>
      <c r="HH116" s="212">
        <f t="shared" si="299"/>
        <v>0</v>
      </c>
      <c r="HI116" s="213">
        <f t="shared" si="189"/>
        <v>1000000</v>
      </c>
      <c r="HL116" s="182"/>
      <c r="HM116" s="26">
        <f t="shared" ca="1" si="190"/>
        <v>11</v>
      </c>
      <c r="HO116" s="268">
        <f t="shared" si="191"/>
        <v>0</v>
      </c>
      <c r="HP116" s="151">
        <f t="shared" si="157"/>
        <v>0</v>
      </c>
      <c r="HQ116" s="123">
        <f t="shared" si="246"/>
        <v>0</v>
      </c>
      <c r="HR116" s="123">
        <f t="shared" si="247"/>
        <v>0</v>
      </c>
      <c r="HS116" s="123">
        <f t="shared" si="248"/>
        <v>0</v>
      </c>
      <c r="HT116" s="123">
        <f>IF(HY115&lt;0.01,0,IF(Adm!$GS$4=Adm!$GS$8,HY115*$HY$15,IF(Adm!$GS$12=Adm!$GS$13,0,HY115*Adm!$GV$4)))</f>
        <v>0</v>
      </c>
      <c r="HU116" s="123">
        <f>IF(HY115&lt;0.01,0,IF(Adm!$GS$5=Adm!$GS$8,Cal!$BO$108*$HY$16/1.16,IF(Adm!$GS$12=Adm!$GS$13,0,Cal!$BO$108*Adm!$GW$4/1.16)))</f>
        <v>0</v>
      </c>
      <c r="HV116" s="123">
        <f t="shared" si="249"/>
        <v>0</v>
      </c>
      <c r="HW116" s="123">
        <f t="shared" si="192"/>
        <v>0</v>
      </c>
      <c r="HX116" s="123">
        <f>IF(Adm!$GH$6="si",MIN(HY115+HQ116+HT116+HU116+HV116-HW116,IH116),0)</f>
        <v>0</v>
      </c>
      <c r="HY116" s="297">
        <f t="shared" si="250"/>
        <v>0</v>
      </c>
      <c r="HZ116" s="74"/>
      <c r="IA116" s="407">
        <f t="shared" si="251"/>
        <v>0</v>
      </c>
      <c r="IC116" s="90">
        <f t="shared" si="252"/>
        <v>8</v>
      </c>
      <c r="ID116" s="124">
        <f>IF(IC116=1,Cal!$BO$127,0)</f>
        <v>0</v>
      </c>
      <c r="IE116" s="178">
        <f>IF(IC116=1,Adm!$HI$4,0)</f>
        <v>0</v>
      </c>
      <c r="IG116" s="70">
        <f t="shared" si="275"/>
        <v>0</v>
      </c>
      <c r="IH116" s="2178">
        <f t="shared" ca="1" si="253"/>
        <v>0</v>
      </c>
      <c r="IK116" s="217"/>
      <c r="IL116" s="26">
        <f t="shared" ca="1" si="193"/>
        <v>11</v>
      </c>
      <c r="IN116" s="268">
        <f t="shared" si="194"/>
        <v>0</v>
      </c>
      <c r="IO116" s="151">
        <f t="shared" si="154"/>
        <v>0</v>
      </c>
      <c r="IP116" s="123">
        <f t="shared" si="254"/>
        <v>0</v>
      </c>
      <c r="IQ116" s="123">
        <f t="shared" si="255"/>
        <v>0</v>
      </c>
      <c r="IR116" s="123">
        <f t="shared" si="256"/>
        <v>0</v>
      </c>
      <c r="IS116" s="123">
        <f>IF(IX115&lt;0.01,0,IF(Adm!$GS$4=Adm!$GS$8,IX115*$IX$15,IF(Adm!$GS$12=Adm!$GS$13,0,IX115*Adm!$GV$4)))</f>
        <v>0</v>
      </c>
      <c r="IT116" s="123"/>
      <c r="IU116" s="123">
        <f t="shared" si="257"/>
        <v>0</v>
      </c>
      <c r="IV116" s="123">
        <f t="shared" si="258"/>
        <v>0</v>
      </c>
      <c r="IW116" s="123"/>
      <c r="IX116" s="297">
        <f t="shared" si="259"/>
        <v>0</v>
      </c>
      <c r="IY116" s="74"/>
      <c r="IZ116" s="416">
        <f t="shared" si="260"/>
        <v>0</v>
      </c>
      <c r="JB116" s="90">
        <f t="shared" si="261"/>
        <v>8</v>
      </c>
      <c r="JC116" s="124">
        <f>IF(JB116=1,Cal!$BP$127,0)</f>
        <v>0</v>
      </c>
      <c r="JD116" s="178">
        <f>IF(JB116=1,Adm!$HI$4,0)</f>
        <v>0</v>
      </c>
    </row>
    <row r="117" spans="1:264">
      <c r="A117" s="26">
        <f t="shared" ca="1" si="162"/>
        <v>12</v>
      </c>
      <c r="C117" s="33">
        <f t="shared" si="163"/>
        <v>0</v>
      </c>
      <c r="D117" s="123">
        <f t="shared" si="195"/>
        <v>0</v>
      </c>
      <c r="E117" s="123">
        <f t="shared" si="287"/>
        <v>0</v>
      </c>
      <c r="F117" s="123">
        <f t="shared" si="295"/>
        <v>0</v>
      </c>
      <c r="G117" s="123">
        <f>IF(L116&lt;0.01,0,IF(Adm!$S$4=Adm!$S$8,L116*$L$15,L116*Adm!$V$4))</f>
        <v>0</v>
      </c>
      <c r="H117" s="123">
        <f>IF(L116&lt;0.01,0,IF(Adm!$S$5=Adm!$S$8,Adm!$AA$11*$L$16/1.16,IF(Adm!$B$4=Adm!$A$119,0,Adm!$AA$11*Adm!$X$4/1.16)))</f>
        <v>0</v>
      </c>
      <c r="I117" s="123">
        <f>IF(L116&lt;0.01,0,Cal!$AB$126/1.16)</f>
        <v>0</v>
      </c>
      <c r="J117" s="123">
        <f t="shared" si="164"/>
        <v>0</v>
      </c>
      <c r="K117" s="123">
        <f>IF(Adm!$G$4="si",MIN(L116+D117+G117+H117+I117-J117,V117),0)</f>
        <v>0</v>
      </c>
      <c r="L117" s="123">
        <f t="shared" si="196"/>
        <v>0</v>
      </c>
      <c r="M117" s="74"/>
      <c r="N117" s="74"/>
      <c r="O117" s="407">
        <f t="shared" si="197"/>
        <v>0</v>
      </c>
      <c r="R117" s="90">
        <f t="shared" si="198"/>
        <v>9</v>
      </c>
      <c r="S117" s="121">
        <f>IF(R117=1,Cal!$AB$127,0)</f>
        <v>0</v>
      </c>
      <c r="U117" s="70">
        <f t="shared" si="262"/>
        <v>0</v>
      </c>
      <c r="V117" s="2178">
        <f t="shared" ca="1" si="199"/>
        <v>0</v>
      </c>
      <c r="X117" s="398"/>
      <c r="Z117" s="268">
        <f t="shared" si="165"/>
        <v>0</v>
      </c>
      <c r="AA117" s="2176">
        <f t="shared" si="200"/>
        <v>0</v>
      </c>
      <c r="AB117" s="33">
        <f t="shared" si="201"/>
        <v>0</v>
      </c>
      <c r="AC117" s="33">
        <f t="shared" si="202"/>
        <v>0</v>
      </c>
      <c r="AD117" s="33">
        <f>IF(AI116&lt;0.01,0,IF(Adm!$S$4=Adm!$S$8,AI116*$AI$15,AI116*Adm!$V$4))</f>
        <v>0</v>
      </c>
      <c r="AE117" s="33"/>
      <c r="AF117" s="33"/>
      <c r="AG117" s="33">
        <f t="shared" si="166"/>
        <v>0</v>
      </c>
      <c r="AH117" s="33"/>
      <c r="AI117" s="401">
        <f t="shared" si="167"/>
        <v>0</v>
      </c>
      <c r="AK117" s="410">
        <f t="shared" si="168"/>
        <v>0</v>
      </c>
      <c r="AN117" s="90">
        <f t="shared" si="203"/>
        <v>9</v>
      </c>
      <c r="AO117" s="121">
        <f>IF(AN117=1,Cal!$AC$127,0)</f>
        <v>0</v>
      </c>
      <c r="AS117" s="200"/>
      <c r="AU117" s="268">
        <f t="shared" si="169"/>
        <v>0</v>
      </c>
      <c r="AV117" s="2177">
        <f t="shared" si="204"/>
        <v>0</v>
      </c>
      <c r="AW117" s="123">
        <f t="shared" si="170"/>
        <v>0</v>
      </c>
      <c r="AX117" s="123">
        <f t="shared" si="205"/>
        <v>0</v>
      </c>
      <c r="AY117" s="123">
        <f>IF(BC116&lt;0.01,0,IF(Adm!$S$4=Adm!$S$8,BC116*$BC$16,BC116*Adm!$V$4))</f>
        <v>0</v>
      </c>
      <c r="AZ117" s="123"/>
      <c r="BA117" s="123">
        <f>IF(BC116&lt;0.01,0,Adm!$Q$6)</f>
        <v>0</v>
      </c>
      <c r="BB117" s="123">
        <f t="shared" si="171"/>
        <v>0</v>
      </c>
      <c r="BC117" s="297">
        <f t="shared" si="206"/>
        <v>0</v>
      </c>
      <c r="BE117" s="425">
        <f t="shared" si="172"/>
        <v>0</v>
      </c>
      <c r="BH117" s="90">
        <f t="shared" si="207"/>
        <v>9</v>
      </c>
      <c r="BI117" s="121">
        <f>IF(BH117=1,Cal!$AD$127,0)</f>
        <v>0</v>
      </c>
      <c r="BM117" s="221"/>
      <c r="BO117" s="295">
        <f t="shared" ca="1" si="173"/>
        <v>12</v>
      </c>
      <c r="BP117" s="268">
        <f t="shared" si="174"/>
        <v>0</v>
      </c>
      <c r="BQ117" s="123">
        <f t="shared" si="208"/>
        <v>0</v>
      </c>
      <c r="BR117" s="123">
        <f t="shared" si="288"/>
        <v>0</v>
      </c>
      <c r="BS117" s="123">
        <f t="shared" si="296"/>
        <v>0</v>
      </c>
      <c r="BT117" s="123">
        <f>IF(BZ116&lt;0.01,0,IF(Plus!$F$22=Plus!$AN$4,BZ116*$BZ$15,IF(Plus!$F$22=Plus!$AN$3,BZ116*Plus!$F$23/1000,BZ116*VLOOKUP(Plus!$G$21,Plus!$AP$2:'Plus'!$AQ$5,2,0))))</f>
        <v>0</v>
      </c>
      <c r="BU117" s="123">
        <f>IF(BZ116&lt;0.01,0,IF(Plus!$F$24=Plus!$AO$3,Plus!$G$13*Plus!$AR$2/1.16,IF(Plus!$F$10=Plus!$AK$7,0,Plus!$G$13*Plus!$AR$2/1.16)))</f>
        <v>0</v>
      </c>
      <c r="BV117" s="123">
        <f>IF(BZ116&lt;0.01,0,Plus!$BD$2)</f>
        <v>0</v>
      </c>
      <c r="BW117" s="123"/>
      <c r="BX117" s="123">
        <f t="shared" si="175"/>
        <v>0</v>
      </c>
      <c r="BY117" s="123">
        <f>IF(Plus!$F$10=Plus!$AK$3,MIN(BZ116+BQ117+BT117+BU117+BV117-BX117,CJ117),0)</f>
        <v>0</v>
      </c>
      <c r="BZ117" s="297">
        <f t="shared" si="280"/>
        <v>0</v>
      </c>
      <c r="CA117" s="74"/>
      <c r="CB117" s="74"/>
      <c r="CC117" s="413">
        <f t="shared" si="209"/>
        <v>0</v>
      </c>
      <c r="CF117" s="90">
        <f t="shared" si="210"/>
        <v>9</v>
      </c>
      <c r="CG117" s="121">
        <f t="shared" si="263"/>
        <v>0</v>
      </c>
      <c r="CI117" s="70">
        <f t="shared" si="264"/>
        <v>0</v>
      </c>
      <c r="CJ117" s="2178">
        <f t="shared" ca="1" si="211"/>
        <v>0</v>
      </c>
      <c r="CL117" s="161"/>
      <c r="CN117" s="308">
        <f t="shared" ca="1" si="176"/>
        <v>12</v>
      </c>
      <c r="CO117" s="309">
        <f t="shared" si="212"/>
        <v>0</v>
      </c>
      <c r="CP117" s="268">
        <f t="shared" si="177"/>
        <v>0</v>
      </c>
      <c r="CQ117" s="123">
        <f t="shared" si="213"/>
        <v>0</v>
      </c>
      <c r="CR117" s="123">
        <f t="shared" si="289"/>
        <v>0</v>
      </c>
      <c r="CS117" s="123">
        <f t="shared" si="290"/>
        <v>0</v>
      </c>
      <c r="CT117" s="33">
        <f>IF(CZ116&lt;0.01,0,IF(Plus!$F$22=Plus!$AN$4,0,IF(Plus!$F$22=Plus!$AN$3,CZ116*Plus!$F$23/1000,CZ116*VLOOKUP(Plus!$G$21,Plus!$AP$2:'Plus'!$AQ$5,2,0))))</f>
        <v>0</v>
      </c>
      <c r="CU117" s="123">
        <f>IF(CZ116&lt;0.01,0,IF(Plus!$F$24=Plus!$AO$3,0,IF(OR(Plus!$F$10=Plus!$AK$7,Plus!$F$10=Plus!$AK$13),0,Plus!$G$13*Plus!$AR$2)))</f>
        <v>0</v>
      </c>
      <c r="CV117" s="123">
        <f>IF(CZ116&lt;0.01,0,IF(OR(Plus!$F$10=Plus!$AK$7,Plus!$F$10=Plus!$AK$13),0,Plus!$BD$2*1.16))</f>
        <v>0</v>
      </c>
      <c r="CW117" s="123">
        <f>IF(CZ116&lt;0.01,0,IF(Plus!$AS$2&gt;0,CQ117*Plus!$AS$3,0))</f>
        <v>0</v>
      </c>
      <c r="CX117" s="123">
        <f t="shared" si="214"/>
        <v>0</v>
      </c>
      <c r="CY117" s="123">
        <f>IF(Plus!$F$10=Plus!$AK$3,MIN(CZ116+CQ117+CT117+CU117+CV117-CX117,DK117),0)</f>
        <v>0</v>
      </c>
      <c r="CZ117" s="297">
        <f t="shared" si="294"/>
        <v>0</v>
      </c>
      <c r="DA117" s="306">
        <f>Plus!O158</f>
        <v>0</v>
      </c>
      <c r="DB117" s="74"/>
      <c r="DC117" s="74"/>
      <c r="DD117" s="407">
        <f t="shared" si="215"/>
        <v>0</v>
      </c>
      <c r="DG117" s="90">
        <f t="shared" si="216"/>
        <v>9</v>
      </c>
      <c r="DH117" s="121">
        <f t="shared" si="265"/>
        <v>0</v>
      </c>
      <c r="DJ117" s="149">
        <f t="shared" si="266"/>
        <v>0</v>
      </c>
      <c r="DK117" s="2179">
        <f t="shared" ca="1" si="217"/>
        <v>0</v>
      </c>
      <c r="DN117" s="120">
        <f t="shared" si="267"/>
        <v>0</v>
      </c>
      <c r="DO117" s="110">
        <f t="shared" si="218"/>
        <v>0</v>
      </c>
      <c r="DP117" s="110">
        <f t="shared" si="276"/>
        <v>0</v>
      </c>
      <c r="DQ117" s="109">
        <f t="shared" si="219"/>
        <v>0</v>
      </c>
      <c r="DR117" s="109">
        <f t="shared" si="220"/>
        <v>0</v>
      </c>
      <c r="DS117" s="113">
        <f t="shared" si="221"/>
        <v>0</v>
      </c>
      <c r="DU117" s="102">
        <f t="shared" si="222"/>
        <v>0</v>
      </c>
      <c r="DV117" s="211">
        <f t="shared" si="277"/>
        <v>93</v>
      </c>
      <c r="DW117" s="212">
        <f t="shared" si="223"/>
        <v>0</v>
      </c>
      <c r="DX117" s="212">
        <f t="shared" si="178"/>
        <v>0</v>
      </c>
      <c r="DY117" s="212">
        <f t="shared" si="268"/>
        <v>0</v>
      </c>
      <c r="DZ117" s="213">
        <f t="shared" si="179"/>
        <v>1000000</v>
      </c>
      <c r="ED117" s="182"/>
      <c r="EF117" s="308">
        <f t="shared" ca="1" si="180"/>
        <v>12</v>
      </c>
      <c r="EG117" s="309">
        <f t="shared" si="224"/>
        <v>0</v>
      </c>
      <c r="EH117" s="268">
        <f t="shared" si="181"/>
        <v>0</v>
      </c>
      <c r="EI117" s="33">
        <f t="shared" si="225"/>
        <v>0</v>
      </c>
      <c r="EJ117" s="33">
        <f t="shared" si="291"/>
        <v>0</v>
      </c>
      <c r="EK117" s="33">
        <f t="shared" si="297"/>
        <v>0</v>
      </c>
      <c r="EL117" s="33">
        <f>IF(ER116&lt;0.01,0,IF(Plus!$F$22=Plus!$AN$4,0,IF(Plus!$F$22=Plus!$AN$3,ER116*Plus!$F$23/1000,ER116*VLOOKUP(Plus!$G$21,Plus!$AP$2:'Plus'!$AQ$5,2,0))))</f>
        <v>0</v>
      </c>
      <c r="EM117" s="33">
        <f>IF(ER116&lt;0.01,0,IF(Plus!$F$24=Plus!$AO$3,0,IF(OR(Plus!$F$10=Plus!$AK$7,Plus!$F$10=Plus!$AK$13),0,Plus!$G$13*Plus!$AR$2)))</f>
        <v>0</v>
      </c>
      <c r="EN117" s="33">
        <f>IF(ER116&lt;0.01,0,IF(OR(Plus!$F$10=Plus!$AK$7,Plus!$F$10=Plus!$AK$13),0,Plus!$BD$2*1.16))</f>
        <v>0</v>
      </c>
      <c r="EO117" s="33">
        <f>IF(ER116&lt;0.01,0,IF(Plus!$AS$2&gt;0,EI117*Plus!$AS$3,0))</f>
        <v>0</v>
      </c>
      <c r="EP117" s="33">
        <f t="shared" si="226"/>
        <v>0</v>
      </c>
      <c r="EQ117" s="33">
        <f>IF(Plus!$F$10=Plus!$AK$3,MIN(ER116+EI117+EL117+EM117+EN117-EP117,FC117),0)</f>
        <v>0</v>
      </c>
      <c r="ER117" s="311">
        <f t="shared" si="285"/>
        <v>0</v>
      </c>
      <c r="ES117" s="340">
        <f>Plus!O158</f>
        <v>0</v>
      </c>
      <c r="ET117" s="74"/>
      <c r="EU117" s="74"/>
      <c r="EV117" s="416">
        <f t="shared" si="281"/>
        <v>0</v>
      </c>
      <c r="EY117" s="90">
        <f t="shared" si="227"/>
        <v>9</v>
      </c>
      <c r="EZ117" s="121">
        <f t="shared" si="269"/>
        <v>0</v>
      </c>
      <c r="FB117" s="149">
        <f t="shared" si="270"/>
        <v>0</v>
      </c>
      <c r="FC117" s="2179">
        <f t="shared" ca="1" si="228"/>
        <v>0</v>
      </c>
      <c r="FE117" s="120">
        <f t="shared" si="271"/>
        <v>0</v>
      </c>
      <c r="FF117" s="110">
        <f t="shared" si="229"/>
        <v>0</v>
      </c>
      <c r="FG117" s="110">
        <f t="shared" si="230"/>
        <v>0</v>
      </c>
      <c r="FH117" s="109">
        <f t="shared" si="231"/>
        <v>0</v>
      </c>
      <c r="FI117" s="109">
        <f t="shared" si="182"/>
        <v>0</v>
      </c>
      <c r="FJ117" s="113">
        <f t="shared" si="232"/>
        <v>0</v>
      </c>
      <c r="FL117" s="102">
        <f t="shared" si="233"/>
        <v>0</v>
      </c>
      <c r="FM117" s="211">
        <f t="shared" si="278"/>
        <v>93</v>
      </c>
      <c r="FN117" s="212">
        <f t="shared" si="234"/>
        <v>0</v>
      </c>
      <c r="FO117" s="212">
        <f t="shared" si="183"/>
        <v>0</v>
      </c>
      <c r="FP117" s="212">
        <f t="shared" si="298"/>
        <v>0</v>
      </c>
      <c r="FQ117" s="213">
        <f t="shared" si="184"/>
        <v>1000000</v>
      </c>
      <c r="FV117" s="359"/>
      <c r="FX117" s="308">
        <f t="shared" ca="1" si="185"/>
        <v>12</v>
      </c>
      <c r="FY117" s="309">
        <f t="shared" si="235"/>
        <v>0</v>
      </c>
      <c r="FZ117" s="268">
        <f t="shared" si="186"/>
        <v>0</v>
      </c>
      <c r="GA117" s="33">
        <f t="shared" si="236"/>
        <v>0</v>
      </c>
      <c r="GB117" s="33">
        <f t="shared" si="292"/>
        <v>0</v>
      </c>
      <c r="GC117" s="33">
        <f t="shared" si="293"/>
        <v>0</v>
      </c>
      <c r="GD117" s="33">
        <f>IF(GJ116&lt;0.01,0,IF(Plus!$F$22=Plus!$AN$4,0,IF(Plus!$F$22=Plus!$AN$3,GJ116*Plus!$F$23/1000,GJ116*VLOOKUP(Plus!$G$21,Plus!$AP$2:$AQ$5,2,0))))</f>
        <v>0</v>
      </c>
      <c r="GE117" s="33">
        <f>IF(GJ116&lt;0.01,0,IF(Plus!$F$24=Plus!$AO$3,0,IF(OR(Plus!$F$10=Plus!$AK$7,Plus!$F$10=Plus!$AK$13,Plus!$F$10=Plus!$AK$14),0,IF(OR(Plus!$F$10=Plus!$AK$10,Plus!$F$10=Plus!$AK$11),Plus!$G$13*Adm!$W$7,Plus!$G$13*Adm!$X$4))))</f>
        <v>0</v>
      </c>
      <c r="GF117" s="33">
        <f>IF(GJ116&lt;0.01,0,IF(OR(Plus!$F$10=Plus!$AK$7,Plus!$F$10=Plus!$AK$13),0,Plus!$BD$2*1.16))</f>
        <v>0</v>
      </c>
      <c r="GG117" s="33">
        <f>IF(GJ116&lt;0.01,0,IF(Plus!$AS$2&gt;0,GA117*Plus!$AS$3,0))</f>
        <v>0</v>
      </c>
      <c r="GH117" s="33">
        <f t="shared" si="237"/>
        <v>0</v>
      </c>
      <c r="GI117" s="33">
        <f>IF(Plus!$F$10=Plus!$AK$3,MIN(GJ116+GA117+GD117+GE117+GF117-GH117,GU117),0)</f>
        <v>0</v>
      </c>
      <c r="GJ117" s="311">
        <f t="shared" si="286"/>
        <v>0</v>
      </c>
      <c r="GK117" s="340">
        <f>Plus!O158</f>
        <v>0</v>
      </c>
      <c r="GL117" s="74"/>
      <c r="GM117" s="74"/>
      <c r="GN117" s="419">
        <f t="shared" si="283"/>
        <v>0</v>
      </c>
      <c r="GQ117" s="90">
        <f t="shared" si="238"/>
        <v>9</v>
      </c>
      <c r="GR117" s="121">
        <f t="shared" si="272"/>
        <v>0</v>
      </c>
      <c r="GT117" s="149">
        <f t="shared" si="273"/>
        <v>0</v>
      </c>
      <c r="GU117" s="2179">
        <f t="shared" ca="1" si="239"/>
        <v>0</v>
      </c>
      <c r="GW117" s="120">
        <f t="shared" si="274"/>
        <v>0</v>
      </c>
      <c r="GX117" s="110">
        <f t="shared" si="240"/>
        <v>0</v>
      </c>
      <c r="GY117" s="110">
        <f t="shared" si="241"/>
        <v>0</v>
      </c>
      <c r="GZ117" s="109">
        <f t="shared" si="242"/>
        <v>0</v>
      </c>
      <c r="HA117" s="109">
        <f t="shared" si="187"/>
        <v>0</v>
      </c>
      <c r="HB117" s="113">
        <f t="shared" si="243"/>
        <v>0</v>
      </c>
      <c r="HD117" s="102">
        <f t="shared" si="244"/>
        <v>0</v>
      </c>
      <c r="HE117" s="211">
        <f t="shared" si="279"/>
        <v>93</v>
      </c>
      <c r="HF117" s="212">
        <f t="shared" si="245"/>
        <v>0</v>
      </c>
      <c r="HG117" s="212">
        <f t="shared" si="188"/>
        <v>0</v>
      </c>
      <c r="HH117" s="212">
        <f t="shared" si="299"/>
        <v>0</v>
      </c>
      <c r="HI117" s="213">
        <f t="shared" si="189"/>
        <v>1000000</v>
      </c>
      <c r="HL117" s="182"/>
      <c r="HM117" s="26">
        <f t="shared" ca="1" si="190"/>
        <v>12</v>
      </c>
      <c r="HO117" s="268">
        <f t="shared" si="191"/>
        <v>0</v>
      </c>
      <c r="HP117" s="151">
        <f t="shared" si="157"/>
        <v>0</v>
      </c>
      <c r="HQ117" s="123">
        <f t="shared" si="246"/>
        <v>0</v>
      </c>
      <c r="HR117" s="123">
        <f t="shared" si="247"/>
        <v>0</v>
      </c>
      <c r="HS117" s="123">
        <f t="shared" si="248"/>
        <v>0</v>
      </c>
      <c r="HT117" s="123">
        <f>IF(HY116&lt;0.01,0,IF(Adm!$GS$4=Adm!$GS$8,HY116*$HY$15,IF(Adm!$GS$12=Adm!$GS$13,0,HY116*Adm!$GV$4)))</f>
        <v>0</v>
      </c>
      <c r="HU117" s="123">
        <f>IF(HY116&lt;0.01,0,IF(Adm!$GS$5=Adm!$GS$8,Cal!$BO$108*$HY$16/1.16,IF(Adm!$GS$12=Adm!$GS$13,0,Cal!$BO$108*Adm!$GW$4/1.16)))</f>
        <v>0</v>
      </c>
      <c r="HV117" s="123">
        <f t="shared" si="249"/>
        <v>0</v>
      </c>
      <c r="HW117" s="123">
        <f t="shared" si="192"/>
        <v>0</v>
      </c>
      <c r="HX117" s="123">
        <f>IF(Adm!$GH$6="si",MIN(HY116+HQ117+HT117+HU117+HV117-HW117,IH117),0)</f>
        <v>0</v>
      </c>
      <c r="HY117" s="297">
        <f t="shared" si="250"/>
        <v>0</v>
      </c>
      <c r="HZ117" s="74"/>
      <c r="IA117" s="407">
        <f t="shared" si="251"/>
        <v>0</v>
      </c>
      <c r="IC117" s="90">
        <f t="shared" si="252"/>
        <v>9</v>
      </c>
      <c r="ID117" s="124">
        <f>IF(IC117=1,Cal!$BO$127,0)</f>
        <v>0</v>
      </c>
      <c r="IE117" s="178">
        <f>IF(IC117=1,Adm!$HI$4,0)</f>
        <v>0</v>
      </c>
      <c r="IG117" s="70">
        <f t="shared" si="275"/>
        <v>0</v>
      </c>
      <c r="IH117" s="2178">
        <f t="shared" ca="1" si="253"/>
        <v>0</v>
      </c>
      <c r="IK117" s="217"/>
      <c r="IL117" s="26">
        <f t="shared" ca="1" si="193"/>
        <v>12</v>
      </c>
      <c r="IN117" s="268">
        <f t="shared" si="194"/>
        <v>0</v>
      </c>
      <c r="IO117" s="151">
        <f t="shared" si="154"/>
        <v>0</v>
      </c>
      <c r="IP117" s="123">
        <f t="shared" si="254"/>
        <v>0</v>
      </c>
      <c r="IQ117" s="123">
        <f t="shared" si="255"/>
        <v>0</v>
      </c>
      <c r="IR117" s="123">
        <f t="shared" si="256"/>
        <v>0</v>
      </c>
      <c r="IS117" s="123">
        <f>IF(IX116&lt;0.01,0,IF(Adm!$GS$4=Adm!$GS$8,IX116*$IX$15,IF(Adm!$GS$12=Adm!$GS$13,0,IX116*Adm!$GV$4)))</f>
        <v>0</v>
      </c>
      <c r="IT117" s="123"/>
      <c r="IU117" s="123">
        <f t="shared" si="257"/>
        <v>0</v>
      </c>
      <c r="IV117" s="123">
        <f t="shared" si="258"/>
        <v>0</v>
      </c>
      <c r="IW117" s="123"/>
      <c r="IX117" s="297">
        <f t="shared" si="259"/>
        <v>0</v>
      </c>
      <c r="IY117" s="74"/>
      <c r="IZ117" s="416">
        <f t="shared" si="260"/>
        <v>0</v>
      </c>
      <c r="JB117" s="90">
        <f t="shared" si="261"/>
        <v>9</v>
      </c>
      <c r="JC117" s="124">
        <f>IF(JB117=1,Cal!$BP$127,0)</f>
        <v>0</v>
      </c>
      <c r="JD117" s="178">
        <f>IF(JB117=1,Adm!$HI$4,0)</f>
        <v>0</v>
      </c>
    </row>
    <row r="118" spans="1:264">
      <c r="A118" s="26">
        <f t="shared" ca="1" si="162"/>
        <v>1</v>
      </c>
      <c r="C118" s="33">
        <f t="shared" si="163"/>
        <v>0</v>
      </c>
      <c r="D118" s="123">
        <f t="shared" si="195"/>
        <v>0</v>
      </c>
      <c r="E118" s="123">
        <f t="shared" si="287"/>
        <v>0</v>
      </c>
      <c r="F118" s="123">
        <f t="shared" si="295"/>
        <v>0</v>
      </c>
      <c r="G118" s="123">
        <f>IF(L117&lt;0.01,0,IF(Adm!$S$4=Adm!$S$8,L117*$L$15,L117*Adm!$V$4))</f>
        <v>0</v>
      </c>
      <c r="H118" s="123">
        <f>IF(L117&lt;0.01,0,IF(Adm!$S$5=Adm!$S$8,Adm!$AA$11*$L$16/1.16,IF(Adm!$B$4=Adm!$A$119,0,Adm!$AA$11*Adm!$X$4/1.16)))</f>
        <v>0</v>
      </c>
      <c r="I118" s="123">
        <f>IF(L117&lt;0.01,0,Cal!$AB$126/1.16)</f>
        <v>0</v>
      </c>
      <c r="J118" s="123">
        <f t="shared" si="164"/>
        <v>0</v>
      </c>
      <c r="K118" s="123">
        <f>IF(Adm!$G$4="si",MIN(L117+D118+G118+H118+I118-J118,V118),0)</f>
        <v>0</v>
      </c>
      <c r="L118" s="123">
        <f t="shared" si="196"/>
        <v>0</v>
      </c>
      <c r="M118" s="74"/>
      <c r="N118" s="74"/>
      <c r="O118" s="407">
        <f t="shared" si="197"/>
        <v>0</v>
      </c>
      <c r="R118" s="90">
        <f t="shared" si="198"/>
        <v>10</v>
      </c>
      <c r="S118" s="121">
        <f>IF(R118=1,Cal!$AB$127,0)</f>
        <v>0</v>
      </c>
      <c r="U118" s="70">
        <f t="shared" si="262"/>
        <v>0</v>
      </c>
      <c r="V118" s="2178">
        <f t="shared" ca="1" si="199"/>
        <v>0</v>
      </c>
      <c r="X118" s="398"/>
      <c r="Z118" s="268">
        <f t="shared" si="165"/>
        <v>0</v>
      </c>
      <c r="AA118" s="2176">
        <f t="shared" si="200"/>
        <v>0</v>
      </c>
      <c r="AB118" s="33">
        <f t="shared" si="201"/>
        <v>0</v>
      </c>
      <c r="AC118" s="33">
        <f t="shared" si="202"/>
        <v>0</v>
      </c>
      <c r="AD118" s="33">
        <f>IF(AI117&lt;0.01,0,IF(Adm!$S$4=Adm!$S$8,AI117*$AI$15,AI117*Adm!$V$4))</f>
        <v>0</v>
      </c>
      <c r="AE118" s="33"/>
      <c r="AF118" s="33"/>
      <c r="AG118" s="33">
        <f t="shared" si="166"/>
        <v>0</v>
      </c>
      <c r="AH118" s="33"/>
      <c r="AI118" s="401">
        <f t="shared" si="167"/>
        <v>0</v>
      </c>
      <c r="AK118" s="410">
        <f t="shared" si="168"/>
        <v>0</v>
      </c>
      <c r="AN118" s="90">
        <f t="shared" si="203"/>
        <v>10</v>
      </c>
      <c r="AO118" s="121">
        <f>IF(AN118=1,Cal!$AC$127,0)</f>
        <v>0</v>
      </c>
      <c r="AS118" s="200"/>
      <c r="AU118" s="268">
        <f t="shared" si="169"/>
        <v>0</v>
      </c>
      <c r="AV118" s="2177">
        <f t="shared" si="204"/>
        <v>0</v>
      </c>
      <c r="AW118" s="123">
        <f t="shared" si="170"/>
        <v>0</v>
      </c>
      <c r="AX118" s="123">
        <f t="shared" si="205"/>
        <v>0</v>
      </c>
      <c r="AY118" s="123">
        <f>IF(BC117&lt;0.01,0,IF(Adm!$S$4=Adm!$S$8,BC117*$BC$16,BC117*Adm!$V$4))</f>
        <v>0</v>
      </c>
      <c r="AZ118" s="123"/>
      <c r="BA118" s="123">
        <f>IF(BC117&lt;0.01,0,Adm!$Q$6)</f>
        <v>0</v>
      </c>
      <c r="BB118" s="123">
        <f t="shared" si="171"/>
        <v>0</v>
      </c>
      <c r="BC118" s="297">
        <f t="shared" si="206"/>
        <v>0</v>
      </c>
      <c r="BE118" s="425">
        <f t="shared" si="172"/>
        <v>0</v>
      </c>
      <c r="BH118" s="90">
        <f t="shared" si="207"/>
        <v>10</v>
      </c>
      <c r="BI118" s="121">
        <f>IF(BH118=1,Cal!$AD$127,0)</f>
        <v>0</v>
      </c>
      <c r="BM118" s="221"/>
      <c r="BO118" s="295">
        <f t="shared" ca="1" si="173"/>
        <v>1</v>
      </c>
      <c r="BP118" s="268">
        <f t="shared" si="174"/>
        <v>0</v>
      </c>
      <c r="BQ118" s="123">
        <f t="shared" si="208"/>
        <v>0</v>
      </c>
      <c r="BR118" s="123">
        <f t="shared" si="288"/>
        <v>0</v>
      </c>
      <c r="BS118" s="123">
        <f t="shared" si="296"/>
        <v>0</v>
      </c>
      <c r="BT118" s="123">
        <f>IF(BZ117&lt;0.01,0,IF(Plus!$F$22=Plus!$AN$4,BZ117*$BZ$15,IF(Plus!$F$22=Plus!$AN$3,BZ117*Plus!$F$23/1000,BZ117*VLOOKUP(Plus!$G$21,Plus!$AP$2:'Plus'!$AQ$5,2,0))))</f>
        <v>0</v>
      </c>
      <c r="BU118" s="123">
        <f>IF(BZ117&lt;0.01,0,IF(Plus!$F$24=Plus!$AO$3,Plus!$G$13*Plus!$AR$2/1.16,IF(Plus!$F$10=Plus!$AK$7,0,Plus!$G$13*Plus!$AR$2/1.16)))</f>
        <v>0</v>
      </c>
      <c r="BV118" s="123">
        <f>IF(BZ117&lt;0.01,0,Plus!$BD$2)</f>
        <v>0</v>
      </c>
      <c r="BW118" s="123"/>
      <c r="BX118" s="123">
        <f t="shared" si="175"/>
        <v>0</v>
      </c>
      <c r="BY118" s="123">
        <f>IF(Plus!$F$10=Plus!$AK$3,MIN(BZ117+BQ118+BT118+BU118+BV118-BX118,CJ118),0)</f>
        <v>0</v>
      </c>
      <c r="BZ118" s="297">
        <f t="shared" si="280"/>
        <v>0</v>
      </c>
      <c r="CA118" s="74"/>
      <c r="CB118" s="74"/>
      <c r="CC118" s="413">
        <f t="shared" si="209"/>
        <v>0</v>
      </c>
      <c r="CF118" s="90">
        <f t="shared" si="210"/>
        <v>10</v>
      </c>
      <c r="CG118" s="121">
        <f t="shared" si="263"/>
        <v>0</v>
      </c>
      <c r="CI118" s="70">
        <f t="shared" si="264"/>
        <v>0</v>
      </c>
      <c r="CJ118" s="2178">
        <f t="shared" ca="1" si="211"/>
        <v>0</v>
      </c>
      <c r="CL118" s="161"/>
      <c r="CN118" s="308">
        <f t="shared" ca="1" si="176"/>
        <v>1</v>
      </c>
      <c r="CO118" s="309">
        <f t="shared" si="212"/>
        <v>0</v>
      </c>
      <c r="CP118" s="268">
        <f t="shared" si="177"/>
        <v>0</v>
      </c>
      <c r="CQ118" s="123">
        <f t="shared" si="213"/>
        <v>0</v>
      </c>
      <c r="CR118" s="123">
        <f t="shared" si="289"/>
        <v>0</v>
      </c>
      <c r="CS118" s="123">
        <f t="shared" si="290"/>
        <v>0</v>
      </c>
      <c r="CT118" s="33">
        <f>IF(CZ117&lt;0.01,0,IF(Plus!$F$22=Plus!$AN$4,0,IF(Plus!$F$22=Plus!$AN$3,CZ117*Plus!$F$23/1000,CZ117*VLOOKUP(Plus!$G$21,Plus!$AP$2:'Plus'!$AQ$5,2,0))))</f>
        <v>0</v>
      </c>
      <c r="CU118" s="123">
        <f>IF(CZ117&lt;0.01,0,IF(Plus!$F$24=Plus!$AO$3,0,IF(OR(Plus!$F$10=Plus!$AK$7,Plus!$F$10=Plus!$AK$13),0,Plus!$G$13*Plus!$AR$2)))</f>
        <v>0</v>
      </c>
      <c r="CV118" s="123">
        <f>IF(CZ117&lt;0.01,0,IF(OR(Plus!$F$10=Plus!$AK$7,Plus!$F$10=Plus!$AK$13),0,Plus!$BD$2*1.16))</f>
        <v>0</v>
      </c>
      <c r="CW118" s="123">
        <f>IF(CZ117&lt;0.01,0,IF(Plus!$AS$2&gt;0,CQ118*Plus!$AS$3,0))</f>
        <v>0</v>
      </c>
      <c r="CX118" s="123">
        <f t="shared" si="214"/>
        <v>0</v>
      </c>
      <c r="CY118" s="123">
        <f>IF(Plus!$F$10=Plus!$AK$3,MIN(CZ117+CQ118+CT118+CU118+CV118-CX118,DK118),0)</f>
        <v>0</v>
      </c>
      <c r="CZ118" s="297">
        <f t="shared" si="294"/>
        <v>0</v>
      </c>
      <c r="DA118" s="306">
        <f>Plus!O159</f>
        <v>0</v>
      </c>
      <c r="DB118" s="74"/>
      <c r="DC118" s="74"/>
      <c r="DD118" s="407">
        <f t="shared" si="215"/>
        <v>0</v>
      </c>
      <c r="DG118" s="90">
        <f t="shared" si="216"/>
        <v>10</v>
      </c>
      <c r="DH118" s="121">
        <f t="shared" si="265"/>
        <v>0</v>
      </c>
      <c r="DJ118" s="149">
        <f t="shared" si="266"/>
        <v>0</v>
      </c>
      <c r="DK118" s="2179">
        <f t="shared" ca="1" si="217"/>
        <v>0</v>
      </c>
      <c r="DN118" s="120">
        <f t="shared" si="267"/>
        <v>0</v>
      </c>
      <c r="DO118" s="110">
        <f t="shared" si="218"/>
        <v>0</v>
      </c>
      <c r="DP118" s="110">
        <f t="shared" si="276"/>
        <v>0</v>
      </c>
      <c r="DQ118" s="109">
        <f t="shared" si="219"/>
        <v>0</v>
      </c>
      <c r="DR118" s="109">
        <f t="shared" si="220"/>
        <v>0</v>
      </c>
      <c r="DS118" s="113">
        <f t="shared" si="221"/>
        <v>0</v>
      </c>
      <c r="DU118" s="102">
        <f t="shared" si="222"/>
        <v>0</v>
      </c>
      <c r="DV118" s="211">
        <f t="shared" si="277"/>
        <v>94</v>
      </c>
      <c r="DW118" s="212">
        <f t="shared" si="223"/>
        <v>0</v>
      </c>
      <c r="DX118" s="212">
        <f t="shared" si="178"/>
        <v>0</v>
      </c>
      <c r="DY118" s="212">
        <f t="shared" si="268"/>
        <v>0</v>
      </c>
      <c r="DZ118" s="213">
        <f t="shared" si="179"/>
        <v>1000000</v>
      </c>
      <c r="ED118" s="182"/>
      <c r="EF118" s="308">
        <f t="shared" ca="1" si="180"/>
        <v>1</v>
      </c>
      <c r="EG118" s="309">
        <f t="shared" si="224"/>
        <v>0</v>
      </c>
      <c r="EH118" s="268">
        <f t="shared" si="181"/>
        <v>0</v>
      </c>
      <c r="EI118" s="33">
        <f t="shared" si="225"/>
        <v>0</v>
      </c>
      <c r="EJ118" s="33">
        <f t="shared" si="291"/>
        <v>0</v>
      </c>
      <c r="EK118" s="33">
        <f t="shared" si="297"/>
        <v>0</v>
      </c>
      <c r="EL118" s="33">
        <f>IF(ER117&lt;0.01,0,IF(Plus!$F$22=Plus!$AN$4,0,IF(Plus!$F$22=Plus!$AN$3,ER117*Plus!$F$23/1000,ER117*VLOOKUP(Plus!$G$21,Plus!$AP$2:'Plus'!$AQ$5,2,0))))</f>
        <v>0</v>
      </c>
      <c r="EM118" s="33">
        <f>IF(ER117&lt;0.01,0,IF(Plus!$F$24=Plus!$AO$3,0,IF(OR(Plus!$F$10=Plus!$AK$7,Plus!$F$10=Plus!$AK$13),0,Plus!$G$13*Plus!$AR$2)))</f>
        <v>0</v>
      </c>
      <c r="EN118" s="33">
        <f>IF(ER117&lt;0.01,0,IF(OR(Plus!$F$10=Plus!$AK$7,Plus!$F$10=Plus!$AK$13),0,Plus!$BD$2*1.16))</f>
        <v>0</v>
      </c>
      <c r="EO118" s="33">
        <f>IF(ER117&lt;0.01,0,IF(Plus!$AS$2&gt;0,EI118*Plus!$AS$3,0))</f>
        <v>0</v>
      </c>
      <c r="EP118" s="33">
        <f t="shared" si="226"/>
        <v>0</v>
      </c>
      <c r="EQ118" s="33">
        <f>IF(Plus!$F$10=Plus!$AK$3,MIN(ER117+EI118+EL118+EM118+EN118-EP118,FC118),0)</f>
        <v>0</v>
      </c>
      <c r="ER118" s="311">
        <f t="shared" si="285"/>
        <v>0</v>
      </c>
      <c r="ES118" s="340">
        <f>Plus!O159</f>
        <v>0</v>
      </c>
      <c r="ET118" s="74"/>
      <c r="EU118" s="74"/>
      <c r="EV118" s="416">
        <f t="shared" si="281"/>
        <v>0</v>
      </c>
      <c r="EY118" s="90">
        <f t="shared" si="227"/>
        <v>10</v>
      </c>
      <c r="EZ118" s="121">
        <f t="shared" si="269"/>
        <v>0</v>
      </c>
      <c r="FB118" s="149">
        <f t="shared" si="270"/>
        <v>0</v>
      </c>
      <c r="FC118" s="2179">
        <f t="shared" ca="1" si="228"/>
        <v>0</v>
      </c>
      <c r="FE118" s="120">
        <f t="shared" si="271"/>
        <v>0</v>
      </c>
      <c r="FF118" s="110">
        <f t="shared" si="229"/>
        <v>0</v>
      </c>
      <c r="FG118" s="110">
        <f t="shared" si="230"/>
        <v>0</v>
      </c>
      <c r="FH118" s="109">
        <f t="shared" si="231"/>
        <v>0</v>
      </c>
      <c r="FI118" s="109">
        <f t="shared" si="182"/>
        <v>0</v>
      </c>
      <c r="FJ118" s="113">
        <f t="shared" si="232"/>
        <v>0</v>
      </c>
      <c r="FL118" s="102">
        <f t="shared" si="233"/>
        <v>0</v>
      </c>
      <c r="FM118" s="211">
        <f t="shared" si="278"/>
        <v>94</v>
      </c>
      <c r="FN118" s="212">
        <f t="shared" si="234"/>
        <v>0</v>
      </c>
      <c r="FO118" s="212">
        <f t="shared" si="183"/>
        <v>0</v>
      </c>
      <c r="FP118" s="212">
        <f t="shared" si="298"/>
        <v>0</v>
      </c>
      <c r="FQ118" s="213">
        <f t="shared" si="184"/>
        <v>1000000</v>
      </c>
      <c r="FV118" s="359"/>
      <c r="FX118" s="308">
        <f t="shared" ca="1" si="185"/>
        <v>1</v>
      </c>
      <c r="FY118" s="309">
        <f t="shared" si="235"/>
        <v>0</v>
      </c>
      <c r="FZ118" s="268">
        <f t="shared" si="186"/>
        <v>0</v>
      </c>
      <c r="GA118" s="33">
        <f t="shared" si="236"/>
        <v>0</v>
      </c>
      <c r="GB118" s="33">
        <f t="shared" si="292"/>
        <v>0</v>
      </c>
      <c r="GC118" s="33">
        <f t="shared" si="293"/>
        <v>0</v>
      </c>
      <c r="GD118" s="33">
        <f>IF(GJ117&lt;0.01,0,IF(Plus!$F$22=Plus!$AN$4,0,IF(Plus!$F$22=Plus!$AN$3,GJ117*Plus!$F$23/1000,GJ117*VLOOKUP(Plus!$G$21,Plus!$AP$2:$AQ$5,2,0))))</f>
        <v>0</v>
      </c>
      <c r="GE118" s="33">
        <f>IF(GJ117&lt;0.01,0,IF(Plus!$F$24=Plus!$AO$3,0,IF(OR(Plus!$F$10=Plus!$AK$7,Plus!$F$10=Plus!$AK$13,Plus!$F$10=Plus!$AK$14),0,IF(OR(Plus!$F$10=Plus!$AK$10,Plus!$F$10=Plus!$AK$11),Plus!$G$13*Adm!$W$7,Plus!$G$13*Adm!$X$4))))</f>
        <v>0</v>
      </c>
      <c r="GF118" s="33">
        <f>IF(GJ117&lt;0.01,0,IF(OR(Plus!$F$10=Plus!$AK$7,Plus!$F$10=Plus!$AK$13),0,Plus!$BD$2*1.16))</f>
        <v>0</v>
      </c>
      <c r="GG118" s="33">
        <f>IF(GJ117&lt;0.01,0,IF(Plus!$AS$2&gt;0,GA118*Plus!$AS$3,0))</f>
        <v>0</v>
      </c>
      <c r="GH118" s="33">
        <f t="shared" si="237"/>
        <v>0</v>
      </c>
      <c r="GI118" s="33">
        <f>IF(Plus!$F$10=Plus!$AK$3,MIN(GJ117+GA118+GD118+GE118+GF118-GH118,GU118),0)</f>
        <v>0</v>
      </c>
      <c r="GJ118" s="311">
        <f t="shared" si="286"/>
        <v>0</v>
      </c>
      <c r="GK118" s="340">
        <f>Plus!O159</f>
        <v>0</v>
      </c>
      <c r="GL118" s="74"/>
      <c r="GM118" s="74"/>
      <c r="GN118" s="419">
        <f t="shared" si="283"/>
        <v>0</v>
      </c>
      <c r="GQ118" s="90">
        <f t="shared" si="238"/>
        <v>10</v>
      </c>
      <c r="GR118" s="121">
        <f t="shared" si="272"/>
        <v>0</v>
      </c>
      <c r="GT118" s="149">
        <f t="shared" si="273"/>
        <v>0</v>
      </c>
      <c r="GU118" s="2179">
        <f t="shared" ca="1" si="239"/>
        <v>0</v>
      </c>
      <c r="GW118" s="120">
        <f t="shared" si="274"/>
        <v>0</v>
      </c>
      <c r="GX118" s="110">
        <f t="shared" si="240"/>
        <v>0</v>
      </c>
      <c r="GY118" s="110">
        <f t="shared" si="241"/>
        <v>0</v>
      </c>
      <c r="GZ118" s="109">
        <f t="shared" si="242"/>
        <v>0</v>
      </c>
      <c r="HA118" s="109">
        <f t="shared" si="187"/>
        <v>0</v>
      </c>
      <c r="HB118" s="113">
        <f t="shared" si="243"/>
        <v>0</v>
      </c>
      <c r="HD118" s="102">
        <f t="shared" si="244"/>
        <v>0</v>
      </c>
      <c r="HE118" s="211">
        <f t="shared" si="279"/>
        <v>94</v>
      </c>
      <c r="HF118" s="212">
        <f t="shared" si="245"/>
        <v>0</v>
      </c>
      <c r="HG118" s="212">
        <f t="shared" si="188"/>
        <v>0</v>
      </c>
      <c r="HH118" s="212">
        <f t="shared" si="299"/>
        <v>0</v>
      </c>
      <c r="HI118" s="213">
        <f t="shared" si="189"/>
        <v>1000000</v>
      </c>
      <c r="HL118" s="182"/>
      <c r="HM118" s="26">
        <f t="shared" ca="1" si="190"/>
        <v>1</v>
      </c>
      <c r="HO118" s="268">
        <f t="shared" si="191"/>
        <v>0</v>
      </c>
      <c r="HP118" s="151">
        <f t="shared" si="157"/>
        <v>0</v>
      </c>
      <c r="HQ118" s="123">
        <f t="shared" si="246"/>
        <v>0</v>
      </c>
      <c r="HR118" s="123">
        <f t="shared" si="247"/>
        <v>0</v>
      </c>
      <c r="HS118" s="123">
        <f t="shared" si="248"/>
        <v>0</v>
      </c>
      <c r="HT118" s="123">
        <f>IF(HY117&lt;0.01,0,IF(Adm!$GS$4=Adm!$GS$8,HY117*$HY$15,IF(Adm!$GS$12=Adm!$GS$13,0,HY117*Adm!$GV$4)))</f>
        <v>0</v>
      </c>
      <c r="HU118" s="123">
        <f>IF(HY117&lt;0.01,0,IF(Adm!$GS$5=Adm!$GS$8,Cal!$BO$108*$HY$16/1.16,IF(Adm!$GS$12=Adm!$GS$13,0,Cal!$BO$108*Adm!$GW$4/1.16)))</f>
        <v>0</v>
      </c>
      <c r="HV118" s="123">
        <f t="shared" si="249"/>
        <v>0</v>
      </c>
      <c r="HW118" s="123">
        <f t="shared" si="192"/>
        <v>0</v>
      </c>
      <c r="HX118" s="123">
        <f>IF(Adm!$GH$6="si",MIN(HY117+HQ118+HT118+HU118+HV118-HW118,IH118),0)</f>
        <v>0</v>
      </c>
      <c r="HY118" s="297">
        <f t="shared" si="250"/>
        <v>0</v>
      </c>
      <c r="HZ118" s="74"/>
      <c r="IA118" s="407">
        <f t="shared" si="251"/>
        <v>0</v>
      </c>
      <c r="IC118" s="90">
        <f t="shared" si="252"/>
        <v>10</v>
      </c>
      <c r="ID118" s="124">
        <f>IF(IC118=1,Cal!$BO$127,0)</f>
        <v>0</v>
      </c>
      <c r="IE118" s="178">
        <f>IF(IC118=1,Adm!$HI$4,0)</f>
        <v>0</v>
      </c>
      <c r="IG118" s="70">
        <f t="shared" si="275"/>
        <v>0</v>
      </c>
      <c r="IH118" s="2178">
        <f t="shared" ca="1" si="253"/>
        <v>0</v>
      </c>
      <c r="IK118" s="217"/>
      <c r="IL118" s="26">
        <f t="shared" ca="1" si="193"/>
        <v>1</v>
      </c>
      <c r="IN118" s="268">
        <f t="shared" si="194"/>
        <v>0</v>
      </c>
      <c r="IO118" s="151">
        <f t="shared" si="154"/>
        <v>0</v>
      </c>
      <c r="IP118" s="123">
        <f t="shared" si="254"/>
        <v>0</v>
      </c>
      <c r="IQ118" s="123">
        <f t="shared" si="255"/>
        <v>0</v>
      </c>
      <c r="IR118" s="123">
        <f t="shared" si="256"/>
        <v>0</v>
      </c>
      <c r="IS118" s="123">
        <f>IF(IX117&lt;0.01,0,IF(Adm!$GS$4=Adm!$GS$8,IX117*$IX$15,IF(Adm!$GS$12=Adm!$GS$13,0,IX117*Adm!$GV$4)))</f>
        <v>0</v>
      </c>
      <c r="IT118" s="123"/>
      <c r="IU118" s="123">
        <f t="shared" si="257"/>
        <v>0</v>
      </c>
      <c r="IV118" s="123">
        <f t="shared" si="258"/>
        <v>0</v>
      </c>
      <c r="IW118" s="123"/>
      <c r="IX118" s="297">
        <f t="shared" si="259"/>
        <v>0</v>
      </c>
      <c r="IY118" s="74"/>
      <c r="IZ118" s="416">
        <f t="shared" si="260"/>
        <v>0</v>
      </c>
      <c r="JB118" s="90">
        <f t="shared" si="261"/>
        <v>10</v>
      </c>
      <c r="JC118" s="124">
        <f>IF(JB118=1,Cal!$BP$127,0)</f>
        <v>0</v>
      </c>
      <c r="JD118" s="178">
        <f>IF(JB118=1,Adm!$HI$4,0)</f>
        <v>0</v>
      </c>
    </row>
    <row r="119" spans="1:264">
      <c r="A119" s="26">
        <f t="shared" ca="1" si="162"/>
        <v>2</v>
      </c>
      <c r="C119" s="33">
        <f t="shared" si="163"/>
        <v>0</v>
      </c>
      <c r="D119" s="123">
        <f t="shared" si="195"/>
        <v>0</v>
      </c>
      <c r="E119" s="123">
        <f t="shared" si="287"/>
        <v>0</v>
      </c>
      <c r="F119" s="123">
        <f t="shared" si="295"/>
        <v>0</v>
      </c>
      <c r="G119" s="123">
        <f>IF(L118&lt;0.01,0,IF(Adm!$S$4=Adm!$S$8,L118*$L$15,L118*Adm!$V$4))</f>
        <v>0</v>
      </c>
      <c r="H119" s="123">
        <f>IF(L118&lt;0.01,0,IF(Adm!$S$5=Adm!$S$8,Adm!$AA$11*$L$16/1.16,IF(Adm!$B$4=Adm!$A$119,0,Adm!$AA$11*Adm!$X$4/1.16)))</f>
        <v>0</v>
      </c>
      <c r="I119" s="123">
        <f>IF(L118&lt;0.01,0,Cal!$AB$126/1.16)</f>
        <v>0</v>
      </c>
      <c r="J119" s="123">
        <f t="shared" si="164"/>
        <v>0</v>
      </c>
      <c r="K119" s="123">
        <f>IF(Adm!$G$4="si",MIN(L118+D119+G119+H119+I119-J119,V119),0)</f>
        <v>0</v>
      </c>
      <c r="L119" s="123">
        <f t="shared" si="196"/>
        <v>0</v>
      </c>
      <c r="M119" s="74"/>
      <c r="N119" s="74"/>
      <c r="O119" s="407">
        <f t="shared" si="197"/>
        <v>0</v>
      </c>
      <c r="R119" s="90">
        <f t="shared" si="198"/>
        <v>11</v>
      </c>
      <c r="S119" s="121">
        <f>IF(R119=1,Cal!$AB$127,0)</f>
        <v>0</v>
      </c>
      <c r="U119" s="70">
        <f t="shared" si="262"/>
        <v>0</v>
      </c>
      <c r="V119" s="2178">
        <f t="shared" ca="1" si="199"/>
        <v>0</v>
      </c>
      <c r="X119" s="398"/>
      <c r="Z119" s="268">
        <f t="shared" si="165"/>
        <v>0</v>
      </c>
      <c r="AA119" s="2176">
        <f t="shared" si="200"/>
        <v>0</v>
      </c>
      <c r="AB119" s="33">
        <f t="shared" si="201"/>
        <v>0</v>
      </c>
      <c r="AC119" s="33">
        <f t="shared" si="202"/>
        <v>0</v>
      </c>
      <c r="AD119" s="33">
        <f>IF(AI118&lt;0.01,0,IF(Adm!$S$4=Adm!$S$8,AI118*$AI$15,AI118*Adm!$V$4))</f>
        <v>0</v>
      </c>
      <c r="AE119" s="33"/>
      <c r="AF119" s="33"/>
      <c r="AG119" s="33">
        <f t="shared" si="166"/>
        <v>0</v>
      </c>
      <c r="AH119" s="33"/>
      <c r="AI119" s="401">
        <f t="shared" si="167"/>
        <v>0</v>
      </c>
      <c r="AK119" s="410">
        <f t="shared" si="168"/>
        <v>0</v>
      </c>
      <c r="AN119" s="90">
        <f t="shared" si="203"/>
        <v>11</v>
      </c>
      <c r="AO119" s="121">
        <f>IF(AN119=1,Cal!$AC$127,0)</f>
        <v>0</v>
      </c>
      <c r="AS119" s="200"/>
      <c r="AU119" s="268">
        <f t="shared" si="169"/>
        <v>0</v>
      </c>
      <c r="AV119" s="2177">
        <f t="shared" si="204"/>
        <v>0</v>
      </c>
      <c r="AW119" s="123">
        <f t="shared" si="170"/>
        <v>0</v>
      </c>
      <c r="AX119" s="123">
        <f t="shared" si="205"/>
        <v>0</v>
      </c>
      <c r="AY119" s="123">
        <f>IF(BC118&lt;0.01,0,IF(Adm!$S$4=Adm!$S$8,BC118*$BC$16,BC118*Adm!$V$4))</f>
        <v>0</v>
      </c>
      <c r="AZ119" s="123"/>
      <c r="BA119" s="123">
        <f>IF(BC118&lt;0.01,0,Adm!$Q$6)</f>
        <v>0</v>
      </c>
      <c r="BB119" s="123">
        <f t="shared" si="171"/>
        <v>0</v>
      </c>
      <c r="BC119" s="297">
        <f t="shared" si="206"/>
        <v>0</v>
      </c>
      <c r="BE119" s="425">
        <f t="shared" si="172"/>
        <v>0</v>
      </c>
      <c r="BH119" s="90">
        <f t="shared" si="207"/>
        <v>11</v>
      </c>
      <c r="BI119" s="121">
        <f>IF(BH119=1,Cal!$AD$127,0)</f>
        <v>0</v>
      </c>
      <c r="BM119" s="221"/>
      <c r="BO119" s="295">
        <f t="shared" ca="1" si="173"/>
        <v>2</v>
      </c>
      <c r="BP119" s="268">
        <f t="shared" si="174"/>
        <v>0</v>
      </c>
      <c r="BQ119" s="123">
        <f t="shared" si="208"/>
        <v>0</v>
      </c>
      <c r="BR119" s="123">
        <f t="shared" si="288"/>
        <v>0</v>
      </c>
      <c r="BS119" s="123">
        <f t="shared" si="296"/>
        <v>0</v>
      </c>
      <c r="BT119" s="123">
        <f>IF(BZ118&lt;0.01,0,IF(Plus!$F$22=Plus!$AN$4,BZ118*$BZ$15,IF(Plus!$F$22=Plus!$AN$3,BZ118*Plus!$F$23/1000,BZ118*VLOOKUP(Plus!$G$21,Plus!$AP$2:'Plus'!$AQ$5,2,0))))</f>
        <v>0</v>
      </c>
      <c r="BU119" s="123">
        <f>IF(BZ118&lt;0.01,0,IF(Plus!$F$24=Plus!$AO$3,Plus!$G$13*Plus!$AR$2/1.16,IF(Plus!$F$10=Plus!$AK$7,0,Plus!$G$13*Plus!$AR$2/1.16)))</f>
        <v>0</v>
      </c>
      <c r="BV119" s="123">
        <f>IF(BZ118&lt;0.01,0,Plus!$BD$2)</f>
        <v>0</v>
      </c>
      <c r="BW119" s="123"/>
      <c r="BX119" s="123">
        <f t="shared" si="175"/>
        <v>0</v>
      </c>
      <c r="BY119" s="123">
        <f>IF(Plus!$F$10=Plus!$AK$3,MIN(BZ118+BQ119+BT119+BU119+BV119-BX119,CJ119),0)</f>
        <v>0</v>
      </c>
      <c r="BZ119" s="297">
        <f t="shared" si="280"/>
        <v>0</v>
      </c>
      <c r="CA119" s="74"/>
      <c r="CB119" s="74"/>
      <c r="CC119" s="413">
        <f t="shared" si="209"/>
        <v>0</v>
      </c>
      <c r="CF119" s="90">
        <f t="shared" si="210"/>
        <v>11</v>
      </c>
      <c r="CG119" s="121">
        <f t="shared" si="263"/>
        <v>0</v>
      </c>
      <c r="CI119" s="70">
        <f t="shared" si="264"/>
        <v>0</v>
      </c>
      <c r="CJ119" s="2178">
        <f t="shared" ca="1" si="211"/>
        <v>0</v>
      </c>
      <c r="CL119" s="161"/>
      <c r="CN119" s="308">
        <f t="shared" ca="1" si="176"/>
        <v>2</v>
      </c>
      <c r="CO119" s="309">
        <f t="shared" si="212"/>
        <v>0</v>
      </c>
      <c r="CP119" s="268">
        <f t="shared" si="177"/>
        <v>0</v>
      </c>
      <c r="CQ119" s="123">
        <f t="shared" si="213"/>
        <v>0</v>
      </c>
      <c r="CR119" s="123">
        <f t="shared" si="289"/>
        <v>0</v>
      </c>
      <c r="CS119" s="123">
        <f t="shared" si="290"/>
        <v>0</v>
      </c>
      <c r="CT119" s="33">
        <f>IF(CZ118&lt;0.01,0,IF(Plus!$F$22=Plus!$AN$4,0,IF(Plus!$F$22=Plus!$AN$3,CZ118*Plus!$F$23/1000,CZ118*VLOOKUP(Plus!$G$21,Plus!$AP$2:'Plus'!$AQ$5,2,0))))</f>
        <v>0</v>
      </c>
      <c r="CU119" s="123">
        <f>IF(CZ118&lt;0.01,0,IF(Plus!$F$24=Plus!$AO$3,0,IF(OR(Plus!$F$10=Plus!$AK$7,Plus!$F$10=Plus!$AK$13),0,Plus!$G$13*Plus!$AR$2)))</f>
        <v>0</v>
      </c>
      <c r="CV119" s="123">
        <f>IF(CZ118&lt;0.01,0,IF(OR(Plus!$F$10=Plus!$AK$7,Plus!$F$10=Plus!$AK$13),0,Plus!$BD$2*1.16))</f>
        <v>0</v>
      </c>
      <c r="CW119" s="123">
        <f>IF(CZ118&lt;0.01,0,IF(Plus!$AS$2&gt;0,CQ119*Plus!$AS$3,0))</f>
        <v>0</v>
      </c>
      <c r="CX119" s="123">
        <f t="shared" si="214"/>
        <v>0</v>
      </c>
      <c r="CY119" s="123">
        <f>IF(Plus!$F$10=Plus!$AK$3,MIN(CZ118+CQ119+CT119+CU119+CV119-CX119,DK119),0)</f>
        <v>0</v>
      </c>
      <c r="CZ119" s="297">
        <f t="shared" si="294"/>
        <v>0</v>
      </c>
      <c r="DA119" s="306">
        <f>Plus!O160</f>
        <v>0</v>
      </c>
      <c r="DB119" s="74"/>
      <c r="DC119" s="74"/>
      <c r="DD119" s="407">
        <f t="shared" si="215"/>
        <v>0</v>
      </c>
      <c r="DG119" s="90">
        <f t="shared" si="216"/>
        <v>11</v>
      </c>
      <c r="DH119" s="121">
        <f t="shared" si="265"/>
        <v>0</v>
      </c>
      <c r="DJ119" s="149">
        <f t="shared" si="266"/>
        <v>0</v>
      </c>
      <c r="DK119" s="2179">
        <f t="shared" ca="1" si="217"/>
        <v>0</v>
      </c>
      <c r="DN119" s="120">
        <f t="shared" si="267"/>
        <v>0</v>
      </c>
      <c r="DO119" s="110">
        <f t="shared" si="218"/>
        <v>0</v>
      </c>
      <c r="DP119" s="110">
        <f t="shared" si="276"/>
        <v>0</v>
      </c>
      <c r="DQ119" s="109">
        <f t="shared" si="219"/>
        <v>0</v>
      </c>
      <c r="DR119" s="109">
        <f t="shared" si="220"/>
        <v>0</v>
      </c>
      <c r="DS119" s="113">
        <f t="shared" si="221"/>
        <v>0</v>
      </c>
      <c r="DU119" s="102">
        <f t="shared" si="222"/>
        <v>0</v>
      </c>
      <c r="DV119" s="211">
        <f t="shared" si="277"/>
        <v>95</v>
      </c>
      <c r="DW119" s="212">
        <f t="shared" si="223"/>
        <v>0</v>
      </c>
      <c r="DX119" s="212">
        <f t="shared" si="178"/>
        <v>0</v>
      </c>
      <c r="DY119" s="212">
        <f t="shared" si="268"/>
        <v>0</v>
      </c>
      <c r="DZ119" s="213">
        <f t="shared" si="179"/>
        <v>1000000</v>
      </c>
      <c r="ED119" s="182"/>
      <c r="EF119" s="308">
        <f t="shared" ca="1" si="180"/>
        <v>2</v>
      </c>
      <c r="EG119" s="309">
        <f t="shared" si="224"/>
        <v>0</v>
      </c>
      <c r="EH119" s="268">
        <f t="shared" si="181"/>
        <v>0</v>
      </c>
      <c r="EI119" s="33">
        <f t="shared" si="225"/>
        <v>0</v>
      </c>
      <c r="EJ119" s="33">
        <f t="shared" si="291"/>
        <v>0</v>
      </c>
      <c r="EK119" s="33">
        <f t="shared" si="297"/>
        <v>0</v>
      </c>
      <c r="EL119" s="33">
        <f>IF(ER118&lt;0.01,0,IF(Plus!$F$22=Plus!$AN$4,0,IF(Plus!$F$22=Plus!$AN$3,ER118*Plus!$F$23/1000,ER118*VLOOKUP(Plus!$G$21,Plus!$AP$2:'Plus'!$AQ$5,2,0))))</f>
        <v>0</v>
      </c>
      <c r="EM119" s="33">
        <f>IF(ER118&lt;0.01,0,IF(Plus!$F$24=Plus!$AO$3,0,IF(OR(Plus!$F$10=Plus!$AK$7,Plus!$F$10=Plus!$AK$13),0,Plus!$G$13*Plus!$AR$2)))</f>
        <v>0</v>
      </c>
      <c r="EN119" s="33">
        <f>IF(ER118&lt;0.01,0,IF(OR(Plus!$F$10=Plus!$AK$7,Plus!$F$10=Plus!$AK$13),0,Plus!$BD$2*1.16))</f>
        <v>0</v>
      </c>
      <c r="EO119" s="33">
        <f>IF(ER118&lt;0.01,0,IF(Plus!$AS$2&gt;0,EI119*Plus!$AS$3,0))</f>
        <v>0</v>
      </c>
      <c r="EP119" s="33">
        <f t="shared" si="226"/>
        <v>0</v>
      </c>
      <c r="EQ119" s="33">
        <f>IF(Plus!$F$10=Plus!$AK$3,MIN(ER118+EI119+EL119+EM119+EN119-EP119,FC119),0)</f>
        <v>0</v>
      </c>
      <c r="ER119" s="311">
        <f t="shared" si="285"/>
        <v>0</v>
      </c>
      <c r="ES119" s="340">
        <f>Plus!O160</f>
        <v>0</v>
      </c>
      <c r="ET119" s="74"/>
      <c r="EU119" s="74"/>
      <c r="EV119" s="416">
        <f t="shared" si="281"/>
        <v>0</v>
      </c>
      <c r="EY119" s="90">
        <f t="shared" si="227"/>
        <v>11</v>
      </c>
      <c r="EZ119" s="121">
        <f t="shared" si="269"/>
        <v>0</v>
      </c>
      <c r="FB119" s="149">
        <f t="shared" si="270"/>
        <v>0</v>
      </c>
      <c r="FC119" s="2179">
        <f t="shared" ca="1" si="228"/>
        <v>0</v>
      </c>
      <c r="FE119" s="120">
        <f t="shared" si="271"/>
        <v>0</v>
      </c>
      <c r="FF119" s="110">
        <f t="shared" si="229"/>
        <v>0</v>
      </c>
      <c r="FG119" s="110">
        <f t="shared" si="230"/>
        <v>0</v>
      </c>
      <c r="FH119" s="109">
        <f t="shared" si="231"/>
        <v>0</v>
      </c>
      <c r="FI119" s="109">
        <f t="shared" si="182"/>
        <v>0</v>
      </c>
      <c r="FJ119" s="113">
        <f t="shared" si="232"/>
        <v>0</v>
      </c>
      <c r="FL119" s="102">
        <f t="shared" si="233"/>
        <v>0</v>
      </c>
      <c r="FM119" s="211">
        <f t="shared" si="278"/>
        <v>95</v>
      </c>
      <c r="FN119" s="212">
        <f t="shared" si="234"/>
        <v>0</v>
      </c>
      <c r="FO119" s="212">
        <f t="shared" si="183"/>
        <v>0</v>
      </c>
      <c r="FP119" s="212">
        <f t="shared" si="298"/>
        <v>0</v>
      </c>
      <c r="FQ119" s="213">
        <f t="shared" si="184"/>
        <v>1000000</v>
      </c>
      <c r="FV119" s="359"/>
      <c r="FX119" s="308">
        <f t="shared" ca="1" si="185"/>
        <v>2</v>
      </c>
      <c r="FY119" s="309">
        <f t="shared" si="235"/>
        <v>0</v>
      </c>
      <c r="FZ119" s="268">
        <f t="shared" si="186"/>
        <v>0</v>
      </c>
      <c r="GA119" s="33">
        <f t="shared" si="236"/>
        <v>0</v>
      </c>
      <c r="GB119" s="33">
        <f t="shared" si="292"/>
        <v>0</v>
      </c>
      <c r="GC119" s="33">
        <f t="shared" si="293"/>
        <v>0</v>
      </c>
      <c r="GD119" s="33">
        <f>IF(GJ118&lt;0.01,0,IF(Plus!$F$22=Plus!$AN$4,0,IF(Plus!$F$22=Plus!$AN$3,GJ118*Plus!$F$23/1000,GJ118*VLOOKUP(Plus!$G$21,Plus!$AP$2:$AQ$5,2,0))))</f>
        <v>0</v>
      </c>
      <c r="GE119" s="33">
        <f>IF(GJ118&lt;0.01,0,IF(Plus!$F$24=Plus!$AO$3,0,IF(OR(Plus!$F$10=Plus!$AK$7,Plus!$F$10=Plus!$AK$13,Plus!$F$10=Plus!$AK$14),0,IF(OR(Plus!$F$10=Plus!$AK$10,Plus!$F$10=Plus!$AK$11),Plus!$G$13*Adm!$W$7,Plus!$G$13*Adm!$X$4))))</f>
        <v>0</v>
      </c>
      <c r="GF119" s="33">
        <f>IF(GJ118&lt;0.01,0,IF(OR(Plus!$F$10=Plus!$AK$7,Plus!$F$10=Plus!$AK$13),0,Plus!$BD$2*1.16))</f>
        <v>0</v>
      </c>
      <c r="GG119" s="33">
        <f>IF(GJ118&lt;0.01,0,IF(Plus!$AS$2&gt;0,GA119*Plus!$AS$3,0))</f>
        <v>0</v>
      </c>
      <c r="GH119" s="33">
        <f t="shared" si="237"/>
        <v>0</v>
      </c>
      <c r="GI119" s="33">
        <f>IF(Plus!$F$10=Plus!$AK$3,MIN(GJ118+GA119+GD119+GE119+GF119-GH119,GU119),0)</f>
        <v>0</v>
      </c>
      <c r="GJ119" s="311">
        <f t="shared" si="286"/>
        <v>0</v>
      </c>
      <c r="GK119" s="340">
        <f>Plus!O160</f>
        <v>0</v>
      </c>
      <c r="GL119" s="74"/>
      <c r="GM119" s="74"/>
      <c r="GN119" s="419">
        <f t="shared" si="283"/>
        <v>0</v>
      </c>
      <c r="GQ119" s="90">
        <f t="shared" si="238"/>
        <v>11</v>
      </c>
      <c r="GR119" s="121">
        <f t="shared" si="272"/>
        <v>0</v>
      </c>
      <c r="GT119" s="149">
        <f t="shared" si="273"/>
        <v>0</v>
      </c>
      <c r="GU119" s="2179">
        <f t="shared" ca="1" si="239"/>
        <v>0</v>
      </c>
      <c r="GW119" s="120">
        <f t="shared" si="274"/>
        <v>0</v>
      </c>
      <c r="GX119" s="110">
        <f t="shared" si="240"/>
        <v>0</v>
      </c>
      <c r="GY119" s="110">
        <f t="shared" si="241"/>
        <v>0</v>
      </c>
      <c r="GZ119" s="109">
        <f t="shared" si="242"/>
        <v>0</v>
      </c>
      <c r="HA119" s="109">
        <f t="shared" si="187"/>
        <v>0</v>
      </c>
      <c r="HB119" s="113">
        <f t="shared" si="243"/>
        <v>0</v>
      </c>
      <c r="HD119" s="102">
        <f t="shared" si="244"/>
        <v>0</v>
      </c>
      <c r="HE119" s="211">
        <f t="shared" si="279"/>
        <v>95</v>
      </c>
      <c r="HF119" s="212">
        <f t="shared" si="245"/>
        <v>0</v>
      </c>
      <c r="HG119" s="212">
        <f t="shared" si="188"/>
        <v>0</v>
      </c>
      <c r="HH119" s="212">
        <f t="shared" si="299"/>
        <v>0</v>
      </c>
      <c r="HI119" s="213">
        <f t="shared" si="189"/>
        <v>1000000</v>
      </c>
      <c r="HL119" s="182"/>
      <c r="HM119" s="26">
        <f t="shared" ca="1" si="190"/>
        <v>2</v>
      </c>
      <c r="HO119" s="268">
        <f t="shared" si="191"/>
        <v>0</v>
      </c>
      <c r="HP119" s="151">
        <f t="shared" si="157"/>
        <v>0</v>
      </c>
      <c r="HQ119" s="123">
        <f t="shared" si="246"/>
        <v>0</v>
      </c>
      <c r="HR119" s="123">
        <f t="shared" si="247"/>
        <v>0</v>
      </c>
      <c r="HS119" s="123">
        <f t="shared" si="248"/>
        <v>0</v>
      </c>
      <c r="HT119" s="123">
        <f>IF(HY118&lt;0.01,0,IF(Adm!$GS$4=Adm!$GS$8,HY118*$HY$15,IF(Adm!$GS$12=Adm!$GS$13,0,HY118*Adm!$GV$4)))</f>
        <v>0</v>
      </c>
      <c r="HU119" s="123">
        <f>IF(HY118&lt;0.01,0,IF(Adm!$GS$5=Adm!$GS$8,Cal!$BO$108*$HY$16/1.16,IF(Adm!$GS$12=Adm!$GS$13,0,Cal!$BO$108*Adm!$GW$4/1.16)))</f>
        <v>0</v>
      </c>
      <c r="HV119" s="123">
        <f t="shared" si="249"/>
        <v>0</v>
      </c>
      <c r="HW119" s="123">
        <f t="shared" si="192"/>
        <v>0</v>
      </c>
      <c r="HX119" s="123">
        <f>IF(Adm!$GH$6="si",MIN(HY118+HQ119+HT119+HU119+HV119-HW119,IH119),0)</f>
        <v>0</v>
      </c>
      <c r="HY119" s="297">
        <f t="shared" si="250"/>
        <v>0</v>
      </c>
      <c r="HZ119" s="74"/>
      <c r="IA119" s="407">
        <f t="shared" si="251"/>
        <v>0</v>
      </c>
      <c r="IC119" s="90">
        <f t="shared" si="252"/>
        <v>11</v>
      </c>
      <c r="ID119" s="124">
        <f>IF(IC119=1,Cal!$BO$127,0)</f>
        <v>0</v>
      </c>
      <c r="IE119" s="178">
        <f>IF(IC119=1,Adm!$HI$4,0)</f>
        <v>0</v>
      </c>
      <c r="IG119" s="70">
        <f t="shared" si="275"/>
        <v>0</v>
      </c>
      <c r="IH119" s="2178">
        <f t="shared" ca="1" si="253"/>
        <v>0</v>
      </c>
      <c r="IK119" s="217"/>
      <c r="IL119" s="26">
        <f t="shared" ca="1" si="193"/>
        <v>2</v>
      </c>
      <c r="IN119" s="268">
        <f t="shared" si="194"/>
        <v>0</v>
      </c>
      <c r="IO119" s="151">
        <f t="shared" si="154"/>
        <v>0</v>
      </c>
      <c r="IP119" s="123">
        <f t="shared" si="254"/>
        <v>0</v>
      </c>
      <c r="IQ119" s="123">
        <f t="shared" si="255"/>
        <v>0</v>
      </c>
      <c r="IR119" s="123">
        <f t="shared" si="256"/>
        <v>0</v>
      </c>
      <c r="IS119" s="123">
        <f>IF(IX118&lt;0.01,0,IF(Adm!$GS$4=Adm!$GS$8,IX118*$IX$15,IF(Adm!$GS$12=Adm!$GS$13,0,IX118*Adm!$GV$4)))</f>
        <v>0</v>
      </c>
      <c r="IT119" s="123"/>
      <c r="IU119" s="123">
        <f t="shared" si="257"/>
        <v>0</v>
      </c>
      <c r="IV119" s="123">
        <f t="shared" si="258"/>
        <v>0</v>
      </c>
      <c r="IW119" s="123"/>
      <c r="IX119" s="297">
        <f t="shared" si="259"/>
        <v>0</v>
      </c>
      <c r="IY119" s="74"/>
      <c r="IZ119" s="416">
        <f t="shared" si="260"/>
        <v>0</v>
      </c>
      <c r="JB119" s="90">
        <f t="shared" si="261"/>
        <v>11</v>
      </c>
      <c r="JC119" s="124">
        <f>IF(JB119=1,Cal!$BP$127,0)</f>
        <v>0</v>
      </c>
      <c r="JD119" s="178">
        <f>IF(JB119=1,Adm!$HI$4,0)</f>
        <v>0</v>
      </c>
    </row>
    <row r="120" spans="1:264">
      <c r="A120" s="26">
        <f t="shared" ca="1" si="162"/>
        <v>3</v>
      </c>
      <c r="C120" s="33">
        <f t="shared" si="163"/>
        <v>0</v>
      </c>
      <c r="D120" s="123">
        <f t="shared" si="195"/>
        <v>0</v>
      </c>
      <c r="E120" s="123">
        <f t="shared" si="287"/>
        <v>0</v>
      </c>
      <c r="F120" s="123">
        <f t="shared" si="295"/>
        <v>0</v>
      </c>
      <c r="G120" s="123">
        <f>IF(L119&lt;0.01,0,IF(Adm!$S$4=Adm!$S$8,L119*$L$15,L119*Adm!$V$4))</f>
        <v>0</v>
      </c>
      <c r="H120" s="123">
        <f>IF(L119&lt;0.01,0,IF(Adm!$S$5=Adm!$S$8,Adm!$AA$11*$L$16/1.16,IF(Adm!$B$4=Adm!$A$119,0,Adm!$AA$11*Adm!$X$4/1.16)))</f>
        <v>0</v>
      </c>
      <c r="I120" s="123">
        <f>IF(L119&lt;0.01,0,Cal!$AB$126/1.16)</f>
        <v>0</v>
      </c>
      <c r="J120" s="123">
        <f t="shared" si="164"/>
        <v>0</v>
      </c>
      <c r="K120" s="123">
        <f>IF(Adm!$G$4="si",MIN(L119+D120+G120+H120+I120-J120,V120),0)</f>
        <v>0</v>
      </c>
      <c r="L120" s="123">
        <f t="shared" si="196"/>
        <v>0</v>
      </c>
      <c r="M120" s="74"/>
      <c r="N120" s="74"/>
      <c r="O120" s="407">
        <f t="shared" si="197"/>
        <v>0</v>
      </c>
      <c r="R120" s="90">
        <f t="shared" si="198"/>
        <v>12</v>
      </c>
      <c r="S120" s="121">
        <f>IF(R120=1,Cal!$AB$127,0)</f>
        <v>0</v>
      </c>
      <c r="U120" s="70">
        <f t="shared" si="262"/>
        <v>0</v>
      </c>
      <c r="V120" s="2178">
        <f t="shared" ca="1" si="199"/>
        <v>0</v>
      </c>
      <c r="X120" s="398"/>
      <c r="Z120" s="268">
        <f t="shared" si="165"/>
        <v>0</v>
      </c>
      <c r="AA120" s="2176">
        <f t="shared" si="200"/>
        <v>0</v>
      </c>
      <c r="AB120" s="33">
        <f t="shared" si="201"/>
        <v>0</v>
      </c>
      <c r="AC120" s="33">
        <f t="shared" si="202"/>
        <v>0</v>
      </c>
      <c r="AD120" s="33">
        <f>IF(AI119&lt;0.01,0,IF(Adm!$S$4=Adm!$S$8,AI119*$AI$15,AI119*Adm!$V$4))</f>
        <v>0</v>
      </c>
      <c r="AE120" s="33"/>
      <c r="AF120" s="33"/>
      <c r="AG120" s="33">
        <f t="shared" si="166"/>
        <v>0</v>
      </c>
      <c r="AH120" s="33"/>
      <c r="AI120" s="401">
        <f t="shared" si="167"/>
        <v>0</v>
      </c>
      <c r="AK120" s="410">
        <f t="shared" si="168"/>
        <v>0</v>
      </c>
      <c r="AN120" s="90">
        <f t="shared" si="203"/>
        <v>12</v>
      </c>
      <c r="AO120" s="121">
        <f>IF(AN120=1,Cal!$AC$127,0)</f>
        <v>0</v>
      </c>
      <c r="AS120" s="200"/>
      <c r="AU120" s="268">
        <f t="shared" si="169"/>
        <v>0</v>
      </c>
      <c r="AV120" s="2177">
        <f t="shared" si="204"/>
        <v>0</v>
      </c>
      <c r="AW120" s="123">
        <f t="shared" si="170"/>
        <v>0</v>
      </c>
      <c r="AX120" s="123">
        <f t="shared" si="205"/>
        <v>0</v>
      </c>
      <c r="AY120" s="123">
        <f>IF(BC119&lt;0.01,0,IF(Adm!$S$4=Adm!$S$8,BC119*$BC$16,BC119*Adm!$V$4))</f>
        <v>0</v>
      </c>
      <c r="AZ120" s="123"/>
      <c r="BA120" s="123">
        <f>IF(BC119&lt;0.01,0,Adm!$Q$6)</f>
        <v>0</v>
      </c>
      <c r="BB120" s="123">
        <f t="shared" si="171"/>
        <v>0</v>
      </c>
      <c r="BC120" s="297">
        <f t="shared" si="206"/>
        <v>0</v>
      </c>
      <c r="BE120" s="425">
        <f t="shared" si="172"/>
        <v>0</v>
      </c>
      <c r="BH120" s="90">
        <f t="shared" si="207"/>
        <v>12</v>
      </c>
      <c r="BI120" s="121">
        <f>IF(BH120=1,Cal!$AD$127,0)</f>
        <v>0</v>
      </c>
      <c r="BM120" s="221"/>
      <c r="BO120" s="295">
        <f t="shared" ca="1" si="173"/>
        <v>3</v>
      </c>
      <c r="BP120" s="268">
        <f t="shared" si="174"/>
        <v>0</v>
      </c>
      <c r="BQ120" s="123">
        <f t="shared" si="208"/>
        <v>0</v>
      </c>
      <c r="BR120" s="123">
        <f t="shared" si="288"/>
        <v>0</v>
      </c>
      <c r="BS120" s="123">
        <f t="shared" si="296"/>
        <v>0</v>
      </c>
      <c r="BT120" s="123">
        <f>IF(BZ119&lt;0.01,0,IF(Plus!$F$22=Plus!$AN$4,BZ119*$BZ$15,IF(Plus!$F$22=Plus!$AN$3,BZ119*Plus!$F$23/1000,BZ119*VLOOKUP(Plus!$G$21,Plus!$AP$2:'Plus'!$AQ$5,2,0))))</f>
        <v>0</v>
      </c>
      <c r="BU120" s="123">
        <f>IF(BZ119&lt;0.01,0,IF(Plus!$F$24=Plus!$AO$3,Plus!$G$13*Plus!$AR$2/1.16,IF(Plus!$F$10=Plus!$AK$7,0,Plus!$G$13*Plus!$AR$2/1.16)))</f>
        <v>0</v>
      </c>
      <c r="BV120" s="123">
        <f>IF(BZ119&lt;0.01,0,Plus!$BD$2)</f>
        <v>0</v>
      </c>
      <c r="BW120" s="123"/>
      <c r="BX120" s="123">
        <f t="shared" si="175"/>
        <v>0</v>
      </c>
      <c r="BY120" s="123">
        <f>IF(Plus!$F$10=Plus!$AK$3,MIN(BZ119+BQ120+BT120+BU120+BV120-BX120,CJ120),0)</f>
        <v>0</v>
      </c>
      <c r="BZ120" s="297">
        <f t="shared" si="280"/>
        <v>0</v>
      </c>
      <c r="CA120" s="74"/>
      <c r="CB120" s="74"/>
      <c r="CC120" s="413">
        <f t="shared" si="209"/>
        <v>0</v>
      </c>
      <c r="CF120" s="90">
        <f t="shared" si="210"/>
        <v>12</v>
      </c>
      <c r="CG120" s="121">
        <f t="shared" si="263"/>
        <v>0</v>
      </c>
      <c r="CI120" s="70">
        <f t="shared" si="264"/>
        <v>0</v>
      </c>
      <c r="CJ120" s="2178">
        <f t="shared" ca="1" si="211"/>
        <v>0</v>
      </c>
      <c r="CL120" s="161"/>
      <c r="CN120" s="308">
        <f t="shared" ca="1" si="176"/>
        <v>3</v>
      </c>
      <c r="CO120" s="309">
        <f t="shared" si="212"/>
        <v>0</v>
      </c>
      <c r="CP120" s="268">
        <f t="shared" si="177"/>
        <v>0</v>
      </c>
      <c r="CQ120" s="123">
        <f t="shared" si="213"/>
        <v>0</v>
      </c>
      <c r="CR120" s="123">
        <f t="shared" si="289"/>
        <v>0</v>
      </c>
      <c r="CS120" s="123">
        <f t="shared" si="290"/>
        <v>0</v>
      </c>
      <c r="CT120" s="33">
        <f>IF(CZ119&lt;0.01,0,IF(Plus!$F$22=Plus!$AN$4,0,IF(Plus!$F$22=Plus!$AN$3,CZ119*Plus!$F$23/1000,CZ119*VLOOKUP(Plus!$G$21,Plus!$AP$2:'Plus'!$AQ$5,2,0))))</f>
        <v>0</v>
      </c>
      <c r="CU120" s="123">
        <f>IF(CZ119&lt;0.01,0,IF(Plus!$F$24=Plus!$AO$3,0,IF(OR(Plus!$F$10=Plus!$AK$7,Plus!$F$10=Plus!$AK$13),0,Plus!$G$13*Plus!$AR$2)))</f>
        <v>0</v>
      </c>
      <c r="CV120" s="123">
        <f>IF(CZ119&lt;0.01,0,IF(OR(Plus!$F$10=Plus!$AK$7,Plus!$F$10=Plus!$AK$13),0,Plus!$BD$2*1.16))</f>
        <v>0</v>
      </c>
      <c r="CW120" s="123">
        <f>IF(CZ119&lt;0.01,0,IF(Plus!$AS$2&gt;0,CQ120*Plus!$AS$3,0))</f>
        <v>0</v>
      </c>
      <c r="CX120" s="123">
        <f t="shared" si="214"/>
        <v>0</v>
      </c>
      <c r="CY120" s="123">
        <f>IF(Plus!$F$10=Plus!$AK$3,MIN(CZ119+CQ120+CT120+CU120+CV120-CX120,DK120),0)</f>
        <v>0</v>
      </c>
      <c r="CZ120" s="297">
        <f t="shared" si="294"/>
        <v>0</v>
      </c>
      <c r="DA120" s="306">
        <f>Plus!O161</f>
        <v>0</v>
      </c>
      <c r="DB120" s="74"/>
      <c r="DC120" s="74"/>
      <c r="DD120" s="407">
        <f t="shared" si="215"/>
        <v>0</v>
      </c>
      <c r="DG120" s="90">
        <f t="shared" si="216"/>
        <v>12</v>
      </c>
      <c r="DH120" s="121">
        <f t="shared" si="265"/>
        <v>0</v>
      </c>
      <c r="DJ120" s="149">
        <f t="shared" si="266"/>
        <v>0</v>
      </c>
      <c r="DK120" s="2179">
        <f t="shared" ca="1" si="217"/>
        <v>0</v>
      </c>
      <c r="DN120" s="120">
        <f t="shared" si="267"/>
        <v>0</v>
      </c>
      <c r="DO120" s="110">
        <f t="shared" si="218"/>
        <v>0</v>
      </c>
      <c r="DP120" s="110">
        <f t="shared" si="276"/>
        <v>0</v>
      </c>
      <c r="DQ120" s="109">
        <f t="shared" si="219"/>
        <v>0</v>
      </c>
      <c r="DR120" s="109">
        <f t="shared" si="220"/>
        <v>0</v>
      </c>
      <c r="DS120" s="113">
        <f t="shared" si="221"/>
        <v>0</v>
      </c>
      <c r="DU120" s="102">
        <f t="shared" si="222"/>
        <v>0</v>
      </c>
      <c r="DV120" s="211">
        <f t="shared" si="277"/>
        <v>96</v>
      </c>
      <c r="DW120" s="212">
        <f t="shared" si="223"/>
        <v>0</v>
      </c>
      <c r="DX120" s="212">
        <f t="shared" si="178"/>
        <v>0</v>
      </c>
      <c r="DY120" s="212">
        <f t="shared" si="268"/>
        <v>0</v>
      </c>
      <c r="DZ120" s="213">
        <f t="shared" si="179"/>
        <v>1000000</v>
      </c>
      <c r="ED120" s="182"/>
      <c r="EF120" s="308">
        <f t="shared" ca="1" si="180"/>
        <v>3</v>
      </c>
      <c r="EG120" s="309">
        <f t="shared" si="224"/>
        <v>0</v>
      </c>
      <c r="EH120" s="268">
        <f t="shared" si="181"/>
        <v>0</v>
      </c>
      <c r="EI120" s="33">
        <f t="shared" si="225"/>
        <v>0</v>
      </c>
      <c r="EJ120" s="33">
        <f t="shared" si="291"/>
        <v>0</v>
      </c>
      <c r="EK120" s="33">
        <f t="shared" si="297"/>
        <v>0</v>
      </c>
      <c r="EL120" s="33">
        <f>IF(ER119&lt;0.01,0,IF(Plus!$F$22=Plus!$AN$4,0,IF(Plus!$F$22=Plus!$AN$3,ER119*Plus!$F$23/1000,ER119*VLOOKUP(Plus!$G$21,Plus!$AP$2:'Plus'!$AQ$5,2,0))))</f>
        <v>0</v>
      </c>
      <c r="EM120" s="33">
        <f>IF(ER119&lt;0.01,0,IF(Plus!$F$24=Plus!$AO$3,0,IF(OR(Plus!$F$10=Plus!$AK$7,Plus!$F$10=Plus!$AK$13),0,Plus!$G$13*Plus!$AR$2)))</f>
        <v>0</v>
      </c>
      <c r="EN120" s="33">
        <f>IF(ER119&lt;0.01,0,IF(OR(Plus!$F$10=Plus!$AK$7,Plus!$F$10=Plus!$AK$13),0,Plus!$BD$2*1.16))</f>
        <v>0</v>
      </c>
      <c r="EO120" s="33">
        <f>IF(ER119&lt;0.01,0,IF(Plus!$AS$2&gt;0,EI120*Plus!$AS$3,0))</f>
        <v>0</v>
      </c>
      <c r="EP120" s="33">
        <f t="shared" si="226"/>
        <v>0</v>
      </c>
      <c r="EQ120" s="33">
        <f>IF(Plus!$F$10=Plus!$AK$3,MIN(ER119+EI120+EL120+EM120+EN120-EP120,FC120),0)</f>
        <v>0</v>
      </c>
      <c r="ER120" s="311">
        <f t="shared" si="285"/>
        <v>0</v>
      </c>
      <c r="ES120" s="340">
        <f>Plus!O161</f>
        <v>0</v>
      </c>
      <c r="ET120" s="74"/>
      <c r="EU120" s="74"/>
      <c r="EV120" s="416">
        <f t="shared" si="281"/>
        <v>0</v>
      </c>
      <c r="EY120" s="90">
        <f t="shared" si="227"/>
        <v>12</v>
      </c>
      <c r="EZ120" s="121">
        <f t="shared" si="269"/>
        <v>0</v>
      </c>
      <c r="FB120" s="149">
        <f t="shared" si="270"/>
        <v>0</v>
      </c>
      <c r="FC120" s="2179">
        <f t="shared" ca="1" si="228"/>
        <v>0</v>
      </c>
      <c r="FE120" s="120">
        <f t="shared" si="271"/>
        <v>0</v>
      </c>
      <c r="FF120" s="110">
        <f t="shared" si="229"/>
        <v>0</v>
      </c>
      <c r="FG120" s="110">
        <f t="shared" si="230"/>
        <v>0</v>
      </c>
      <c r="FH120" s="109">
        <f t="shared" si="231"/>
        <v>0</v>
      </c>
      <c r="FI120" s="109">
        <f t="shared" si="182"/>
        <v>0</v>
      </c>
      <c r="FJ120" s="113">
        <f t="shared" si="232"/>
        <v>0</v>
      </c>
      <c r="FL120" s="102">
        <f t="shared" si="233"/>
        <v>0</v>
      </c>
      <c r="FM120" s="211">
        <f t="shared" si="278"/>
        <v>96</v>
      </c>
      <c r="FN120" s="212">
        <f t="shared" si="234"/>
        <v>0</v>
      </c>
      <c r="FO120" s="212">
        <f t="shared" si="183"/>
        <v>0</v>
      </c>
      <c r="FP120" s="212">
        <f t="shared" si="298"/>
        <v>0</v>
      </c>
      <c r="FQ120" s="213">
        <f t="shared" si="184"/>
        <v>1000000</v>
      </c>
      <c r="FV120" s="359"/>
      <c r="FX120" s="308">
        <f t="shared" ca="1" si="185"/>
        <v>3</v>
      </c>
      <c r="FY120" s="309">
        <f t="shared" si="235"/>
        <v>0</v>
      </c>
      <c r="FZ120" s="268">
        <f t="shared" si="186"/>
        <v>0</v>
      </c>
      <c r="GA120" s="33">
        <f t="shared" si="236"/>
        <v>0</v>
      </c>
      <c r="GB120" s="33">
        <f t="shared" si="292"/>
        <v>0</v>
      </c>
      <c r="GC120" s="33">
        <f t="shared" si="293"/>
        <v>0</v>
      </c>
      <c r="GD120" s="33">
        <f>IF(GJ119&lt;0.01,0,IF(Plus!$F$22=Plus!$AN$4,0,IF(Plus!$F$22=Plus!$AN$3,GJ119*Plus!$F$23/1000,GJ119*VLOOKUP(Plus!$G$21,Plus!$AP$2:$AQ$5,2,0))))</f>
        <v>0</v>
      </c>
      <c r="GE120" s="33">
        <f>IF(GJ119&lt;0.01,0,IF(Plus!$F$24=Plus!$AO$3,0,IF(OR(Plus!$F$10=Plus!$AK$7,Plus!$F$10=Plus!$AK$13,Plus!$F$10=Plus!$AK$14),0,IF(OR(Plus!$F$10=Plus!$AK$10,Plus!$F$10=Plus!$AK$11),Plus!$G$13*Adm!$W$7,Plus!$G$13*Adm!$X$4))))</f>
        <v>0</v>
      </c>
      <c r="GF120" s="33">
        <f>IF(GJ119&lt;0.01,0,IF(OR(Plus!$F$10=Plus!$AK$7,Plus!$F$10=Plus!$AK$13),0,Plus!$BD$2*1.16))</f>
        <v>0</v>
      </c>
      <c r="GG120" s="33">
        <f>IF(GJ119&lt;0.01,0,IF(Plus!$AS$2&gt;0,GA120*Plus!$AS$3,0))</f>
        <v>0</v>
      </c>
      <c r="GH120" s="33">
        <f t="shared" si="237"/>
        <v>0</v>
      </c>
      <c r="GI120" s="33">
        <f>IF(Plus!$F$10=Plus!$AK$3,MIN(GJ119+GA120+GD120+GE120+GF120-GH120,GU120),0)</f>
        <v>0</v>
      </c>
      <c r="GJ120" s="311">
        <f t="shared" si="286"/>
        <v>0</v>
      </c>
      <c r="GK120" s="340">
        <f>Plus!O161</f>
        <v>0</v>
      </c>
      <c r="GL120" s="74"/>
      <c r="GM120" s="74"/>
      <c r="GN120" s="419">
        <f t="shared" si="283"/>
        <v>0</v>
      </c>
      <c r="GQ120" s="90">
        <f t="shared" si="238"/>
        <v>12</v>
      </c>
      <c r="GR120" s="121">
        <f t="shared" si="272"/>
        <v>0</v>
      </c>
      <c r="GT120" s="149">
        <f t="shared" si="273"/>
        <v>0</v>
      </c>
      <c r="GU120" s="2179">
        <f t="shared" ca="1" si="239"/>
        <v>0</v>
      </c>
      <c r="GW120" s="120">
        <f t="shared" si="274"/>
        <v>0</v>
      </c>
      <c r="GX120" s="110">
        <f t="shared" si="240"/>
        <v>0</v>
      </c>
      <c r="GY120" s="110">
        <f t="shared" si="241"/>
        <v>0</v>
      </c>
      <c r="GZ120" s="109">
        <f t="shared" si="242"/>
        <v>0</v>
      </c>
      <c r="HA120" s="109">
        <f t="shared" si="187"/>
        <v>0</v>
      </c>
      <c r="HB120" s="113">
        <f t="shared" si="243"/>
        <v>0</v>
      </c>
      <c r="HD120" s="102">
        <f t="shared" si="244"/>
        <v>0</v>
      </c>
      <c r="HE120" s="211">
        <f t="shared" si="279"/>
        <v>96</v>
      </c>
      <c r="HF120" s="212">
        <f t="shared" si="245"/>
        <v>0</v>
      </c>
      <c r="HG120" s="212">
        <f t="shared" si="188"/>
        <v>0</v>
      </c>
      <c r="HH120" s="212">
        <f t="shared" si="299"/>
        <v>0</v>
      </c>
      <c r="HI120" s="213">
        <f t="shared" si="189"/>
        <v>1000000</v>
      </c>
      <c r="HL120" s="182"/>
      <c r="HM120" s="26">
        <f t="shared" ca="1" si="190"/>
        <v>3</v>
      </c>
      <c r="HO120" s="268">
        <f t="shared" si="191"/>
        <v>0</v>
      </c>
      <c r="HP120" s="151">
        <f t="shared" si="157"/>
        <v>0</v>
      </c>
      <c r="HQ120" s="123">
        <f t="shared" si="246"/>
        <v>0</v>
      </c>
      <c r="HR120" s="123">
        <f t="shared" si="247"/>
        <v>0</v>
      </c>
      <c r="HS120" s="123">
        <f t="shared" si="248"/>
        <v>0</v>
      </c>
      <c r="HT120" s="123">
        <f>IF(HY119&lt;0.01,0,IF(Adm!$GS$4=Adm!$GS$8,HY119*$HY$15,IF(Adm!$GS$12=Adm!$GS$13,0,HY119*Adm!$GV$4)))</f>
        <v>0</v>
      </c>
      <c r="HU120" s="123">
        <f>IF(HY119&lt;0.01,0,IF(Adm!$GS$5=Adm!$GS$8,Cal!$BO$108*$HY$16/1.16,IF(Adm!$GS$12=Adm!$GS$13,0,Cal!$BO$108*Adm!$GW$4/1.16)))</f>
        <v>0</v>
      </c>
      <c r="HV120" s="123">
        <f t="shared" si="249"/>
        <v>0</v>
      </c>
      <c r="HW120" s="123">
        <f t="shared" si="192"/>
        <v>0</v>
      </c>
      <c r="HX120" s="123">
        <f>IF(Adm!$GH$6="si",MIN(HY119+HQ120+HT120+HU120+HV120-HW120,IH120),0)</f>
        <v>0</v>
      </c>
      <c r="HY120" s="297">
        <f t="shared" si="250"/>
        <v>0</v>
      </c>
      <c r="HZ120" s="74"/>
      <c r="IA120" s="407">
        <f t="shared" si="251"/>
        <v>0</v>
      </c>
      <c r="IC120" s="90">
        <f t="shared" si="252"/>
        <v>12</v>
      </c>
      <c r="ID120" s="124">
        <f>IF(IC120=1,Cal!$BO$127,0)</f>
        <v>0</v>
      </c>
      <c r="IE120" s="178">
        <f>IF(IC120=1,Adm!$HI$4,0)</f>
        <v>0</v>
      </c>
      <c r="IG120" s="70">
        <f t="shared" si="275"/>
        <v>0</v>
      </c>
      <c r="IH120" s="2178">
        <f t="shared" ca="1" si="253"/>
        <v>0</v>
      </c>
      <c r="IK120" s="217"/>
      <c r="IL120" s="26">
        <f t="shared" ca="1" si="193"/>
        <v>3</v>
      </c>
      <c r="IN120" s="268">
        <f t="shared" si="194"/>
        <v>0</v>
      </c>
      <c r="IO120" s="151">
        <f t="shared" si="154"/>
        <v>0</v>
      </c>
      <c r="IP120" s="123">
        <f t="shared" si="254"/>
        <v>0</v>
      </c>
      <c r="IQ120" s="123">
        <f t="shared" si="255"/>
        <v>0</v>
      </c>
      <c r="IR120" s="123">
        <f t="shared" si="256"/>
        <v>0</v>
      </c>
      <c r="IS120" s="123">
        <f>IF(IX119&lt;0.01,0,IF(Adm!$GS$4=Adm!$GS$8,IX119*$IX$15,IF(Adm!$GS$12=Adm!$GS$13,0,IX119*Adm!$GV$4)))</f>
        <v>0</v>
      </c>
      <c r="IT120" s="123"/>
      <c r="IU120" s="123">
        <f t="shared" si="257"/>
        <v>0</v>
      </c>
      <c r="IV120" s="123">
        <f t="shared" si="258"/>
        <v>0</v>
      </c>
      <c r="IW120" s="123"/>
      <c r="IX120" s="297">
        <f t="shared" si="259"/>
        <v>0</v>
      </c>
      <c r="IY120" s="74"/>
      <c r="IZ120" s="416">
        <f t="shared" si="260"/>
        <v>0</v>
      </c>
      <c r="JB120" s="90">
        <f t="shared" si="261"/>
        <v>12</v>
      </c>
      <c r="JC120" s="124">
        <f>IF(JB120=1,Cal!$BP$127,0)</f>
        <v>0</v>
      </c>
      <c r="JD120" s="178">
        <f>IF(JB120=1,Adm!$HI$4,0)</f>
        <v>0</v>
      </c>
    </row>
    <row r="121" spans="1:264">
      <c r="A121" s="26">
        <f t="shared" ca="1" si="162"/>
        <v>4</v>
      </c>
      <c r="C121" s="33">
        <f t="shared" si="163"/>
        <v>0</v>
      </c>
      <c r="D121" s="123">
        <f t="shared" si="195"/>
        <v>0</v>
      </c>
      <c r="E121" s="123">
        <f t="shared" si="287"/>
        <v>0</v>
      </c>
      <c r="F121" s="123">
        <f t="shared" si="295"/>
        <v>0</v>
      </c>
      <c r="G121" s="123">
        <f>IF(L120&lt;0.01,0,IF(Adm!$S$4=Adm!$S$8,L120*$L$15,L120*Adm!$V$4))</f>
        <v>0</v>
      </c>
      <c r="H121" s="123">
        <f>IF(L120&lt;0.01,0,IF(Adm!$S$5=Adm!$S$8,Adm!$AA$11*$L$16/1.16,IF(Adm!$B$4=Adm!$A$119,0,Adm!$AA$11*Adm!$X$4/1.16)))</f>
        <v>0</v>
      </c>
      <c r="I121" s="123">
        <f>IF(L120&lt;0.01,0,Cal!$AB$126/1.16)</f>
        <v>0</v>
      </c>
      <c r="J121" s="123">
        <f t="shared" si="164"/>
        <v>0</v>
      </c>
      <c r="K121" s="123">
        <f>IF(Adm!$G$4="si",MIN(L120+D121+G121+H121+I121-J121,V121),0)</f>
        <v>0</v>
      </c>
      <c r="L121" s="123">
        <f t="shared" si="196"/>
        <v>0</v>
      </c>
      <c r="M121" s="74"/>
      <c r="N121" s="74"/>
      <c r="O121" s="407">
        <f t="shared" si="197"/>
        <v>0</v>
      </c>
      <c r="R121" s="90">
        <f t="shared" si="198"/>
        <v>1</v>
      </c>
      <c r="S121" s="121">
        <f>IF(R121=1,Cal!$AB$127,0)</f>
        <v>0</v>
      </c>
      <c r="U121" s="70">
        <f t="shared" si="262"/>
        <v>0</v>
      </c>
      <c r="V121" s="2178">
        <f t="shared" ca="1" si="199"/>
        <v>0</v>
      </c>
      <c r="X121" s="398"/>
      <c r="Z121" s="268">
        <f t="shared" si="165"/>
        <v>0</v>
      </c>
      <c r="AA121" s="2176">
        <f t="shared" si="200"/>
        <v>0</v>
      </c>
      <c r="AB121" s="33">
        <f t="shared" si="201"/>
        <v>0</v>
      </c>
      <c r="AC121" s="33">
        <f t="shared" si="202"/>
        <v>0</v>
      </c>
      <c r="AD121" s="33">
        <f>IF(AI120&lt;0.01,0,IF(Adm!$S$4=Adm!$S$8,AI120*$AI$15,AI120*Adm!$V$4))</f>
        <v>0</v>
      </c>
      <c r="AE121" s="33"/>
      <c r="AF121" s="33"/>
      <c r="AG121" s="33">
        <f t="shared" si="166"/>
        <v>0</v>
      </c>
      <c r="AH121" s="33"/>
      <c r="AI121" s="401">
        <f t="shared" si="167"/>
        <v>0</v>
      </c>
      <c r="AK121" s="410">
        <f t="shared" si="168"/>
        <v>0</v>
      </c>
      <c r="AN121" s="90">
        <f t="shared" si="203"/>
        <v>1</v>
      </c>
      <c r="AO121" s="121">
        <f>IF(AN121=1,Cal!$AC$127,0)</f>
        <v>0</v>
      </c>
      <c r="AS121" s="200"/>
      <c r="AU121" s="268">
        <f t="shared" si="169"/>
        <v>0</v>
      </c>
      <c r="AV121" s="2177">
        <f t="shared" si="204"/>
        <v>0</v>
      </c>
      <c r="AW121" s="123">
        <f t="shared" si="170"/>
        <v>0</v>
      </c>
      <c r="AX121" s="123">
        <f t="shared" si="205"/>
        <v>0</v>
      </c>
      <c r="AY121" s="123">
        <f>IF(BC120&lt;0.01,0,IF(Adm!$S$4=Adm!$S$8,BC120*$BC$16,BC120*Adm!$V$4))</f>
        <v>0</v>
      </c>
      <c r="AZ121" s="123"/>
      <c r="BA121" s="123">
        <f>IF(BC120&lt;0.01,0,Adm!$Q$6)</f>
        <v>0</v>
      </c>
      <c r="BB121" s="123">
        <f t="shared" si="171"/>
        <v>0</v>
      </c>
      <c r="BC121" s="297">
        <f t="shared" si="206"/>
        <v>0</v>
      </c>
      <c r="BE121" s="425">
        <f t="shared" si="172"/>
        <v>0</v>
      </c>
      <c r="BH121" s="90">
        <f t="shared" si="207"/>
        <v>1</v>
      </c>
      <c r="BI121" s="121">
        <f>IF(BH121=1,Cal!$AD$127,0)</f>
        <v>0</v>
      </c>
      <c r="BM121" s="221"/>
      <c r="BO121" s="295">
        <f t="shared" ca="1" si="173"/>
        <v>4</v>
      </c>
      <c r="BP121" s="268">
        <f t="shared" si="174"/>
        <v>0</v>
      </c>
      <c r="BQ121" s="123">
        <f t="shared" si="208"/>
        <v>0</v>
      </c>
      <c r="BR121" s="123">
        <f t="shared" si="288"/>
        <v>0</v>
      </c>
      <c r="BS121" s="123">
        <f t="shared" si="296"/>
        <v>0</v>
      </c>
      <c r="BT121" s="123">
        <f>IF(BZ120&lt;0.01,0,IF(Plus!$F$22=Plus!$AN$4,BZ120*$BZ$15,IF(Plus!$F$22=Plus!$AN$3,BZ120*Plus!$F$23/1000,BZ120*VLOOKUP(Plus!$G$21,Plus!$AP$2:'Plus'!$AQ$5,2,0))))</f>
        <v>0</v>
      </c>
      <c r="BU121" s="123">
        <f>IF(BZ120&lt;0.01,0,IF(Plus!$F$24=Plus!$AO$3,Plus!$G$13*Plus!$AR$2/1.16,IF(Plus!$F$10=Plus!$AK$7,0,Plus!$G$13*Plus!$AR$2/1.16)))</f>
        <v>0</v>
      </c>
      <c r="BV121" s="123">
        <f>IF(BZ120&lt;0.01,0,Plus!$BD$2)</f>
        <v>0</v>
      </c>
      <c r="BW121" s="123"/>
      <c r="BX121" s="123">
        <f t="shared" si="175"/>
        <v>0</v>
      </c>
      <c r="BY121" s="123">
        <f>IF(Plus!$F$10=Plus!$AK$3,MIN(BZ120+BQ121+BT121+BU121+BV121-BX121,CJ121),0)</f>
        <v>0</v>
      </c>
      <c r="BZ121" s="297">
        <f t="shared" si="280"/>
        <v>0</v>
      </c>
      <c r="CA121" s="74"/>
      <c r="CB121" s="74"/>
      <c r="CC121" s="413">
        <f t="shared" si="209"/>
        <v>0</v>
      </c>
      <c r="CF121" s="90">
        <f t="shared" si="210"/>
        <v>1</v>
      </c>
      <c r="CG121" s="121">
        <f t="shared" si="263"/>
        <v>0</v>
      </c>
      <c r="CI121" s="70">
        <f t="shared" si="264"/>
        <v>0</v>
      </c>
      <c r="CJ121" s="2178">
        <f t="shared" ca="1" si="211"/>
        <v>0</v>
      </c>
      <c r="CL121" s="161"/>
      <c r="CN121" s="308">
        <f t="shared" ca="1" si="176"/>
        <v>4</v>
      </c>
      <c r="CO121" s="309">
        <f t="shared" si="212"/>
        <v>0</v>
      </c>
      <c r="CP121" s="268">
        <f t="shared" si="177"/>
        <v>0</v>
      </c>
      <c r="CQ121" s="123">
        <f t="shared" si="213"/>
        <v>0</v>
      </c>
      <c r="CR121" s="123">
        <f t="shared" si="289"/>
        <v>0</v>
      </c>
      <c r="CS121" s="123">
        <f t="shared" si="290"/>
        <v>0</v>
      </c>
      <c r="CT121" s="33">
        <f>IF(CZ120&lt;0.01,0,IF(Plus!$F$22=Plus!$AN$4,0,IF(Plus!$F$22=Plus!$AN$3,CZ120*Plus!$F$23/1000,CZ120*VLOOKUP(Plus!$G$21,Plus!$AP$2:'Plus'!$AQ$5,2,0))))</f>
        <v>0</v>
      </c>
      <c r="CU121" s="123">
        <f>IF(CZ120&lt;0.01,0,IF(Plus!$F$24=Plus!$AO$3,0,IF(OR(Plus!$F$10=Plus!$AK$7,Plus!$F$10=Plus!$AK$13),0,Plus!$G$13*Plus!$AR$2)))</f>
        <v>0</v>
      </c>
      <c r="CV121" s="123">
        <f>IF(CZ120&lt;0.01,0,IF(OR(Plus!$F$10=Plus!$AK$7,Plus!$F$10=Plus!$AK$13),0,Plus!$BD$2*1.16))</f>
        <v>0</v>
      </c>
      <c r="CW121" s="123">
        <f>IF(CZ120&lt;0.01,0,IF(Plus!$AS$2&gt;0,CQ121*Plus!$AS$3,0))</f>
        <v>0</v>
      </c>
      <c r="CX121" s="123">
        <f t="shared" si="214"/>
        <v>0</v>
      </c>
      <c r="CY121" s="123">
        <f>IF(Plus!$F$10=Plus!$AK$3,MIN(CZ120+CQ121+CT121+CU121+CV121-CX121,DK121),0)</f>
        <v>0</v>
      </c>
      <c r="CZ121" s="297">
        <f t="shared" si="294"/>
        <v>0</v>
      </c>
      <c r="DA121" s="306">
        <f>Plus!O162</f>
        <v>0</v>
      </c>
      <c r="DB121" s="74"/>
      <c r="DC121" s="74"/>
      <c r="DD121" s="407">
        <f t="shared" si="215"/>
        <v>0</v>
      </c>
      <c r="DG121" s="90">
        <f t="shared" si="216"/>
        <v>1</v>
      </c>
      <c r="DH121" s="121">
        <f t="shared" si="265"/>
        <v>0</v>
      </c>
      <c r="DJ121" s="149">
        <f t="shared" si="266"/>
        <v>0</v>
      </c>
      <c r="DK121" s="2179">
        <f t="shared" ca="1" si="217"/>
        <v>0</v>
      </c>
      <c r="DN121" s="120">
        <f t="shared" si="267"/>
        <v>0</v>
      </c>
      <c r="DO121" s="110">
        <f t="shared" si="218"/>
        <v>0</v>
      </c>
      <c r="DP121" s="110">
        <f t="shared" si="276"/>
        <v>0</v>
      </c>
      <c r="DQ121" s="109">
        <f t="shared" si="219"/>
        <v>0</v>
      </c>
      <c r="DR121" s="109">
        <f t="shared" si="220"/>
        <v>0</v>
      </c>
      <c r="DS121" s="113">
        <f t="shared" si="221"/>
        <v>0</v>
      </c>
      <c r="DU121" s="102">
        <f t="shared" si="222"/>
        <v>0</v>
      </c>
      <c r="DV121" s="333">
        <f t="shared" si="277"/>
        <v>97</v>
      </c>
      <c r="DW121" s="334">
        <f t="shared" si="223"/>
        <v>0</v>
      </c>
      <c r="DX121" s="334">
        <f t="shared" si="178"/>
        <v>0</v>
      </c>
      <c r="DY121" s="334">
        <f>MIN(DZ120+DW121,DY120*(1+$DW$20))</f>
        <v>0</v>
      </c>
      <c r="DZ121" s="213">
        <f t="shared" si="179"/>
        <v>1000000</v>
      </c>
      <c r="ED121" s="182"/>
      <c r="EF121" s="308">
        <f t="shared" ca="1" si="180"/>
        <v>4</v>
      </c>
      <c r="EG121" s="309">
        <f t="shared" si="224"/>
        <v>0</v>
      </c>
      <c r="EH121" s="268">
        <f t="shared" si="181"/>
        <v>0</v>
      </c>
      <c r="EI121" s="33">
        <f t="shared" si="225"/>
        <v>0</v>
      </c>
      <c r="EJ121" s="33">
        <f t="shared" si="291"/>
        <v>0</v>
      </c>
      <c r="EK121" s="33">
        <f t="shared" si="297"/>
        <v>0</v>
      </c>
      <c r="EL121" s="33">
        <f>IF(ER120&lt;0.01,0,IF(Plus!$F$22=Plus!$AN$4,0,IF(Plus!$F$22=Plus!$AN$3,ER120*Plus!$F$23/1000,ER120*VLOOKUP(Plus!$G$21,Plus!$AP$2:'Plus'!$AQ$5,2,0))))</f>
        <v>0</v>
      </c>
      <c r="EM121" s="33">
        <f>IF(ER120&lt;0.01,0,IF(Plus!$F$24=Plus!$AO$3,0,IF(OR(Plus!$F$10=Plus!$AK$7,Plus!$F$10=Plus!$AK$13),0,Plus!$G$13*Plus!$AR$2)))</f>
        <v>0</v>
      </c>
      <c r="EN121" s="33">
        <f>IF(ER120&lt;0.01,0,IF(OR(Plus!$F$10=Plus!$AK$7,Plus!$F$10=Plus!$AK$13),0,Plus!$BD$2*1.16))</f>
        <v>0</v>
      </c>
      <c r="EO121" s="33">
        <f>IF(ER120&lt;0.01,0,IF(Plus!$AS$2&gt;0,EI121*Plus!$AS$3,0))</f>
        <v>0</v>
      </c>
      <c r="EP121" s="33">
        <f t="shared" si="226"/>
        <v>0</v>
      </c>
      <c r="EQ121" s="33">
        <f>IF(Plus!$F$10=Plus!$AK$3,MIN(ER120+EI121+EL121+EM121+EN121-EP121,FC121),0)</f>
        <v>0</v>
      </c>
      <c r="ER121" s="311">
        <f t="shared" si="285"/>
        <v>0</v>
      </c>
      <c r="ES121" s="340">
        <f>Plus!O162</f>
        <v>0</v>
      </c>
      <c r="ET121" s="74"/>
      <c r="EU121" s="74"/>
      <c r="EV121" s="416">
        <f t="shared" si="281"/>
        <v>0</v>
      </c>
      <c r="EY121" s="90">
        <f t="shared" si="227"/>
        <v>1</v>
      </c>
      <c r="EZ121" s="121">
        <f t="shared" si="269"/>
        <v>0</v>
      </c>
      <c r="FB121" s="149">
        <f t="shared" si="270"/>
        <v>0</v>
      </c>
      <c r="FC121" s="2179">
        <f t="shared" ca="1" si="228"/>
        <v>0</v>
      </c>
      <c r="FE121" s="120">
        <f t="shared" si="271"/>
        <v>0</v>
      </c>
      <c r="FF121" s="110">
        <f t="shared" si="229"/>
        <v>0</v>
      </c>
      <c r="FG121" s="110">
        <f t="shared" si="230"/>
        <v>0</v>
      </c>
      <c r="FH121" s="109">
        <f t="shared" si="231"/>
        <v>0</v>
      </c>
      <c r="FI121" s="109">
        <f t="shared" si="182"/>
        <v>0</v>
      </c>
      <c r="FJ121" s="113">
        <f t="shared" si="232"/>
        <v>0</v>
      </c>
      <c r="FL121" s="102">
        <f t="shared" si="233"/>
        <v>0</v>
      </c>
      <c r="FM121" s="326">
        <f t="shared" si="278"/>
        <v>97</v>
      </c>
      <c r="FN121" s="327">
        <f t="shared" si="234"/>
        <v>0</v>
      </c>
      <c r="FO121" s="327">
        <f t="shared" si="183"/>
        <v>0</v>
      </c>
      <c r="FP121" s="327">
        <f>MIN(FQ120+FN121,FP120*(1+$FN$20))</f>
        <v>0</v>
      </c>
      <c r="FQ121" s="213">
        <f t="shared" si="184"/>
        <v>1000000</v>
      </c>
      <c r="FV121" s="359"/>
      <c r="FX121" s="308">
        <f t="shared" ca="1" si="185"/>
        <v>4</v>
      </c>
      <c r="FY121" s="309">
        <f t="shared" si="235"/>
        <v>0</v>
      </c>
      <c r="FZ121" s="268">
        <f t="shared" si="186"/>
        <v>0</v>
      </c>
      <c r="GA121" s="33">
        <f t="shared" si="236"/>
        <v>0</v>
      </c>
      <c r="GB121" s="33">
        <f t="shared" si="292"/>
        <v>0</v>
      </c>
      <c r="GC121" s="33">
        <f t="shared" si="293"/>
        <v>0</v>
      </c>
      <c r="GD121" s="33">
        <f>IF(GJ120&lt;0.01,0,IF(Plus!$F$22=Plus!$AN$4,0,IF(Plus!$F$22=Plus!$AN$3,GJ120*Plus!$F$23/1000,GJ120*VLOOKUP(Plus!$G$21,Plus!$AP$2:$AQ$5,2,0))))</f>
        <v>0</v>
      </c>
      <c r="GE121" s="33">
        <f>IF(GJ120&lt;0.01,0,IF(Plus!$F$24=Plus!$AO$3,0,IF(OR(Plus!$F$10=Plus!$AK$7,Plus!$F$10=Plus!$AK$13,Plus!$F$10=Plus!$AK$14),0,IF(OR(Plus!$F$10=Plus!$AK$10,Plus!$F$10=Plus!$AK$11),Plus!$G$13*Adm!$W$7,Plus!$G$13*Adm!$X$4))))</f>
        <v>0</v>
      </c>
      <c r="GF121" s="33">
        <f>IF(GJ120&lt;0.01,0,IF(OR(Plus!$F$10=Plus!$AK$7,Plus!$F$10=Plus!$AK$13),0,Plus!$BD$2*1.16))</f>
        <v>0</v>
      </c>
      <c r="GG121" s="33">
        <f>IF(GJ120&lt;0.01,0,IF(Plus!$AS$2&gt;0,GA121*Plus!$AS$3,0))</f>
        <v>0</v>
      </c>
      <c r="GH121" s="33">
        <f t="shared" si="237"/>
        <v>0</v>
      </c>
      <c r="GI121" s="33">
        <f>IF(Plus!$F$10=Plus!$AK$3,MIN(GJ120+GA121+GD121+GE121+GF121-GH121,GU121),0)</f>
        <v>0</v>
      </c>
      <c r="GJ121" s="311">
        <f t="shared" si="286"/>
        <v>0</v>
      </c>
      <c r="GK121" s="340">
        <f>Plus!O162</f>
        <v>0</v>
      </c>
      <c r="GL121" s="74"/>
      <c r="GM121" s="74"/>
      <c r="GN121" s="419">
        <f t="shared" si="283"/>
        <v>0</v>
      </c>
      <c r="GQ121" s="90">
        <f t="shared" si="238"/>
        <v>1</v>
      </c>
      <c r="GR121" s="121">
        <f t="shared" si="272"/>
        <v>0</v>
      </c>
      <c r="GT121" s="149">
        <f t="shared" si="273"/>
        <v>0</v>
      </c>
      <c r="GU121" s="2179">
        <f t="shared" ca="1" si="239"/>
        <v>0</v>
      </c>
      <c r="GW121" s="120">
        <f t="shared" si="274"/>
        <v>0</v>
      </c>
      <c r="GX121" s="110">
        <f t="shared" si="240"/>
        <v>0</v>
      </c>
      <c r="GY121" s="110">
        <f t="shared" si="241"/>
        <v>0</v>
      </c>
      <c r="GZ121" s="109">
        <f t="shared" si="242"/>
        <v>0</v>
      </c>
      <c r="HA121" s="109">
        <f t="shared" si="187"/>
        <v>0</v>
      </c>
      <c r="HB121" s="113">
        <f t="shared" si="243"/>
        <v>0</v>
      </c>
      <c r="HD121" s="102">
        <f t="shared" si="244"/>
        <v>0</v>
      </c>
      <c r="HE121" s="326">
        <f t="shared" si="279"/>
        <v>97</v>
      </c>
      <c r="HF121" s="327">
        <f t="shared" si="245"/>
        <v>0</v>
      </c>
      <c r="HG121" s="327">
        <f t="shared" si="188"/>
        <v>0</v>
      </c>
      <c r="HH121" s="327">
        <f>MIN(HI120+HF121,HH120*(1+$FN$20))</f>
        <v>0</v>
      </c>
      <c r="HI121" s="213">
        <f t="shared" si="189"/>
        <v>1000000</v>
      </c>
      <c r="HL121" s="182"/>
      <c r="HM121" s="26">
        <f t="shared" ca="1" si="190"/>
        <v>4</v>
      </c>
      <c r="HO121" s="268">
        <f t="shared" si="191"/>
        <v>0</v>
      </c>
      <c r="HP121" s="151">
        <f t="shared" si="157"/>
        <v>0</v>
      </c>
      <c r="HQ121" s="123">
        <f t="shared" si="246"/>
        <v>0</v>
      </c>
      <c r="HR121" s="123">
        <f t="shared" si="247"/>
        <v>0</v>
      </c>
      <c r="HS121" s="123">
        <f t="shared" si="248"/>
        <v>0</v>
      </c>
      <c r="HT121" s="123">
        <f>IF(HY120&lt;0.01,0,IF(Adm!$GS$4=Adm!$GS$8,HY120*$HY$15,IF(Adm!$GS$12=Adm!$GS$13,0,HY120*Adm!$GV$4)))</f>
        <v>0</v>
      </c>
      <c r="HU121" s="123">
        <f>IF(HY120&lt;0.01,0,IF(Adm!$GS$5=Adm!$GS$8,Cal!$BO$108*$HY$16/1.16,IF(Adm!$GS$12=Adm!$GS$13,0,Cal!$BO$108*Adm!$GW$4/1.16)))</f>
        <v>0</v>
      </c>
      <c r="HV121" s="123">
        <f t="shared" si="249"/>
        <v>0</v>
      </c>
      <c r="HW121" s="123">
        <f t="shared" si="192"/>
        <v>0</v>
      </c>
      <c r="HX121" s="123">
        <f>IF(Adm!$GH$6="si",MIN(HY120+HQ121+HT121+HU121+HV121-HW121,IH121),0)</f>
        <v>0</v>
      </c>
      <c r="HY121" s="297">
        <f t="shared" si="250"/>
        <v>0</v>
      </c>
      <c r="HZ121" s="74"/>
      <c r="IA121" s="407">
        <f t="shared" si="251"/>
        <v>0</v>
      </c>
      <c r="IC121" s="90">
        <f t="shared" si="252"/>
        <v>1</v>
      </c>
      <c r="ID121" s="124">
        <f>IF(IC121=1,Cal!$BO$127,0)</f>
        <v>0</v>
      </c>
      <c r="IE121" s="178">
        <f>IF(IC121=1,Adm!$HI$4,0)</f>
        <v>2.5000000000000001E-3</v>
      </c>
      <c r="IG121" s="70">
        <f t="shared" si="275"/>
        <v>0</v>
      </c>
      <c r="IH121" s="2178">
        <f t="shared" ca="1" si="253"/>
        <v>0</v>
      </c>
      <c r="IK121" s="217"/>
      <c r="IL121" s="26">
        <f t="shared" ca="1" si="193"/>
        <v>4</v>
      </c>
      <c r="IN121" s="268">
        <f t="shared" si="194"/>
        <v>0</v>
      </c>
      <c r="IO121" s="151">
        <f t="shared" si="154"/>
        <v>0</v>
      </c>
      <c r="IP121" s="123">
        <f t="shared" si="254"/>
        <v>0</v>
      </c>
      <c r="IQ121" s="123">
        <f t="shared" si="255"/>
        <v>0</v>
      </c>
      <c r="IR121" s="123">
        <f t="shared" si="256"/>
        <v>0</v>
      </c>
      <c r="IS121" s="123">
        <f>IF(IX120&lt;0.01,0,IF(Adm!$GS$4=Adm!$GS$8,IX120*$IX$15,IF(Adm!$GS$12=Adm!$GS$13,0,IX120*Adm!$GV$4)))</f>
        <v>0</v>
      </c>
      <c r="IT121" s="123"/>
      <c r="IU121" s="123">
        <f t="shared" si="257"/>
        <v>0</v>
      </c>
      <c r="IV121" s="123">
        <f t="shared" si="258"/>
        <v>0</v>
      </c>
      <c r="IW121" s="123"/>
      <c r="IX121" s="297">
        <f t="shared" si="259"/>
        <v>0</v>
      </c>
      <c r="IY121" s="74"/>
      <c r="IZ121" s="416">
        <f t="shared" si="260"/>
        <v>0</v>
      </c>
      <c r="JB121" s="90">
        <f t="shared" si="261"/>
        <v>1</v>
      </c>
      <c r="JC121" s="124">
        <f>IF(JB121=1,Cal!$BP$127,0)</f>
        <v>0</v>
      </c>
      <c r="JD121" s="178">
        <f>IF(JB121=1,Adm!$HI$4,0)</f>
        <v>2.5000000000000001E-3</v>
      </c>
    </row>
    <row r="122" spans="1:264">
      <c r="A122" s="26">
        <f t="shared" ca="1" si="162"/>
        <v>5</v>
      </c>
      <c r="C122" s="33">
        <f t="shared" si="163"/>
        <v>0</v>
      </c>
      <c r="D122" s="123">
        <f t="shared" si="195"/>
        <v>0</v>
      </c>
      <c r="E122" s="123">
        <f t="shared" si="287"/>
        <v>0</v>
      </c>
      <c r="F122" s="123">
        <f t="shared" si="295"/>
        <v>0</v>
      </c>
      <c r="G122" s="123">
        <f>IF(L121&lt;0.01,0,IF(Adm!$S$4=Adm!$S$8,L121*$L$15,L121*Adm!$V$4))</f>
        <v>0</v>
      </c>
      <c r="H122" s="123">
        <f>IF(L121&lt;0.01,0,IF(Adm!$S$5=Adm!$S$8,Adm!$AA$11*$L$16/1.16,IF(Adm!$B$4=Adm!$A$119,0,Adm!$AA$11*Adm!$X$4/1.16)))</f>
        <v>0</v>
      </c>
      <c r="I122" s="123">
        <f>IF(L121&lt;0.01,0,Cal!$AB$126/1.16)</f>
        <v>0</v>
      </c>
      <c r="J122" s="123">
        <f t="shared" si="164"/>
        <v>0</v>
      </c>
      <c r="K122" s="123">
        <f>IF(Adm!$G$4="si",MIN(L121+D122+G122+H122+I122-J122,V122),0)</f>
        <v>0</v>
      </c>
      <c r="L122" s="123">
        <f t="shared" si="196"/>
        <v>0</v>
      </c>
      <c r="M122" s="74"/>
      <c r="N122" s="74"/>
      <c r="O122" s="407">
        <f t="shared" si="197"/>
        <v>0</v>
      </c>
      <c r="R122" s="90">
        <f t="shared" si="198"/>
        <v>2</v>
      </c>
      <c r="S122" s="121">
        <f>IF(R122=1,Cal!$AB$127,0)</f>
        <v>0</v>
      </c>
      <c r="U122" s="70">
        <f t="shared" si="262"/>
        <v>0</v>
      </c>
      <c r="V122" s="2178">
        <f t="shared" ca="1" si="199"/>
        <v>0</v>
      </c>
      <c r="X122" s="398"/>
      <c r="Z122" s="268">
        <f t="shared" si="165"/>
        <v>0</v>
      </c>
      <c r="AA122" s="2176">
        <f t="shared" si="200"/>
        <v>0</v>
      </c>
      <c r="AB122" s="33">
        <f t="shared" si="201"/>
        <v>0</v>
      </c>
      <c r="AC122" s="33">
        <f t="shared" si="202"/>
        <v>0</v>
      </c>
      <c r="AD122" s="33">
        <f>IF(AI121&lt;0.01,0,IF(Adm!$S$4=Adm!$S$8,AI121*$AI$15,AI121*Adm!$V$4))</f>
        <v>0</v>
      </c>
      <c r="AE122" s="33"/>
      <c r="AF122" s="33"/>
      <c r="AG122" s="33">
        <f t="shared" si="166"/>
        <v>0</v>
      </c>
      <c r="AH122" s="33"/>
      <c r="AI122" s="401">
        <f t="shared" si="167"/>
        <v>0</v>
      </c>
      <c r="AK122" s="410">
        <f t="shared" si="168"/>
        <v>0</v>
      </c>
      <c r="AN122" s="90">
        <f t="shared" si="203"/>
        <v>2</v>
      </c>
      <c r="AO122" s="121">
        <f>IF(AN122=1,Cal!$AC$127,0)</f>
        <v>0</v>
      </c>
      <c r="AS122" s="200"/>
      <c r="AU122" s="268">
        <f t="shared" si="169"/>
        <v>0</v>
      </c>
      <c r="AV122" s="2177">
        <f t="shared" si="204"/>
        <v>0</v>
      </c>
      <c r="AW122" s="123">
        <f t="shared" si="170"/>
        <v>0</v>
      </c>
      <c r="AX122" s="123">
        <f t="shared" si="205"/>
        <v>0</v>
      </c>
      <c r="AY122" s="123">
        <f>IF(BC121&lt;0.01,0,IF(Adm!$S$4=Adm!$S$8,BC121*$BC$16,BC121*Adm!$V$4))</f>
        <v>0</v>
      </c>
      <c r="AZ122" s="123"/>
      <c r="BA122" s="123">
        <f>IF(BC121&lt;0.01,0,Adm!$Q$6)</f>
        <v>0</v>
      </c>
      <c r="BB122" s="123">
        <f t="shared" si="171"/>
        <v>0</v>
      </c>
      <c r="BC122" s="297">
        <f t="shared" si="206"/>
        <v>0</v>
      </c>
      <c r="BE122" s="425">
        <f t="shared" si="172"/>
        <v>0</v>
      </c>
      <c r="BH122" s="90">
        <f t="shared" si="207"/>
        <v>2</v>
      </c>
      <c r="BI122" s="121">
        <f>IF(BH122=1,Cal!$AD$127,0)</f>
        <v>0</v>
      </c>
      <c r="BM122" s="221"/>
      <c r="BO122" s="295">
        <f t="shared" ca="1" si="173"/>
        <v>5</v>
      </c>
      <c r="BP122" s="268">
        <f t="shared" si="174"/>
        <v>0</v>
      </c>
      <c r="BQ122" s="123">
        <f t="shared" si="208"/>
        <v>0</v>
      </c>
      <c r="BR122" s="123">
        <f t="shared" si="288"/>
        <v>0</v>
      </c>
      <c r="BS122" s="123">
        <f t="shared" si="296"/>
        <v>0</v>
      </c>
      <c r="BT122" s="123">
        <f>IF(BZ121&lt;0.01,0,IF(Plus!$F$22=Plus!$AN$4,BZ121*$BZ$15,IF(Plus!$F$22=Plus!$AN$3,BZ121*Plus!$F$23/1000,BZ121*VLOOKUP(Plus!$G$21,Plus!$AP$2:'Plus'!$AQ$5,2,0))))</f>
        <v>0</v>
      </c>
      <c r="BU122" s="123">
        <f>IF(BZ121&lt;0.01,0,IF(Plus!$F$24=Plus!$AO$3,Plus!$G$13*Plus!$AR$2/1.16,IF(Plus!$F$10=Plus!$AK$7,0,Plus!$G$13*Plus!$AR$2/1.16)))</f>
        <v>0</v>
      </c>
      <c r="BV122" s="123">
        <f>IF(BZ121&lt;0.01,0,Plus!$BD$2)</f>
        <v>0</v>
      </c>
      <c r="BW122" s="123"/>
      <c r="BX122" s="123">
        <f t="shared" si="175"/>
        <v>0</v>
      </c>
      <c r="BY122" s="123">
        <f>IF(Plus!$F$10=Plus!$AK$3,MIN(BZ121+BQ122+BT122+BU122+BV122-BX122,CJ122),0)</f>
        <v>0</v>
      </c>
      <c r="BZ122" s="297">
        <f t="shared" si="280"/>
        <v>0</v>
      </c>
      <c r="CA122" s="74"/>
      <c r="CB122" s="74"/>
      <c r="CC122" s="413">
        <f t="shared" si="209"/>
        <v>0</v>
      </c>
      <c r="CF122" s="90">
        <f t="shared" si="210"/>
        <v>2</v>
      </c>
      <c r="CG122" s="121">
        <f t="shared" si="263"/>
        <v>0</v>
      </c>
      <c r="CI122" s="70">
        <f t="shared" si="264"/>
        <v>0</v>
      </c>
      <c r="CJ122" s="2178">
        <f t="shared" ca="1" si="211"/>
        <v>0</v>
      </c>
      <c r="CL122" s="161"/>
      <c r="CN122" s="308">
        <f t="shared" ca="1" si="176"/>
        <v>5</v>
      </c>
      <c r="CO122" s="309">
        <f t="shared" si="212"/>
        <v>0</v>
      </c>
      <c r="CP122" s="268">
        <f t="shared" si="177"/>
        <v>0</v>
      </c>
      <c r="CQ122" s="123">
        <f t="shared" si="213"/>
        <v>0</v>
      </c>
      <c r="CR122" s="123">
        <f t="shared" si="289"/>
        <v>0</v>
      </c>
      <c r="CS122" s="123">
        <f t="shared" si="290"/>
        <v>0</v>
      </c>
      <c r="CT122" s="33">
        <f>IF(CZ121&lt;0.01,0,IF(Plus!$F$22=Plus!$AN$4,0,IF(Plus!$F$22=Plus!$AN$3,CZ121*Plus!$F$23/1000,CZ121*VLOOKUP(Plus!$G$21,Plus!$AP$2:'Plus'!$AQ$5,2,0))))</f>
        <v>0</v>
      </c>
      <c r="CU122" s="123">
        <f>IF(CZ121&lt;0.01,0,IF(Plus!$F$24=Plus!$AO$3,0,IF(OR(Plus!$F$10=Plus!$AK$7,Plus!$F$10=Plus!$AK$13),0,Plus!$G$13*Plus!$AR$2)))</f>
        <v>0</v>
      </c>
      <c r="CV122" s="123">
        <f>IF(CZ121&lt;0.01,0,IF(OR(Plus!$F$10=Plus!$AK$7,Plus!$F$10=Plus!$AK$13),0,Plus!$BD$2*1.16))</f>
        <v>0</v>
      </c>
      <c r="CW122" s="123">
        <f>IF(CZ121&lt;0.01,0,IF(Plus!$AS$2&gt;0,CQ122*Plus!$AS$3,0))</f>
        <v>0</v>
      </c>
      <c r="CX122" s="123">
        <f t="shared" si="214"/>
        <v>0</v>
      </c>
      <c r="CY122" s="123">
        <f>IF(Plus!$F$10=Plus!$AK$3,MIN(CZ121+CQ122+CT122+CU122+CV122-CX122,DK122),0)</f>
        <v>0</v>
      </c>
      <c r="CZ122" s="297">
        <f t="shared" si="294"/>
        <v>0</v>
      </c>
      <c r="DA122" s="306">
        <f>Plus!O163</f>
        <v>0</v>
      </c>
      <c r="DB122" s="74"/>
      <c r="DC122" s="74"/>
      <c r="DD122" s="407">
        <f t="shared" si="215"/>
        <v>0</v>
      </c>
      <c r="DG122" s="90">
        <f t="shared" si="216"/>
        <v>2</v>
      </c>
      <c r="DH122" s="121">
        <f t="shared" si="265"/>
        <v>0</v>
      </c>
      <c r="DJ122" s="149">
        <f t="shared" si="266"/>
        <v>0</v>
      </c>
      <c r="DK122" s="2179">
        <f t="shared" ca="1" si="217"/>
        <v>0</v>
      </c>
      <c r="DN122" s="120">
        <f t="shared" si="267"/>
        <v>0</v>
      </c>
      <c r="DO122" s="110">
        <f t="shared" si="218"/>
        <v>0</v>
      </c>
      <c r="DP122" s="110">
        <f t="shared" si="276"/>
        <v>0</v>
      </c>
      <c r="DQ122" s="109">
        <f t="shared" si="219"/>
        <v>0</v>
      </c>
      <c r="DR122" s="109">
        <f t="shared" si="220"/>
        <v>0</v>
      </c>
      <c r="DS122" s="113">
        <f t="shared" si="221"/>
        <v>0</v>
      </c>
      <c r="DU122" s="102">
        <f t="shared" si="222"/>
        <v>0</v>
      </c>
      <c r="DV122" s="211">
        <f t="shared" si="277"/>
        <v>98</v>
      </c>
      <c r="DW122" s="212">
        <f t="shared" si="223"/>
        <v>0</v>
      </c>
      <c r="DX122" s="212">
        <f t="shared" si="178"/>
        <v>0</v>
      </c>
      <c r="DY122" s="212">
        <f t="shared" si="268"/>
        <v>0</v>
      </c>
      <c r="DZ122" s="213">
        <f t="shared" si="179"/>
        <v>1000000</v>
      </c>
      <c r="ED122" s="182"/>
      <c r="EF122" s="308">
        <f t="shared" ca="1" si="180"/>
        <v>5</v>
      </c>
      <c r="EG122" s="309">
        <f t="shared" si="224"/>
        <v>0</v>
      </c>
      <c r="EH122" s="268">
        <f t="shared" si="181"/>
        <v>0</v>
      </c>
      <c r="EI122" s="33">
        <f t="shared" si="225"/>
        <v>0</v>
      </c>
      <c r="EJ122" s="33">
        <f t="shared" si="291"/>
        <v>0</v>
      </c>
      <c r="EK122" s="33">
        <f t="shared" si="297"/>
        <v>0</v>
      </c>
      <c r="EL122" s="33">
        <f>IF(ER121&lt;0.01,0,IF(Plus!$F$22=Plus!$AN$4,0,IF(Plus!$F$22=Plus!$AN$3,ER121*Plus!$F$23/1000,ER121*VLOOKUP(Plus!$G$21,Plus!$AP$2:'Plus'!$AQ$5,2,0))))</f>
        <v>0</v>
      </c>
      <c r="EM122" s="33">
        <f>IF(ER121&lt;0.01,0,IF(Plus!$F$24=Plus!$AO$3,0,IF(OR(Plus!$F$10=Plus!$AK$7,Plus!$F$10=Plus!$AK$13),0,Plus!$G$13*Plus!$AR$2)))</f>
        <v>0</v>
      </c>
      <c r="EN122" s="33">
        <f>IF(ER121&lt;0.01,0,IF(OR(Plus!$F$10=Plus!$AK$7,Plus!$F$10=Plus!$AK$13),0,Plus!$BD$2*1.16))</f>
        <v>0</v>
      </c>
      <c r="EO122" s="33">
        <f>IF(ER121&lt;0.01,0,IF(Plus!$AS$2&gt;0,EI122*Plus!$AS$3,0))</f>
        <v>0</v>
      </c>
      <c r="EP122" s="33">
        <f t="shared" si="226"/>
        <v>0</v>
      </c>
      <c r="EQ122" s="33">
        <f>IF(Plus!$F$10=Plus!$AK$3,MIN(ER121+EI122+EL122+EM122+EN122-EP122,FC122),0)</f>
        <v>0</v>
      </c>
      <c r="ER122" s="311">
        <f t="shared" si="285"/>
        <v>0</v>
      </c>
      <c r="ES122" s="340">
        <f>Plus!O163</f>
        <v>0</v>
      </c>
      <c r="ET122" s="74"/>
      <c r="EU122" s="74"/>
      <c r="EV122" s="416">
        <f t="shared" si="281"/>
        <v>0</v>
      </c>
      <c r="EY122" s="90">
        <f t="shared" si="227"/>
        <v>2</v>
      </c>
      <c r="EZ122" s="121">
        <f t="shared" si="269"/>
        <v>0</v>
      </c>
      <c r="FB122" s="149">
        <f t="shared" si="270"/>
        <v>0</v>
      </c>
      <c r="FC122" s="2179">
        <f t="shared" ca="1" si="228"/>
        <v>0</v>
      </c>
      <c r="FE122" s="120">
        <f t="shared" si="271"/>
        <v>0</v>
      </c>
      <c r="FF122" s="110">
        <f t="shared" si="229"/>
        <v>0</v>
      </c>
      <c r="FG122" s="110">
        <f t="shared" si="230"/>
        <v>0</v>
      </c>
      <c r="FH122" s="109">
        <f t="shared" si="231"/>
        <v>0</v>
      </c>
      <c r="FI122" s="109">
        <f t="shared" si="182"/>
        <v>0</v>
      </c>
      <c r="FJ122" s="113">
        <f t="shared" si="232"/>
        <v>0</v>
      </c>
      <c r="FL122" s="102">
        <f t="shared" si="233"/>
        <v>0</v>
      </c>
      <c r="FM122" s="211">
        <f t="shared" si="278"/>
        <v>98</v>
      </c>
      <c r="FN122" s="212">
        <f t="shared" si="234"/>
        <v>0</v>
      </c>
      <c r="FO122" s="212">
        <f t="shared" si="183"/>
        <v>0</v>
      </c>
      <c r="FP122" s="212">
        <f t="shared" ref="FP122:FP132" si="300">MIN(FQ121+FN122,FP121)</f>
        <v>0</v>
      </c>
      <c r="FQ122" s="213">
        <f t="shared" si="184"/>
        <v>1000000</v>
      </c>
      <c r="FV122" s="359"/>
      <c r="FX122" s="308">
        <f t="shared" ca="1" si="185"/>
        <v>5</v>
      </c>
      <c r="FY122" s="309">
        <f t="shared" si="235"/>
        <v>0</v>
      </c>
      <c r="FZ122" s="268">
        <f t="shared" si="186"/>
        <v>0</v>
      </c>
      <c r="GA122" s="33">
        <f t="shared" si="236"/>
        <v>0</v>
      </c>
      <c r="GB122" s="33">
        <f t="shared" si="292"/>
        <v>0</v>
      </c>
      <c r="GC122" s="33">
        <f t="shared" si="293"/>
        <v>0</v>
      </c>
      <c r="GD122" s="33">
        <f>IF(GJ121&lt;0.01,0,IF(Plus!$F$22=Plus!$AN$4,0,IF(Plus!$F$22=Plus!$AN$3,GJ121*Plus!$F$23/1000,GJ121*VLOOKUP(Plus!$G$21,Plus!$AP$2:$AQ$5,2,0))))</f>
        <v>0</v>
      </c>
      <c r="GE122" s="33">
        <f>IF(GJ121&lt;0.01,0,IF(Plus!$F$24=Plus!$AO$3,0,IF(OR(Plus!$F$10=Plus!$AK$7,Plus!$F$10=Plus!$AK$13,Plus!$F$10=Plus!$AK$14),0,IF(OR(Plus!$F$10=Plus!$AK$10,Plus!$F$10=Plus!$AK$11),Plus!$G$13*Adm!$W$7,Plus!$G$13*Adm!$X$4))))</f>
        <v>0</v>
      </c>
      <c r="GF122" s="33">
        <f>IF(GJ121&lt;0.01,0,IF(OR(Plus!$F$10=Plus!$AK$7,Plus!$F$10=Plus!$AK$13),0,Plus!$BD$2*1.16))</f>
        <v>0</v>
      </c>
      <c r="GG122" s="33">
        <f>IF(GJ121&lt;0.01,0,IF(Plus!$AS$2&gt;0,GA122*Plus!$AS$3,0))</f>
        <v>0</v>
      </c>
      <c r="GH122" s="33">
        <f t="shared" si="237"/>
        <v>0</v>
      </c>
      <c r="GI122" s="33">
        <f>IF(Plus!$F$10=Plus!$AK$3,MIN(GJ121+GA122+GD122+GE122+GF122-GH122,GU122),0)</f>
        <v>0</v>
      </c>
      <c r="GJ122" s="311">
        <f t="shared" si="286"/>
        <v>0</v>
      </c>
      <c r="GK122" s="340">
        <f>Plus!O163</f>
        <v>0</v>
      </c>
      <c r="GL122" s="74"/>
      <c r="GM122" s="74"/>
      <c r="GN122" s="419">
        <f t="shared" si="283"/>
        <v>0</v>
      </c>
      <c r="GQ122" s="90">
        <f t="shared" si="238"/>
        <v>2</v>
      </c>
      <c r="GR122" s="121">
        <f t="shared" si="272"/>
        <v>0</v>
      </c>
      <c r="GT122" s="149">
        <f t="shared" si="273"/>
        <v>0</v>
      </c>
      <c r="GU122" s="2179">
        <f t="shared" ca="1" si="239"/>
        <v>0</v>
      </c>
      <c r="GW122" s="120">
        <f t="shared" si="274"/>
        <v>0</v>
      </c>
      <c r="GX122" s="110">
        <f t="shared" si="240"/>
        <v>0</v>
      </c>
      <c r="GY122" s="110">
        <f t="shared" si="241"/>
        <v>0</v>
      </c>
      <c r="GZ122" s="109">
        <f t="shared" si="242"/>
        <v>0</v>
      </c>
      <c r="HA122" s="109">
        <f t="shared" si="187"/>
        <v>0</v>
      </c>
      <c r="HB122" s="113">
        <f t="shared" si="243"/>
        <v>0</v>
      </c>
      <c r="HD122" s="102">
        <f t="shared" si="244"/>
        <v>0</v>
      </c>
      <c r="HE122" s="211">
        <f t="shared" si="279"/>
        <v>98</v>
      </c>
      <c r="HF122" s="212">
        <f t="shared" si="245"/>
        <v>0</v>
      </c>
      <c r="HG122" s="212">
        <f t="shared" si="188"/>
        <v>0</v>
      </c>
      <c r="HH122" s="212">
        <f t="shared" ref="HH122:HH132" si="301">MIN(HI121+HF122,HH121)</f>
        <v>0</v>
      </c>
      <c r="HI122" s="213">
        <f t="shared" si="189"/>
        <v>1000000</v>
      </c>
      <c r="HL122" s="182"/>
      <c r="HM122" s="26">
        <f t="shared" ca="1" si="190"/>
        <v>5</v>
      </c>
      <c r="HO122" s="268">
        <f t="shared" si="191"/>
        <v>0</v>
      </c>
      <c r="HP122" s="151">
        <f t="shared" si="157"/>
        <v>0</v>
      </c>
      <c r="HQ122" s="123">
        <f t="shared" si="246"/>
        <v>0</v>
      </c>
      <c r="HR122" s="123">
        <f t="shared" si="247"/>
        <v>0</v>
      </c>
      <c r="HS122" s="123">
        <f t="shared" si="248"/>
        <v>0</v>
      </c>
      <c r="HT122" s="123">
        <f>IF(HY121&lt;0.01,0,IF(Adm!$GS$4=Adm!$GS$8,HY121*$HY$15,IF(Adm!$GS$12=Adm!$GS$13,0,HY121*Adm!$GV$4)))</f>
        <v>0</v>
      </c>
      <c r="HU122" s="123">
        <f>IF(HY121&lt;0.01,0,IF(Adm!$GS$5=Adm!$GS$8,Cal!$BO$108*$HY$16/1.16,IF(Adm!$GS$12=Adm!$GS$13,0,Cal!$BO$108*Adm!$GW$4/1.16)))</f>
        <v>0</v>
      </c>
      <c r="HV122" s="123">
        <f t="shared" si="249"/>
        <v>0</v>
      </c>
      <c r="HW122" s="123">
        <f t="shared" si="192"/>
        <v>0</v>
      </c>
      <c r="HX122" s="123">
        <f>IF(Adm!$GH$6="si",MIN(HY121+HQ122+HT122+HU122+HV122-HW122,IH122),0)</f>
        <v>0</v>
      </c>
      <c r="HY122" s="297">
        <f t="shared" si="250"/>
        <v>0</v>
      </c>
      <c r="HZ122" s="74"/>
      <c r="IA122" s="407">
        <f t="shared" si="251"/>
        <v>0</v>
      </c>
      <c r="IC122" s="90">
        <f t="shared" si="252"/>
        <v>2</v>
      </c>
      <c r="ID122" s="124">
        <f>IF(IC122=1,Cal!$BO$127,0)</f>
        <v>0</v>
      </c>
      <c r="IE122" s="178">
        <f>IF(IC122=1,Adm!$HI$4,0)</f>
        <v>0</v>
      </c>
      <c r="IG122" s="70">
        <f t="shared" si="275"/>
        <v>0</v>
      </c>
      <c r="IH122" s="2178">
        <f t="shared" ca="1" si="253"/>
        <v>0</v>
      </c>
      <c r="IK122" s="217"/>
      <c r="IL122" s="26">
        <f t="shared" ca="1" si="193"/>
        <v>5</v>
      </c>
      <c r="IN122" s="268">
        <f t="shared" si="194"/>
        <v>0</v>
      </c>
      <c r="IO122" s="151">
        <f t="shared" si="154"/>
        <v>0</v>
      </c>
      <c r="IP122" s="123">
        <f t="shared" si="254"/>
        <v>0</v>
      </c>
      <c r="IQ122" s="123">
        <f t="shared" si="255"/>
        <v>0</v>
      </c>
      <c r="IR122" s="123">
        <f t="shared" si="256"/>
        <v>0</v>
      </c>
      <c r="IS122" s="123">
        <f>IF(IX121&lt;0.01,0,IF(Adm!$GS$4=Adm!$GS$8,IX121*$IX$15,IF(Adm!$GS$12=Adm!$GS$13,0,IX121*Adm!$GV$4)))</f>
        <v>0</v>
      </c>
      <c r="IT122" s="123"/>
      <c r="IU122" s="123">
        <f t="shared" si="257"/>
        <v>0</v>
      </c>
      <c r="IV122" s="123">
        <f t="shared" si="258"/>
        <v>0</v>
      </c>
      <c r="IW122" s="123"/>
      <c r="IX122" s="297">
        <f t="shared" si="259"/>
        <v>0</v>
      </c>
      <c r="IY122" s="74"/>
      <c r="IZ122" s="416">
        <f t="shared" si="260"/>
        <v>0</v>
      </c>
      <c r="JB122" s="90">
        <f t="shared" si="261"/>
        <v>2</v>
      </c>
      <c r="JC122" s="124">
        <f>IF(JB122=1,Cal!$BP$127,0)</f>
        <v>0</v>
      </c>
      <c r="JD122" s="178">
        <f>IF(JB122=1,Adm!$HI$4,0)</f>
        <v>0</v>
      </c>
    </row>
    <row r="123" spans="1:264">
      <c r="A123" s="26">
        <f t="shared" ca="1" si="162"/>
        <v>6</v>
      </c>
      <c r="C123" s="33">
        <f t="shared" si="163"/>
        <v>0</v>
      </c>
      <c r="D123" s="123">
        <f t="shared" si="195"/>
        <v>0</v>
      </c>
      <c r="E123" s="123">
        <f t="shared" si="287"/>
        <v>0</v>
      </c>
      <c r="F123" s="123">
        <f t="shared" si="295"/>
        <v>0</v>
      </c>
      <c r="G123" s="123">
        <f>IF(L122&lt;0.01,0,IF(Adm!$S$4=Adm!$S$8,L122*$L$15,L122*Adm!$V$4))</f>
        <v>0</v>
      </c>
      <c r="H123" s="123">
        <f>IF(L122&lt;0.01,0,IF(Adm!$S$5=Adm!$S$8,Adm!$AA$11*$L$16/1.16,IF(Adm!$B$4=Adm!$A$119,0,Adm!$AA$11*Adm!$X$4/1.16)))</f>
        <v>0</v>
      </c>
      <c r="I123" s="123">
        <f>IF(L122&lt;0.01,0,Cal!$AB$126/1.16)</f>
        <v>0</v>
      </c>
      <c r="J123" s="123">
        <f t="shared" si="164"/>
        <v>0</v>
      </c>
      <c r="K123" s="123">
        <f>IF(Adm!$G$4="si",MIN(L122+D123+G123+H123+I123-J123,V123),0)</f>
        <v>0</v>
      </c>
      <c r="L123" s="123">
        <f t="shared" si="196"/>
        <v>0</v>
      </c>
      <c r="M123" s="74"/>
      <c r="N123" s="74"/>
      <c r="O123" s="407">
        <f t="shared" si="197"/>
        <v>0</v>
      </c>
      <c r="R123" s="90">
        <f t="shared" si="198"/>
        <v>3</v>
      </c>
      <c r="S123" s="121">
        <f>IF(R123=1,Cal!$AB$127,0)</f>
        <v>0</v>
      </c>
      <c r="U123" s="70">
        <f t="shared" si="262"/>
        <v>0</v>
      </c>
      <c r="V123" s="2178">
        <f t="shared" ca="1" si="199"/>
        <v>0</v>
      </c>
      <c r="X123" s="398"/>
      <c r="Z123" s="268">
        <f t="shared" si="165"/>
        <v>0</v>
      </c>
      <c r="AA123" s="2176">
        <f t="shared" si="200"/>
        <v>0</v>
      </c>
      <c r="AB123" s="33">
        <f t="shared" si="201"/>
        <v>0</v>
      </c>
      <c r="AC123" s="33">
        <f t="shared" si="202"/>
        <v>0</v>
      </c>
      <c r="AD123" s="33">
        <f>IF(AI122&lt;0.01,0,IF(Adm!$S$4=Adm!$S$8,AI122*$AI$15,AI122*Adm!$V$4))</f>
        <v>0</v>
      </c>
      <c r="AE123" s="33"/>
      <c r="AF123" s="33"/>
      <c r="AG123" s="33">
        <f t="shared" si="166"/>
        <v>0</v>
      </c>
      <c r="AH123" s="33"/>
      <c r="AI123" s="401">
        <f t="shared" si="167"/>
        <v>0</v>
      </c>
      <c r="AK123" s="410">
        <f t="shared" si="168"/>
        <v>0</v>
      </c>
      <c r="AN123" s="90">
        <f t="shared" si="203"/>
        <v>3</v>
      </c>
      <c r="AO123" s="121">
        <f>IF(AN123=1,Cal!$AC$127,0)</f>
        <v>0</v>
      </c>
      <c r="AS123" s="200"/>
      <c r="AU123" s="268">
        <f t="shared" si="169"/>
        <v>0</v>
      </c>
      <c r="AV123" s="2177">
        <f t="shared" si="204"/>
        <v>0</v>
      </c>
      <c r="AW123" s="123">
        <f t="shared" si="170"/>
        <v>0</v>
      </c>
      <c r="AX123" s="123">
        <f t="shared" si="205"/>
        <v>0</v>
      </c>
      <c r="AY123" s="123">
        <f>IF(BC122&lt;0.01,0,IF(Adm!$S$4=Adm!$S$8,BC122*$BC$16,BC122*Adm!$V$4))</f>
        <v>0</v>
      </c>
      <c r="AZ123" s="123"/>
      <c r="BA123" s="123">
        <f>IF(BC122&lt;0.01,0,Adm!$Q$6)</f>
        <v>0</v>
      </c>
      <c r="BB123" s="123">
        <f t="shared" si="171"/>
        <v>0</v>
      </c>
      <c r="BC123" s="297">
        <f t="shared" si="206"/>
        <v>0</v>
      </c>
      <c r="BE123" s="425">
        <f t="shared" si="172"/>
        <v>0</v>
      </c>
      <c r="BH123" s="90">
        <f t="shared" si="207"/>
        <v>3</v>
      </c>
      <c r="BI123" s="121">
        <f>IF(BH123=1,Cal!$AD$127,0)</f>
        <v>0</v>
      </c>
      <c r="BM123" s="221"/>
      <c r="BO123" s="295">
        <f t="shared" ca="1" si="173"/>
        <v>6</v>
      </c>
      <c r="BP123" s="268">
        <f t="shared" si="174"/>
        <v>0</v>
      </c>
      <c r="BQ123" s="123">
        <f t="shared" si="208"/>
        <v>0</v>
      </c>
      <c r="BR123" s="123">
        <f t="shared" si="288"/>
        <v>0</v>
      </c>
      <c r="BS123" s="123">
        <f t="shared" si="296"/>
        <v>0</v>
      </c>
      <c r="BT123" s="123">
        <f>IF(BZ122&lt;0.01,0,IF(Plus!$F$22=Plus!$AN$4,BZ122*$BZ$15,IF(Plus!$F$22=Plus!$AN$3,BZ122*Plus!$F$23/1000,BZ122*VLOOKUP(Plus!$G$21,Plus!$AP$2:'Plus'!$AQ$5,2,0))))</f>
        <v>0</v>
      </c>
      <c r="BU123" s="123">
        <f>IF(BZ122&lt;0.01,0,IF(Plus!$F$24=Plus!$AO$3,Plus!$G$13*Plus!$AR$2/1.16,IF(Plus!$F$10=Plus!$AK$7,0,Plus!$G$13*Plus!$AR$2/1.16)))</f>
        <v>0</v>
      </c>
      <c r="BV123" s="123">
        <f>IF(BZ122&lt;0.01,0,Plus!$BD$2)</f>
        <v>0</v>
      </c>
      <c r="BW123" s="123"/>
      <c r="BX123" s="123">
        <f t="shared" si="175"/>
        <v>0</v>
      </c>
      <c r="BY123" s="123">
        <f>IF(Plus!$F$10=Plus!$AK$3,MIN(BZ122+BQ123+BT123+BU123+BV123-BX123,CJ123),0)</f>
        <v>0</v>
      </c>
      <c r="BZ123" s="297">
        <f t="shared" si="280"/>
        <v>0</v>
      </c>
      <c r="CA123" s="74"/>
      <c r="CB123" s="74"/>
      <c r="CC123" s="413">
        <f t="shared" si="209"/>
        <v>0</v>
      </c>
      <c r="CF123" s="90">
        <f t="shared" si="210"/>
        <v>3</v>
      </c>
      <c r="CG123" s="121">
        <f t="shared" si="263"/>
        <v>0</v>
      </c>
      <c r="CI123" s="70">
        <f t="shared" si="264"/>
        <v>0</v>
      </c>
      <c r="CJ123" s="2178">
        <f t="shared" ca="1" si="211"/>
        <v>0</v>
      </c>
      <c r="CL123" s="161"/>
      <c r="CN123" s="308">
        <f t="shared" ca="1" si="176"/>
        <v>6</v>
      </c>
      <c r="CO123" s="309">
        <f t="shared" si="212"/>
        <v>0</v>
      </c>
      <c r="CP123" s="268">
        <f t="shared" si="177"/>
        <v>0</v>
      </c>
      <c r="CQ123" s="123">
        <f t="shared" si="213"/>
        <v>0</v>
      </c>
      <c r="CR123" s="123">
        <f t="shared" si="289"/>
        <v>0</v>
      </c>
      <c r="CS123" s="123">
        <f t="shared" si="290"/>
        <v>0</v>
      </c>
      <c r="CT123" s="33">
        <f>IF(CZ122&lt;0.01,0,IF(Plus!$F$22=Plus!$AN$4,0,IF(Plus!$F$22=Plus!$AN$3,CZ122*Plus!$F$23/1000,CZ122*VLOOKUP(Plus!$G$21,Plus!$AP$2:'Plus'!$AQ$5,2,0))))</f>
        <v>0</v>
      </c>
      <c r="CU123" s="123">
        <f>IF(CZ122&lt;0.01,0,IF(Plus!$F$24=Plus!$AO$3,0,IF(OR(Plus!$F$10=Plus!$AK$7,Plus!$F$10=Plus!$AK$13),0,Plus!$G$13*Plus!$AR$2)))</f>
        <v>0</v>
      </c>
      <c r="CV123" s="123">
        <f>IF(CZ122&lt;0.01,0,IF(OR(Plus!$F$10=Plus!$AK$7,Plus!$F$10=Plus!$AK$13),0,Plus!$BD$2*1.16))</f>
        <v>0</v>
      </c>
      <c r="CW123" s="123">
        <f>IF(CZ122&lt;0.01,0,IF(Plus!$AS$2&gt;0,CQ123*Plus!$AS$3,0))</f>
        <v>0</v>
      </c>
      <c r="CX123" s="123">
        <f t="shared" si="214"/>
        <v>0</v>
      </c>
      <c r="CY123" s="123">
        <f>IF(Plus!$F$10=Plus!$AK$3,MIN(CZ122+CQ123+CT123+CU123+CV123-CX123,DK123),0)</f>
        <v>0</v>
      </c>
      <c r="CZ123" s="297">
        <f t="shared" si="294"/>
        <v>0</v>
      </c>
      <c r="DA123" s="306">
        <f>Plus!O164</f>
        <v>0</v>
      </c>
      <c r="DB123" s="74"/>
      <c r="DC123" s="74"/>
      <c r="DD123" s="407">
        <f t="shared" si="215"/>
        <v>0</v>
      </c>
      <c r="DG123" s="90">
        <f t="shared" si="216"/>
        <v>3</v>
      </c>
      <c r="DH123" s="121">
        <f t="shared" si="265"/>
        <v>0</v>
      </c>
      <c r="DJ123" s="149">
        <f t="shared" si="266"/>
        <v>0</v>
      </c>
      <c r="DK123" s="2179">
        <f t="shared" ca="1" si="217"/>
        <v>0</v>
      </c>
      <c r="DN123" s="120">
        <f t="shared" si="267"/>
        <v>0</v>
      </c>
      <c r="DO123" s="110">
        <f t="shared" si="218"/>
        <v>0</v>
      </c>
      <c r="DP123" s="110">
        <f t="shared" si="276"/>
        <v>0</v>
      </c>
      <c r="DQ123" s="109">
        <f t="shared" si="219"/>
        <v>0</v>
      </c>
      <c r="DR123" s="109">
        <f t="shared" si="220"/>
        <v>0</v>
      </c>
      <c r="DS123" s="113">
        <f t="shared" si="221"/>
        <v>0</v>
      </c>
      <c r="DU123" s="102">
        <f t="shared" si="222"/>
        <v>0</v>
      </c>
      <c r="DV123" s="211">
        <f t="shared" si="277"/>
        <v>99</v>
      </c>
      <c r="DW123" s="212">
        <f t="shared" si="223"/>
        <v>0</v>
      </c>
      <c r="DX123" s="212">
        <f t="shared" si="178"/>
        <v>0</v>
      </c>
      <c r="DY123" s="212">
        <f t="shared" si="268"/>
        <v>0</v>
      </c>
      <c r="DZ123" s="213">
        <f t="shared" si="179"/>
        <v>1000000</v>
      </c>
      <c r="ED123" s="182"/>
      <c r="EF123" s="308">
        <f t="shared" ca="1" si="180"/>
        <v>6</v>
      </c>
      <c r="EG123" s="309">
        <f t="shared" si="224"/>
        <v>0</v>
      </c>
      <c r="EH123" s="268">
        <f t="shared" si="181"/>
        <v>0</v>
      </c>
      <c r="EI123" s="33">
        <f t="shared" si="225"/>
        <v>0</v>
      </c>
      <c r="EJ123" s="33">
        <f t="shared" si="291"/>
        <v>0</v>
      </c>
      <c r="EK123" s="33">
        <f t="shared" si="297"/>
        <v>0</v>
      </c>
      <c r="EL123" s="33">
        <f>IF(ER122&lt;0.01,0,IF(Plus!$F$22=Plus!$AN$4,0,IF(Plus!$F$22=Plus!$AN$3,ER122*Plus!$F$23/1000,ER122*VLOOKUP(Plus!$G$21,Plus!$AP$2:'Plus'!$AQ$5,2,0))))</f>
        <v>0</v>
      </c>
      <c r="EM123" s="33">
        <f>IF(ER122&lt;0.01,0,IF(Plus!$F$24=Plus!$AO$3,0,IF(OR(Plus!$F$10=Plus!$AK$7,Plus!$F$10=Plus!$AK$13),0,Plus!$G$13*Plus!$AR$2)))</f>
        <v>0</v>
      </c>
      <c r="EN123" s="33">
        <f>IF(ER122&lt;0.01,0,IF(OR(Plus!$F$10=Plus!$AK$7,Plus!$F$10=Plus!$AK$13),0,Plus!$BD$2*1.16))</f>
        <v>0</v>
      </c>
      <c r="EO123" s="33">
        <f>IF(ER122&lt;0.01,0,IF(Plus!$AS$2&gt;0,EI123*Plus!$AS$3,0))</f>
        <v>0</v>
      </c>
      <c r="EP123" s="33">
        <f t="shared" si="226"/>
        <v>0</v>
      </c>
      <c r="EQ123" s="33">
        <f>IF(Plus!$F$10=Plus!$AK$3,MIN(ER122+EI123+EL123+EM123+EN123-EP123,FC123),0)</f>
        <v>0</v>
      </c>
      <c r="ER123" s="311">
        <f t="shared" si="285"/>
        <v>0</v>
      </c>
      <c r="ES123" s="340">
        <f>Plus!O164</f>
        <v>0</v>
      </c>
      <c r="ET123" s="74"/>
      <c r="EU123" s="74"/>
      <c r="EV123" s="416">
        <f t="shared" si="281"/>
        <v>0</v>
      </c>
      <c r="EY123" s="90">
        <f t="shared" si="227"/>
        <v>3</v>
      </c>
      <c r="EZ123" s="121">
        <f t="shared" si="269"/>
        <v>0</v>
      </c>
      <c r="FB123" s="149">
        <f t="shared" si="270"/>
        <v>0</v>
      </c>
      <c r="FC123" s="2179">
        <f t="shared" ca="1" si="228"/>
        <v>0</v>
      </c>
      <c r="FE123" s="120">
        <f t="shared" si="271"/>
        <v>0</v>
      </c>
      <c r="FF123" s="110">
        <f t="shared" si="229"/>
        <v>0</v>
      </c>
      <c r="FG123" s="110">
        <f t="shared" si="230"/>
        <v>0</v>
      </c>
      <c r="FH123" s="109">
        <f t="shared" si="231"/>
        <v>0</v>
      </c>
      <c r="FI123" s="109">
        <f t="shared" si="182"/>
        <v>0</v>
      </c>
      <c r="FJ123" s="113">
        <f t="shared" si="232"/>
        <v>0</v>
      </c>
      <c r="FL123" s="102">
        <f t="shared" si="233"/>
        <v>0</v>
      </c>
      <c r="FM123" s="211">
        <f t="shared" si="278"/>
        <v>99</v>
      </c>
      <c r="FN123" s="212">
        <f t="shared" si="234"/>
        <v>0</v>
      </c>
      <c r="FO123" s="212">
        <f t="shared" si="183"/>
        <v>0</v>
      </c>
      <c r="FP123" s="212">
        <f t="shared" si="300"/>
        <v>0</v>
      </c>
      <c r="FQ123" s="213">
        <f t="shared" si="184"/>
        <v>1000000</v>
      </c>
      <c r="FV123" s="359"/>
      <c r="FX123" s="308">
        <f t="shared" ca="1" si="185"/>
        <v>6</v>
      </c>
      <c r="FY123" s="309">
        <f t="shared" si="235"/>
        <v>0</v>
      </c>
      <c r="FZ123" s="268">
        <f t="shared" si="186"/>
        <v>0</v>
      </c>
      <c r="GA123" s="33">
        <f t="shared" si="236"/>
        <v>0</v>
      </c>
      <c r="GB123" s="33">
        <f t="shared" si="292"/>
        <v>0</v>
      </c>
      <c r="GC123" s="33">
        <f t="shared" si="293"/>
        <v>0</v>
      </c>
      <c r="GD123" s="33">
        <f>IF(GJ122&lt;0.01,0,IF(Plus!$F$22=Plus!$AN$4,0,IF(Plus!$F$22=Plus!$AN$3,GJ122*Plus!$F$23/1000,GJ122*VLOOKUP(Plus!$G$21,Plus!$AP$2:$AQ$5,2,0))))</f>
        <v>0</v>
      </c>
      <c r="GE123" s="33">
        <f>IF(GJ122&lt;0.01,0,IF(Plus!$F$24=Plus!$AO$3,0,IF(OR(Plus!$F$10=Plus!$AK$7,Plus!$F$10=Plus!$AK$13,Plus!$F$10=Plus!$AK$14),0,IF(OR(Plus!$F$10=Plus!$AK$10,Plus!$F$10=Plus!$AK$11),Plus!$G$13*Adm!$W$7,Plus!$G$13*Adm!$X$4))))</f>
        <v>0</v>
      </c>
      <c r="GF123" s="33">
        <f>IF(GJ122&lt;0.01,0,IF(OR(Plus!$F$10=Plus!$AK$7,Plus!$F$10=Plus!$AK$13),0,Plus!$BD$2*1.16))</f>
        <v>0</v>
      </c>
      <c r="GG123" s="33">
        <f>IF(GJ122&lt;0.01,0,IF(Plus!$AS$2&gt;0,GA123*Plus!$AS$3,0))</f>
        <v>0</v>
      </c>
      <c r="GH123" s="33">
        <f t="shared" si="237"/>
        <v>0</v>
      </c>
      <c r="GI123" s="33">
        <f>IF(Plus!$F$10=Plus!$AK$3,MIN(GJ122+GA123+GD123+GE123+GF123-GH123,GU123),0)</f>
        <v>0</v>
      </c>
      <c r="GJ123" s="311">
        <f t="shared" si="286"/>
        <v>0</v>
      </c>
      <c r="GK123" s="340">
        <f>Plus!O164</f>
        <v>0</v>
      </c>
      <c r="GL123" s="74"/>
      <c r="GM123" s="74"/>
      <c r="GN123" s="419">
        <f t="shared" si="283"/>
        <v>0</v>
      </c>
      <c r="GQ123" s="90">
        <f t="shared" si="238"/>
        <v>3</v>
      </c>
      <c r="GR123" s="121">
        <f t="shared" si="272"/>
        <v>0</v>
      </c>
      <c r="GT123" s="149">
        <f t="shared" si="273"/>
        <v>0</v>
      </c>
      <c r="GU123" s="2179">
        <f t="shared" ca="1" si="239"/>
        <v>0</v>
      </c>
      <c r="GW123" s="120">
        <f t="shared" si="274"/>
        <v>0</v>
      </c>
      <c r="GX123" s="110">
        <f t="shared" si="240"/>
        <v>0</v>
      </c>
      <c r="GY123" s="110">
        <f t="shared" si="241"/>
        <v>0</v>
      </c>
      <c r="GZ123" s="109">
        <f t="shared" si="242"/>
        <v>0</v>
      </c>
      <c r="HA123" s="109">
        <f t="shared" si="187"/>
        <v>0</v>
      </c>
      <c r="HB123" s="113">
        <f t="shared" si="243"/>
        <v>0</v>
      </c>
      <c r="HD123" s="102">
        <f t="shared" si="244"/>
        <v>0</v>
      </c>
      <c r="HE123" s="211">
        <f t="shared" si="279"/>
        <v>99</v>
      </c>
      <c r="HF123" s="212">
        <f t="shared" si="245"/>
        <v>0</v>
      </c>
      <c r="HG123" s="212">
        <f t="shared" si="188"/>
        <v>0</v>
      </c>
      <c r="HH123" s="212">
        <f t="shared" si="301"/>
        <v>0</v>
      </c>
      <c r="HI123" s="213">
        <f t="shared" si="189"/>
        <v>1000000</v>
      </c>
      <c r="HL123" s="182"/>
      <c r="HM123" s="26">
        <f t="shared" ca="1" si="190"/>
        <v>6</v>
      </c>
      <c r="HO123" s="268">
        <f t="shared" si="191"/>
        <v>0</v>
      </c>
      <c r="HP123" s="151">
        <f t="shared" si="157"/>
        <v>0</v>
      </c>
      <c r="HQ123" s="123">
        <f t="shared" si="246"/>
        <v>0</v>
      </c>
      <c r="HR123" s="123">
        <f t="shared" si="247"/>
        <v>0</v>
      </c>
      <c r="HS123" s="123">
        <f t="shared" si="248"/>
        <v>0</v>
      </c>
      <c r="HT123" s="123">
        <f>IF(HY122&lt;0.01,0,IF(Adm!$GS$4=Adm!$GS$8,HY122*$HY$15,IF(Adm!$GS$12=Adm!$GS$13,0,HY122*Adm!$GV$4)))</f>
        <v>0</v>
      </c>
      <c r="HU123" s="123">
        <f>IF(HY122&lt;0.01,0,IF(Adm!$GS$5=Adm!$GS$8,Cal!$BO$108*$HY$16/1.16,IF(Adm!$GS$12=Adm!$GS$13,0,Cal!$BO$108*Adm!$GW$4/1.16)))</f>
        <v>0</v>
      </c>
      <c r="HV123" s="123">
        <f t="shared" si="249"/>
        <v>0</v>
      </c>
      <c r="HW123" s="123">
        <f t="shared" si="192"/>
        <v>0</v>
      </c>
      <c r="HX123" s="123">
        <f>IF(Adm!$GH$6="si",MIN(HY122+HQ123+HT123+HU123+HV123-HW123,IH123),0)</f>
        <v>0</v>
      </c>
      <c r="HY123" s="297">
        <f t="shared" si="250"/>
        <v>0</v>
      </c>
      <c r="HZ123" s="74"/>
      <c r="IA123" s="407">
        <f t="shared" si="251"/>
        <v>0</v>
      </c>
      <c r="IC123" s="90">
        <f t="shared" si="252"/>
        <v>3</v>
      </c>
      <c r="ID123" s="124">
        <f>IF(IC123=1,Cal!$BO$127,0)</f>
        <v>0</v>
      </c>
      <c r="IE123" s="178">
        <f>IF(IC123=1,Adm!$HI$4,0)</f>
        <v>0</v>
      </c>
      <c r="IG123" s="70">
        <f t="shared" si="275"/>
        <v>0</v>
      </c>
      <c r="IH123" s="2178">
        <f t="shared" ca="1" si="253"/>
        <v>0</v>
      </c>
      <c r="IK123" s="217"/>
      <c r="IL123" s="26">
        <f t="shared" ca="1" si="193"/>
        <v>6</v>
      </c>
      <c r="IN123" s="268">
        <f t="shared" si="194"/>
        <v>0</v>
      </c>
      <c r="IO123" s="151">
        <f t="shared" si="154"/>
        <v>0</v>
      </c>
      <c r="IP123" s="123">
        <f t="shared" si="254"/>
        <v>0</v>
      </c>
      <c r="IQ123" s="123">
        <f t="shared" si="255"/>
        <v>0</v>
      </c>
      <c r="IR123" s="123">
        <f t="shared" si="256"/>
        <v>0</v>
      </c>
      <c r="IS123" s="123">
        <f>IF(IX122&lt;0.01,0,IF(Adm!$GS$4=Adm!$GS$8,IX122*$IX$15,IF(Adm!$GS$12=Adm!$GS$13,0,IX122*Adm!$GV$4)))</f>
        <v>0</v>
      </c>
      <c r="IT123" s="123"/>
      <c r="IU123" s="123">
        <f t="shared" si="257"/>
        <v>0</v>
      </c>
      <c r="IV123" s="123">
        <f t="shared" si="258"/>
        <v>0</v>
      </c>
      <c r="IW123" s="123"/>
      <c r="IX123" s="297">
        <f t="shared" si="259"/>
        <v>0</v>
      </c>
      <c r="IY123" s="74"/>
      <c r="IZ123" s="416">
        <f t="shared" si="260"/>
        <v>0</v>
      </c>
      <c r="JB123" s="90">
        <f t="shared" si="261"/>
        <v>3</v>
      </c>
      <c r="JC123" s="124">
        <f>IF(JB123=1,Cal!$BP$127,0)</f>
        <v>0</v>
      </c>
      <c r="JD123" s="178">
        <f>IF(JB123=1,Adm!$HI$4,0)</f>
        <v>0</v>
      </c>
    </row>
    <row r="124" spans="1:264">
      <c r="A124" s="26">
        <f t="shared" ca="1" si="162"/>
        <v>7</v>
      </c>
      <c r="C124" s="33">
        <f t="shared" si="163"/>
        <v>0</v>
      </c>
      <c r="D124" s="123">
        <f t="shared" si="195"/>
        <v>0</v>
      </c>
      <c r="E124" s="123">
        <f t="shared" si="287"/>
        <v>0</v>
      </c>
      <c r="F124" s="123">
        <f t="shared" si="295"/>
        <v>0</v>
      </c>
      <c r="G124" s="123">
        <f>IF(L123&lt;0.01,0,IF(Adm!$S$4=Adm!$S$8,L123*$L$15,L123*Adm!$V$4))</f>
        <v>0</v>
      </c>
      <c r="H124" s="123">
        <f>IF(L123&lt;0.01,0,IF(Adm!$S$5=Adm!$S$8,Adm!$AA$11*$L$16/1.16,IF(Adm!$B$4=Adm!$A$119,0,Adm!$AA$11*Adm!$X$4/1.16)))</f>
        <v>0</v>
      </c>
      <c r="I124" s="123">
        <f>IF(L123&lt;0.01,0,Cal!$AB$126/1.16)</f>
        <v>0</v>
      </c>
      <c r="J124" s="123">
        <f t="shared" si="164"/>
        <v>0</v>
      </c>
      <c r="K124" s="123">
        <f>IF(Adm!$G$4="si",MIN(L123+D124+G124+H124+I124-J124,V124),0)</f>
        <v>0</v>
      </c>
      <c r="L124" s="123">
        <f t="shared" si="196"/>
        <v>0</v>
      </c>
      <c r="M124" s="74"/>
      <c r="N124" s="74"/>
      <c r="O124" s="407">
        <f t="shared" si="197"/>
        <v>0</v>
      </c>
      <c r="R124" s="90">
        <f t="shared" si="198"/>
        <v>4</v>
      </c>
      <c r="S124" s="121">
        <f>IF(R124=1,Cal!$AB$127,0)</f>
        <v>0</v>
      </c>
      <c r="U124" s="70">
        <f t="shared" si="262"/>
        <v>0</v>
      </c>
      <c r="V124" s="2178">
        <f t="shared" ca="1" si="199"/>
        <v>0</v>
      </c>
      <c r="X124" s="398"/>
      <c r="Z124" s="268">
        <f t="shared" si="165"/>
        <v>0</v>
      </c>
      <c r="AA124" s="2176">
        <f t="shared" si="200"/>
        <v>0</v>
      </c>
      <c r="AB124" s="33">
        <f t="shared" si="201"/>
        <v>0</v>
      </c>
      <c r="AC124" s="33">
        <f t="shared" si="202"/>
        <v>0</v>
      </c>
      <c r="AD124" s="33">
        <f>IF(AI123&lt;0.01,0,IF(Adm!$S$4=Adm!$S$8,AI123*$AI$15,AI123*Adm!$V$4))</f>
        <v>0</v>
      </c>
      <c r="AE124" s="33"/>
      <c r="AF124" s="33"/>
      <c r="AG124" s="33">
        <f t="shared" si="166"/>
        <v>0</v>
      </c>
      <c r="AH124" s="33"/>
      <c r="AI124" s="401">
        <f t="shared" si="167"/>
        <v>0</v>
      </c>
      <c r="AK124" s="410">
        <f t="shared" si="168"/>
        <v>0</v>
      </c>
      <c r="AN124" s="90">
        <f t="shared" si="203"/>
        <v>4</v>
      </c>
      <c r="AO124" s="121">
        <f>IF(AN124=1,Cal!$AC$127,0)</f>
        <v>0</v>
      </c>
      <c r="AS124" s="200"/>
      <c r="AU124" s="268">
        <f t="shared" si="169"/>
        <v>0</v>
      </c>
      <c r="AV124" s="2177">
        <f t="shared" si="204"/>
        <v>0</v>
      </c>
      <c r="AW124" s="123">
        <f t="shared" si="170"/>
        <v>0</v>
      </c>
      <c r="AX124" s="123">
        <f t="shared" si="205"/>
        <v>0</v>
      </c>
      <c r="AY124" s="123">
        <f>IF(BC123&lt;0.01,0,IF(Adm!$S$4=Adm!$S$8,BC123*$BC$16,BC123*Adm!$V$4))</f>
        <v>0</v>
      </c>
      <c r="AZ124" s="123"/>
      <c r="BA124" s="123">
        <f>IF(BC123&lt;0.01,0,Adm!$Q$6)</f>
        <v>0</v>
      </c>
      <c r="BB124" s="123">
        <f t="shared" si="171"/>
        <v>0</v>
      </c>
      <c r="BC124" s="297">
        <f t="shared" si="206"/>
        <v>0</v>
      </c>
      <c r="BE124" s="425">
        <f t="shared" si="172"/>
        <v>0</v>
      </c>
      <c r="BH124" s="90">
        <f t="shared" si="207"/>
        <v>4</v>
      </c>
      <c r="BI124" s="121">
        <f>IF(BH124=1,Cal!$AD$127,0)</f>
        <v>0</v>
      </c>
      <c r="BM124" s="221"/>
      <c r="BO124" s="295">
        <f t="shared" ca="1" si="173"/>
        <v>7</v>
      </c>
      <c r="BP124" s="268">
        <f t="shared" si="174"/>
        <v>0</v>
      </c>
      <c r="BQ124" s="123">
        <f t="shared" si="208"/>
        <v>0</v>
      </c>
      <c r="BR124" s="123">
        <f t="shared" si="288"/>
        <v>0</v>
      </c>
      <c r="BS124" s="123">
        <f t="shared" si="296"/>
        <v>0</v>
      </c>
      <c r="BT124" s="123">
        <f>IF(BZ123&lt;0.01,0,IF(Plus!$F$22=Plus!$AN$4,BZ123*$BZ$15,IF(Plus!$F$22=Plus!$AN$3,BZ123*Plus!$F$23/1000,BZ123*VLOOKUP(Plus!$G$21,Plus!$AP$2:'Plus'!$AQ$5,2,0))))</f>
        <v>0</v>
      </c>
      <c r="BU124" s="123">
        <f>IF(BZ123&lt;0.01,0,IF(Plus!$F$24=Plus!$AO$3,Plus!$G$13*Plus!$AR$2/1.16,IF(Plus!$F$10=Plus!$AK$7,0,Plus!$G$13*Plus!$AR$2/1.16)))</f>
        <v>0</v>
      </c>
      <c r="BV124" s="123">
        <f>IF(BZ123&lt;0.01,0,Plus!$BD$2)</f>
        <v>0</v>
      </c>
      <c r="BW124" s="123"/>
      <c r="BX124" s="123">
        <f t="shared" si="175"/>
        <v>0</v>
      </c>
      <c r="BY124" s="123">
        <f>IF(Plus!$F$10=Plus!$AK$3,MIN(BZ123+BQ124+BT124+BU124+BV124-BX124,CJ124),0)</f>
        <v>0</v>
      </c>
      <c r="BZ124" s="297">
        <f t="shared" si="280"/>
        <v>0</v>
      </c>
      <c r="CA124" s="74"/>
      <c r="CB124" s="74"/>
      <c r="CC124" s="413">
        <f t="shared" si="209"/>
        <v>0</v>
      </c>
      <c r="CF124" s="90">
        <f t="shared" si="210"/>
        <v>4</v>
      </c>
      <c r="CG124" s="121">
        <f t="shared" si="263"/>
        <v>0</v>
      </c>
      <c r="CI124" s="70">
        <f t="shared" si="264"/>
        <v>0</v>
      </c>
      <c r="CJ124" s="2178">
        <f t="shared" ca="1" si="211"/>
        <v>0</v>
      </c>
      <c r="CL124" s="161"/>
      <c r="CN124" s="308">
        <f t="shared" ca="1" si="176"/>
        <v>7</v>
      </c>
      <c r="CO124" s="309">
        <f t="shared" si="212"/>
        <v>0</v>
      </c>
      <c r="CP124" s="268">
        <f t="shared" si="177"/>
        <v>0</v>
      </c>
      <c r="CQ124" s="123">
        <f t="shared" si="213"/>
        <v>0</v>
      </c>
      <c r="CR124" s="123">
        <f t="shared" si="289"/>
        <v>0</v>
      </c>
      <c r="CS124" s="123">
        <f t="shared" si="290"/>
        <v>0</v>
      </c>
      <c r="CT124" s="33">
        <f>IF(CZ123&lt;0.01,0,IF(Plus!$F$22=Plus!$AN$4,0,IF(Plus!$F$22=Plus!$AN$3,CZ123*Plus!$F$23/1000,CZ123*VLOOKUP(Plus!$G$21,Plus!$AP$2:'Plus'!$AQ$5,2,0))))</f>
        <v>0</v>
      </c>
      <c r="CU124" s="123">
        <f>IF(CZ123&lt;0.01,0,IF(Plus!$F$24=Plus!$AO$3,0,IF(OR(Plus!$F$10=Plus!$AK$7,Plus!$F$10=Plus!$AK$13),0,Plus!$G$13*Plus!$AR$2)))</f>
        <v>0</v>
      </c>
      <c r="CV124" s="123">
        <f>IF(CZ123&lt;0.01,0,IF(OR(Plus!$F$10=Plus!$AK$7,Plus!$F$10=Plus!$AK$13),0,Plus!$BD$2*1.16))</f>
        <v>0</v>
      </c>
      <c r="CW124" s="123">
        <f>IF(CZ123&lt;0.01,0,IF(Plus!$AS$2&gt;0,CQ124*Plus!$AS$3,0))</f>
        <v>0</v>
      </c>
      <c r="CX124" s="123">
        <f t="shared" si="214"/>
        <v>0</v>
      </c>
      <c r="CY124" s="123">
        <f>IF(Plus!$F$10=Plus!$AK$3,MIN(CZ123+CQ124+CT124+CU124+CV124-CX124,DK124),0)</f>
        <v>0</v>
      </c>
      <c r="CZ124" s="297">
        <f t="shared" si="294"/>
        <v>0</v>
      </c>
      <c r="DA124" s="306">
        <f>Plus!O165</f>
        <v>0</v>
      </c>
      <c r="DB124" s="74"/>
      <c r="DC124" s="74"/>
      <c r="DD124" s="407">
        <f t="shared" si="215"/>
        <v>0</v>
      </c>
      <c r="DG124" s="90">
        <f t="shared" si="216"/>
        <v>4</v>
      </c>
      <c r="DH124" s="121">
        <f t="shared" si="265"/>
        <v>0</v>
      </c>
      <c r="DJ124" s="149">
        <f t="shared" si="266"/>
        <v>0</v>
      </c>
      <c r="DK124" s="2179">
        <f t="shared" ca="1" si="217"/>
        <v>0</v>
      </c>
      <c r="DN124" s="120">
        <f t="shared" si="267"/>
        <v>0</v>
      </c>
      <c r="DO124" s="110">
        <f t="shared" si="218"/>
        <v>0</v>
      </c>
      <c r="DP124" s="110">
        <f t="shared" si="276"/>
        <v>0</v>
      </c>
      <c r="DQ124" s="109">
        <f t="shared" si="219"/>
        <v>0</v>
      </c>
      <c r="DR124" s="109">
        <f t="shared" si="220"/>
        <v>0</v>
      </c>
      <c r="DS124" s="113">
        <f t="shared" si="221"/>
        <v>0</v>
      </c>
      <c r="DU124" s="102">
        <f t="shared" si="222"/>
        <v>0</v>
      </c>
      <c r="DV124" s="211">
        <f t="shared" si="277"/>
        <v>100</v>
      </c>
      <c r="DW124" s="212">
        <f t="shared" si="223"/>
        <v>0</v>
      </c>
      <c r="DX124" s="212">
        <f t="shared" si="178"/>
        <v>0</v>
      </c>
      <c r="DY124" s="212">
        <f t="shared" si="268"/>
        <v>0</v>
      </c>
      <c r="DZ124" s="213">
        <f t="shared" si="179"/>
        <v>1000000</v>
      </c>
      <c r="ED124" s="182"/>
      <c r="EF124" s="308">
        <f t="shared" ca="1" si="180"/>
        <v>7</v>
      </c>
      <c r="EG124" s="309">
        <f t="shared" si="224"/>
        <v>0</v>
      </c>
      <c r="EH124" s="268">
        <f t="shared" si="181"/>
        <v>0</v>
      </c>
      <c r="EI124" s="33">
        <f t="shared" si="225"/>
        <v>0</v>
      </c>
      <c r="EJ124" s="33">
        <f t="shared" si="291"/>
        <v>0</v>
      </c>
      <c r="EK124" s="33">
        <f t="shared" si="297"/>
        <v>0</v>
      </c>
      <c r="EL124" s="33">
        <f>IF(ER123&lt;0.01,0,IF(Plus!$F$22=Plus!$AN$4,0,IF(Plus!$F$22=Plus!$AN$3,ER123*Plus!$F$23/1000,ER123*VLOOKUP(Plus!$G$21,Plus!$AP$2:'Plus'!$AQ$5,2,0))))</f>
        <v>0</v>
      </c>
      <c r="EM124" s="33">
        <f>IF(ER123&lt;0.01,0,IF(Plus!$F$24=Plus!$AO$3,0,IF(OR(Plus!$F$10=Plus!$AK$7,Plus!$F$10=Plus!$AK$13),0,Plus!$G$13*Plus!$AR$2)))</f>
        <v>0</v>
      </c>
      <c r="EN124" s="33">
        <f>IF(ER123&lt;0.01,0,IF(OR(Plus!$F$10=Plus!$AK$7,Plus!$F$10=Plus!$AK$13),0,Plus!$BD$2*1.16))</f>
        <v>0</v>
      </c>
      <c r="EO124" s="33">
        <f>IF(ER123&lt;0.01,0,IF(Plus!$AS$2&gt;0,EI124*Plus!$AS$3,0))</f>
        <v>0</v>
      </c>
      <c r="EP124" s="33">
        <f t="shared" si="226"/>
        <v>0</v>
      </c>
      <c r="EQ124" s="33">
        <f>IF(Plus!$F$10=Plus!$AK$3,MIN(ER123+EI124+EL124+EM124+EN124-EP124,FC124),0)</f>
        <v>0</v>
      </c>
      <c r="ER124" s="311">
        <f t="shared" si="285"/>
        <v>0</v>
      </c>
      <c r="ES124" s="340">
        <f>Plus!O165</f>
        <v>0</v>
      </c>
      <c r="ET124" s="74"/>
      <c r="EU124" s="74"/>
      <c r="EV124" s="416">
        <f t="shared" si="281"/>
        <v>0</v>
      </c>
      <c r="EY124" s="90">
        <f t="shared" si="227"/>
        <v>4</v>
      </c>
      <c r="EZ124" s="121">
        <f t="shared" si="269"/>
        <v>0</v>
      </c>
      <c r="FB124" s="149">
        <f t="shared" si="270"/>
        <v>0</v>
      </c>
      <c r="FC124" s="2179">
        <f t="shared" ca="1" si="228"/>
        <v>0</v>
      </c>
      <c r="FE124" s="120">
        <f t="shared" si="271"/>
        <v>0</v>
      </c>
      <c r="FF124" s="110">
        <f t="shared" si="229"/>
        <v>0</v>
      </c>
      <c r="FG124" s="110">
        <f t="shared" si="230"/>
        <v>0</v>
      </c>
      <c r="FH124" s="109">
        <f t="shared" si="231"/>
        <v>0</v>
      </c>
      <c r="FI124" s="109">
        <f t="shared" si="182"/>
        <v>0</v>
      </c>
      <c r="FJ124" s="113">
        <f t="shared" si="232"/>
        <v>0</v>
      </c>
      <c r="FL124" s="102">
        <f t="shared" si="233"/>
        <v>0</v>
      </c>
      <c r="FM124" s="211">
        <f t="shared" si="278"/>
        <v>100</v>
      </c>
      <c r="FN124" s="212">
        <f t="shared" si="234"/>
        <v>0</v>
      </c>
      <c r="FO124" s="212">
        <f t="shared" si="183"/>
        <v>0</v>
      </c>
      <c r="FP124" s="212">
        <f t="shared" si="300"/>
        <v>0</v>
      </c>
      <c r="FQ124" s="213">
        <f t="shared" si="184"/>
        <v>1000000</v>
      </c>
      <c r="FV124" s="359"/>
      <c r="FX124" s="308">
        <f t="shared" ca="1" si="185"/>
        <v>7</v>
      </c>
      <c r="FY124" s="309">
        <f t="shared" si="235"/>
        <v>0</v>
      </c>
      <c r="FZ124" s="268">
        <f t="shared" si="186"/>
        <v>0</v>
      </c>
      <c r="GA124" s="33">
        <f t="shared" si="236"/>
        <v>0</v>
      </c>
      <c r="GB124" s="33">
        <f t="shared" si="292"/>
        <v>0</v>
      </c>
      <c r="GC124" s="33">
        <f t="shared" si="293"/>
        <v>0</v>
      </c>
      <c r="GD124" s="33">
        <f>IF(GJ123&lt;0.01,0,IF(Plus!$F$22=Plus!$AN$4,0,IF(Plus!$F$22=Plus!$AN$3,GJ123*Plus!$F$23/1000,GJ123*VLOOKUP(Plus!$G$21,Plus!$AP$2:$AQ$5,2,0))))</f>
        <v>0</v>
      </c>
      <c r="GE124" s="33">
        <f>IF(GJ123&lt;0.01,0,IF(Plus!$F$24=Plus!$AO$3,0,IF(OR(Plus!$F$10=Plus!$AK$7,Plus!$F$10=Plus!$AK$13,Plus!$F$10=Plus!$AK$14),0,IF(OR(Plus!$F$10=Plus!$AK$10,Plus!$F$10=Plus!$AK$11),Plus!$G$13*Adm!$W$7,Plus!$G$13*Adm!$X$4))))</f>
        <v>0</v>
      </c>
      <c r="GF124" s="33">
        <f>IF(GJ123&lt;0.01,0,IF(OR(Plus!$F$10=Plus!$AK$7,Plus!$F$10=Plus!$AK$13),0,Plus!$BD$2*1.16))</f>
        <v>0</v>
      </c>
      <c r="GG124" s="33">
        <f>IF(GJ123&lt;0.01,0,IF(Plus!$AS$2&gt;0,GA124*Plus!$AS$3,0))</f>
        <v>0</v>
      </c>
      <c r="GH124" s="33">
        <f t="shared" si="237"/>
        <v>0</v>
      </c>
      <c r="GI124" s="33">
        <f>IF(Plus!$F$10=Plus!$AK$3,MIN(GJ123+GA124+GD124+GE124+GF124-GH124,GU124),0)</f>
        <v>0</v>
      </c>
      <c r="GJ124" s="311">
        <f t="shared" si="286"/>
        <v>0</v>
      </c>
      <c r="GK124" s="340">
        <f>Plus!O165</f>
        <v>0</v>
      </c>
      <c r="GL124" s="74"/>
      <c r="GM124" s="74"/>
      <c r="GN124" s="419">
        <f t="shared" si="283"/>
        <v>0</v>
      </c>
      <c r="GQ124" s="90">
        <f t="shared" si="238"/>
        <v>4</v>
      </c>
      <c r="GR124" s="121">
        <f t="shared" si="272"/>
        <v>0</v>
      </c>
      <c r="GT124" s="149">
        <f t="shared" si="273"/>
        <v>0</v>
      </c>
      <c r="GU124" s="2179">
        <f t="shared" ca="1" si="239"/>
        <v>0</v>
      </c>
      <c r="GW124" s="120">
        <f t="shared" si="274"/>
        <v>0</v>
      </c>
      <c r="GX124" s="110">
        <f t="shared" si="240"/>
        <v>0</v>
      </c>
      <c r="GY124" s="110">
        <f t="shared" si="241"/>
        <v>0</v>
      </c>
      <c r="GZ124" s="109">
        <f t="shared" si="242"/>
        <v>0</v>
      </c>
      <c r="HA124" s="109">
        <f t="shared" si="187"/>
        <v>0</v>
      </c>
      <c r="HB124" s="113">
        <f t="shared" si="243"/>
        <v>0</v>
      </c>
      <c r="HD124" s="102">
        <f t="shared" si="244"/>
        <v>0</v>
      </c>
      <c r="HE124" s="211">
        <f t="shared" si="279"/>
        <v>100</v>
      </c>
      <c r="HF124" s="212">
        <f t="shared" si="245"/>
        <v>0</v>
      </c>
      <c r="HG124" s="212">
        <f t="shared" si="188"/>
        <v>0</v>
      </c>
      <c r="HH124" s="212">
        <f t="shared" si="301"/>
        <v>0</v>
      </c>
      <c r="HI124" s="213">
        <f t="shared" si="189"/>
        <v>1000000</v>
      </c>
      <c r="HL124" s="182"/>
      <c r="HM124" s="26">
        <f t="shared" ca="1" si="190"/>
        <v>7</v>
      </c>
      <c r="HO124" s="268">
        <f t="shared" si="191"/>
        <v>0</v>
      </c>
      <c r="HP124" s="151">
        <f t="shared" si="157"/>
        <v>0</v>
      </c>
      <c r="HQ124" s="123">
        <f t="shared" si="246"/>
        <v>0</v>
      </c>
      <c r="HR124" s="123">
        <f t="shared" si="247"/>
        <v>0</v>
      </c>
      <c r="HS124" s="123">
        <f t="shared" si="248"/>
        <v>0</v>
      </c>
      <c r="HT124" s="123">
        <f>IF(HY123&lt;0.01,0,IF(Adm!$GS$4=Adm!$GS$8,HY123*$HY$15,IF(Adm!$GS$12=Adm!$GS$13,0,HY123*Adm!$GV$4)))</f>
        <v>0</v>
      </c>
      <c r="HU124" s="123">
        <f>IF(HY123&lt;0.01,0,IF(Adm!$GS$5=Adm!$GS$8,Cal!$BO$108*$HY$16/1.16,IF(Adm!$GS$12=Adm!$GS$13,0,Cal!$BO$108*Adm!$GW$4/1.16)))</f>
        <v>0</v>
      </c>
      <c r="HV124" s="123">
        <f t="shared" si="249"/>
        <v>0</v>
      </c>
      <c r="HW124" s="123">
        <f t="shared" si="192"/>
        <v>0</v>
      </c>
      <c r="HX124" s="123">
        <f>IF(Adm!$GH$6="si",MIN(HY123+HQ124+HT124+HU124+HV124-HW124,IH124),0)</f>
        <v>0</v>
      </c>
      <c r="HY124" s="297">
        <f t="shared" si="250"/>
        <v>0</v>
      </c>
      <c r="HZ124" s="74"/>
      <c r="IA124" s="407">
        <f t="shared" si="251"/>
        <v>0</v>
      </c>
      <c r="IC124" s="90">
        <f t="shared" si="252"/>
        <v>4</v>
      </c>
      <c r="ID124" s="124">
        <f>IF(IC124=1,Cal!$BO$127,0)</f>
        <v>0</v>
      </c>
      <c r="IE124" s="178">
        <f>IF(IC124=1,Adm!$HI$4,0)</f>
        <v>0</v>
      </c>
      <c r="IG124" s="70">
        <f t="shared" si="275"/>
        <v>0</v>
      </c>
      <c r="IH124" s="2178">
        <f t="shared" ca="1" si="253"/>
        <v>0</v>
      </c>
      <c r="IK124" s="217"/>
      <c r="IL124" s="26">
        <f t="shared" ca="1" si="193"/>
        <v>7</v>
      </c>
      <c r="IN124" s="268">
        <f t="shared" si="194"/>
        <v>0</v>
      </c>
      <c r="IO124" s="151">
        <f t="shared" si="154"/>
        <v>0</v>
      </c>
      <c r="IP124" s="123">
        <f t="shared" si="254"/>
        <v>0</v>
      </c>
      <c r="IQ124" s="123">
        <f t="shared" si="255"/>
        <v>0</v>
      </c>
      <c r="IR124" s="123">
        <f t="shared" si="256"/>
        <v>0</v>
      </c>
      <c r="IS124" s="123">
        <f>IF(IX123&lt;0.01,0,IF(Adm!$GS$4=Adm!$GS$8,IX123*$IX$15,IF(Adm!$GS$12=Adm!$GS$13,0,IX123*Adm!$GV$4)))</f>
        <v>0</v>
      </c>
      <c r="IT124" s="123"/>
      <c r="IU124" s="123">
        <f t="shared" si="257"/>
        <v>0</v>
      </c>
      <c r="IV124" s="123">
        <f t="shared" si="258"/>
        <v>0</v>
      </c>
      <c r="IW124" s="123"/>
      <c r="IX124" s="297">
        <f t="shared" si="259"/>
        <v>0</v>
      </c>
      <c r="IY124" s="74"/>
      <c r="IZ124" s="416">
        <f t="shared" si="260"/>
        <v>0</v>
      </c>
      <c r="JB124" s="90">
        <f t="shared" si="261"/>
        <v>4</v>
      </c>
      <c r="JC124" s="124">
        <f>IF(JB124=1,Cal!$BP$127,0)</f>
        <v>0</v>
      </c>
      <c r="JD124" s="178">
        <f>IF(JB124=1,Adm!$HI$4,0)</f>
        <v>0</v>
      </c>
    </row>
    <row r="125" spans="1:264">
      <c r="A125" s="26">
        <f t="shared" ca="1" si="162"/>
        <v>8</v>
      </c>
      <c r="C125" s="33">
        <f t="shared" si="163"/>
        <v>0</v>
      </c>
      <c r="D125" s="123">
        <f t="shared" si="195"/>
        <v>0</v>
      </c>
      <c r="E125" s="123">
        <f t="shared" si="287"/>
        <v>0</v>
      </c>
      <c r="F125" s="123">
        <f t="shared" si="295"/>
        <v>0</v>
      </c>
      <c r="G125" s="123">
        <f>IF(L124&lt;0.01,0,IF(Adm!$S$4=Adm!$S$8,L124*$L$15,L124*Adm!$V$4))</f>
        <v>0</v>
      </c>
      <c r="H125" s="123">
        <f>IF(L124&lt;0.01,0,IF(Adm!$S$5=Adm!$S$8,Adm!$AA$11*$L$16/1.16,IF(Adm!$B$4=Adm!$A$119,0,Adm!$AA$11*Adm!$X$4/1.16)))</f>
        <v>0</v>
      </c>
      <c r="I125" s="123">
        <f>IF(L124&lt;0.01,0,Cal!$AB$126/1.16)</f>
        <v>0</v>
      </c>
      <c r="J125" s="123">
        <f t="shared" si="164"/>
        <v>0</v>
      </c>
      <c r="K125" s="123">
        <f>IF(Adm!$G$4="si",MIN(L124+D125+G125+H125+I125-J125,V125),0)</f>
        <v>0</v>
      </c>
      <c r="L125" s="123">
        <f t="shared" si="196"/>
        <v>0</v>
      </c>
      <c r="M125" s="74"/>
      <c r="N125" s="74"/>
      <c r="O125" s="407">
        <f t="shared" si="197"/>
        <v>0</v>
      </c>
      <c r="R125" s="90">
        <f t="shared" si="198"/>
        <v>5</v>
      </c>
      <c r="S125" s="121">
        <f>IF(R125=1,Cal!$AB$127,0)</f>
        <v>0</v>
      </c>
      <c r="U125" s="70">
        <f t="shared" si="262"/>
        <v>0</v>
      </c>
      <c r="V125" s="2178">
        <f t="shared" ca="1" si="199"/>
        <v>0</v>
      </c>
      <c r="X125" s="398"/>
      <c r="Z125" s="268">
        <f t="shared" si="165"/>
        <v>0</v>
      </c>
      <c r="AA125" s="2176">
        <f t="shared" si="200"/>
        <v>0</v>
      </c>
      <c r="AB125" s="33">
        <f t="shared" si="201"/>
        <v>0</v>
      </c>
      <c r="AC125" s="33">
        <f t="shared" si="202"/>
        <v>0</v>
      </c>
      <c r="AD125" s="33">
        <f>IF(AI124&lt;0.01,0,IF(Adm!$S$4=Adm!$S$8,AI124*$AI$15,AI124*Adm!$V$4))</f>
        <v>0</v>
      </c>
      <c r="AE125" s="33"/>
      <c r="AF125" s="33"/>
      <c r="AG125" s="33">
        <f t="shared" si="166"/>
        <v>0</v>
      </c>
      <c r="AH125" s="33"/>
      <c r="AI125" s="401">
        <f t="shared" si="167"/>
        <v>0</v>
      </c>
      <c r="AK125" s="410">
        <f t="shared" si="168"/>
        <v>0</v>
      </c>
      <c r="AN125" s="90">
        <f t="shared" si="203"/>
        <v>5</v>
      </c>
      <c r="AO125" s="121">
        <f>IF(AN125=1,Cal!$AC$127,0)</f>
        <v>0</v>
      </c>
      <c r="AS125" s="200"/>
      <c r="AU125" s="268">
        <f t="shared" si="169"/>
        <v>0</v>
      </c>
      <c r="AV125" s="2177">
        <f t="shared" si="204"/>
        <v>0</v>
      </c>
      <c r="AW125" s="123">
        <f t="shared" si="170"/>
        <v>0</v>
      </c>
      <c r="AX125" s="123">
        <f t="shared" si="205"/>
        <v>0</v>
      </c>
      <c r="AY125" s="123">
        <f>IF(BC124&lt;0.01,0,IF(Adm!$S$4=Adm!$S$8,BC124*$BC$16,BC124*Adm!$V$4))</f>
        <v>0</v>
      </c>
      <c r="AZ125" s="123"/>
      <c r="BA125" s="123">
        <f>IF(BC124&lt;0.01,0,Adm!$Q$6)</f>
        <v>0</v>
      </c>
      <c r="BB125" s="123">
        <f t="shared" si="171"/>
        <v>0</v>
      </c>
      <c r="BC125" s="297">
        <f t="shared" si="206"/>
        <v>0</v>
      </c>
      <c r="BE125" s="425">
        <f t="shared" si="172"/>
        <v>0</v>
      </c>
      <c r="BH125" s="90">
        <f t="shared" si="207"/>
        <v>5</v>
      </c>
      <c r="BI125" s="121">
        <f>IF(BH125=1,Cal!$AD$127,0)</f>
        <v>0</v>
      </c>
      <c r="BM125" s="221"/>
      <c r="BO125" s="295">
        <f t="shared" ca="1" si="173"/>
        <v>8</v>
      </c>
      <c r="BP125" s="268">
        <f t="shared" si="174"/>
        <v>0</v>
      </c>
      <c r="BQ125" s="123">
        <f t="shared" si="208"/>
        <v>0</v>
      </c>
      <c r="BR125" s="123">
        <f t="shared" si="288"/>
        <v>0</v>
      </c>
      <c r="BS125" s="123">
        <f t="shared" si="296"/>
        <v>0</v>
      </c>
      <c r="BT125" s="123">
        <f>IF(BZ124&lt;0.01,0,IF(Plus!$F$22=Plus!$AN$4,BZ124*$BZ$15,IF(Plus!$F$22=Plus!$AN$3,BZ124*Plus!$F$23/1000,BZ124*VLOOKUP(Plus!$G$21,Plus!$AP$2:'Plus'!$AQ$5,2,0))))</f>
        <v>0</v>
      </c>
      <c r="BU125" s="123">
        <f>IF(BZ124&lt;0.01,0,IF(Plus!$F$24=Plus!$AO$3,Plus!$G$13*Plus!$AR$2/1.16,IF(Plus!$F$10=Plus!$AK$7,0,Plus!$G$13*Plus!$AR$2/1.16)))</f>
        <v>0</v>
      </c>
      <c r="BV125" s="123">
        <f>IF(BZ124&lt;0.01,0,Plus!$BD$2)</f>
        <v>0</v>
      </c>
      <c r="BW125" s="123"/>
      <c r="BX125" s="123">
        <f t="shared" si="175"/>
        <v>0</v>
      </c>
      <c r="BY125" s="123">
        <f>IF(Plus!$F$10=Plus!$AK$3,MIN(BZ124+BQ125+BT125+BU125+BV125-BX125,CJ125),0)</f>
        <v>0</v>
      </c>
      <c r="BZ125" s="297">
        <f t="shared" si="280"/>
        <v>0</v>
      </c>
      <c r="CA125" s="74"/>
      <c r="CB125" s="74"/>
      <c r="CC125" s="413">
        <f t="shared" si="209"/>
        <v>0</v>
      </c>
      <c r="CF125" s="90">
        <f t="shared" si="210"/>
        <v>5</v>
      </c>
      <c r="CG125" s="121">
        <f t="shared" si="263"/>
        <v>0</v>
      </c>
      <c r="CI125" s="70">
        <f t="shared" si="264"/>
        <v>0</v>
      </c>
      <c r="CJ125" s="2178">
        <f t="shared" ca="1" si="211"/>
        <v>0</v>
      </c>
      <c r="CL125" s="161"/>
      <c r="CN125" s="308">
        <f t="shared" ca="1" si="176"/>
        <v>8</v>
      </c>
      <c r="CO125" s="309">
        <f t="shared" si="212"/>
        <v>0</v>
      </c>
      <c r="CP125" s="268">
        <f t="shared" si="177"/>
        <v>0</v>
      </c>
      <c r="CQ125" s="123">
        <f t="shared" si="213"/>
        <v>0</v>
      </c>
      <c r="CR125" s="123">
        <f t="shared" si="289"/>
        <v>0</v>
      </c>
      <c r="CS125" s="123">
        <f t="shared" si="290"/>
        <v>0</v>
      </c>
      <c r="CT125" s="33">
        <f>IF(CZ124&lt;0.01,0,IF(Plus!$F$22=Plus!$AN$4,0,IF(Plus!$F$22=Plus!$AN$3,CZ124*Plus!$F$23/1000,CZ124*VLOOKUP(Plus!$G$21,Plus!$AP$2:'Plus'!$AQ$5,2,0))))</f>
        <v>0</v>
      </c>
      <c r="CU125" s="123">
        <f>IF(CZ124&lt;0.01,0,IF(Plus!$F$24=Plus!$AO$3,0,IF(OR(Plus!$F$10=Plus!$AK$7,Plus!$F$10=Plus!$AK$13),0,Plus!$G$13*Plus!$AR$2)))</f>
        <v>0</v>
      </c>
      <c r="CV125" s="123">
        <f>IF(CZ124&lt;0.01,0,IF(OR(Plus!$F$10=Plus!$AK$7,Plus!$F$10=Plus!$AK$13),0,Plus!$BD$2*1.16))</f>
        <v>0</v>
      </c>
      <c r="CW125" s="123">
        <f>IF(CZ124&lt;0.01,0,IF(Plus!$AS$2&gt;0,CQ125*Plus!$AS$3,0))</f>
        <v>0</v>
      </c>
      <c r="CX125" s="123">
        <f t="shared" si="214"/>
        <v>0</v>
      </c>
      <c r="CY125" s="123">
        <f>IF(Plus!$F$10=Plus!$AK$3,MIN(CZ124+CQ125+CT125+CU125+CV125-CX125,DK125),0)</f>
        <v>0</v>
      </c>
      <c r="CZ125" s="297">
        <f t="shared" si="294"/>
        <v>0</v>
      </c>
      <c r="DA125" s="306">
        <f>Plus!O166</f>
        <v>0</v>
      </c>
      <c r="DB125" s="74"/>
      <c r="DC125" s="74"/>
      <c r="DD125" s="407">
        <f t="shared" si="215"/>
        <v>0</v>
      </c>
      <c r="DG125" s="90">
        <f t="shared" si="216"/>
        <v>5</v>
      </c>
      <c r="DH125" s="121">
        <f t="shared" si="265"/>
        <v>0</v>
      </c>
      <c r="DJ125" s="149">
        <f t="shared" si="266"/>
        <v>0</v>
      </c>
      <c r="DK125" s="2179">
        <f t="shared" ca="1" si="217"/>
        <v>0</v>
      </c>
      <c r="DN125" s="120">
        <f t="shared" si="267"/>
        <v>0</v>
      </c>
      <c r="DO125" s="110">
        <f t="shared" si="218"/>
        <v>0</v>
      </c>
      <c r="DP125" s="110">
        <f t="shared" si="276"/>
        <v>0</v>
      </c>
      <c r="DQ125" s="109">
        <f t="shared" si="219"/>
        <v>0</v>
      </c>
      <c r="DR125" s="109">
        <f t="shared" si="220"/>
        <v>0</v>
      </c>
      <c r="DS125" s="113">
        <f t="shared" si="221"/>
        <v>0</v>
      </c>
      <c r="DU125" s="102">
        <f t="shared" si="222"/>
        <v>0</v>
      </c>
      <c r="DV125" s="211">
        <f t="shared" si="277"/>
        <v>101</v>
      </c>
      <c r="DW125" s="212">
        <f t="shared" si="223"/>
        <v>0</v>
      </c>
      <c r="DX125" s="212">
        <f t="shared" si="178"/>
        <v>0</v>
      </c>
      <c r="DY125" s="212">
        <f t="shared" si="268"/>
        <v>0</v>
      </c>
      <c r="DZ125" s="213">
        <f t="shared" si="179"/>
        <v>1000000</v>
      </c>
      <c r="ED125" s="182"/>
      <c r="EF125" s="308">
        <f t="shared" ca="1" si="180"/>
        <v>8</v>
      </c>
      <c r="EG125" s="309">
        <f t="shared" si="224"/>
        <v>0</v>
      </c>
      <c r="EH125" s="268">
        <f t="shared" si="181"/>
        <v>0</v>
      </c>
      <c r="EI125" s="33">
        <f t="shared" si="225"/>
        <v>0</v>
      </c>
      <c r="EJ125" s="33">
        <f t="shared" si="291"/>
        <v>0</v>
      </c>
      <c r="EK125" s="33">
        <f t="shared" si="297"/>
        <v>0</v>
      </c>
      <c r="EL125" s="33">
        <f>IF(ER124&lt;0.01,0,IF(Plus!$F$22=Plus!$AN$4,0,IF(Plus!$F$22=Plus!$AN$3,ER124*Plus!$F$23/1000,ER124*VLOOKUP(Plus!$G$21,Plus!$AP$2:'Plus'!$AQ$5,2,0))))</f>
        <v>0</v>
      </c>
      <c r="EM125" s="33">
        <f>IF(ER124&lt;0.01,0,IF(Plus!$F$24=Plus!$AO$3,0,IF(OR(Plus!$F$10=Plus!$AK$7,Plus!$F$10=Plus!$AK$13),0,Plus!$G$13*Plus!$AR$2)))</f>
        <v>0</v>
      </c>
      <c r="EN125" s="33">
        <f>IF(ER124&lt;0.01,0,IF(OR(Plus!$F$10=Plus!$AK$7,Plus!$F$10=Plus!$AK$13),0,Plus!$BD$2*1.16))</f>
        <v>0</v>
      </c>
      <c r="EO125" s="33">
        <f>IF(ER124&lt;0.01,0,IF(Plus!$AS$2&gt;0,EI125*Plus!$AS$3,0))</f>
        <v>0</v>
      </c>
      <c r="EP125" s="33">
        <f t="shared" si="226"/>
        <v>0</v>
      </c>
      <c r="EQ125" s="33">
        <f>IF(Plus!$F$10=Plus!$AK$3,MIN(ER124+EI125+EL125+EM125+EN125-EP125,FC125),0)</f>
        <v>0</v>
      </c>
      <c r="ER125" s="311">
        <f t="shared" si="285"/>
        <v>0</v>
      </c>
      <c r="ES125" s="340">
        <f>Plus!O166</f>
        <v>0</v>
      </c>
      <c r="ET125" s="74"/>
      <c r="EU125" s="74"/>
      <c r="EV125" s="416">
        <f t="shared" si="281"/>
        <v>0</v>
      </c>
      <c r="EY125" s="90">
        <f t="shared" si="227"/>
        <v>5</v>
      </c>
      <c r="EZ125" s="121">
        <f t="shared" si="269"/>
        <v>0</v>
      </c>
      <c r="FB125" s="149">
        <f t="shared" si="270"/>
        <v>0</v>
      </c>
      <c r="FC125" s="2179">
        <f t="shared" ca="1" si="228"/>
        <v>0</v>
      </c>
      <c r="FE125" s="120">
        <f t="shared" si="271"/>
        <v>0</v>
      </c>
      <c r="FF125" s="110">
        <f t="shared" si="229"/>
        <v>0</v>
      </c>
      <c r="FG125" s="110">
        <f t="shared" si="230"/>
        <v>0</v>
      </c>
      <c r="FH125" s="109">
        <f t="shared" si="231"/>
        <v>0</v>
      </c>
      <c r="FI125" s="109">
        <f t="shared" si="182"/>
        <v>0</v>
      </c>
      <c r="FJ125" s="113">
        <f t="shared" si="232"/>
        <v>0</v>
      </c>
      <c r="FL125" s="102">
        <f t="shared" si="233"/>
        <v>0</v>
      </c>
      <c r="FM125" s="211">
        <f t="shared" si="278"/>
        <v>101</v>
      </c>
      <c r="FN125" s="212">
        <f t="shared" si="234"/>
        <v>0</v>
      </c>
      <c r="FO125" s="212">
        <f t="shared" si="183"/>
        <v>0</v>
      </c>
      <c r="FP125" s="212">
        <f t="shared" si="300"/>
        <v>0</v>
      </c>
      <c r="FQ125" s="213">
        <f t="shared" si="184"/>
        <v>1000000</v>
      </c>
      <c r="FV125" s="359"/>
      <c r="FX125" s="308">
        <f t="shared" ca="1" si="185"/>
        <v>8</v>
      </c>
      <c r="FY125" s="309">
        <f t="shared" si="235"/>
        <v>0</v>
      </c>
      <c r="FZ125" s="268">
        <f t="shared" si="186"/>
        <v>0</v>
      </c>
      <c r="GA125" s="33">
        <f t="shared" si="236"/>
        <v>0</v>
      </c>
      <c r="GB125" s="33">
        <f t="shared" si="292"/>
        <v>0</v>
      </c>
      <c r="GC125" s="33">
        <f t="shared" si="293"/>
        <v>0</v>
      </c>
      <c r="GD125" s="33">
        <f>IF(GJ124&lt;0.01,0,IF(Plus!$F$22=Plus!$AN$4,0,IF(Plus!$F$22=Plus!$AN$3,GJ124*Plus!$F$23/1000,GJ124*VLOOKUP(Plus!$G$21,Plus!$AP$2:$AQ$5,2,0))))</f>
        <v>0</v>
      </c>
      <c r="GE125" s="33">
        <f>IF(GJ124&lt;0.01,0,IF(Plus!$F$24=Plus!$AO$3,0,IF(OR(Plus!$F$10=Plus!$AK$7,Plus!$F$10=Plus!$AK$13,Plus!$F$10=Plus!$AK$14),0,IF(OR(Plus!$F$10=Plus!$AK$10,Plus!$F$10=Plus!$AK$11),Plus!$G$13*Adm!$W$7,Plus!$G$13*Adm!$X$4))))</f>
        <v>0</v>
      </c>
      <c r="GF125" s="33">
        <f>IF(GJ124&lt;0.01,0,IF(OR(Plus!$F$10=Plus!$AK$7,Plus!$F$10=Plus!$AK$13),0,Plus!$BD$2*1.16))</f>
        <v>0</v>
      </c>
      <c r="GG125" s="33">
        <f>IF(GJ124&lt;0.01,0,IF(Plus!$AS$2&gt;0,GA125*Plus!$AS$3,0))</f>
        <v>0</v>
      </c>
      <c r="GH125" s="33">
        <f t="shared" si="237"/>
        <v>0</v>
      </c>
      <c r="GI125" s="33">
        <f>IF(Plus!$F$10=Plus!$AK$3,MIN(GJ124+GA125+GD125+GE125+GF125-GH125,GU125),0)</f>
        <v>0</v>
      </c>
      <c r="GJ125" s="311">
        <f t="shared" si="286"/>
        <v>0</v>
      </c>
      <c r="GK125" s="340">
        <f>Plus!O166</f>
        <v>0</v>
      </c>
      <c r="GL125" s="74"/>
      <c r="GM125" s="74"/>
      <c r="GN125" s="419">
        <f t="shared" si="283"/>
        <v>0</v>
      </c>
      <c r="GQ125" s="90">
        <f t="shared" si="238"/>
        <v>5</v>
      </c>
      <c r="GR125" s="121">
        <f t="shared" si="272"/>
        <v>0</v>
      </c>
      <c r="GT125" s="149">
        <f t="shared" si="273"/>
        <v>0</v>
      </c>
      <c r="GU125" s="2179">
        <f t="shared" ca="1" si="239"/>
        <v>0</v>
      </c>
      <c r="GW125" s="120">
        <f t="shared" si="274"/>
        <v>0</v>
      </c>
      <c r="GX125" s="110">
        <f t="shared" si="240"/>
        <v>0</v>
      </c>
      <c r="GY125" s="110">
        <f t="shared" si="241"/>
        <v>0</v>
      </c>
      <c r="GZ125" s="109">
        <f t="shared" si="242"/>
        <v>0</v>
      </c>
      <c r="HA125" s="109">
        <f t="shared" si="187"/>
        <v>0</v>
      </c>
      <c r="HB125" s="113">
        <f t="shared" si="243"/>
        <v>0</v>
      </c>
      <c r="HD125" s="102">
        <f t="shared" si="244"/>
        <v>0</v>
      </c>
      <c r="HE125" s="211">
        <f t="shared" si="279"/>
        <v>101</v>
      </c>
      <c r="HF125" s="212">
        <f t="shared" si="245"/>
        <v>0</v>
      </c>
      <c r="HG125" s="212">
        <f t="shared" si="188"/>
        <v>0</v>
      </c>
      <c r="HH125" s="212">
        <f t="shared" si="301"/>
        <v>0</v>
      </c>
      <c r="HI125" s="213">
        <f t="shared" si="189"/>
        <v>1000000</v>
      </c>
      <c r="HL125" s="182"/>
      <c r="HM125" s="26">
        <f t="shared" ca="1" si="190"/>
        <v>8</v>
      </c>
      <c r="HO125" s="268">
        <f t="shared" si="191"/>
        <v>0</v>
      </c>
      <c r="HP125" s="151">
        <f t="shared" ref="HP125:HP188" si="302">IF(HY124&lt;0.01,0,IF(HP124=$HT$10,HP124,IF(HP124-IE125&lt;=$HT$10,HP124-IE125,HP124-IE125)))</f>
        <v>0</v>
      </c>
      <c r="HQ125" s="123">
        <f t="shared" si="246"/>
        <v>0</v>
      </c>
      <c r="HR125" s="123">
        <f t="shared" si="247"/>
        <v>0</v>
      </c>
      <c r="HS125" s="123">
        <f t="shared" si="248"/>
        <v>0</v>
      </c>
      <c r="HT125" s="123">
        <f>IF(HY124&lt;0.01,0,IF(Adm!$GS$4=Adm!$GS$8,HY124*$HY$15,IF(Adm!$GS$12=Adm!$GS$13,0,HY124*Adm!$GV$4)))</f>
        <v>0</v>
      </c>
      <c r="HU125" s="123">
        <f>IF(HY124&lt;0.01,0,IF(Adm!$GS$5=Adm!$GS$8,Cal!$BO$108*$HY$16/1.16,IF(Adm!$GS$12=Adm!$GS$13,0,Cal!$BO$108*Adm!$GW$4/1.16)))</f>
        <v>0</v>
      </c>
      <c r="HV125" s="123">
        <f t="shared" si="249"/>
        <v>0</v>
      </c>
      <c r="HW125" s="123">
        <f t="shared" si="192"/>
        <v>0</v>
      </c>
      <c r="HX125" s="123">
        <f>IF(Adm!$GH$6="si",MIN(HY124+HQ125+HT125+HU125+HV125-HW125,IH125),0)</f>
        <v>0</v>
      </c>
      <c r="HY125" s="297">
        <f t="shared" si="250"/>
        <v>0</v>
      </c>
      <c r="HZ125" s="74"/>
      <c r="IA125" s="407">
        <f t="shared" si="251"/>
        <v>0</v>
      </c>
      <c r="IC125" s="90">
        <f t="shared" si="252"/>
        <v>5</v>
      </c>
      <c r="ID125" s="124">
        <f>IF(IC125=1,Cal!$BO$127,0)</f>
        <v>0</v>
      </c>
      <c r="IE125" s="178">
        <f>IF(IC125=1,Adm!$HI$4,0)</f>
        <v>0</v>
      </c>
      <c r="IG125" s="70">
        <f t="shared" si="275"/>
        <v>0</v>
      </c>
      <c r="IH125" s="2178">
        <f t="shared" ca="1" si="253"/>
        <v>0</v>
      </c>
      <c r="IK125" s="217"/>
      <c r="IL125" s="26">
        <f t="shared" ca="1" si="193"/>
        <v>8</v>
      </c>
      <c r="IN125" s="268">
        <f t="shared" si="194"/>
        <v>0</v>
      </c>
      <c r="IO125" s="151">
        <f t="shared" ref="IO125:IO188" si="303">IF(IX124&lt;0.01,0,IF(IO124=$HT$10,IO124,IF(IO124-JD125&lt;=$HT$10,IO124-JD125,IO124-JD125)))</f>
        <v>0</v>
      </c>
      <c r="IP125" s="123">
        <f t="shared" si="254"/>
        <v>0</v>
      </c>
      <c r="IQ125" s="123">
        <f t="shared" si="255"/>
        <v>0</v>
      </c>
      <c r="IR125" s="123">
        <f t="shared" si="256"/>
        <v>0</v>
      </c>
      <c r="IS125" s="123">
        <f>IF(IX124&lt;0.01,0,IF(Adm!$GS$4=Adm!$GS$8,IX124*$IX$15,IF(Adm!$GS$12=Adm!$GS$13,0,IX124*Adm!$GV$4)))</f>
        <v>0</v>
      </c>
      <c r="IT125" s="123"/>
      <c r="IU125" s="123">
        <f t="shared" si="257"/>
        <v>0</v>
      </c>
      <c r="IV125" s="123">
        <f t="shared" si="258"/>
        <v>0</v>
      </c>
      <c r="IW125" s="123"/>
      <c r="IX125" s="297">
        <f t="shared" si="259"/>
        <v>0</v>
      </c>
      <c r="IY125" s="74"/>
      <c r="IZ125" s="416">
        <f t="shared" si="260"/>
        <v>0</v>
      </c>
      <c r="JB125" s="90">
        <f t="shared" si="261"/>
        <v>5</v>
      </c>
      <c r="JC125" s="124">
        <f>IF(JB125=1,Cal!$BP$127,0)</f>
        <v>0</v>
      </c>
      <c r="JD125" s="178">
        <f>IF(JB125=1,Adm!$HI$4,0)</f>
        <v>0</v>
      </c>
    </row>
    <row r="126" spans="1:264">
      <c r="A126" s="26">
        <f t="shared" ca="1" si="162"/>
        <v>9</v>
      </c>
      <c r="C126" s="33">
        <f t="shared" si="163"/>
        <v>0</v>
      </c>
      <c r="D126" s="123">
        <f t="shared" si="195"/>
        <v>0</v>
      </c>
      <c r="E126" s="123">
        <f t="shared" si="287"/>
        <v>0</v>
      </c>
      <c r="F126" s="123">
        <f t="shared" si="295"/>
        <v>0</v>
      </c>
      <c r="G126" s="123">
        <f>IF(L125&lt;0.01,0,IF(Adm!$S$4=Adm!$S$8,L125*$L$15,L125*Adm!$V$4))</f>
        <v>0</v>
      </c>
      <c r="H126" s="123">
        <f>IF(L125&lt;0.01,0,IF(Adm!$S$5=Adm!$S$8,Adm!$AA$11*$L$16/1.16,IF(Adm!$B$4=Adm!$A$119,0,Adm!$AA$11*Adm!$X$4/1.16)))</f>
        <v>0</v>
      </c>
      <c r="I126" s="123">
        <f>IF(L125&lt;0.01,0,Cal!$AB$126/1.16)</f>
        <v>0</v>
      </c>
      <c r="J126" s="123">
        <f t="shared" si="164"/>
        <v>0</v>
      </c>
      <c r="K126" s="123">
        <f>IF(Adm!$G$4="si",MIN(L125+D126+G126+H126+I126-J126,V126),0)</f>
        <v>0</v>
      </c>
      <c r="L126" s="123">
        <f t="shared" si="196"/>
        <v>0</v>
      </c>
      <c r="M126" s="74"/>
      <c r="N126" s="74"/>
      <c r="O126" s="407">
        <f t="shared" si="197"/>
        <v>0</v>
      </c>
      <c r="R126" s="90">
        <f t="shared" si="198"/>
        <v>6</v>
      </c>
      <c r="S126" s="121">
        <f>IF(R126=1,Cal!$AB$127,0)</f>
        <v>0</v>
      </c>
      <c r="U126" s="70">
        <f t="shared" si="262"/>
        <v>0</v>
      </c>
      <c r="V126" s="2178">
        <f t="shared" ca="1" si="199"/>
        <v>0</v>
      </c>
      <c r="X126" s="398"/>
      <c r="Z126" s="268">
        <f t="shared" si="165"/>
        <v>0</v>
      </c>
      <c r="AA126" s="2176">
        <f t="shared" si="200"/>
        <v>0</v>
      </c>
      <c r="AB126" s="33">
        <f t="shared" si="201"/>
        <v>0</v>
      </c>
      <c r="AC126" s="33">
        <f t="shared" si="202"/>
        <v>0</v>
      </c>
      <c r="AD126" s="33">
        <f>IF(AI125&lt;0.01,0,IF(Adm!$S$4=Adm!$S$8,AI125*$AI$15,AI125*Adm!$V$4))</f>
        <v>0</v>
      </c>
      <c r="AE126" s="33"/>
      <c r="AF126" s="33"/>
      <c r="AG126" s="33">
        <f t="shared" si="166"/>
        <v>0</v>
      </c>
      <c r="AH126" s="33"/>
      <c r="AI126" s="401">
        <f t="shared" si="167"/>
        <v>0</v>
      </c>
      <c r="AK126" s="410">
        <f t="shared" si="168"/>
        <v>0</v>
      </c>
      <c r="AN126" s="90">
        <f t="shared" si="203"/>
        <v>6</v>
      </c>
      <c r="AO126" s="121">
        <f>IF(AN126=1,Cal!$AC$127,0)</f>
        <v>0</v>
      </c>
      <c r="AS126" s="200"/>
      <c r="AU126" s="268">
        <f t="shared" si="169"/>
        <v>0</v>
      </c>
      <c r="AV126" s="2177">
        <f t="shared" si="204"/>
        <v>0</v>
      </c>
      <c r="AW126" s="123">
        <f t="shared" si="170"/>
        <v>0</v>
      </c>
      <c r="AX126" s="123">
        <f t="shared" si="205"/>
        <v>0</v>
      </c>
      <c r="AY126" s="123">
        <f>IF(BC125&lt;0.01,0,IF(Adm!$S$4=Adm!$S$8,BC125*$BC$16,BC125*Adm!$V$4))</f>
        <v>0</v>
      </c>
      <c r="AZ126" s="123"/>
      <c r="BA126" s="123">
        <f>IF(BC125&lt;0.01,0,Adm!$Q$6)</f>
        <v>0</v>
      </c>
      <c r="BB126" s="123">
        <f t="shared" si="171"/>
        <v>0</v>
      </c>
      <c r="BC126" s="297">
        <f t="shared" si="206"/>
        <v>0</v>
      </c>
      <c r="BE126" s="425">
        <f t="shared" si="172"/>
        <v>0</v>
      </c>
      <c r="BH126" s="90">
        <f t="shared" si="207"/>
        <v>6</v>
      </c>
      <c r="BI126" s="121">
        <f>IF(BH126=1,Cal!$AD$127,0)</f>
        <v>0</v>
      </c>
      <c r="BM126" s="221"/>
      <c r="BO126" s="295">
        <f t="shared" ca="1" si="173"/>
        <v>9</v>
      </c>
      <c r="BP126" s="268">
        <f t="shared" si="174"/>
        <v>0</v>
      </c>
      <c r="BQ126" s="123">
        <f t="shared" si="208"/>
        <v>0</v>
      </c>
      <c r="BR126" s="123">
        <f t="shared" si="288"/>
        <v>0</v>
      </c>
      <c r="BS126" s="123">
        <f t="shared" si="296"/>
        <v>0</v>
      </c>
      <c r="BT126" s="123">
        <f>IF(BZ125&lt;0.01,0,IF(Plus!$F$22=Plus!$AN$4,BZ125*$BZ$15,IF(Plus!$F$22=Plus!$AN$3,BZ125*Plus!$F$23/1000,BZ125*VLOOKUP(Plus!$G$21,Plus!$AP$2:'Plus'!$AQ$5,2,0))))</f>
        <v>0</v>
      </c>
      <c r="BU126" s="123">
        <f>IF(BZ125&lt;0.01,0,IF(Plus!$F$24=Plus!$AO$3,Plus!$G$13*Plus!$AR$2/1.16,IF(Plus!$F$10=Plus!$AK$7,0,Plus!$G$13*Plus!$AR$2/1.16)))</f>
        <v>0</v>
      </c>
      <c r="BV126" s="123">
        <f>IF(BZ125&lt;0.01,0,Plus!$BD$2)</f>
        <v>0</v>
      </c>
      <c r="BW126" s="123"/>
      <c r="BX126" s="123">
        <f t="shared" si="175"/>
        <v>0</v>
      </c>
      <c r="BY126" s="123">
        <f>IF(Plus!$F$10=Plus!$AK$3,MIN(BZ125+BQ126+BT126+BU126+BV126-BX126,CJ126),0)</f>
        <v>0</v>
      </c>
      <c r="BZ126" s="297">
        <f t="shared" si="280"/>
        <v>0</v>
      </c>
      <c r="CA126" s="74"/>
      <c r="CB126" s="74"/>
      <c r="CC126" s="413">
        <f t="shared" si="209"/>
        <v>0</v>
      </c>
      <c r="CF126" s="90">
        <f t="shared" si="210"/>
        <v>6</v>
      </c>
      <c r="CG126" s="121">
        <f t="shared" si="263"/>
        <v>0</v>
      </c>
      <c r="CI126" s="70">
        <f t="shared" si="264"/>
        <v>0</v>
      </c>
      <c r="CJ126" s="2178">
        <f t="shared" ca="1" si="211"/>
        <v>0</v>
      </c>
      <c r="CL126" s="161"/>
      <c r="CN126" s="308">
        <f t="shared" ca="1" si="176"/>
        <v>9</v>
      </c>
      <c r="CO126" s="309">
        <f t="shared" si="212"/>
        <v>0</v>
      </c>
      <c r="CP126" s="268">
        <f t="shared" si="177"/>
        <v>0</v>
      </c>
      <c r="CQ126" s="123">
        <f t="shared" si="213"/>
        <v>0</v>
      </c>
      <c r="CR126" s="123">
        <f t="shared" si="289"/>
        <v>0</v>
      </c>
      <c r="CS126" s="123">
        <f t="shared" si="290"/>
        <v>0</v>
      </c>
      <c r="CT126" s="33">
        <f>IF(CZ125&lt;0.01,0,IF(Plus!$F$22=Plus!$AN$4,0,IF(Plus!$F$22=Plus!$AN$3,CZ125*Plus!$F$23/1000,CZ125*VLOOKUP(Plus!$G$21,Plus!$AP$2:'Plus'!$AQ$5,2,0))))</f>
        <v>0</v>
      </c>
      <c r="CU126" s="123">
        <f>IF(CZ125&lt;0.01,0,IF(Plus!$F$24=Plus!$AO$3,0,IF(OR(Plus!$F$10=Plus!$AK$7,Plus!$F$10=Plus!$AK$13),0,Plus!$G$13*Plus!$AR$2)))</f>
        <v>0</v>
      </c>
      <c r="CV126" s="123">
        <f>IF(CZ125&lt;0.01,0,IF(OR(Plus!$F$10=Plus!$AK$7,Plus!$F$10=Plus!$AK$13),0,Plus!$BD$2*1.16))</f>
        <v>0</v>
      </c>
      <c r="CW126" s="123">
        <f>IF(CZ125&lt;0.01,0,IF(Plus!$AS$2&gt;0,CQ126*Plus!$AS$3,0))</f>
        <v>0</v>
      </c>
      <c r="CX126" s="123">
        <f t="shared" si="214"/>
        <v>0</v>
      </c>
      <c r="CY126" s="123">
        <f>IF(Plus!$F$10=Plus!$AK$3,MIN(CZ125+CQ126+CT126+CU126+CV126-CX126,DK126),0)</f>
        <v>0</v>
      </c>
      <c r="CZ126" s="297">
        <f t="shared" si="294"/>
        <v>0</v>
      </c>
      <c r="DA126" s="306">
        <f>Plus!O167</f>
        <v>0</v>
      </c>
      <c r="DB126" s="74"/>
      <c r="DC126" s="74"/>
      <c r="DD126" s="407">
        <f t="shared" si="215"/>
        <v>0</v>
      </c>
      <c r="DG126" s="90">
        <f t="shared" si="216"/>
        <v>6</v>
      </c>
      <c r="DH126" s="121">
        <f t="shared" si="265"/>
        <v>0</v>
      </c>
      <c r="DJ126" s="149">
        <f t="shared" si="266"/>
        <v>0</v>
      </c>
      <c r="DK126" s="2179">
        <f t="shared" ca="1" si="217"/>
        <v>0</v>
      </c>
      <c r="DN126" s="120">
        <f t="shared" si="267"/>
        <v>0</v>
      </c>
      <c r="DO126" s="110">
        <f t="shared" si="218"/>
        <v>0</v>
      </c>
      <c r="DP126" s="110">
        <f t="shared" si="276"/>
        <v>0</v>
      </c>
      <c r="DQ126" s="109">
        <f t="shared" si="219"/>
        <v>0</v>
      </c>
      <c r="DR126" s="109">
        <f t="shared" si="220"/>
        <v>0</v>
      </c>
      <c r="DS126" s="113">
        <f t="shared" si="221"/>
        <v>0</v>
      </c>
      <c r="DU126" s="102">
        <f t="shared" si="222"/>
        <v>0</v>
      </c>
      <c r="DV126" s="211">
        <f t="shared" si="277"/>
        <v>102</v>
      </c>
      <c r="DW126" s="212">
        <f t="shared" si="223"/>
        <v>0</v>
      </c>
      <c r="DX126" s="212">
        <f t="shared" si="178"/>
        <v>0</v>
      </c>
      <c r="DY126" s="212">
        <f t="shared" si="268"/>
        <v>0</v>
      </c>
      <c r="DZ126" s="213">
        <f t="shared" si="179"/>
        <v>1000000</v>
      </c>
      <c r="ED126" s="182"/>
      <c r="EF126" s="308">
        <f t="shared" ca="1" si="180"/>
        <v>9</v>
      </c>
      <c r="EG126" s="309">
        <f t="shared" si="224"/>
        <v>0</v>
      </c>
      <c r="EH126" s="268">
        <f t="shared" si="181"/>
        <v>0</v>
      </c>
      <c r="EI126" s="33">
        <f t="shared" si="225"/>
        <v>0</v>
      </c>
      <c r="EJ126" s="33">
        <f t="shared" si="291"/>
        <v>0</v>
      </c>
      <c r="EK126" s="33">
        <f t="shared" si="297"/>
        <v>0</v>
      </c>
      <c r="EL126" s="33">
        <f>IF(ER125&lt;0.01,0,IF(Plus!$F$22=Plus!$AN$4,0,IF(Plus!$F$22=Plus!$AN$3,ER125*Plus!$F$23/1000,ER125*VLOOKUP(Plus!$G$21,Plus!$AP$2:'Plus'!$AQ$5,2,0))))</f>
        <v>0</v>
      </c>
      <c r="EM126" s="33">
        <f>IF(ER125&lt;0.01,0,IF(Plus!$F$24=Plus!$AO$3,0,IF(OR(Plus!$F$10=Plus!$AK$7,Plus!$F$10=Plus!$AK$13),0,Plus!$G$13*Plus!$AR$2)))</f>
        <v>0</v>
      </c>
      <c r="EN126" s="33">
        <f>IF(ER125&lt;0.01,0,IF(OR(Plus!$F$10=Plus!$AK$7,Plus!$F$10=Plus!$AK$13),0,Plus!$BD$2*1.16))</f>
        <v>0</v>
      </c>
      <c r="EO126" s="33">
        <f>IF(ER125&lt;0.01,0,IF(Plus!$AS$2&gt;0,EI126*Plus!$AS$3,0))</f>
        <v>0</v>
      </c>
      <c r="EP126" s="33">
        <f t="shared" si="226"/>
        <v>0</v>
      </c>
      <c r="EQ126" s="33">
        <f>IF(Plus!$F$10=Plus!$AK$3,MIN(ER125+EI126+EL126+EM126+EN126-EP126,FC126),0)</f>
        <v>0</v>
      </c>
      <c r="ER126" s="311">
        <f t="shared" si="285"/>
        <v>0</v>
      </c>
      <c r="ES126" s="340">
        <f>Plus!O167</f>
        <v>0</v>
      </c>
      <c r="ET126" s="74"/>
      <c r="EU126" s="74"/>
      <c r="EV126" s="416">
        <f t="shared" si="281"/>
        <v>0</v>
      </c>
      <c r="EY126" s="90">
        <f t="shared" si="227"/>
        <v>6</v>
      </c>
      <c r="EZ126" s="121">
        <f t="shared" si="269"/>
        <v>0</v>
      </c>
      <c r="FB126" s="149">
        <f t="shared" si="270"/>
        <v>0</v>
      </c>
      <c r="FC126" s="2179">
        <f t="shared" ca="1" si="228"/>
        <v>0</v>
      </c>
      <c r="FE126" s="120">
        <f t="shared" si="271"/>
        <v>0</v>
      </c>
      <c r="FF126" s="110">
        <f t="shared" si="229"/>
        <v>0</v>
      </c>
      <c r="FG126" s="110">
        <f t="shared" si="230"/>
        <v>0</v>
      </c>
      <c r="FH126" s="109">
        <f t="shared" si="231"/>
        <v>0</v>
      </c>
      <c r="FI126" s="109">
        <f t="shared" si="182"/>
        <v>0</v>
      </c>
      <c r="FJ126" s="113">
        <f t="shared" si="232"/>
        <v>0</v>
      </c>
      <c r="FL126" s="102">
        <f t="shared" si="233"/>
        <v>0</v>
      </c>
      <c r="FM126" s="211">
        <f t="shared" si="278"/>
        <v>102</v>
      </c>
      <c r="FN126" s="212">
        <f t="shared" si="234"/>
        <v>0</v>
      </c>
      <c r="FO126" s="212">
        <f t="shared" si="183"/>
        <v>0</v>
      </c>
      <c r="FP126" s="212">
        <f t="shared" si="300"/>
        <v>0</v>
      </c>
      <c r="FQ126" s="213">
        <f t="shared" si="184"/>
        <v>1000000</v>
      </c>
      <c r="FV126" s="359"/>
      <c r="FX126" s="308">
        <f t="shared" ca="1" si="185"/>
        <v>9</v>
      </c>
      <c r="FY126" s="309">
        <f t="shared" si="235"/>
        <v>0</v>
      </c>
      <c r="FZ126" s="268">
        <f t="shared" si="186"/>
        <v>0</v>
      </c>
      <c r="GA126" s="33">
        <f t="shared" si="236"/>
        <v>0</v>
      </c>
      <c r="GB126" s="33">
        <f t="shared" si="292"/>
        <v>0</v>
      </c>
      <c r="GC126" s="33">
        <f t="shared" si="293"/>
        <v>0</v>
      </c>
      <c r="GD126" s="33">
        <f>IF(GJ125&lt;0.01,0,IF(Plus!$F$22=Plus!$AN$4,0,IF(Plus!$F$22=Plus!$AN$3,GJ125*Plus!$F$23/1000,GJ125*VLOOKUP(Plus!$G$21,Plus!$AP$2:$AQ$5,2,0))))</f>
        <v>0</v>
      </c>
      <c r="GE126" s="33">
        <f>IF(GJ125&lt;0.01,0,IF(Plus!$F$24=Plus!$AO$3,0,IF(OR(Plus!$F$10=Plus!$AK$7,Plus!$F$10=Plus!$AK$13,Plus!$F$10=Plus!$AK$14),0,IF(OR(Plus!$F$10=Plus!$AK$10,Plus!$F$10=Plus!$AK$11),Plus!$G$13*Adm!$W$7,Plus!$G$13*Adm!$X$4))))</f>
        <v>0</v>
      </c>
      <c r="GF126" s="33">
        <f>IF(GJ125&lt;0.01,0,IF(OR(Plus!$F$10=Plus!$AK$7,Plus!$F$10=Plus!$AK$13),0,Plus!$BD$2*1.16))</f>
        <v>0</v>
      </c>
      <c r="GG126" s="33">
        <f>IF(GJ125&lt;0.01,0,IF(Plus!$AS$2&gt;0,GA126*Plus!$AS$3,0))</f>
        <v>0</v>
      </c>
      <c r="GH126" s="33">
        <f t="shared" si="237"/>
        <v>0</v>
      </c>
      <c r="GI126" s="33">
        <f>IF(Plus!$F$10=Plus!$AK$3,MIN(GJ125+GA126+GD126+GE126+GF126-GH126,GU126),0)</f>
        <v>0</v>
      </c>
      <c r="GJ126" s="311">
        <f t="shared" si="286"/>
        <v>0</v>
      </c>
      <c r="GK126" s="340">
        <f>Plus!O167</f>
        <v>0</v>
      </c>
      <c r="GL126" s="74"/>
      <c r="GM126" s="74"/>
      <c r="GN126" s="419">
        <f t="shared" si="283"/>
        <v>0</v>
      </c>
      <c r="GQ126" s="90">
        <f t="shared" si="238"/>
        <v>6</v>
      </c>
      <c r="GR126" s="121">
        <f t="shared" si="272"/>
        <v>0</v>
      </c>
      <c r="GT126" s="149">
        <f t="shared" si="273"/>
        <v>0</v>
      </c>
      <c r="GU126" s="2179">
        <f t="shared" ca="1" si="239"/>
        <v>0</v>
      </c>
      <c r="GW126" s="120">
        <f t="shared" si="274"/>
        <v>0</v>
      </c>
      <c r="GX126" s="110">
        <f t="shared" si="240"/>
        <v>0</v>
      </c>
      <c r="GY126" s="110">
        <f t="shared" si="241"/>
        <v>0</v>
      </c>
      <c r="GZ126" s="109">
        <f t="shared" si="242"/>
        <v>0</v>
      </c>
      <c r="HA126" s="109">
        <f t="shared" si="187"/>
        <v>0</v>
      </c>
      <c r="HB126" s="113">
        <f t="shared" si="243"/>
        <v>0</v>
      </c>
      <c r="HD126" s="102">
        <f t="shared" si="244"/>
        <v>0</v>
      </c>
      <c r="HE126" s="211">
        <f t="shared" si="279"/>
        <v>102</v>
      </c>
      <c r="HF126" s="212">
        <f t="shared" si="245"/>
        <v>0</v>
      </c>
      <c r="HG126" s="212">
        <f t="shared" si="188"/>
        <v>0</v>
      </c>
      <c r="HH126" s="212">
        <f t="shared" si="301"/>
        <v>0</v>
      </c>
      <c r="HI126" s="213">
        <f t="shared" si="189"/>
        <v>1000000</v>
      </c>
      <c r="HL126" s="182"/>
      <c r="HM126" s="26">
        <f t="shared" ca="1" si="190"/>
        <v>9</v>
      </c>
      <c r="HO126" s="268">
        <f t="shared" si="191"/>
        <v>0</v>
      </c>
      <c r="HP126" s="151">
        <f t="shared" si="302"/>
        <v>0</v>
      </c>
      <c r="HQ126" s="123">
        <f t="shared" si="246"/>
        <v>0</v>
      </c>
      <c r="HR126" s="123">
        <f t="shared" si="247"/>
        <v>0</v>
      </c>
      <c r="HS126" s="123">
        <f t="shared" si="248"/>
        <v>0</v>
      </c>
      <c r="HT126" s="123">
        <f>IF(HY125&lt;0.01,0,IF(Adm!$GS$4=Adm!$GS$8,HY125*$HY$15,IF(Adm!$GS$12=Adm!$GS$13,0,HY125*Adm!$GV$4)))</f>
        <v>0</v>
      </c>
      <c r="HU126" s="123">
        <f>IF(HY125&lt;0.01,0,IF(Adm!$GS$5=Adm!$GS$8,Cal!$BO$108*$HY$16/1.16,IF(Adm!$GS$12=Adm!$GS$13,0,Cal!$BO$108*Adm!$GW$4/1.16)))</f>
        <v>0</v>
      </c>
      <c r="HV126" s="123">
        <f t="shared" si="249"/>
        <v>0</v>
      </c>
      <c r="HW126" s="123">
        <f t="shared" si="192"/>
        <v>0</v>
      </c>
      <c r="HX126" s="123">
        <f>IF(Adm!$GH$6="si",MIN(HY125+HQ126+HT126+HU126+HV126-HW126,IH126),0)</f>
        <v>0</v>
      </c>
      <c r="HY126" s="297">
        <f t="shared" si="250"/>
        <v>0</v>
      </c>
      <c r="HZ126" s="74"/>
      <c r="IA126" s="407">
        <f t="shared" si="251"/>
        <v>0</v>
      </c>
      <c r="IC126" s="90">
        <f t="shared" si="252"/>
        <v>6</v>
      </c>
      <c r="ID126" s="124">
        <f>IF(IC126=1,Cal!$BO$127,0)</f>
        <v>0</v>
      </c>
      <c r="IE126" s="178">
        <f>IF(IC126=1,Adm!$HI$4,0)</f>
        <v>0</v>
      </c>
      <c r="IG126" s="70">
        <f t="shared" si="275"/>
        <v>0</v>
      </c>
      <c r="IH126" s="2178">
        <f t="shared" ca="1" si="253"/>
        <v>0</v>
      </c>
      <c r="IK126" s="217"/>
      <c r="IL126" s="26">
        <f t="shared" ca="1" si="193"/>
        <v>9</v>
      </c>
      <c r="IN126" s="268">
        <f t="shared" si="194"/>
        <v>0</v>
      </c>
      <c r="IO126" s="151">
        <f t="shared" si="303"/>
        <v>0</v>
      </c>
      <c r="IP126" s="123">
        <f t="shared" si="254"/>
        <v>0</v>
      </c>
      <c r="IQ126" s="123">
        <f t="shared" si="255"/>
        <v>0</v>
      </c>
      <c r="IR126" s="123">
        <f t="shared" si="256"/>
        <v>0</v>
      </c>
      <c r="IS126" s="123">
        <f>IF(IX125&lt;0.01,0,IF(Adm!$GS$4=Adm!$GS$8,IX125*$IX$15,IF(Adm!$GS$12=Adm!$GS$13,0,IX125*Adm!$GV$4)))</f>
        <v>0</v>
      </c>
      <c r="IT126" s="123"/>
      <c r="IU126" s="123">
        <f t="shared" si="257"/>
        <v>0</v>
      </c>
      <c r="IV126" s="123">
        <f t="shared" si="258"/>
        <v>0</v>
      </c>
      <c r="IW126" s="123"/>
      <c r="IX126" s="297">
        <f t="shared" si="259"/>
        <v>0</v>
      </c>
      <c r="IY126" s="74"/>
      <c r="IZ126" s="416">
        <f t="shared" si="260"/>
        <v>0</v>
      </c>
      <c r="JB126" s="90">
        <f t="shared" si="261"/>
        <v>6</v>
      </c>
      <c r="JC126" s="124">
        <f>IF(JB126=1,Cal!$BP$127,0)</f>
        <v>0</v>
      </c>
      <c r="JD126" s="178">
        <f>IF(JB126=1,Adm!$HI$4,0)</f>
        <v>0</v>
      </c>
    </row>
    <row r="127" spans="1:264">
      <c r="A127" s="26">
        <f t="shared" ca="1" si="162"/>
        <v>10</v>
      </c>
      <c r="C127" s="33">
        <f t="shared" si="163"/>
        <v>0</v>
      </c>
      <c r="D127" s="123">
        <f t="shared" si="195"/>
        <v>0</v>
      </c>
      <c r="E127" s="123">
        <f t="shared" si="287"/>
        <v>0</v>
      </c>
      <c r="F127" s="123">
        <f t="shared" si="295"/>
        <v>0</v>
      </c>
      <c r="G127" s="123">
        <f>IF(L126&lt;0.01,0,IF(Adm!$S$4=Adm!$S$8,L126*$L$15,L126*Adm!$V$4))</f>
        <v>0</v>
      </c>
      <c r="H127" s="123">
        <f>IF(L126&lt;0.01,0,IF(Adm!$S$5=Adm!$S$8,Adm!$AA$11*$L$16/1.16,IF(Adm!$B$4=Adm!$A$119,0,Adm!$AA$11*Adm!$X$4/1.16)))</f>
        <v>0</v>
      </c>
      <c r="I127" s="123">
        <f>IF(L126&lt;0.01,0,Cal!$AB$126/1.16)</f>
        <v>0</v>
      </c>
      <c r="J127" s="123">
        <f t="shared" si="164"/>
        <v>0</v>
      </c>
      <c r="K127" s="123">
        <f>IF(Adm!$G$4="si",MIN(L126+D127+G127+H127+I127-J127,V127),0)</f>
        <v>0</v>
      </c>
      <c r="L127" s="123">
        <f t="shared" si="196"/>
        <v>0</v>
      </c>
      <c r="M127" s="74"/>
      <c r="N127" s="74"/>
      <c r="O127" s="407">
        <f t="shared" si="197"/>
        <v>0</v>
      </c>
      <c r="R127" s="90">
        <f t="shared" si="198"/>
        <v>7</v>
      </c>
      <c r="S127" s="121">
        <f>IF(R127=1,Cal!$AB$127,0)</f>
        <v>0</v>
      </c>
      <c r="U127" s="70">
        <f t="shared" si="262"/>
        <v>0</v>
      </c>
      <c r="V127" s="2178">
        <f t="shared" ca="1" si="199"/>
        <v>0</v>
      </c>
      <c r="X127" s="398"/>
      <c r="Z127" s="268">
        <f t="shared" si="165"/>
        <v>0</v>
      </c>
      <c r="AA127" s="2176">
        <f t="shared" si="200"/>
        <v>0</v>
      </c>
      <c r="AB127" s="33">
        <f t="shared" si="201"/>
        <v>0</v>
      </c>
      <c r="AC127" s="33">
        <f t="shared" si="202"/>
        <v>0</v>
      </c>
      <c r="AD127" s="33">
        <f>IF(AI126&lt;0.01,0,IF(Adm!$S$4=Adm!$S$8,AI126*$AI$15,AI126*Adm!$V$4))</f>
        <v>0</v>
      </c>
      <c r="AE127" s="33"/>
      <c r="AF127" s="33"/>
      <c r="AG127" s="33">
        <f t="shared" si="166"/>
        <v>0</v>
      </c>
      <c r="AH127" s="33"/>
      <c r="AI127" s="401">
        <f t="shared" si="167"/>
        <v>0</v>
      </c>
      <c r="AK127" s="410">
        <f t="shared" si="168"/>
        <v>0</v>
      </c>
      <c r="AN127" s="90">
        <f t="shared" si="203"/>
        <v>7</v>
      </c>
      <c r="AO127" s="121">
        <f>IF(AN127=1,Cal!$AC$127,0)</f>
        <v>0</v>
      </c>
      <c r="AS127" s="200"/>
      <c r="AU127" s="268">
        <f t="shared" si="169"/>
        <v>0</v>
      </c>
      <c r="AV127" s="2177">
        <f t="shared" si="204"/>
        <v>0</v>
      </c>
      <c r="AW127" s="123">
        <f t="shared" si="170"/>
        <v>0</v>
      </c>
      <c r="AX127" s="123">
        <f t="shared" si="205"/>
        <v>0</v>
      </c>
      <c r="AY127" s="123">
        <f>IF(BC126&lt;0.01,0,IF(Adm!$S$4=Adm!$S$8,BC126*$BC$16,BC126*Adm!$V$4))</f>
        <v>0</v>
      </c>
      <c r="AZ127" s="123"/>
      <c r="BA127" s="123">
        <f>IF(BC126&lt;0.01,0,Adm!$Q$6)</f>
        <v>0</v>
      </c>
      <c r="BB127" s="123">
        <f t="shared" si="171"/>
        <v>0</v>
      </c>
      <c r="BC127" s="297">
        <f t="shared" si="206"/>
        <v>0</v>
      </c>
      <c r="BE127" s="425">
        <f t="shared" si="172"/>
        <v>0</v>
      </c>
      <c r="BH127" s="90">
        <f t="shared" si="207"/>
        <v>7</v>
      </c>
      <c r="BI127" s="121">
        <f>IF(BH127=1,Cal!$AD$127,0)</f>
        <v>0</v>
      </c>
      <c r="BM127" s="221"/>
      <c r="BO127" s="295">
        <f t="shared" ca="1" si="173"/>
        <v>10</v>
      </c>
      <c r="BP127" s="268">
        <f t="shared" si="174"/>
        <v>0</v>
      </c>
      <c r="BQ127" s="123">
        <f t="shared" si="208"/>
        <v>0</v>
      </c>
      <c r="BR127" s="123">
        <f t="shared" si="288"/>
        <v>0</v>
      </c>
      <c r="BS127" s="123">
        <f t="shared" si="296"/>
        <v>0</v>
      </c>
      <c r="BT127" s="123">
        <f>IF(BZ126&lt;0.01,0,IF(Plus!$F$22=Plus!$AN$4,BZ126*$BZ$15,IF(Plus!$F$22=Plus!$AN$3,BZ126*Plus!$F$23/1000,BZ126*VLOOKUP(Plus!$G$21,Plus!$AP$2:'Plus'!$AQ$5,2,0))))</f>
        <v>0</v>
      </c>
      <c r="BU127" s="123">
        <f>IF(BZ126&lt;0.01,0,IF(Plus!$F$24=Plus!$AO$3,Plus!$G$13*Plus!$AR$2/1.16,IF(Plus!$F$10=Plus!$AK$7,0,Plus!$G$13*Plus!$AR$2/1.16)))</f>
        <v>0</v>
      </c>
      <c r="BV127" s="123">
        <f>IF(BZ126&lt;0.01,0,Plus!$BD$2)</f>
        <v>0</v>
      </c>
      <c r="BW127" s="123"/>
      <c r="BX127" s="123">
        <f t="shared" si="175"/>
        <v>0</v>
      </c>
      <c r="BY127" s="123">
        <f>IF(Plus!$F$10=Plus!$AK$3,MIN(BZ126+BQ127+BT127+BU127+BV127-BX127,CJ127),0)</f>
        <v>0</v>
      </c>
      <c r="BZ127" s="297">
        <f t="shared" si="280"/>
        <v>0</v>
      </c>
      <c r="CA127" s="74"/>
      <c r="CB127" s="74"/>
      <c r="CC127" s="413">
        <f t="shared" si="209"/>
        <v>0</v>
      </c>
      <c r="CF127" s="90">
        <f t="shared" si="210"/>
        <v>7</v>
      </c>
      <c r="CG127" s="121">
        <f t="shared" si="263"/>
        <v>0</v>
      </c>
      <c r="CI127" s="70">
        <f t="shared" si="264"/>
        <v>0</v>
      </c>
      <c r="CJ127" s="2178">
        <f t="shared" ca="1" si="211"/>
        <v>0</v>
      </c>
      <c r="CL127" s="161"/>
      <c r="CN127" s="308">
        <f t="shared" ca="1" si="176"/>
        <v>10</v>
      </c>
      <c r="CO127" s="309">
        <f t="shared" si="212"/>
        <v>0</v>
      </c>
      <c r="CP127" s="268">
        <f t="shared" si="177"/>
        <v>0</v>
      </c>
      <c r="CQ127" s="123">
        <f t="shared" si="213"/>
        <v>0</v>
      </c>
      <c r="CR127" s="123">
        <f t="shared" si="289"/>
        <v>0</v>
      </c>
      <c r="CS127" s="123">
        <f t="shared" si="290"/>
        <v>0</v>
      </c>
      <c r="CT127" s="33">
        <f>IF(CZ126&lt;0.01,0,IF(Plus!$F$22=Plus!$AN$4,0,IF(Plus!$F$22=Plus!$AN$3,CZ126*Plus!$F$23/1000,CZ126*VLOOKUP(Plus!$G$21,Plus!$AP$2:'Plus'!$AQ$5,2,0))))</f>
        <v>0</v>
      </c>
      <c r="CU127" s="123">
        <f>IF(CZ126&lt;0.01,0,IF(Plus!$F$24=Plus!$AO$3,0,IF(OR(Plus!$F$10=Plus!$AK$7,Plus!$F$10=Plus!$AK$13),0,Plus!$G$13*Plus!$AR$2)))</f>
        <v>0</v>
      </c>
      <c r="CV127" s="123">
        <f>IF(CZ126&lt;0.01,0,IF(OR(Plus!$F$10=Plus!$AK$7,Plus!$F$10=Plus!$AK$13),0,Plus!$BD$2*1.16))</f>
        <v>0</v>
      </c>
      <c r="CW127" s="123">
        <f>IF(CZ126&lt;0.01,0,IF(Plus!$AS$2&gt;0,CQ127*Plus!$AS$3,0))</f>
        <v>0</v>
      </c>
      <c r="CX127" s="123">
        <f t="shared" si="214"/>
        <v>0</v>
      </c>
      <c r="CY127" s="123">
        <f>IF(Plus!$F$10=Plus!$AK$3,MIN(CZ126+CQ127+CT127+CU127+CV127-CX127,DK127),0)</f>
        <v>0</v>
      </c>
      <c r="CZ127" s="297">
        <f t="shared" si="294"/>
        <v>0</v>
      </c>
      <c r="DA127" s="306">
        <f>Plus!O168</f>
        <v>0</v>
      </c>
      <c r="DB127" s="74"/>
      <c r="DC127" s="74"/>
      <c r="DD127" s="407">
        <f t="shared" si="215"/>
        <v>0</v>
      </c>
      <c r="DG127" s="90">
        <f t="shared" si="216"/>
        <v>7</v>
      </c>
      <c r="DH127" s="121">
        <f t="shared" si="265"/>
        <v>0</v>
      </c>
      <c r="DJ127" s="149">
        <f t="shared" si="266"/>
        <v>0</v>
      </c>
      <c r="DK127" s="2179">
        <f t="shared" ca="1" si="217"/>
        <v>0</v>
      </c>
      <c r="DN127" s="120">
        <f t="shared" si="267"/>
        <v>0</v>
      </c>
      <c r="DO127" s="110">
        <f t="shared" si="218"/>
        <v>0</v>
      </c>
      <c r="DP127" s="110">
        <f t="shared" si="276"/>
        <v>0</v>
      </c>
      <c r="DQ127" s="109">
        <f t="shared" si="219"/>
        <v>0</v>
      </c>
      <c r="DR127" s="109">
        <f t="shared" si="220"/>
        <v>0</v>
      </c>
      <c r="DS127" s="113">
        <f t="shared" si="221"/>
        <v>0</v>
      </c>
      <c r="DU127" s="102">
        <f t="shared" si="222"/>
        <v>0</v>
      </c>
      <c r="DV127" s="211">
        <f t="shared" si="277"/>
        <v>103</v>
      </c>
      <c r="DW127" s="212">
        <f t="shared" si="223"/>
        <v>0</v>
      </c>
      <c r="DX127" s="212">
        <f t="shared" si="178"/>
        <v>0</v>
      </c>
      <c r="DY127" s="212">
        <f t="shared" si="268"/>
        <v>0</v>
      </c>
      <c r="DZ127" s="213">
        <f t="shared" si="179"/>
        <v>1000000</v>
      </c>
      <c r="ED127" s="182"/>
      <c r="EF127" s="308">
        <f t="shared" ca="1" si="180"/>
        <v>10</v>
      </c>
      <c r="EG127" s="309">
        <f t="shared" si="224"/>
        <v>0</v>
      </c>
      <c r="EH127" s="268">
        <f t="shared" si="181"/>
        <v>0</v>
      </c>
      <c r="EI127" s="33">
        <f t="shared" si="225"/>
        <v>0</v>
      </c>
      <c r="EJ127" s="33">
        <f t="shared" si="291"/>
        <v>0</v>
      </c>
      <c r="EK127" s="33">
        <f t="shared" si="297"/>
        <v>0</v>
      </c>
      <c r="EL127" s="33">
        <f>IF(ER126&lt;0.01,0,IF(Plus!$F$22=Plus!$AN$4,0,IF(Plus!$F$22=Plus!$AN$3,ER126*Plus!$F$23/1000,ER126*VLOOKUP(Plus!$G$21,Plus!$AP$2:'Plus'!$AQ$5,2,0))))</f>
        <v>0</v>
      </c>
      <c r="EM127" s="33">
        <f>IF(ER126&lt;0.01,0,IF(Plus!$F$24=Plus!$AO$3,0,IF(OR(Plus!$F$10=Plus!$AK$7,Plus!$F$10=Plus!$AK$13),0,Plus!$G$13*Plus!$AR$2)))</f>
        <v>0</v>
      </c>
      <c r="EN127" s="33">
        <f>IF(ER126&lt;0.01,0,IF(OR(Plus!$F$10=Plus!$AK$7,Plus!$F$10=Plus!$AK$13),0,Plus!$BD$2*1.16))</f>
        <v>0</v>
      </c>
      <c r="EO127" s="33">
        <f>IF(ER126&lt;0.01,0,IF(Plus!$AS$2&gt;0,EI127*Plus!$AS$3,0))</f>
        <v>0</v>
      </c>
      <c r="EP127" s="33">
        <f t="shared" si="226"/>
        <v>0</v>
      </c>
      <c r="EQ127" s="33">
        <f>IF(Plus!$F$10=Plus!$AK$3,MIN(ER126+EI127+EL127+EM127+EN127-EP127,FC127),0)</f>
        <v>0</v>
      </c>
      <c r="ER127" s="311">
        <f t="shared" si="285"/>
        <v>0</v>
      </c>
      <c r="ES127" s="340">
        <f>Plus!O168</f>
        <v>0</v>
      </c>
      <c r="ET127" s="74"/>
      <c r="EU127" s="74"/>
      <c r="EV127" s="416">
        <f t="shared" si="281"/>
        <v>0</v>
      </c>
      <c r="EY127" s="90">
        <f t="shared" si="227"/>
        <v>7</v>
      </c>
      <c r="EZ127" s="121">
        <f t="shared" si="269"/>
        <v>0</v>
      </c>
      <c r="FB127" s="149">
        <f t="shared" si="270"/>
        <v>0</v>
      </c>
      <c r="FC127" s="2179">
        <f t="shared" ca="1" si="228"/>
        <v>0</v>
      </c>
      <c r="FE127" s="120">
        <f t="shared" si="271"/>
        <v>0</v>
      </c>
      <c r="FF127" s="110">
        <f t="shared" si="229"/>
        <v>0</v>
      </c>
      <c r="FG127" s="110">
        <f t="shared" si="230"/>
        <v>0</v>
      </c>
      <c r="FH127" s="109">
        <f t="shared" si="231"/>
        <v>0</v>
      </c>
      <c r="FI127" s="109">
        <f t="shared" si="182"/>
        <v>0</v>
      </c>
      <c r="FJ127" s="113">
        <f t="shared" si="232"/>
        <v>0</v>
      </c>
      <c r="FL127" s="102">
        <f t="shared" si="233"/>
        <v>0</v>
      </c>
      <c r="FM127" s="211">
        <f t="shared" si="278"/>
        <v>103</v>
      </c>
      <c r="FN127" s="212">
        <f t="shared" si="234"/>
        <v>0</v>
      </c>
      <c r="FO127" s="212">
        <f t="shared" si="183"/>
        <v>0</v>
      </c>
      <c r="FP127" s="212">
        <f t="shared" si="300"/>
        <v>0</v>
      </c>
      <c r="FQ127" s="213">
        <f t="shared" si="184"/>
        <v>1000000</v>
      </c>
      <c r="FV127" s="359"/>
      <c r="FX127" s="308">
        <f t="shared" ca="1" si="185"/>
        <v>10</v>
      </c>
      <c r="FY127" s="309">
        <f t="shared" si="235"/>
        <v>0</v>
      </c>
      <c r="FZ127" s="268">
        <f t="shared" si="186"/>
        <v>0</v>
      </c>
      <c r="GA127" s="33">
        <f t="shared" si="236"/>
        <v>0</v>
      </c>
      <c r="GB127" s="33">
        <f t="shared" si="292"/>
        <v>0</v>
      </c>
      <c r="GC127" s="33">
        <f t="shared" si="293"/>
        <v>0</v>
      </c>
      <c r="GD127" s="33">
        <f>IF(GJ126&lt;0.01,0,IF(Plus!$F$22=Plus!$AN$4,0,IF(Plus!$F$22=Plus!$AN$3,GJ126*Plus!$F$23/1000,GJ126*VLOOKUP(Plus!$G$21,Plus!$AP$2:$AQ$5,2,0))))</f>
        <v>0</v>
      </c>
      <c r="GE127" s="33">
        <f>IF(GJ126&lt;0.01,0,IF(Plus!$F$24=Plus!$AO$3,0,IF(OR(Plus!$F$10=Plus!$AK$7,Plus!$F$10=Plus!$AK$13,Plus!$F$10=Plus!$AK$14),0,IF(OR(Plus!$F$10=Plus!$AK$10,Plus!$F$10=Plus!$AK$11),Plus!$G$13*Adm!$W$7,Plus!$G$13*Adm!$X$4))))</f>
        <v>0</v>
      </c>
      <c r="GF127" s="33">
        <f>IF(GJ126&lt;0.01,0,IF(OR(Plus!$F$10=Plus!$AK$7,Plus!$F$10=Plus!$AK$13),0,Plus!$BD$2*1.16))</f>
        <v>0</v>
      </c>
      <c r="GG127" s="33">
        <f>IF(GJ126&lt;0.01,0,IF(Plus!$AS$2&gt;0,GA127*Plus!$AS$3,0))</f>
        <v>0</v>
      </c>
      <c r="GH127" s="33">
        <f t="shared" si="237"/>
        <v>0</v>
      </c>
      <c r="GI127" s="33">
        <f>IF(Plus!$F$10=Plus!$AK$3,MIN(GJ126+GA127+GD127+GE127+GF127-GH127,GU127),0)</f>
        <v>0</v>
      </c>
      <c r="GJ127" s="311">
        <f t="shared" si="286"/>
        <v>0</v>
      </c>
      <c r="GK127" s="340">
        <f>Plus!O168</f>
        <v>0</v>
      </c>
      <c r="GL127" s="74"/>
      <c r="GM127" s="74"/>
      <c r="GN127" s="419">
        <f t="shared" si="283"/>
        <v>0</v>
      </c>
      <c r="GQ127" s="90">
        <f t="shared" si="238"/>
        <v>7</v>
      </c>
      <c r="GR127" s="121">
        <f t="shared" si="272"/>
        <v>0</v>
      </c>
      <c r="GT127" s="149">
        <f t="shared" si="273"/>
        <v>0</v>
      </c>
      <c r="GU127" s="2179">
        <f t="shared" ca="1" si="239"/>
        <v>0</v>
      </c>
      <c r="GW127" s="120">
        <f t="shared" si="274"/>
        <v>0</v>
      </c>
      <c r="GX127" s="110">
        <f t="shared" si="240"/>
        <v>0</v>
      </c>
      <c r="GY127" s="110">
        <f t="shared" si="241"/>
        <v>0</v>
      </c>
      <c r="GZ127" s="109">
        <f t="shared" si="242"/>
        <v>0</v>
      </c>
      <c r="HA127" s="109">
        <f t="shared" si="187"/>
        <v>0</v>
      </c>
      <c r="HB127" s="113">
        <f t="shared" si="243"/>
        <v>0</v>
      </c>
      <c r="HD127" s="102">
        <f t="shared" si="244"/>
        <v>0</v>
      </c>
      <c r="HE127" s="211">
        <f t="shared" si="279"/>
        <v>103</v>
      </c>
      <c r="HF127" s="212">
        <f t="shared" si="245"/>
        <v>0</v>
      </c>
      <c r="HG127" s="212">
        <f t="shared" si="188"/>
        <v>0</v>
      </c>
      <c r="HH127" s="212">
        <f t="shared" si="301"/>
        <v>0</v>
      </c>
      <c r="HI127" s="213">
        <f t="shared" si="189"/>
        <v>1000000</v>
      </c>
      <c r="HL127" s="182"/>
      <c r="HM127" s="26">
        <f t="shared" ca="1" si="190"/>
        <v>10</v>
      </c>
      <c r="HO127" s="268">
        <f t="shared" si="191"/>
        <v>0</v>
      </c>
      <c r="HP127" s="151">
        <f t="shared" si="302"/>
        <v>0</v>
      </c>
      <c r="HQ127" s="123">
        <f t="shared" si="246"/>
        <v>0</v>
      </c>
      <c r="HR127" s="123">
        <f t="shared" si="247"/>
        <v>0</v>
      </c>
      <c r="HS127" s="123">
        <f t="shared" si="248"/>
        <v>0</v>
      </c>
      <c r="HT127" s="123">
        <f>IF(HY126&lt;0.01,0,IF(Adm!$GS$4=Adm!$GS$8,HY126*$HY$15,IF(Adm!$GS$12=Adm!$GS$13,0,HY126*Adm!$GV$4)))</f>
        <v>0</v>
      </c>
      <c r="HU127" s="123">
        <f>IF(HY126&lt;0.01,0,IF(Adm!$GS$5=Adm!$GS$8,Cal!$BO$108*$HY$16/1.16,IF(Adm!$GS$12=Adm!$GS$13,0,Cal!$BO$108*Adm!$GW$4/1.16)))</f>
        <v>0</v>
      </c>
      <c r="HV127" s="123">
        <f t="shared" si="249"/>
        <v>0</v>
      </c>
      <c r="HW127" s="123">
        <f t="shared" si="192"/>
        <v>0</v>
      </c>
      <c r="HX127" s="123">
        <f>IF(Adm!$GH$6="si",MIN(HY126+HQ127+HT127+HU127+HV127-HW127,IH127),0)</f>
        <v>0</v>
      </c>
      <c r="HY127" s="297">
        <f t="shared" si="250"/>
        <v>0</v>
      </c>
      <c r="HZ127" s="74"/>
      <c r="IA127" s="407">
        <f t="shared" si="251"/>
        <v>0</v>
      </c>
      <c r="IC127" s="90">
        <f t="shared" si="252"/>
        <v>7</v>
      </c>
      <c r="ID127" s="124">
        <f>IF(IC127=1,Cal!$BO$127,0)</f>
        <v>0</v>
      </c>
      <c r="IE127" s="178">
        <f>IF(IC127=1,Adm!$HI$4,0)</f>
        <v>0</v>
      </c>
      <c r="IG127" s="70">
        <f t="shared" si="275"/>
        <v>0</v>
      </c>
      <c r="IH127" s="2178">
        <f t="shared" ca="1" si="253"/>
        <v>0</v>
      </c>
      <c r="IK127" s="217"/>
      <c r="IL127" s="26">
        <f t="shared" ca="1" si="193"/>
        <v>10</v>
      </c>
      <c r="IN127" s="268">
        <f t="shared" si="194"/>
        <v>0</v>
      </c>
      <c r="IO127" s="151">
        <f t="shared" si="303"/>
        <v>0</v>
      </c>
      <c r="IP127" s="123">
        <f t="shared" si="254"/>
        <v>0</v>
      </c>
      <c r="IQ127" s="123">
        <f t="shared" si="255"/>
        <v>0</v>
      </c>
      <c r="IR127" s="123">
        <f t="shared" si="256"/>
        <v>0</v>
      </c>
      <c r="IS127" s="123">
        <f>IF(IX126&lt;0.01,0,IF(Adm!$GS$4=Adm!$GS$8,IX126*$IX$15,IF(Adm!$GS$12=Adm!$GS$13,0,IX126*Adm!$GV$4)))</f>
        <v>0</v>
      </c>
      <c r="IT127" s="123"/>
      <c r="IU127" s="123">
        <f t="shared" si="257"/>
        <v>0</v>
      </c>
      <c r="IV127" s="123">
        <f t="shared" si="258"/>
        <v>0</v>
      </c>
      <c r="IW127" s="123"/>
      <c r="IX127" s="297">
        <f t="shared" si="259"/>
        <v>0</v>
      </c>
      <c r="IY127" s="74"/>
      <c r="IZ127" s="416">
        <f t="shared" si="260"/>
        <v>0</v>
      </c>
      <c r="JB127" s="90">
        <f t="shared" si="261"/>
        <v>7</v>
      </c>
      <c r="JC127" s="124">
        <f>IF(JB127=1,Cal!$BP$127,0)</f>
        <v>0</v>
      </c>
      <c r="JD127" s="178">
        <f>IF(JB127=1,Adm!$HI$4,0)</f>
        <v>0</v>
      </c>
    </row>
    <row r="128" spans="1:264">
      <c r="A128" s="26">
        <f t="shared" ca="1" si="162"/>
        <v>11</v>
      </c>
      <c r="C128" s="33">
        <f t="shared" si="163"/>
        <v>0</v>
      </c>
      <c r="D128" s="123">
        <f t="shared" si="195"/>
        <v>0</v>
      </c>
      <c r="E128" s="123">
        <f t="shared" si="287"/>
        <v>0</v>
      </c>
      <c r="F128" s="123">
        <f t="shared" si="295"/>
        <v>0</v>
      </c>
      <c r="G128" s="123">
        <f>IF(L127&lt;0.01,0,IF(Adm!$S$4=Adm!$S$8,L127*$L$15,L127*Adm!$V$4))</f>
        <v>0</v>
      </c>
      <c r="H128" s="123">
        <f>IF(L127&lt;0.01,0,IF(Adm!$S$5=Adm!$S$8,Adm!$AA$11*$L$16/1.16,IF(Adm!$B$4=Adm!$A$119,0,Adm!$AA$11*Adm!$X$4/1.16)))</f>
        <v>0</v>
      </c>
      <c r="I128" s="123">
        <f>IF(L127&lt;0.01,0,Cal!$AB$126/1.16)</f>
        <v>0</v>
      </c>
      <c r="J128" s="123">
        <f t="shared" si="164"/>
        <v>0</v>
      </c>
      <c r="K128" s="123">
        <f>IF(Adm!$G$4="si",MIN(L127+D128+G128+H128+I128-J128,V128),0)</f>
        <v>0</v>
      </c>
      <c r="L128" s="123">
        <f t="shared" si="196"/>
        <v>0</v>
      </c>
      <c r="M128" s="74"/>
      <c r="N128" s="74"/>
      <c r="O128" s="407">
        <f t="shared" si="197"/>
        <v>0</v>
      </c>
      <c r="R128" s="90">
        <f t="shared" si="198"/>
        <v>8</v>
      </c>
      <c r="S128" s="121">
        <f>IF(R128=1,Cal!$AB$127,0)</f>
        <v>0</v>
      </c>
      <c r="U128" s="70">
        <f t="shared" si="262"/>
        <v>0</v>
      </c>
      <c r="V128" s="2178">
        <f t="shared" ca="1" si="199"/>
        <v>0</v>
      </c>
      <c r="X128" s="398"/>
      <c r="Z128" s="268">
        <f t="shared" si="165"/>
        <v>0</v>
      </c>
      <c r="AA128" s="2176">
        <f t="shared" si="200"/>
        <v>0</v>
      </c>
      <c r="AB128" s="33">
        <f t="shared" si="201"/>
        <v>0</v>
      </c>
      <c r="AC128" s="33">
        <f t="shared" si="202"/>
        <v>0</v>
      </c>
      <c r="AD128" s="33">
        <f>IF(AI127&lt;0.01,0,IF(Adm!$S$4=Adm!$S$8,AI127*$AI$15,AI127*Adm!$V$4))</f>
        <v>0</v>
      </c>
      <c r="AE128" s="33"/>
      <c r="AF128" s="33"/>
      <c r="AG128" s="33">
        <f t="shared" si="166"/>
        <v>0</v>
      </c>
      <c r="AH128" s="33"/>
      <c r="AI128" s="401">
        <f t="shared" si="167"/>
        <v>0</v>
      </c>
      <c r="AK128" s="410">
        <f t="shared" si="168"/>
        <v>0</v>
      </c>
      <c r="AN128" s="90">
        <f t="shared" si="203"/>
        <v>8</v>
      </c>
      <c r="AO128" s="121">
        <f>IF(AN128=1,Cal!$AC$127,0)</f>
        <v>0</v>
      </c>
      <c r="AS128" s="200"/>
      <c r="AU128" s="268">
        <f t="shared" si="169"/>
        <v>0</v>
      </c>
      <c r="AV128" s="2177">
        <f t="shared" si="204"/>
        <v>0</v>
      </c>
      <c r="AW128" s="123">
        <f t="shared" si="170"/>
        <v>0</v>
      </c>
      <c r="AX128" s="123">
        <f t="shared" si="205"/>
        <v>0</v>
      </c>
      <c r="AY128" s="123">
        <f>IF(BC127&lt;0.01,0,IF(Adm!$S$4=Adm!$S$8,BC127*$BC$16,BC127*Adm!$V$4))</f>
        <v>0</v>
      </c>
      <c r="AZ128" s="123"/>
      <c r="BA128" s="123">
        <f>IF(BC127&lt;0.01,0,Adm!$Q$6)</f>
        <v>0</v>
      </c>
      <c r="BB128" s="123">
        <f t="shared" si="171"/>
        <v>0</v>
      </c>
      <c r="BC128" s="297">
        <f t="shared" si="206"/>
        <v>0</v>
      </c>
      <c r="BE128" s="425">
        <f t="shared" si="172"/>
        <v>0</v>
      </c>
      <c r="BH128" s="90">
        <f t="shared" si="207"/>
        <v>8</v>
      </c>
      <c r="BI128" s="121">
        <f>IF(BH128=1,Cal!$AD$127,0)</f>
        <v>0</v>
      </c>
      <c r="BM128" s="221"/>
      <c r="BO128" s="295">
        <f t="shared" ca="1" si="173"/>
        <v>11</v>
      </c>
      <c r="BP128" s="268">
        <f t="shared" si="174"/>
        <v>0</v>
      </c>
      <c r="BQ128" s="123">
        <f t="shared" si="208"/>
        <v>0</v>
      </c>
      <c r="BR128" s="123">
        <f t="shared" si="288"/>
        <v>0</v>
      </c>
      <c r="BS128" s="123">
        <f t="shared" si="296"/>
        <v>0</v>
      </c>
      <c r="BT128" s="123">
        <f>IF(BZ127&lt;0.01,0,IF(Plus!$F$22=Plus!$AN$4,BZ127*$BZ$15,IF(Plus!$F$22=Plus!$AN$3,BZ127*Plus!$F$23/1000,BZ127*VLOOKUP(Plus!$G$21,Plus!$AP$2:'Plus'!$AQ$5,2,0))))</f>
        <v>0</v>
      </c>
      <c r="BU128" s="123">
        <f>IF(BZ127&lt;0.01,0,IF(Plus!$F$24=Plus!$AO$3,Plus!$G$13*Plus!$AR$2/1.16,IF(Plus!$F$10=Plus!$AK$7,0,Plus!$G$13*Plus!$AR$2/1.16)))</f>
        <v>0</v>
      </c>
      <c r="BV128" s="123">
        <f>IF(BZ127&lt;0.01,0,Plus!$BD$2)</f>
        <v>0</v>
      </c>
      <c r="BW128" s="123"/>
      <c r="BX128" s="123">
        <f t="shared" si="175"/>
        <v>0</v>
      </c>
      <c r="BY128" s="123">
        <f>IF(Plus!$F$10=Plus!$AK$3,MIN(BZ127+BQ128+BT128+BU128+BV128-BX128,CJ128),0)</f>
        <v>0</v>
      </c>
      <c r="BZ128" s="297">
        <f t="shared" si="280"/>
        <v>0</v>
      </c>
      <c r="CA128" s="74"/>
      <c r="CB128" s="74"/>
      <c r="CC128" s="413">
        <f t="shared" si="209"/>
        <v>0</v>
      </c>
      <c r="CF128" s="90">
        <f t="shared" si="210"/>
        <v>8</v>
      </c>
      <c r="CG128" s="121">
        <f t="shared" si="263"/>
        <v>0</v>
      </c>
      <c r="CI128" s="70">
        <f t="shared" si="264"/>
        <v>0</v>
      </c>
      <c r="CJ128" s="2178">
        <f t="shared" ca="1" si="211"/>
        <v>0</v>
      </c>
      <c r="CL128" s="161"/>
      <c r="CN128" s="308">
        <f t="shared" ca="1" si="176"/>
        <v>11</v>
      </c>
      <c r="CO128" s="309">
        <f t="shared" si="212"/>
        <v>0</v>
      </c>
      <c r="CP128" s="268">
        <f t="shared" si="177"/>
        <v>0</v>
      </c>
      <c r="CQ128" s="123">
        <f t="shared" si="213"/>
        <v>0</v>
      </c>
      <c r="CR128" s="123">
        <f t="shared" si="289"/>
        <v>0</v>
      </c>
      <c r="CS128" s="123">
        <f t="shared" si="290"/>
        <v>0</v>
      </c>
      <c r="CT128" s="33">
        <f>IF(CZ127&lt;0.01,0,IF(Plus!$F$22=Plus!$AN$4,0,IF(Plus!$F$22=Plus!$AN$3,CZ127*Plus!$F$23/1000,CZ127*VLOOKUP(Plus!$G$21,Plus!$AP$2:'Plus'!$AQ$5,2,0))))</f>
        <v>0</v>
      </c>
      <c r="CU128" s="123">
        <f>IF(CZ127&lt;0.01,0,IF(Plus!$F$24=Plus!$AO$3,0,IF(OR(Plus!$F$10=Plus!$AK$7,Plus!$F$10=Plus!$AK$13),0,Plus!$G$13*Plus!$AR$2)))</f>
        <v>0</v>
      </c>
      <c r="CV128" s="123">
        <f>IF(CZ127&lt;0.01,0,IF(OR(Plus!$F$10=Plus!$AK$7,Plus!$F$10=Plus!$AK$13),0,Plus!$BD$2*1.16))</f>
        <v>0</v>
      </c>
      <c r="CW128" s="123">
        <f>IF(CZ127&lt;0.01,0,IF(Plus!$AS$2&gt;0,CQ128*Plus!$AS$3,0))</f>
        <v>0</v>
      </c>
      <c r="CX128" s="123">
        <f t="shared" si="214"/>
        <v>0</v>
      </c>
      <c r="CY128" s="123">
        <f>IF(Plus!$F$10=Plus!$AK$3,MIN(CZ127+CQ128+CT128+CU128+CV128-CX128,DK128),0)</f>
        <v>0</v>
      </c>
      <c r="CZ128" s="297">
        <f t="shared" si="294"/>
        <v>0</v>
      </c>
      <c r="DA128" s="306">
        <f>Plus!O169</f>
        <v>0</v>
      </c>
      <c r="DB128" s="74"/>
      <c r="DC128" s="74"/>
      <c r="DD128" s="407">
        <f t="shared" si="215"/>
        <v>0</v>
      </c>
      <c r="DG128" s="90">
        <f t="shared" si="216"/>
        <v>8</v>
      </c>
      <c r="DH128" s="121">
        <f t="shared" si="265"/>
        <v>0</v>
      </c>
      <c r="DJ128" s="149">
        <f t="shared" si="266"/>
        <v>0</v>
      </c>
      <c r="DK128" s="2179">
        <f t="shared" ca="1" si="217"/>
        <v>0</v>
      </c>
      <c r="DN128" s="120">
        <f t="shared" si="267"/>
        <v>0</v>
      </c>
      <c r="DO128" s="110">
        <f t="shared" si="218"/>
        <v>0</v>
      </c>
      <c r="DP128" s="110">
        <f t="shared" si="276"/>
        <v>0</v>
      </c>
      <c r="DQ128" s="109">
        <f t="shared" si="219"/>
        <v>0</v>
      </c>
      <c r="DR128" s="109">
        <f t="shared" si="220"/>
        <v>0</v>
      </c>
      <c r="DS128" s="113">
        <f t="shared" si="221"/>
        <v>0</v>
      </c>
      <c r="DU128" s="102">
        <f t="shared" si="222"/>
        <v>0</v>
      </c>
      <c r="DV128" s="211">
        <f t="shared" si="277"/>
        <v>104</v>
      </c>
      <c r="DW128" s="212">
        <f t="shared" si="223"/>
        <v>0</v>
      </c>
      <c r="DX128" s="212">
        <f t="shared" si="178"/>
        <v>0</v>
      </c>
      <c r="DY128" s="212">
        <f t="shared" si="268"/>
        <v>0</v>
      </c>
      <c r="DZ128" s="213">
        <f t="shared" si="179"/>
        <v>1000000</v>
      </c>
      <c r="ED128" s="182"/>
      <c r="EF128" s="308">
        <f t="shared" ca="1" si="180"/>
        <v>11</v>
      </c>
      <c r="EG128" s="309">
        <f t="shared" si="224"/>
        <v>0</v>
      </c>
      <c r="EH128" s="268">
        <f t="shared" si="181"/>
        <v>0</v>
      </c>
      <c r="EI128" s="33">
        <f t="shared" si="225"/>
        <v>0</v>
      </c>
      <c r="EJ128" s="33">
        <f t="shared" si="291"/>
        <v>0</v>
      </c>
      <c r="EK128" s="33">
        <f t="shared" si="297"/>
        <v>0</v>
      </c>
      <c r="EL128" s="33">
        <f>IF(ER127&lt;0.01,0,IF(Plus!$F$22=Plus!$AN$4,0,IF(Plus!$F$22=Plus!$AN$3,ER127*Plus!$F$23/1000,ER127*VLOOKUP(Plus!$G$21,Plus!$AP$2:'Plus'!$AQ$5,2,0))))</f>
        <v>0</v>
      </c>
      <c r="EM128" s="33">
        <f>IF(ER127&lt;0.01,0,IF(Plus!$F$24=Plus!$AO$3,0,IF(OR(Plus!$F$10=Plus!$AK$7,Plus!$F$10=Plus!$AK$13),0,Plus!$G$13*Plus!$AR$2)))</f>
        <v>0</v>
      </c>
      <c r="EN128" s="33">
        <f>IF(ER127&lt;0.01,0,IF(OR(Plus!$F$10=Plus!$AK$7,Plus!$F$10=Plus!$AK$13),0,Plus!$BD$2*1.16))</f>
        <v>0</v>
      </c>
      <c r="EO128" s="33">
        <f>IF(ER127&lt;0.01,0,IF(Plus!$AS$2&gt;0,EI128*Plus!$AS$3,0))</f>
        <v>0</v>
      </c>
      <c r="EP128" s="33">
        <f t="shared" si="226"/>
        <v>0</v>
      </c>
      <c r="EQ128" s="33">
        <f>IF(Plus!$F$10=Plus!$AK$3,MIN(ER127+EI128+EL128+EM128+EN128-EP128,FC128),0)</f>
        <v>0</v>
      </c>
      <c r="ER128" s="311">
        <f t="shared" si="285"/>
        <v>0</v>
      </c>
      <c r="ES128" s="340">
        <f>Plus!O169</f>
        <v>0</v>
      </c>
      <c r="ET128" s="74"/>
      <c r="EU128" s="74"/>
      <c r="EV128" s="416">
        <f t="shared" si="281"/>
        <v>0</v>
      </c>
      <c r="EY128" s="90">
        <f t="shared" si="227"/>
        <v>8</v>
      </c>
      <c r="EZ128" s="121">
        <f t="shared" si="269"/>
        <v>0</v>
      </c>
      <c r="FB128" s="149">
        <f t="shared" si="270"/>
        <v>0</v>
      </c>
      <c r="FC128" s="2179">
        <f t="shared" ca="1" si="228"/>
        <v>0</v>
      </c>
      <c r="FE128" s="120">
        <f t="shared" si="271"/>
        <v>0</v>
      </c>
      <c r="FF128" s="110">
        <f t="shared" si="229"/>
        <v>0</v>
      </c>
      <c r="FG128" s="110">
        <f t="shared" si="230"/>
        <v>0</v>
      </c>
      <c r="FH128" s="109">
        <f t="shared" si="231"/>
        <v>0</v>
      </c>
      <c r="FI128" s="109">
        <f t="shared" si="182"/>
        <v>0</v>
      </c>
      <c r="FJ128" s="113">
        <f t="shared" si="232"/>
        <v>0</v>
      </c>
      <c r="FL128" s="102">
        <f t="shared" si="233"/>
        <v>0</v>
      </c>
      <c r="FM128" s="211">
        <f t="shared" si="278"/>
        <v>104</v>
      </c>
      <c r="FN128" s="212">
        <f t="shared" si="234"/>
        <v>0</v>
      </c>
      <c r="FO128" s="212">
        <f t="shared" si="183"/>
        <v>0</v>
      </c>
      <c r="FP128" s="212">
        <f t="shared" si="300"/>
        <v>0</v>
      </c>
      <c r="FQ128" s="213">
        <f t="shared" si="184"/>
        <v>1000000</v>
      </c>
      <c r="FV128" s="359"/>
      <c r="FX128" s="308">
        <f t="shared" ca="1" si="185"/>
        <v>11</v>
      </c>
      <c r="FY128" s="309">
        <f t="shared" si="235"/>
        <v>0</v>
      </c>
      <c r="FZ128" s="268">
        <f t="shared" si="186"/>
        <v>0</v>
      </c>
      <c r="GA128" s="33">
        <f t="shared" si="236"/>
        <v>0</v>
      </c>
      <c r="GB128" s="33">
        <f t="shared" si="292"/>
        <v>0</v>
      </c>
      <c r="GC128" s="33">
        <f t="shared" si="293"/>
        <v>0</v>
      </c>
      <c r="GD128" s="33">
        <f>IF(GJ127&lt;0.01,0,IF(Plus!$F$22=Plus!$AN$4,0,IF(Plus!$F$22=Plus!$AN$3,GJ127*Plus!$F$23/1000,GJ127*VLOOKUP(Plus!$G$21,Plus!$AP$2:$AQ$5,2,0))))</f>
        <v>0</v>
      </c>
      <c r="GE128" s="33">
        <f>IF(GJ127&lt;0.01,0,IF(Plus!$F$24=Plus!$AO$3,0,IF(OR(Plus!$F$10=Plus!$AK$7,Plus!$F$10=Plus!$AK$13,Plus!$F$10=Plus!$AK$14),0,IF(OR(Plus!$F$10=Plus!$AK$10,Plus!$F$10=Plus!$AK$11),Plus!$G$13*Adm!$W$7,Plus!$G$13*Adm!$X$4))))</f>
        <v>0</v>
      </c>
      <c r="GF128" s="33">
        <f>IF(GJ127&lt;0.01,0,IF(OR(Plus!$F$10=Plus!$AK$7,Plus!$F$10=Plus!$AK$13),0,Plus!$BD$2*1.16))</f>
        <v>0</v>
      </c>
      <c r="GG128" s="33">
        <f>IF(GJ127&lt;0.01,0,IF(Plus!$AS$2&gt;0,GA128*Plus!$AS$3,0))</f>
        <v>0</v>
      </c>
      <c r="GH128" s="33">
        <f t="shared" si="237"/>
        <v>0</v>
      </c>
      <c r="GI128" s="33">
        <f>IF(Plus!$F$10=Plus!$AK$3,MIN(GJ127+GA128+GD128+GE128+GF128-GH128,GU128),0)</f>
        <v>0</v>
      </c>
      <c r="GJ128" s="311">
        <f t="shared" si="286"/>
        <v>0</v>
      </c>
      <c r="GK128" s="340">
        <f>Plus!O169</f>
        <v>0</v>
      </c>
      <c r="GL128" s="74"/>
      <c r="GM128" s="74"/>
      <c r="GN128" s="419">
        <f t="shared" si="283"/>
        <v>0</v>
      </c>
      <c r="GQ128" s="90">
        <f t="shared" si="238"/>
        <v>8</v>
      </c>
      <c r="GR128" s="121">
        <f t="shared" si="272"/>
        <v>0</v>
      </c>
      <c r="GT128" s="149">
        <f t="shared" si="273"/>
        <v>0</v>
      </c>
      <c r="GU128" s="2179">
        <f t="shared" ca="1" si="239"/>
        <v>0</v>
      </c>
      <c r="GW128" s="120">
        <f t="shared" si="274"/>
        <v>0</v>
      </c>
      <c r="GX128" s="110">
        <f t="shared" si="240"/>
        <v>0</v>
      </c>
      <c r="GY128" s="110">
        <f t="shared" si="241"/>
        <v>0</v>
      </c>
      <c r="GZ128" s="109">
        <f t="shared" si="242"/>
        <v>0</v>
      </c>
      <c r="HA128" s="109">
        <f t="shared" si="187"/>
        <v>0</v>
      </c>
      <c r="HB128" s="113">
        <f t="shared" si="243"/>
        <v>0</v>
      </c>
      <c r="HD128" s="102">
        <f t="shared" si="244"/>
        <v>0</v>
      </c>
      <c r="HE128" s="211">
        <f t="shared" si="279"/>
        <v>104</v>
      </c>
      <c r="HF128" s="212">
        <f t="shared" si="245"/>
        <v>0</v>
      </c>
      <c r="HG128" s="212">
        <f t="shared" si="188"/>
        <v>0</v>
      </c>
      <c r="HH128" s="212">
        <f t="shared" si="301"/>
        <v>0</v>
      </c>
      <c r="HI128" s="213">
        <f t="shared" si="189"/>
        <v>1000000</v>
      </c>
      <c r="HL128" s="182"/>
      <c r="HM128" s="26">
        <f t="shared" ca="1" si="190"/>
        <v>11</v>
      </c>
      <c r="HO128" s="268">
        <f t="shared" si="191"/>
        <v>0</v>
      </c>
      <c r="HP128" s="151">
        <f t="shared" si="302"/>
        <v>0</v>
      </c>
      <c r="HQ128" s="123">
        <f t="shared" si="246"/>
        <v>0</v>
      </c>
      <c r="HR128" s="123">
        <f t="shared" si="247"/>
        <v>0</v>
      </c>
      <c r="HS128" s="123">
        <f t="shared" si="248"/>
        <v>0</v>
      </c>
      <c r="HT128" s="123">
        <f>IF(HY127&lt;0.01,0,IF(Adm!$GS$4=Adm!$GS$8,HY127*$HY$15,IF(Adm!$GS$12=Adm!$GS$13,0,HY127*Adm!$GV$4)))</f>
        <v>0</v>
      </c>
      <c r="HU128" s="123">
        <f>IF(HY127&lt;0.01,0,IF(Adm!$GS$5=Adm!$GS$8,Cal!$BO$108*$HY$16/1.16,IF(Adm!$GS$12=Adm!$GS$13,0,Cal!$BO$108*Adm!$GW$4/1.16)))</f>
        <v>0</v>
      </c>
      <c r="HV128" s="123">
        <f t="shared" si="249"/>
        <v>0</v>
      </c>
      <c r="HW128" s="123">
        <f t="shared" si="192"/>
        <v>0</v>
      </c>
      <c r="HX128" s="123">
        <f>IF(Adm!$GH$6="si",MIN(HY127+HQ128+HT128+HU128+HV128-HW128,IH128),0)</f>
        <v>0</v>
      </c>
      <c r="HY128" s="297">
        <f t="shared" si="250"/>
        <v>0</v>
      </c>
      <c r="HZ128" s="74"/>
      <c r="IA128" s="407">
        <f t="shared" si="251"/>
        <v>0</v>
      </c>
      <c r="IC128" s="90">
        <f t="shared" si="252"/>
        <v>8</v>
      </c>
      <c r="ID128" s="124">
        <f>IF(IC128=1,Cal!$BO$127,0)</f>
        <v>0</v>
      </c>
      <c r="IE128" s="178">
        <f>IF(IC128=1,Adm!$HI$4,0)</f>
        <v>0</v>
      </c>
      <c r="IG128" s="70">
        <f t="shared" si="275"/>
        <v>0</v>
      </c>
      <c r="IH128" s="2178">
        <f t="shared" ca="1" si="253"/>
        <v>0</v>
      </c>
      <c r="IK128" s="217"/>
      <c r="IL128" s="26">
        <f t="shared" ca="1" si="193"/>
        <v>11</v>
      </c>
      <c r="IN128" s="268">
        <f t="shared" si="194"/>
        <v>0</v>
      </c>
      <c r="IO128" s="151">
        <f t="shared" si="303"/>
        <v>0</v>
      </c>
      <c r="IP128" s="123">
        <f t="shared" si="254"/>
        <v>0</v>
      </c>
      <c r="IQ128" s="123">
        <f t="shared" si="255"/>
        <v>0</v>
      </c>
      <c r="IR128" s="123">
        <f t="shared" si="256"/>
        <v>0</v>
      </c>
      <c r="IS128" s="123">
        <f>IF(IX127&lt;0.01,0,IF(Adm!$GS$4=Adm!$GS$8,IX127*$IX$15,IF(Adm!$GS$12=Adm!$GS$13,0,IX127*Adm!$GV$4)))</f>
        <v>0</v>
      </c>
      <c r="IT128" s="123"/>
      <c r="IU128" s="123">
        <f t="shared" si="257"/>
        <v>0</v>
      </c>
      <c r="IV128" s="123">
        <f t="shared" si="258"/>
        <v>0</v>
      </c>
      <c r="IW128" s="123"/>
      <c r="IX128" s="297">
        <f t="shared" si="259"/>
        <v>0</v>
      </c>
      <c r="IY128" s="74"/>
      <c r="IZ128" s="416">
        <f t="shared" si="260"/>
        <v>0</v>
      </c>
      <c r="JB128" s="90">
        <f t="shared" si="261"/>
        <v>8</v>
      </c>
      <c r="JC128" s="124">
        <f>IF(JB128=1,Cal!$BP$127,0)</f>
        <v>0</v>
      </c>
      <c r="JD128" s="178">
        <f>IF(JB128=1,Adm!$HI$4,0)</f>
        <v>0</v>
      </c>
    </row>
    <row r="129" spans="1:264">
      <c r="A129" s="26">
        <f t="shared" ca="1" si="162"/>
        <v>12</v>
      </c>
      <c r="C129" s="33">
        <f t="shared" si="163"/>
        <v>0</v>
      </c>
      <c r="D129" s="123">
        <f t="shared" si="195"/>
        <v>0</v>
      </c>
      <c r="E129" s="123">
        <f t="shared" si="287"/>
        <v>0</v>
      </c>
      <c r="F129" s="123">
        <f t="shared" si="295"/>
        <v>0</v>
      </c>
      <c r="G129" s="123">
        <f>IF(L128&lt;0.01,0,IF(Adm!$S$4=Adm!$S$8,L128*$L$15,L128*Adm!$V$4))</f>
        <v>0</v>
      </c>
      <c r="H129" s="123">
        <f>IF(L128&lt;0.01,0,IF(Adm!$S$5=Adm!$S$8,Adm!$AA$11*$L$16/1.16,IF(Adm!$B$4=Adm!$A$119,0,Adm!$AA$11*Adm!$X$4/1.16)))</f>
        <v>0</v>
      </c>
      <c r="I129" s="123">
        <f>IF(L128&lt;0.01,0,Cal!$AB$126/1.16)</f>
        <v>0</v>
      </c>
      <c r="J129" s="123">
        <f t="shared" si="164"/>
        <v>0</v>
      </c>
      <c r="K129" s="123">
        <f>IF(Adm!$G$4="si",MIN(L128+D129+G129+H129+I129-J129,V129),0)</f>
        <v>0</v>
      </c>
      <c r="L129" s="123">
        <f t="shared" si="196"/>
        <v>0</v>
      </c>
      <c r="M129" s="74"/>
      <c r="N129" s="74"/>
      <c r="O129" s="407">
        <f t="shared" si="197"/>
        <v>0</v>
      </c>
      <c r="R129" s="90">
        <f t="shared" si="198"/>
        <v>9</v>
      </c>
      <c r="S129" s="121">
        <f>IF(R129=1,Cal!$AB$127,0)</f>
        <v>0</v>
      </c>
      <c r="U129" s="70">
        <f t="shared" si="262"/>
        <v>0</v>
      </c>
      <c r="V129" s="2178">
        <f t="shared" ca="1" si="199"/>
        <v>0</v>
      </c>
      <c r="X129" s="398"/>
      <c r="Z129" s="268">
        <f t="shared" si="165"/>
        <v>0</v>
      </c>
      <c r="AA129" s="2176">
        <f t="shared" si="200"/>
        <v>0</v>
      </c>
      <c r="AB129" s="33">
        <f t="shared" si="201"/>
        <v>0</v>
      </c>
      <c r="AC129" s="33">
        <f t="shared" si="202"/>
        <v>0</v>
      </c>
      <c r="AD129" s="33">
        <f>IF(AI128&lt;0.01,0,IF(Adm!$S$4=Adm!$S$8,AI128*$AI$15,AI128*Adm!$V$4))</f>
        <v>0</v>
      </c>
      <c r="AE129" s="33"/>
      <c r="AF129" s="33"/>
      <c r="AG129" s="33">
        <f t="shared" si="166"/>
        <v>0</v>
      </c>
      <c r="AH129" s="33"/>
      <c r="AI129" s="401">
        <f t="shared" si="167"/>
        <v>0</v>
      </c>
      <c r="AK129" s="410">
        <f t="shared" si="168"/>
        <v>0</v>
      </c>
      <c r="AN129" s="90">
        <f t="shared" si="203"/>
        <v>9</v>
      </c>
      <c r="AO129" s="121">
        <f>IF(AN129=1,Cal!$AC$127,0)</f>
        <v>0</v>
      </c>
      <c r="AS129" s="200"/>
      <c r="AU129" s="268">
        <f t="shared" si="169"/>
        <v>0</v>
      </c>
      <c r="AV129" s="2177">
        <f t="shared" si="204"/>
        <v>0</v>
      </c>
      <c r="AW129" s="123">
        <f t="shared" si="170"/>
        <v>0</v>
      </c>
      <c r="AX129" s="123">
        <f t="shared" si="205"/>
        <v>0</v>
      </c>
      <c r="AY129" s="123">
        <f>IF(BC128&lt;0.01,0,IF(Adm!$S$4=Adm!$S$8,BC128*$BC$16,BC128*Adm!$V$4))</f>
        <v>0</v>
      </c>
      <c r="AZ129" s="123"/>
      <c r="BA129" s="123">
        <f>IF(BC128&lt;0.01,0,Adm!$Q$6)</f>
        <v>0</v>
      </c>
      <c r="BB129" s="123">
        <f t="shared" si="171"/>
        <v>0</v>
      </c>
      <c r="BC129" s="297">
        <f t="shared" si="206"/>
        <v>0</v>
      </c>
      <c r="BE129" s="425">
        <f t="shared" si="172"/>
        <v>0</v>
      </c>
      <c r="BH129" s="90">
        <f t="shared" si="207"/>
        <v>9</v>
      </c>
      <c r="BI129" s="121">
        <f>IF(BH129=1,Cal!$AD$127,0)</f>
        <v>0</v>
      </c>
      <c r="BM129" s="221"/>
      <c r="BO129" s="295">
        <f t="shared" ca="1" si="173"/>
        <v>12</v>
      </c>
      <c r="BP129" s="268">
        <f t="shared" si="174"/>
        <v>0</v>
      </c>
      <c r="BQ129" s="123">
        <f t="shared" si="208"/>
        <v>0</v>
      </c>
      <c r="BR129" s="123">
        <f t="shared" si="288"/>
        <v>0</v>
      </c>
      <c r="BS129" s="123">
        <f t="shared" si="296"/>
        <v>0</v>
      </c>
      <c r="BT129" s="123">
        <f>IF(BZ128&lt;0.01,0,IF(Plus!$F$22=Plus!$AN$4,BZ128*$BZ$15,IF(Plus!$F$22=Plus!$AN$3,BZ128*Plus!$F$23/1000,BZ128*VLOOKUP(Plus!$G$21,Plus!$AP$2:'Plus'!$AQ$5,2,0))))</f>
        <v>0</v>
      </c>
      <c r="BU129" s="123">
        <f>IF(BZ128&lt;0.01,0,IF(Plus!$F$24=Plus!$AO$3,Plus!$G$13*Plus!$AR$2/1.16,IF(Plus!$F$10=Plus!$AK$7,0,Plus!$G$13*Plus!$AR$2/1.16)))</f>
        <v>0</v>
      </c>
      <c r="BV129" s="123">
        <f>IF(BZ128&lt;0.01,0,Plus!$BD$2)</f>
        <v>0</v>
      </c>
      <c r="BW129" s="123"/>
      <c r="BX129" s="123">
        <f t="shared" si="175"/>
        <v>0</v>
      </c>
      <c r="BY129" s="123">
        <f>IF(Plus!$F$10=Plus!$AK$3,MIN(BZ128+BQ129+BT129+BU129+BV129-BX129,CJ129),0)</f>
        <v>0</v>
      </c>
      <c r="BZ129" s="297">
        <f t="shared" si="280"/>
        <v>0</v>
      </c>
      <c r="CA129" s="74"/>
      <c r="CB129" s="74"/>
      <c r="CC129" s="413">
        <f t="shared" si="209"/>
        <v>0</v>
      </c>
      <c r="CF129" s="90">
        <f t="shared" si="210"/>
        <v>9</v>
      </c>
      <c r="CG129" s="121">
        <f t="shared" si="263"/>
        <v>0</v>
      </c>
      <c r="CI129" s="70">
        <f t="shared" si="264"/>
        <v>0</v>
      </c>
      <c r="CJ129" s="2178">
        <f t="shared" ca="1" si="211"/>
        <v>0</v>
      </c>
      <c r="CL129" s="161"/>
      <c r="CN129" s="308">
        <f t="shared" ca="1" si="176"/>
        <v>12</v>
      </c>
      <c r="CO129" s="309">
        <f t="shared" si="212"/>
        <v>0</v>
      </c>
      <c r="CP129" s="268">
        <f t="shared" si="177"/>
        <v>0</v>
      </c>
      <c r="CQ129" s="123">
        <f t="shared" si="213"/>
        <v>0</v>
      </c>
      <c r="CR129" s="123">
        <f t="shared" si="289"/>
        <v>0</v>
      </c>
      <c r="CS129" s="123">
        <f t="shared" si="290"/>
        <v>0</v>
      </c>
      <c r="CT129" s="33">
        <f>IF(CZ128&lt;0.01,0,IF(Plus!$F$22=Plus!$AN$4,0,IF(Plus!$F$22=Plus!$AN$3,CZ128*Plus!$F$23/1000,CZ128*VLOOKUP(Plus!$G$21,Plus!$AP$2:'Plus'!$AQ$5,2,0))))</f>
        <v>0</v>
      </c>
      <c r="CU129" s="123">
        <f>IF(CZ128&lt;0.01,0,IF(Plus!$F$24=Plus!$AO$3,0,IF(OR(Plus!$F$10=Plus!$AK$7,Plus!$F$10=Plus!$AK$13),0,Plus!$G$13*Plus!$AR$2)))</f>
        <v>0</v>
      </c>
      <c r="CV129" s="123">
        <f>IF(CZ128&lt;0.01,0,IF(OR(Plus!$F$10=Plus!$AK$7,Plus!$F$10=Plus!$AK$13),0,Plus!$BD$2*1.16))</f>
        <v>0</v>
      </c>
      <c r="CW129" s="123">
        <f>IF(CZ128&lt;0.01,0,IF(Plus!$AS$2&gt;0,CQ129*Plus!$AS$3,0))</f>
        <v>0</v>
      </c>
      <c r="CX129" s="123">
        <f t="shared" si="214"/>
        <v>0</v>
      </c>
      <c r="CY129" s="123">
        <f>IF(Plus!$F$10=Plus!$AK$3,MIN(CZ128+CQ129+CT129+CU129+CV129-CX129,DK129),0)</f>
        <v>0</v>
      </c>
      <c r="CZ129" s="297">
        <f t="shared" si="294"/>
        <v>0</v>
      </c>
      <c r="DA129" s="306">
        <f>Plus!O170</f>
        <v>0</v>
      </c>
      <c r="DB129" s="74"/>
      <c r="DC129" s="74"/>
      <c r="DD129" s="407">
        <f t="shared" si="215"/>
        <v>0</v>
      </c>
      <c r="DG129" s="90">
        <f t="shared" si="216"/>
        <v>9</v>
      </c>
      <c r="DH129" s="121">
        <f t="shared" si="265"/>
        <v>0</v>
      </c>
      <c r="DJ129" s="149">
        <f t="shared" si="266"/>
        <v>0</v>
      </c>
      <c r="DK129" s="2179">
        <f t="shared" ca="1" si="217"/>
        <v>0</v>
      </c>
      <c r="DN129" s="120">
        <f t="shared" si="267"/>
        <v>0</v>
      </c>
      <c r="DO129" s="110">
        <f t="shared" si="218"/>
        <v>0</v>
      </c>
      <c r="DP129" s="110">
        <f t="shared" si="276"/>
        <v>0</v>
      </c>
      <c r="DQ129" s="109">
        <f t="shared" si="219"/>
        <v>0</v>
      </c>
      <c r="DR129" s="109">
        <f t="shared" si="220"/>
        <v>0</v>
      </c>
      <c r="DS129" s="113">
        <f t="shared" si="221"/>
        <v>0</v>
      </c>
      <c r="DU129" s="102">
        <f t="shared" si="222"/>
        <v>0</v>
      </c>
      <c r="DV129" s="211">
        <f t="shared" si="277"/>
        <v>105</v>
      </c>
      <c r="DW129" s="212">
        <f t="shared" si="223"/>
        <v>0</v>
      </c>
      <c r="DX129" s="212">
        <f t="shared" si="178"/>
        <v>0</v>
      </c>
      <c r="DY129" s="212">
        <f t="shared" si="268"/>
        <v>0</v>
      </c>
      <c r="DZ129" s="213">
        <f t="shared" si="179"/>
        <v>1000000</v>
      </c>
      <c r="ED129" s="182"/>
      <c r="EF129" s="308">
        <f t="shared" ca="1" si="180"/>
        <v>12</v>
      </c>
      <c r="EG129" s="309">
        <f t="shared" si="224"/>
        <v>0</v>
      </c>
      <c r="EH129" s="268">
        <f t="shared" si="181"/>
        <v>0</v>
      </c>
      <c r="EI129" s="33">
        <f t="shared" si="225"/>
        <v>0</v>
      </c>
      <c r="EJ129" s="33">
        <f t="shared" si="291"/>
        <v>0</v>
      </c>
      <c r="EK129" s="33">
        <f t="shared" si="297"/>
        <v>0</v>
      </c>
      <c r="EL129" s="33">
        <f>IF(ER128&lt;0.01,0,IF(Plus!$F$22=Plus!$AN$4,0,IF(Plus!$F$22=Plus!$AN$3,ER128*Plus!$F$23/1000,ER128*VLOOKUP(Plus!$G$21,Plus!$AP$2:'Plus'!$AQ$5,2,0))))</f>
        <v>0</v>
      </c>
      <c r="EM129" s="33">
        <f>IF(ER128&lt;0.01,0,IF(Plus!$F$24=Plus!$AO$3,0,IF(OR(Plus!$F$10=Plus!$AK$7,Plus!$F$10=Plus!$AK$13),0,Plus!$G$13*Plus!$AR$2)))</f>
        <v>0</v>
      </c>
      <c r="EN129" s="33">
        <f>IF(ER128&lt;0.01,0,IF(OR(Plus!$F$10=Plus!$AK$7,Plus!$F$10=Plus!$AK$13),0,Plus!$BD$2*1.16))</f>
        <v>0</v>
      </c>
      <c r="EO129" s="33">
        <f>IF(ER128&lt;0.01,0,IF(Plus!$AS$2&gt;0,EI129*Plus!$AS$3,0))</f>
        <v>0</v>
      </c>
      <c r="EP129" s="33">
        <f t="shared" si="226"/>
        <v>0</v>
      </c>
      <c r="EQ129" s="33">
        <f>IF(Plus!$F$10=Plus!$AK$3,MIN(ER128+EI129+EL129+EM129+EN129-EP129,FC129),0)</f>
        <v>0</v>
      </c>
      <c r="ER129" s="311">
        <f t="shared" si="285"/>
        <v>0</v>
      </c>
      <c r="ES129" s="340">
        <f>Plus!O170</f>
        <v>0</v>
      </c>
      <c r="ET129" s="74"/>
      <c r="EU129" s="74"/>
      <c r="EV129" s="416">
        <f t="shared" si="281"/>
        <v>0</v>
      </c>
      <c r="EY129" s="90">
        <f t="shared" si="227"/>
        <v>9</v>
      </c>
      <c r="EZ129" s="121">
        <f t="shared" si="269"/>
        <v>0</v>
      </c>
      <c r="FB129" s="149">
        <f t="shared" si="270"/>
        <v>0</v>
      </c>
      <c r="FC129" s="2179">
        <f t="shared" ca="1" si="228"/>
        <v>0</v>
      </c>
      <c r="FE129" s="120">
        <f t="shared" si="271"/>
        <v>0</v>
      </c>
      <c r="FF129" s="110">
        <f t="shared" si="229"/>
        <v>0</v>
      </c>
      <c r="FG129" s="110">
        <f t="shared" si="230"/>
        <v>0</v>
      </c>
      <c r="FH129" s="109">
        <f t="shared" si="231"/>
        <v>0</v>
      </c>
      <c r="FI129" s="109">
        <f t="shared" si="182"/>
        <v>0</v>
      </c>
      <c r="FJ129" s="113">
        <f t="shared" si="232"/>
        <v>0</v>
      </c>
      <c r="FL129" s="102">
        <f t="shared" si="233"/>
        <v>0</v>
      </c>
      <c r="FM129" s="211">
        <f t="shared" si="278"/>
        <v>105</v>
      </c>
      <c r="FN129" s="212">
        <f t="shared" si="234"/>
        <v>0</v>
      </c>
      <c r="FO129" s="212">
        <f t="shared" si="183"/>
        <v>0</v>
      </c>
      <c r="FP129" s="212">
        <f t="shared" si="300"/>
        <v>0</v>
      </c>
      <c r="FQ129" s="213">
        <f t="shared" si="184"/>
        <v>1000000</v>
      </c>
      <c r="FV129" s="359"/>
      <c r="FX129" s="308">
        <f t="shared" ca="1" si="185"/>
        <v>12</v>
      </c>
      <c r="FY129" s="309">
        <f t="shared" si="235"/>
        <v>0</v>
      </c>
      <c r="FZ129" s="268">
        <f t="shared" si="186"/>
        <v>0</v>
      </c>
      <c r="GA129" s="33">
        <f t="shared" si="236"/>
        <v>0</v>
      </c>
      <c r="GB129" s="33">
        <f t="shared" si="292"/>
        <v>0</v>
      </c>
      <c r="GC129" s="33">
        <f t="shared" si="293"/>
        <v>0</v>
      </c>
      <c r="GD129" s="33">
        <f>IF(GJ128&lt;0.01,0,IF(Plus!$F$22=Plus!$AN$4,0,IF(Plus!$F$22=Plus!$AN$3,GJ128*Plus!$F$23/1000,GJ128*VLOOKUP(Plus!$G$21,Plus!$AP$2:$AQ$5,2,0))))</f>
        <v>0</v>
      </c>
      <c r="GE129" s="33">
        <f>IF(GJ128&lt;0.01,0,IF(Plus!$F$24=Plus!$AO$3,0,IF(OR(Plus!$F$10=Plus!$AK$7,Plus!$F$10=Plus!$AK$13,Plus!$F$10=Plus!$AK$14),0,IF(OR(Plus!$F$10=Plus!$AK$10,Plus!$F$10=Plus!$AK$11),Plus!$G$13*Adm!$W$7,Plus!$G$13*Adm!$X$4))))</f>
        <v>0</v>
      </c>
      <c r="GF129" s="33">
        <f>IF(GJ128&lt;0.01,0,IF(OR(Plus!$F$10=Plus!$AK$7,Plus!$F$10=Plus!$AK$13),0,Plus!$BD$2*1.16))</f>
        <v>0</v>
      </c>
      <c r="GG129" s="33">
        <f>IF(GJ128&lt;0.01,0,IF(Plus!$AS$2&gt;0,GA129*Plus!$AS$3,0))</f>
        <v>0</v>
      </c>
      <c r="GH129" s="33">
        <f t="shared" si="237"/>
        <v>0</v>
      </c>
      <c r="GI129" s="33">
        <f>IF(Plus!$F$10=Plus!$AK$3,MIN(GJ128+GA129+GD129+GE129+GF129-GH129,GU129),0)</f>
        <v>0</v>
      </c>
      <c r="GJ129" s="311">
        <f t="shared" si="286"/>
        <v>0</v>
      </c>
      <c r="GK129" s="340">
        <f>Plus!O170</f>
        <v>0</v>
      </c>
      <c r="GL129" s="74"/>
      <c r="GM129" s="74"/>
      <c r="GN129" s="419">
        <f t="shared" si="283"/>
        <v>0</v>
      </c>
      <c r="GQ129" s="90">
        <f t="shared" si="238"/>
        <v>9</v>
      </c>
      <c r="GR129" s="121">
        <f t="shared" si="272"/>
        <v>0</v>
      </c>
      <c r="GT129" s="149">
        <f t="shared" si="273"/>
        <v>0</v>
      </c>
      <c r="GU129" s="2179">
        <f t="shared" ca="1" si="239"/>
        <v>0</v>
      </c>
      <c r="GW129" s="120">
        <f t="shared" si="274"/>
        <v>0</v>
      </c>
      <c r="GX129" s="110">
        <f t="shared" si="240"/>
        <v>0</v>
      </c>
      <c r="GY129" s="110">
        <f t="shared" si="241"/>
        <v>0</v>
      </c>
      <c r="GZ129" s="109">
        <f t="shared" si="242"/>
        <v>0</v>
      </c>
      <c r="HA129" s="109">
        <f t="shared" si="187"/>
        <v>0</v>
      </c>
      <c r="HB129" s="113">
        <f t="shared" si="243"/>
        <v>0</v>
      </c>
      <c r="HD129" s="102">
        <f t="shared" si="244"/>
        <v>0</v>
      </c>
      <c r="HE129" s="211">
        <f t="shared" si="279"/>
        <v>105</v>
      </c>
      <c r="HF129" s="212">
        <f t="shared" si="245"/>
        <v>0</v>
      </c>
      <c r="HG129" s="212">
        <f t="shared" si="188"/>
        <v>0</v>
      </c>
      <c r="HH129" s="212">
        <f t="shared" si="301"/>
        <v>0</v>
      </c>
      <c r="HI129" s="213">
        <f t="shared" si="189"/>
        <v>1000000</v>
      </c>
      <c r="HL129" s="182"/>
      <c r="HM129" s="26">
        <f t="shared" ca="1" si="190"/>
        <v>12</v>
      </c>
      <c r="HO129" s="268">
        <f t="shared" si="191"/>
        <v>0</v>
      </c>
      <c r="HP129" s="151">
        <f t="shared" si="302"/>
        <v>0</v>
      </c>
      <c r="HQ129" s="123">
        <f t="shared" si="246"/>
        <v>0</v>
      </c>
      <c r="HR129" s="123">
        <f t="shared" si="247"/>
        <v>0</v>
      </c>
      <c r="HS129" s="123">
        <f t="shared" si="248"/>
        <v>0</v>
      </c>
      <c r="HT129" s="123">
        <f>IF(HY128&lt;0.01,0,IF(Adm!$GS$4=Adm!$GS$8,HY128*$HY$15,IF(Adm!$GS$12=Adm!$GS$13,0,HY128*Adm!$GV$4)))</f>
        <v>0</v>
      </c>
      <c r="HU129" s="123">
        <f>IF(HY128&lt;0.01,0,IF(Adm!$GS$5=Adm!$GS$8,Cal!$BO$108*$HY$16/1.16,IF(Adm!$GS$12=Adm!$GS$13,0,Cal!$BO$108*Adm!$GW$4/1.16)))</f>
        <v>0</v>
      </c>
      <c r="HV129" s="123">
        <f t="shared" si="249"/>
        <v>0</v>
      </c>
      <c r="HW129" s="123">
        <f t="shared" si="192"/>
        <v>0</v>
      </c>
      <c r="HX129" s="123">
        <f>IF(Adm!$GH$6="si",MIN(HY128+HQ129+HT129+HU129+HV129-HW129,IH129),0)</f>
        <v>0</v>
      </c>
      <c r="HY129" s="297">
        <f t="shared" si="250"/>
        <v>0</v>
      </c>
      <c r="HZ129" s="74"/>
      <c r="IA129" s="407">
        <f t="shared" si="251"/>
        <v>0</v>
      </c>
      <c r="IC129" s="90">
        <f t="shared" si="252"/>
        <v>9</v>
      </c>
      <c r="ID129" s="124">
        <f>IF(IC129=1,Cal!$BO$127,0)</f>
        <v>0</v>
      </c>
      <c r="IE129" s="178">
        <f>IF(IC129=1,Adm!$HI$4,0)</f>
        <v>0</v>
      </c>
      <c r="IG129" s="70">
        <f t="shared" si="275"/>
        <v>0</v>
      </c>
      <c r="IH129" s="2178">
        <f t="shared" ca="1" si="253"/>
        <v>0</v>
      </c>
      <c r="IK129" s="217"/>
      <c r="IL129" s="26">
        <f t="shared" ca="1" si="193"/>
        <v>12</v>
      </c>
      <c r="IN129" s="268">
        <f t="shared" si="194"/>
        <v>0</v>
      </c>
      <c r="IO129" s="151">
        <f t="shared" si="303"/>
        <v>0</v>
      </c>
      <c r="IP129" s="123">
        <f t="shared" si="254"/>
        <v>0</v>
      </c>
      <c r="IQ129" s="123">
        <f t="shared" si="255"/>
        <v>0</v>
      </c>
      <c r="IR129" s="123">
        <f t="shared" si="256"/>
        <v>0</v>
      </c>
      <c r="IS129" s="123">
        <f>IF(IX128&lt;0.01,0,IF(Adm!$GS$4=Adm!$GS$8,IX128*$IX$15,IF(Adm!$GS$12=Adm!$GS$13,0,IX128*Adm!$GV$4)))</f>
        <v>0</v>
      </c>
      <c r="IT129" s="123"/>
      <c r="IU129" s="123">
        <f t="shared" si="257"/>
        <v>0</v>
      </c>
      <c r="IV129" s="123">
        <f t="shared" si="258"/>
        <v>0</v>
      </c>
      <c r="IW129" s="123"/>
      <c r="IX129" s="297">
        <f t="shared" si="259"/>
        <v>0</v>
      </c>
      <c r="IY129" s="74"/>
      <c r="IZ129" s="416">
        <f t="shared" si="260"/>
        <v>0</v>
      </c>
      <c r="JB129" s="90">
        <f t="shared" si="261"/>
        <v>9</v>
      </c>
      <c r="JC129" s="124">
        <f>IF(JB129=1,Cal!$BP$127,0)</f>
        <v>0</v>
      </c>
      <c r="JD129" s="178">
        <f>IF(JB129=1,Adm!$HI$4,0)</f>
        <v>0</v>
      </c>
    </row>
    <row r="130" spans="1:264">
      <c r="A130" s="26">
        <f t="shared" ca="1" si="162"/>
        <v>1</v>
      </c>
      <c r="C130" s="33">
        <f t="shared" si="163"/>
        <v>0</v>
      </c>
      <c r="D130" s="123">
        <f t="shared" si="195"/>
        <v>0</v>
      </c>
      <c r="E130" s="123">
        <f t="shared" si="287"/>
        <v>0</v>
      </c>
      <c r="F130" s="123">
        <f t="shared" si="295"/>
        <v>0</v>
      </c>
      <c r="G130" s="123">
        <f>IF(L129&lt;0.01,0,IF(Adm!$S$4=Adm!$S$8,L129*$L$15,L129*Adm!$V$4))</f>
        <v>0</v>
      </c>
      <c r="H130" s="123">
        <f>IF(L129&lt;0.01,0,IF(Adm!$S$5=Adm!$S$8,Adm!$AA$11*$L$16/1.16,IF(Adm!$B$4=Adm!$A$119,0,Adm!$AA$11*Adm!$X$4/1.16)))</f>
        <v>0</v>
      </c>
      <c r="I130" s="123">
        <f>IF(L129&lt;0.01,0,Cal!$AB$126/1.16)</f>
        <v>0</v>
      </c>
      <c r="J130" s="123">
        <f t="shared" si="164"/>
        <v>0</v>
      </c>
      <c r="K130" s="123">
        <f>IF(Adm!$G$4="si",MIN(L129+D130+G130+H130+I130-J130,V130),0)</f>
        <v>0</v>
      </c>
      <c r="L130" s="123">
        <f t="shared" si="196"/>
        <v>0</v>
      </c>
      <c r="M130" s="74"/>
      <c r="N130" s="74"/>
      <c r="O130" s="407">
        <f t="shared" si="197"/>
        <v>0</v>
      </c>
      <c r="R130" s="90">
        <f t="shared" si="198"/>
        <v>10</v>
      </c>
      <c r="S130" s="121">
        <f>IF(R130=1,Cal!$AB$127,0)</f>
        <v>0</v>
      </c>
      <c r="U130" s="70">
        <f t="shared" si="262"/>
        <v>0</v>
      </c>
      <c r="V130" s="2178">
        <f t="shared" ca="1" si="199"/>
        <v>0</v>
      </c>
      <c r="X130" s="398"/>
      <c r="Z130" s="268">
        <f t="shared" si="165"/>
        <v>0</v>
      </c>
      <c r="AA130" s="2176">
        <f t="shared" si="200"/>
        <v>0</v>
      </c>
      <c r="AB130" s="33">
        <f t="shared" si="201"/>
        <v>0</v>
      </c>
      <c r="AC130" s="33">
        <f t="shared" si="202"/>
        <v>0</v>
      </c>
      <c r="AD130" s="33">
        <f>IF(AI129&lt;0.01,0,IF(Adm!$S$4=Adm!$S$8,AI129*$AI$15,AI129*Adm!$V$4))</f>
        <v>0</v>
      </c>
      <c r="AE130" s="33"/>
      <c r="AF130" s="33"/>
      <c r="AG130" s="33">
        <f t="shared" si="166"/>
        <v>0</v>
      </c>
      <c r="AH130" s="33"/>
      <c r="AI130" s="401">
        <f t="shared" si="167"/>
        <v>0</v>
      </c>
      <c r="AK130" s="410">
        <f t="shared" si="168"/>
        <v>0</v>
      </c>
      <c r="AN130" s="90">
        <f t="shared" si="203"/>
        <v>10</v>
      </c>
      <c r="AO130" s="121">
        <f>IF(AN130=1,Cal!$AC$127,0)</f>
        <v>0</v>
      </c>
      <c r="AS130" s="200"/>
      <c r="AU130" s="268">
        <f t="shared" si="169"/>
        <v>0</v>
      </c>
      <c r="AV130" s="2177">
        <f t="shared" si="204"/>
        <v>0</v>
      </c>
      <c r="AW130" s="123">
        <f t="shared" si="170"/>
        <v>0</v>
      </c>
      <c r="AX130" s="123">
        <f t="shared" si="205"/>
        <v>0</v>
      </c>
      <c r="AY130" s="123">
        <f>IF(BC129&lt;0.01,0,IF(Adm!$S$4=Adm!$S$8,BC129*$BC$16,BC129*Adm!$V$4))</f>
        <v>0</v>
      </c>
      <c r="AZ130" s="123"/>
      <c r="BA130" s="123">
        <f>IF(BC129&lt;0.01,0,Adm!$Q$6)</f>
        <v>0</v>
      </c>
      <c r="BB130" s="123">
        <f t="shared" si="171"/>
        <v>0</v>
      </c>
      <c r="BC130" s="297">
        <f t="shared" si="206"/>
        <v>0</v>
      </c>
      <c r="BE130" s="425">
        <f t="shared" si="172"/>
        <v>0</v>
      </c>
      <c r="BH130" s="90">
        <f t="shared" si="207"/>
        <v>10</v>
      </c>
      <c r="BI130" s="121">
        <f>IF(BH130=1,Cal!$AD$127,0)</f>
        <v>0</v>
      </c>
      <c r="BM130" s="221"/>
      <c r="BO130" s="295">
        <f t="shared" ca="1" si="173"/>
        <v>1</v>
      </c>
      <c r="BP130" s="268">
        <f t="shared" si="174"/>
        <v>0</v>
      </c>
      <c r="BQ130" s="123">
        <f t="shared" si="208"/>
        <v>0</v>
      </c>
      <c r="BR130" s="123">
        <f t="shared" si="288"/>
        <v>0</v>
      </c>
      <c r="BS130" s="123">
        <f t="shared" si="296"/>
        <v>0</v>
      </c>
      <c r="BT130" s="123">
        <f>IF(BZ129&lt;0.01,0,IF(Plus!$F$22=Plus!$AN$4,BZ129*$BZ$15,IF(Plus!$F$22=Plus!$AN$3,BZ129*Plus!$F$23/1000,BZ129*VLOOKUP(Plus!$G$21,Plus!$AP$2:'Plus'!$AQ$5,2,0))))</f>
        <v>0</v>
      </c>
      <c r="BU130" s="123">
        <f>IF(BZ129&lt;0.01,0,IF(Plus!$F$24=Plus!$AO$3,Plus!$G$13*Plus!$AR$2/1.16,IF(Plus!$F$10=Plus!$AK$7,0,Plus!$G$13*Plus!$AR$2/1.16)))</f>
        <v>0</v>
      </c>
      <c r="BV130" s="123">
        <f>IF(BZ129&lt;0.01,0,Plus!$BD$2)</f>
        <v>0</v>
      </c>
      <c r="BW130" s="123"/>
      <c r="BX130" s="123">
        <f t="shared" si="175"/>
        <v>0</v>
      </c>
      <c r="BY130" s="123">
        <f>IF(Plus!$F$10=Plus!$AK$3,MIN(BZ129+BQ130+BT130+BU130+BV130-BX130,CJ130),0)</f>
        <v>0</v>
      </c>
      <c r="BZ130" s="297">
        <f t="shared" si="280"/>
        <v>0</v>
      </c>
      <c r="CA130" s="74"/>
      <c r="CB130" s="74"/>
      <c r="CC130" s="413">
        <f t="shared" si="209"/>
        <v>0</v>
      </c>
      <c r="CF130" s="90">
        <f t="shared" si="210"/>
        <v>10</v>
      </c>
      <c r="CG130" s="121">
        <f t="shared" si="263"/>
        <v>0</v>
      </c>
      <c r="CI130" s="70">
        <f t="shared" si="264"/>
        <v>0</v>
      </c>
      <c r="CJ130" s="2178">
        <f t="shared" ca="1" si="211"/>
        <v>0</v>
      </c>
      <c r="CL130" s="161"/>
      <c r="CN130" s="308">
        <f t="shared" ca="1" si="176"/>
        <v>1</v>
      </c>
      <c r="CO130" s="309">
        <f t="shared" si="212"/>
        <v>0</v>
      </c>
      <c r="CP130" s="268">
        <f t="shared" si="177"/>
        <v>0</v>
      </c>
      <c r="CQ130" s="123">
        <f t="shared" si="213"/>
        <v>0</v>
      </c>
      <c r="CR130" s="123">
        <f t="shared" si="289"/>
        <v>0</v>
      </c>
      <c r="CS130" s="123">
        <f t="shared" si="290"/>
        <v>0</v>
      </c>
      <c r="CT130" s="33">
        <f>IF(CZ129&lt;0.01,0,IF(Plus!$F$22=Plus!$AN$4,0,IF(Plus!$F$22=Plus!$AN$3,CZ129*Plus!$F$23/1000,CZ129*VLOOKUP(Plus!$G$21,Plus!$AP$2:'Plus'!$AQ$5,2,0))))</f>
        <v>0</v>
      </c>
      <c r="CU130" s="123">
        <f>IF(CZ129&lt;0.01,0,IF(Plus!$F$24=Plus!$AO$3,0,IF(OR(Plus!$F$10=Plus!$AK$7,Plus!$F$10=Plus!$AK$13),0,Plus!$G$13*Plus!$AR$2)))</f>
        <v>0</v>
      </c>
      <c r="CV130" s="123">
        <f>IF(CZ129&lt;0.01,0,IF(OR(Plus!$F$10=Plus!$AK$7,Plus!$F$10=Plus!$AK$13),0,Plus!$BD$2*1.16))</f>
        <v>0</v>
      </c>
      <c r="CW130" s="123">
        <f>IF(CZ129&lt;0.01,0,IF(Plus!$AS$2&gt;0,CQ130*Plus!$AS$3,0))</f>
        <v>0</v>
      </c>
      <c r="CX130" s="123">
        <f t="shared" si="214"/>
        <v>0</v>
      </c>
      <c r="CY130" s="123">
        <f>IF(Plus!$F$10=Plus!$AK$3,MIN(CZ129+CQ130+CT130+CU130+CV130-CX130,DK130),0)</f>
        <v>0</v>
      </c>
      <c r="CZ130" s="297">
        <f t="shared" si="294"/>
        <v>0</v>
      </c>
      <c r="DA130" s="306">
        <f>Plus!O171</f>
        <v>0</v>
      </c>
      <c r="DB130" s="74"/>
      <c r="DC130" s="74"/>
      <c r="DD130" s="407">
        <f t="shared" si="215"/>
        <v>0</v>
      </c>
      <c r="DG130" s="90">
        <f t="shared" si="216"/>
        <v>10</v>
      </c>
      <c r="DH130" s="121">
        <f t="shared" si="265"/>
        <v>0</v>
      </c>
      <c r="DJ130" s="149">
        <f t="shared" si="266"/>
        <v>0</v>
      </c>
      <c r="DK130" s="2179">
        <f t="shared" ca="1" si="217"/>
        <v>0</v>
      </c>
      <c r="DN130" s="120">
        <f t="shared" si="267"/>
        <v>0</v>
      </c>
      <c r="DO130" s="110">
        <f t="shared" si="218"/>
        <v>0</v>
      </c>
      <c r="DP130" s="110">
        <f t="shared" si="276"/>
        <v>0</v>
      </c>
      <c r="DQ130" s="109">
        <f t="shared" si="219"/>
        <v>0</v>
      </c>
      <c r="DR130" s="109">
        <f t="shared" si="220"/>
        <v>0</v>
      </c>
      <c r="DS130" s="113">
        <f t="shared" si="221"/>
        <v>0</v>
      </c>
      <c r="DU130" s="102">
        <f t="shared" si="222"/>
        <v>0</v>
      </c>
      <c r="DV130" s="211">
        <f t="shared" si="277"/>
        <v>106</v>
      </c>
      <c r="DW130" s="212">
        <f t="shared" si="223"/>
        <v>0</v>
      </c>
      <c r="DX130" s="212">
        <f t="shared" si="178"/>
        <v>0</v>
      </c>
      <c r="DY130" s="212">
        <f t="shared" si="268"/>
        <v>0</v>
      </c>
      <c r="DZ130" s="213">
        <f t="shared" si="179"/>
        <v>1000000</v>
      </c>
      <c r="ED130" s="182"/>
      <c r="EF130" s="308">
        <f t="shared" ca="1" si="180"/>
        <v>1</v>
      </c>
      <c r="EG130" s="309">
        <f t="shared" si="224"/>
        <v>0</v>
      </c>
      <c r="EH130" s="268">
        <f t="shared" si="181"/>
        <v>0</v>
      </c>
      <c r="EI130" s="33">
        <f t="shared" si="225"/>
        <v>0</v>
      </c>
      <c r="EJ130" s="33">
        <f t="shared" si="291"/>
        <v>0</v>
      </c>
      <c r="EK130" s="33">
        <f t="shared" si="297"/>
        <v>0</v>
      </c>
      <c r="EL130" s="33">
        <f>IF(ER129&lt;0.01,0,IF(Plus!$F$22=Plus!$AN$4,0,IF(Plus!$F$22=Plus!$AN$3,ER129*Plus!$F$23/1000,ER129*VLOOKUP(Plus!$G$21,Plus!$AP$2:'Plus'!$AQ$5,2,0))))</f>
        <v>0</v>
      </c>
      <c r="EM130" s="33">
        <f>IF(ER129&lt;0.01,0,IF(Plus!$F$24=Plus!$AO$3,0,IF(OR(Plus!$F$10=Plus!$AK$7,Plus!$F$10=Plus!$AK$13),0,Plus!$G$13*Plus!$AR$2)))</f>
        <v>0</v>
      </c>
      <c r="EN130" s="33">
        <f>IF(ER129&lt;0.01,0,IF(OR(Plus!$F$10=Plus!$AK$7,Plus!$F$10=Plus!$AK$13),0,Plus!$BD$2*1.16))</f>
        <v>0</v>
      </c>
      <c r="EO130" s="33">
        <f>IF(ER129&lt;0.01,0,IF(Plus!$AS$2&gt;0,EI130*Plus!$AS$3,0))</f>
        <v>0</v>
      </c>
      <c r="EP130" s="33">
        <f t="shared" si="226"/>
        <v>0</v>
      </c>
      <c r="EQ130" s="33">
        <f>IF(Plus!$F$10=Plus!$AK$3,MIN(ER129+EI130+EL130+EM130+EN130-EP130,FC130),0)</f>
        <v>0</v>
      </c>
      <c r="ER130" s="311">
        <f t="shared" si="285"/>
        <v>0</v>
      </c>
      <c r="ES130" s="340">
        <f>Plus!O171</f>
        <v>0</v>
      </c>
      <c r="ET130" s="74"/>
      <c r="EU130" s="74"/>
      <c r="EV130" s="416">
        <f t="shared" si="281"/>
        <v>0</v>
      </c>
      <c r="EY130" s="90">
        <f t="shared" si="227"/>
        <v>10</v>
      </c>
      <c r="EZ130" s="121">
        <f t="shared" si="269"/>
        <v>0</v>
      </c>
      <c r="FB130" s="149">
        <f t="shared" si="270"/>
        <v>0</v>
      </c>
      <c r="FC130" s="2179">
        <f t="shared" ca="1" si="228"/>
        <v>0</v>
      </c>
      <c r="FE130" s="120">
        <f t="shared" si="271"/>
        <v>0</v>
      </c>
      <c r="FF130" s="110">
        <f t="shared" si="229"/>
        <v>0</v>
      </c>
      <c r="FG130" s="110">
        <f t="shared" si="230"/>
        <v>0</v>
      </c>
      <c r="FH130" s="109">
        <f t="shared" si="231"/>
        <v>0</v>
      </c>
      <c r="FI130" s="109">
        <f t="shared" si="182"/>
        <v>0</v>
      </c>
      <c r="FJ130" s="113">
        <f t="shared" si="232"/>
        <v>0</v>
      </c>
      <c r="FL130" s="102">
        <f t="shared" si="233"/>
        <v>0</v>
      </c>
      <c r="FM130" s="211">
        <f t="shared" si="278"/>
        <v>106</v>
      </c>
      <c r="FN130" s="212">
        <f t="shared" si="234"/>
        <v>0</v>
      </c>
      <c r="FO130" s="212">
        <f t="shared" si="183"/>
        <v>0</v>
      </c>
      <c r="FP130" s="212">
        <f t="shared" si="300"/>
        <v>0</v>
      </c>
      <c r="FQ130" s="213">
        <f t="shared" si="184"/>
        <v>1000000</v>
      </c>
      <c r="FV130" s="359"/>
      <c r="FX130" s="308">
        <f t="shared" ca="1" si="185"/>
        <v>1</v>
      </c>
      <c r="FY130" s="309">
        <f t="shared" si="235"/>
        <v>0</v>
      </c>
      <c r="FZ130" s="268">
        <f t="shared" si="186"/>
        <v>0</v>
      </c>
      <c r="GA130" s="33">
        <f t="shared" si="236"/>
        <v>0</v>
      </c>
      <c r="GB130" s="33">
        <f t="shared" si="292"/>
        <v>0</v>
      </c>
      <c r="GC130" s="33">
        <f t="shared" si="293"/>
        <v>0</v>
      </c>
      <c r="GD130" s="33">
        <f>IF(GJ129&lt;0.01,0,IF(Plus!$F$22=Plus!$AN$4,0,IF(Plus!$F$22=Plus!$AN$3,GJ129*Plus!$F$23/1000,GJ129*VLOOKUP(Plus!$G$21,Plus!$AP$2:$AQ$5,2,0))))</f>
        <v>0</v>
      </c>
      <c r="GE130" s="33">
        <f>IF(GJ129&lt;0.01,0,IF(Plus!$F$24=Plus!$AO$3,0,IF(OR(Plus!$F$10=Plus!$AK$7,Plus!$F$10=Plus!$AK$13,Plus!$F$10=Plus!$AK$14),0,IF(OR(Plus!$F$10=Plus!$AK$10,Plus!$F$10=Plus!$AK$11),Plus!$G$13*Adm!$W$7,Plus!$G$13*Adm!$X$4))))</f>
        <v>0</v>
      </c>
      <c r="GF130" s="33">
        <f>IF(GJ129&lt;0.01,0,IF(OR(Plus!$F$10=Plus!$AK$7,Plus!$F$10=Plus!$AK$13),0,Plus!$BD$2*1.16))</f>
        <v>0</v>
      </c>
      <c r="GG130" s="33">
        <f>IF(GJ129&lt;0.01,0,IF(Plus!$AS$2&gt;0,GA130*Plus!$AS$3,0))</f>
        <v>0</v>
      </c>
      <c r="GH130" s="33">
        <f t="shared" si="237"/>
        <v>0</v>
      </c>
      <c r="GI130" s="33">
        <f>IF(Plus!$F$10=Plus!$AK$3,MIN(GJ129+GA130+GD130+GE130+GF130-GH130,GU130),0)</f>
        <v>0</v>
      </c>
      <c r="GJ130" s="311">
        <f t="shared" si="286"/>
        <v>0</v>
      </c>
      <c r="GK130" s="340">
        <f>Plus!O171</f>
        <v>0</v>
      </c>
      <c r="GL130" s="74"/>
      <c r="GM130" s="74"/>
      <c r="GN130" s="419">
        <f t="shared" si="283"/>
        <v>0</v>
      </c>
      <c r="GQ130" s="90">
        <f t="shared" si="238"/>
        <v>10</v>
      </c>
      <c r="GR130" s="121">
        <f t="shared" si="272"/>
        <v>0</v>
      </c>
      <c r="GT130" s="149">
        <f t="shared" si="273"/>
        <v>0</v>
      </c>
      <c r="GU130" s="2179">
        <f t="shared" ca="1" si="239"/>
        <v>0</v>
      </c>
      <c r="GW130" s="120">
        <f t="shared" si="274"/>
        <v>0</v>
      </c>
      <c r="GX130" s="110">
        <f t="shared" si="240"/>
        <v>0</v>
      </c>
      <c r="GY130" s="110">
        <f t="shared" si="241"/>
        <v>0</v>
      </c>
      <c r="GZ130" s="109">
        <f t="shared" si="242"/>
        <v>0</v>
      </c>
      <c r="HA130" s="109">
        <f t="shared" si="187"/>
        <v>0</v>
      </c>
      <c r="HB130" s="113">
        <f t="shared" si="243"/>
        <v>0</v>
      </c>
      <c r="HD130" s="102">
        <f t="shared" si="244"/>
        <v>0</v>
      </c>
      <c r="HE130" s="211">
        <f t="shared" si="279"/>
        <v>106</v>
      </c>
      <c r="HF130" s="212">
        <f t="shared" si="245"/>
        <v>0</v>
      </c>
      <c r="HG130" s="212">
        <f t="shared" si="188"/>
        <v>0</v>
      </c>
      <c r="HH130" s="212">
        <f t="shared" si="301"/>
        <v>0</v>
      </c>
      <c r="HI130" s="213">
        <f t="shared" si="189"/>
        <v>1000000</v>
      </c>
      <c r="HL130" s="182"/>
      <c r="HM130" s="26">
        <f t="shared" ca="1" si="190"/>
        <v>1</v>
      </c>
      <c r="HO130" s="268">
        <f t="shared" si="191"/>
        <v>0</v>
      </c>
      <c r="HP130" s="151">
        <f t="shared" si="302"/>
        <v>0</v>
      </c>
      <c r="HQ130" s="123">
        <f t="shared" si="246"/>
        <v>0</v>
      </c>
      <c r="HR130" s="123">
        <f t="shared" si="247"/>
        <v>0</v>
      </c>
      <c r="HS130" s="123">
        <f t="shared" si="248"/>
        <v>0</v>
      </c>
      <c r="HT130" s="123">
        <f>IF(HY129&lt;0.01,0,IF(Adm!$GS$4=Adm!$GS$8,HY129*$HY$15,IF(Adm!$GS$12=Adm!$GS$13,0,HY129*Adm!$GV$4)))</f>
        <v>0</v>
      </c>
      <c r="HU130" s="123">
        <f>IF(HY129&lt;0.01,0,IF(Adm!$GS$5=Adm!$GS$8,Cal!$BO$108*$HY$16/1.16,IF(Adm!$GS$12=Adm!$GS$13,0,Cal!$BO$108*Adm!$GW$4/1.16)))</f>
        <v>0</v>
      </c>
      <c r="HV130" s="123">
        <f t="shared" si="249"/>
        <v>0</v>
      </c>
      <c r="HW130" s="123">
        <f t="shared" si="192"/>
        <v>0</v>
      </c>
      <c r="HX130" s="123">
        <f>IF(Adm!$GH$6="si",MIN(HY129+HQ130+HT130+HU130+HV130-HW130,IH130),0)</f>
        <v>0</v>
      </c>
      <c r="HY130" s="297">
        <f t="shared" si="250"/>
        <v>0</v>
      </c>
      <c r="HZ130" s="74"/>
      <c r="IA130" s="407">
        <f t="shared" si="251"/>
        <v>0</v>
      </c>
      <c r="IC130" s="90">
        <f t="shared" si="252"/>
        <v>10</v>
      </c>
      <c r="ID130" s="124">
        <f>IF(IC130=1,Cal!$BO$127,0)</f>
        <v>0</v>
      </c>
      <c r="IE130" s="178">
        <f>IF(IC130=1,Adm!$HI$4,0)</f>
        <v>0</v>
      </c>
      <c r="IG130" s="70">
        <f t="shared" si="275"/>
        <v>0</v>
      </c>
      <c r="IH130" s="2178">
        <f t="shared" ca="1" si="253"/>
        <v>0</v>
      </c>
      <c r="IK130" s="217"/>
      <c r="IL130" s="26">
        <f t="shared" ca="1" si="193"/>
        <v>1</v>
      </c>
      <c r="IN130" s="268">
        <f t="shared" si="194"/>
        <v>0</v>
      </c>
      <c r="IO130" s="151">
        <f t="shared" si="303"/>
        <v>0</v>
      </c>
      <c r="IP130" s="123">
        <f t="shared" si="254"/>
        <v>0</v>
      </c>
      <c r="IQ130" s="123">
        <f t="shared" si="255"/>
        <v>0</v>
      </c>
      <c r="IR130" s="123">
        <f t="shared" si="256"/>
        <v>0</v>
      </c>
      <c r="IS130" s="123">
        <f>IF(IX129&lt;0.01,0,IF(Adm!$GS$4=Adm!$GS$8,IX129*$IX$15,IF(Adm!$GS$12=Adm!$GS$13,0,IX129*Adm!$GV$4)))</f>
        <v>0</v>
      </c>
      <c r="IT130" s="123"/>
      <c r="IU130" s="123">
        <f t="shared" si="257"/>
        <v>0</v>
      </c>
      <c r="IV130" s="123">
        <f t="shared" si="258"/>
        <v>0</v>
      </c>
      <c r="IW130" s="123"/>
      <c r="IX130" s="297">
        <f t="shared" si="259"/>
        <v>0</v>
      </c>
      <c r="IY130" s="74"/>
      <c r="IZ130" s="416">
        <f t="shared" si="260"/>
        <v>0</v>
      </c>
      <c r="JB130" s="90">
        <f t="shared" si="261"/>
        <v>10</v>
      </c>
      <c r="JC130" s="124">
        <f>IF(JB130=1,Cal!$BP$127,0)</f>
        <v>0</v>
      </c>
      <c r="JD130" s="178">
        <f>IF(JB130=1,Adm!$HI$4,0)</f>
        <v>0</v>
      </c>
    </row>
    <row r="131" spans="1:264">
      <c r="A131" s="26">
        <f t="shared" ca="1" si="162"/>
        <v>2</v>
      </c>
      <c r="C131" s="33">
        <f t="shared" si="163"/>
        <v>0</v>
      </c>
      <c r="D131" s="123">
        <f t="shared" si="195"/>
        <v>0</v>
      </c>
      <c r="E131" s="123">
        <f t="shared" si="287"/>
        <v>0</v>
      </c>
      <c r="F131" s="123">
        <f t="shared" si="295"/>
        <v>0</v>
      </c>
      <c r="G131" s="123">
        <f>IF(L130&lt;0.01,0,IF(Adm!$S$4=Adm!$S$8,L130*$L$15,L130*Adm!$V$4))</f>
        <v>0</v>
      </c>
      <c r="H131" s="123">
        <f>IF(L130&lt;0.01,0,IF(Adm!$S$5=Adm!$S$8,Adm!$AA$11*$L$16/1.16,IF(Adm!$B$4=Adm!$A$119,0,Adm!$AA$11*Adm!$X$4/1.16)))</f>
        <v>0</v>
      </c>
      <c r="I131" s="123">
        <f>IF(L130&lt;0.01,0,Cal!$AB$126/1.16)</f>
        <v>0</v>
      </c>
      <c r="J131" s="123">
        <f t="shared" si="164"/>
        <v>0</v>
      </c>
      <c r="K131" s="123">
        <f>IF(Adm!$G$4="si",MIN(L130+D131+G131+H131+I131-J131,V131),0)</f>
        <v>0</v>
      </c>
      <c r="L131" s="123">
        <f t="shared" si="196"/>
        <v>0</v>
      </c>
      <c r="M131" s="74"/>
      <c r="N131" s="74"/>
      <c r="O131" s="407">
        <f t="shared" si="197"/>
        <v>0</v>
      </c>
      <c r="R131" s="90">
        <f t="shared" si="198"/>
        <v>11</v>
      </c>
      <c r="S131" s="121">
        <f>IF(R131=1,Cal!$AB$127,0)</f>
        <v>0</v>
      </c>
      <c r="U131" s="70">
        <f t="shared" si="262"/>
        <v>0</v>
      </c>
      <c r="V131" s="2178">
        <f t="shared" ca="1" si="199"/>
        <v>0</v>
      </c>
      <c r="X131" s="398"/>
      <c r="Z131" s="268">
        <f t="shared" si="165"/>
        <v>0</v>
      </c>
      <c r="AA131" s="2176">
        <f t="shared" si="200"/>
        <v>0</v>
      </c>
      <c r="AB131" s="33">
        <f t="shared" si="201"/>
        <v>0</v>
      </c>
      <c r="AC131" s="33">
        <f t="shared" si="202"/>
        <v>0</v>
      </c>
      <c r="AD131" s="33">
        <f>IF(AI130&lt;0.01,0,IF(Adm!$S$4=Adm!$S$8,AI130*$AI$15,AI130*Adm!$V$4))</f>
        <v>0</v>
      </c>
      <c r="AE131" s="33"/>
      <c r="AF131" s="33"/>
      <c r="AG131" s="33">
        <f t="shared" si="166"/>
        <v>0</v>
      </c>
      <c r="AH131" s="33"/>
      <c r="AI131" s="401">
        <f t="shared" si="167"/>
        <v>0</v>
      </c>
      <c r="AK131" s="410">
        <f t="shared" si="168"/>
        <v>0</v>
      </c>
      <c r="AN131" s="90">
        <f t="shared" si="203"/>
        <v>11</v>
      </c>
      <c r="AO131" s="121">
        <f>IF(AN131=1,Cal!$AC$127,0)</f>
        <v>0</v>
      </c>
      <c r="AS131" s="200"/>
      <c r="AU131" s="268">
        <f t="shared" si="169"/>
        <v>0</v>
      </c>
      <c r="AV131" s="2177">
        <f t="shared" si="204"/>
        <v>0</v>
      </c>
      <c r="AW131" s="123">
        <f t="shared" si="170"/>
        <v>0</v>
      </c>
      <c r="AX131" s="123">
        <f t="shared" si="205"/>
        <v>0</v>
      </c>
      <c r="AY131" s="123">
        <f>IF(BC130&lt;0.01,0,IF(Adm!$S$4=Adm!$S$8,BC130*$BC$16,BC130*Adm!$V$4))</f>
        <v>0</v>
      </c>
      <c r="AZ131" s="123"/>
      <c r="BA131" s="123">
        <f>IF(BC130&lt;0.01,0,Adm!$Q$6)</f>
        <v>0</v>
      </c>
      <c r="BB131" s="123">
        <f t="shared" si="171"/>
        <v>0</v>
      </c>
      <c r="BC131" s="297">
        <f t="shared" si="206"/>
        <v>0</v>
      </c>
      <c r="BE131" s="425">
        <f t="shared" si="172"/>
        <v>0</v>
      </c>
      <c r="BH131" s="90">
        <f t="shared" si="207"/>
        <v>11</v>
      </c>
      <c r="BI131" s="121">
        <f>IF(BH131=1,Cal!$AD$127,0)</f>
        <v>0</v>
      </c>
      <c r="BM131" s="221"/>
      <c r="BO131" s="295">
        <f t="shared" ca="1" si="173"/>
        <v>2</v>
      </c>
      <c r="BP131" s="268">
        <f t="shared" si="174"/>
        <v>0</v>
      </c>
      <c r="BQ131" s="123">
        <f t="shared" si="208"/>
        <v>0</v>
      </c>
      <c r="BR131" s="123">
        <f t="shared" si="288"/>
        <v>0</v>
      </c>
      <c r="BS131" s="123">
        <f t="shared" si="296"/>
        <v>0</v>
      </c>
      <c r="BT131" s="123">
        <f>IF(BZ130&lt;0.01,0,IF(Plus!$F$22=Plus!$AN$4,BZ130*$BZ$15,IF(Plus!$F$22=Plus!$AN$3,BZ130*Plus!$F$23/1000,BZ130*VLOOKUP(Plus!$G$21,Plus!$AP$2:'Plus'!$AQ$5,2,0))))</f>
        <v>0</v>
      </c>
      <c r="BU131" s="123">
        <f>IF(BZ130&lt;0.01,0,IF(Plus!$F$24=Plus!$AO$3,Plus!$G$13*Plus!$AR$2/1.16,IF(Plus!$F$10=Plus!$AK$7,0,Plus!$G$13*Plus!$AR$2/1.16)))</f>
        <v>0</v>
      </c>
      <c r="BV131" s="123">
        <f>IF(BZ130&lt;0.01,0,Plus!$BD$2)</f>
        <v>0</v>
      </c>
      <c r="BW131" s="123"/>
      <c r="BX131" s="123">
        <f t="shared" si="175"/>
        <v>0</v>
      </c>
      <c r="BY131" s="123">
        <f>IF(Plus!$F$10=Plus!$AK$3,MIN(BZ130+BQ131+BT131+BU131+BV131-BX131,CJ131),0)</f>
        <v>0</v>
      </c>
      <c r="BZ131" s="297">
        <f t="shared" si="280"/>
        <v>0</v>
      </c>
      <c r="CA131" s="74"/>
      <c r="CB131" s="74"/>
      <c r="CC131" s="413">
        <f t="shared" si="209"/>
        <v>0</v>
      </c>
      <c r="CF131" s="90">
        <f t="shared" si="210"/>
        <v>11</v>
      </c>
      <c r="CG131" s="121">
        <f t="shared" si="263"/>
        <v>0</v>
      </c>
      <c r="CI131" s="70">
        <f t="shared" si="264"/>
        <v>0</v>
      </c>
      <c r="CJ131" s="2178">
        <f t="shared" ca="1" si="211"/>
        <v>0</v>
      </c>
      <c r="CL131" s="161"/>
      <c r="CN131" s="308">
        <f t="shared" ca="1" si="176"/>
        <v>2</v>
      </c>
      <c r="CO131" s="309">
        <f t="shared" si="212"/>
        <v>0</v>
      </c>
      <c r="CP131" s="268">
        <f t="shared" si="177"/>
        <v>0</v>
      </c>
      <c r="CQ131" s="123">
        <f t="shared" si="213"/>
        <v>0</v>
      </c>
      <c r="CR131" s="123">
        <f t="shared" si="289"/>
        <v>0</v>
      </c>
      <c r="CS131" s="123">
        <f t="shared" si="290"/>
        <v>0</v>
      </c>
      <c r="CT131" s="33">
        <f>IF(CZ130&lt;0.01,0,IF(Plus!$F$22=Plus!$AN$4,0,IF(Plus!$F$22=Plus!$AN$3,CZ130*Plus!$F$23/1000,CZ130*VLOOKUP(Plus!$G$21,Plus!$AP$2:'Plus'!$AQ$5,2,0))))</f>
        <v>0</v>
      </c>
      <c r="CU131" s="123">
        <f>IF(CZ130&lt;0.01,0,IF(Plus!$F$24=Plus!$AO$3,0,IF(OR(Plus!$F$10=Plus!$AK$7,Plus!$F$10=Plus!$AK$13),0,Plus!$G$13*Plus!$AR$2)))</f>
        <v>0</v>
      </c>
      <c r="CV131" s="123">
        <f>IF(CZ130&lt;0.01,0,IF(OR(Plus!$F$10=Plus!$AK$7,Plus!$F$10=Plus!$AK$13),0,Plus!$BD$2*1.16))</f>
        <v>0</v>
      </c>
      <c r="CW131" s="123">
        <f>IF(CZ130&lt;0.01,0,IF(Plus!$AS$2&gt;0,CQ131*Plus!$AS$3,0))</f>
        <v>0</v>
      </c>
      <c r="CX131" s="123">
        <f t="shared" si="214"/>
        <v>0</v>
      </c>
      <c r="CY131" s="123">
        <f>IF(Plus!$F$10=Plus!$AK$3,MIN(CZ130+CQ131+CT131+CU131+CV131-CX131,DK131),0)</f>
        <v>0</v>
      </c>
      <c r="CZ131" s="297">
        <f t="shared" si="294"/>
        <v>0</v>
      </c>
      <c r="DA131" s="306">
        <f>Plus!O172</f>
        <v>0</v>
      </c>
      <c r="DB131" s="74"/>
      <c r="DC131" s="74"/>
      <c r="DD131" s="407">
        <f t="shared" si="215"/>
        <v>0</v>
      </c>
      <c r="DG131" s="90">
        <f t="shared" si="216"/>
        <v>11</v>
      </c>
      <c r="DH131" s="121">
        <f t="shared" si="265"/>
        <v>0</v>
      </c>
      <c r="DJ131" s="149">
        <f t="shared" si="266"/>
        <v>0</v>
      </c>
      <c r="DK131" s="2179">
        <f t="shared" ca="1" si="217"/>
        <v>0</v>
      </c>
      <c r="DN131" s="120">
        <f t="shared" si="267"/>
        <v>0</v>
      </c>
      <c r="DO131" s="110">
        <f t="shared" si="218"/>
        <v>0</v>
      </c>
      <c r="DP131" s="110">
        <f t="shared" si="276"/>
        <v>0</v>
      </c>
      <c r="DQ131" s="109">
        <f t="shared" si="219"/>
        <v>0</v>
      </c>
      <c r="DR131" s="109">
        <f t="shared" si="220"/>
        <v>0</v>
      </c>
      <c r="DS131" s="113">
        <f t="shared" si="221"/>
        <v>0</v>
      </c>
      <c r="DU131" s="102">
        <f t="shared" si="222"/>
        <v>0</v>
      </c>
      <c r="DV131" s="211">
        <f t="shared" si="277"/>
        <v>107</v>
      </c>
      <c r="DW131" s="212">
        <f t="shared" si="223"/>
        <v>0</v>
      </c>
      <c r="DX131" s="212">
        <f t="shared" si="178"/>
        <v>0</v>
      </c>
      <c r="DY131" s="212">
        <f t="shared" si="268"/>
        <v>0</v>
      </c>
      <c r="DZ131" s="213">
        <f t="shared" si="179"/>
        <v>1000000</v>
      </c>
      <c r="ED131" s="182"/>
      <c r="EF131" s="308">
        <f t="shared" ca="1" si="180"/>
        <v>2</v>
      </c>
      <c r="EG131" s="309">
        <f t="shared" si="224"/>
        <v>0</v>
      </c>
      <c r="EH131" s="268">
        <f t="shared" si="181"/>
        <v>0</v>
      </c>
      <c r="EI131" s="33">
        <f t="shared" si="225"/>
        <v>0</v>
      </c>
      <c r="EJ131" s="33">
        <f t="shared" si="291"/>
        <v>0</v>
      </c>
      <c r="EK131" s="33">
        <f t="shared" si="297"/>
        <v>0</v>
      </c>
      <c r="EL131" s="33">
        <f>IF(ER130&lt;0.01,0,IF(Plus!$F$22=Plus!$AN$4,0,IF(Plus!$F$22=Plus!$AN$3,ER130*Plus!$F$23/1000,ER130*VLOOKUP(Plus!$G$21,Plus!$AP$2:'Plus'!$AQ$5,2,0))))</f>
        <v>0</v>
      </c>
      <c r="EM131" s="33">
        <f>IF(ER130&lt;0.01,0,IF(Plus!$F$24=Plus!$AO$3,0,IF(OR(Plus!$F$10=Plus!$AK$7,Plus!$F$10=Plus!$AK$13),0,Plus!$G$13*Plus!$AR$2)))</f>
        <v>0</v>
      </c>
      <c r="EN131" s="33">
        <f>IF(ER130&lt;0.01,0,IF(OR(Plus!$F$10=Plus!$AK$7,Plus!$F$10=Plus!$AK$13),0,Plus!$BD$2*1.16))</f>
        <v>0</v>
      </c>
      <c r="EO131" s="33">
        <f>IF(ER130&lt;0.01,0,IF(Plus!$AS$2&gt;0,EI131*Plus!$AS$3,0))</f>
        <v>0</v>
      </c>
      <c r="EP131" s="33">
        <f t="shared" si="226"/>
        <v>0</v>
      </c>
      <c r="EQ131" s="33">
        <f>IF(Plus!$F$10=Plus!$AK$3,MIN(ER130+EI131+EL131+EM131+EN131-EP131,FC131),0)</f>
        <v>0</v>
      </c>
      <c r="ER131" s="311">
        <f t="shared" si="285"/>
        <v>0</v>
      </c>
      <c r="ES131" s="340">
        <f>Plus!O172</f>
        <v>0</v>
      </c>
      <c r="ET131" s="74"/>
      <c r="EU131" s="74"/>
      <c r="EV131" s="416">
        <f t="shared" si="281"/>
        <v>0</v>
      </c>
      <c r="EY131" s="90">
        <f t="shared" si="227"/>
        <v>11</v>
      </c>
      <c r="EZ131" s="121">
        <f t="shared" si="269"/>
        <v>0</v>
      </c>
      <c r="FB131" s="149">
        <f t="shared" si="270"/>
        <v>0</v>
      </c>
      <c r="FC131" s="2179">
        <f t="shared" ca="1" si="228"/>
        <v>0</v>
      </c>
      <c r="FE131" s="120">
        <f t="shared" si="271"/>
        <v>0</v>
      </c>
      <c r="FF131" s="110">
        <f t="shared" si="229"/>
        <v>0</v>
      </c>
      <c r="FG131" s="110">
        <f t="shared" si="230"/>
        <v>0</v>
      </c>
      <c r="FH131" s="109">
        <f t="shared" si="231"/>
        <v>0</v>
      </c>
      <c r="FI131" s="109">
        <f t="shared" si="182"/>
        <v>0</v>
      </c>
      <c r="FJ131" s="113">
        <f t="shared" si="232"/>
        <v>0</v>
      </c>
      <c r="FL131" s="102">
        <f t="shared" si="233"/>
        <v>0</v>
      </c>
      <c r="FM131" s="211">
        <f t="shared" si="278"/>
        <v>107</v>
      </c>
      <c r="FN131" s="212">
        <f t="shared" si="234"/>
        <v>0</v>
      </c>
      <c r="FO131" s="212">
        <f t="shared" si="183"/>
        <v>0</v>
      </c>
      <c r="FP131" s="212">
        <f t="shared" si="300"/>
        <v>0</v>
      </c>
      <c r="FQ131" s="213">
        <f t="shared" si="184"/>
        <v>1000000</v>
      </c>
      <c r="FV131" s="359"/>
      <c r="FX131" s="308">
        <f t="shared" ca="1" si="185"/>
        <v>2</v>
      </c>
      <c r="FY131" s="309">
        <f t="shared" si="235"/>
        <v>0</v>
      </c>
      <c r="FZ131" s="268">
        <f t="shared" si="186"/>
        <v>0</v>
      </c>
      <c r="GA131" s="33">
        <f t="shared" si="236"/>
        <v>0</v>
      </c>
      <c r="GB131" s="33">
        <f t="shared" si="292"/>
        <v>0</v>
      </c>
      <c r="GC131" s="33">
        <f t="shared" si="293"/>
        <v>0</v>
      </c>
      <c r="GD131" s="33">
        <f>IF(GJ130&lt;0.01,0,IF(Plus!$F$22=Plus!$AN$4,0,IF(Plus!$F$22=Plus!$AN$3,GJ130*Plus!$F$23/1000,GJ130*VLOOKUP(Plus!$G$21,Plus!$AP$2:$AQ$5,2,0))))</f>
        <v>0</v>
      </c>
      <c r="GE131" s="33">
        <f>IF(GJ130&lt;0.01,0,IF(Plus!$F$24=Plus!$AO$3,0,IF(OR(Plus!$F$10=Plus!$AK$7,Plus!$F$10=Plus!$AK$13,Plus!$F$10=Plus!$AK$14),0,IF(OR(Plus!$F$10=Plus!$AK$10,Plus!$F$10=Plus!$AK$11),Plus!$G$13*Adm!$W$7,Plus!$G$13*Adm!$X$4))))</f>
        <v>0</v>
      </c>
      <c r="GF131" s="33">
        <f>IF(GJ130&lt;0.01,0,IF(OR(Plus!$F$10=Plus!$AK$7,Plus!$F$10=Plus!$AK$13),0,Plus!$BD$2*1.16))</f>
        <v>0</v>
      </c>
      <c r="GG131" s="33">
        <f>IF(GJ130&lt;0.01,0,IF(Plus!$AS$2&gt;0,GA131*Plus!$AS$3,0))</f>
        <v>0</v>
      </c>
      <c r="GH131" s="33">
        <f t="shared" si="237"/>
        <v>0</v>
      </c>
      <c r="GI131" s="33">
        <f>IF(Plus!$F$10=Plus!$AK$3,MIN(GJ130+GA131+GD131+GE131+GF131-GH131,GU131),0)</f>
        <v>0</v>
      </c>
      <c r="GJ131" s="311">
        <f t="shared" si="286"/>
        <v>0</v>
      </c>
      <c r="GK131" s="340">
        <f>Plus!O172</f>
        <v>0</v>
      </c>
      <c r="GL131" s="74"/>
      <c r="GM131" s="74"/>
      <c r="GN131" s="419">
        <f t="shared" si="283"/>
        <v>0</v>
      </c>
      <c r="GQ131" s="90">
        <f t="shared" si="238"/>
        <v>11</v>
      </c>
      <c r="GR131" s="121">
        <f t="shared" si="272"/>
        <v>0</v>
      </c>
      <c r="GT131" s="149">
        <f t="shared" si="273"/>
        <v>0</v>
      </c>
      <c r="GU131" s="2179">
        <f t="shared" ca="1" si="239"/>
        <v>0</v>
      </c>
      <c r="GW131" s="120">
        <f t="shared" si="274"/>
        <v>0</v>
      </c>
      <c r="GX131" s="110">
        <f t="shared" si="240"/>
        <v>0</v>
      </c>
      <c r="GY131" s="110">
        <f t="shared" si="241"/>
        <v>0</v>
      </c>
      <c r="GZ131" s="109">
        <f t="shared" si="242"/>
        <v>0</v>
      </c>
      <c r="HA131" s="109">
        <f t="shared" si="187"/>
        <v>0</v>
      </c>
      <c r="HB131" s="113">
        <f t="shared" si="243"/>
        <v>0</v>
      </c>
      <c r="HD131" s="102">
        <f t="shared" si="244"/>
        <v>0</v>
      </c>
      <c r="HE131" s="211">
        <f t="shared" si="279"/>
        <v>107</v>
      </c>
      <c r="HF131" s="212">
        <f t="shared" si="245"/>
        <v>0</v>
      </c>
      <c r="HG131" s="212">
        <f t="shared" si="188"/>
        <v>0</v>
      </c>
      <c r="HH131" s="212">
        <f t="shared" si="301"/>
        <v>0</v>
      </c>
      <c r="HI131" s="213">
        <f t="shared" si="189"/>
        <v>1000000</v>
      </c>
      <c r="HL131" s="182"/>
      <c r="HM131" s="26">
        <f t="shared" ca="1" si="190"/>
        <v>2</v>
      </c>
      <c r="HO131" s="268">
        <f t="shared" si="191"/>
        <v>0</v>
      </c>
      <c r="HP131" s="151">
        <f t="shared" si="302"/>
        <v>0</v>
      </c>
      <c r="HQ131" s="123">
        <f t="shared" si="246"/>
        <v>0</v>
      </c>
      <c r="HR131" s="123">
        <f t="shared" si="247"/>
        <v>0</v>
      </c>
      <c r="HS131" s="123">
        <f t="shared" si="248"/>
        <v>0</v>
      </c>
      <c r="HT131" s="123">
        <f>IF(HY130&lt;0.01,0,IF(Adm!$GS$4=Adm!$GS$8,HY130*$HY$15,IF(Adm!$GS$12=Adm!$GS$13,0,HY130*Adm!$GV$4)))</f>
        <v>0</v>
      </c>
      <c r="HU131" s="123">
        <f>IF(HY130&lt;0.01,0,IF(Adm!$GS$5=Adm!$GS$8,Cal!$BO$108*$HY$16/1.16,IF(Adm!$GS$12=Adm!$GS$13,0,Cal!$BO$108*Adm!$GW$4/1.16)))</f>
        <v>0</v>
      </c>
      <c r="HV131" s="123">
        <f t="shared" si="249"/>
        <v>0</v>
      </c>
      <c r="HW131" s="123">
        <f t="shared" si="192"/>
        <v>0</v>
      </c>
      <c r="HX131" s="123">
        <f>IF(Adm!$GH$6="si",MIN(HY130+HQ131+HT131+HU131+HV131-HW131,IH131),0)</f>
        <v>0</v>
      </c>
      <c r="HY131" s="297">
        <f t="shared" si="250"/>
        <v>0</v>
      </c>
      <c r="HZ131" s="74"/>
      <c r="IA131" s="407">
        <f t="shared" si="251"/>
        <v>0</v>
      </c>
      <c r="IC131" s="90">
        <f t="shared" si="252"/>
        <v>11</v>
      </c>
      <c r="ID131" s="124">
        <f>IF(IC131=1,Cal!$BO$127,0)</f>
        <v>0</v>
      </c>
      <c r="IE131" s="178">
        <f>IF(IC131=1,Adm!$HI$4,0)</f>
        <v>0</v>
      </c>
      <c r="IG131" s="70">
        <f t="shared" si="275"/>
        <v>0</v>
      </c>
      <c r="IH131" s="2178">
        <f t="shared" ca="1" si="253"/>
        <v>0</v>
      </c>
      <c r="IK131" s="217"/>
      <c r="IL131" s="26">
        <f t="shared" ca="1" si="193"/>
        <v>2</v>
      </c>
      <c r="IN131" s="268">
        <f t="shared" si="194"/>
        <v>0</v>
      </c>
      <c r="IO131" s="151">
        <f t="shared" si="303"/>
        <v>0</v>
      </c>
      <c r="IP131" s="123">
        <f t="shared" si="254"/>
        <v>0</v>
      </c>
      <c r="IQ131" s="123">
        <f t="shared" si="255"/>
        <v>0</v>
      </c>
      <c r="IR131" s="123">
        <f t="shared" si="256"/>
        <v>0</v>
      </c>
      <c r="IS131" s="123">
        <f>IF(IX130&lt;0.01,0,IF(Adm!$GS$4=Adm!$GS$8,IX130*$IX$15,IF(Adm!$GS$12=Adm!$GS$13,0,IX130*Adm!$GV$4)))</f>
        <v>0</v>
      </c>
      <c r="IT131" s="123"/>
      <c r="IU131" s="123">
        <f t="shared" si="257"/>
        <v>0</v>
      </c>
      <c r="IV131" s="123">
        <f t="shared" si="258"/>
        <v>0</v>
      </c>
      <c r="IW131" s="123"/>
      <c r="IX131" s="297">
        <f t="shared" si="259"/>
        <v>0</v>
      </c>
      <c r="IY131" s="74"/>
      <c r="IZ131" s="416">
        <f t="shared" si="260"/>
        <v>0</v>
      </c>
      <c r="JB131" s="90">
        <f t="shared" si="261"/>
        <v>11</v>
      </c>
      <c r="JC131" s="124">
        <f>IF(JB131=1,Cal!$BP$127,0)</f>
        <v>0</v>
      </c>
      <c r="JD131" s="178">
        <f>IF(JB131=1,Adm!$HI$4,0)</f>
        <v>0</v>
      </c>
    </row>
    <row r="132" spans="1:264">
      <c r="A132" s="26">
        <f t="shared" ca="1" si="162"/>
        <v>3</v>
      </c>
      <c r="C132" s="33">
        <f t="shared" si="163"/>
        <v>0</v>
      </c>
      <c r="D132" s="123">
        <f t="shared" si="195"/>
        <v>0</v>
      </c>
      <c r="E132" s="123">
        <f t="shared" si="287"/>
        <v>0</v>
      </c>
      <c r="F132" s="123">
        <f t="shared" si="295"/>
        <v>0</v>
      </c>
      <c r="G132" s="123">
        <f>IF(L131&lt;0.01,0,IF(Adm!$S$4=Adm!$S$8,L131*$L$15,L131*Adm!$V$4))</f>
        <v>0</v>
      </c>
      <c r="H132" s="123">
        <f>IF(L131&lt;0.01,0,IF(Adm!$S$5=Adm!$S$8,Adm!$AA$11*$L$16/1.16,IF(Adm!$B$4=Adm!$A$119,0,Adm!$AA$11*Adm!$X$4/1.16)))</f>
        <v>0</v>
      </c>
      <c r="I132" s="123">
        <f>IF(L131&lt;0.01,0,Cal!$AB$126/1.16)</f>
        <v>0</v>
      </c>
      <c r="J132" s="123">
        <f t="shared" si="164"/>
        <v>0</v>
      </c>
      <c r="K132" s="123">
        <f>IF(Adm!$G$4="si",MIN(L131+D132+G132+H132+I132-J132,V132),0)</f>
        <v>0</v>
      </c>
      <c r="L132" s="123">
        <f t="shared" si="196"/>
        <v>0</v>
      </c>
      <c r="M132" s="74"/>
      <c r="N132" s="74"/>
      <c r="O132" s="407">
        <f t="shared" si="197"/>
        <v>0</v>
      </c>
      <c r="R132" s="90">
        <f t="shared" si="198"/>
        <v>12</v>
      </c>
      <c r="S132" s="121">
        <f>IF(R132=1,Cal!$AB$127,0)</f>
        <v>0</v>
      </c>
      <c r="U132" s="70">
        <f t="shared" si="262"/>
        <v>0</v>
      </c>
      <c r="V132" s="2178">
        <f t="shared" ca="1" si="199"/>
        <v>0</v>
      </c>
      <c r="X132" s="398"/>
      <c r="Z132" s="268">
        <f t="shared" si="165"/>
        <v>0</v>
      </c>
      <c r="AA132" s="2176">
        <f t="shared" si="200"/>
        <v>0</v>
      </c>
      <c r="AB132" s="33">
        <f t="shared" si="201"/>
        <v>0</v>
      </c>
      <c r="AC132" s="33">
        <f t="shared" si="202"/>
        <v>0</v>
      </c>
      <c r="AD132" s="33">
        <f>IF(AI131&lt;0.01,0,IF(Adm!$S$4=Adm!$S$8,AI131*$AI$15,AI131*Adm!$V$4))</f>
        <v>0</v>
      </c>
      <c r="AE132" s="33"/>
      <c r="AF132" s="33"/>
      <c r="AG132" s="33">
        <f t="shared" si="166"/>
        <v>0</v>
      </c>
      <c r="AH132" s="33"/>
      <c r="AI132" s="401">
        <f t="shared" si="167"/>
        <v>0</v>
      </c>
      <c r="AK132" s="410">
        <f t="shared" si="168"/>
        <v>0</v>
      </c>
      <c r="AN132" s="90">
        <f t="shared" si="203"/>
        <v>12</v>
      </c>
      <c r="AO132" s="121">
        <f>IF(AN132=1,Cal!$AC$127,0)</f>
        <v>0</v>
      </c>
      <c r="AS132" s="200"/>
      <c r="AU132" s="268">
        <f t="shared" si="169"/>
        <v>0</v>
      </c>
      <c r="AV132" s="2177">
        <f t="shared" si="204"/>
        <v>0</v>
      </c>
      <c r="AW132" s="123">
        <f t="shared" si="170"/>
        <v>0</v>
      </c>
      <c r="AX132" s="123">
        <f t="shared" si="205"/>
        <v>0</v>
      </c>
      <c r="AY132" s="123">
        <f>IF(BC131&lt;0.01,0,IF(Adm!$S$4=Adm!$S$8,BC131*$BC$16,BC131*Adm!$V$4))</f>
        <v>0</v>
      </c>
      <c r="AZ132" s="123"/>
      <c r="BA132" s="123">
        <f>IF(BC131&lt;0.01,0,Adm!$Q$6)</f>
        <v>0</v>
      </c>
      <c r="BB132" s="123">
        <f t="shared" si="171"/>
        <v>0</v>
      </c>
      <c r="BC132" s="297">
        <f t="shared" si="206"/>
        <v>0</v>
      </c>
      <c r="BE132" s="425">
        <f t="shared" si="172"/>
        <v>0</v>
      </c>
      <c r="BH132" s="90">
        <f t="shared" si="207"/>
        <v>12</v>
      </c>
      <c r="BI132" s="121">
        <f>IF(BH132=1,Cal!$AD$127,0)</f>
        <v>0</v>
      </c>
      <c r="BM132" s="221"/>
      <c r="BO132" s="295">
        <f t="shared" ca="1" si="173"/>
        <v>3</v>
      </c>
      <c r="BP132" s="268">
        <f t="shared" si="174"/>
        <v>0</v>
      </c>
      <c r="BQ132" s="123">
        <f t="shared" si="208"/>
        <v>0</v>
      </c>
      <c r="BR132" s="123">
        <f t="shared" si="288"/>
        <v>0</v>
      </c>
      <c r="BS132" s="123">
        <f t="shared" si="296"/>
        <v>0</v>
      </c>
      <c r="BT132" s="123">
        <f>IF(BZ131&lt;0.01,0,IF(Plus!$F$22=Plus!$AN$4,BZ131*$BZ$15,IF(Plus!$F$22=Plus!$AN$3,BZ131*Plus!$F$23/1000,BZ131*VLOOKUP(Plus!$G$21,Plus!$AP$2:'Plus'!$AQ$5,2,0))))</f>
        <v>0</v>
      </c>
      <c r="BU132" s="123">
        <f>IF(BZ131&lt;0.01,0,IF(Plus!$F$24=Plus!$AO$3,Plus!$G$13*Plus!$AR$2/1.16,IF(Plus!$F$10=Plus!$AK$7,0,Plus!$G$13*Plus!$AR$2/1.16)))</f>
        <v>0</v>
      </c>
      <c r="BV132" s="123">
        <f>IF(BZ131&lt;0.01,0,Plus!$BD$2)</f>
        <v>0</v>
      </c>
      <c r="BW132" s="123"/>
      <c r="BX132" s="123">
        <f t="shared" si="175"/>
        <v>0</v>
      </c>
      <c r="BY132" s="123">
        <f>IF(Plus!$F$10=Plus!$AK$3,MIN(BZ131+BQ132+BT132+BU132+BV132-BX132,CJ132),0)</f>
        <v>0</v>
      </c>
      <c r="BZ132" s="297">
        <f t="shared" si="280"/>
        <v>0</v>
      </c>
      <c r="CA132" s="74"/>
      <c r="CB132" s="74"/>
      <c r="CC132" s="413">
        <f t="shared" si="209"/>
        <v>0</v>
      </c>
      <c r="CF132" s="90">
        <f t="shared" si="210"/>
        <v>12</v>
      </c>
      <c r="CG132" s="121">
        <f t="shared" si="263"/>
        <v>0</v>
      </c>
      <c r="CI132" s="70">
        <f t="shared" si="264"/>
        <v>0</v>
      </c>
      <c r="CJ132" s="2178">
        <f t="shared" ca="1" si="211"/>
        <v>0</v>
      </c>
      <c r="CL132" s="161"/>
      <c r="CN132" s="308">
        <f t="shared" ca="1" si="176"/>
        <v>3</v>
      </c>
      <c r="CO132" s="309">
        <f t="shared" si="212"/>
        <v>0</v>
      </c>
      <c r="CP132" s="268">
        <f t="shared" si="177"/>
        <v>0</v>
      </c>
      <c r="CQ132" s="123">
        <f t="shared" si="213"/>
        <v>0</v>
      </c>
      <c r="CR132" s="123">
        <f t="shared" si="289"/>
        <v>0</v>
      </c>
      <c r="CS132" s="123">
        <f t="shared" si="290"/>
        <v>0</v>
      </c>
      <c r="CT132" s="33">
        <f>IF(CZ131&lt;0.01,0,IF(Plus!$F$22=Plus!$AN$4,0,IF(Plus!$F$22=Plus!$AN$3,CZ131*Plus!$F$23/1000,CZ131*VLOOKUP(Plus!$G$21,Plus!$AP$2:'Plus'!$AQ$5,2,0))))</f>
        <v>0</v>
      </c>
      <c r="CU132" s="123">
        <f>IF(CZ131&lt;0.01,0,IF(Plus!$F$24=Plus!$AO$3,0,IF(OR(Plus!$F$10=Plus!$AK$7,Plus!$F$10=Plus!$AK$13),0,Plus!$G$13*Plus!$AR$2)))</f>
        <v>0</v>
      </c>
      <c r="CV132" s="123">
        <f>IF(CZ131&lt;0.01,0,IF(OR(Plus!$F$10=Plus!$AK$7,Plus!$F$10=Plus!$AK$13),0,Plus!$BD$2*1.16))</f>
        <v>0</v>
      </c>
      <c r="CW132" s="123">
        <f>IF(CZ131&lt;0.01,0,IF(Plus!$AS$2&gt;0,CQ132*Plus!$AS$3,0))</f>
        <v>0</v>
      </c>
      <c r="CX132" s="123">
        <f t="shared" si="214"/>
        <v>0</v>
      </c>
      <c r="CY132" s="123">
        <f>IF(Plus!$F$10=Plus!$AK$3,MIN(CZ131+CQ132+CT132+CU132+CV132-CX132,DK132),0)</f>
        <v>0</v>
      </c>
      <c r="CZ132" s="297">
        <f t="shared" si="294"/>
        <v>0</v>
      </c>
      <c r="DA132" s="306">
        <f>Plus!O173</f>
        <v>0</v>
      </c>
      <c r="DB132" s="74"/>
      <c r="DC132" s="74"/>
      <c r="DD132" s="407">
        <f t="shared" si="215"/>
        <v>0</v>
      </c>
      <c r="DG132" s="90">
        <f t="shared" si="216"/>
        <v>12</v>
      </c>
      <c r="DH132" s="121">
        <f t="shared" si="265"/>
        <v>0</v>
      </c>
      <c r="DJ132" s="149">
        <f t="shared" si="266"/>
        <v>0</v>
      </c>
      <c r="DK132" s="2179">
        <f t="shared" ca="1" si="217"/>
        <v>0</v>
      </c>
      <c r="DN132" s="120">
        <f t="shared" si="267"/>
        <v>0</v>
      </c>
      <c r="DO132" s="110">
        <f t="shared" si="218"/>
        <v>0</v>
      </c>
      <c r="DP132" s="110">
        <f t="shared" si="276"/>
        <v>0</v>
      </c>
      <c r="DQ132" s="109">
        <f t="shared" si="219"/>
        <v>0</v>
      </c>
      <c r="DR132" s="109">
        <f t="shared" si="220"/>
        <v>0</v>
      </c>
      <c r="DS132" s="113">
        <f t="shared" si="221"/>
        <v>0</v>
      </c>
      <c r="DU132" s="102">
        <f t="shared" si="222"/>
        <v>0</v>
      </c>
      <c r="DV132" s="211">
        <f t="shared" si="277"/>
        <v>108</v>
      </c>
      <c r="DW132" s="212">
        <f t="shared" si="223"/>
        <v>0</v>
      </c>
      <c r="DX132" s="212">
        <f t="shared" si="178"/>
        <v>0</v>
      </c>
      <c r="DY132" s="212">
        <f t="shared" si="268"/>
        <v>0</v>
      </c>
      <c r="DZ132" s="213">
        <f t="shared" si="179"/>
        <v>1000000</v>
      </c>
      <c r="ED132" s="182"/>
      <c r="EF132" s="308">
        <f t="shared" ca="1" si="180"/>
        <v>3</v>
      </c>
      <c r="EG132" s="309">
        <f t="shared" si="224"/>
        <v>0</v>
      </c>
      <c r="EH132" s="268">
        <f t="shared" si="181"/>
        <v>0</v>
      </c>
      <c r="EI132" s="33">
        <f t="shared" si="225"/>
        <v>0</v>
      </c>
      <c r="EJ132" s="33">
        <f t="shared" si="291"/>
        <v>0</v>
      </c>
      <c r="EK132" s="33">
        <f t="shared" si="297"/>
        <v>0</v>
      </c>
      <c r="EL132" s="33">
        <f>IF(ER131&lt;0.01,0,IF(Plus!$F$22=Plus!$AN$4,0,IF(Plus!$F$22=Plus!$AN$3,ER131*Plus!$F$23/1000,ER131*VLOOKUP(Plus!$G$21,Plus!$AP$2:'Plus'!$AQ$5,2,0))))</f>
        <v>0</v>
      </c>
      <c r="EM132" s="33">
        <f>IF(ER131&lt;0.01,0,IF(Plus!$F$24=Plus!$AO$3,0,IF(OR(Plus!$F$10=Plus!$AK$7,Plus!$F$10=Plus!$AK$13),0,Plus!$G$13*Plus!$AR$2)))</f>
        <v>0</v>
      </c>
      <c r="EN132" s="33">
        <f>IF(ER131&lt;0.01,0,IF(OR(Plus!$F$10=Plus!$AK$7,Plus!$F$10=Plus!$AK$13),0,Plus!$BD$2*1.16))</f>
        <v>0</v>
      </c>
      <c r="EO132" s="33">
        <f>IF(ER131&lt;0.01,0,IF(Plus!$AS$2&gt;0,EI132*Plus!$AS$3,0))</f>
        <v>0</v>
      </c>
      <c r="EP132" s="33">
        <f t="shared" si="226"/>
        <v>0</v>
      </c>
      <c r="EQ132" s="33">
        <f>IF(Plus!$F$10=Plus!$AK$3,MIN(ER131+EI132+EL132+EM132+EN132-EP132,FC132),0)</f>
        <v>0</v>
      </c>
      <c r="ER132" s="311">
        <f t="shared" si="285"/>
        <v>0</v>
      </c>
      <c r="ES132" s="340">
        <f>Plus!O173</f>
        <v>0</v>
      </c>
      <c r="ET132" s="74"/>
      <c r="EU132" s="74"/>
      <c r="EV132" s="416">
        <f t="shared" si="281"/>
        <v>0</v>
      </c>
      <c r="EY132" s="90">
        <f t="shared" si="227"/>
        <v>12</v>
      </c>
      <c r="EZ132" s="121">
        <f t="shared" si="269"/>
        <v>0</v>
      </c>
      <c r="FB132" s="149">
        <f t="shared" si="270"/>
        <v>0</v>
      </c>
      <c r="FC132" s="2179">
        <f t="shared" ca="1" si="228"/>
        <v>0</v>
      </c>
      <c r="FE132" s="120">
        <f t="shared" si="271"/>
        <v>0</v>
      </c>
      <c r="FF132" s="110">
        <f t="shared" si="229"/>
        <v>0</v>
      </c>
      <c r="FG132" s="110">
        <f t="shared" si="230"/>
        <v>0</v>
      </c>
      <c r="FH132" s="109">
        <f t="shared" si="231"/>
        <v>0</v>
      </c>
      <c r="FI132" s="109">
        <f t="shared" si="182"/>
        <v>0</v>
      </c>
      <c r="FJ132" s="113">
        <f t="shared" si="232"/>
        <v>0</v>
      </c>
      <c r="FL132" s="102">
        <f t="shared" si="233"/>
        <v>0</v>
      </c>
      <c r="FM132" s="211">
        <f t="shared" si="278"/>
        <v>108</v>
      </c>
      <c r="FN132" s="212">
        <f t="shared" si="234"/>
        <v>0</v>
      </c>
      <c r="FO132" s="212">
        <f t="shared" si="183"/>
        <v>0</v>
      </c>
      <c r="FP132" s="212">
        <f t="shared" si="300"/>
        <v>0</v>
      </c>
      <c r="FQ132" s="213">
        <f t="shared" si="184"/>
        <v>1000000</v>
      </c>
      <c r="FV132" s="359"/>
      <c r="FX132" s="308">
        <f t="shared" ca="1" si="185"/>
        <v>3</v>
      </c>
      <c r="FY132" s="309">
        <f t="shared" si="235"/>
        <v>0</v>
      </c>
      <c r="FZ132" s="268">
        <f t="shared" si="186"/>
        <v>0</v>
      </c>
      <c r="GA132" s="33">
        <f t="shared" si="236"/>
        <v>0</v>
      </c>
      <c r="GB132" s="33">
        <f t="shared" si="292"/>
        <v>0</v>
      </c>
      <c r="GC132" s="33">
        <f t="shared" si="293"/>
        <v>0</v>
      </c>
      <c r="GD132" s="33">
        <f>IF(GJ131&lt;0.01,0,IF(Plus!$F$22=Plus!$AN$4,0,IF(Plus!$F$22=Plus!$AN$3,GJ131*Plus!$F$23/1000,GJ131*VLOOKUP(Plus!$G$21,Plus!$AP$2:$AQ$5,2,0))))</f>
        <v>0</v>
      </c>
      <c r="GE132" s="33">
        <f>IF(GJ131&lt;0.01,0,IF(Plus!$F$24=Plus!$AO$3,0,IF(OR(Plus!$F$10=Plus!$AK$7,Plus!$F$10=Plus!$AK$13,Plus!$F$10=Plus!$AK$14),0,IF(OR(Plus!$F$10=Plus!$AK$10,Plus!$F$10=Plus!$AK$11),Plus!$G$13*Adm!$W$7,Plus!$G$13*Adm!$X$4))))</f>
        <v>0</v>
      </c>
      <c r="GF132" s="33">
        <f>IF(GJ131&lt;0.01,0,IF(OR(Plus!$F$10=Plus!$AK$7,Plus!$F$10=Plus!$AK$13),0,Plus!$BD$2*1.16))</f>
        <v>0</v>
      </c>
      <c r="GG132" s="33">
        <f>IF(GJ131&lt;0.01,0,IF(Plus!$AS$2&gt;0,GA132*Plus!$AS$3,0))</f>
        <v>0</v>
      </c>
      <c r="GH132" s="33">
        <f t="shared" si="237"/>
        <v>0</v>
      </c>
      <c r="GI132" s="33">
        <f>IF(Plus!$F$10=Plus!$AK$3,MIN(GJ131+GA132+GD132+GE132+GF132-GH132,GU132),0)</f>
        <v>0</v>
      </c>
      <c r="GJ132" s="311">
        <f t="shared" si="286"/>
        <v>0</v>
      </c>
      <c r="GK132" s="340">
        <f>Plus!O173</f>
        <v>0</v>
      </c>
      <c r="GL132" s="74"/>
      <c r="GM132" s="74"/>
      <c r="GN132" s="419">
        <f t="shared" si="283"/>
        <v>0</v>
      </c>
      <c r="GQ132" s="90">
        <f t="shared" si="238"/>
        <v>12</v>
      </c>
      <c r="GR132" s="121">
        <f t="shared" si="272"/>
        <v>0</v>
      </c>
      <c r="GT132" s="149">
        <f t="shared" si="273"/>
        <v>0</v>
      </c>
      <c r="GU132" s="2179">
        <f t="shared" ca="1" si="239"/>
        <v>0</v>
      </c>
      <c r="GW132" s="120">
        <f t="shared" si="274"/>
        <v>0</v>
      </c>
      <c r="GX132" s="110">
        <f t="shared" si="240"/>
        <v>0</v>
      </c>
      <c r="GY132" s="110">
        <f t="shared" si="241"/>
        <v>0</v>
      </c>
      <c r="GZ132" s="109">
        <f t="shared" si="242"/>
        <v>0</v>
      </c>
      <c r="HA132" s="109">
        <f t="shared" si="187"/>
        <v>0</v>
      </c>
      <c r="HB132" s="113">
        <f t="shared" si="243"/>
        <v>0</v>
      </c>
      <c r="HD132" s="102">
        <f t="shared" si="244"/>
        <v>0</v>
      </c>
      <c r="HE132" s="211">
        <f t="shared" si="279"/>
        <v>108</v>
      </c>
      <c r="HF132" s="212">
        <f t="shared" si="245"/>
        <v>0</v>
      </c>
      <c r="HG132" s="212">
        <f t="shared" si="188"/>
        <v>0</v>
      </c>
      <c r="HH132" s="212">
        <f t="shared" si="301"/>
        <v>0</v>
      </c>
      <c r="HI132" s="213">
        <f t="shared" si="189"/>
        <v>1000000</v>
      </c>
      <c r="HL132" s="182"/>
      <c r="HM132" s="26">
        <f t="shared" ca="1" si="190"/>
        <v>3</v>
      </c>
      <c r="HO132" s="268">
        <f t="shared" si="191"/>
        <v>0</v>
      </c>
      <c r="HP132" s="151">
        <f t="shared" si="302"/>
        <v>0</v>
      </c>
      <c r="HQ132" s="123">
        <f t="shared" si="246"/>
        <v>0</v>
      </c>
      <c r="HR132" s="123">
        <f t="shared" si="247"/>
        <v>0</v>
      </c>
      <c r="HS132" s="123">
        <f t="shared" si="248"/>
        <v>0</v>
      </c>
      <c r="HT132" s="123">
        <f>IF(HY131&lt;0.01,0,IF(Adm!$GS$4=Adm!$GS$8,HY131*$HY$15,IF(Adm!$GS$12=Adm!$GS$13,0,HY131*Adm!$GV$4)))</f>
        <v>0</v>
      </c>
      <c r="HU132" s="123">
        <f>IF(HY131&lt;0.01,0,IF(Adm!$GS$5=Adm!$GS$8,Cal!$BO$108*$HY$16/1.16,IF(Adm!$GS$12=Adm!$GS$13,0,Cal!$BO$108*Adm!$GW$4/1.16)))</f>
        <v>0</v>
      </c>
      <c r="HV132" s="123">
        <f t="shared" si="249"/>
        <v>0</v>
      </c>
      <c r="HW132" s="123">
        <f t="shared" si="192"/>
        <v>0</v>
      </c>
      <c r="HX132" s="123">
        <f>IF(Adm!$GH$6="si",MIN(HY131+HQ132+HT132+HU132+HV132-HW132,IH132),0)</f>
        <v>0</v>
      </c>
      <c r="HY132" s="297">
        <f t="shared" si="250"/>
        <v>0</v>
      </c>
      <c r="HZ132" s="74"/>
      <c r="IA132" s="407">
        <f t="shared" si="251"/>
        <v>0</v>
      </c>
      <c r="IC132" s="90">
        <f t="shared" si="252"/>
        <v>12</v>
      </c>
      <c r="ID132" s="124">
        <f>IF(IC132=1,Cal!$BO$127,0)</f>
        <v>0</v>
      </c>
      <c r="IE132" s="178">
        <f>IF(IC132=1,Adm!$HI$4,0)</f>
        <v>0</v>
      </c>
      <c r="IG132" s="70">
        <f t="shared" si="275"/>
        <v>0</v>
      </c>
      <c r="IH132" s="2178">
        <f t="shared" ca="1" si="253"/>
        <v>0</v>
      </c>
      <c r="IK132" s="217"/>
      <c r="IL132" s="26">
        <f t="shared" ca="1" si="193"/>
        <v>3</v>
      </c>
      <c r="IN132" s="268">
        <f t="shared" si="194"/>
        <v>0</v>
      </c>
      <c r="IO132" s="151">
        <f t="shared" si="303"/>
        <v>0</v>
      </c>
      <c r="IP132" s="123">
        <f t="shared" si="254"/>
        <v>0</v>
      </c>
      <c r="IQ132" s="123">
        <f t="shared" si="255"/>
        <v>0</v>
      </c>
      <c r="IR132" s="123">
        <f t="shared" si="256"/>
        <v>0</v>
      </c>
      <c r="IS132" s="123">
        <f>IF(IX131&lt;0.01,0,IF(Adm!$GS$4=Adm!$GS$8,IX131*$IX$15,IF(Adm!$GS$12=Adm!$GS$13,0,IX131*Adm!$GV$4)))</f>
        <v>0</v>
      </c>
      <c r="IT132" s="123"/>
      <c r="IU132" s="123">
        <f t="shared" si="257"/>
        <v>0</v>
      </c>
      <c r="IV132" s="123">
        <f t="shared" si="258"/>
        <v>0</v>
      </c>
      <c r="IW132" s="123"/>
      <c r="IX132" s="297">
        <f t="shared" si="259"/>
        <v>0</v>
      </c>
      <c r="IY132" s="74"/>
      <c r="IZ132" s="416">
        <f t="shared" si="260"/>
        <v>0</v>
      </c>
      <c r="JB132" s="90">
        <f t="shared" si="261"/>
        <v>12</v>
      </c>
      <c r="JC132" s="124">
        <f>IF(JB132=1,Cal!$BP$127,0)</f>
        <v>0</v>
      </c>
      <c r="JD132" s="178">
        <f>IF(JB132=1,Adm!$HI$4,0)</f>
        <v>0</v>
      </c>
    </row>
    <row r="133" spans="1:264">
      <c r="A133" s="26">
        <f t="shared" ca="1" si="162"/>
        <v>4</v>
      </c>
      <c r="C133" s="33">
        <f t="shared" si="163"/>
        <v>0</v>
      </c>
      <c r="D133" s="123">
        <f t="shared" si="195"/>
        <v>0</v>
      </c>
      <c r="E133" s="123">
        <f t="shared" si="287"/>
        <v>0</v>
      </c>
      <c r="F133" s="123">
        <f t="shared" si="295"/>
        <v>0</v>
      </c>
      <c r="G133" s="123">
        <f>IF(L132&lt;0.01,0,IF(Adm!$S$4=Adm!$S$8,L132*$L$15,L132*Adm!$V$4))</f>
        <v>0</v>
      </c>
      <c r="H133" s="123">
        <f>IF(L132&lt;0.01,0,IF(Adm!$S$5=Adm!$S$8,Adm!$AA$11*$L$16/1.16,IF(Adm!$B$4=Adm!$A$119,0,Adm!$AA$11*Adm!$X$4/1.16)))</f>
        <v>0</v>
      </c>
      <c r="I133" s="123">
        <f>IF(L132&lt;0.01,0,Cal!$AB$126/1.16)</f>
        <v>0</v>
      </c>
      <c r="J133" s="123">
        <f t="shared" si="164"/>
        <v>0</v>
      </c>
      <c r="K133" s="123">
        <f>IF(Adm!$G$4="si",MIN(L132+D133+G133+H133+I133-J133,V133),0)</f>
        <v>0</v>
      </c>
      <c r="L133" s="123">
        <f t="shared" si="196"/>
        <v>0</v>
      </c>
      <c r="M133" s="74"/>
      <c r="N133" s="74"/>
      <c r="O133" s="407">
        <f t="shared" si="197"/>
        <v>0</v>
      </c>
      <c r="R133" s="90">
        <f t="shared" si="198"/>
        <v>1</v>
      </c>
      <c r="S133" s="121">
        <f>IF(R133=1,Cal!$AB$127,0)</f>
        <v>0</v>
      </c>
      <c r="U133" s="70">
        <f t="shared" si="262"/>
        <v>0</v>
      </c>
      <c r="V133" s="2178">
        <f t="shared" ca="1" si="199"/>
        <v>0</v>
      </c>
      <c r="X133" s="398"/>
      <c r="Z133" s="268">
        <f t="shared" si="165"/>
        <v>0</v>
      </c>
      <c r="AA133" s="2176">
        <f t="shared" si="200"/>
        <v>0</v>
      </c>
      <c r="AB133" s="33">
        <f t="shared" si="201"/>
        <v>0</v>
      </c>
      <c r="AC133" s="33">
        <f t="shared" si="202"/>
        <v>0</v>
      </c>
      <c r="AD133" s="33">
        <f>IF(AI132&lt;0.01,0,IF(Adm!$S$4=Adm!$S$8,AI132*$AI$15,AI132*Adm!$V$4))</f>
        <v>0</v>
      </c>
      <c r="AE133" s="33"/>
      <c r="AF133" s="33"/>
      <c r="AG133" s="33">
        <f t="shared" si="166"/>
        <v>0</v>
      </c>
      <c r="AH133" s="33"/>
      <c r="AI133" s="401">
        <f t="shared" si="167"/>
        <v>0</v>
      </c>
      <c r="AK133" s="410">
        <f t="shared" si="168"/>
        <v>0</v>
      </c>
      <c r="AN133" s="90">
        <f t="shared" si="203"/>
        <v>1</v>
      </c>
      <c r="AO133" s="121">
        <f>IF(AN133=1,Cal!$AC$127,0)</f>
        <v>0</v>
      </c>
      <c r="AS133" s="200"/>
      <c r="AU133" s="268">
        <f t="shared" si="169"/>
        <v>0</v>
      </c>
      <c r="AV133" s="2177">
        <f t="shared" si="204"/>
        <v>0</v>
      </c>
      <c r="AW133" s="123">
        <f t="shared" si="170"/>
        <v>0</v>
      </c>
      <c r="AX133" s="123">
        <f t="shared" si="205"/>
        <v>0</v>
      </c>
      <c r="AY133" s="123">
        <f>IF(BC132&lt;0.01,0,IF(Adm!$S$4=Adm!$S$8,BC132*$BC$16,BC132*Adm!$V$4))</f>
        <v>0</v>
      </c>
      <c r="AZ133" s="123"/>
      <c r="BA133" s="123">
        <f>IF(BC132&lt;0.01,0,Adm!$Q$6)</f>
        <v>0</v>
      </c>
      <c r="BB133" s="123">
        <f t="shared" si="171"/>
        <v>0</v>
      </c>
      <c r="BC133" s="297">
        <f t="shared" si="206"/>
        <v>0</v>
      </c>
      <c r="BE133" s="425">
        <f t="shared" si="172"/>
        <v>0</v>
      </c>
      <c r="BH133" s="90">
        <f t="shared" si="207"/>
        <v>1</v>
      </c>
      <c r="BI133" s="121">
        <f>IF(BH133=1,Cal!$AD$127,0)</f>
        <v>0</v>
      </c>
      <c r="BM133" s="221"/>
      <c r="BO133" s="295">
        <f t="shared" ca="1" si="173"/>
        <v>4</v>
      </c>
      <c r="BP133" s="268">
        <f t="shared" si="174"/>
        <v>0</v>
      </c>
      <c r="BQ133" s="123">
        <f t="shared" si="208"/>
        <v>0</v>
      </c>
      <c r="BR133" s="123">
        <f t="shared" si="288"/>
        <v>0</v>
      </c>
      <c r="BS133" s="123">
        <f t="shared" si="296"/>
        <v>0</v>
      </c>
      <c r="BT133" s="123">
        <f>IF(BZ132&lt;0.01,0,IF(Plus!$F$22=Plus!$AN$4,BZ132*$BZ$15,IF(Plus!$F$22=Plus!$AN$3,BZ132*Plus!$F$23/1000,BZ132*VLOOKUP(Plus!$G$21,Plus!$AP$2:'Plus'!$AQ$5,2,0))))</f>
        <v>0</v>
      </c>
      <c r="BU133" s="123">
        <f>IF(BZ132&lt;0.01,0,IF(Plus!$F$24=Plus!$AO$3,Plus!$G$13*Plus!$AR$2/1.16,IF(Plus!$F$10=Plus!$AK$7,0,Plus!$G$13*Plus!$AR$2/1.16)))</f>
        <v>0</v>
      </c>
      <c r="BV133" s="123">
        <f>IF(BZ132&lt;0.01,0,Plus!$BD$2)</f>
        <v>0</v>
      </c>
      <c r="BW133" s="123"/>
      <c r="BX133" s="123">
        <f t="shared" si="175"/>
        <v>0</v>
      </c>
      <c r="BY133" s="123">
        <f>IF(Plus!$F$10=Plus!$AK$3,MIN(BZ132+BQ133+BT133+BU133+BV133-BX133,CJ133),0)</f>
        <v>0</v>
      </c>
      <c r="BZ133" s="297">
        <f t="shared" si="280"/>
        <v>0</v>
      </c>
      <c r="CA133" s="74"/>
      <c r="CB133" s="74"/>
      <c r="CC133" s="413">
        <f t="shared" si="209"/>
        <v>0</v>
      </c>
      <c r="CF133" s="90">
        <f t="shared" si="210"/>
        <v>1</v>
      </c>
      <c r="CG133" s="121">
        <f t="shared" si="263"/>
        <v>0</v>
      </c>
      <c r="CI133" s="70">
        <f t="shared" si="264"/>
        <v>0</v>
      </c>
      <c r="CJ133" s="2178">
        <f t="shared" ca="1" si="211"/>
        <v>0</v>
      </c>
      <c r="CL133" s="161"/>
      <c r="CN133" s="308">
        <f t="shared" ca="1" si="176"/>
        <v>4</v>
      </c>
      <c r="CO133" s="309">
        <f t="shared" si="212"/>
        <v>0</v>
      </c>
      <c r="CP133" s="268">
        <f t="shared" si="177"/>
        <v>0</v>
      </c>
      <c r="CQ133" s="123">
        <f t="shared" si="213"/>
        <v>0</v>
      </c>
      <c r="CR133" s="123">
        <f t="shared" si="289"/>
        <v>0</v>
      </c>
      <c r="CS133" s="123">
        <f t="shared" si="290"/>
        <v>0</v>
      </c>
      <c r="CT133" s="33">
        <f>IF(CZ132&lt;0.01,0,IF(Plus!$F$22=Plus!$AN$4,0,IF(Plus!$F$22=Plus!$AN$3,CZ132*Plus!$F$23/1000,CZ132*VLOOKUP(Plus!$G$21,Plus!$AP$2:'Plus'!$AQ$5,2,0))))</f>
        <v>0</v>
      </c>
      <c r="CU133" s="123">
        <f>IF(CZ132&lt;0.01,0,IF(Plus!$F$24=Plus!$AO$3,0,IF(OR(Plus!$F$10=Plus!$AK$7,Plus!$F$10=Plus!$AK$13),0,Plus!$G$13*Plus!$AR$2)))</f>
        <v>0</v>
      </c>
      <c r="CV133" s="123">
        <f>IF(CZ132&lt;0.01,0,IF(OR(Plus!$F$10=Plus!$AK$7,Plus!$F$10=Plus!$AK$13),0,Plus!$BD$2*1.16))</f>
        <v>0</v>
      </c>
      <c r="CW133" s="123">
        <f>IF(CZ132&lt;0.01,0,IF(Plus!$AS$2&gt;0,CQ133*Plus!$AS$3,0))</f>
        <v>0</v>
      </c>
      <c r="CX133" s="123">
        <f t="shared" si="214"/>
        <v>0</v>
      </c>
      <c r="CY133" s="123">
        <f>IF(Plus!$F$10=Plus!$AK$3,MIN(CZ132+CQ133+CT133+CU133+CV133-CX133,DK133),0)</f>
        <v>0</v>
      </c>
      <c r="CZ133" s="297">
        <f t="shared" si="294"/>
        <v>0</v>
      </c>
      <c r="DA133" s="306">
        <f>Plus!O174</f>
        <v>0</v>
      </c>
      <c r="DB133" s="74"/>
      <c r="DC133" s="74"/>
      <c r="DD133" s="407">
        <f t="shared" si="215"/>
        <v>0</v>
      </c>
      <c r="DG133" s="90">
        <f t="shared" si="216"/>
        <v>1</v>
      </c>
      <c r="DH133" s="121">
        <f t="shared" si="265"/>
        <v>0</v>
      </c>
      <c r="DJ133" s="149">
        <f t="shared" si="266"/>
        <v>0</v>
      </c>
      <c r="DK133" s="2179">
        <f t="shared" ca="1" si="217"/>
        <v>0</v>
      </c>
      <c r="DN133" s="120">
        <f t="shared" si="267"/>
        <v>0</v>
      </c>
      <c r="DO133" s="110">
        <f t="shared" si="218"/>
        <v>0</v>
      </c>
      <c r="DP133" s="110">
        <f t="shared" si="276"/>
        <v>0</v>
      </c>
      <c r="DQ133" s="109">
        <f t="shared" si="219"/>
        <v>0</v>
      </c>
      <c r="DR133" s="109">
        <f t="shared" si="220"/>
        <v>0</v>
      </c>
      <c r="DS133" s="113">
        <f t="shared" si="221"/>
        <v>0</v>
      </c>
      <c r="DU133" s="102">
        <f t="shared" si="222"/>
        <v>0</v>
      </c>
      <c r="DV133" s="333">
        <f t="shared" si="277"/>
        <v>109</v>
      </c>
      <c r="DW133" s="334">
        <f t="shared" si="223"/>
        <v>0</v>
      </c>
      <c r="DX133" s="334">
        <f t="shared" si="178"/>
        <v>0</v>
      </c>
      <c r="DY133" s="334">
        <f>MIN(DZ132+DW133,DY132*(1+$DW$20))</f>
        <v>0</v>
      </c>
      <c r="DZ133" s="213">
        <f t="shared" si="179"/>
        <v>1000000</v>
      </c>
      <c r="ED133" s="182"/>
      <c r="EF133" s="308">
        <f t="shared" ca="1" si="180"/>
        <v>4</v>
      </c>
      <c r="EG133" s="309">
        <f t="shared" si="224"/>
        <v>0</v>
      </c>
      <c r="EH133" s="268">
        <f t="shared" si="181"/>
        <v>0</v>
      </c>
      <c r="EI133" s="33">
        <f t="shared" si="225"/>
        <v>0</v>
      </c>
      <c r="EJ133" s="33">
        <f t="shared" si="291"/>
        <v>0</v>
      </c>
      <c r="EK133" s="33">
        <f t="shared" si="297"/>
        <v>0</v>
      </c>
      <c r="EL133" s="33">
        <f>IF(ER132&lt;0.01,0,IF(Plus!$F$22=Plus!$AN$4,0,IF(Plus!$F$22=Plus!$AN$3,ER132*Plus!$F$23/1000,ER132*VLOOKUP(Plus!$G$21,Plus!$AP$2:'Plus'!$AQ$5,2,0))))</f>
        <v>0</v>
      </c>
      <c r="EM133" s="33">
        <f>IF(ER132&lt;0.01,0,IF(Plus!$F$24=Plus!$AO$3,0,IF(OR(Plus!$F$10=Plus!$AK$7,Plus!$F$10=Plus!$AK$13),0,Plus!$G$13*Plus!$AR$2)))</f>
        <v>0</v>
      </c>
      <c r="EN133" s="33">
        <f>IF(ER132&lt;0.01,0,IF(OR(Plus!$F$10=Plus!$AK$7,Plus!$F$10=Plus!$AK$13),0,Plus!$BD$2*1.16))</f>
        <v>0</v>
      </c>
      <c r="EO133" s="33">
        <f>IF(ER132&lt;0.01,0,IF(Plus!$AS$2&gt;0,EI133*Plus!$AS$3,0))</f>
        <v>0</v>
      </c>
      <c r="EP133" s="33">
        <f t="shared" si="226"/>
        <v>0</v>
      </c>
      <c r="EQ133" s="33">
        <f>IF(Plus!$F$10=Plus!$AK$3,MIN(ER132+EI133+EL133+EM133+EN133-EP133,FC133),0)</f>
        <v>0</v>
      </c>
      <c r="ER133" s="311">
        <f t="shared" si="285"/>
        <v>0</v>
      </c>
      <c r="ES133" s="340">
        <f>Plus!O174</f>
        <v>0</v>
      </c>
      <c r="ET133" s="74"/>
      <c r="EU133" s="74"/>
      <c r="EV133" s="416">
        <f t="shared" si="281"/>
        <v>0</v>
      </c>
      <c r="EY133" s="90">
        <f t="shared" si="227"/>
        <v>1</v>
      </c>
      <c r="EZ133" s="121">
        <f t="shared" si="269"/>
        <v>0</v>
      </c>
      <c r="FB133" s="149">
        <f t="shared" si="270"/>
        <v>0</v>
      </c>
      <c r="FC133" s="2179">
        <f t="shared" ca="1" si="228"/>
        <v>0</v>
      </c>
      <c r="FE133" s="120">
        <f t="shared" si="271"/>
        <v>0</v>
      </c>
      <c r="FF133" s="110">
        <f t="shared" si="229"/>
        <v>0</v>
      </c>
      <c r="FG133" s="110">
        <f t="shared" si="230"/>
        <v>0</v>
      </c>
      <c r="FH133" s="109">
        <f t="shared" si="231"/>
        <v>0</v>
      </c>
      <c r="FI133" s="109">
        <f t="shared" si="182"/>
        <v>0</v>
      </c>
      <c r="FJ133" s="113">
        <f t="shared" si="232"/>
        <v>0</v>
      </c>
      <c r="FL133" s="102">
        <f t="shared" si="233"/>
        <v>0</v>
      </c>
      <c r="FM133" s="326">
        <f t="shared" si="278"/>
        <v>109</v>
      </c>
      <c r="FN133" s="327">
        <f t="shared" si="234"/>
        <v>0</v>
      </c>
      <c r="FO133" s="327">
        <f t="shared" si="183"/>
        <v>0</v>
      </c>
      <c r="FP133" s="327">
        <f>MIN(FQ132+FN133,FP132*(1+$FN$20))</f>
        <v>0</v>
      </c>
      <c r="FQ133" s="213">
        <f t="shared" si="184"/>
        <v>1000000</v>
      </c>
      <c r="FV133" s="359"/>
      <c r="FX133" s="308">
        <f t="shared" ca="1" si="185"/>
        <v>4</v>
      </c>
      <c r="FY133" s="309">
        <f t="shared" si="235"/>
        <v>0</v>
      </c>
      <c r="FZ133" s="268">
        <f t="shared" si="186"/>
        <v>0</v>
      </c>
      <c r="GA133" s="33">
        <f t="shared" si="236"/>
        <v>0</v>
      </c>
      <c r="GB133" s="33">
        <f t="shared" si="292"/>
        <v>0</v>
      </c>
      <c r="GC133" s="33">
        <f t="shared" si="293"/>
        <v>0</v>
      </c>
      <c r="GD133" s="33">
        <f>IF(GJ132&lt;0.01,0,IF(Plus!$F$22=Plus!$AN$4,0,IF(Plus!$F$22=Plus!$AN$3,GJ132*Plus!$F$23/1000,GJ132*VLOOKUP(Plus!$G$21,Plus!$AP$2:$AQ$5,2,0))))</f>
        <v>0</v>
      </c>
      <c r="GE133" s="33">
        <f>IF(GJ132&lt;0.01,0,IF(Plus!$F$24=Plus!$AO$3,0,IF(OR(Plus!$F$10=Plus!$AK$7,Plus!$F$10=Plus!$AK$13,Plus!$F$10=Plus!$AK$14),0,IF(OR(Plus!$F$10=Plus!$AK$10,Plus!$F$10=Plus!$AK$11),Plus!$G$13*Adm!$W$7,Plus!$G$13*Adm!$X$4))))</f>
        <v>0</v>
      </c>
      <c r="GF133" s="33">
        <f>IF(GJ132&lt;0.01,0,IF(OR(Plus!$F$10=Plus!$AK$7,Plus!$F$10=Plus!$AK$13),0,Plus!$BD$2*1.16))</f>
        <v>0</v>
      </c>
      <c r="GG133" s="33">
        <f>IF(GJ132&lt;0.01,0,IF(Plus!$AS$2&gt;0,GA133*Plus!$AS$3,0))</f>
        <v>0</v>
      </c>
      <c r="GH133" s="33">
        <f t="shared" si="237"/>
        <v>0</v>
      </c>
      <c r="GI133" s="33">
        <f>IF(Plus!$F$10=Plus!$AK$3,MIN(GJ132+GA133+GD133+GE133+GF133-GH133,GU133),0)</f>
        <v>0</v>
      </c>
      <c r="GJ133" s="311">
        <f t="shared" si="286"/>
        <v>0</v>
      </c>
      <c r="GK133" s="340">
        <f>Plus!O174</f>
        <v>0</v>
      </c>
      <c r="GL133" s="74"/>
      <c r="GM133" s="74"/>
      <c r="GN133" s="419">
        <f t="shared" si="283"/>
        <v>0</v>
      </c>
      <c r="GQ133" s="90">
        <f t="shared" si="238"/>
        <v>1</v>
      </c>
      <c r="GR133" s="121">
        <f t="shared" si="272"/>
        <v>0</v>
      </c>
      <c r="GT133" s="149">
        <f t="shared" si="273"/>
        <v>0</v>
      </c>
      <c r="GU133" s="2179">
        <f t="shared" ca="1" si="239"/>
        <v>0</v>
      </c>
      <c r="GW133" s="120">
        <f t="shared" si="274"/>
        <v>0</v>
      </c>
      <c r="GX133" s="110">
        <f t="shared" si="240"/>
        <v>0</v>
      </c>
      <c r="GY133" s="110">
        <f t="shared" si="241"/>
        <v>0</v>
      </c>
      <c r="GZ133" s="109">
        <f t="shared" si="242"/>
        <v>0</v>
      </c>
      <c r="HA133" s="109">
        <f t="shared" si="187"/>
        <v>0</v>
      </c>
      <c r="HB133" s="113">
        <f t="shared" si="243"/>
        <v>0</v>
      </c>
      <c r="HD133" s="102">
        <f t="shared" si="244"/>
        <v>0</v>
      </c>
      <c r="HE133" s="326">
        <f t="shared" si="279"/>
        <v>109</v>
      </c>
      <c r="HF133" s="327">
        <f t="shared" si="245"/>
        <v>0</v>
      </c>
      <c r="HG133" s="327">
        <f t="shared" si="188"/>
        <v>0</v>
      </c>
      <c r="HH133" s="327">
        <f>MIN(HI132+HF133,HH132*(1+$FN$20))</f>
        <v>0</v>
      </c>
      <c r="HI133" s="213">
        <f t="shared" si="189"/>
        <v>1000000</v>
      </c>
      <c r="HL133" s="182"/>
      <c r="HM133" s="26">
        <f t="shared" ca="1" si="190"/>
        <v>4</v>
      </c>
      <c r="HO133" s="268">
        <f t="shared" si="191"/>
        <v>0</v>
      </c>
      <c r="HP133" s="151">
        <f t="shared" si="302"/>
        <v>0</v>
      </c>
      <c r="HQ133" s="123">
        <f t="shared" si="246"/>
        <v>0</v>
      </c>
      <c r="HR133" s="123">
        <f t="shared" si="247"/>
        <v>0</v>
      </c>
      <c r="HS133" s="123">
        <f t="shared" si="248"/>
        <v>0</v>
      </c>
      <c r="HT133" s="123">
        <f>IF(HY132&lt;0.01,0,IF(Adm!$GS$4=Adm!$GS$8,HY132*$HY$15,IF(Adm!$GS$12=Adm!$GS$13,0,HY132*Adm!$GV$4)))</f>
        <v>0</v>
      </c>
      <c r="HU133" s="123">
        <f>IF(HY132&lt;0.01,0,IF(Adm!$GS$5=Adm!$GS$8,Cal!$BO$108*$HY$16/1.16,IF(Adm!$GS$12=Adm!$GS$13,0,Cal!$BO$108*Adm!$GW$4/1.16)))</f>
        <v>0</v>
      </c>
      <c r="HV133" s="123">
        <f t="shared" si="249"/>
        <v>0</v>
      </c>
      <c r="HW133" s="123">
        <f t="shared" si="192"/>
        <v>0</v>
      </c>
      <c r="HX133" s="123">
        <f>IF(Adm!$GH$6="si",MIN(HY132+HQ133+HT133+HU133+HV133-HW133,IH133),0)</f>
        <v>0</v>
      </c>
      <c r="HY133" s="297">
        <f t="shared" si="250"/>
        <v>0</v>
      </c>
      <c r="HZ133" s="74"/>
      <c r="IA133" s="407">
        <f t="shared" si="251"/>
        <v>0</v>
      </c>
      <c r="IC133" s="90">
        <f t="shared" si="252"/>
        <v>1</v>
      </c>
      <c r="ID133" s="124">
        <f>IF(IC133=1,Cal!$BO$127,0)</f>
        <v>0</v>
      </c>
      <c r="IE133" s="178">
        <f>IF(IC133=1,Adm!$HI$4,0)</f>
        <v>2.5000000000000001E-3</v>
      </c>
      <c r="IG133" s="70">
        <f t="shared" si="275"/>
        <v>0</v>
      </c>
      <c r="IH133" s="2178">
        <f t="shared" ca="1" si="253"/>
        <v>0</v>
      </c>
      <c r="IK133" s="217"/>
      <c r="IL133" s="26">
        <f t="shared" ca="1" si="193"/>
        <v>4</v>
      </c>
      <c r="IN133" s="268">
        <f t="shared" si="194"/>
        <v>0</v>
      </c>
      <c r="IO133" s="151">
        <f t="shared" si="303"/>
        <v>0</v>
      </c>
      <c r="IP133" s="123">
        <f t="shared" si="254"/>
        <v>0</v>
      </c>
      <c r="IQ133" s="123">
        <f t="shared" si="255"/>
        <v>0</v>
      </c>
      <c r="IR133" s="123">
        <f t="shared" si="256"/>
        <v>0</v>
      </c>
      <c r="IS133" s="123">
        <f>IF(IX132&lt;0.01,0,IF(Adm!$GS$4=Adm!$GS$8,IX132*$IX$15,IF(Adm!$GS$12=Adm!$GS$13,0,IX132*Adm!$GV$4)))</f>
        <v>0</v>
      </c>
      <c r="IT133" s="123"/>
      <c r="IU133" s="123">
        <f t="shared" si="257"/>
        <v>0</v>
      </c>
      <c r="IV133" s="123">
        <f t="shared" si="258"/>
        <v>0</v>
      </c>
      <c r="IW133" s="123"/>
      <c r="IX133" s="297">
        <f t="shared" si="259"/>
        <v>0</v>
      </c>
      <c r="IY133" s="74"/>
      <c r="IZ133" s="416">
        <f t="shared" si="260"/>
        <v>0</v>
      </c>
      <c r="JB133" s="90">
        <f t="shared" si="261"/>
        <v>1</v>
      </c>
      <c r="JC133" s="124">
        <f>IF(JB133=1,Cal!$BP$127,0)</f>
        <v>0</v>
      </c>
      <c r="JD133" s="178">
        <f>IF(JB133=1,Adm!$HI$4,0)</f>
        <v>2.5000000000000001E-3</v>
      </c>
    </row>
    <row r="134" spans="1:264">
      <c r="A134" s="26">
        <f t="shared" ca="1" si="162"/>
        <v>5</v>
      </c>
      <c r="C134" s="33">
        <f t="shared" si="163"/>
        <v>0</v>
      </c>
      <c r="D134" s="123">
        <f t="shared" si="195"/>
        <v>0</v>
      </c>
      <c r="E134" s="123">
        <f t="shared" si="287"/>
        <v>0</v>
      </c>
      <c r="F134" s="123">
        <f t="shared" si="295"/>
        <v>0</v>
      </c>
      <c r="G134" s="123">
        <f>IF(L133&lt;0.01,0,IF(Adm!$S$4=Adm!$S$8,L133*$L$15,L133*Adm!$V$4))</f>
        <v>0</v>
      </c>
      <c r="H134" s="123">
        <f>IF(L133&lt;0.01,0,IF(Adm!$S$5=Adm!$S$8,Adm!$AA$11*$L$16/1.16,IF(Adm!$B$4=Adm!$A$119,0,Adm!$AA$11*Adm!$X$4/1.16)))</f>
        <v>0</v>
      </c>
      <c r="I134" s="123">
        <f>IF(L133&lt;0.01,0,Cal!$AB$126/1.16)</f>
        <v>0</v>
      </c>
      <c r="J134" s="123">
        <f t="shared" si="164"/>
        <v>0</v>
      </c>
      <c r="K134" s="123">
        <f>IF(Adm!$G$4="si",MIN(L133+D134+G134+H134+I134-J134,V134),0)</f>
        <v>0</v>
      </c>
      <c r="L134" s="123">
        <f t="shared" si="196"/>
        <v>0</v>
      </c>
      <c r="M134" s="74"/>
      <c r="N134" s="74"/>
      <c r="O134" s="407">
        <f t="shared" si="197"/>
        <v>0</v>
      </c>
      <c r="R134" s="90">
        <f t="shared" si="198"/>
        <v>2</v>
      </c>
      <c r="S134" s="121">
        <f>IF(R134=1,Cal!$AB$127,0)</f>
        <v>0</v>
      </c>
      <c r="U134" s="70">
        <f t="shared" si="262"/>
        <v>0</v>
      </c>
      <c r="V134" s="2178">
        <f t="shared" ca="1" si="199"/>
        <v>0</v>
      </c>
      <c r="X134" s="398"/>
      <c r="Z134" s="268">
        <f t="shared" si="165"/>
        <v>0</v>
      </c>
      <c r="AA134" s="2176">
        <f t="shared" si="200"/>
        <v>0</v>
      </c>
      <c r="AB134" s="33">
        <f t="shared" si="201"/>
        <v>0</v>
      </c>
      <c r="AC134" s="33">
        <f t="shared" si="202"/>
        <v>0</v>
      </c>
      <c r="AD134" s="33">
        <f>IF(AI133&lt;0.01,0,IF(Adm!$S$4=Adm!$S$8,AI133*$AI$15,AI133*Adm!$V$4))</f>
        <v>0</v>
      </c>
      <c r="AE134" s="33"/>
      <c r="AF134" s="33"/>
      <c r="AG134" s="33">
        <f t="shared" si="166"/>
        <v>0</v>
      </c>
      <c r="AH134" s="33"/>
      <c r="AI134" s="401">
        <f t="shared" si="167"/>
        <v>0</v>
      </c>
      <c r="AK134" s="410">
        <f t="shared" si="168"/>
        <v>0</v>
      </c>
      <c r="AN134" s="90">
        <f t="shared" si="203"/>
        <v>2</v>
      </c>
      <c r="AO134" s="121">
        <f>IF(AN134=1,Cal!$AC$127,0)</f>
        <v>0</v>
      </c>
      <c r="AS134" s="200"/>
      <c r="AU134" s="268">
        <f t="shared" si="169"/>
        <v>0</v>
      </c>
      <c r="AV134" s="2177">
        <f t="shared" si="204"/>
        <v>0</v>
      </c>
      <c r="AW134" s="123">
        <f t="shared" si="170"/>
        <v>0</v>
      </c>
      <c r="AX134" s="123">
        <f t="shared" si="205"/>
        <v>0</v>
      </c>
      <c r="AY134" s="123">
        <f>IF(BC133&lt;0.01,0,IF(Adm!$S$4=Adm!$S$8,BC133*$BC$16,BC133*Adm!$V$4))</f>
        <v>0</v>
      </c>
      <c r="AZ134" s="123"/>
      <c r="BA134" s="123">
        <f>IF(BC133&lt;0.01,0,Adm!$Q$6)</f>
        <v>0</v>
      </c>
      <c r="BB134" s="123">
        <f t="shared" si="171"/>
        <v>0</v>
      </c>
      <c r="BC134" s="297">
        <f t="shared" si="206"/>
        <v>0</v>
      </c>
      <c r="BE134" s="425">
        <f t="shared" si="172"/>
        <v>0</v>
      </c>
      <c r="BH134" s="90">
        <f t="shared" si="207"/>
        <v>2</v>
      </c>
      <c r="BI134" s="121">
        <f>IF(BH134=1,Cal!$AD$127,0)</f>
        <v>0</v>
      </c>
      <c r="BM134" s="221"/>
      <c r="BO134" s="295">
        <f t="shared" ca="1" si="173"/>
        <v>5</v>
      </c>
      <c r="BP134" s="268">
        <f t="shared" si="174"/>
        <v>0</v>
      </c>
      <c r="BQ134" s="123">
        <f t="shared" si="208"/>
        <v>0</v>
      </c>
      <c r="BR134" s="123">
        <f t="shared" si="288"/>
        <v>0</v>
      </c>
      <c r="BS134" s="123">
        <f t="shared" si="296"/>
        <v>0</v>
      </c>
      <c r="BT134" s="123">
        <f>IF(BZ133&lt;0.01,0,IF(Plus!$F$22=Plus!$AN$4,BZ133*$BZ$15,IF(Plus!$F$22=Plus!$AN$3,BZ133*Plus!$F$23/1000,BZ133*VLOOKUP(Plus!$G$21,Plus!$AP$2:'Plus'!$AQ$5,2,0))))</f>
        <v>0</v>
      </c>
      <c r="BU134" s="123">
        <f>IF(BZ133&lt;0.01,0,IF(Plus!$F$24=Plus!$AO$3,Plus!$G$13*Plus!$AR$2/1.16,IF(Plus!$F$10=Plus!$AK$7,0,Plus!$G$13*Plus!$AR$2/1.16)))</f>
        <v>0</v>
      </c>
      <c r="BV134" s="123">
        <f>IF(BZ133&lt;0.01,0,Plus!$BD$2)</f>
        <v>0</v>
      </c>
      <c r="BW134" s="123"/>
      <c r="BX134" s="123">
        <f t="shared" si="175"/>
        <v>0</v>
      </c>
      <c r="BY134" s="123">
        <f>IF(Plus!$F$10=Plus!$AK$3,MIN(BZ133+BQ134+BT134+BU134+BV134-BX134,CJ134),0)</f>
        <v>0</v>
      </c>
      <c r="BZ134" s="297">
        <f t="shared" si="280"/>
        <v>0</v>
      </c>
      <c r="CA134" s="74"/>
      <c r="CB134" s="74"/>
      <c r="CC134" s="413">
        <f t="shared" si="209"/>
        <v>0</v>
      </c>
      <c r="CF134" s="90">
        <f t="shared" si="210"/>
        <v>2</v>
      </c>
      <c r="CG134" s="121">
        <f t="shared" si="263"/>
        <v>0</v>
      </c>
      <c r="CI134" s="70">
        <f t="shared" si="264"/>
        <v>0</v>
      </c>
      <c r="CJ134" s="2178">
        <f t="shared" ca="1" si="211"/>
        <v>0</v>
      </c>
      <c r="CL134" s="161"/>
      <c r="CN134" s="308">
        <f t="shared" ca="1" si="176"/>
        <v>5</v>
      </c>
      <c r="CO134" s="309">
        <f t="shared" si="212"/>
        <v>0</v>
      </c>
      <c r="CP134" s="268">
        <f t="shared" si="177"/>
        <v>0</v>
      </c>
      <c r="CQ134" s="123">
        <f t="shared" si="213"/>
        <v>0</v>
      </c>
      <c r="CR134" s="123">
        <f t="shared" si="289"/>
        <v>0</v>
      </c>
      <c r="CS134" s="123">
        <f t="shared" si="290"/>
        <v>0</v>
      </c>
      <c r="CT134" s="33">
        <f>IF(CZ133&lt;0.01,0,IF(Plus!$F$22=Plus!$AN$4,0,IF(Plus!$F$22=Plus!$AN$3,CZ133*Plus!$F$23/1000,CZ133*VLOOKUP(Plus!$G$21,Plus!$AP$2:'Plus'!$AQ$5,2,0))))</f>
        <v>0</v>
      </c>
      <c r="CU134" s="123">
        <f>IF(CZ133&lt;0.01,0,IF(Plus!$F$24=Plus!$AO$3,0,IF(OR(Plus!$F$10=Plus!$AK$7,Plus!$F$10=Plus!$AK$13),0,Plus!$G$13*Plus!$AR$2)))</f>
        <v>0</v>
      </c>
      <c r="CV134" s="123">
        <f>IF(CZ133&lt;0.01,0,IF(OR(Plus!$F$10=Plus!$AK$7,Plus!$F$10=Plus!$AK$13),0,Plus!$BD$2*1.16))</f>
        <v>0</v>
      </c>
      <c r="CW134" s="123">
        <f>IF(CZ133&lt;0.01,0,IF(Plus!$AS$2&gt;0,CQ134*Plus!$AS$3,0))</f>
        <v>0</v>
      </c>
      <c r="CX134" s="123">
        <f t="shared" si="214"/>
        <v>0</v>
      </c>
      <c r="CY134" s="123">
        <f>IF(Plus!$F$10=Plus!$AK$3,MIN(CZ133+CQ134+CT134+CU134+CV134-CX134,DK134),0)</f>
        <v>0</v>
      </c>
      <c r="CZ134" s="297">
        <f t="shared" si="294"/>
        <v>0</v>
      </c>
      <c r="DA134" s="306">
        <f>Plus!O175</f>
        <v>0</v>
      </c>
      <c r="DB134" s="74"/>
      <c r="DC134" s="74"/>
      <c r="DD134" s="407">
        <f t="shared" si="215"/>
        <v>0</v>
      </c>
      <c r="DG134" s="90">
        <f t="shared" si="216"/>
        <v>2</v>
      </c>
      <c r="DH134" s="121">
        <f t="shared" si="265"/>
        <v>0</v>
      </c>
      <c r="DJ134" s="149">
        <f t="shared" si="266"/>
        <v>0</v>
      </c>
      <c r="DK134" s="2179">
        <f t="shared" ca="1" si="217"/>
        <v>0</v>
      </c>
      <c r="DN134" s="120">
        <f t="shared" si="267"/>
        <v>0</v>
      </c>
      <c r="DO134" s="110">
        <f t="shared" si="218"/>
        <v>0</v>
      </c>
      <c r="DP134" s="110">
        <f t="shared" si="276"/>
        <v>0</v>
      </c>
      <c r="DQ134" s="109">
        <f t="shared" si="219"/>
        <v>0</v>
      </c>
      <c r="DR134" s="109">
        <f t="shared" si="220"/>
        <v>0</v>
      </c>
      <c r="DS134" s="113">
        <f t="shared" si="221"/>
        <v>0</v>
      </c>
      <c r="DU134" s="102">
        <f t="shared" si="222"/>
        <v>0</v>
      </c>
      <c r="DV134" s="211">
        <f t="shared" si="277"/>
        <v>110</v>
      </c>
      <c r="DW134" s="212">
        <f t="shared" si="223"/>
        <v>0</v>
      </c>
      <c r="DX134" s="212">
        <f t="shared" si="178"/>
        <v>0</v>
      </c>
      <c r="DY134" s="212">
        <f t="shared" si="268"/>
        <v>0</v>
      </c>
      <c r="DZ134" s="213">
        <f t="shared" si="179"/>
        <v>1000000</v>
      </c>
      <c r="ED134" s="182"/>
      <c r="EF134" s="308">
        <f t="shared" ca="1" si="180"/>
        <v>5</v>
      </c>
      <c r="EG134" s="309">
        <f t="shared" si="224"/>
        <v>0</v>
      </c>
      <c r="EH134" s="268">
        <f t="shared" si="181"/>
        <v>0</v>
      </c>
      <c r="EI134" s="33">
        <f t="shared" si="225"/>
        <v>0</v>
      </c>
      <c r="EJ134" s="33">
        <f t="shared" si="291"/>
        <v>0</v>
      </c>
      <c r="EK134" s="33">
        <f t="shared" si="297"/>
        <v>0</v>
      </c>
      <c r="EL134" s="33">
        <f>IF(ER133&lt;0.01,0,IF(Plus!$F$22=Plus!$AN$4,0,IF(Plus!$F$22=Plus!$AN$3,ER133*Plus!$F$23/1000,ER133*VLOOKUP(Plus!$G$21,Plus!$AP$2:'Plus'!$AQ$5,2,0))))</f>
        <v>0</v>
      </c>
      <c r="EM134" s="33">
        <f>IF(ER133&lt;0.01,0,IF(Plus!$F$24=Plus!$AO$3,0,IF(OR(Plus!$F$10=Plus!$AK$7,Plus!$F$10=Plus!$AK$13),0,Plus!$G$13*Plus!$AR$2)))</f>
        <v>0</v>
      </c>
      <c r="EN134" s="33">
        <f>IF(ER133&lt;0.01,0,IF(OR(Plus!$F$10=Plus!$AK$7,Plus!$F$10=Plus!$AK$13),0,Plus!$BD$2*1.16))</f>
        <v>0</v>
      </c>
      <c r="EO134" s="33">
        <f>IF(ER133&lt;0.01,0,IF(Plus!$AS$2&gt;0,EI134*Plus!$AS$3,0))</f>
        <v>0</v>
      </c>
      <c r="EP134" s="33">
        <f t="shared" si="226"/>
        <v>0</v>
      </c>
      <c r="EQ134" s="33">
        <f>IF(Plus!$F$10=Plus!$AK$3,MIN(ER133+EI134+EL134+EM134+EN134-EP134,FC134),0)</f>
        <v>0</v>
      </c>
      <c r="ER134" s="311">
        <f t="shared" si="285"/>
        <v>0</v>
      </c>
      <c r="ES134" s="340">
        <f>Plus!O175</f>
        <v>0</v>
      </c>
      <c r="ET134" s="74"/>
      <c r="EU134" s="74"/>
      <c r="EV134" s="416">
        <f t="shared" si="281"/>
        <v>0</v>
      </c>
      <c r="EY134" s="90">
        <f t="shared" si="227"/>
        <v>2</v>
      </c>
      <c r="EZ134" s="121">
        <f t="shared" si="269"/>
        <v>0</v>
      </c>
      <c r="FB134" s="149">
        <f t="shared" si="270"/>
        <v>0</v>
      </c>
      <c r="FC134" s="2179">
        <f t="shared" ca="1" si="228"/>
        <v>0</v>
      </c>
      <c r="FE134" s="120">
        <f t="shared" si="271"/>
        <v>0</v>
      </c>
      <c r="FF134" s="110">
        <f t="shared" si="229"/>
        <v>0</v>
      </c>
      <c r="FG134" s="110">
        <f t="shared" si="230"/>
        <v>0</v>
      </c>
      <c r="FH134" s="109">
        <f t="shared" si="231"/>
        <v>0</v>
      </c>
      <c r="FI134" s="109">
        <f t="shared" si="182"/>
        <v>0</v>
      </c>
      <c r="FJ134" s="113">
        <f t="shared" si="232"/>
        <v>0</v>
      </c>
      <c r="FL134" s="102">
        <f t="shared" si="233"/>
        <v>0</v>
      </c>
      <c r="FM134" s="211">
        <f t="shared" si="278"/>
        <v>110</v>
      </c>
      <c r="FN134" s="212">
        <f t="shared" si="234"/>
        <v>0</v>
      </c>
      <c r="FO134" s="212">
        <f t="shared" si="183"/>
        <v>0</v>
      </c>
      <c r="FP134" s="212">
        <f t="shared" ref="FP134:FP144" si="304">MIN(FQ133+FN134,FP133)</f>
        <v>0</v>
      </c>
      <c r="FQ134" s="213">
        <f t="shared" si="184"/>
        <v>1000000</v>
      </c>
      <c r="FV134" s="359"/>
      <c r="FX134" s="308">
        <f t="shared" ca="1" si="185"/>
        <v>5</v>
      </c>
      <c r="FY134" s="309">
        <f t="shared" si="235"/>
        <v>0</v>
      </c>
      <c r="FZ134" s="268">
        <f t="shared" si="186"/>
        <v>0</v>
      </c>
      <c r="GA134" s="33">
        <f t="shared" si="236"/>
        <v>0</v>
      </c>
      <c r="GB134" s="33">
        <f t="shared" si="292"/>
        <v>0</v>
      </c>
      <c r="GC134" s="33">
        <f t="shared" si="293"/>
        <v>0</v>
      </c>
      <c r="GD134" s="33">
        <f>IF(GJ133&lt;0.01,0,IF(Plus!$F$22=Plus!$AN$4,0,IF(Plus!$F$22=Plus!$AN$3,GJ133*Plus!$F$23/1000,GJ133*VLOOKUP(Plus!$G$21,Plus!$AP$2:$AQ$5,2,0))))</f>
        <v>0</v>
      </c>
      <c r="GE134" s="33">
        <f>IF(GJ133&lt;0.01,0,IF(Plus!$F$24=Plus!$AO$3,0,IF(OR(Plus!$F$10=Plus!$AK$7,Plus!$F$10=Plus!$AK$13,Plus!$F$10=Plus!$AK$14),0,IF(OR(Plus!$F$10=Plus!$AK$10,Plus!$F$10=Plus!$AK$11),Plus!$G$13*Adm!$W$7,Plus!$G$13*Adm!$X$4))))</f>
        <v>0</v>
      </c>
      <c r="GF134" s="33">
        <f>IF(GJ133&lt;0.01,0,IF(OR(Plus!$F$10=Plus!$AK$7,Plus!$F$10=Plus!$AK$13),0,Plus!$BD$2*1.16))</f>
        <v>0</v>
      </c>
      <c r="GG134" s="33">
        <f>IF(GJ133&lt;0.01,0,IF(Plus!$AS$2&gt;0,GA134*Plus!$AS$3,0))</f>
        <v>0</v>
      </c>
      <c r="GH134" s="33">
        <f t="shared" si="237"/>
        <v>0</v>
      </c>
      <c r="GI134" s="33">
        <f>IF(Plus!$F$10=Plus!$AK$3,MIN(GJ133+GA134+GD134+GE134+GF134-GH134,GU134),0)</f>
        <v>0</v>
      </c>
      <c r="GJ134" s="311">
        <f t="shared" si="286"/>
        <v>0</v>
      </c>
      <c r="GK134" s="340">
        <f>Plus!O175</f>
        <v>0</v>
      </c>
      <c r="GL134" s="74"/>
      <c r="GM134" s="74"/>
      <c r="GN134" s="419">
        <f t="shared" si="283"/>
        <v>0</v>
      </c>
      <c r="GQ134" s="90">
        <f t="shared" si="238"/>
        <v>2</v>
      </c>
      <c r="GR134" s="121">
        <f t="shared" si="272"/>
        <v>0</v>
      </c>
      <c r="GT134" s="149">
        <f t="shared" si="273"/>
        <v>0</v>
      </c>
      <c r="GU134" s="2179">
        <f t="shared" ca="1" si="239"/>
        <v>0</v>
      </c>
      <c r="GW134" s="120">
        <f t="shared" si="274"/>
        <v>0</v>
      </c>
      <c r="GX134" s="110">
        <f t="shared" si="240"/>
        <v>0</v>
      </c>
      <c r="GY134" s="110">
        <f t="shared" si="241"/>
        <v>0</v>
      </c>
      <c r="GZ134" s="109">
        <f t="shared" si="242"/>
        <v>0</v>
      </c>
      <c r="HA134" s="109">
        <f t="shared" si="187"/>
        <v>0</v>
      </c>
      <c r="HB134" s="113">
        <f t="shared" si="243"/>
        <v>0</v>
      </c>
      <c r="HD134" s="102">
        <f t="shared" si="244"/>
        <v>0</v>
      </c>
      <c r="HE134" s="211">
        <f t="shared" si="279"/>
        <v>110</v>
      </c>
      <c r="HF134" s="212">
        <f t="shared" si="245"/>
        <v>0</v>
      </c>
      <c r="HG134" s="212">
        <f t="shared" si="188"/>
        <v>0</v>
      </c>
      <c r="HH134" s="212">
        <f t="shared" ref="HH134:HH144" si="305">MIN(HI133+HF134,HH133)</f>
        <v>0</v>
      </c>
      <c r="HI134" s="213">
        <f t="shared" si="189"/>
        <v>1000000</v>
      </c>
      <c r="HL134" s="182"/>
      <c r="HM134" s="26">
        <f t="shared" ca="1" si="190"/>
        <v>5</v>
      </c>
      <c r="HO134" s="268">
        <f t="shared" si="191"/>
        <v>0</v>
      </c>
      <c r="HP134" s="151">
        <f t="shared" si="302"/>
        <v>0</v>
      </c>
      <c r="HQ134" s="123">
        <f t="shared" si="246"/>
        <v>0</v>
      </c>
      <c r="HR134" s="123">
        <f t="shared" si="247"/>
        <v>0</v>
      </c>
      <c r="HS134" s="123">
        <f t="shared" si="248"/>
        <v>0</v>
      </c>
      <c r="HT134" s="123">
        <f>IF(HY133&lt;0.01,0,IF(Adm!$GS$4=Adm!$GS$8,HY133*$HY$15,IF(Adm!$GS$12=Adm!$GS$13,0,HY133*Adm!$GV$4)))</f>
        <v>0</v>
      </c>
      <c r="HU134" s="123">
        <f>IF(HY133&lt;0.01,0,IF(Adm!$GS$5=Adm!$GS$8,Cal!$BO$108*$HY$16/1.16,IF(Adm!$GS$12=Adm!$GS$13,0,Cal!$BO$108*Adm!$GW$4/1.16)))</f>
        <v>0</v>
      </c>
      <c r="HV134" s="123">
        <f t="shared" si="249"/>
        <v>0</v>
      </c>
      <c r="HW134" s="123">
        <f t="shared" si="192"/>
        <v>0</v>
      </c>
      <c r="HX134" s="123">
        <f>IF(Adm!$GH$6="si",MIN(HY133+HQ134+HT134+HU134+HV134-HW134,IH134),0)</f>
        <v>0</v>
      </c>
      <c r="HY134" s="297">
        <f t="shared" si="250"/>
        <v>0</v>
      </c>
      <c r="HZ134" s="74"/>
      <c r="IA134" s="407">
        <f t="shared" si="251"/>
        <v>0</v>
      </c>
      <c r="IC134" s="90">
        <f t="shared" si="252"/>
        <v>2</v>
      </c>
      <c r="ID134" s="124">
        <f>IF(IC134=1,Cal!$BO$127,0)</f>
        <v>0</v>
      </c>
      <c r="IE134" s="178">
        <f>IF(IC134=1,Adm!$HI$4,0)</f>
        <v>0</v>
      </c>
      <c r="IG134" s="70">
        <f t="shared" si="275"/>
        <v>0</v>
      </c>
      <c r="IH134" s="2178">
        <f t="shared" ca="1" si="253"/>
        <v>0</v>
      </c>
      <c r="IK134" s="217"/>
      <c r="IL134" s="26">
        <f t="shared" ca="1" si="193"/>
        <v>5</v>
      </c>
      <c r="IN134" s="268">
        <f t="shared" si="194"/>
        <v>0</v>
      </c>
      <c r="IO134" s="151">
        <f t="shared" si="303"/>
        <v>0</v>
      </c>
      <c r="IP134" s="123">
        <f t="shared" si="254"/>
        <v>0</v>
      </c>
      <c r="IQ134" s="123">
        <f t="shared" si="255"/>
        <v>0</v>
      </c>
      <c r="IR134" s="123">
        <f t="shared" si="256"/>
        <v>0</v>
      </c>
      <c r="IS134" s="123">
        <f>IF(IX133&lt;0.01,0,IF(Adm!$GS$4=Adm!$GS$8,IX133*$IX$15,IF(Adm!$GS$12=Adm!$GS$13,0,IX133*Adm!$GV$4)))</f>
        <v>0</v>
      </c>
      <c r="IT134" s="123"/>
      <c r="IU134" s="123">
        <f t="shared" si="257"/>
        <v>0</v>
      </c>
      <c r="IV134" s="123">
        <f t="shared" si="258"/>
        <v>0</v>
      </c>
      <c r="IW134" s="123"/>
      <c r="IX134" s="297">
        <f t="shared" si="259"/>
        <v>0</v>
      </c>
      <c r="IY134" s="74"/>
      <c r="IZ134" s="416">
        <f t="shared" si="260"/>
        <v>0</v>
      </c>
      <c r="JB134" s="90">
        <f t="shared" si="261"/>
        <v>2</v>
      </c>
      <c r="JC134" s="124">
        <f>IF(JB134=1,Cal!$BP$127,0)</f>
        <v>0</v>
      </c>
      <c r="JD134" s="178">
        <f>IF(JB134=1,Adm!$HI$4,0)</f>
        <v>0</v>
      </c>
    </row>
    <row r="135" spans="1:264">
      <c r="A135" s="26">
        <f t="shared" ca="1" si="162"/>
        <v>6</v>
      </c>
      <c r="C135" s="33">
        <f t="shared" si="163"/>
        <v>0</v>
      </c>
      <c r="D135" s="123">
        <f t="shared" si="195"/>
        <v>0</v>
      </c>
      <c r="E135" s="123">
        <f t="shared" si="287"/>
        <v>0</v>
      </c>
      <c r="F135" s="123">
        <f t="shared" si="295"/>
        <v>0</v>
      </c>
      <c r="G135" s="123">
        <f>IF(L134&lt;0.01,0,IF(Adm!$S$4=Adm!$S$8,L134*$L$15,L134*Adm!$V$4))</f>
        <v>0</v>
      </c>
      <c r="H135" s="123">
        <f>IF(L134&lt;0.01,0,IF(Adm!$S$5=Adm!$S$8,Adm!$AA$11*$L$16/1.16,IF(Adm!$B$4=Adm!$A$119,0,Adm!$AA$11*Adm!$X$4/1.16)))</f>
        <v>0</v>
      </c>
      <c r="I135" s="123">
        <f>IF(L134&lt;0.01,0,Cal!$AB$126/1.16)</f>
        <v>0</v>
      </c>
      <c r="J135" s="123">
        <f t="shared" si="164"/>
        <v>0</v>
      </c>
      <c r="K135" s="123">
        <f>IF(Adm!$G$4="si",MIN(L134+D135+G135+H135+I135-J135,V135),0)</f>
        <v>0</v>
      </c>
      <c r="L135" s="123">
        <f t="shared" si="196"/>
        <v>0</v>
      </c>
      <c r="M135" s="74"/>
      <c r="N135" s="74"/>
      <c r="O135" s="407">
        <f t="shared" si="197"/>
        <v>0</v>
      </c>
      <c r="R135" s="90">
        <f t="shared" si="198"/>
        <v>3</v>
      </c>
      <c r="S135" s="121">
        <f>IF(R135=1,Cal!$AB$127,0)</f>
        <v>0</v>
      </c>
      <c r="U135" s="70">
        <f t="shared" si="262"/>
        <v>0</v>
      </c>
      <c r="V135" s="2178">
        <f t="shared" ca="1" si="199"/>
        <v>0</v>
      </c>
      <c r="X135" s="398"/>
      <c r="Z135" s="268">
        <f t="shared" si="165"/>
        <v>0</v>
      </c>
      <c r="AA135" s="2176">
        <f t="shared" si="200"/>
        <v>0</v>
      </c>
      <c r="AB135" s="33">
        <f t="shared" si="201"/>
        <v>0</v>
      </c>
      <c r="AC135" s="33">
        <f t="shared" si="202"/>
        <v>0</v>
      </c>
      <c r="AD135" s="33">
        <f>IF(AI134&lt;0.01,0,IF(Adm!$S$4=Adm!$S$8,AI134*$AI$15,AI134*Adm!$V$4))</f>
        <v>0</v>
      </c>
      <c r="AE135" s="33"/>
      <c r="AF135" s="33"/>
      <c r="AG135" s="33">
        <f t="shared" si="166"/>
        <v>0</v>
      </c>
      <c r="AH135" s="33"/>
      <c r="AI135" s="401">
        <f t="shared" si="167"/>
        <v>0</v>
      </c>
      <c r="AK135" s="410">
        <f t="shared" si="168"/>
        <v>0</v>
      </c>
      <c r="AN135" s="90">
        <f t="shared" si="203"/>
        <v>3</v>
      </c>
      <c r="AO135" s="121">
        <f>IF(AN135=1,Cal!$AC$127,0)</f>
        <v>0</v>
      </c>
      <c r="AS135" s="200"/>
      <c r="AU135" s="268">
        <f t="shared" si="169"/>
        <v>0</v>
      </c>
      <c r="AV135" s="2177">
        <f t="shared" si="204"/>
        <v>0</v>
      </c>
      <c r="AW135" s="123">
        <f t="shared" si="170"/>
        <v>0</v>
      </c>
      <c r="AX135" s="123">
        <f t="shared" si="205"/>
        <v>0</v>
      </c>
      <c r="AY135" s="123">
        <f>IF(BC134&lt;0.01,0,IF(Adm!$S$4=Adm!$S$8,BC134*$BC$16,BC134*Adm!$V$4))</f>
        <v>0</v>
      </c>
      <c r="AZ135" s="123"/>
      <c r="BA135" s="123">
        <f>IF(BC134&lt;0.01,0,Adm!$Q$6)</f>
        <v>0</v>
      </c>
      <c r="BB135" s="123">
        <f t="shared" si="171"/>
        <v>0</v>
      </c>
      <c r="BC135" s="297">
        <f t="shared" si="206"/>
        <v>0</v>
      </c>
      <c r="BE135" s="425">
        <f t="shared" si="172"/>
        <v>0</v>
      </c>
      <c r="BH135" s="90">
        <f t="shared" si="207"/>
        <v>3</v>
      </c>
      <c r="BI135" s="121">
        <f>IF(BH135=1,Cal!$AD$127,0)</f>
        <v>0</v>
      </c>
      <c r="BM135" s="221"/>
      <c r="BO135" s="295">
        <f t="shared" ca="1" si="173"/>
        <v>6</v>
      </c>
      <c r="BP135" s="268">
        <f t="shared" si="174"/>
        <v>0</v>
      </c>
      <c r="BQ135" s="123">
        <f t="shared" si="208"/>
        <v>0</v>
      </c>
      <c r="BR135" s="123">
        <f t="shared" si="288"/>
        <v>0</v>
      </c>
      <c r="BS135" s="123">
        <f t="shared" si="296"/>
        <v>0</v>
      </c>
      <c r="BT135" s="123">
        <f>IF(BZ134&lt;0.01,0,IF(Plus!$F$22=Plus!$AN$4,BZ134*$BZ$15,IF(Plus!$F$22=Plus!$AN$3,BZ134*Plus!$F$23/1000,BZ134*VLOOKUP(Plus!$G$21,Plus!$AP$2:'Plus'!$AQ$5,2,0))))</f>
        <v>0</v>
      </c>
      <c r="BU135" s="123">
        <f>IF(BZ134&lt;0.01,0,IF(Plus!$F$24=Plus!$AO$3,Plus!$G$13*Plus!$AR$2/1.16,IF(Plus!$F$10=Plus!$AK$7,0,Plus!$G$13*Plus!$AR$2/1.16)))</f>
        <v>0</v>
      </c>
      <c r="BV135" s="123">
        <f>IF(BZ134&lt;0.01,0,Plus!$BD$2)</f>
        <v>0</v>
      </c>
      <c r="BW135" s="123"/>
      <c r="BX135" s="123">
        <f t="shared" si="175"/>
        <v>0</v>
      </c>
      <c r="BY135" s="123">
        <f>IF(Plus!$F$10=Plus!$AK$3,MIN(BZ134+BQ135+BT135+BU135+BV135-BX135,CJ135),0)</f>
        <v>0</v>
      </c>
      <c r="BZ135" s="297">
        <f t="shared" si="280"/>
        <v>0</v>
      </c>
      <c r="CA135" s="74"/>
      <c r="CB135" s="74"/>
      <c r="CC135" s="413">
        <f t="shared" si="209"/>
        <v>0</v>
      </c>
      <c r="CF135" s="90">
        <f t="shared" si="210"/>
        <v>3</v>
      </c>
      <c r="CG135" s="121">
        <f t="shared" si="263"/>
        <v>0</v>
      </c>
      <c r="CI135" s="70">
        <f t="shared" si="264"/>
        <v>0</v>
      </c>
      <c r="CJ135" s="2178">
        <f t="shared" ca="1" si="211"/>
        <v>0</v>
      </c>
      <c r="CL135" s="161"/>
      <c r="CN135" s="308">
        <f t="shared" ca="1" si="176"/>
        <v>6</v>
      </c>
      <c r="CO135" s="309">
        <f t="shared" si="212"/>
        <v>0</v>
      </c>
      <c r="CP135" s="268">
        <f t="shared" si="177"/>
        <v>0</v>
      </c>
      <c r="CQ135" s="123">
        <f t="shared" si="213"/>
        <v>0</v>
      </c>
      <c r="CR135" s="123">
        <f t="shared" si="289"/>
        <v>0</v>
      </c>
      <c r="CS135" s="123">
        <f t="shared" si="290"/>
        <v>0</v>
      </c>
      <c r="CT135" s="33">
        <f>IF(CZ134&lt;0.01,0,IF(Plus!$F$22=Plus!$AN$4,0,IF(Plus!$F$22=Plus!$AN$3,CZ134*Plus!$F$23/1000,CZ134*VLOOKUP(Plus!$G$21,Plus!$AP$2:'Plus'!$AQ$5,2,0))))</f>
        <v>0</v>
      </c>
      <c r="CU135" s="123">
        <f>IF(CZ134&lt;0.01,0,IF(Plus!$F$24=Plus!$AO$3,0,IF(OR(Plus!$F$10=Plus!$AK$7,Plus!$F$10=Plus!$AK$13),0,Plus!$G$13*Plus!$AR$2)))</f>
        <v>0</v>
      </c>
      <c r="CV135" s="123">
        <f>IF(CZ134&lt;0.01,0,IF(OR(Plus!$F$10=Plus!$AK$7,Plus!$F$10=Plus!$AK$13),0,Plus!$BD$2*1.16))</f>
        <v>0</v>
      </c>
      <c r="CW135" s="123">
        <f>IF(CZ134&lt;0.01,0,IF(Plus!$AS$2&gt;0,CQ135*Plus!$AS$3,0))</f>
        <v>0</v>
      </c>
      <c r="CX135" s="123">
        <f t="shared" si="214"/>
        <v>0</v>
      </c>
      <c r="CY135" s="123">
        <f>IF(Plus!$F$10=Plus!$AK$3,MIN(CZ134+CQ135+CT135+CU135+CV135-CX135,DK135),0)</f>
        <v>0</v>
      </c>
      <c r="CZ135" s="297">
        <f t="shared" si="294"/>
        <v>0</v>
      </c>
      <c r="DA135" s="306">
        <f>Plus!O176</f>
        <v>0</v>
      </c>
      <c r="DB135" s="74"/>
      <c r="DC135" s="74"/>
      <c r="DD135" s="407">
        <f t="shared" si="215"/>
        <v>0</v>
      </c>
      <c r="DG135" s="90">
        <f t="shared" si="216"/>
        <v>3</v>
      </c>
      <c r="DH135" s="121">
        <f t="shared" si="265"/>
        <v>0</v>
      </c>
      <c r="DJ135" s="149">
        <f t="shared" si="266"/>
        <v>0</v>
      </c>
      <c r="DK135" s="2179">
        <f t="shared" ca="1" si="217"/>
        <v>0</v>
      </c>
      <c r="DN135" s="120">
        <f t="shared" si="267"/>
        <v>0</v>
      </c>
      <c r="DO135" s="110">
        <f t="shared" si="218"/>
        <v>0</v>
      </c>
      <c r="DP135" s="110">
        <f t="shared" si="276"/>
        <v>0</v>
      </c>
      <c r="DQ135" s="109">
        <f t="shared" si="219"/>
        <v>0</v>
      </c>
      <c r="DR135" s="109">
        <f t="shared" si="220"/>
        <v>0</v>
      </c>
      <c r="DS135" s="113">
        <f t="shared" si="221"/>
        <v>0</v>
      </c>
      <c r="DU135" s="102">
        <f t="shared" si="222"/>
        <v>0</v>
      </c>
      <c r="DV135" s="211">
        <f t="shared" si="277"/>
        <v>111</v>
      </c>
      <c r="DW135" s="212">
        <f t="shared" si="223"/>
        <v>0</v>
      </c>
      <c r="DX135" s="212">
        <f t="shared" si="178"/>
        <v>0</v>
      </c>
      <c r="DY135" s="212">
        <f t="shared" si="268"/>
        <v>0</v>
      </c>
      <c r="DZ135" s="213">
        <f t="shared" si="179"/>
        <v>1000000</v>
      </c>
      <c r="ED135" s="182"/>
      <c r="EF135" s="308">
        <f t="shared" ca="1" si="180"/>
        <v>6</v>
      </c>
      <c r="EG135" s="309">
        <f t="shared" si="224"/>
        <v>0</v>
      </c>
      <c r="EH135" s="268">
        <f t="shared" si="181"/>
        <v>0</v>
      </c>
      <c r="EI135" s="33">
        <f t="shared" si="225"/>
        <v>0</v>
      </c>
      <c r="EJ135" s="33">
        <f t="shared" si="291"/>
        <v>0</v>
      </c>
      <c r="EK135" s="33">
        <f t="shared" si="297"/>
        <v>0</v>
      </c>
      <c r="EL135" s="33">
        <f>IF(ER134&lt;0.01,0,IF(Plus!$F$22=Plus!$AN$4,0,IF(Plus!$F$22=Plus!$AN$3,ER134*Plus!$F$23/1000,ER134*VLOOKUP(Plus!$G$21,Plus!$AP$2:'Plus'!$AQ$5,2,0))))</f>
        <v>0</v>
      </c>
      <c r="EM135" s="33">
        <f>IF(ER134&lt;0.01,0,IF(Plus!$F$24=Plus!$AO$3,0,IF(OR(Plus!$F$10=Plus!$AK$7,Plus!$F$10=Plus!$AK$13),0,Plus!$G$13*Plus!$AR$2)))</f>
        <v>0</v>
      </c>
      <c r="EN135" s="33">
        <f>IF(ER134&lt;0.01,0,IF(OR(Plus!$F$10=Plus!$AK$7,Plus!$F$10=Plus!$AK$13),0,Plus!$BD$2*1.16))</f>
        <v>0</v>
      </c>
      <c r="EO135" s="33">
        <f>IF(ER134&lt;0.01,0,IF(Plus!$AS$2&gt;0,EI135*Plus!$AS$3,0))</f>
        <v>0</v>
      </c>
      <c r="EP135" s="33">
        <f t="shared" si="226"/>
        <v>0</v>
      </c>
      <c r="EQ135" s="33">
        <f>IF(Plus!$F$10=Plus!$AK$3,MIN(ER134+EI135+EL135+EM135+EN135-EP135,FC135),0)</f>
        <v>0</v>
      </c>
      <c r="ER135" s="311">
        <f t="shared" si="285"/>
        <v>0</v>
      </c>
      <c r="ES135" s="340">
        <f>Plus!O176</f>
        <v>0</v>
      </c>
      <c r="ET135" s="74"/>
      <c r="EU135" s="74"/>
      <c r="EV135" s="416">
        <f t="shared" si="281"/>
        <v>0</v>
      </c>
      <c r="EY135" s="90">
        <f t="shared" si="227"/>
        <v>3</v>
      </c>
      <c r="EZ135" s="121">
        <f t="shared" si="269"/>
        <v>0</v>
      </c>
      <c r="FB135" s="149">
        <f t="shared" si="270"/>
        <v>0</v>
      </c>
      <c r="FC135" s="2179">
        <f t="shared" ca="1" si="228"/>
        <v>0</v>
      </c>
      <c r="FE135" s="120">
        <f t="shared" si="271"/>
        <v>0</v>
      </c>
      <c r="FF135" s="110">
        <f t="shared" si="229"/>
        <v>0</v>
      </c>
      <c r="FG135" s="110">
        <f t="shared" si="230"/>
        <v>0</v>
      </c>
      <c r="FH135" s="109">
        <f t="shared" si="231"/>
        <v>0</v>
      </c>
      <c r="FI135" s="109">
        <f t="shared" si="182"/>
        <v>0</v>
      </c>
      <c r="FJ135" s="113">
        <f t="shared" si="232"/>
        <v>0</v>
      </c>
      <c r="FL135" s="102">
        <f t="shared" si="233"/>
        <v>0</v>
      </c>
      <c r="FM135" s="211">
        <f t="shared" si="278"/>
        <v>111</v>
      </c>
      <c r="FN135" s="212">
        <f t="shared" si="234"/>
        <v>0</v>
      </c>
      <c r="FO135" s="212">
        <f t="shared" si="183"/>
        <v>0</v>
      </c>
      <c r="FP135" s="212">
        <f t="shared" si="304"/>
        <v>0</v>
      </c>
      <c r="FQ135" s="213">
        <f t="shared" si="184"/>
        <v>1000000</v>
      </c>
      <c r="FV135" s="359"/>
      <c r="FX135" s="308">
        <f t="shared" ca="1" si="185"/>
        <v>6</v>
      </c>
      <c r="FY135" s="309">
        <f t="shared" si="235"/>
        <v>0</v>
      </c>
      <c r="FZ135" s="268">
        <f t="shared" si="186"/>
        <v>0</v>
      </c>
      <c r="GA135" s="33">
        <f t="shared" si="236"/>
        <v>0</v>
      </c>
      <c r="GB135" s="33">
        <f t="shared" si="292"/>
        <v>0</v>
      </c>
      <c r="GC135" s="33">
        <f t="shared" si="293"/>
        <v>0</v>
      </c>
      <c r="GD135" s="33">
        <f>IF(GJ134&lt;0.01,0,IF(Plus!$F$22=Plus!$AN$4,0,IF(Plus!$F$22=Plus!$AN$3,GJ134*Plus!$F$23/1000,GJ134*VLOOKUP(Plus!$G$21,Plus!$AP$2:$AQ$5,2,0))))</f>
        <v>0</v>
      </c>
      <c r="GE135" s="33">
        <f>IF(GJ134&lt;0.01,0,IF(Plus!$F$24=Plus!$AO$3,0,IF(OR(Plus!$F$10=Plus!$AK$7,Plus!$F$10=Plus!$AK$13,Plus!$F$10=Plus!$AK$14),0,IF(OR(Plus!$F$10=Plus!$AK$10,Plus!$F$10=Plus!$AK$11),Plus!$G$13*Adm!$W$7,Plus!$G$13*Adm!$X$4))))</f>
        <v>0</v>
      </c>
      <c r="GF135" s="33">
        <f>IF(GJ134&lt;0.01,0,IF(OR(Plus!$F$10=Plus!$AK$7,Plus!$F$10=Plus!$AK$13),0,Plus!$BD$2*1.16))</f>
        <v>0</v>
      </c>
      <c r="GG135" s="33">
        <f>IF(GJ134&lt;0.01,0,IF(Plus!$AS$2&gt;0,GA135*Plus!$AS$3,0))</f>
        <v>0</v>
      </c>
      <c r="GH135" s="33">
        <f t="shared" si="237"/>
        <v>0</v>
      </c>
      <c r="GI135" s="33">
        <f>IF(Plus!$F$10=Plus!$AK$3,MIN(GJ134+GA135+GD135+GE135+GF135-GH135,GU135),0)</f>
        <v>0</v>
      </c>
      <c r="GJ135" s="311">
        <f t="shared" si="286"/>
        <v>0</v>
      </c>
      <c r="GK135" s="340">
        <f>Plus!O176</f>
        <v>0</v>
      </c>
      <c r="GL135" s="74"/>
      <c r="GM135" s="74"/>
      <c r="GN135" s="419">
        <f t="shared" si="283"/>
        <v>0</v>
      </c>
      <c r="GQ135" s="90">
        <f t="shared" si="238"/>
        <v>3</v>
      </c>
      <c r="GR135" s="121">
        <f t="shared" si="272"/>
        <v>0</v>
      </c>
      <c r="GT135" s="149">
        <f t="shared" si="273"/>
        <v>0</v>
      </c>
      <c r="GU135" s="2179">
        <f t="shared" ca="1" si="239"/>
        <v>0</v>
      </c>
      <c r="GW135" s="120">
        <f t="shared" si="274"/>
        <v>0</v>
      </c>
      <c r="GX135" s="110">
        <f t="shared" si="240"/>
        <v>0</v>
      </c>
      <c r="GY135" s="110">
        <f t="shared" si="241"/>
        <v>0</v>
      </c>
      <c r="GZ135" s="109">
        <f t="shared" si="242"/>
        <v>0</v>
      </c>
      <c r="HA135" s="109">
        <f t="shared" si="187"/>
        <v>0</v>
      </c>
      <c r="HB135" s="113">
        <f t="shared" si="243"/>
        <v>0</v>
      </c>
      <c r="HD135" s="102">
        <f t="shared" si="244"/>
        <v>0</v>
      </c>
      <c r="HE135" s="211">
        <f t="shared" si="279"/>
        <v>111</v>
      </c>
      <c r="HF135" s="212">
        <f t="shared" si="245"/>
        <v>0</v>
      </c>
      <c r="HG135" s="212">
        <f t="shared" si="188"/>
        <v>0</v>
      </c>
      <c r="HH135" s="212">
        <f t="shared" si="305"/>
        <v>0</v>
      </c>
      <c r="HI135" s="213">
        <f t="shared" si="189"/>
        <v>1000000</v>
      </c>
      <c r="HL135" s="182"/>
      <c r="HM135" s="26">
        <f t="shared" ca="1" si="190"/>
        <v>6</v>
      </c>
      <c r="HO135" s="268">
        <f t="shared" si="191"/>
        <v>0</v>
      </c>
      <c r="HP135" s="151">
        <f t="shared" si="302"/>
        <v>0</v>
      </c>
      <c r="HQ135" s="123">
        <f t="shared" si="246"/>
        <v>0</v>
      </c>
      <c r="HR135" s="123">
        <f t="shared" si="247"/>
        <v>0</v>
      </c>
      <c r="HS135" s="123">
        <f t="shared" si="248"/>
        <v>0</v>
      </c>
      <c r="HT135" s="123">
        <f>IF(HY134&lt;0.01,0,IF(Adm!$GS$4=Adm!$GS$8,HY134*$HY$15,IF(Adm!$GS$12=Adm!$GS$13,0,HY134*Adm!$GV$4)))</f>
        <v>0</v>
      </c>
      <c r="HU135" s="123">
        <f>IF(HY134&lt;0.01,0,IF(Adm!$GS$5=Adm!$GS$8,Cal!$BO$108*$HY$16/1.16,IF(Adm!$GS$12=Adm!$GS$13,0,Cal!$BO$108*Adm!$GW$4/1.16)))</f>
        <v>0</v>
      </c>
      <c r="HV135" s="123">
        <f t="shared" si="249"/>
        <v>0</v>
      </c>
      <c r="HW135" s="123">
        <f t="shared" si="192"/>
        <v>0</v>
      </c>
      <c r="HX135" s="123">
        <f>IF(Adm!$GH$6="si",MIN(HY134+HQ135+HT135+HU135+HV135-HW135,IH135),0)</f>
        <v>0</v>
      </c>
      <c r="HY135" s="297">
        <f t="shared" si="250"/>
        <v>0</v>
      </c>
      <c r="HZ135" s="74"/>
      <c r="IA135" s="407">
        <f t="shared" si="251"/>
        <v>0</v>
      </c>
      <c r="IC135" s="90">
        <f t="shared" si="252"/>
        <v>3</v>
      </c>
      <c r="ID135" s="124">
        <f>IF(IC135=1,Cal!$BO$127,0)</f>
        <v>0</v>
      </c>
      <c r="IE135" s="178">
        <f>IF(IC135=1,Adm!$HI$4,0)</f>
        <v>0</v>
      </c>
      <c r="IG135" s="70">
        <f t="shared" si="275"/>
        <v>0</v>
      </c>
      <c r="IH135" s="2178">
        <f t="shared" ca="1" si="253"/>
        <v>0</v>
      </c>
      <c r="IK135" s="217"/>
      <c r="IL135" s="26">
        <f t="shared" ca="1" si="193"/>
        <v>6</v>
      </c>
      <c r="IN135" s="268">
        <f t="shared" si="194"/>
        <v>0</v>
      </c>
      <c r="IO135" s="151">
        <f t="shared" si="303"/>
        <v>0</v>
      </c>
      <c r="IP135" s="123">
        <f t="shared" si="254"/>
        <v>0</v>
      </c>
      <c r="IQ135" s="123">
        <f t="shared" si="255"/>
        <v>0</v>
      </c>
      <c r="IR135" s="123">
        <f t="shared" si="256"/>
        <v>0</v>
      </c>
      <c r="IS135" s="123">
        <f>IF(IX134&lt;0.01,0,IF(Adm!$GS$4=Adm!$GS$8,IX134*$IX$15,IF(Adm!$GS$12=Adm!$GS$13,0,IX134*Adm!$GV$4)))</f>
        <v>0</v>
      </c>
      <c r="IT135" s="123"/>
      <c r="IU135" s="123">
        <f t="shared" si="257"/>
        <v>0</v>
      </c>
      <c r="IV135" s="123">
        <f t="shared" si="258"/>
        <v>0</v>
      </c>
      <c r="IW135" s="123"/>
      <c r="IX135" s="297">
        <f t="shared" si="259"/>
        <v>0</v>
      </c>
      <c r="IY135" s="74"/>
      <c r="IZ135" s="416">
        <f t="shared" si="260"/>
        <v>0</v>
      </c>
      <c r="JB135" s="90">
        <f t="shared" si="261"/>
        <v>3</v>
      </c>
      <c r="JC135" s="124">
        <f>IF(JB135=1,Cal!$BP$127,0)</f>
        <v>0</v>
      </c>
      <c r="JD135" s="178">
        <f>IF(JB135=1,Adm!$HI$4,0)</f>
        <v>0</v>
      </c>
    </row>
    <row r="136" spans="1:264">
      <c r="A136" s="26">
        <f t="shared" ca="1" si="162"/>
        <v>7</v>
      </c>
      <c r="C136" s="33">
        <f t="shared" si="163"/>
        <v>0</v>
      </c>
      <c r="D136" s="123">
        <f t="shared" si="195"/>
        <v>0</v>
      </c>
      <c r="E136" s="123">
        <f t="shared" si="287"/>
        <v>0</v>
      </c>
      <c r="F136" s="123">
        <f t="shared" si="295"/>
        <v>0</v>
      </c>
      <c r="G136" s="123">
        <f>IF(L135&lt;0.01,0,IF(Adm!$S$4=Adm!$S$8,L135*$L$15,L135*Adm!$V$4))</f>
        <v>0</v>
      </c>
      <c r="H136" s="123">
        <f>IF(L135&lt;0.01,0,IF(Adm!$S$5=Adm!$S$8,Adm!$AA$11*$L$16/1.16,IF(Adm!$B$4=Adm!$A$119,0,Adm!$AA$11*Adm!$X$4/1.16)))</f>
        <v>0</v>
      </c>
      <c r="I136" s="123">
        <f>IF(L135&lt;0.01,0,Cal!$AB$126/1.16)</f>
        <v>0</v>
      </c>
      <c r="J136" s="123">
        <f t="shared" si="164"/>
        <v>0</v>
      </c>
      <c r="K136" s="123">
        <f>IF(Adm!$G$4="si",MIN(L135+D136+G136+H136+I136-J136,V136),0)</f>
        <v>0</v>
      </c>
      <c r="L136" s="123">
        <f t="shared" si="196"/>
        <v>0</v>
      </c>
      <c r="M136" s="74"/>
      <c r="N136" s="74"/>
      <c r="O136" s="407">
        <f t="shared" si="197"/>
        <v>0</v>
      </c>
      <c r="R136" s="90">
        <f t="shared" si="198"/>
        <v>4</v>
      </c>
      <c r="S136" s="121">
        <f>IF(R136=1,Cal!$AB$127,0)</f>
        <v>0</v>
      </c>
      <c r="U136" s="70">
        <f t="shared" si="262"/>
        <v>0</v>
      </c>
      <c r="V136" s="2178">
        <f t="shared" ca="1" si="199"/>
        <v>0</v>
      </c>
      <c r="X136" s="398"/>
      <c r="Z136" s="268">
        <f t="shared" si="165"/>
        <v>0</v>
      </c>
      <c r="AA136" s="2176">
        <f t="shared" si="200"/>
        <v>0</v>
      </c>
      <c r="AB136" s="33">
        <f t="shared" si="201"/>
        <v>0</v>
      </c>
      <c r="AC136" s="33">
        <f t="shared" si="202"/>
        <v>0</v>
      </c>
      <c r="AD136" s="33">
        <f>IF(AI135&lt;0.01,0,IF(Adm!$S$4=Adm!$S$8,AI135*$AI$15,AI135*Adm!$V$4))</f>
        <v>0</v>
      </c>
      <c r="AE136" s="33"/>
      <c r="AF136" s="33"/>
      <c r="AG136" s="33">
        <f t="shared" si="166"/>
        <v>0</v>
      </c>
      <c r="AH136" s="33"/>
      <c r="AI136" s="401">
        <f t="shared" si="167"/>
        <v>0</v>
      </c>
      <c r="AK136" s="410">
        <f t="shared" si="168"/>
        <v>0</v>
      </c>
      <c r="AN136" s="90">
        <f t="shared" si="203"/>
        <v>4</v>
      </c>
      <c r="AO136" s="121">
        <f>IF(AN136=1,Cal!$AC$127,0)</f>
        <v>0</v>
      </c>
      <c r="AS136" s="200"/>
      <c r="AU136" s="268">
        <f t="shared" si="169"/>
        <v>0</v>
      </c>
      <c r="AV136" s="2177">
        <f t="shared" si="204"/>
        <v>0</v>
      </c>
      <c r="AW136" s="123">
        <f t="shared" si="170"/>
        <v>0</v>
      </c>
      <c r="AX136" s="123">
        <f t="shared" si="205"/>
        <v>0</v>
      </c>
      <c r="AY136" s="123">
        <f>IF(BC135&lt;0.01,0,IF(Adm!$S$4=Adm!$S$8,BC135*$BC$16,BC135*Adm!$V$4))</f>
        <v>0</v>
      </c>
      <c r="AZ136" s="123"/>
      <c r="BA136" s="123">
        <f>IF(BC135&lt;0.01,0,Adm!$Q$6)</f>
        <v>0</v>
      </c>
      <c r="BB136" s="123">
        <f t="shared" si="171"/>
        <v>0</v>
      </c>
      <c r="BC136" s="297">
        <f t="shared" si="206"/>
        <v>0</v>
      </c>
      <c r="BE136" s="425">
        <f t="shared" si="172"/>
        <v>0</v>
      </c>
      <c r="BH136" s="90">
        <f t="shared" si="207"/>
        <v>4</v>
      </c>
      <c r="BI136" s="121">
        <f>IF(BH136=1,Cal!$AD$127,0)</f>
        <v>0</v>
      </c>
      <c r="BM136" s="221"/>
      <c r="BO136" s="295">
        <f t="shared" ca="1" si="173"/>
        <v>7</v>
      </c>
      <c r="BP136" s="268">
        <f t="shared" si="174"/>
        <v>0</v>
      </c>
      <c r="BQ136" s="123">
        <f t="shared" si="208"/>
        <v>0</v>
      </c>
      <c r="BR136" s="123">
        <f t="shared" si="288"/>
        <v>0</v>
      </c>
      <c r="BS136" s="123">
        <f t="shared" si="296"/>
        <v>0</v>
      </c>
      <c r="BT136" s="123">
        <f>IF(BZ135&lt;0.01,0,IF(Plus!$F$22=Plus!$AN$4,BZ135*$BZ$15,IF(Plus!$F$22=Plus!$AN$3,BZ135*Plus!$F$23/1000,BZ135*VLOOKUP(Plus!$G$21,Plus!$AP$2:'Plus'!$AQ$5,2,0))))</f>
        <v>0</v>
      </c>
      <c r="BU136" s="123">
        <f>IF(BZ135&lt;0.01,0,IF(Plus!$F$24=Plus!$AO$3,Plus!$G$13*Plus!$AR$2/1.16,IF(Plus!$F$10=Plus!$AK$7,0,Plus!$G$13*Plus!$AR$2/1.16)))</f>
        <v>0</v>
      </c>
      <c r="BV136" s="123">
        <f>IF(BZ135&lt;0.01,0,Plus!$BD$2)</f>
        <v>0</v>
      </c>
      <c r="BW136" s="123"/>
      <c r="BX136" s="123">
        <f t="shared" si="175"/>
        <v>0</v>
      </c>
      <c r="BY136" s="123">
        <f>IF(Plus!$F$10=Plus!$AK$3,MIN(BZ135+BQ136+BT136+BU136+BV136-BX136,CJ136),0)</f>
        <v>0</v>
      </c>
      <c r="BZ136" s="297">
        <f t="shared" si="280"/>
        <v>0</v>
      </c>
      <c r="CA136" s="74"/>
      <c r="CB136" s="74"/>
      <c r="CC136" s="413">
        <f t="shared" si="209"/>
        <v>0</v>
      </c>
      <c r="CF136" s="90">
        <f t="shared" si="210"/>
        <v>4</v>
      </c>
      <c r="CG136" s="121">
        <f t="shared" si="263"/>
        <v>0</v>
      </c>
      <c r="CI136" s="70">
        <f t="shared" si="264"/>
        <v>0</v>
      </c>
      <c r="CJ136" s="2178">
        <f t="shared" ca="1" si="211"/>
        <v>0</v>
      </c>
      <c r="CL136" s="161"/>
      <c r="CN136" s="308">
        <f t="shared" ca="1" si="176"/>
        <v>7</v>
      </c>
      <c r="CO136" s="309">
        <f t="shared" si="212"/>
        <v>0</v>
      </c>
      <c r="CP136" s="268">
        <f t="shared" si="177"/>
        <v>0</v>
      </c>
      <c r="CQ136" s="123">
        <f t="shared" si="213"/>
        <v>0</v>
      </c>
      <c r="CR136" s="123">
        <f t="shared" si="289"/>
        <v>0</v>
      </c>
      <c r="CS136" s="123">
        <f t="shared" si="290"/>
        <v>0</v>
      </c>
      <c r="CT136" s="33">
        <f>IF(CZ135&lt;0.01,0,IF(Plus!$F$22=Plus!$AN$4,0,IF(Plus!$F$22=Plus!$AN$3,CZ135*Plus!$F$23/1000,CZ135*VLOOKUP(Plus!$G$21,Plus!$AP$2:'Plus'!$AQ$5,2,0))))</f>
        <v>0</v>
      </c>
      <c r="CU136" s="123">
        <f>IF(CZ135&lt;0.01,0,IF(Plus!$F$24=Plus!$AO$3,0,IF(OR(Plus!$F$10=Plus!$AK$7,Plus!$F$10=Plus!$AK$13),0,Plus!$G$13*Plus!$AR$2)))</f>
        <v>0</v>
      </c>
      <c r="CV136" s="123">
        <f>IF(CZ135&lt;0.01,0,IF(OR(Plus!$F$10=Plus!$AK$7,Plus!$F$10=Plus!$AK$13),0,Plus!$BD$2*1.16))</f>
        <v>0</v>
      </c>
      <c r="CW136" s="123">
        <f>IF(CZ135&lt;0.01,0,IF(Plus!$AS$2&gt;0,CQ136*Plus!$AS$3,0))</f>
        <v>0</v>
      </c>
      <c r="CX136" s="123">
        <f t="shared" si="214"/>
        <v>0</v>
      </c>
      <c r="CY136" s="123">
        <f>IF(Plus!$F$10=Plus!$AK$3,MIN(CZ135+CQ136+CT136+CU136+CV136-CX136,DK136),0)</f>
        <v>0</v>
      </c>
      <c r="CZ136" s="297">
        <f t="shared" si="294"/>
        <v>0</v>
      </c>
      <c r="DA136" s="306">
        <f>Plus!O177</f>
        <v>0</v>
      </c>
      <c r="DB136" s="74"/>
      <c r="DC136" s="74"/>
      <c r="DD136" s="407">
        <f t="shared" si="215"/>
        <v>0</v>
      </c>
      <c r="DG136" s="90">
        <f t="shared" si="216"/>
        <v>4</v>
      </c>
      <c r="DH136" s="121">
        <f t="shared" si="265"/>
        <v>0</v>
      </c>
      <c r="DJ136" s="149">
        <f t="shared" si="266"/>
        <v>0</v>
      </c>
      <c r="DK136" s="2179">
        <f t="shared" ca="1" si="217"/>
        <v>0</v>
      </c>
      <c r="DN136" s="120">
        <f t="shared" si="267"/>
        <v>0</v>
      </c>
      <c r="DO136" s="110">
        <f t="shared" si="218"/>
        <v>0</v>
      </c>
      <c r="DP136" s="110">
        <f t="shared" si="276"/>
        <v>0</v>
      </c>
      <c r="DQ136" s="109">
        <f t="shared" si="219"/>
        <v>0</v>
      </c>
      <c r="DR136" s="109">
        <f t="shared" si="220"/>
        <v>0</v>
      </c>
      <c r="DS136" s="113">
        <f t="shared" si="221"/>
        <v>0</v>
      </c>
      <c r="DU136" s="102">
        <f t="shared" si="222"/>
        <v>0</v>
      </c>
      <c r="DV136" s="211">
        <f t="shared" si="277"/>
        <v>112</v>
      </c>
      <c r="DW136" s="212">
        <f t="shared" si="223"/>
        <v>0</v>
      </c>
      <c r="DX136" s="212">
        <f t="shared" si="178"/>
        <v>0</v>
      </c>
      <c r="DY136" s="212">
        <f t="shared" si="268"/>
        <v>0</v>
      </c>
      <c r="DZ136" s="213">
        <f t="shared" si="179"/>
        <v>1000000</v>
      </c>
      <c r="ED136" s="182"/>
      <c r="EF136" s="308">
        <f t="shared" ca="1" si="180"/>
        <v>7</v>
      </c>
      <c r="EG136" s="309">
        <f t="shared" si="224"/>
        <v>0</v>
      </c>
      <c r="EH136" s="268">
        <f t="shared" si="181"/>
        <v>0</v>
      </c>
      <c r="EI136" s="33">
        <f t="shared" si="225"/>
        <v>0</v>
      </c>
      <c r="EJ136" s="33">
        <f t="shared" si="291"/>
        <v>0</v>
      </c>
      <c r="EK136" s="33">
        <f t="shared" si="297"/>
        <v>0</v>
      </c>
      <c r="EL136" s="33">
        <f>IF(ER135&lt;0.01,0,IF(Plus!$F$22=Plus!$AN$4,0,IF(Plus!$F$22=Plus!$AN$3,ER135*Plus!$F$23/1000,ER135*VLOOKUP(Plus!$G$21,Plus!$AP$2:'Plus'!$AQ$5,2,0))))</f>
        <v>0</v>
      </c>
      <c r="EM136" s="33">
        <f>IF(ER135&lt;0.01,0,IF(Plus!$F$24=Plus!$AO$3,0,IF(OR(Plus!$F$10=Plus!$AK$7,Plus!$F$10=Plus!$AK$13),0,Plus!$G$13*Plus!$AR$2)))</f>
        <v>0</v>
      </c>
      <c r="EN136" s="33">
        <f>IF(ER135&lt;0.01,0,IF(OR(Plus!$F$10=Plus!$AK$7,Plus!$F$10=Plus!$AK$13),0,Plus!$BD$2*1.16))</f>
        <v>0</v>
      </c>
      <c r="EO136" s="33">
        <f>IF(ER135&lt;0.01,0,IF(Plus!$AS$2&gt;0,EI136*Plus!$AS$3,0))</f>
        <v>0</v>
      </c>
      <c r="EP136" s="33">
        <f t="shared" si="226"/>
        <v>0</v>
      </c>
      <c r="EQ136" s="33">
        <f>IF(Plus!$F$10=Plus!$AK$3,MIN(ER135+EI136+EL136+EM136+EN136-EP136,FC136),0)</f>
        <v>0</v>
      </c>
      <c r="ER136" s="311">
        <f t="shared" si="285"/>
        <v>0</v>
      </c>
      <c r="ES136" s="340">
        <f>Plus!O177</f>
        <v>0</v>
      </c>
      <c r="ET136" s="74"/>
      <c r="EU136" s="74"/>
      <c r="EV136" s="416">
        <f t="shared" si="281"/>
        <v>0</v>
      </c>
      <c r="EY136" s="90">
        <f t="shared" si="227"/>
        <v>4</v>
      </c>
      <c r="EZ136" s="121">
        <f t="shared" si="269"/>
        <v>0</v>
      </c>
      <c r="FB136" s="149">
        <f t="shared" si="270"/>
        <v>0</v>
      </c>
      <c r="FC136" s="2179">
        <f t="shared" ca="1" si="228"/>
        <v>0</v>
      </c>
      <c r="FE136" s="120">
        <f t="shared" si="271"/>
        <v>0</v>
      </c>
      <c r="FF136" s="110">
        <f t="shared" si="229"/>
        <v>0</v>
      </c>
      <c r="FG136" s="110">
        <f t="shared" si="230"/>
        <v>0</v>
      </c>
      <c r="FH136" s="109">
        <f t="shared" si="231"/>
        <v>0</v>
      </c>
      <c r="FI136" s="109">
        <f t="shared" si="182"/>
        <v>0</v>
      </c>
      <c r="FJ136" s="113">
        <f t="shared" si="232"/>
        <v>0</v>
      </c>
      <c r="FL136" s="102">
        <f t="shared" si="233"/>
        <v>0</v>
      </c>
      <c r="FM136" s="211">
        <f t="shared" si="278"/>
        <v>112</v>
      </c>
      <c r="FN136" s="212">
        <f t="shared" si="234"/>
        <v>0</v>
      </c>
      <c r="FO136" s="212">
        <f t="shared" si="183"/>
        <v>0</v>
      </c>
      <c r="FP136" s="212">
        <f t="shared" si="304"/>
        <v>0</v>
      </c>
      <c r="FQ136" s="213">
        <f t="shared" si="184"/>
        <v>1000000</v>
      </c>
      <c r="FV136" s="359"/>
      <c r="FX136" s="308">
        <f t="shared" ca="1" si="185"/>
        <v>7</v>
      </c>
      <c r="FY136" s="309">
        <f t="shared" si="235"/>
        <v>0</v>
      </c>
      <c r="FZ136" s="268">
        <f t="shared" si="186"/>
        <v>0</v>
      </c>
      <c r="GA136" s="33">
        <f t="shared" si="236"/>
        <v>0</v>
      </c>
      <c r="GB136" s="33">
        <f t="shared" si="292"/>
        <v>0</v>
      </c>
      <c r="GC136" s="33">
        <f t="shared" si="293"/>
        <v>0</v>
      </c>
      <c r="GD136" s="33">
        <f>IF(GJ135&lt;0.01,0,IF(Plus!$F$22=Plus!$AN$4,0,IF(Plus!$F$22=Plus!$AN$3,GJ135*Plus!$F$23/1000,GJ135*VLOOKUP(Plus!$G$21,Plus!$AP$2:$AQ$5,2,0))))</f>
        <v>0</v>
      </c>
      <c r="GE136" s="33">
        <f>IF(GJ135&lt;0.01,0,IF(Plus!$F$24=Plus!$AO$3,0,IF(OR(Plus!$F$10=Plus!$AK$7,Plus!$F$10=Plus!$AK$13,Plus!$F$10=Plus!$AK$14),0,IF(OR(Plus!$F$10=Plus!$AK$10,Plus!$F$10=Plus!$AK$11),Plus!$G$13*Adm!$W$7,Plus!$G$13*Adm!$X$4))))</f>
        <v>0</v>
      </c>
      <c r="GF136" s="33">
        <f>IF(GJ135&lt;0.01,0,IF(OR(Plus!$F$10=Plus!$AK$7,Plus!$F$10=Plus!$AK$13),0,Plus!$BD$2*1.16))</f>
        <v>0</v>
      </c>
      <c r="GG136" s="33">
        <f>IF(GJ135&lt;0.01,0,IF(Plus!$AS$2&gt;0,GA136*Plus!$AS$3,0))</f>
        <v>0</v>
      </c>
      <c r="GH136" s="33">
        <f t="shared" si="237"/>
        <v>0</v>
      </c>
      <c r="GI136" s="33">
        <f>IF(Plus!$F$10=Plus!$AK$3,MIN(GJ135+GA136+GD136+GE136+GF136-GH136,GU136),0)</f>
        <v>0</v>
      </c>
      <c r="GJ136" s="311">
        <f t="shared" si="286"/>
        <v>0</v>
      </c>
      <c r="GK136" s="340">
        <f>Plus!O177</f>
        <v>0</v>
      </c>
      <c r="GL136" s="74"/>
      <c r="GM136" s="74"/>
      <c r="GN136" s="419">
        <f t="shared" si="283"/>
        <v>0</v>
      </c>
      <c r="GQ136" s="90">
        <f t="shared" si="238"/>
        <v>4</v>
      </c>
      <c r="GR136" s="121">
        <f t="shared" si="272"/>
        <v>0</v>
      </c>
      <c r="GT136" s="149">
        <f t="shared" si="273"/>
        <v>0</v>
      </c>
      <c r="GU136" s="2179">
        <f t="shared" ca="1" si="239"/>
        <v>0</v>
      </c>
      <c r="GW136" s="120">
        <f t="shared" si="274"/>
        <v>0</v>
      </c>
      <c r="GX136" s="110">
        <f t="shared" si="240"/>
        <v>0</v>
      </c>
      <c r="GY136" s="110">
        <f t="shared" si="241"/>
        <v>0</v>
      </c>
      <c r="GZ136" s="109">
        <f t="shared" si="242"/>
        <v>0</v>
      </c>
      <c r="HA136" s="109">
        <f t="shared" si="187"/>
        <v>0</v>
      </c>
      <c r="HB136" s="113">
        <f t="shared" si="243"/>
        <v>0</v>
      </c>
      <c r="HD136" s="102">
        <f t="shared" si="244"/>
        <v>0</v>
      </c>
      <c r="HE136" s="211">
        <f t="shared" si="279"/>
        <v>112</v>
      </c>
      <c r="HF136" s="212">
        <f t="shared" si="245"/>
        <v>0</v>
      </c>
      <c r="HG136" s="212">
        <f t="shared" si="188"/>
        <v>0</v>
      </c>
      <c r="HH136" s="212">
        <f t="shared" si="305"/>
        <v>0</v>
      </c>
      <c r="HI136" s="213">
        <f t="shared" si="189"/>
        <v>1000000</v>
      </c>
      <c r="HL136" s="182"/>
      <c r="HM136" s="26">
        <f t="shared" ca="1" si="190"/>
        <v>7</v>
      </c>
      <c r="HO136" s="268">
        <f t="shared" si="191"/>
        <v>0</v>
      </c>
      <c r="HP136" s="151">
        <f t="shared" si="302"/>
        <v>0</v>
      </c>
      <c r="HQ136" s="123">
        <f t="shared" si="246"/>
        <v>0</v>
      </c>
      <c r="HR136" s="123">
        <f t="shared" si="247"/>
        <v>0</v>
      </c>
      <c r="HS136" s="123">
        <f t="shared" si="248"/>
        <v>0</v>
      </c>
      <c r="HT136" s="123">
        <f>IF(HY135&lt;0.01,0,IF(Adm!$GS$4=Adm!$GS$8,HY135*$HY$15,IF(Adm!$GS$12=Adm!$GS$13,0,HY135*Adm!$GV$4)))</f>
        <v>0</v>
      </c>
      <c r="HU136" s="123">
        <f>IF(HY135&lt;0.01,0,IF(Adm!$GS$5=Adm!$GS$8,Cal!$BO$108*$HY$16/1.16,IF(Adm!$GS$12=Adm!$GS$13,0,Cal!$BO$108*Adm!$GW$4/1.16)))</f>
        <v>0</v>
      </c>
      <c r="HV136" s="123">
        <f t="shared" si="249"/>
        <v>0</v>
      </c>
      <c r="HW136" s="123">
        <f t="shared" si="192"/>
        <v>0</v>
      </c>
      <c r="HX136" s="123">
        <f>IF(Adm!$GH$6="si",MIN(HY135+HQ136+HT136+HU136+HV136-HW136,IH136),0)</f>
        <v>0</v>
      </c>
      <c r="HY136" s="297">
        <f t="shared" si="250"/>
        <v>0</v>
      </c>
      <c r="HZ136" s="74"/>
      <c r="IA136" s="407">
        <f t="shared" si="251"/>
        <v>0</v>
      </c>
      <c r="IC136" s="90">
        <f t="shared" si="252"/>
        <v>4</v>
      </c>
      <c r="ID136" s="124">
        <f>IF(IC136=1,Cal!$BO$127,0)</f>
        <v>0</v>
      </c>
      <c r="IE136" s="178">
        <f>IF(IC136=1,Adm!$HI$4,0)</f>
        <v>0</v>
      </c>
      <c r="IG136" s="70">
        <f t="shared" si="275"/>
        <v>0</v>
      </c>
      <c r="IH136" s="2178">
        <f t="shared" ca="1" si="253"/>
        <v>0</v>
      </c>
      <c r="IK136" s="217"/>
      <c r="IL136" s="26">
        <f t="shared" ca="1" si="193"/>
        <v>7</v>
      </c>
      <c r="IN136" s="268">
        <f t="shared" si="194"/>
        <v>0</v>
      </c>
      <c r="IO136" s="151">
        <f t="shared" si="303"/>
        <v>0</v>
      </c>
      <c r="IP136" s="123">
        <f t="shared" si="254"/>
        <v>0</v>
      </c>
      <c r="IQ136" s="123">
        <f t="shared" si="255"/>
        <v>0</v>
      </c>
      <c r="IR136" s="123">
        <f t="shared" si="256"/>
        <v>0</v>
      </c>
      <c r="IS136" s="123">
        <f>IF(IX135&lt;0.01,0,IF(Adm!$GS$4=Adm!$GS$8,IX135*$IX$15,IF(Adm!$GS$12=Adm!$GS$13,0,IX135*Adm!$GV$4)))</f>
        <v>0</v>
      </c>
      <c r="IT136" s="123"/>
      <c r="IU136" s="123">
        <f t="shared" si="257"/>
        <v>0</v>
      </c>
      <c r="IV136" s="123">
        <f t="shared" si="258"/>
        <v>0</v>
      </c>
      <c r="IW136" s="123"/>
      <c r="IX136" s="297">
        <f t="shared" si="259"/>
        <v>0</v>
      </c>
      <c r="IY136" s="74"/>
      <c r="IZ136" s="416">
        <f t="shared" si="260"/>
        <v>0</v>
      </c>
      <c r="JB136" s="90">
        <f t="shared" si="261"/>
        <v>4</v>
      </c>
      <c r="JC136" s="124">
        <f>IF(JB136=1,Cal!$BP$127,0)</f>
        <v>0</v>
      </c>
      <c r="JD136" s="178">
        <f>IF(JB136=1,Adm!$HI$4,0)</f>
        <v>0</v>
      </c>
    </row>
    <row r="137" spans="1:264">
      <c r="A137" s="26">
        <f t="shared" ca="1" si="162"/>
        <v>8</v>
      </c>
      <c r="C137" s="33">
        <f t="shared" si="163"/>
        <v>0</v>
      </c>
      <c r="D137" s="123">
        <f t="shared" si="195"/>
        <v>0</v>
      </c>
      <c r="E137" s="123">
        <f t="shared" si="287"/>
        <v>0</v>
      </c>
      <c r="F137" s="123">
        <f t="shared" si="295"/>
        <v>0</v>
      </c>
      <c r="G137" s="123">
        <f>IF(L136&lt;0.01,0,IF(Adm!$S$4=Adm!$S$8,L136*$L$15,L136*Adm!$V$4))</f>
        <v>0</v>
      </c>
      <c r="H137" s="123">
        <f>IF(L136&lt;0.01,0,IF(Adm!$S$5=Adm!$S$8,Adm!$AA$11*$L$16/1.16,IF(Adm!$B$4=Adm!$A$119,0,Adm!$AA$11*Adm!$X$4/1.16)))</f>
        <v>0</v>
      </c>
      <c r="I137" s="123">
        <f>IF(L136&lt;0.01,0,Cal!$AB$126/1.16)</f>
        <v>0</v>
      </c>
      <c r="J137" s="123">
        <f t="shared" si="164"/>
        <v>0</v>
      </c>
      <c r="K137" s="123">
        <f>IF(Adm!$G$4="si",MIN(L136+D137+G137+H137+I137-J137,V137),0)</f>
        <v>0</v>
      </c>
      <c r="L137" s="123">
        <f t="shared" si="196"/>
        <v>0</v>
      </c>
      <c r="M137" s="74"/>
      <c r="N137" s="74"/>
      <c r="O137" s="407">
        <f t="shared" si="197"/>
        <v>0</v>
      </c>
      <c r="R137" s="90">
        <f t="shared" si="198"/>
        <v>5</v>
      </c>
      <c r="S137" s="121">
        <f>IF(R137=1,Cal!$AB$127,0)</f>
        <v>0</v>
      </c>
      <c r="U137" s="70">
        <f t="shared" si="262"/>
        <v>0</v>
      </c>
      <c r="V137" s="2178">
        <f t="shared" ca="1" si="199"/>
        <v>0</v>
      </c>
      <c r="X137" s="398"/>
      <c r="Z137" s="268">
        <f t="shared" si="165"/>
        <v>0</v>
      </c>
      <c r="AA137" s="2176">
        <f t="shared" si="200"/>
        <v>0</v>
      </c>
      <c r="AB137" s="33">
        <f t="shared" si="201"/>
        <v>0</v>
      </c>
      <c r="AC137" s="33">
        <f t="shared" si="202"/>
        <v>0</v>
      </c>
      <c r="AD137" s="33">
        <f>IF(AI136&lt;0.01,0,IF(Adm!$S$4=Adm!$S$8,AI136*$AI$15,AI136*Adm!$V$4))</f>
        <v>0</v>
      </c>
      <c r="AE137" s="33"/>
      <c r="AF137" s="33"/>
      <c r="AG137" s="33">
        <f t="shared" si="166"/>
        <v>0</v>
      </c>
      <c r="AH137" s="33"/>
      <c r="AI137" s="401">
        <f t="shared" si="167"/>
        <v>0</v>
      </c>
      <c r="AK137" s="410">
        <f t="shared" si="168"/>
        <v>0</v>
      </c>
      <c r="AN137" s="90">
        <f t="shared" si="203"/>
        <v>5</v>
      </c>
      <c r="AO137" s="121">
        <f>IF(AN137=1,Cal!$AC$127,0)</f>
        <v>0</v>
      </c>
      <c r="AS137" s="200"/>
      <c r="AU137" s="268">
        <f t="shared" si="169"/>
        <v>0</v>
      </c>
      <c r="AV137" s="2177">
        <f t="shared" si="204"/>
        <v>0</v>
      </c>
      <c r="AW137" s="123">
        <f t="shared" si="170"/>
        <v>0</v>
      </c>
      <c r="AX137" s="123">
        <f t="shared" si="205"/>
        <v>0</v>
      </c>
      <c r="AY137" s="123">
        <f>IF(BC136&lt;0.01,0,IF(Adm!$S$4=Adm!$S$8,BC136*$BC$16,BC136*Adm!$V$4))</f>
        <v>0</v>
      </c>
      <c r="AZ137" s="123"/>
      <c r="BA137" s="123">
        <f>IF(BC136&lt;0.01,0,Adm!$Q$6)</f>
        <v>0</v>
      </c>
      <c r="BB137" s="123">
        <f t="shared" si="171"/>
        <v>0</v>
      </c>
      <c r="BC137" s="297">
        <f t="shared" si="206"/>
        <v>0</v>
      </c>
      <c r="BE137" s="425">
        <f t="shared" si="172"/>
        <v>0</v>
      </c>
      <c r="BH137" s="90">
        <f t="shared" si="207"/>
        <v>5</v>
      </c>
      <c r="BI137" s="121">
        <f>IF(BH137=1,Cal!$AD$127,0)</f>
        <v>0</v>
      </c>
      <c r="BM137" s="221"/>
      <c r="BO137" s="295">
        <f t="shared" ca="1" si="173"/>
        <v>8</v>
      </c>
      <c r="BP137" s="268">
        <f t="shared" si="174"/>
        <v>0</v>
      </c>
      <c r="BQ137" s="123">
        <f t="shared" si="208"/>
        <v>0</v>
      </c>
      <c r="BR137" s="123">
        <f t="shared" si="288"/>
        <v>0</v>
      </c>
      <c r="BS137" s="123">
        <f t="shared" si="296"/>
        <v>0</v>
      </c>
      <c r="BT137" s="123">
        <f>IF(BZ136&lt;0.01,0,IF(Plus!$F$22=Plus!$AN$4,BZ136*$BZ$15,IF(Plus!$F$22=Plus!$AN$3,BZ136*Plus!$F$23/1000,BZ136*VLOOKUP(Plus!$G$21,Plus!$AP$2:'Plus'!$AQ$5,2,0))))</f>
        <v>0</v>
      </c>
      <c r="BU137" s="123">
        <f>IF(BZ136&lt;0.01,0,IF(Plus!$F$24=Plus!$AO$3,Plus!$G$13*Plus!$AR$2/1.16,IF(Plus!$F$10=Plus!$AK$7,0,Plus!$G$13*Plus!$AR$2/1.16)))</f>
        <v>0</v>
      </c>
      <c r="BV137" s="123">
        <f>IF(BZ136&lt;0.01,0,Plus!$BD$2)</f>
        <v>0</v>
      </c>
      <c r="BW137" s="123"/>
      <c r="BX137" s="123">
        <f t="shared" si="175"/>
        <v>0</v>
      </c>
      <c r="BY137" s="123">
        <f>IF(Plus!$F$10=Plus!$AK$3,MIN(BZ136+BQ137+BT137+BU137+BV137-BX137,CJ137),0)</f>
        <v>0</v>
      </c>
      <c r="BZ137" s="297">
        <f t="shared" si="280"/>
        <v>0</v>
      </c>
      <c r="CA137" s="74"/>
      <c r="CB137" s="74"/>
      <c r="CC137" s="413">
        <f t="shared" si="209"/>
        <v>0</v>
      </c>
      <c r="CF137" s="90">
        <f t="shared" si="210"/>
        <v>5</v>
      </c>
      <c r="CG137" s="121">
        <f t="shared" si="263"/>
        <v>0</v>
      </c>
      <c r="CI137" s="70">
        <f t="shared" si="264"/>
        <v>0</v>
      </c>
      <c r="CJ137" s="2178">
        <f t="shared" ca="1" si="211"/>
        <v>0</v>
      </c>
      <c r="CL137" s="161"/>
      <c r="CN137" s="308">
        <f t="shared" ca="1" si="176"/>
        <v>8</v>
      </c>
      <c r="CO137" s="309">
        <f t="shared" si="212"/>
        <v>0</v>
      </c>
      <c r="CP137" s="268">
        <f t="shared" si="177"/>
        <v>0</v>
      </c>
      <c r="CQ137" s="123">
        <f t="shared" si="213"/>
        <v>0</v>
      </c>
      <c r="CR137" s="123">
        <f t="shared" si="289"/>
        <v>0</v>
      </c>
      <c r="CS137" s="123">
        <f t="shared" si="290"/>
        <v>0</v>
      </c>
      <c r="CT137" s="33">
        <f>IF(CZ136&lt;0.01,0,IF(Plus!$F$22=Plus!$AN$4,0,IF(Plus!$F$22=Plus!$AN$3,CZ136*Plus!$F$23/1000,CZ136*VLOOKUP(Plus!$G$21,Plus!$AP$2:'Plus'!$AQ$5,2,0))))</f>
        <v>0</v>
      </c>
      <c r="CU137" s="123">
        <f>IF(CZ136&lt;0.01,0,IF(Plus!$F$24=Plus!$AO$3,0,IF(OR(Plus!$F$10=Plus!$AK$7,Plus!$F$10=Plus!$AK$13),0,Plus!$G$13*Plus!$AR$2)))</f>
        <v>0</v>
      </c>
      <c r="CV137" s="123">
        <f>IF(CZ136&lt;0.01,0,IF(OR(Plus!$F$10=Plus!$AK$7,Plus!$F$10=Plus!$AK$13),0,Plus!$BD$2*1.16))</f>
        <v>0</v>
      </c>
      <c r="CW137" s="123">
        <f>IF(CZ136&lt;0.01,0,IF(Plus!$AS$2&gt;0,CQ137*Plus!$AS$3,0))</f>
        <v>0</v>
      </c>
      <c r="CX137" s="123">
        <f t="shared" si="214"/>
        <v>0</v>
      </c>
      <c r="CY137" s="123">
        <f>IF(Plus!$F$10=Plus!$AK$3,MIN(CZ136+CQ137+CT137+CU137+CV137-CX137,DK137),0)</f>
        <v>0</v>
      </c>
      <c r="CZ137" s="297">
        <f t="shared" si="294"/>
        <v>0</v>
      </c>
      <c r="DA137" s="306">
        <f>Plus!O178</f>
        <v>0</v>
      </c>
      <c r="DB137" s="74"/>
      <c r="DC137" s="74"/>
      <c r="DD137" s="407">
        <f t="shared" si="215"/>
        <v>0</v>
      </c>
      <c r="DG137" s="90">
        <f t="shared" si="216"/>
        <v>5</v>
      </c>
      <c r="DH137" s="121">
        <f t="shared" si="265"/>
        <v>0</v>
      </c>
      <c r="DJ137" s="149">
        <f t="shared" si="266"/>
        <v>0</v>
      </c>
      <c r="DK137" s="2179">
        <f t="shared" ca="1" si="217"/>
        <v>0</v>
      </c>
      <c r="DN137" s="120">
        <f t="shared" si="267"/>
        <v>0</v>
      </c>
      <c r="DO137" s="110">
        <f t="shared" si="218"/>
        <v>0</v>
      </c>
      <c r="DP137" s="110">
        <f t="shared" si="276"/>
        <v>0</v>
      </c>
      <c r="DQ137" s="109">
        <f t="shared" si="219"/>
        <v>0</v>
      </c>
      <c r="DR137" s="109">
        <f t="shared" si="220"/>
        <v>0</v>
      </c>
      <c r="DS137" s="113">
        <f t="shared" si="221"/>
        <v>0</v>
      </c>
      <c r="DU137" s="102">
        <f t="shared" si="222"/>
        <v>0</v>
      </c>
      <c r="DV137" s="211">
        <f t="shared" si="277"/>
        <v>113</v>
      </c>
      <c r="DW137" s="212">
        <f t="shared" si="223"/>
        <v>0</v>
      </c>
      <c r="DX137" s="212">
        <f t="shared" si="178"/>
        <v>0</v>
      </c>
      <c r="DY137" s="212">
        <f t="shared" si="268"/>
        <v>0</v>
      </c>
      <c r="DZ137" s="213">
        <f t="shared" si="179"/>
        <v>1000000</v>
      </c>
      <c r="ED137" s="182"/>
      <c r="EF137" s="308">
        <f t="shared" ca="1" si="180"/>
        <v>8</v>
      </c>
      <c r="EG137" s="309">
        <f t="shared" si="224"/>
        <v>0</v>
      </c>
      <c r="EH137" s="268">
        <f t="shared" si="181"/>
        <v>0</v>
      </c>
      <c r="EI137" s="33">
        <f t="shared" si="225"/>
        <v>0</v>
      </c>
      <c r="EJ137" s="33">
        <f t="shared" si="291"/>
        <v>0</v>
      </c>
      <c r="EK137" s="33">
        <f t="shared" si="297"/>
        <v>0</v>
      </c>
      <c r="EL137" s="33">
        <f>IF(ER136&lt;0.01,0,IF(Plus!$F$22=Plus!$AN$4,0,IF(Plus!$F$22=Plus!$AN$3,ER136*Plus!$F$23/1000,ER136*VLOOKUP(Plus!$G$21,Plus!$AP$2:'Plus'!$AQ$5,2,0))))</f>
        <v>0</v>
      </c>
      <c r="EM137" s="33">
        <f>IF(ER136&lt;0.01,0,IF(Plus!$F$24=Plus!$AO$3,0,IF(OR(Plus!$F$10=Plus!$AK$7,Plus!$F$10=Plus!$AK$13),0,Plus!$G$13*Plus!$AR$2)))</f>
        <v>0</v>
      </c>
      <c r="EN137" s="33">
        <f>IF(ER136&lt;0.01,0,IF(OR(Plus!$F$10=Plus!$AK$7,Plus!$F$10=Plus!$AK$13),0,Plus!$BD$2*1.16))</f>
        <v>0</v>
      </c>
      <c r="EO137" s="33">
        <f>IF(ER136&lt;0.01,0,IF(Plus!$AS$2&gt;0,EI137*Plus!$AS$3,0))</f>
        <v>0</v>
      </c>
      <c r="EP137" s="33">
        <f t="shared" si="226"/>
        <v>0</v>
      </c>
      <c r="EQ137" s="33">
        <f>IF(Plus!$F$10=Plus!$AK$3,MIN(ER136+EI137+EL137+EM137+EN137-EP137,FC137),0)</f>
        <v>0</v>
      </c>
      <c r="ER137" s="311">
        <f t="shared" si="285"/>
        <v>0</v>
      </c>
      <c r="ES137" s="340">
        <f>Plus!O178</f>
        <v>0</v>
      </c>
      <c r="ET137" s="74"/>
      <c r="EU137" s="74"/>
      <c r="EV137" s="416">
        <f t="shared" si="281"/>
        <v>0</v>
      </c>
      <c r="EY137" s="90">
        <f t="shared" si="227"/>
        <v>5</v>
      </c>
      <c r="EZ137" s="121">
        <f t="shared" si="269"/>
        <v>0</v>
      </c>
      <c r="FB137" s="149">
        <f t="shared" si="270"/>
        <v>0</v>
      </c>
      <c r="FC137" s="2179">
        <f t="shared" ca="1" si="228"/>
        <v>0</v>
      </c>
      <c r="FE137" s="120">
        <f t="shared" si="271"/>
        <v>0</v>
      </c>
      <c r="FF137" s="110">
        <f t="shared" si="229"/>
        <v>0</v>
      </c>
      <c r="FG137" s="110">
        <f t="shared" si="230"/>
        <v>0</v>
      </c>
      <c r="FH137" s="109">
        <f t="shared" si="231"/>
        <v>0</v>
      </c>
      <c r="FI137" s="109">
        <f t="shared" si="182"/>
        <v>0</v>
      </c>
      <c r="FJ137" s="113">
        <f t="shared" si="232"/>
        <v>0</v>
      </c>
      <c r="FL137" s="102">
        <f t="shared" si="233"/>
        <v>0</v>
      </c>
      <c r="FM137" s="211">
        <f t="shared" si="278"/>
        <v>113</v>
      </c>
      <c r="FN137" s="212">
        <f t="shared" si="234"/>
        <v>0</v>
      </c>
      <c r="FO137" s="212">
        <f t="shared" si="183"/>
        <v>0</v>
      </c>
      <c r="FP137" s="212">
        <f t="shared" si="304"/>
        <v>0</v>
      </c>
      <c r="FQ137" s="213">
        <f t="shared" si="184"/>
        <v>1000000</v>
      </c>
      <c r="FV137" s="359"/>
      <c r="FX137" s="308">
        <f t="shared" ca="1" si="185"/>
        <v>8</v>
      </c>
      <c r="FY137" s="309">
        <f t="shared" si="235"/>
        <v>0</v>
      </c>
      <c r="FZ137" s="268">
        <f t="shared" si="186"/>
        <v>0</v>
      </c>
      <c r="GA137" s="33">
        <f t="shared" si="236"/>
        <v>0</v>
      </c>
      <c r="GB137" s="33">
        <f t="shared" si="292"/>
        <v>0</v>
      </c>
      <c r="GC137" s="33">
        <f t="shared" si="293"/>
        <v>0</v>
      </c>
      <c r="GD137" s="33">
        <f>IF(GJ136&lt;0.01,0,IF(Plus!$F$22=Plus!$AN$4,0,IF(Plus!$F$22=Plus!$AN$3,GJ136*Plus!$F$23/1000,GJ136*VLOOKUP(Plus!$G$21,Plus!$AP$2:$AQ$5,2,0))))</f>
        <v>0</v>
      </c>
      <c r="GE137" s="33">
        <f>IF(GJ136&lt;0.01,0,IF(Plus!$F$24=Plus!$AO$3,0,IF(OR(Plus!$F$10=Plus!$AK$7,Plus!$F$10=Plus!$AK$13,Plus!$F$10=Plus!$AK$14),0,IF(OR(Plus!$F$10=Plus!$AK$10,Plus!$F$10=Plus!$AK$11),Plus!$G$13*Adm!$W$7,Plus!$G$13*Adm!$X$4))))</f>
        <v>0</v>
      </c>
      <c r="GF137" s="33">
        <f>IF(GJ136&lt;0.01,0,IF(OR(Plus!$F$10=Plus!$AK$7,Plus!$F$10=Plus!$AK$13),0,Plus!$BD$2*1.16))</f>
        <v>0</v>
      </c>
      <c r="GG137" s="33">
        <f>IF(GJ136&lt;0.01,0,IF(Plus!$AS$2&gt;0,GA137*Plus!$AS$3,0))</f>
        <v>0</v>
      </c>
      <c r="GH137" s="33">
        <f t="shared" si="237"/>
        <v>0</v>
      </c>
      <c r="GI137" s="33">
        <f>IF(Plus!$F$10=Plus!$AK$3,MIN(GJ136+GA137+GD137+GE137+GF137-GH137,GU137),0)</f>
        <v>0</v>
      </c>
      <c r="GJ137" s="311">
        <f t="shared" si="286"/>
        <v>0</v>
      </c>
      <c r="GK137" s="340">
        <f>Plus!O178</f>
        <v>0</v>
      </c>
      <c r="GL137" s="74"/>
      <c r="GM137" s="74"/>
      <c r="GN137" s="419">
        <f t="shared" si="283"/>
        <v>0</v>
      </c>
      <c r="GQ137" s="90">
        <f t="shared" si="238"/>
        <v>5</v>
      </c>
      <c r="GR137" s="121">
        <f t="shared" si="272"/>
        <v>0</v>
      </c>
      <c r="GT137" s="149">
        <f t="shared" si="273"/>
        <v>0</v>
      </c>
      <c r="GU137" s="2179">
        <f t="shared" ca="1" si="239"/>
        <v>0</v>
      </c>
      <c r="GW137" s="120">
        <f t="shared" si="274"/>
        <v>0</v>
      </c>
      <c r="GX137" s="110">
        <f t="shared" si="240"/>
        <v>0</v>
      </c>
      <c r="GY137" s="110">
        <f t="shared" si="241"/>
        <v>0</v>
      </c>
      <c r="GZ137" s="109">
        <f t="shared" si="242"/>
        <v>0</v>
      </c>
      <c r="HA137" s="109">
        <f t="shared" si="187"/>
        <v>0</v>
      </c>
      <c r="HB137" s="113">
        <f t="shared" si="243"/>
        <v>0</v>
      </c>
      <c r="HD137" s="102">
        <f t="shared" si="244"/>
        <v>0</v>
      </c>
      <c r="HE137" s="211">
        <f t="shared" si="279"/>
        <v>113</v>
      </c>
      <c r="HF137" s="212">
        <f t="shared" si="245"/>
        <v>0</v>
      </c>
      <c r="HG137" s="212">
        <f t="shared" si="188"/>
        <v>0</v>
      </c>
      <c r="HH137" s="212">
        <f t="shared" si="305"/>
        <v>0</v>
      </c>
      <c r="HI137" s="213">
        <f t="shared" si="189"/>
        <v>1000000</v>
      </c>
      <c r="HL137" s="182"/>
      <c r="HM137" s="26">
        <f t="shared" ca="1" si="190"/>
        <v>8</v>
      </c>
      <c r="HO137" s="268">
        <f t="shared" si="191"/>
        <v>0</v>
      </c>
      <c r="HP137" s="151">
        <f t="shared" si="302"/>
        <v>0</v>
      </c>
      <c r="HQ137" s="123">
        <f t="shared" si="246"/>
        <v>0</v>
      </c>
      <c r="HR137" s="123">
        <f t="shared" si="247"/>
        <v>0</v>
      </c>
      <c r="HS137" s="123">
        <f t="shared" si="248"/>
        <v>0</v>
      </c>
      <c r="HT137" s="123">
        <f>IF(HY136&lt;0.01,0,IF(Adm!$GS$4=Adm!$GS$8,HY136*$HY$15,IF(Adm!$GS$12=Adm!$GS$13,0,HY136*Adm!$GV$4)))</f>
        <v>0</v>
      </c>
      <c r="HU137" s="123">
        <f>IF(HY136&lt;0.01,0,IF(Adm!$GS$5=Adm!$GS$8,Cal!$BO$108*$HY$16/1.16,IF(Adm!$GS$12=Adm!$GS$13,0,Cal!$BO$108*Adm!$GW$4/1.16)))</f>
        <v>0</v>
      </c>
      <c r="HV137" s="123">
        <f t="shared" si="249"/>
        <v>0</v>
      </c>
      <c r="HW137" s="123">
        <f t="shared" si="192"/>
        <v>0</v>
      </c>
      <c r="HX137" s="123">
        <f>IF(Adm!$GH$6="si",MIN(HY136+HQ137+HT137+HU137+HV137-HW137,IH137),0)</f>
        <v>0</v>
      </c>
      <c r="HY137" s="297">
        <f t="shared" si="250"/>
        <v>0</v>
      </c>
      <c r="HZ137" s="74"/>
      <c r="IA137" s="407">
        <f t="shared" si="251"/>
        <v>0</v>
      </c>
      <c r="IC137" s="90">
        <f t="shared" si="252"/>
        <v>5</v>
      </c>
      <c r="ID137" s="124">
        <f>IF(IC137=1,Cal!$BO$127,0)</f>
        <v>0</v>
      </c>
      <c r="IE137" s="178">
        <f>IF(IC137=1,Adm!$HI$4,0)</f>
        <v>0</v>
      </c>
      <c r="IG137" s="70">
        <f t="shared" si="275"/>
        <v>0</v>
      </c>
      <c r="IH137" s="2178">
        <f t="shared" ca="1" si="253"/>
        <v>0</v>
      </c>
      <c r="IK137" s="217"/>
      <c r="IL137" s="26">
        <f t="shared" ca="1" si="193"/>
        <v>8</v>
      </c>
      <c r="IN137" s="268">
        <f t="shared" si="194"/>
        <v>0</v>
      </c>
      <c r="IO137" s="151">
        <f t="shared" si="303"/>
        <v>0</v>
      </c>
      <c r="IP137" s="123">
        <f t="shared" si="254"/>
        <v>0</v>
      </c>
      <c r="IQ137" s="123">
        <f t="shared" si="255"/>
        <v>0</v>
      </c>
      <c r="IR137" s="123">
        <f t="shared" si="256"/>
        <v>0</v>
      </c>
      <c r="IS137" s="123">
        <f>IF(IX136&lt;0.01,0,IF(Adm!$GS$4=Adm!$GS$8,IX136*$IX$15,IF(Adm!$GS$12=Adm!$GS$13,0,IX136*Adm!$GV$4)))</f>
        <v>0</v>
      </c>
      <c r="IT137" s="123"/>
      <c r="IU137" s="123">
        <f t="shared" si="257"/>
        <v>0</v>
      </c>
      <c r="IV137" s="123">
        <f t="shared" si="258"/>
        <v>0</v>
      </c>
      <c r="IW137" s="123"/>
      <c r="IX137" s="297">
        <f t="shared" si="259"/>
        <v>0</v>
      </c>
      <c r="IY137" s="74"/>
      <c r="IZ137" s="416">
        <f t="shared" si="260"/>
        <v>0</v>
      </c>
      <c r="JB137" s="90">
        <f t="shared" si="261"/>
        <v>5</v>
      </c>
      <c r="JC137" s="124">
        <f>IF(JB137=1,Cal!$BP$127,0)</f>
        <v>0</v>
      </c>
      <c r="JD137" s="178">
        <f>IF(JB137=1,Adm!$HI$4,0)</f>
        <v>0</v>
      </c>
    </row>
    <row r="138" spans="1:264">
      <c r="A138" s="26">
        <f t="shared" ca="1" si="162"/>
        <v>9</v>
      </c>
      <c r="C138" s="33">
        <f t="shared" si="163"/>
        <v>0</v>
      </c>
      <c r="D138" s="123">
        <f t="shared" si="195"/>
        <v>0</v>
      </c>
      <c r="E138" s="123">
        <f t="shared" si="287"/>
        <v>0</v>
      </c>
      <c r="F138" s="123">
        <f t="shared" si="295"/>
        <v>0</v>
      </c>
      <c r="G138" s="123">
        <f>IF(L137&lt;0.01,0,IF(Adm!$S$4=Adm!$S$8,L137*$L$15,L137*Adm!$V$4))</f>
        <v>0</v>
      </c>
      <c r="H138" s="123">
        <f>IF(L137&lt;0.01,0,IF(Adm!$S$5=Adm!$S$8,Adm!$AA$11*$L$16/1.16,IF(Adm!$B$4=Adm!$A$119,0,Adm!$AA$11*Adm!$X$4/1.16)))</f>
        <v>0</v>
      </c>
      <c r="I138" s="123">
        <f>IF(L137&lt;0.01,0,Cal!$AB$126/1.16)</f>
        <v>0</v>
      </c>
      <c r="J138" s="123">
        <f t="shared" si="164"/>
        <v>0</v>
      </c>
      <c r="K138" s="123">
        <f>IF(Adm!$G$4="si",MIN(L137+D138+G138+H138+I138-J138,V138),0)</f>
        <v>0</v>
      </c>
      <c r="L138" s="123">
        <f t="shared" si="196"/>
        <v>0</v>
      </c>
      <c r="M138" s="74"/>
      <c r="N138" s="74"/>
      <c r="O138" s="407">
        <f t="shared" si="197"/>
        <v>0</v>
      </c>
      <c r="R138" s="90">
        <f t="shared" si="198"/>
        <v>6</v>
      </c>
      <c r="S138" s="121">
        <f>IF(R138=1,Cal!$AB$127,0)</f>
        <v>0</v>
      </c>
      <c r="U138" s="70">
        <f t="shared" si="262"/>
        <v>0</v>
      </c>
      <c r="V138" s="2178">
        <f t="shared" ca="1" si="199"/>
        <v>0</v>
      </c>
      <c r="X138" s="398"/>
      <c r="Z138" s="268">
        <f t="shared" si="165"/>
        <v>0</v>
      </c>
      <c r="AA138" s="2176">
        <f t="shared" si="200"/>
        <v>0</v>
      </c>
      <c r="AB138" s="33">
        <f t="shared" si="201"/>
        <v>0</v>
      </c>
      <c r="AC138" s="33">
        <f t="shared" si="202"/>
        <v>0</v>
      </c>
      <c r="AD138" s="33">
        <f>IF(AI137&lt;0.01,0,IF(Adm!$S$4=Adm!$S$8,AI137*$AI$15,AI137*Adm!$V$4))</f>
        <v>0</v>
      </c>
      <c r="AE138" s="33"/>
      <c r="AF138" s="33"/>
      <c r="AG138" s="33">
        <f t="shared" si="166"/>
        <v>0</v>
      </c>
      <c r="AH138" s="33"/>
      <c r="AI138" s="401">
        <f t="shared" si="167"/>
        <v>0</v>
      </c>
      <c r="AK138" s="410">
        <f t="shared" si="168"/>
        <v>0</v>
      </c>
      <c r="AN138" s="90">
        <f t="shared" si="203"/>
        <v>6</v>
      </c>
      <c r="AO138" s="121">
        <f>IF(AN138=1,Cal!$AC$127,0)</f>
        <v>0</v>
      </c>
      <c r="AS138" s="200"/>
      <c r="AU138" s="268">
        <f t="shared" si="169"/>
        <v>0</v>
      </c>
      <c r="AV138" s="2177">
        <f t="shared" si="204"/>
        <v>0</v>
      </c>
      <c r="AW138" s="123">
        <f t="shared" si="170"/>
        <v>0</v>
      </c>
      <c r="AX138" s="123">
        <f t="shared" si="205"/>
        <v>0</v>
      </c>
      <c r="AY138" s="123">
        <f>IF(BC137&lt;0.01,0,IF(Adm!$S$4=Adm!$S$8,BC137*$BC$16,BC137*Adm!$V$4))</f>
        <v>0</v>
      </c>
      <c r="AZ138" s="123"/>
      <c r="BA138" s="123">
        <f>IF(BC137&lt;0.01,0,Adm!$Q$6)</f>
        <v>0</v>
      </c>
      <c r="BB138" s="123">
        <f t="shared" si="171"/>
        <v>0</v>
      </c>
      <c r="BC138" s="297">
        <f t="shared" si="206"/>
        <v>0</v>
      </c>
      <c r="BE138" s="425">
        <f t="shared" si="172"/>
        <v>0</v>
      </c>
      <c r="BH138" s="90">
        <f t="shared" si="207"/>
        <v>6</v>
      </c>
      <c r="BI138" s="121">
        <f>IF(BH138=1,Cal!$AD$127,0)</f>
        <v>0</v>
      </c>
      <c r="BM138" s="221"/>
      <c r="BO138" s="295">
        <f t="shared" ca="1" si="173"/>
        <v>9</v>
      </c>
      <c r="BP138" s="268">
        <f t="shared" si="174"/>
        <v>0</v>
      </c>
      <c r="BQ138" s="123">
        <f t="shared" si="208"/>
        <v>0</v>
      </c>
      <c r="BR138" s="123">
        <f t="shared" si="288"/>
        <v>0</v>
      </c>
      <c r="BS138" s="123">
        <f t="shared" si="296"/>
        <v>0</v>
      </c>
      <c r="BT138" s="123">
        <f>IF(BZ137&lt;0.01,0,IF(Plus!$F$22=Plus!$AN$4,BZ137*$BZ$15,IF(Plus!$F$22=Plus!$AN$3,BZ137*Plus!$F$23/1000,BZ137*VLOOKUP(Plus!$G$21,Plus!$AP$2:'Plus'!$AQ$5,2,0))))</f>
        <v>0</v>
      </c>
      <c r="BU138" s="123">
        <f>IF(BZ137&lt;0.01,0,IF(Plus!$F$24=Plus!$AO$3,Plus!$G$13*Plus!$AR$2/1.16,IF(Plus!$F$10=Plus!$AK$7,0,Plus!$G$13*Plus!$AR$2/1.16)))</f>
        <v>0</v>
      </c>
      <c r="BV138" s="123">
        <f>IF(BZ137&lt;0.01,0,Plus!$BD$2)</f>
        <v>0</v>
      </c>
      <c r="BW138" s="123"/>
      <c r="BX138" s="123">
        <f t="shared" si="175"/>
        <v>0</v>
      </c>
      <c r="BY138" s="123">
        <f>IF(Plus!$F$10=Plus!$AK$3,MIN(BZ137+BQ138+BT138+BU138+BV138-BX138,CJ138),0)</f>
        <v>0</v>
      </c>
      <c r="BZ138" s="297">
        <f t="shared" si="280"/>
        <v>0</v>
      </c>
      <c r="CA138" s="74"/>
      <c r="CB138" s="74"/>
      <c r="CC138" s="413">
        <f t="shared" si="209"/>
        <v>0</v>
      </c>
      <c r="CF138" s="90">
        <f t="shared" si="210"/>
        <v>6</v>
      </c>
      <c r="CG138" s="121">
        <f t="shared" si="263"/>
        <v>0</v>
      </c>
      <c r="CI138" s="70">
        <f t="shared" si="264"/>
        <v>0</v>
      </c>
      <c r="CJ138" s="2178">
        <f t="shared" ca="1" si="211"/>
        <v>0</v>
      </c>
      <c r="CL138" s="161"/>
      <c r="CN138" s="308">
        <f t="shared" ca="1" si="176"/>
        <v>9</v>
      </c>
      <c r="CO138" s="309">
        <f t="shared" si="212"/>
        <v>0</v>
      </c>
      <c r="CP138" s="268">
        <f t="shared" si="177"/>
        <v>0</v>
      </c>
      <c r="CQ138" s="123">
        <f t="shared" si="213"/>
        <v>0</v>
      </c>
      <c r="CR138" s="123">
        <f t="shared" si="289"/>
        <v>0</v>
      </c>
      <c r="CS138" s="123">
        <f t="shared" si="290"/>
        <v>0</v>
      </c>
      <c r="CT138" s="33">
        <f>IF(CZ137&lt;0.01,0,IF(Plus!$F$22=Plus!$AN$4,0,IF(Plus!$F$22=Plus!$AN$3,CZ137*Plus!$F$23/1000,CZ137*VLOOKUP(Plus!$G$21,Plus!$AP$2:'Plus'!$AQ$5,2,0))))</f>
        <v>0</v>
      </c>
      <c r="CU138" s="123">
        <f>IF(CZ137&lt;0.01,0,IF(Plus!$F$24=Plus!$AO$3,0,IF(OR(Plus!$F$10=Plus!$AK$7,Plus!$F$10=Plus!$AK$13),0,Plus!$G$13*Plus!$AR$2)))</f>
        <v>0</v>
      </c>
      <c r="CV138" s="123">
        <f>IF(CZ137&lt;0.01,0,IF(OR(Plus!$F$10=Plus!$AK$7,Plus!$F$10=Plus!$AK$13),0,Plus!$BD$2*1.16))</f>
        <v>0</v>
      </c>
      <c r="CW138" s="123">
        <f>IF(CZ137&lt;0.01,0,IF(Plus!$AS$2&gt;0,CQ138*Plus!$AS$3,0))</f>
        <v>0</v>
      </c>
      <c r="CX138" s="123">
        <f t="shared" si="214"/>
        <v>0</v>
      </c>
      <c r="CY138" s="123">
        <f>IF(Plus!$F$10=Plus!$AK$3,MIN(CZ137+CQ138+CT138+CU138+CV138-CX138,DK138),0)</f>
        <v>0</v>
      </c>
      <c r="CZ138" s="297">
        <f t="shared" si="294"/>
        <v>0</v>
      </c>
      <c r="DA138" s="306">
        <f>Plus!O179</f>
        <v>0</v>
      </c>
      <c r="DB138" s="74"/>
      <c r="DC138" s="74"/>
      <c r="DD138" s="407">
        <f t="shared" si="215"/>
        <v>0</v>
      </c>
      <c r="DG138" s="90">
        <f t="shared" si="216"/>
        <v>6</v>
      </c>
      <c r="DH138" s="121">
        <f t="shared" si="265"/>
        <v>0</v>
      </c>
      <c r="DJ138" s="149">
        <f t="shared" si="266"/>
        <v>0</v>
      </c>
      <c r="DK138" s="2179">
        <f t="shared" ca="1" si="217"/>
        <v>0</v>
      </c>
      <c r="DN138" s="120">
        <f t="shared" si="267"/>
        <v>0</v>
      </c>
      <c r="DO138" s="110">
        <f t="shared" si="218"/>
        <v>0</v>
      </c>
      <c r="DP138" s="110">
        <f t="shared" si="276"/>
        <v>0</v>
      </c>
      <c r="DQ138" s="109">
        <f t="shared" si="219"/>
        <v>0</v>
      </c>
      <c r="DR138" s="109">
        <f t="shared" si="220"/>
        <v>0</v>
      </c>
      <c r="DS138" s="113">
        <f t="shared" si="221"/>
        <v>0</v>
      </c>
      <c r="DU138" s="102">
        <f t="shared" si="222"/>
        <v>0</v>
      </c>
      <c r="DV138" s="211">
        <f t="shared" si="277"/>
        <v>114</v>
      </c>
      <c r="DW138" s="212">
        <f t="shared" si="223"/>
        <v>0</v>
      </c>
      <c r="DX138" s="212">
        <f t="shared" si="178"/>
        <v>0</v>
      </c>
      <c r="DY138" s="212">
        <f t="shared" si="268"/>
        <v>0</v>
      </c>
      <c r="DZ138" s="213">
        <f t="shared" si="179"/>
        <v>1000000</v>
      </c>
      <c r="ED138" s="182"/>
      <c r="EF138" s="308">
        <f t="shared" ca="1" si="180"/>
        <v>9</v>
      </c>
      <c r="EG138" s="309">
        <f t="shared" si="224"/>
        <v>0</v>
      </c>
      <c r="EH138" s="268">
        <f t="shared" si="181"/>
        <v>0</v>
      </c>
      <c r="EI138" s="33">
        <f t="shared" si="225"/>
        <v>0</v>
      </c>
      <c r="EJ138" s="33">
        <f t="shared" si="291"/>
        <v>0</v>
      </c>
      <c r="EK138" s="33">
        <f t="shared" si="297"/>
        <v>0</v>
      </c>
      <c r="EL138" s="33">
        <f>IF(ER137&lt;0.01,0,IF(Plus!$F$22=Plus!$AN$4,0,IF(Plus!$F$22=Plus!$AN$3,ER137*Plus!$F$23/1000,ER137*VLOOKUP(Plus!$G$21,Plus!$AP$2:'Plus'!$AQ$5,2,0))))</f>
        <v>0</v>
      </c>
      <c r="EM138" s="33">
        <f>IF(ER137&lt;0.01,0,IF(Plus!$F$24=Plus!$AO$3,0,IF(OR(Plus!$F$10=Plus!$AK$7,Plus!$F$10=Plus!$AK$13),0,Plus!$G$13*Plus!$AR$2)))</f>
        <v>0</v>
      </c>
      <c r="EN138" s="33">
        <f>IF(ER137&lt;0.01,0,IF(OR(Plus!$F$10=Plus!$AK$7,Plus!$F$10=Plus!$AK$13),0,Plus!$BD$2*1.16))</f>
        <v>0</v>
      </c>
      <c r="EO138" s="33">
        <f>IF(ER137&lt;0.01,0,IF(Plus!$AS$2&gt;0,EI138*Plus!$AS$3,0))</f>
        <v>0</v>
      </c>
      <c r="EP138" s="33">
        <f t="shared" si="226"/>
        <v>0</v>
      </c>
      <c r="EQ138" s="33">
        <f>IF(Plus!$F$10=Plus!$AK$3,MIN(ER137+EI138+EL138+EM138+EN138-EP138,FC138),0)</f>
        <v>0</v>
      </c>
      <c r="ER138" s="311">
        <f t="shared" si="285"/>
        <v>0</v>
      </c>
      <c r="ES138" s="340">
        <f>Plus!O179</f>
        <v>0</v>
      </c>
      <c r="ET138" s="74"/>
      <c r="EU138" s="74"/>
      <c r="EV138" s="416">
        <f t="shared" si="281"/>
        <v>0</v>
      </c>
      <c r="EY138" s="90">
        <f t="shared" si="227"/>
        <v>6</v>
      </c>
      <c r="EZ138" s="121">
        <f t="shared" si="269"/>
        <v>0</v>
      </c>
      <c r="FB138" s="149">
        <f t="shared" si="270"/>
        <v>0</v>
      </c>
      <c r="FC138" s="2179">
        <f t="shared" ca="1" si="228"/>
        <v>0</v>
      </c>
      <c r="FE138" s="120">
        <f t="shared" si="271"/>
        <v>0</v>
      </c>
      <c r="FF138" s="110">
        <f t="shared" si="229"/>
        <v>0</v>
      </c>
      <c r="FG138" s="110">
        <f t="shared" si="230"/>
        <v>0</v>
      </c>
      <c r="FH138" s="109">
        <f t="shared" si="231"/>
        <v>0</v>
      </c>
      <c r="FI138" s="109">
        <f t="shared" si="182"/>
        <v>0</v>
      </c>
      <c r="FJ138" s="113">
        <f t="shared" si="232"/>
        <v>0</v>
      </c>
      <c r="FL138" s="102">
        <f t="shared" si="233"/>
        <v>0</v>
      </c>
      <c r="FM138" s="211">
        <f t="shared" si="278"/>
        <v>114</v>
      </c>
      <c r="FN138" s="212">
        <f t="shared" si="234"/>
        <v>0</v>
      </c>
      <c r="FO138" s="212">
        <f t="shared" si="183"/>
        <v>0</v>
      </c>
      <c r="FP138" s="212">
        <f t="shared" si="304"/>
        <v>0</v>
      </c>
      <c r="FQ138" s="213">
        <f t="shared" si="184"/>
        <v>1000000</v>
      </c>
      <c r="FV138" s="359"/>
      <c r="FX138" s="308">
        <f t="shared" ca="1" si="185"/>
        <v>9</v>
      </c>
      <c r="FY138" s="309">
        <f t="shared" si="235"/>
        <v>0</v>
      </c>
      <c r="FZ138" s="268">
        <f t="shared" si="186"/>
        <v>0</v>
      </c>
      <c r="GA138" s="33">
        <f t="shared" si="236"/>
        <v>0</v>
      </c>
      <c r="GB138" s="33">
        <f t="shared" si="292"/>
        <v>0</v>
      </c>
      <c r="GC138" s="33">
        <f t="shared" si="293"/>
        <v>0</v>
      </c>
      <c r="GD138" s="33">
        <f>IF(GJ137&lt;0.01,0,IF(Plus!$F$22=Plus!$AN$4,0,IF(Plus!$F$22=Plus!$AN$3,GJ137*Plus!$F$23/1000,GJ137*VLOOKUP(Plus!$G$21,Plus!$AP$2:$AQ$5,2,0))))</f>
        <v>0</v>
      </c>
      <c r="GE138" s="33">
        <f>IF(GJ137&lt;0.01,0,IF(Plus!$F$24=Plus!$AO$3,0,IF(OR(Plus!$F$10=Plus!$AK$7,Plus!$F$10=Plus!$AK$13,Plus!$F$10=Plus!$AK$14),0,IF(OR(Plus!$F$10=Plus!$AK$10,Plus!$F$10=Plus!$AK$11),Plus!$G$13*Adm!$W$7,Plus!$G$13*Adm!$X$4))))</f>
        <v>0</v>
      </c>
      <c r="GF138" s="33">
        <f>IF(GJ137&lt;0.01,0,IF(OR(Plus!$F$10=Plus!$AK$7,Plus!$F$10=Plus!$AK$13),0,Plus!$BD$2*1.16))</f>
        <v>0</v>
      </c>
      <c r="GG138" s="33">
        <f>IF(GJ137&lt;0.01,0,IF(Plus!$AS$2&gt;0,GA138*Plus!$AS$3,0))</f>
        <v>0</v>
      </c>
      <c r="GH138" s="33">
        <f t="shared" si="237"/>
        <v>0</v>
      </c>
      <c r="GI138" s="33">
        <f>IF(Plus!$F$10=Plus!$AK$3,MIN(GJ137+GA138+GD138+GE138+GF138-GH138,GU138),0)</f>
        <v>0</v>
      </c>
      <c r="GJ138" s="311">
        <f t="shared" si="286"/>
        <v>0</v>
      </c>
      <c r="GK138" s="340">
        <f>Plus!O179</f>
        <v>0</v>
      </c>
      <c r="GL138" s="74"/>
      <c r="GM138" s="74"/>
      <c r="GN138" s="419">
        <f t="shared" si="283"/>
        <v>0</v>
      </c>
      <c r="GQ138" s="90">
        <f t="shared" si="238"/>
        <v>6</v>
      </c>
      <c r="GR138" s="121">
        <f t="shared" si="272"/>
        <v>0</v>
      </c>
      <c r="GT138" s="149">
        <f t="shared" si="273"/>
        <v>0</v>
      </c>
      <c r="GU138" s="2179">
        <f t="shared" ca="1" si="239"/>
        <v>0</v>
      </c>
      <c r="GW138" s="120">
        <f t="shared" si="274"/>
        <v>0</v>
      </c>
      <c r="GX138" s="110">
        <f t="shared" si="240"/>
        <v>0</v>
      </c>
      <c r="GY138" s="110">
        <f t="shared" si="241"/>
        <v>0</v>
      </c>
      <c r="GZ138" s="109">
        <f t="shared" si="242"/>
        <v>0</v>
      </c>
      <c r="HA138" s="109">
        <f t="shared" si="187"/>
        <v>0</v>
      </c>
      <c r="HB138" s="113">
        <f t="shared" si="243"/>
        <v>0</v>
      </c>
      <c r="HD138" s="102">
        <f t="shared" si="244"/>
        <v>0</v>
      </c>
      <c r="HE138" s="211">
        <f t="shared" si="279"/>
        <v>114</v>
      </c>
      <c r="HF138" s="212">
        <f t="shared" si="245"/>
        <v>0</v>
      </c>
      <c r="HG138" s="212">
        <f t="shared" si="188"/>
        <v>0</v>
      </c>
      <c r="HH138" s="212">
        <f t="shared" si="305"/>
        <v>0</v>
      </c>
      <c r="HI138" s="213">
        <f t="shared" si="189"/>
        <v>1000000</v>
      </c>
      <c r="HL138" s="182"/>
      <c r="HM138" s="26">
        <f t="shared" ca="1" si="190"/>
        <v>9</v>
      </c>
      <c r="HO138" s="268">
        <f t="shared" si="191"/>
        <v>0</v>
      </c>
      <c r="HP138" s="151">
        <f t="shared" si="302"/>
        <v>0</v>
      </c>
      <c r="HQ138" s="123">
        <f t="shared" si="246"/>
        <v>0</v>
      </c>
      <c r="HR138" s="123">
        <f t="shared" si="247"/>
        <v>0</v>
      </c>
      <c r="HS138" s="123">
        <f t="shared" si="248"/>
        <v>0</v>
      </c>
      <c r="HT138" s="123">
        <f>IF(HY137&lt;0.01,0,IF(Adm!$GS$4=Adm!$GS$8,HY137*$HY$15,IF(Adm!$GS$12=Adm!$GS$13,0,HY137*Adm!$GV$4)))</f>
        <v>0</v>
      </c>
      <c r="HU138" s="123">
        <f>IF(HY137&lt;0.01,0,IF(Adm!$GS$5=Adm!$GS$8,Cal!$BO$108*$HY$16/1.16,IF(Adm!$GS$12=Adm!$GS$13,0,Cal!$BO$108*Adm!$GW$4/1.16)))</f>
        <v>0</v>
      </c>
      <c r="HV138" s="123">
        <f t="shared" si="249"/>
        <v>0</v>
      </c>
      <c r="HW138" s="123">
        <f t="shared" si="192"/>
        <v>0</v>
      </c>
      <c r="HX138" s="123">
        <f>IF(Adm!$GH$6="si",MIN(HY137+HQ138+HT138+HU138+HV138-HW138,IH138),0)</f>
        <v>0</v>
      </c>
      <c r="HY138" s="297">
        <f t="shared" si="250"/>
        <v>0</v>
      </c>
      <c r="HZ138" s="74"/>
      <c r="IA138" s="407">
        <f t="shared" si="251"/>
        <v>0</v>
      </c>
      <c r="IC138" s="90">
        <f t="shared" si="252"/>
        <v>6</v>
      </c>
      <c r="ID138" s="124">
        <f>IF(IC138=1,Cal!$BO$127,0)</f>
        <v>0</v>
      </c>
      <c r="IE138" s="178">
        <f>IF(IC138=1,Adm!$HI$4,0)</f>
        <v>0</v>
      </c>
      <c r="IG138" s="70">
        <f t="shared" si="275"/>
        <v>0</v>
      </c>
      <c r="IH138" s="2178">
        <f t="shared" ca="1" si="253"/>
        <v>0</v>
      </c>
      <c r="IK138" s="217"/>
      <c r="IL138" s="26">
        <f t="shared" ca="1" si="193"/>
        <v>9</v>
      </c>
      <c r="IN138" s="268">
        <f t="shared" si="194"/>
        <v>0</v>
      </c>
      <c r="IO138" s="151">
        <f t="shared" si="303"/>
        <v>0</v>
      </c>
      <c r="IP138" s="123">
        <f t="shared" si="254"/>
        <v>0</v>
      </c>
      <c r="IQ138" s="123">
        <f t="shared" si="255"/>
        <v>0</v>
      </c>
      <c r="IR138" s="123">
        <f t="shared" si="256"/>
        <v>0</v>
      </c>
      <c r="IS138" s="123">
        <f>IF(IX137&lt;0.01,0,IF(Adm!$GS$4=Adm!$GS$8,IX137*$IX$15,IF(Adm!$GS$12=Adm!$GS$13,0,IX137*Adm!$GV$4)))</f>
        <v>0</v>
      </c>
      <c r="IT138" s="123"/>
      <c r="IU138" s="123">
        <f t="shared" si="257"/>
        <v>0</v>
      </c>
      <c r="IV138" s="123">
        <f t="shared" si="258"/>
        <v>0</v>
      </c>
      <c r="IW138" s="123"/>
      <c r="IX138" s="297">
        <f t="shared" si="259"/>
        <v>0</v>
      </c>
      <c r="IY138" s="74"/>
      <c r="IZ138" s="416">
        <f t="shared" si="260"/>
        <v>0</v>
      </c>
      <c r="JB138" s="90">
        <f t="shared" si="261"/>
        <v>6</v>
      </c>
      <c r="JC138" s="124">
        <f>IF(JB138=1,Cal!$BP$127,0)</f>
        <v>0</v>
      </c>
      <c r="JD138" s="178">
        <f>IF(JB138=1,Adm!$HI$4,0)</f>
        <v>0</v>
      </c>
    </row>
    <row r="139" spans="1:264">
      <c r="A139" s="26">
        <f t="shared" ca="1" si="162"/>
        <v>10</v>
      </c>
      <c r="C139" s="33">
        <f t="shared" si="163"/>
        <v>0</v>
      </c>
      <c r="D139" s="123">
        <f t="shared" si="195"/>
        <v>0</v>
      </c>
      <c r="E139" s="123">
        <f t="shared" si="287"/>
        <v>0</v>
      </c>
      <c r="F139" s="123">
        <f t="shared" si="295"/>
        <v>0</v>
      </c>
      <c r="G139" s="123">
        <f>IF(L138&lt;0.01,0,IF(Adm!$S$4=Adm!$S$8,L138*$L$15,L138*Adm!$V$4))</f>
        <v>0</v>
      </c>
      <c r="H139" s="123">
        <f>IF(L138&lt;0.01,0,IF(Adm!$S$5=Adm!$S$8,Adm!$AA$11*$L$16/1.16,IF(Adm!$B$4=Adm!$A$119,0,Adm!$AA$11*Adm!$X$4/1.16)))</f>
        <v>0</v>
      </c>
      <c r="I139" s="123">
        <f>IF(L138&lt;0.01,0,Cal!$AB$126/1.16)</f>
        <v>0</v>
      </c>
      <c r="J139" s="123">
        <f t="shared" si="164"/>
        <v>0</v>
      </c>
      <c r="K139" s="123">
        <f>IF(Adm!$G$4="si",MIN(L138+D139+G139+H139+I139-J139,V139),0)</f>
        <v>0</v>
      </c>
      <c r="L139" s="123">
        <f t="shared" si="196"/>
        <v>0</v>
      </c>
      <c r="M139" s="74"/>
      <c r="N139" s="74"/>
      <c r="O139" s="407">
        <f t="shared" si="197"/>
        <v>0</v>
      </c>
      <c r="R139" s="90">
        <f t="shared" si="198"/>
        <v>7</v>
      </c>
      <c r="S139" s="121">
        <f>IF(R139=1,Cal!$AB$127,0)</f>
        <v>0</v>
      </c>
      <c r="U139" s="70">
        <f t="shared" si="262"/>
        <v>0</v>
      </c>
      <c r="V139" s="2178">
        <f t="shared" ca="1" si="199"/>
        <v>0</v>
      </c>
      <c r="X139" s="398"/>
      <c r="Z139" s="268">
        <f t="shared" si="165"/>
        <v>0</v>
      </c>
      <c r="AA139" s="2176">
        <f t="shared" si="200"/>
        <v>0</v>
      </c>
      <c r="AB139" s="33">
        <f t="shared" si="201"/>
        <v>0</v>
      </c>
      <c r="AC139" s="33">
        <f t="shared" si="202"/>
        <v>0</v>
      </c>
      <c r="AD139" s="33">
        <f>IF(AI138&lt;0.01,0,IF(Adm!$S$4=Adm!$S$8,AI138*$AI$15,AI138*Adm!$V$4))</f>
        <v>0</v>
      </c>
      <c r="AE139" s="33"/>
      <c r="AF139" s="33"/>
      <c r="AG139" s="33">
        <f t="shared" si="166"/>
        <v>0</v>
      </c>
      <c r="AH139" s="33"/>
      <c r="AI139" s="401">
        <f t="shared" si="167"/>
        <v>0</v>
      </c>
      <c r="AK139" s="410">
        <f t="shared" si="168"/>
        <v>0</v>
      </c>
      <c r="AN139" s="90">
        <f t="shared" si="203"/>
        <v>7</v>
      </c>
      <c r="AO139" s="121">
        <f>IF(AN139=1,Cal!$AC$127,0)</f>
        <v>0</v>
      </c>
      <c r="AS139" s="200"/>
      <c r="AU139" s="268">
        <f t="shared" si="169"/>
        <v>0</v>
      </c>
      <c r="AV139" s="2177">
        <f t="shared" si="204"/>
        <v>0</v>
      </c>
      <c r="AW139" s="123">
        <f t="shared" si="170"/>
        <v>0</v>
      </c>
      <c r="AX139" s="123">
        <f t="shared" si="205"/>
        <v>0</v>
      </c>
      <c r="AY139" s="123">
        <f>IF(BC138&lt;0.01,0,IF(Adm!$S$4=Adm!$S$8,BC138*$BC$16,BC138*Adm!$V$4))</f>
        <v>0</v>
      </c>
      <c r="AZ139" s="123"/>
      <c r="BA139" s="123">
        <f>IF(BC138&lt;0.01,0,Adm!$Q$6)</f>
        <v>0</v>
      </c>
      <c r="BB139" s="123">
        <f t="shared" si="171"/>
        <v>0</v>
      </c>
      <c r="BC139" s="297">
        <f t="shared" si="206"/>
        <v>0</v>
      </c>
      <c r="BE139" s="425">
        <f t="shared" si="172"/>
        <v>0</v>
      </c>
      <c r="BH139" s="90">
        <f t="shared" si="207"/>
        <v>7</v>
      </c>
      <c r="BI139" s="121">
        <f>IF(BH139=1,Cal!$AD$127,0)</f>
        <v>0</v>
      </c>
      <c r="BM139" s="221"/>
      <c r="BO139" s="295">
        <f t="shared" ca="1" si="173"/>
        <v>10</v>
      </c>
      <c r="BP139" s="268">
        <f t="shared" si="174"/>
        <v>0</v>
      </c>
      <c r="BQ139" s="123">
        <f t="shared" si="208"/>
        <v>0</v>
      </c>
      <c r="BR139" s="123">
        <f t="shared" si="288"/>
        <v>0</v>
      </c>
      <c r="BS139" s="123">
        <f t="shared" si="296"/>
        <v>0</v>
      </c>
      <c r="BT139" s="123">
        <f>IF(BZ138&lt;0.01,0,IF(Plus!$F$22=Plus!$AN$4,BZ138*$BZ$15,IF(Plus!$F$22=Plus!$AN$3,BZ138*Plus!$F$23/1000,BZ138*VLOOKUP(Plus!$G$21,Plus!$AP$2:'Plus'!$AQ$5,2,0))))</f>
        <v>0</v>
      </c>
      <c r="BU139" s="123">
        <f>IF(BZ138&lt;0.01,0,IF(Plus!$F$24=Plus!$AO$3,Plus!$G$13*Plus!$AR$2/1.16,IF(Plus!$F$10=Plus!$AK$7,0,Plus!$G$13*Plus!$AR$2/1.16)))</f>
        <v>0</v>
      </c>
      <c r="BV139" s="123">
        <f>IF(BZ138&lt;0.01,0,Plus!$BD$2)</f>
        <v>0</v>
      </c>
      <c r="BW139" s="123"/>
      <c r="BX139" s="123">
        <f t="shared" si="175"/>
        <v>0</v>
      </c>
      <c r="BY139" s="123">
        <f>IF(Plus!$F$10=Plus!$AK$3,MIN(BZ138+BQ139+BT139+BU139+BV139-BX139,CJ139),0)</f>
        <v>0</v>
      </c>
      <c r="BZ139" s="297">
        <f t="shared" si="280"/>
        <v>0</v>
      </c>
      <c r="CA139" s="74"/>
      <c r="CB139" s="74"/>
      <c r="CC139" s="413">
        <f t="shared" si="209"/>
        <v>0</v>
      </c>
      <c r="CF139" s="90">
        <f t="shared" si="210"/>
        <v>7</v>
      </c>
      <c r="CG139" s="121">
        <f t="shared" si="263"/>
        <v>0</v>
      </c>
      <c r="CI139" s="70">
        <f t="shared" si="264"/>
        <v>0</v>
      </c>
      <c r="CJ139" s="2178">
        <f t="shared" ca="1" si="211"/>
        <v>0</v>
      </c>
      <c r="CL139" s="161"/>
      <c r="CN139" s="308">
        <f t="shared" ca="1" si="176"/>
        <v>10</v>
      </c>
      <c r="CO139" s="309">
        <f t="shared" si="212"/>
        <v>0</v>
      </c>
      <c r="CP139" s="268">
        <f t="shared" si="177"/>
        <v>0</v>
      </c>
      <c r="CQ139" s="123">
        <f t="shared" si="213"/>
        <v>0</v>
      </c>
      <c r="CR139" s="123">
        <f t="shared" si="289"/>
        <v>0</v>
      </c>
      <c r="CS139" s="123">
        <f t="shared" si="290"/>
        <v>0</v>
      </c>
      <c r="CT139" s="33">
        <f>IF(CZ138&lt;0.01,0,IF(Plus!$F$22=Plus!$AN$4,0,IF(Plus!$F$22=Plus!$AN$3,CZ138*Plus!$F$23/1000,CZ138*VLOOKUP(Plus!$G$21,Plus!$AP$2:'Plus'!$AQ$5,2,0))))</f>
        <v>0</v>
      </c>
      <c r="CU139" s="123">
        <f>IF(CZ138&lt;0.01,0,IF(Plus!$F$24=Plus!$AO$3,0,IF(OR(Plus!$F$10=Plus!$AK$7,Plus!$F$10=Plus!$AK$13),0,Plus!$G$13*Plus!$AR$2)))</f>
        <v>0</v>
      </c>
      <c r="CV139" s="123">
        <f>IF(CZ138&lt;0.01,0,IF(OR(Plus!$F$10=Plus!$AK$7,Plus!$F$10=Plus!$AK$13),0,Plus!$BD$2*1.16))</f>
        <v>0</v>
      </c>
      <c r="CW139" s="123">
        <f>IF(CZ138&lt;0.01,0,IF(Plus!$AS$2&gt;0,CQ139*Plus!$AS$3,0))</f>
        <v>0</v>
      </c>
      <c r="CX139" s="123">
        <f t="shared" si="214"/>
        <v>0</v>
      </c>
      <c r="CY139" s="123">
        <f>IF(Plus!$F$10=Plus!$AK$3,MIN(CZ138+CQ139+CT139+CU139+CV139-CX139,DK139),0)</f>
        <v>0</v>
      </c>
      <c r="CZ139" s="297">
        <f t="shared" si="294"/>
        <v>0</v>
      </c>
      <c r="DA139" s="306">
        <f>Plus!O180</f>
        <v>0</v>
      </c>
      <c r="DB139" s="74"/>
      <c r="DC139" s="74"/>
      <c r="DD139" s="407">
        <f t="shared" si="215"/>
        <v>0</v>
      </c>
      <c r="DG139" s="90">
        <f t="shared" si="216"/>
        <v>7</v>
      </c>
      <c r="DH139" s="121">
        <f t="shared" si="265"/>
        <v>0</v>
      </c>
      <c r="DJ139" s="149">
        <f t="shared" si="266"/>
        <v>0</v>
      </c>
      <c r="DK139" s="2179">
        <f t="shared" ca="1" si="217"/>
        <v>0</v>
      </c>
      <c r="DN139" s="120">
        <f t="shared" si="267"/>
        <v>0</v>
      </c>
      <c r="DO139" s="110">
        <f t="shared" si="218"/>
        <v>0</v>
      </c>
      <c r="DP139" s="110">
        <f t="shared" si="276"/>
        <v>0</v>
      </c>
      <c r="DQ139" s="109">
        <f t="shared" si="219"/>
        <v>0</v>
      </c>
      <c r="DR139" s="109">
        <f t="shared" si="220"/>
        <v>0</v>
      </c>
      <c r="DS139" s="113">
        <f t="shared" si="221"/>
        <v>0</v>
      </c>
      <c r="DU139" s="102">
        <f t="shared" si="222"/>
        <v>0</v>
      </c>
      <c r="DV139" s="211">
        <f t="shared" si="277"/>
        <v>115</v>
      </c>
      <c r="DW139" s="212">
        <f t="shared" si="223"/>
        <v>0</v>
      </c>
      <c r="DX139" s="212">
        <f t="shared" si="178"/>
        <v>0</v>
      </c>
      <c r="DY139" s="212">
        <f t="shared" si="268"/>
        <v>0</v>
      </c>
      <c r="DZ139" s="213">
        <f t="shared" si="179"/>
        <v>1000000</v>
      </c>
      <c r="ED139" s="182"/>
      <c r="EF139" s="308">
        <f t="shared" ca="1" si="180"/>
        <v>10</v>
      </c>
      <c r="EG139" s="309">
        <f t="shared" si="224"/>
        <v>0</v>
      </c>
      <c r="EH139" s="268">
        <f t="shared" si="181"/>
        <v>0</v>
      </c>
      <c r="EI139" s="33">
        <f t="shared" si="225"/>
        <v>0</v>
      </c>
      <c r="EJ139" s="33">
        <f t="shared" si="291"/>
        <v>0</v>
      </c>
      <c r="EK139" s="33">
        <f t="shared" si="297"/>
        <v>0</v>
      </c>
      <c r="EL139" s="33">
        <f>IF(ER138&lt;0.01,0,IF(Plus!$F$22=Plus!$AN$4,0,IF(Plus!$F$22=Plus!$AN$3,ER138*Plus!$F$23/1000,ER138*VLOOKUP(Plus!$G$21,Plus!$AP$2:'Plus'!$AQ$5,2,0))))</f>
        <v>0</v>
      </c>
      <c r="EM139" s="33">
        <f>IF(ER138&lt;0.01,0,IF(Plus!$F$24=Plus!$AO$3,0,IF(OR(Plus!$F$10=Plus!$AK$7,Plus!$F$10=Plus!$AK$13),0,Plus!$G$13*Plus!$AR$2)))</f>
        <v>0</v>
      </c>
      <c r="EN139" s="33">
        <f>IF(ER138&lt;0.01,0,IF(OR(Plus!$F$10=Plus!$AK$7,Plus!$F$10=Plus!$AK$13),0,Plus!$BD$2*1.16))</f>
        <v>0</v>
      </c>
      <c r="EO139" s="33">
        <f>IF(ER138&lt;0.01,0,IF(Plus!$AS$2&gt;0,EI139*Plus!$AS$3,0))</f>
        <v>0</v>
      </c>
      <c r="EP139" s="33">
        <f t="shared" si="226"/>
        <v>0</v>
      </c>
      <c r="EQ139" s="33">
        <f>IF(Plus!$F$10=Plus!$AK$3,MIN(ER138+EI139+EL139+EM139+EN139-EP139,FC139),0)</f>
        <v>0</v>
      </c>
      <c r="ER139" s="311">
        <f t="shared" si="285"/>
        <v>0</v>
      </c>
      <c r="ES139" s="340">
        <f>Plus!O180</f>
        <v>0</v>
      </c>
      <c r="ET139" s="74"/>
      <c r="EU139" s="74"/>
      <c r="EV139" s="416">
        <f t="shared" si="281"/>
        <v>0</v>
      </c>
      <c r="EY139" s="90">
        <f t="shared" si="227"/>
        <v>7</v>
      </c>
      <c r="EZ139" s="121">
        <f t="shared" si="269"/>
        <v>0</v>
      </c>
      <c r="FB139" s="149">
        <f t="shared" si="270"/>
        <v>0</v>
      </c>
      <c r="FC139" s="2179">
        <f t="shared" ca="1" si="228"/>
        <v>0</v>
      </c>
      <c r="FE139" s="120">
        <f t="shared" si="271"/>
        <v>0</v>
      </c>
      <c r="FF139" s="110">
        <f t="shared" si="229"/>
        <v>0</v>
      </c>
      <c r="FG139" s="110">
        <f t="shared" si="230"/>
        <v>0</v>
      </c>
      <c r="FH139" s="109">
        <f t="shared" si="231"/>
        <v>0</v>
      </c>
      <c r="FI139" s="109">
        <f t="shared" si="182"/>
        <v>0</v>
      </c>
      <c r="FJ139" s="113">
        <f t="shared" si="232"/>
        <v>0</v>
      </c>
      <c r="FL139" s="102">
        <f t="shared" si="233"/>
        <v>0</v>
      </c>
      <c r="FM139" s="211">
        <f t="shared" si="278"/>
        <v>115</v>
      </c>
      <c r="FN139" s="212">
        <f t="shared" si="234"/>
        <v>0</v>
      </c>
      <c r="FO139" s="212">
        <f t="shared" si="183"/>
        <v>0</v>
      </c>
      <c r="FP139" s="212">
        <f t="shared" si="304"/>
        <v>0</v>
      </c>
      <c r="FQ139" s="213">
        <f t="shared" si="184"/>
        <v>1000000</v>
      </c>
      <c r="FV139" s="359"/>
      <c r="FX139" s="308">
        <f t="shared" ca="1" si="185"/>
        <v>10</v>
      </c>
      <c r="FY139" s="309">
        <f t="shared" si="235"/>
        <v>0</v>
      </c>
      <c r="FZ139" s="268">
        <f t="shared" si="186"/>
        <v>0</v>
      </c>
      <c r="GA139" s="33">
        <f t="shared" si="236"/>
        <v>0</v>
      </c>
      <c r="GB139" s="33">
        <f t="shared" si="292"/>
        <v>0</v>
      </c>
      <c r="GC139" s="33">
        <f t="shared" si="293"/>
        <v>0</v>
      </c>
      <c r="GD139" s="33">
        <f>IF(GJ138&lt;0.01,0,IF(Plus!$F$22=Plus!$AN$4,0,IF(Plus!$F$22=Plus!$AN$3,GJ138*Plus!$F$23/1000,GJ138*VLOOKUP(Plus!$G$21,Plus!$AP$2:$AQ$5,2,0))))</f>
        <v>0</v>
      </c>
      <c r="GE139" s="33">
        <f>IF(GJ138&lt;0.01,0,IF(Plus!$F$24=Plus!$AO$3,0,IF(OR(Plus!$F$10=Plus!$AK$7,Plus!$F$10=Plus!$AK$13,Plus!$F$10=Plus!$AK$14),0,IF(OR(Plus!$F$10=Plus!$AK$10,Plus!$F$10=Plus!$AK$11),Plus!$G$13*Adm!$W$7,Plus!$G$13*Adm!$X$4))))</f>
        <v>0</v>
      </c>
      <c r="GF139" s="33">
        <f>IF(GJ138&lt;0.01,0,IF(OR(Plus!$F$10=Plus!$AK$7,Plus!$F$10=Plus!$AK$13),0,Plus!$BD$2*1.16))</f>
        <v>0</v>
      </c>
      <c r="GG139" s="33">
        <f>IF(GJ138&lt;0.01,0,IF(Plus!$AS$2&gt;0,GA139*Plus!$AS$3,0))</f>
        <v>0</v>
      </c>
      <c r="GH139" s="33">
        <f t="shared" si="237"/>
        <v>0</v>
      </c>
      <c r="GI139" s="33">
        <f>IF(Plus!$F$10=Plus!$AK$3,MIN(GJ138+GA139+GD139+GE139+GF139-GH139,GU139),0)</f>
        <v>0</v>
      </c>
      <c r="GJ139" s="311">
        <f t="shared" si="286"/>
        <v>0</v>
      </c>
      <c r="GK139" s="340">
        <f>Plus!O180</f>
        <v>0</v>
      </c>
      <c r="GL139" s="74"/>
      <c r="GM139" s="74"/>
      <c r="GN139" s="419">
        <f t="shared" si="283"/>
        <v>0</v>
      </c>
      <c r="GQ139" s="90">
        <f t="shared" si="238"/>
        <v>7</v>
      </c>
      <c r="GR139" s="121">
        <f t="shared" si="272"/>
        <v>0</v>
      </c>
      <c r="GT139" s="149">
        <f t="shared" si="273"/>
        <v>0</v>
      </c>
      <c r="GU139" s="2179">
        <f t="shared" ca="1" si="239"/>
        <v>0</v>
      </c>
      <c r="GW139" s="120">
        <f t="shared" si="274"/>
        <v>0</v>
      </c>
      <c r="GX139" s="110">
        <f t="shared" si="240"/>
        <v>0</v>
      </c>
      <c r="GY139" s="110">
        <f t="shared" si="241"/>
        <v>0</v>
      </c>
      <c r="GZ139" s="109">
        <f t="shared" si="242"/>
        <v>0</v>
      </c>
      <c r="HA139" s="109">
        <f t="shared" si="187"/>
        <v>0</v>
      </c>
      <c r="HB139" s="113">
        <f t="shared" si="243"/>
        <v>0</v>
      </c>
      <c r="HD139" s="102">
        <f t="shared" si="244"/>
        <v>0</v>
      </c>
      <c r="HE139" s="211">
        <f t="shared" si="279"/>
        <v>115</v>
      </c>
      <c r="HF139" s="212">
        <f t="shared" si="245"/>
        <v>0</v>
      </c>
      <c r="HG139" s="212">
        <f t="shared" si="188"/>
        <v>0</v>
      </c>
      <c r="HH139" s="212">
        <f t="shared" si="305"/>
        <v>0</v>
      </c>
      <c r="HI139" s="213">
        <f t="shared" si="189"/>
        <v>1000000</v>
      </c>
      <c r="HL139" s="182"/>
      <c r="HM139" s="26">
        <f t="shared" ca="1" si="190"/>
        <v>10</v>
      </c>
      <c r="HO139" s="268">
        <f t="shared" si="191"/>
        <v>0</v>
      </c>
      <c r="HP139" s="151">
        <f t="shared" si="302"/>
        <v>0</v>
      </c>
      <c r="HQ139" s="123">
        <f t="shared" si="246"/>
        <v>0</v>
      </c>
      <c r="HR139" s="123">
        <f t="shared" si="247"/>
        <v>0</v>
      </c>
      <c r="HS139" s="123">
        <f t="shared" si="248"/>
        <v>0</v>
      </c>
      <c r="HT139" s="123">
        <f>IF(HY138&lt;0.01,0,IF(Adm!$GS$4=Adm!$GS$8,HY138*$HY$15,IF(Adm!$GS$12=Adm!$GS$13,0,HY138*Adm!$GV$4)))</f>
        <v>0</v>
      </c>
      <c r="HU139" s="123">
        <f>IF(HY138&lt;0.01,0,IF(Adm!$GS$5=Adm!$GS$8,Cal!$BO$108*$HY$16/1.16,IF(Adm!$GS$12=Adm!$GS$13,0,Cal!$BO$108*Adm!$GW$4/1.16)))</f>
        <v>0</v>
      </c>
      <c r="HV139" s="123">
        <f t="shared" si="249"/>
        <v>0</v>
      </c>
      <c r="HW139" s="123">
        <f t="shared" si="192"/>
        <v>0</v>
      </c>
      <c r="HX139" s="123">
        <f>IF(Adm!$GH$6="si",MIN(HY138+HQ139+HT139+HU139+HV139-HW139,IH139),0)</f>
        <v>0</v>
      </c>
      <c r="HY139" s="297">
        <f t="shared" si="250"/>
        <v>0</v>
      </c>
      <c r="HZ139" s="74"/>
      <c r="IA139" s="407">
        <f t="shared" si="251"/>
        <v>0</v>
      </c>
      <c r="IC139" s="90">
        <f t="shared" si="252"/>
        <v>7</v>
      </c>
      <c r="ID139" s="124">
        <f>IF(IC139=1,Cal!$BO$127,0)</f>
        <v>0</v>
      </c>
      <c r="IE139" s="178">
        <f>IF(IC139=1,Adm!$HI$4,0)</f>
        <v>0</v>
      </c>
      <c r="IG139" s="70">
        <f t="shared" si="275"/>
        <v>0</v>
      </c>
      <c r="IH139" s="2178">
        <f t="shared" ca="1" si="253"/>
        <v>0</v>
      </c>
      <c r="IK139" s="217"/>
      <c r="IL139" s="26">
        <f t="shared" ca="1" si="193"/>
        <v>10</v>
      </c>
      <c r="IN139" s="268">
        <f t="shared" si="194"/>
        <v>0</v>
      </c>
      <c r="IO139" s="151">
        <f t="shared" si="303"/>
        <v>0</v>
      </c>
      <c r="IP139" s="123">
        <f t="shared" si="254"/>
        <v>0</v>
      </c>
      <c r="IQ139" s="123">
        <f t="shared" si="255"/>
        <v>0</v>
      </c>
      <c r="IR139" s="123">
        <f t="shared" si="256"/>
        <v>0</v>
      </c>
      <c r="IS139" s="123">
        <f>IF(IX138&lt;0.01,0,IF(Adm!$GS$4=Adm!$GS$8,IX138*$IX$15,IF(Adm!$GS$12=Adm!$GS$13,0,IX138*Adm!$GV$4)))</f>
        <v>0</v>
      </c>
      <c r="IT139" s="123"/>
      <c r="IU139" s="123">
        <f t="shared" si="257"/>
        <v>0</v>
      </c>
      <c r="IV139" s="123">
        <f t="shared" si="258"/>
        <v>0</v>
      </c>
      <c r="IW139" s="123"/>
      <c r="IX139" s="297">
        <f t="shared" si="259"/>
        <v>0</v>
      </c>
      <c r="IY139" s="74"/>
      <c r="IZ139" s="416">
        <f t="shared" si="260"/>
        <v>0</v>
      </c>
      <c r="JB139" s="90">
        <f t="shared" si="261"/>
        <v>7</v>
      </c>
      <c r="JC139" s="124">
        <f>IF(JB139=1,Cal!$BP$127,0)</f>
        <v>0</v>
      </c>
      <c r="JD139" s="178">
        <f>IF(JB139=1,Adm!$HI$4,0)</f>
        <v>0</v>
      </c>
    </row>
    <row r="140" spans="1:264">
      <c r="A140" s="26">
        <f t="shared" ca="1" si="162"/>
        <v>11</v>
      </c>
      <c r="C140" s="33">
        <f t="shared" si="163"/>
        <v>0</v>
      </c>
      <c r="D140" s="123">
        <f t="shared" si="195"/>
        <v>0</v>
      </c>
      <c r="E140" s="123">
        <f t="shared" si="287"/>
        <v>0</v>
      </c>
      <c r="F140" s="123">
        <f t="shared" si="295"/>
        <v>0</v>
      </c>
      <c r="G140" s="123">
        <f>IF(L139&lt;0.01,0,IF(Adm!$S$4=Adm!$S$8,L139*$L$15,L139*Adm!$V$4))</f>
        <v>0</v>
      </c>
      <c r="H140" s="123">
        <f>IF(L139&lt;0.01,0,IF(Adm!$S$5=Adm!$S$8,Adm!$AA$11*$L$16/1.16,IF(Adm!$B$4=Adm!$A$119,0,Adm!$AA$11*Adm!$X$4/1.16)))</f>
        <v>0</v>
      </c>
      <c r="I140" s="123">
        <f>IF(L139&lt;0.01,0,Cal!$AB$126/1.16)</f>
        <v>0</v>
      </c>
      <c r="J140" s="123">
        <f t="shared" si="164"/>
        <v>0</v>
      </c>
      <c r="K140" s="123">
        <f>IF(Adm!$G$4="si",MIN(L139+D140+G140+H140+I140-J140,V140),0)</f>
        <v>0</v>
      </c>
      <c r="L140" s="123">
        <f t="shared" si="196"/>
        <v>0</v>
      </c>
      <c r="M140" s="74"/>
      <c r="N140" s="74"/>
      <c r="O140" s="407">
        <f t="shared" si="197"/>
        <v>0</v>
      </c>
      <c r="R140" s="90">
        <f t="shared" si="198"/>
        <v>8</v>
      </c>
      <c r="S140" s="121">
        <f>IF(R140=1,Cal!$AB$127,0)</f>
        <v>0</v>
      </c>
      <c r="U140" s="70">
        <f t="shared" si="262"/>
        <v>0</v>
      </c>
      <c r="V140" s="2178">
        <f t="shared" ca="1" si="199"/>
        <v>0</v>
      </c>
      <c r="X140" s="398"/>
      <c r="Z140" s="268">
        <f t="shared" si="165"/>
        <v>0</v>
      </c>
      <c r="AA140" s="2176">
        <f t="shared" si="200"/>
        <v>0</v>
      </c>
      <c r="AB140" s="33">
        <f t="shared" si="201"/>
        <v>0</v>
      </c>
      <c r="AC140" s="33">
        <f t="shared" si="202"/>
        <v>0</v>
      </c>
      <c r="AD140" s="33">
        <f>IF(AI139&lt;0.01,0,IF(Adm!$S$4=Adm!$S$8,AI139*$AI$15,AI139*Adm!$V$4))</f>
        <v>0</v>
      </c>
      <c r="AE140" s="33"/>
      <c r="AF140" s="33"/>
      <c r="AG140" s="33">
        <f t="shared" si="166"/>
        <v>0</v>
      </c>
      <c r="AH140" s="33"/>
      <c r="AI140" s="401">
        <f t="shared" si="167"/>
        <v>0</v>
      </c>
      <c r="AK140" s="410">
        <f t="shared" si="168"/>
        <v>0</v>
      </c>
      <c r="AN140" s="90">
        <f t="shared" si="203"/>
        <v>8</v>
      </c>
      <c r="AO140" s="121">
        <f>IF(AN140=1,Cal!$AC$127,0)</f>
        <v>0</v>
      </c>
      <c r="AS140" s="200"/>
      <c r="AU140" s="268">
        <f t="shared" si="169"/>
        <v>0</v>
      </c>
      <c r="AV140" s="2177">
        <f t="shared" si="204"/>
        <v>0</v>
      </c>
      <c r="AW140" s="123">
        <f t="shared" si="170"/>
        <v>0</v>
      </c>
      <c r="AX140" s="123">
        <f t="shared" si="205"/>
        <v>0</v>
      </c>
      <c r="AY140" s="123">
        <f>IF(BC139&lt;0.01,0,IF(Adm!$S$4=Adm!$S$8,BC139*$BC$16,BC139*Adm!$V$4))</f>
        <v>0</v>
      </c>
      <c r="AZ140" s="123"/>
      <c r="BA140" s="123">
        <f>IF(BC139&lt;0.01,0,Adm!$Q$6)</f>
        <v>0</v>
      </c>
      <c r="BB140" s="123">
        <f t="shared" si="171"/>
        <v>0</v>
      </c>
      <c r="BC140" s="297">
        <f t="shared" si="206"/>
        <v>0</v>
      </c>
      <c r="BE140" s="425">
        <f t="shared" si="172"/>
        <v>0</v>
      </c>
      <c r="BH140" s="90">
        <f t="shared" si="207"/>
        <v>8</v>
      </c>
      <c r="BI140" s="121">
        <f>IF(BH140=1,Cal!$AD$127,0)</f>
        <v>0</v>
      </c>
      <c r="BM140" s="221"/>
      <c r="BO140" s="295">
        <f t="shared" ca="1" si="173"/>
        <v>11</v>
      </c>
      <c r="BP140" s="268">
        <f t="shared" si="174"/>
        <v>0</v>
      </c>
      <c r="BQ140" s="123">
        <f t="shared" si="208"/>
        <v>0</v>
      </c>
      <c r="BR140" s="123">
        <f t="shared" si="288"/>
        <v>0</v>
      </c>
      <c r="BS140" s="123">
        <f t="shared" si="296"/>
        <v>0</v>
      </c>
      <c r="BT140" s="123">
        <f>IF(BZ139&lt;0.01,0,IF(Plus!$F$22=Plus!$AN$4,BZ139*$BZ$15,IF(Plus!$F$22=Plus!$AN$3,BZ139*Plus!$F$23/1000,BZ139*VLOOKUP(Plus!$G$21,Plus!$AP$2:'Plus'!$AQ$5,2,0))))</f>
        <v>0</v>
      </c>
      <c r="BU140" s="123">
        <f>IF(BZ139&lt;0.01,0,IF(Plus!$F$24=Plus!$AO$3,Plus!$G$13*Plus!$AR$2/1.16,IF(Plus!$F$10=Plus!$AK$7,0,Plus!$G$13*Plus!$AR$2/1.16)))</f>
        <v>0</v>
      </c>
      <c r="BV140" s="123">
        <f>IF(BZ139&lt;0.01,0,Plus!$BD$2)</f>
        <v>0</v>
      </c>
      <c r="BW140" s="123"/>
      <c r="BX140" s="123">
        <f t="shared" si="175"/>
        <v>0</v>
      </c>
      <c r="BY140" s="123">
        <f>IF(Plus!$F$10=Plus!$AK$3,MIN(BZ139+BQ140+BT140+BU140+BV140-BX140,CJ140),0)</f>
        <v>0</v>
      </c>
      <c r="BZ140" s="297">
        <f t="shared" si="280"/>
        <v>0</v>
      </c>
      <c r="CA140" s="74"/>
      <c r="CB140" s="74"/>
      <c r="CC140" s="413">
        <f t="shared" si="209"/>
        <v>0</v>
      </c>
      <c r="CF140" s="90">
        <f t="shared" si="210"/>
        <v>8</v>
      </c>
      <c r="CG140" s="121">
        <f t="shared" si="263"/>
        <v>0</v>
      </c>
      <c r="CI140" s="70">
        <f t="shared" si="264"/>
        <v>0</v>
      </c>
      <c r="CJ140" s="2178">
        <f t="shared" ca="1" si="211"/>
        <v>0</v>
      </c>
      <c r="CL140" s="161"/>
      <c r="CN140" s="308">
        <f t="shared" ca="1" si="176"/>
        <v>11</v>
      </c>
      <c r="CO140" s="309">
        <f t="shared" si="212"/>
        <v>0</v>
      </c>
      <c r="CP140" s="268">
        <f t="shared" si="177"/>
        <v>0</v>
      </c>
      <c r="CQ140" s="123">
        <f t="shared" si="213"/>
        <v>0</v>
      </c>
      <c r="CR140" s="123">
        <f t="shared" si="289"/>
        <v>0</v>
      </c>
      <c r="CS140" s="123">
        <f t="shared" si="290"/>
        <v>0</v>
      </c>
      <c r="CT140" s="33">
        <f>IF(CZ139&lt;0.01,0,IF(Plus!$F$22=Plus!$AN$4,0,IF(Plus!$F$22=Plus!$AN$3,CZ139*Plus!$F$23/1000,CZ139*VLOOKUP(Plus!$G$21,Plus!$AP$2:'Plus'!$AQ$5,2,0))))</f>
        <v>0</v>
      </c>
      <c r="CU140" s="123">
        <f>IF(CZ139&lt;0.01,0,IF(Plus!$F$24=Plus!$AO$3,0,IF(OR(Plus!$F$10=Plus!$AK$7,Plus!$F$10=Plus!$AK$13),0,Plus!$G$13*Plus!$AR$2)))</f>
        <v>0</v>
      </c>
      <c r="CV140" s="123">
        <f>IF(CZ139&lt;0.01,0,IF(OR(Plus!$F$10=Plus!$AK$7,Plus!$F$10=Plus!$AK$13),0,Plus!$BD$2*1.16))</f>
        <v>0</v>
      </c>
      <c r="CW140" s="123">
        <f>IF(CZ139&lt;0.01,0,IF(Plus!$AS$2&gt;0,CQ140*Plus!$AS$3,0))</f>
        <v>0</v>
      </c>
      <c r="CX140" s="123">
        <f t="shared" si="214"/>
        <v>0</v>
      </c>
      <c r="CY140" s="123">
        <f>IF(Plus!$F$10=Plus!$AK$3,MIN(CZ139+CQ140+CT140+CU140+CV140-CX140,DK140),0)</f>
        <v>0</v>
      </c>
      <c r="CZ140" s="297">
        <f t="shared" si="294"/>
        <v>0</v>
      </c>
      <c r="DA140" s="306">
        <f>Plus!O181</f>
        <v>0</v>
      </c>
      <c r="DB140" s="74"/>
      <c r="DC140" s="74"/>
      <c r="DD140" s="407">
        <f t="shared" si="215"/>
        <v>0</v>
      </c>
      <c r="DG140" s="90">
        <f t="shared" si="216"/>
        <v>8</v>
      </c>
      <c r="DH140" s="121">
        <f t="shared" si="265"/>
        <v>0</v>
      </c>
      <c r="DJ140" s="149">
        <f t="shared" si="266"/>
        <v>0</v>
      </c>
      <c r="DK140" s="2179">
        <f t="shared" ca="1" si="217"/>
        <v>0</v>
      </c>
      <c r="DN140" s="120">
        <f t="shared" si="267"/>
        <v>0</v>
      </c>
      <c r="DO140" s="110">
        <f t="shared" si="218"/>
        <v>0</v>
      </c>
      <c r="DP140" s="110">
        <f t="shared" si="276"/>
        <v>0</v>
      </c>
      <c r="DQ140" s="109">
        <f t="shared" si="219"/>
        <v>0</v>
      </c>
      <c r="DR140" s="109">
        <f t="shared" si="220"/>
        <v>0</v>
      </c>
      <c r="DS140" s="113">
        <f t="shared" si="221"/>
        <v>0</v>
      </c>
      <c r="DU140" s="102">
        <f t="shared" si="222"/>
        <v>0</v>
      </c>
      <c r="DV140" s="211">
        <f t="shared" si="277"/>
        <v>116</v>
      </c>
      <c r="DW140" s="212">
        <f t="shared" si="223"/>
        <v>0</v>
      </c>
      <c r="DX140" s="212">
        <f t="shared" si="178"/>
        <v>0</v>
      </c>
      <c r="DY140" s="212">
        <f t="shared" si="268"/>
        <v>0</v>
      </c>
      <c r="DZ140" s="213">
        <f t="shared" si="179"/>
        <v>1000000</v>
      </c>
      <c r="ED140" s="182"/>
      <c r="EF140" s="308">
        <f t="shared" ca="1" si="180"/>
        <v>11</v>
      </c>
      <c r="EG140" s="309">
        <f t="shared" si="224"/>
        <v>0</v>
      </c>
      <c r="EH140" s="268">
        <f t="shared" si="181"/>
        <v>0</v>
      </c>
      <c r="EI140" s="33">
        <f t="shared" si="225"/>
        <v>0</v>
      </c>
      <c r="EJ140" s="33">
        <f t="shared" si="291"/>
        <v>0</v>
      </c>
      <c r="EK140" s="33">
        <f t="shared" si="297"/>
        <v>0</v>
      </c>
      <c r="EL140" s="33">
        <f>IF(ER139&lt;0.01,0,IF(Plus!$F$22=Plus!$AN$4,0,IF(Plus!$F$22=Plus!$AN$3,ER139*Plus!$F$23/1000,ER139*VLOOKUP(Plus!$G$21,Plus!$AP$2:'Plus'!$AQ$5,2,0))))</f>
        <v>0</v>
      </c>
      <c r="EM140" s="33">
        <f>IF(ER139&lt;0.01,0,IF(Plus!$F$24=Plus!$AO$3,0,IF(OR(Plus!$F$10=Plus!$AK$7,Plus!$F$10=Plus!$AK$13),0,Plus!$G$13*Plus!$AR$2)))</f>
        <v>0</v>
      </c>
      <c r="EN140" s="33">
        <f>IF(ER139&lt;0.01,0,IF(OR(Plus!$F$10=Plus!$AK$7,Plus!$F$10=Plus!$AK$13),0,Plus!$BD$2*1.16))</f>
        <v>0</v>
      </c>
      <c r="EO140" s="33">
        <f>IF(ER139&lt;0.01,0,IF(Plus!$AS$2&gt;0,EI140*Plus!$AS$3,0))</f>
        <v>0</v>
      </c>
      <c r="EP140" s="33">
        <f t="shared" si="226"/>
        <v>0</v>
      </c>
      <c r="EQ140" s="33">
        <f>IF(Plus!$F$10=Plus!$AK$3,MIN(ER139+EI140+EL140+EM140+EN140-EP140,FC140),0)</f>
        <v>0</v>
      </c>
      <c r="ER140" s="311">
        <f t="shared" si="285"/>
        <v>0</v>
      </c>
      <c r="ES140" s="340">
        <f>Plus!O181</f>
        <v>0</v>
      </c>
      <c r="ET140" s="74"/>
      <c r="EU140" s="74"/>
      <c r="EV140" s="416">
        <f t="shared" si="281"/>
        <v>0</v>
      </c>
      <c r="EY140" s="90">
        <f t="shared" si="227"/>
        <v>8</v>
      </c>
      <c r="EZ140" s="121">
        <f t="shared" si="269"/>
        <v>0</v>
      </c>
      <c r="FB140" s="149">
        <f t="shared" si="270"/>
        <v>0</v>
      </c>
      <c r="FC140" s="2179">
        <f t="shared" ca="1" si="228"/>
        <v>0</v>
      </c>
      <c r="FE140" s="120">
        <f t="shared" si="271"/>
        <v>0</v>
      </c>
      <c r="FF140" s="110">
        <f t="shared" si="229"/>
        <v>0</v>
      </c>
      <c r="FG140" s="110">
        <f t="shared" si="230"/>
        <v>0</v>
      </c>
      <c r="FH140" s="109">
        <f t="shared" si="231"/>
        <v>0</v>
      </c>
      <c r="FI140" s="109">
        <f t="shared" si="182"/>
        <v>0</v>
      </c>
      <c r="FJ140" s="113">
        <f t="shared" si="232"/>
        <v>0</v>
      </c>
      <c r="FL140" s="102">
        <f t="shared" si="233"/>
        <v>0</v>
      </c>
      <c r="FM140" s="211">
        <f t="shared" si="278"/>
        <v>116</v>
      </c>
      <c r="FN140" s="212">
        <f t="shared" si="234"/>
        <v>0</v>
      </c>
      <c r="FO140" s="212">
        <f t="shared" si="183"/>
        <v>0</v>
      </c>
      <c r="FP140" s="212">
        <f t="shared" si="304"/>
        <v>0</v>
      </c>
      <c r="FQ140" s="213">
        <f t="shared" si="184"/>
        <v>1000000</v>
      </c>
      <c r="FV140" s="359"/>
      <c r="FX140" s="308">
        <f t="shared" ca="1" si="185"/>
        <v>11</v>
      </c>
      <c r="FY140" s="309">
        <f t="shared" si="235"/>
        <v>0</v>
      </c>
      <c r="FZ140" s="268">
        <f t="shared" si="186"/>
        <v>0</v>
      </c>
      <c r="GA140" s="33">
        <f t="shared" si="236"/>
        <v>0</v>
      </c>
      <c r="GB140" s="33">
        <f t="shared" si="292"/>
        <v>0</v>
      </c>
      <c r="GC140" s="33">
        <f t="shared" si="293"/>
        <v>0</v>
      </c>
      <c r="GD140" s="33">
        <f>IF(GJ139&lt;0.01,0,IF(Plus!$F$22=Plus!$AN$4,0,IF(Plus!$F$22=Plus!$AN$3,GJ139*Plus!$F$23/1000,GJ139*VLOOKUP(Plus!$G$21,Plus!$AP$2:$AQ$5,2,0))))</f>
        <v>0</v>
      </c>
      <c r="GE140" s="33">
        <f>IF(GJ139&lt;0.01,0,IF(Plus!$F$24=Plus!$AO$3,0,IF(OR(Plus!$F$10=Plus!$AK$7,Plus!$F$10=Plus!$AK$13,Plus!$F$10=Plus!$AK$14),0,IF(OR(Plus!$F$10=Plus!$AK$10,Plus!$F$10=Plus!$AK$11),Plus!$G$13*Adm!$W$7,Plus!$G$13*Adm!$X$4))))</f>
        <v>0</v>
      </c>
      <c r="GF140" s="33">
        <f>IF(GJ139&lt;0.01,0,IF(OR(Plus!$F$10=Plus!$AK$7,Plus!$F$10=Plus!$AK$13),0,Plus!$BD$2*1.16))</f>
        <v>0</v>
      </c>
      <c r="GG140" s="33">
        <f>IF(GJ139&lt;0.01,0,IF(Plus!$AS$2&gt;0,GA140*Plus!$AS$3,0))</f>
        <v>0</v>
      </c>
      <c r="GH140" s="33">
        <f t="shared" si="237"/>
        <v>0</v>
      </c>
      <c r="GI140" s="33">
        <f>IF(Plus!$F$10=Plus!$AK$3,MIN(GJ139+GA140+GD140+GE140+GF140-GH140,GU140),0)</f>
        <v>0</v>
      </c>
      <c r="GJ140" s="311">
        <f t="shared" si="286"/>
        <v>0</v>
      </c>
      <c r="GK140" s="340">
        <f>Plus!O181</f>
        <v>0</v>
      </c>
      <c r="GL140" s="74"/>
      <c r="GM140" s="74"/>
      <c r="GN140" s="419">
        <f t="shared" si="283"/>
        <v>0</v>
      </c>
      <c r="GQ140" s="90">
        <f t="shared" si="238"/>
        <v>8</v>
      </c>
      <c r="GR140" s="121">
        <f t="shared" si="272"/>
        <v>0</v>
      </c>
      <c r="GT140" s="149">
        <f t="shared" si="273"/>
        <v>0</v>
      </c>
      <c r="GU140" s="2179">
        <f t="shared" ca="1" si="239"/>
        <v>0</v>
      </c>
      <c r="GW140" s="120">
        <f t="shared" si="274"/>
        <v>0</v>
      </c>
      <c r="GX140" s="110">
        <f t="shared" si="240"/>
        <v>0</v>
      </c>
      <c r="GY140" s="110">
        <f t="shared" si="241"/>
        <v>0</v>
      </c>
      <c r="GZ140" s="109">
        <f t="shared" si="242"/>
        <v>0</v>
      </c>
      <c r="HA140" s="109">
        <f t="shared" si="187"/>
        <v>0</v>
      </c>
      <c r="HB140" s="113">
        <f t="shared" si="243"/>
        <v>0</v>
      </c>
      <c r="HD140" s="102">
        <f t="shared" si="244"/>
        <v>0</v>
      </c>
      <c r="HE140" s="211">
        <f t="shared" si="279"/>
        <v>116</v>
      </c>
      <c r="HF140" s="212">
        <f t="shared" si="245"/>
        <v>0</v>
      </c>
      <c r="HG140" s="212">
        <f t="shared" si="188"/>
        <v>0</v>
      </c>
      <c r="HH140" s="212">
        <f t="shared" si="305"/>
        <v>0</v>
      </c>
      <c r="HI140" s="213">
        <f t="shared" si="189"/>
        <v>1000000</v>
      </c>
      <c r="HL140" s="182"/>
      <c r="HM140" s="26">
        <f t="shared" ca="1" si="190"/>
        <v>11</v>
      </c>
      <c r="HO140" s="268">
        <f t="shared" si="191"/>
        <v>0</v>
      </c>
      <c r="HP140" s="151">
        <f t="shared" si="302"/>
        <v>0</v>
      </c>
      <c r="HQ140" s="123">
        <f t="shared" si="246"/>
        <v>0</v>
      </c>
      <c r="HR140" s="123">
        <f t="shared" si="247"/>
        <v>0</v>
      </c>
      <c r="HS140" s="123">
        <f t="shared" si="248"/>
        <v>0</v>
      </c>
      <c r="HT140" s="123">
        <f>IF(HY139&lt;0.01,0,IF(Adm!$GS$4=Adm!$GS$8,HY139*$HY$15,IF(Adm!$GS$12=Adm!$GS$13,0,HY139*Adm!$GV$4)))</f>
        <v>0</v>
      </c>
      <c r="HU140" s="123">
        <f>IF(HY139&lt;0.01,0,IF(Adm!$GS$5=Adm!$GS$8,Cal!$BO$108*$HY$16/1.16,IF(Adm!$GS$12=Adm!$GS$13,0,Cal!$BO$108*Adm!$GW$4/1.16)))</f>
        <v>0</v>
      </c>
      <c r="HV140" s="123">
        <f t="shared" si="249"/>
        <v>0</v>
      </c>
      <c r="HW140" s="123">
        <f t="shared" si="192"/>
        <v>0</v>
      </c>
      <c r="HX140" s="123">
        <f>IF(Adm!$GH$6="si",MIN(HY139+HQ140+HT140+HU140+HV140-HW140,IH140),0)</f>
        <v>0</v>
      </c>
      <c r="HY140" s="297">
        <f t="shared" si="250"/>
        <v>0</v>
      </c>
      <c r="HZ140" s="74"/>
      <c r="IA140" s="407">
        <f t="shared" si="251"/>
        <v>0</v>
      </c>
      <c r="IC140" s="90">
        <f t="shared" si="252"/>
        <v>8</v>
      </c>
      <c r="ID140" s="124">
        <f>IF(IC140=1,Cal!$BO$127,0)</f>
        <v>0</v>
      </c>
      <c r="IE140" s="178">
        <f>IF(IC140=1,Adm!$HI$4,0)</f>
        <v>0</v>
      </c>
      <c r="IG140" s="70">
        <f t="shared" si="275"/>
        <v>0</v>
      </c>
      <c r="IH140" s="2178">
        <f t="shared" ca="1" si="253"/>
        <v>0</v>
      </c>
      <c r="IK140" s="217"/>
      <c r="IL140" s="26">
        <f t="shared" ca="1" si="193"/>
        <v>11</v>
      </c>
      <c r="IN140" s="268">
        <f t="shared" si="194"/>
        <v>0</v>
      </c>
      <c r="IO140" s="151">
        <f t="shared" si="303"/>
        <v>0</v>
      </c>
      <c r="IP140" s="123">
        <f t="shared" si="254"/>
        <v>0</v>
      </c>
      <c r="IQ140" s="123">
        <f t="shared" si="255"/>
        <v>0</v>
      </c>
      <c r="IR140" s="123">
        <f t="shared" si="256"/>
        <v>0</v>
      </c>
      <c r="IS140" s="123">
        <f>IF(IX139&lt;0.01,0,IF(Adm!$GS$4=Adm!$GS$8,IX139*$IX$15,IF(Adm!$GS$12=Adm!$GS$13,0,IX139*Adm!$GV$4)))</f>
        <v>0</v>
      </c>
      <c r="IT140" s="123"/>
      <c r="IU140" s="123">
        <f t="shared" si="257"/>
        <v>0</v>
      </c>
      <c r="IV140" s="123">
        <f t="shared" si="258"/>
        <v>0</v>
      </c>
      <c r="IW140" s="123"/>
      <c r="IX140" s="297">
        <f t="shared" si="259"/>
        <v>0</v>
      </c>
      <c r="IY140" s="74"/>
      <c r="IZ140" s="416">
        <f t="shared" si="260"/>
        <v>0</v>
      </c>
      <c r="JB140" s="90">
        <f t="shared" si="261"/>
        <v>8</v>
      </c>
      <c r="JC140" s="124">
        <f>IF(JB140=1,Cal!$BP$127,0)</f>
        <v>0</v>
      </c>
      <c r="JD140" s="178">
        <f>IF(JB140=1,Adm!$HI$4,0)</f>
        <v>0</v>
      </c>
    </row>
    <row r="141" spans="1:264">
      <c r="A141" s="26">
        <f t="shared" ca="1" si="162"/>
        <v>12</v>
      </c>
      <c r="C141" s="33">
        <f t="shared" si="163"/>
        <v>0</v>
      </c>
      <c r="D141" s="123">
        <f t="shared" si="195"/>
        <v>0</v>
      </c>
      <c r="E141" s="123">
        <f t="shared" si="287"/>
        <v>0</v>
      </c>
      <c r="F141" s="123">
        <f t="shared" si="295"/>
        <v>0</v>
      </c>
      <c r="G141" s="123">
        <f>IF(L140&lt;0.01,0,IF(Adm!$S$4=Adm!$S$8,L140*$L$15,L140*Adm!$V$4))</f>
        <v>0</v>
      </c>
      <c r="H141" s="123">
        <f>IF(L140&lt;0.01,0,IF(Adm!$S$5=Adm!$S$8,Adm!$AA$11*$L$16/1.16,IF(Adm!$B$4=Adm!$A$119,0,Adm!$AA$11*Adm!$X$4/1.16)))</f>
        <v>0</v>
      </c>
      <c r="I141" s="123">
        <f>IF(L140&lt;0.01,0,Cal!$AB$126/1.16)</f>
        <v>0</v>
      </c>
      <c r="J141" s="123">
        <f t="shared" si="164"/>
        <v>0</v>
      </c>
      <c r="K141" s="123">
        <f>IF(Adm!$G$4="si",MIN(L140+D141+G141+H141+I141-J141,V141),0)</f>
        <v>0</v>
      </c>
      <c r="L141" s="123">
        <f t="shared" si="196"/>
        <v>0</v>
      </c>
      <c r="M141" s="74"/>
      <c r="N141" s="74"/>
      <c r="O141" s="407">
        <f t="shared" si="197"/>
        <v>0</v>
      </c>
      <c r="R141" s="90">
        <f t="shared" si="198"/>
        <v>9</v>
      </c>
      <c r="S141" s="121">
        <f>IF(R141=1,Cal!$AB$127,0)</f>
        <v>0</v>
      </c>
      <c r="U141" s="70">
        <f t="shared" si="262"/>
        <v>0</v>
      </c>
      <c r="V141" s="2178">
        <f t="shared" ca="1" si="199"/>
        <v>0</v>
      </c>
      <c r="X141" s="398"/>
      <c r="Z141" s="268">
        <f t="shared" si="165"/>
        <v>0</v>
      </c>
      <c r="AA141" s="2176">
        <f t="shared" si="200"/>
        <v>0</v>
      </c>
      <c r="AB141" s="33">
        <f t="shared" si="201"/>
        <v>0</v>
      </c>
      <c r="AC141" s="33">
        <f t="shared" si="202"/>
        <v>0</v>
      </c>
      <c r="AD141" s="33">
        <f>IF(AI140&lt;0.01,0,IF(Adm!$S$4=Adm!$S$8,AI140*$AI$15,AI140*Adm!$V$4))</f>
        <v>0</v>
      </c>
      <c r="AE141" s="33"/>
      <c r="AF141" s="33"/>
      <c r="AG141" s="33">
        <f t="shared" si="166"/>
        <v>0</v>
      </c>
      <c r="AH141" s="33"/>
      <c r="AI141" s="401">
        <f t="shared" si="167"/>
        <v>0</v>
      </c>
      <c r="AK141" s="410">
        <f t="shared" si="168"/>
        <v>0</v>
      </c>
      <c r="AN141" s="90">
        <f t="shared" si="203"/>
        <v>9</v>
      </c>
      <c r="AO141" s="121">
        <f>IF(AN141=1,Cal!$AC$127,0)</f>
        <v>0</v>
      </c>
      <c r="AS141" s="200"/>
      <c r="AU141" s="268">
        <f t="shared" si="169"/>
        <v>0</v>
      </c>
      <c r="AV141" s="2177">
        <f t="shared" si="204"/>
        <v>0</v>
      </c>
      <c r="AW141" s="123">
        <f t="shared" si="170"/>
        <v>0</v>
      </c>
      <c r="AX141" s="123">
        <f t="shared" si="205"/>
        <v>0</v>
      </c>
      <c r="AY141" s="123">
        <f>IF(BC140&lt;0.01,0,IF(Adm!$S$4=Adm!$S$8,BC140*$BC$16,BC140*Adm!$V$4))</f>
        <v>0</v>
      </c>
      <c r="AZ141" s="123"/>
      <c r="BA141" s="123">
        <f>IF(BC140&lt;0.01,0,Adm!$Q$6)</f>
        <v>0</v>
      </c>
      <c r="BB141" s="123">
        <f t="shared" si="171"/>
        <v>0</v>
      </c>
      <c r="BC141" s="297">
        <f t="shared" si="206"/>
        <v>0</v>
      </c>
      <c r="BE141" s="425">
        <f t="shared" si="172"/>
        <v>0</v>
      </c>
      <c r="BH141" s="90">
        <f t="shared" si="207"/>
        <v>9</v>
      </c>
      <c r="BI141" s="121">
        <f>IF(BH141=1,Cal!$AD$127,0)</f>
        <v>0</v>
      </c>
      <c r="BM141" s="221"/>
      <c r="BO141" s="295">
        <f t="shared" ca="1" si="173"/>
        <v>12</v>
      </c>
      <c r="BP141" s="268">
        <f t="shared" si="174"/>
        <v>0</v>
      </c>
      <c r="BQ141" s="123">
        <f t="shared" si="208"/>
        <v>0</v>
      </c>
      <c r="BR141" s="123">
        <f t="shared" si="288"/>
        <v>0</v>
      </c>
      <c r="BS141" s="123">
        <f t="shared" si="296"/>
        <v>0</v>
      </c>
      <c r="BT141" s="123">
        <f>IF(BZ140&lt;0.01,0,IF(Plus!$F$22=Plus!$AN$4,BZ140*$BZ$15,IF(Plus!$F$22=Plus!$AN$3,BZ140*Plus!$F$23/1000,BZ140*VLOOKUP(Plus!$G$21,Plus!$AP$2:'Plus'!$AQ$5,2,0))))</f>
        <v>0</v>
      </c>
      <c r="BU141" s="123">
        <f>IF(BZ140&lt;0.01,0,IF(Plus!$F$24=Plus!$AO$3,Plus!$G$13*Plus!$AR$2/1.16,IF(Plus!$F$10=Plus!$AK$7,0,Plus!$G$13*Plus!$AR$2/1.16)))</f>
        <v>0</v>
      </c>
      <c r="BV141" s="123">
        <f>IF(BZ140&lt;0.01,0,Plus!$BD$2)</f>
        <v>0</v>
      </c>
      <c r="BW141" s="123"/>
      <c r="BX141" s="123">
        <f t="shared" si="175"/>
        <v>0</v>
      </c>
      <c r="BY141" s="123">
        <f>IF(Plus!$F$10=Plus!$AK$3,MIN(BZ140+BQ141+BT141+BU141+BV141-BX141,CJ141),0)</f>
        <v>0</v>
      </c>
      <c r="BZ141" s="297">
        <f t="shared" si="280"/>
        <v>0</v>
      </c>
      <c r="CA141" s="74"/>
      <c r="CB141" s="74"/>
      <c r="CC141" s="413">
        <f t="shared" si="209"/>
        <v>0</v>
      </c>
      <c r="CF141" s="90">
        <f t="shared" si="210"/>
        <v>9</v>
      </c>
      <c r="CG141" s="121">
        <f t="shared" si="263"/>
        <v>0</v>
      </c>
      <c r="CI141" s="70">
        <f t="shared" si="264"/>
        <v>0</v>
      </c>
      <c r="CJ141" s="2178">
        <f t="shared" ca="1" si="211"/>
        <v>0</v>
      </c>
      <c r="CL141" s="161"/>
      <c r="CN141" s="308">
        <f t="shared" ca="1" si="176"/>
        <v>12</v>
      </c>
      <c r="CO141" s="309">
        <f t="shared" si="212"/>
        <v>0</v>
      </c>
      <c r="CP141" s="268">
        <f t="shared" si="177"/>
        <v>0</v>
      </c>
      <c r="CQ141" s="123">
        <f t="shared" si="213"/>
        <v>0</v>
      </c>
      <c r="CR141" s="123">
        <f t="shared" si="289"/>
        <v>0</v>
      </c>
      <c r="CS141" s="123">
        <f t="shared" si="290"/>
        <v>0</v>
      </c>
      <c r="CT141" s="33">
        <f>IF(CZ140&lt;0.01,0,IF(Plus!$F$22=Plus!$AN$4,0,IF(Plus!$F$22=Plus!$AN$3,CZ140*Plus!$F$23/1000,CZ140*VLOOKUP(Plus!$G$21,Plus!$AP$2:'Plus'!$AQ$5,2,0))))</f>
        <v>0</v>
      </c>
      <c r="CU141" s="123">
        <f>IF(CZ140&lt;0.01,0,IF(Plus!$F$24=Plus!$AO$3,0,IF(OR(Plus!$F$10=Plus!$AK$7,Plus!$F$10=Plus!$AK$13),0,Plus!$G$13*Plus!$AR$2)))</f>
        <v>0</v>
      </c>
      <c r="CV141" s="123">
        <f>IF(CZ140&lt;0.01,0,IF(OR(Plus!$F$10=Plus!$AK$7,Plus!$F$10=Plus!$AK$13),0,Plus!$BD$2*1.16))</f>
        <v>0</v>
      </c>
      <c r="CW141" s="123">
        <f>IF(CZ140&lt;0.01,0,IF(Plus!$AS$2&gt;0,CQ141*Plus!$AS$3,0))</f>
        <v>0</v>
      </c>
      <c r="CX141" s="123">
        <f t="shared" si="214"/>
        <v>0</v>
      </c>
      <c r="CY141" s="123">
        <f>IF(Plus!$F$10=Plus!$AK$3,MIN(CZ140+CQ141+CT141+CU141+CV141-CX141,DK141),0)</f>
        <v>0</v>
      </c>
      <c r="CZ141" s="297">
        <f t="shared" si="294"/>
        <v>0</v>
      </c>
      <c r="DA141" s="306">
        <f>Plus!O182</f>
        <v>0</v>
      </c>
      <c r="DB141" s="74"/>
      <c r="DC141" s="74"/>
      <c r="DD141" s="407">
        <f t="shared" si="215"/>
        <v>0</v>
      </c>
      <c r="DG141" s="90">
        <f t="shared" si="216"/>
        <v>9</v>
      </c>
      <c r="DH141" s="121">
        <f t="shared" si="265"/>
        <v>0</v>
      </c>
      <c r="DJ141" s="149">
        <f t="shared" si="266"/>
        <v>0</v>
      </c>
      <c r="DK141" s="2179">
        <f t="shared" ca="1" si="217"/>
        <v>0</v>
      </c>
      <c r="DN141" s="120">
        <f t="shared" si="267"/>
        <v>0</v>
      </c>
      <c r="DO141" s="110">
        <f t="shared" si="218"/>
        <v>0</v>
      </c>
      <c r="DP141" s="110">
        <f t="shared" si="276"/>
        <v>0</v>
      </c>
      <c r="DQ141" s="109">
        <f t="shared" si="219"/>
        <v>0</v>
      </c>
      <c r="DR141" s="109">
        <f t="shared" si="220"/>
        <v>0</v>
      </c>
      <c r="DS141" s="113">
        <f t="shared" si="221"/>
        <v>0</v>
      </c>
      <c r="DU141" s="102">
        <f t="shared" si="222"/>
        <v>0</v>
      </c>
      <c r="DV141" s="211">
        <f t="shared" si="277"/>
        <v>117</v>
      </c>
      <c r="DW141" s="212">
        <f t="shared" si="223"/>
        <v>0</v>
      </c>
      <c r="DX141" s="212">
        <f t="shared" si="178"/>
        <v>0</v>
      </c>
      <c r="DY141" s="212">
        <f t="shared" si="268"/>
        <v>0</v>
      </c>
      <c r="DZ141" s="213">
        <f t="shared" si="179"/>
        <v>1000000</v>
      </c>
      <c r="ED141" s="182"/>
      <c r="EF141" s="308">
        <f t="shared" ca="1" si="180"/>
        <v>12</v>
      </c>
      <c r="EG141" s="309">
        <f t="shared" si="224"/>
        <v>0</v>
      </c>
      <c r="EH141" s="268">
        <f t="shared" si="181"/>
        <v>0</v>
      </c>
      <c r="EI141" s="33">
        <f t="shared" si="225"/>
        <v>0</v>
      </c>
      <c r="EJ141" s="33">
        <f t="shared" si="291"/>
        <v>0</v>
      </c>
      <c r="EK141" s="33">
        <f t="shared" si="297"/>
        <v>0</v>
      </c>
      <c r="EL141" s="33">
        <f>IF(ER140&lt;0.01,0,IF(Plus!$F$22=Plus!$AN$4,0,IF(Plus!$F$22=Plus!$AN$3,ER140*Plus!$F$23/1000,ER140*VLOOKUP(Plus!$G$21,Plus!$AP$2:'Plus'!$AQ$5,2,0))))</f>
        <v>0</v>
      </c>
      <c r="EM141" s="33">
        <f>IF(ER140&lt;0.01,0,IF(Plus!$F$24=Plus!$AO$3,0,IF(OR(Plus!$F$10=Plus!$AK$7,Plus!$F$10=Plus!$AK$13),0,Plus!$G$13*Plus!$AR$2)))</f>
        <v>0</v>
      </c>
      <c r="EN141" s="33">
        <f>IF(ER140&lt;0.01,0,IF(OR(Plus!$F$10=Plus!$AK$7,Plus!$F$10=Plus!$AK$13),0,Plus!$BD$2*1.16))</f>
        <v>0</v>
      </c>
      <c r="EO141" s="33">
        <f>IF(ER140&lt;0.01,0,IF(Plus!$AS$2&gt;0,EI141*Plus!$AS$3,0))</f>
        <v>0</v>
      </c>
      <c r="EP141" s="33">
        <f t="shared" si="226"/>
        <v>0</v>
      </c>
      <c r="EQ141" s="33">
        <f>IF(Plus!$F$10=Plus!$AK$3,MIN(ER140+EI141+EL141+EM141+EN141-EP141,FC141),0)</f>
        <v>0</v>
      </c>
      <c r="ER141" s="311">
        <f t="shared" si="285"/>
        <v>0</v>
      </c>
      <c r="ES141" s="340">
        <f>Plus!O182</f>
        <v>0</v>
      </c>
      <c r="ET141" s="74"/>
      <c r="EU141" s="74"/>
      <c r="EV141" s="416">
        <f t="shared" si="281"/>
        <v>0</v>
      </c>
      <c r="EY141" s="90">
        <f t="shared" si="227"/>
        <v>9</v>
      </c>
      <c r="EZ141" s="121">
        <f t="shared" si="269"/>
        <v>0</v>
      </c>
      <c r="FB141" s="149">
        <f t="shared" si="270"/>
        <v>0</v>
      </c>
      <c r="FC141" s="2179">
        <f t="shared" ca="1" si="228"/>
        <v>0</v>
      </c>
      <c r="FE141" s="120">
        <f t="shared" si="271"/>
        <v>0</v>
      </c>
      <c r="FF141" s="110">
        <f t="shared" si="229"/>
        <v>0</v>
      </c>
      <c r="FG141" s="110">
        <f t="shared" si="230"/>
        <v>0</v>
      </c>
      <c r="FH141" s="109">
        <f t="shared" si="231"/>
        <v>0</v>
      </c>
      <c r="FI141" s="109">
        <f t="shared" si="182"/>
        <v>0</v>
      </c>
      <c r="FJ141" s="113">
        <f t="shared" si="232"/>
        <v>0</v>
      </c>
      <c r="FL141" s="102">
        <f t="shared" si="233"/>
        <v>0</v>
      </c>
      <c r="FM141" s="211">
        <f t="shared" si="278"/>
        <v>117</v>
      </c>
      <c r="FN141" s="212">
        <f t="shared" si="234"/>
        <v>0</v>
      </c>
      <c r="FO141" s="212">
        <f t="shared" si="183"/>
        <v>0</v>
      </c>
      <c r="FP141" s="212">
        <f t="shared" si="304"/>
        <v>0</v>
      </c>
      <c r="FQ141" s="213">
        <f t="shared" si="184"/>
        <v>1000000</v>
      </c>
      <c r="FV141" s="359"/>
      <c r="FX141" s="308">
        <f t="shared" ca="1" si="185"/>
        <v>12</v>
      </c>
      <c r="FY141" s="309">
        <f t="shared" si="235"/>
        <v>0</v>
      </c>
      <c r="FZ141" s="268">
        <f t="shared" si="186"/>
        <v>0</v>
      </c>
      <c r="GA141" s="33">
        <f t="shared" si="236"/>
        <v>0</v>
      </c>
      <c r="GB141" s="33">
        <f t="shared" si="292"/>
        <v>0</v>
      </c>
      <c r="GC141" s="33">
        <f t="shared" si="293"/>
        <v>0</v>
      </c>
      <c r="GD141" s="33">
        <f>IF(GJ140&lt;0.01,0,IF(Plus!$F$22=Plus!$AN$4,0,IF(Plus!$F$22=Plus!$AN$3,GJ140*Plus!$F$23/1000,GJ140*VLOOKUP(Plus!$G$21,Plus!$AP$2:$AQ$5,2,0))))</f>
        <v>0</v>
      </c>
      <c r="GE141" s="33">
        <f>IF(GJ140&lt;0.01,0,IF(Plus!$F$24=Plus!$AO$3,0,IF(OR(Plus!$F$10=Plus!$AK$7,Plus!$F$10=Plus!$AK$13,Plus!$F$10=Plus!$AK$14),0,IF(OR(Plus!$F$10=Plus!$AK$10,Plus!$F$10=Plus!$AK$11),Plus!$G$13*Adm!$W$7,Plus!$G$13*Adm!$X$4))))</f>
        <v>0</v>
      </c>
      <c r="GF141" s="33">
        <f>IF(GJ140&lt;0.01,0,IF(OR(Plus!$F$10=Plus!$AK$7,Plus!$F$10=Plus!$AK$13),0,Plus!$BD$2*1.16))</f>
        <v>0</v>
      </c>
      <c r="GG141" s="33">
        <f>IF(GJ140&lt;0.01,0,IF(Plus!$AS$2&gt;0,GA141*Plus!$AS$3,0))</f>
        <v>0</v>
      </c>
      <c r="GH141" s="33">
        <f t="shared" si="237"/>
        <v>0</v>
      </c>
      <c r="GI141" s="33">
        <f>IF(Plus!$F$10=Plus!$AK$3,MIN(GJ140+GA141+GD141+GE141+GF141-GH141,GU141),0)</f>
        <v>0</v>
      </c>
      <c r="GJ141" s="311">
        <f t="shared" si="286"/>
        <v>0</v>
      </c>
      <c r="GK141" s="340">
        <f>Plus!O182</f>
        <v>0</v>
      </c>
      <c r="GL141" s="74"/>
      <c r="GM141" s="74"/>
      <c r="GN141" s="419">
        <f t="shared" si="283"/>
        <v>0</v>
      </c>
      <c r="GQ141" s="90">
        <f t="shared" si="238"/>
        <v>9</v>
      </c>
      <c r="GR141" s="121">
        <f t="shared" si="272"/>
        <v>0</v>
      </c>
      <c r="GT141" s="149">
        <f t="shared" si="273"/>
        <v>0</v>
      </c>
      <c r="GU141" s="2179">
        <f t="shared" ca="1" si="239"/>
        <v>0</v>
      </c>
      <c r="GW141" s="120">
        <f t="shared" si="274"/>
        <v>0</v>
      </c>
      <c r="GX141" s="110">
        <f t="shared" si="240"/>
        <v>0</v>
      </c>
      <c r="GY141" s="110">
        <f t="shared" si="241"/>
        <v>0</v>
      </c>
      <c r="GZ141" s="109">
        <f t="shared" si="242"/>
        <v>0</v>
      </c>
      <c r="HA141" s="109">
        <f t="shared" si="187"/>
        <v>0</v>
      </c>
      <c r="HB141" s="113">
        <f t="shared" si="243"/>
        <v>0</v>
      </c>
      <c r="HD141" s="102">
        <f t="shared" si="244"/>
        <v>0</v>
      </c>
      <c r="HE141" s="211">
        <f t="shared" si="279"/>
        <v>117</v>
      </c>
      <c r="HF141" s="212">
        <f t="shared" si="245"/>
        <v>0</v>
      </c>
      <c r="HG141" s="212">
        <f t="shared" si="188"/>
        <v>0</v>
      </c>
      <c r="HH141" s="212">
        <f t="shared" si="305"/>
        <v>0</v>
      </c>
      <c r="HI141" s="213">
        <f t="shared" si="189"/>
        <v>1000000</v>
      </c>
      <c r="HL141" s="182"/>
      <c r="HM141" s="26">
        <f t="shared" ca="1" si="190"/>
        <v>12</v>
      </c>
      <c r="HO141" s="268">
        <f t="shared" si="191"/>
        <v>0</v>
      </c>
      <c r="HP141" s="151">
        <f t="shared" si="302"/>
        <v>0</v>
      </c>
      <c r="HQ141" s="123">
        <f t="shared" si="246"/>
        <v>0</v>
      </c>
      <c r="HR141" s="123">
        <f t="shared" si="247"/>
        <v>0</v>
      </c>
      <c r="HS141" s="123">
        <f t="shared" si="248"/>
        <v>0</v>
      </c>
      <c r="HT141" s="123">
        <f>IF(HY140&lt;0.01,0,IF(Adm!$GS$4=Adm!$GS$8,HY140*$HY$15,IF(Adm!$GS$12=Adm!$GS$13,0,HY140*Adm!$GV$4)))</f>
        <v>0</v>
      </c>
      <c r="HU141" s="123">
        <f>IF(HY140&lt;0.01,0,IF(Adm!$GS$5=Adm!$GS$8,Cal!$BO$108*$HY$16/1.16,IF(Adm!$GS$12=Adm!$GS$13,0,Cal!$BO$108*Adm!$GW$4/1.16)))</f>
        <v>0</v>
      </c>
      <c r="HV141" s="123">
        <f t="shared" si="249"/>
        <v>0</v>
      </c>
      <c r="HW141" s="123">
        <f t="shared" si="192"/>
        <v>0</v>
      </c>
      <c r="HX141" s="123">
        <f>IF(Adm!$GH$6="si",MIN(HY140+HQ141+HT141+HU141+HV141-HW141,IH141),0)</f>
        <v>0</v>
      </c>
      <c r="HY141" s="297">
        <f t="shared" si="250"/>
        <v>0</v>
      </c>
      <c r="HZ141" s="74"/>
      <c r="IA141" s="407">
        <f t="shared" si="251"/>
        <v>0</v>
      </c>
      <c r="IC141" s="90">
        <f t="shared" si="252"/>
        <v>9</v>
      </c>
      <c r="ID141" s="124">
        <f>IF(IC141=1,Cal!$BO$127,0)</f>
        <v>0</v>
      </c>
      <c r="IE141" s="178">
        <f>IF(IC141=1,Adm!$HI$4,0)</f>
        <v>0</v>
      </c>
      <c r="IG141" s="70">
        <f t="shared" si="275"/>
        <v>0</v>
      </c>
      <c r="IH141" s="2178">
        <f t="shared" ca="1" si="253"/>
        <v>0</v>
      </c>
      <c r="IK141" s="217"/>
      <c r="IL141" s="26">
        <f t="shared" ca="1" si="193"/>
        <v>12</v>
      </c>
      <c r="IN141" s="268">
        <f t="shared" si="194"/>
        <v>0</v>
      </c>
      <c r="IO141" s="151">
        <f t="shared" si="303"/>
        <v>0</v>
      </c>
      <c r="IP141" s="123">
        <f t="shared" si="254"/>
        <v>0</v>
      </c>
      <c r="IQ141" s="123">
        <f t="shared" si="255"/>
        <v>0</v>
      </c>
      <c r="IR141" s="123">
        <f t="shared" si="256"/>
        <v>0</v>
      </c>
      <c r="IS141" s="123">
        <f>IF(IX140&lt;0.01,0,IF(Adm!$GS$4=Adm!$GS$8,IX140*$IX$15,IF(Adm!$GS$12=Adm!$GS$13,0,IX140*Adm!$GV$4)))</f>
        <v>0</v>
      </c>
      <c r="IT141" s="123"/>
      <c r="IU141" s="123">
        <f t="shared" si="257"/>
        <v>0</v>
      </c>
      <c r="IV141" s="123">
        <f t="shared" si="258"/>
        <v>0</v>
      </c>
      <c r="IW141" s="123"/>
      <c r="IX141" s="297">
        <f t="shared" si="259"/>
        <v>0</v>
      </c>
      <c r="IY141" s="74"/>
      <c r="IZ141" s="416">
        <f t="shared" si="260"/>
        <v>0</v>
      </c>
      <c r="JB141" s="90">
        <f t="shared" si="261"/>
        <v>9</v>
      </c>
      <c r="JC141" s="124">
        <f>IF(JB141=1,Cal!$BP$127,0)</f>
        <v>0</v>
      </c>
      <c r="JD141" s="178">
        <f>IF(JB141=1,Adm!$HI$4,0)</f>
        <v>0</v>
      </c>
    </row>
    <row r="142" spans="1:264">
      <c r="A142" s="26">
        <f t="shared" ca="1" si="162"/>
        <v>1</v>
      </c>
      <c r="C142" s="33">
        <f t="shared" si="163"/>
        <v>0</v>
      </c>
      <c r="D142" s="123">
        <f t="shared" si="195"/>
        <v>0</v>
      </c>
      <c r="E142" s="123">
        <f t="shared" si="287"/>
        <v>0</v>
      </c>
      <c r="F142" s="123">
        <f t="shared" si="295"/>
        <v>0</v>
      </c>
      <c r="G142" s="123">
        <f>IF(L141&lt;0.01,0,IF(Adm!$S$4=Adm!$S$8,L141*$L$15,L141*Adm!$V$4))</f>
        <v>0</v>
      </c>
      <c r="H142" s="123">
        <f>IF(L141&lt;0.01,0,IF(Adm!$S$5=Adm!$S$8,Adm!$AA$11*$L$16/1.16,IF(Adm!$B$4=Adm!$A$119,0,Adm!$AA$11*Adm!$X$4/1.16)))</f>
        <v>0</v>
      </c>
      <c r="I142" s="123">
        <f>IF(L141&lt;0.01,0,Cal!$AB$126/1.16)</f>
        <v>0</v>
      </c>
      <c r="J142" s="123">
        <f t="shared" si="164"/>
        <v>0</v>
      </c>
      <c r="K142" s="123">
        <f>IF(Adm!$G$4="si",MIN(L141+D142+G142+H142+I142-J142,V142),0)</f>
        <v>0</v>
      </c>
      <c r="L142" s="123">
        <f t="shared" si="196"/>
        <v>0</v>
      </c>
      <c r="M142" s="74"/>
      <c r="N142" s="74"/>
      <c r="O142" s="407">
        <f t="shared" si="197"/>
        <v>0</v>
      </c>
      <c r="R142" s="90">
        <f t="shared" si="198"/>
        <v>10</v>
      </c>
      <c r="S142" s="121">
        <f>IF(R142=1,Cal!$AB$127,0)</f>
        <v>0</v>
      </c>
      <c r="U142" s="70">
        <f t="shared" si="262"/>
        <v>0</v>
      </c>
      <c r="V142" s="2178">
        <f t="shared" ca="1" si="199"/>
        <v>0</v>
      </c>
      <c r="X142" s="398"/>
      <c r="Z142" s="268">
        <f t="shared" si="165"/>
        <v>0</v>
      </c>
      <c r="AA142" s="2176">
        <f t="shared" si="200"/>
        <v>0</v>
      </c>
      <c r="AB142" s="33">
        <f t="shared" si="201"/>
        <v>0</v>
      </c>
      <c r="AC142" s="33">
        <f t="shared" si="202"/>
        <v>0</v>
      </c>
      <c r="AD142" s="33">
        <f>IF(AI141&lt;0.01,0,IF(Adm!$S$4=Adm!$S$8,AI141*$AI$15,AI141*Adm!$V$4))</f>
        <v>0</v>
      </c>
      <c r="AE142" s="33"/>
      <c r="AF142" s="33"/>
      <c r="AG142" s="33">
        <f t="shared" si="166"/>
        <v>0</v>
      </c>
      <c r="AH142" s="33"/>
      <c r="AI142" s="401">
        <f t="shared" si="167"/>
        <v>0</v>
      </c>
      <c r="AK142" s="410">
        <f t="shared" si="168"/>
        <v>0</v>
      </c>
      <c r="AN142" s="90">
        <f t="shared" si="203"/>
        <v>10</v>
      </c>
      <c r="AO142" s="121">
        <f>IF(AN142=1,Cal!$AC$127,0)</f>
        <v>0</v>
      </c>
      <c r="AS142" s="200"/>
      <c r="AU142" s="268">
        <f t="shared" si="169"/>
        <v>0</v>
      </c>
      <c r="AV142" s="2177">
        <f t="shared" si="204"/>
        <v>0</v>
      </c>
      <c r="AW142" s="123">
        <f t="shared" si="170"/>
        <v>0</v>
      </c>
      <c r="AX142" s="123">
        <f t="shared" si="205"/>
        <v>0</v>
      </c>
      <c r="AY142" s="123">
        <f>IF(BC141&lt;0.01,0,IF(Adm!$S$4=Adm!$S$8,BC141*$BC$16,BC141*Adm!$V$4))</f>
        <v>0</v>
      </c>
      <c r="AZ142" s="123"/>
      <c r="BA142" s="123">
        <f>IF(BC141&lt;0.01,0,Adm!$Q$6)</f>
        <v>0</v>
      </c>
      <c r="BB142" s="123">
        <f t="shared" si="171"/>
        <v>0</v>
      </c>
      <c r="BC142" s="297">
        <f t="shared" si="206"/>
        <v>0</v>
      </c>
      <c r="BE142" s="425">
        <f t="shared" si="172"/>
        <v>0</v>
      </c>
      <c r="BH142" s="90">
        <f t="shared" si="207"/>
        <v>10</v>
      </c>
      <c r="BI142" s="121">
        <f>IF(BH142=1,Cal!$AD$127,0)</f>
        <v>0</v>
      </c>
      <c r="BM142" s="221"/>
      <c r="BO142" s="295">
        <f t="shared" ca="1" si="173"/>
        <v>1</v>
      </c>
      <c r="BP142" s="268">
        <f t="shared" si="174"/>
        <v>0</v>
      </c>
      <c r="BQ142" s="123">
        <f t="shared" si="208"/>
        <v>0</v>
      </c>
      <c r="BR142" s="123">
        <f t="shared" si="288"/>
        <v>0</v>
      </c>
      <c r="BS142" s="123">
        <f t="shared" si="296"/>
        <v>0</v>
      </c>
      <c r="BT142" s="123">
        <f>IF(BZ141&lt;0.01,0,IF(Plus!$F$22=Plus!$AN$4,BZ141*$BZ$15,IF(Plus!$F$22=Plus!$AN$3,BZ141*Plus!$F$23/1000,BZ141*VLOOKUP(Plus!$G$21,Plus!$AP$2:'Plus'!$AQ$5,2,0))))</f>
        <v>0</v>
      </c>
      <c r="BU142" s="123">
        <f>IF(BZ141&lt;0.01,0,IF(Plus!$F$24=Plus!$AO$3,Plus!$G$13*Plus!$AR$2/1.16,IF(Plus!$F$10=Plus!$AK$7,0,Plus!$G$13*Plus!$AR$2/1.16)))</f>
        <v>0</v>
      </c>
      <c r="BV142" s="123">
        <f>IF(BZ141&lt;0.01,0,Plus!$BD$2)</f>
        <v>0</v>
      </c>
      <c r="BW142" s="123"/>
      <c r="BX142" s="123">
        <f t="shared" si="175"/>
        <v>0</v>
      </c>
      <c r="BY142" s="123">
        <f>IF(Plus!$F$10=Plus!$AK$3,MIN(BZ141+BQ142+BT142+BU142+BV142-BX142,CJ142),0)</f>
        <v>0</v>
      </c>
      <c r="BZ142" s="297">
        <f t="shared" si="280"/>
        <v>0</v>
      </c>
      <c r="CA142" s="74"/>
      <c r="CB142" s="74"/>
      <c r="CC142" s="413">
        <f t="shared" si="209"/>
        <v>0</v>
      </c>
      <c r="CF142" s="90">
        <f t="shared" si="210"/>
        <v>10</v>
      </c>
      <c r="CG142" s="121">
        <f t="shared" si="263"/>
        <v>0</v>
      </c>
      <c r="CI142" s="70">
        <f t="shared" si="264"/>
        <v>0</v>
      </c>
      <c r="CJ142" s="2178">
        <f t="shared" ca="1" si="211"/>
        <v>0</v>
      </c>
      <c r="CL142" s="161"/>
      <c r="CN142" s="308">
        <f t="shared" ca="1" si="176"/>
        <v>1</v>
      </c>
      <c r="CO142" s="309">
        <f t="shared" si="212"/>
        <v>0</v>
      </c>
      <c r="CP142" s="268">
        <f t="shared" si="177"/>
        <v>0</v>
      </c>
      <c r="CQ142" s="123">
        <f t="shared" si="213"/>
        <v>0</v>
      </c>
      <c r="CR142" s="123">
        <f t="shared" si="289"/>
        <v>0</v>
      </c>
      <c r="CS142" s="123">
        <f t="shared" si="290"/>
        <v>0</v>
      </c>
      <c r="CT142" s="33">
        <f>IF(CZ141&lt;0.01,0,IF(Plus!$F$22=Plus!$AN$4,0,IF(Plus!$F$22=Plus!$AN$3,CZ141*Plus!$F$23/1000,CZ141*VLOOKUP(Plus!$G$21,Plus!$AP$2:'Plus'!$AQ$5,2,0))))</f>
        <v>0</v>
      </c>
      <c r="CU142" s="123">
        <f>IF(CZ141&lt;0.01,0,IF(Plus!$F$24=Plus!$AO$3,0,IF(OR(Plus!$F$10=Plus!$AK$7,Plus!$F$10=Plus!$AK$13),0,Plus!$G$13*Plus!$AR$2)))</f>
        <v>0</v>
      </c>
      <c r="CV142" s="123">
        <f>IF(CZ141&lt;0.01,0,IF(OR(Plus!$F$10=Plus!$AK$7,Plus!$F$10=Plus!$AK$13),0,Plus!$BD$2*1.16))</f>
        <v>0</v>
      </c>
      <c r="CW142" s="123">
        <f>IF(CZ141&lt;0.01,0,IF(Plus!$AS$2&gt;0,CQ142*Plus!$AS$3,0))</f>
        <v>0</v>
      </c>
      <c r="CX142" s="123">
        <f t="shared" si="214"/>
        <v>0</v>
      </c>
      <c r="CY142" s="123">
        <f>IF(Plus!$F$10=Plus!$AK$3,MIN(CZ141+CQ142+CT142+CU142+CV142-CX142,DK142),0)</f>
        <v>0</v>
      </c>
      <c r="CZ142" s="297">
        <f t="shared" si="294"/>
        <v>0</v>
      </c>
      <c r="DA142" s="306">
        <f>Plus!O183</f>
        <v>0</v>
      </c>
      <c r="DB142" s="74"/>
      <c r="DC142" s="74"/>
      <c r="DD142" s="407">
        <f t="shared" si="215"/>
        <v>0</v>
      </c>
      <c r="DG142" s="90">
        <f t="shared" si="216"/>
        <v>10</v>
      </c>
      <c r="DH142" s="121">
        <f t="shared" si="265"/>
        <v>0</v>
      </c>
      <c r="DJ142" s="149">
        <f t="shared" si="266"/>
        <v>0</v>
      </c>
      <c r="DK142" s="2179">
        <f t="shared" ca="1" si="217"/>
        <v>0</v>
      </c>
      <c r="DN142" s="120">
        <f t="shared" si="267"/>
        <v>0</v>
      </c>
      <c r="DO142" s="110">
        <f t="shared" si="218"/>
        <v>0</v>
      </c>
      <c r="DP142" s="110">
        <f t="shared" si="276"/>
        <v>0</v>
      </c>
      <c r="DQ142" s="109">
        <f t="shared" si="219"/>
        <v>0</v>
      </c>
      <c r="DR142" s="109">
        <f t="shared" si="220"/>
        <v>0</v>
      </c>
      <c r="DS142" s="113">
        <f t="shared" si="221"/>
        <v>0</v>
      </c>
      <c r="DU142" s="102">
        <f t="shared" si="222"/>
        <v>0</v>
      </c>
      <c r="DV142" s="211">
        <f t="shared" si="277"/>
        <v>118</v>
      </c>
      <c r="DW142" s="212">
        <f t="shared" si="223"/>
        <v>0</v>
      </c>
      <c r="DX142" s="212">
        <f t="shared" si="178"/>
        <v>0</v>
      </c>
      <c r="DY142" s="212">
        <f t="shared" si="268"/>
        <v>0</v>
      </c>
      <c r="DZ142" s="213">
        <f t="shared" si="179"/>
        <v>1000000</v>
      </c>
      <c r="ED142" s="182"/>
      <c r="EF142" s="308">
        <f t="shared" ca="1" si="180"/>
        <v>1</v>
      </c>
      <c r="EG142" s="309">
        <f t="shared" si="224"/>
        <v>0</v>
      </c>
      <c r="EH142" s="268">
        <f t="shared" si="181"/>
        <v>0</v>
      </c>
      <c r="EI142" s="33">
        <f t="shared" si="225"/>
        <v>0</v>
      </c>
      <c r="EJ142" s="33">
        <f t="shared" si="291"/>
        <v>0</v>
      </c>
      <c r="EK142" s="33">
        <f t="shared" si="297"/>
        <v>0</v>
      </c>
      <c r="EL142" s="33">
        <f>IF(ER141&lt;0.01,0,IF(Plus!$F$22=Plus!$AN$4,0,IF(Plus!$F$22=Plus!$AN$3,ER141*Plus!$F$23/1000,ER141*VLOOKUP(Plus!$G$21,Plus!$AP$2:'Plus'!$AQ$5,2,0))))</f>
        <v>0</v>
      </c>
      <c r="EM142" s="33">
        <f>IF(ER141&lt;0.01,0,IF(Plus!$F$24=Plus!$AO$3,0,IF(OR(Plus!$F$10=Plus!$AK$7,Plus!$F$10=Plus!$AK$13),0,Plus!$G$13*Plus!$AR$2)))</f>
        <v>0</v>
      </c>
      <c r="EN142" s="33">
        <f>IF(ER141&lt;0.01,0,IF(OR(Plus!$F$10=Plus!$AK$7,Plus!$F$10=Plus!$AK$13),0,Plus!$BD$2*1.16))</f>
        <v>0</v>
      </c>
      <c r="EO142" s="33">
        <f>IF(ER141&lt;0.01,0,IF(Plus!$AS$2&gt;0,EI142*Plus!$AS$3,0))</f>
        <v>0</v>
      </c>
      <c r="EP142" s="33">
        <f t="shared" si="226"/>
        <v>0</v>
      </c>
      <c r="EQ142" s="33">
        <f>IF(Plus!$F$10=Plus!$AK$3,MIN(ER141+EI142+EL142+EM142+EN142-EP142,FC142),0)</f>
        <v>0</v>
      </c>
      <c r="ER142" s="311">
        <f t="shared" si="285"/>
        <v>0</v>
      </c>
      <c r="ES142" s="340">
        <f>Plus!O183</f>
        <v>0</v>
      </c>
      <c r="ET142" s="74"/>
      <c r="EU142" s="74"/>
      <c r="EV142" s="416">
        <f t="shared" si="281"/>
        <v>0</v>
      </c>
      <c r="EY142" s="90">
        <f t="shared" si="227"/>
        <v>10</v>
      </c>
      <c r="EZ142" s="121">
        <f t="shared" si="269"/>
        <v>0</v>
      </c>
      <c r="FB142" s="149">
        <f t="shared" si="270"/>
        <v>0</v>
      </c>
      <c r="FC142" s="2179">
        <f t="shared" ca="1" si="228"/>
        <v>0</v>
      </c>
      <c r="FE142" s="120">
        <f t="shared" si="271"/>
        <v>0</v>
      </c>
      <c r="FF142" s="110">
        <f t="shared" si="229"/>
        <v>0</v>
      </c>
      <c r="FG142" s="110">
        <f t="shared" si="230"/>
        <v>0</v>
      </c>
      <c r="FH142" s="109">
        <f t="shared" si="231"/>
        <v>0</v>
      </c>
      <c r="FI142" s="109">
        <f t="shared" si="182"/>
        <v>0</v>
      </c>
      <c r="FJ142" s="113">
        <f t="shared" si="232"/>
        <v>0</v>
      </c>
      <c r="FL142" s="102">
        <f t="shared" si="233"/>
        <v>0</v>
      </c>
      <c r="FM142" s="211">
        <f t="shared" si="278"/>
        <v>118</v>
      </c>
      <c r="FN142" s="212">
        <f t="shared" si="234"/>
        <v>0</v>
      </c>
      <c r="FO142" s="212">
        <f t="shared" si="183"/>
        <v>0</v>
      </c>
      <c r="FP142" s="212">
        <f t="shared" si="304"/>
        <v>0</v>
      </c>
      <c r="FQ142" s="213">
        <f t="shared" si="184"/>
        <v>1000000</v>
      </c>
      <c r="FV142" s="359"/>
      <c r="FX142" s="308">
        <f t="shared" ca="1" si="185"/>
        <v>1</v>
      </c>
      <c r="FY142" s="309">
        <f t="shared" si="235"/>
        <v>0</v>
      </c>
      <c r="FZ142" s="268">
        <f t="shared" si="186"/>
        <v>0</v>
      </c>
      <c r="GA142" s="33">
        <f t="shared" si="236"/>
        <v>0</v>
      </c>
      <c r="GB142" s="33">
        <f t="shared" si="292"/>
        <v>0</v>
      </c>
      <c r="GC142" s="33">
        <f t="shared" si="293"/>
        <v>0</v>
      </c>
      <c r="GD142" s="33">
        <f>IF(GJ141&lt;0.01,0,IF(Plus!$F$22=Plus!$AN$4,0,IF(Plus!$F$22=Plus!$AN$3,GJ141*Plus!$F$23/1000,GJ141*VLOOKUP(Plus!$G$21,Plus!$AP$2:$AQ$5,2,0))))</f>
        <v>0</v>
      </c>
      <c r="GE142" s="33">
        <f>IF(GJ141&lt;0.01,0,IF(Plus!$F$24=Plus!$AO$3,0,IF(OR(Plus!$F$10=Plus!$AK$7,Plus!$F$10=Plus!$AK$13,Plus!$F$10=Plus!$AK$14),0,IF(OR(Plus!$F$10=Plus!$AK$10,Plus!$F$10=Plus!$AK$11),Plus!$G$13*Adm!$W$7,Plus!$G$13*Adm!$X$4))))</f>
        <v>0</v>
      </c>
      <c r="GF142" s="33">
        <f>IF(GJ141&lt;0.01,0,IF(OR(Plus!$F$10=Plus!$AK$7,Plus!$F$10=Plus!$AK$13),0,Plus!$BD$2*1.16))</f>
        <v>0</v>
      </c>
      <c r="GG142" s="33">
        <f>IF(GJ141&lt;0.01,0,IF(Plus!$AS$2&gt;0,GA142*Plus!$AS$3,0))</f>
        <v>0</v>
      </c>
      <c r="GH142" s="33">
        <f t="shared" si="237"/>
        <v>0</v>
      </c>
      <c r="GI142" s="33">
        <f>IF(Plus!$F$10=Plus!$AK$3,MIN(GJ141+GA142+GD142+GE142+GF142-GH142,GU142),0)</f>
        <v>0</v>
      </c>
      <c r="GJ142" s="311">
        <f t="shared" si="286"/>
        <v>0</v>
      </c>
      <c r="GK142" s="340">
        <f>Plus!O183</f>
        <v>0</v>
      </c>
      <c r="GL142" s="74"/>
      <c r="GM142" s="74"/>
      <c r="GN142" s="419">
        <f t="shared" si="283"/>
        <v>0</v>
      </c>
      <c r="GQ142" s="90">
        <f t="shared" si="238"/>
        <v>10</v>
      </c>
      <c r="GR142" s="121">
        <f t="shared" si="272"/>
        <v>0</v>
      </c>
      <c r="GT142" s="149">
        <f t="shared" si="273"/>
        <v>0</v>
      </c>
      <c r="GU142" s="2179">
        <f t="shared" ca="1" si="239"/>
        <v>0</v>
      </c>
      <c r="GW142" s="120">
        <f t="shared" si="274"/>
        <v>0</v>
      </c>
      <c r="GX142" s="110">
        <f t="shared" si="240"/>
        <v>0</v>
      </c>
      <c r="GY142" s="110">
        <f t="shared" si="241"/>
        <v>0</v>
      </c>
      <c r="GZ142" s="109">
        <f t="shared" si="242"/>
        <v>0</v>
      </c>
      <c r="HA142" s="109">
        <f t="shared" si="187"/>
        <v>0</v>
      </c>
      <c r="HB142" s="113">
        <f t="shared" si="243"/>
        <v>0</v>
      </c>
      <c r="HD142" s="102">
        <f t="shared" si="244"/>
        <v>0</v>
      </c>
      <c r="HE142" s="211">
        <f t="shared" si="279"/>
        <v>118</v>
      </c>
      <c r="HF142" s="212">
        <f t="shared" si="245"/>
        <v>0</v>
      </c>
      <c r="HG142" s="212">
        <f t="shared" si="188"/>
        <v>0</v>
      </c>
      <c r="HH142" s="212">
        <f t="shared" si="305"/>
        <v>0</v>
      </c>
      <c r="HI142" s="213">
        <f t="shared" si="189"/>
        <v>1000000</v>
      </c>
      <c r="HL142" s="182"/>
      <c r="HM142" s="26">
        <f t="shared" ca="1" si="190"/>
        <v>1</v>
      </c>
      <c r="HO142" s="268">
        <f t="shared" si="191"/>
        <v>0</v>
      </c>
      <c r="HP142" s="151">
        <f t="shared" si="302"/>
        <v>0</v>
      </c>
      <c r="HQ142" s="123">
        <f t="shared" si="246"/>
        <v>0</v>
      </c>
      <c r="HR142" s="123">
        <f t="shared" si="247"/>
        <v>0</v>
      </c>
      <c r="HS142" s="123">
        <f t="shared" si="248"/>
        <v>0</v>
      </c>
      <c r="HT142" s="123">
        <f>IF(HY141&lt;0.01,0,IF(Adm!$GS$4=Adm!$GS$8,HY141*$HY$15,IF(Adm!$GS$12=Adm!$GS$13,0,HY141*Adm!$GV$4)))</f>
        <v>0</v>
      </c>
      <c r="HU142" s="123">
        <f>IF(HY141&lt;0.01,0,IF(Adm!$GS$5=Adm!$GS$8,Cal!$BO$108*$HY$16/1.16,IF(Adm!$GS$12=Adm!$GS$13,0,Cal!$BO$108*Adm!$GW$4/1.16)))</f>
        <v>0</v>
      </c>
      <c r="HV142" s="123">
        <f t="shared" si="249"/>
        <v>0</v>
      </c>
      <c r="HW142" s="123">
        <f t="shared" si="192"/>
        <v>0</v>
      </c>
      <c r="HX142" s="123">
        <f>IF(Adm!$GH$6="si",MIN(HY141+HQ142+HT142+HU142+HV142-HW142,IH142),0)</f>
        <v>0</v>
      </c>
      <c r="HY142" s="297">
        <f t="shared" si="250"/>
        <v>0</v>
      </c>
      <c r="HZ142" s="74"/>
      <c r="IA142" s="407">
        <f t="shared" si="251"/>
        <v>0</v>
      </c>
      <c r="IC142" s="90">
        <f t="shared" si="252"/>
        <v>10</v>
      </c>
      <c r="ID142" s="124">
        <f>IF(IC142=1,Cal!$BO$127,0)</f>
        <v>0</v>
      </c>
      <c r="IE142" s="178">
        <f>IF(IC142=1,Adm!$HI$4,0)</f>
        <v>0</v>
      </c>
      <c r="IG142" s="70">
        <f t="shared" si="275"/>
        <v>0</v>
      </c>
      <c r="IH142" s="2178">
        <f t="shared" ca="1" si="253"/>
        <v>0</v>
      </c>
      <c r="IK142" s="217"/>
      <c r="IL142" s="26">
        <f t="shared" ca="1" si="193"/>
        <v>1</v>
      </c>
      <c r="IN142" s="268">
        <f t="shared" si="194"/>
        <v>0</v>
      </c>
      <c r="IO142" s="151">
        <f t="shared" si="303"/>
        <v>0</v>
      </c>
      <c r="IP142" s="123">
        <f t="shared" si="254"/>
        <v>0</v>
      </c>
      <c r="IQ142" s="123">
        <f t="shared" si="255"/>
        <v>0</v>
      </c>
      <c r="IR142" s="123">
        <f t="shared" si="256"/>
        <v>0</v>
      </c>
      <c r="IS142" s="123">
        <f>IF(IX141&lt;0.01,0,IF(Adm!$GS$4=Adm!$GS$8,IX141*$IX$15,IF(Adm!$GS$12=Adm!$GS$13,0,IX141*Adm!$GV$4)))</f>
        <v>0</v>
      </c>
      <c r="IT142" s="123"/>
      <c r="IU142" s="123">
        <f t="shared" si="257"/>
        <v>0</v>
      </c>
      <c r="IV142" s="123">
        <f t="shared" si="258"/>
        <v>0</v>
      </c>
      <c r="IW142" s="123"/>
      <c r="IX142" s="297">
        <f t="shared" si="259"/>
        <v>0</v>
      </c>
      <c r="IY142" s="74"/>
      <c r="IZ142" s="416">
        <f t="shared" si="260"/>
        <v>0</v>
      </c>
      <c r="JB142" s="90">
        <f t="shared" si="261"/>
        <v>10</v>
      </c>
      <c r="JC142" s="124">
        <f>IF(JB142=1,Cal!$BP$127,0)</f>
        <v>0</v>
      </c>
      <c r="JD142" s="178">
        <f>IF(JB142=1,Adm!$HI$4,0)</f>
        <v>0</v>
      </c>
    </row>
    <row r="143" spans="1:264">
      <c r="A143" s="26">
        <f t="shared" ca="1" si="162"/>
        <v>2</v>
      </c>
      <c r="C143" s="33">
        <f t="shared" si="163"/>
        <v>0</v>
      </c>
      <c r="D143" s="123">
        <f t="shared" si="195"/>
        <v>0</v>
      </c>
      <c r="E143" s="123">
        <f t="shared" si="287"/>
        <v>0</v>
      </c>
      <c r="F143" s="123">
        <f t="shared" si="295"/>
        <v>0</v>
      </c>
      <c r="G143" s="123">
        <f>IF(L142&lt;0.01,0,IF(Adm!$S$4=Adm!$S$8,L142*$L$15,L142*Adm!$V$4))</f>
        <v>0</v>
      </c>
      <c r="H143" s="123">
        <f>IF(L142&lt;0.01,0,IF(Adm!$S$5=Adm!$S$8,Adm!$AA$11*$L$16/1.16,IF(Adm!$B$4=Adm!$A$119,0,Adm!$AA$11*Adm!$X$4/1.16)))</f>
        <v>0</v>
      </c>
      <c r="I143" s="123">
        <f>IF(L142&lt;0.01,0,Cal!$AB$126/1.16)</f>
        <v>0</v>
      </c>
      <c r="J143" s="123">
        <f t="shared" si="164"/>
        <v>0</v>
      </c>
      <c r="K143" s="123">
        <f>IF(Adm!$G$4="si",MIN(L142+D143+G143+H143+I143-J143,V143),0)</f>
        <v>0</v>
      </c>
      <c r="L143" s="123">
        <f t="shared" si="196"/>
        <v>0</v>
      </c>
      <c r="M143" s="74"/>
      <c r="N143" s="74"/>
      <c r="O143" s="407">
        <f t="shared" si="197"/>
        <v>0</v>
      </c>
      <c r="R143" s="90">
        <f t="shared" si="198"/>
        <v>11</v>
      </c>
      <c r="S143" s="121">
        <f>IF(R143=1,Cal!$AB$127,0)</f>
        <v>0</v>
      </c>
      <c r="U143" s="70">
        <f t="shared" si="262"/>
        <v>0</v>
      </c>
      <c r="V143" s="2178">
        <f t="shared" ca="1" si="199"/>
        <v>0</v>
      </c>
      <c r="X143" s="398"/>
      <c r="Z143" s="268">
        <f t="shared" si="165"/>
        <v>0</v>
      </c>
      <c r="AA143" s="2176">
        <f t="shared" si="200"/>
        <v>0</v>
      </c>
      <c r="AB143" s="33">
        <f t="shared" si="201"/>
        <v>0</v>
      </c>
      <c r="AC143" s="33">
        <f t="shared" si="202"/>
        <v>0</v>
      </c>
      <c r="AD143" s="33">
        <f>IF(AI142&lt;0.01,0,IF(Adm!$S$4=Adm!$S$8,AI142*$AI$15,AI142*Adm!$V$4))</f>
        <v>0</v>
      </c>
      <c r="AE143" s="33"/>
      <c r="AF143" s="33"/>
      <c r="AG143" s="33">
        <f t="shared" si="166"/>
        <v>0</v>
      </c>
      <c r="AH143" s="33"/>
      <c r="AI143" s="401">
        <f t="shared" si="167"/>
        <v>0</v>
      </c>
      <c r="AK143" s="410">
        <f t="shared" si="168"/>
        <v>0</v>
      </c>
      <c r="AN143" s="90">
        <f t="shared" si="203"/>
        <v>11</v>
      </c>
      <c r="AO143" s="121">
        <f>IF(AN143=1,Cal!$AC$127,0)</f>
        <v>0</v>
      </c>
      <c r="AS143" s="200"/>
      <c r="AU143" s="268">
        <f t="shared" si="169"/>
        <v>0</v>
      </c>
      <c r="AV143" s="2177">
        <f t="shared" si="204"/>
        <v>0</v>
      </c>
      <c r="AW143" s="123">
        <f t="shared" si="170"/>
        <v>0</v>
      </c>
      <c r="AX143" s="123">
        <f t="shared" si="205"/>
        <v>0</v>
      </c>
      <c r="AY143" s="123">
        <f>IF(BC142&lt;0.01,0,IF(Adm!$S$4=Adm!$S$8,BC142*$BC$16,BC142*Adm!$V$4))</f>
        <v>0</v>
      </c>
      <c r="AZ143" s="123"/>
      <c r="BA143" s="123">
        <f>IF(BC142&lt;0.01,0,Adm!$Q$6)</f>
        <v>0</v>
      </c>
      <c r="BB143" s="123">
        <f t="shared" si="171"/>
        <v>0</v>
      </c>
      <c r="BC143" s="297">
        <f t="shared" si="206"/>
        <v>0</v>
      </c>
      <c r="BE143" s="425">
        <f t="shared" si="172"/>
        <v>0</v>
      </c>
      <c r="BH143" s="90">
        <f t="shared" si="207"/>
        <v>11</v>
      </c>
      <c r="BI143" s="121">
        <f>IF(BH143=1,Cal!$AD$127,0)</f>
        <v>0</v>
      </c>
      <c r="BM143" s="221"/>
      <c r="BO143" s="295">
        <f t="shared" ca="1" si="173"/>
        <v>2</v>
      </c>
      <c r="BP143" s="268">
        <f t="shared" si="174"/>
        <v>0</v>
      </c>
      <c r="BQ143" s="123">
        <f t="shared" si="208"/>
        <v>0</v>
      </c>
      <c r="BR143" s="123">
        <f t="shared" si="288"/>
        <v>0</v>
      </c>
      <c r="BS143" s="123">
        <f t="shared" si="296"/>
        <v>0</v>
      </c>
      <c r="BT143" s="123">
        <f>IF(BZ142&lt;0.01,0,IF(Plus!$F$22=Plus!$AN$4,BZ142*$BZ$15,IF(Plus!$F$22=Plus!$AN$3,BZ142*Plus!$F$23/1000,BZ142*VLOOKUP(Plus!$G$21,Plus!$AP$2:'Plus'!$AQ$5,2,0))))</f>
        <v>0</v>
      </c>
      <c r="BU143" s="123">
        <f>IF(BZ142&lt;0.01,0,IF(Plus!$F$24=Plus!$AO$3,Plus!$G$13*Plus!$AR$2/1.16,IF(Plus!$F$10=Plus!$AK$7,0,Plus!$G$13*Plus!$AR$2/1.16)))</f>
        <v>0</v>
      </c>
      <c r="BV143" s="123">
        <f>IF(BZ142&lt;0.01,0,Plus!$BD$2)</f>
        <v>0</v>
      </c>
      <c r="BW143" s="123"/>
      <c r="BX143" s="123">
        <f t="shared" si="175"/>
        <v>0</v>
      </c>
      <c r="BY143" s="123">
        <f>IF(Plus!$F$10=Plus!$AK$3,MIN(BZ142+BQ143+BT143+BU143+BV143-BX143,CJ143),0)</f>
        <v>0</v>
      </c>
      <c r="BZ143" s="297">
        <f t="shared" si="280"/>
        <v>0</v>
      </c>
      <c r="CA143" s="74"/>
      <c r="CB143" s="74"/>
      <c r="CC143" s="413">
        <f t="shared" si="209"/>
        <v>0</v>
      </c>
      <c r="CF143" s="90">
        <f t="shared" si="210"/>
        <v>11</v>
      </c>
      <c r="CG143" s="121">
        <f t="shared" si="263"/>
        <v>0</v>
      </c>
      <c r="CI143" s="70">
        <f t="shared" si="264"/>
        <v>0</v>
      </c>
      <c r="CJ143" s="2178">
        <f t="shared" ca="1" si="211"/>
        <v>0</v>
      </c>
      <c r="CL143" s="161"/>
      <c r="CN143" s="308">
        <f t="shared" ca="1" si="176"/>
        <v>2</v>
      </c>
      <c r="CO143" s="309">
        <f t="shared" si="212"/>
        <v>0</v>
      </c>
      <c r="CP143" s="268">
        <f t="shared" si="177"/>
        <v>0</v>
      </c>
      <c r="CQ143" s="123">
        <f t="shared" si="213"/>
        <v>0</v>
      </c>
      <c r="CR143" s="123">
        <f t="shared" si="289"/>
        <v>0</v>
      </c>
      <c r="CS143" s="123">
        <f t="shared" si="290"/>
        <v>0</v>
      </c>
      <c r="CT143" s="33">
        <f>IF(CZ142&lt;0.01,0,IF(Plus!$F$22=Plus!$AN$4,0,IF(Plus!$F$22=Plus!$AN$3,CZ142*Plus!$F$23/1000,CZ142*VLOOKUP(Plus!$G$21,Plus!$AP$2:'Plus'!$AQ$5,2,0))))</f>
        <v>0</v>
      </c>
      <c r="CU143" s="123">
        <f>IF(CZ142&lt;0.01,0,IF(Plus!$F$24=Plus!$AO$3,0,IF(OR(Plus!$F$10=Plus!$AK$7,Plus!$F$10=Plus!$AK$13),0,Plus!$G$13*Plus!$AR$2)))</f>
        <v>0</v>
      </c>
      <c r="CV143" s="123">
        <f>IF(CZ142&lt;0.01,0,IF(OR(Plus!$F$10=Plus!$AK$7,Plus!$F$10=Plus!$AK$13),0,Plus!$BD$2*1.16))</f>
        <v>0</v>
      </c>
      <c r="CW143" s="123">
        <f>IF(CZ142&lt;0.01,0,IF(Plus!$AS$2&gt;0,CQ143*Plus!$AS$3,0))</f>
        <v>0</v>
      </c>
      <c r="CX143" s="123">
        <f t="shared" si="214"/>
        <v>0</v>
      </c>
      <c r="CY143" s="123">
        <f>IF(Plus!$F$10=Plus!$AK$3,MIN(CZ142+CQ143+CT143+CU143+CV143-CX143,DK143),0)</f>
        <v>0</v>
      </c>
      <c r="CZ143" s="297">
        <f t="shared" si="294"/>
        <v>0</v>
      </c>
      <c r="DA143" s="306">
        <f>Plus!O184</f>
        <v>0</v>
      </c>
      <c r="DB143" s="74"/>
      <c r="DC143" s="74"/>
      <c r="DD143" s="407">
        <f t="shared" si="215"/>
        <v>0</v>
      </c>
      <c r="DG143" s="90">
        <f t="shared" si="216"/>
        <v>11</v>
      </c>
      <c r="DH143" s="121">
        <f t="shared" si="265"/>
        <v>0</v>
      </c>
      <c r="DJ143" s="149">
        <f t="shared" si="266"/>
        <v>0</v>
      </c>
      <c r="DK143" s="2179">
        <f t="shared" ca="1" si="217"/>
        <v>0</v>
      </c>
      <c r="DN143" s="120">
        <f t="shared" si="267"/>
        <v>0</v>
      </c>
      <c r="DO143" s="110">
        <f t="shared" si="218"/>
        <v>0</v>
      </c>
      <c r="DP143" s="110">
        <f t="shared" si="276"/>
        <v>0</v>
      </c>
      <c r="DQ143" s="109">
        <f t="shared" si="219"/>
        <v>0</v>
      </c>
      <c r="DR143" s="109">
        <f t="shared" si="220"/>
        <v>0</v>
      </c>
      <c r="DS143" s="113">
        <f t="shared" si="221"/>
        <v>0</v>
      </c>
      <c r="DU143" s="102">
        <f t="shared" si="222"/>
        <v>0</v>
      </c>
      <c r="DV143" s="211">
        <f t="shared" si="277"/>
        <v>119</v>
      </c>
      <c r="DW143" s="212">
        <f t="shared" si="223"/>
        <v>0</v>
      </c>
      <c r="DX143" s="212">
        <f t="shared" si="178"/>
        <v>0</v>
      </c>
      <c r="DY143" s="212">
        <f t="shared" si="268"/>
        <v>0</v>
      </c>
      <c r="DZ143" s="213">
        <f t="shared" si="179"/>
        <v>1000000</v>
      </c>
      <c r="ED143" s="182"/>
      <c r="EF143" s="308">
        <f t="shared" ca="1" si="180"/>
        <v>2</v>
      </c>
      <c r="EG143" s="309">
        <f t="shared" si="224"/>
        <v>0</v>
      </c>
      <c r="EH143" s="268">
        <f t="shared" si="181"/>
        <v>0</v>
      </c>
      <c r="EI143" s="33">
        <f t="shared" si="225"/>
        <v>0</v>
      </c>
      <c r="EJ143" s="33">
        <f t="shared" si="291"/>
        <v>0</v>
      </c>
      <c r="EK143" s="33">
        <f t="shared" si="297"/>
        <v>0</v>
      </c>
      <c r="EL143" s="33">
        <f>IF(ER142&lt;0.01,0,IF(Plus!$F$22=Plus!$AN$4,0,IF(Plus!$F$22=Plus!$AN$3,ER142*Plus!$F$23/1000,ER142*VLOOKUP(Plus!$G$21,Plus!$AP$2:'Plus'!$AQ$5,2,0))))</f>
        <v>0</v>
      </c>
      <c r="EM143" s="33">
        <f>IF(ER142&lt;0.01,0,IF(Plus!$F$24=Plus!$AO$3,0,IF(OR(Plus!$F$10=Plus!$AK$7,Plus!$F$10=Plus!$AK$13),0,Plus!$G$13*Plus!$AR$2)))</f>
        <v>0</v>
      </c>
      <c r="EN143" s="33">
        <f>IF(ER142&lt;0.01,0,IF(OR(Plus!$F$10=Plus!$AK$7,Plus!$F$10=Plus!$AK$13),0,Plus!$BD$2*1.16))</f>
        <v>0</v>
      </c>
      <c r="EO143" s="33">
        <f>IF(ER142&lt;0.01,0,IF(Plus!$AS$2&gt;0,EI143*Plus!$AS$3,0))</f>
        <v>0</v>
      </c>
      <c r="EP143" s="33">
        <f t="shared" si="226"/>
        <v>0</v>
      </c>
      <c r="EQ143" s="33">
        <f>IF(Plus!$F$10=Plus!$AK$3,MIN(ER142+EI143+EL143+EM143+EN143-EP143,FC143),0)</f>
        <v>0</v>
      </c>
      <c r="ER143" s="311">
        <f t="shared" si="285"/>
        <v>0</v>
      </c>
      <c r="ES143" s="340">
        <f>Plus!O184</f>
        <v>0</v>
      </c>
      <c r="ET143" s="74"/>
      <c r="EU143" s="74"/>
      <c r="EV143" s="416">
        <f t="shared" si="281"/>
        <v>0</v>
      </c>
      <c r="EY143" s="90">
        <f t="shared" si="227"/>
        <v>11</v>
      </c>
      <c r="EZ143" s="121">
        <f t="shared" si="269"/>
        <v>0</v>
      </c>
      <c r="FB143" s="149">
        <f t="shared" si="270"/>
        <v>0</v>
      </c>
      <c r="FC143" s="2179">
        <f t="shared" ca="1" si="228"/>
        <v>0</v>
      </c>
      <c r="FE143" s="120">
        <f t="shared" si="271"/>
        <v>0</v>
      </c>
      <c r="FF143" s="110">
        <f t="shared" si="229"/>
        <v>0</v>
      </c>
      <c r="FG143" s="110">
        <f t="shared" si="230"/>
        <v>0</v>
      </c>
      <c r="FH143" s="109">
        <f t="shared" si="231"/>
        <v>0</v>
      </c>
      <c r="FI143" s="109">
        <f t="shared" si="182"/>
        <v>0</v>
      </c>
      <c r="FJ143" s="113">
        <f t="shared" si="232"/>
        <v>0</v>
      </c>
      <c r="FL143" s="102">
        <f t="shared" si="233"/>
        <v>0</v>
      </c>
      <c r="FM143" s="211">
        <f t="shared" si="278"/>
        <v>119</v>
      </c>
      <c r="FN143" s="212">
        <f t="shared" si="234"/>
        <v>0</v>
      </c>
      <c r="FO143" s="212">
        <f t="shared" si="183"/>
        <v>0</v>
      </c>
      <c r="FP143" s="212">
        <f t="shared" si="304"/>
        <v>0</v>
      </c>
      <c r="FQ143" s="213">
        <f t="shared" si="184"/>
        <v>1000000</v>
      </c>
      <c r="FV143" s="359"/>
      <c r="FX143" s="308">
        <f t="shared" ca="1" si="185"/>
        <v>2</v>
      </c>
      <c r="FY143" s="309">
        <f t="shared" si="235"/>
        <v>0</v>
      </c>
      <c r="FZ143" s="268">
        <f t="shared" si="186"/>
        <v>0</v>
      </c>
      <c r="GA143" s="33">
        <f t="shared" si="236"/>
        <v>0</v>
      </c>
      <c r="GB143" s="33">
        <f t="shared" si="292"/>
        <v>0</v>
      </c>
      <c r="GC143" s="33">
        <f t="shared" si="293"/>
        <v>0</v>
      </c>
      <c r="GD143" s="33">
        <f>IF(GJ142&lt;0.01,0,IF(Plus!$F$22=Plus!$AN$4,0,IF(Plus!$F$22=Plus!$AN$3,GJ142*Plus!$F$23/1000,GJ142*VLOOKUP(Plus!$G$21,Plus!$AP$2:$AQ$5,2,0))))</f>
        <v>0</v>
      </c>
      <c r="GE143" s="33">
        <f>IF(GJ142&lt;0.01,0,IF(Plus!$F$24=Plus!$AO$3,0,IF(OR(Plus!$F$10=Plus!$AK$7,Plus!$F$10=Plus!$AK$13,Plus!$F$10=Plus!$AK$14),0,IF(OR(Plus!$F$10=Plus!$AK$10,Plus!$F$10=Plus!$AK$11),Plus!$G$13*Adm!$W$7,Plus!$G$13*Adm!$X$4))))</f>
        <v>0</v>
      </c>
      <c r="GF143" s="33">
        <f>IF(GJ142&lt;0.01,0,IF(OR(Plus!$F$10=Plus!$AK$7,Plus!$F$10=Plus!$AK$13),0,Plus!$BD$2*1.16))</f>
        <v>0</v>
      </c>
      <c r="GG143" s="33">
        <f>IF(GJ142&lt;0.01,0,IF(Plus!$AS$2&gt;0,GA143*Plus!$AS$3,0))</f>
        <v>0</v>
      </c>
      <c r="GH143" s="33">
        <f t="shared" si="237"/>
        <v>0</v>
      </c>
      <c r="GI143" s="33">
        <f>IF(Plus!$F$10=Plus!$AK$3,MIN(GJ142+GA143+GD143+GE143+GF143-GH143,GU143),0)</f>
        <v>0</v>
      </c>
      <c r="GJ143" s="311">
        <f t="shared" si="286"/>
        <v>0</v>
      </c>
      <c r="GK143" s="340">
        <f>Plus!O184</f>
        <v>0</v>
      </c>
      <c r="GL143" s="74"/>
      <c r="GM143" s="74"/>
      <c r="GN143" s="419">
        <f t="shared" si="283"/>
        <v>0</v>
      </c>
      <c r="GQ143" s="90">
        <f t="shared" si="238"/>
        <v>11</v>
      </c>
      <c r="GR143" s="121">
        <f t="shared" si="272"/>
        <v>0</v>
      </c>
      <c r="GT143" s="149">
        <f t="shared" si="273"/>
        <v>0</v>
      </c>
      <c r="GU143" s="2179">
        <f t="shared" ca="1" si="239"/>
        <v>0</v>
      </c>
      <c r="GW143" s="120">
        <f t="shared" si="274"/>
        <v>0</v>
      </c>
      <c r="GX143" s="110">
        <f t="shared" si="240"/>
        <v>0</v>
      </c>
      <c r="GY143" s="110">
        <f t="shared" si="241"/>
        <v>0</v>
      </c>
      <c r="GZ143" s="109">
        <f t="shared" si="242"/>
        <v>0</v>
      </c>
      <c r="HA143" s="109">
        <f t="shared" si="187"/>
        <v>0</v>
      </c>
      <c r="HB143" s="113">
        <f t="shared" si="243"/>
        <v>0</v>
      </c>
      <c r="HD143" s="102">
        <f t="shared" si="244"/>
        <v>0</v>
      </c>
      <c r="HE143" s="211">
        <f t="shared" si="279"/>
        <v>119</v>
      </c>
      <c r="HF143" s="212">
        <f t="shared" si="245"/>
        <v>0</v>
      </c>
      <c r="HG143" s="212">
        <f t="shared" si="188"/>
        <v>0</v>
      </c>
      <c r="HH143" s="212">
        <f t="shared" si="305"/>
        <v>0</v>
      </c>
      <c r="HI143" s="213">
        <f t="shared" si="189"/>
        <v>1000000</v>
      </c>
      <c r="HL143" s="182"/>
      <c r="HM143" s="26">
        <f t="shared" ca="1" si="190"/>
        <v>2</v>
      </c>
      <c r="HO143" s="268">
        <f t="shared" si="191"/>
        <v>0</v>
      </c>
      <c r="HP143" s="151">
        <f t="shared" si="302"/>
        <v>0</v>
      </c>
      <c r="HQ143" s="123">
        <f t="shared" si="246"/>
        <v>0</v>
      </c>
      <c r="HR143" s="123">
        <f t="shared" si="247"/>
        <v>0</v>
      </c>
      <c r="HS143" s="123">
        <f t="shared" si="248"/>
        <v>0</v>
      </c>
      <c r="HT143" s="123">
        <f>IF(HY142&lt;0.01,0,IF(Adm!$GS$4=Adm!$GS$8,HY142*$HY$15,IF(Adm!$GS$12=Adm!$GS$13,0,HY142*Adm!$GV$4)))</f>
        <v>0</v>
      </c>
      <c r="HU143" s="123">
        <f>IF(HY142&lt;0.01,0,IF(Adm!$GS$5=Adm!$GS$8,Cal!$BO$108*$HY$16/1.16,IF(Adm!$GS$12=Adm!$GS$13,0,Cal!$BO$108*Adm!$GW$4/1.16)))</f>
        <v>0</v>
      </c>
      <c r="HV143" s="123">
        <f t="shared" si="249"/>
        <v>0</v>
      </c>
      <c r="HW143" s="123">
        <f t="shared" si="192"/>
        <v>0</v>
      </c>
      <c r="HX143" s="123">
        <f>IF(Adm!$GH$6="si",MIN(HY142+HQ143+HT143+HU143+HV143-HW143,IH143),0)</f>
        <v>0</v>
      </c>
      <c r="HY143" s="297">
        <f t="shared" si="250"/>
        <v>0</v>
      </c>
      <c r="HZ143" s="74"/>
      <c r="IA143" s="407">
        <f t="shared" si="251"/>
        <v>0</v>
      </c>
      <c r="IC143" s="90">
        <f t="shared" si="252"/>
        <v>11</v>
      </c>
      <c r="ID143" s="124">
        <f>IF(IC143=1,Cal!$BO$127,0)</f>
        <v>0</v>
      </c>
      <c r="IE143" s="178">
        <f>IF(IC143=1,Adm!$HI$4,0)</f>
        <v>0</v>
      </c>
      <c r="IG143" s="70">
        <f t="shared" si="275"/>
        <v>0</v>
      </c>
      <c r="IH143" s="2178">
        <f t="shared" ca="1" si="253"/>
        <v>0</v>
      </c>
      <c r="IK143" s="217"/>
      <c r="IL143" s="26">
        <f t="shared" ca="1" si="193"/>
        <v>2</v>
      </c>
      <c r="IN143" s="268">
        <f t="shared" si="194"/>
        <v>0</v>
      </c>
      <c r="IO143" s="151">
        <f t="shared" si="303"/>
        <v>0</v>
      </c>
      <c r="IP143" s="123">
        <f t="shared" si="254"/>
        <v>0</v>
      </c>
      <c r="IQ143" s="123">
        <f t="shared" si="255"/>
        <v>0</v>
      </c>
      <c r="IR143" s="123">
        <f t="shared" si="256"/>
        <v>0</v>
      </c>
      <c r="IS143" s="123">
        <f>IF(IX142&lt;0.01,0,IF(Adm!$GS$4=Adm!$GS$8,IX142*$IX$15,IF(Adm!$GS$12=Adm!$GS$13,0,IX142*Adm!$GV$4)))</f>
        <v>0</v>
      </c>
      <c r="IT143" s="123"/>
      <c r="IU143" s="123">
        <f t="shared" si="257"/>
        <v>0</v>
      </c>
      <c r="IV143" s="123">
        <f t="shared" si="258"/>
        <v>0</v>
      </c>
      <c r="IW143" s="123"/>
      <c r="IX143" s="297">
        <f t="shared" si="259"/>
        <v>0</v>
      </c>
      <c r="IY143" s="74"/>
      <c r="IZ143" s="416">
        <f t="shared" si="260"/>
        <v>0</v>
      </c>
      <c r="JB143" s="90">
        <f t="shared" si="261"/>
        <v>11</v>
      </c>
      <c r="JC143" s="124">
        <f>IF(JB143=1,Cal!$BP$127,0)</f>
        <v>0</v>
      </c>
      <c r="JD143" s="178">
        <f>IF(JB143=1,Adm!$HI$4,0)</f>
        <v>0</v>
      </c>
    </row>
    <row r="144" spans="1:264">
      <c r="A144" s="26">
        <f t="shared" ca="1" si="162"/>
        <v>3</v>
      </c>
      <c r="C144" s="33">
        <f t="shared" si="163"/>
        <v>0</v>
      </c>
      <c r="D144" s="123">
        <f t="shared" si="195"/>
        <v>0</v>
      </c>
      <c r="E144" s="123">
        <f t="shared" si="287"/>
        <v>0</v>
      </c>
      <c r="F144" s="123">
        <f t="shared" si="295"/>
        <v>0</v>
      </c>
      <c r="G144" s="123">
        <f>IF(L143&lt;0.01,0,IF(Adm!$S$4=Adm!$S$8,L143*$L$15,L143*Adm!$V$4))</f>
        <v>0</v>
      </c>
      <c r="H144" s="123">
        <f>IF(L143&lt;0.01,0,IF(Adm!$S$5=Adm!$S$8,Adm!$AA$11*$L$16/1.16,IF(Adm!$B$4=Adm!$A$119,0,Adm!$AA$11*Adm!$X$4/1.16)))</f>
        <v>0</v>
      </c>
      <c r="I144" s="123">
        <f>IF(L143&lt;0.01,0,Cal!$AB$126/1.16)</f>
        <v>0</v>
      </c>
      <c r="J144" s="123">
        <f t="shared" si="164"/>
        <v>0</v>
      </c>
      <c r="K144" s="123">
        <f>IF(Adm!$G$4="si",MIN(L143+D144+G144+H144+I144-J144,V144),0)</f>
        <v>0</v>
      </c>
      <c r="L144" s="123">
        <f t="shared" si="196"/>
        <v>0</v>
      </c>
      <c r="M144" s="74"/>
      <c r="N144" s="74"/>
      <c r="O144" s="407">
        <f t="shared" si="197"/>
        <v>0</v>
      </c>
      <c r="R144" s="90">
        <f t="shared" si="198"/>
        <v>12</v>
      </c>
      <c r="S144" s="121">
        <f>IF(R144=1,Cal!$AB$127,0)</f>
        <v>0</v>
      </c>
      <c r="U144" s="70">
        <f t="shared" si="262"/>
        <v>0</v>
      </c>
      <c r="V144" s="2178">
        <f t="shared" ca="1" si="199"/>
        <v>0</v>
      </c>
      <c r="X144" s="398"/>
      <c r="Z144" s="268">
        <f t="shared" si="165"/>
        <v>0</v>
      </c>
      <c r="AA144" s="2176">
        <f t="shared" si="200"/>
        <v>0</v>
      </c>
      <c r="AB144" s="33">
        <f t="shared" si="201"/>
        <v>0</v>
      </c>
      <c r="AC144" s="33">
        <f t="shared" si="202"/>
        <v>0</v>
      </c>
      <c r="AD144" s="33">
        <f>IF(AI143&lt;0.01,0,IF(Adm!$S$4=Adm!$S$8,AI143*$AI$15,AI143*Adm!$V$4))</f>
        <v>0</v>
      </c>
      <c r="AE144" s="33"/>
      <c r="AF144" s="33"/>
      <c r="AG144" s="33">
        <f t="shared" si="166"/>
        <v>0</v>
      </c>
      <c r="AH144" s="33"/>
      <c r="AI144" s="401">
        <f t="shared" si="167"/>
        <v>0</v>
      </c>
      <c r="AK144" s="410">
        <f t="shared" si="168"/>
        <v>0</v>
      </c>
      <c r="AN144" s="90">
        <f t="shared" si="203"/>
        <v>12</v>
      </c>
      <c r="AO144" s="121">
        <f>IF(AN144=1,Cal!$AC$127,0)</f>
        <v>0</v>
      </c>
      <c r="AS144" s="200"/>
      <c r="AU144" s="268">
        <f t="shared" si="169"/>
        <v>0</v>
      </c>
      <c r="AV144" s="2177">
        <f t="shared" si="204"/>
        <v>0</v>
      </c>
      <c r="AW144" s="123">
        <f t="shared" si="170"/>
        <v>0</v>
      </c>
      <c r="AX144" s="123">
        <f t="shared" si="205"/>
        <v>0</v>
      </c>
      <c r="AY144" s="123">
        <f>IF(BC143&lt;0.01,0,IF(Adm!$S$4=Adm!$S$8,BC143*$BC$16,BC143*Adm!$V$4))</f>
        <v>0</v>
      </c>
      <c r="AZ144" s="123"/>
      <c r="BA144" s="123">
        <f>IF(BC143&lt;0.01,0,Adm!$Q$6)</f>
        <v>0</v>
      </c>
      <c r="BB144" s="123">
        <f t="shared" si="171"/>
        <v>0</v>
      </c>
      <c r="BC144" s="297">
        <f t="shared" si="206"/>
        <v>0</v>
      </c>
      <c r="BE144" s="425">
        <f t="shared" si="172"/>
        <v>0</v>
      </c>
      <c r="BH144" s="90">
        <f t="shared" si="207"/>
        <v>12</v>
      </c>
      <c r="BI144" s="121">
        <f>IF(BH144=1,Cal!$AD$127,0)</f>
        <v>0</v>
      </c>
      <c r="BM144" s="221"/>
      <c r="BO144" s="295">
        <f t="shared" ca="1" si="173"/>
        <v>3</v>
      </c>
      <c r="BP144" s="268">
        <f t="shared" si="174"/>
        <v>0</v>
      </c>
      <c r="BQ144" s="123">
        <f t="shared" si="208"/>
        <v>0</v>
      </c>
      <c r="BR144" s="123">
        <f t="shared" si="288"/>
        <v>0</v>
      </c>
      <c r="BS144" s="123">
        <f t="shared" si="296"/>
        <v>0</v>
      </c>
      <c r="BT144" s="123">
        <f>IF(BZ143&lt;0.01,0,IF(Plus!$F$22=Plus!$AN$4,BZ143*$BZ$15,IF(Plus!$F$22=Plus!$AN$3,BZ143*Plus!$F$23/1000,BZ143*VLOOKUP(Plus!$G$21,Plus!$AP$2:'Plus'!$AQ$5,2,0))))</f>
        <v>0</v>
      </c>
      <c r="BU144" s="123">
        <f>IF(BZ143&lt;0.01,0,IF(Plus!$F$24=Plus!$AO$3,Plus!$G$13*Plus!$AR$2/1.16,IF(Plus!$F$10=Plus!$AK$7,0,Plus!$G$13*Plus!$AR$2/1.16)))</f>
        <v>0</v>
      </c>
      <c r="BV144" s="123">
        <f>IF(BZ143&lt;0.01,0,Plus!$BD$2)</f>
        <v>0</v>
      </c>
      <c r="BW144" s="123"/>
      <c r="BX144" s="123">
        <f t="shared" si="175"/>
        <v>0</v>
      </c>
      <c r="BY144" s="123">
        <f>IF(Plus!$F$10=Plus!$AK$3,MIN(BZ143+BQ144+BT144+BU144+BV144-BX144,CJ144),0)</f>
        <v>0</v>
      </c>
      <c r="BZ144" s="297">
        <f t="shared" si="280"/>
        <v>0</v>
      </c>
      <c r="CA144" s="74"/>
      <c r="CB144" s="74"/>
      <c r="CC144" s="413">
        <f t="shared" si="209"/>
        <v>0</v>
      </c>
      <c r="CF144" s="90">
        <f t="shared" si="210"/>
        <v>12</v>
      </c>
      <c r="CG144" s="121">
        <f t="shared" si="263"/>
        <v>0</v>
      </c>
      <c r="CI144" s="70">
        <f t="shared" si="264"/>
        <v>0</v>
      </c>
      <c r="CJ144" s="2178">
        <f t="shared" ca="1" si="211"/>
        <v>0</v>
      </c>
      <c r="CL144" s="161"/>
      <c r="CN144" s="308">
        <f t="shared" ca="1" si="176"/>
        <v>3</v>
      </c>
      <c r="CO144" s="309">
        <f t="shared" si="212"/>
        <v>0</v>
      </c>
      <c r="CP144" s="268">
        <f t="shared" si="177"/>
        <v>0</v>
      </c>
      <c r="CQ144" s="123">
        <f t="shared" si="213"/>
        <v>0</v>
      </c>
      <c r="CR144" s="123">
        <f t="shared" si="289"/>
        <v>0</v>
      </c>
      <c r="CS144" s="123">
        <f t="shared" si="290"/>
        <v>0</v>
      </c>
      <c r="CT144" s="33">
        <f>IF(CZ143&lt;0.01,0,IF(Plus!$F$22=Plus!$AN$4,0,IF(Plus!$F$22=Plus!$AN$3,CZ143*Plus!$F$23/1000,CZ143*VLOOKUP(Plus!$G$21,Plus!$AP$2:'Plus'!$AQ$5,2,0))))</f>
        <v>0</v>
      </c>
      <c r="CU144" s="123">
        <f>IF(CZ143&lt;0.01,0,IF(Plus!$F$24=Plus!$AO$3,0,IF(OR(Plus!$F$10=Plus!$AK$7,Plus!$F$10=Plus!$AK$13),0,Plus!$G$13*Plus!$AR$2)))</f>
        <v>0</v>
      </c>
      <c r="CV144" s="123">
        <f>IF(CZ143&lt;0.01,0,IF(OR(Plus!$F$10=Plus!$AK$7,Plus!$F$10=Plus!$AK$13),0,Plus!$BD$2*1.16))</f>
        <v>0</v>
      </c>
      <c r="CW144" s="123">
        <f>IF(CZ143&lt;0.01,0,IF(Plus!$AS$2&gt;0,CQ144*Plus!$AS$3,0))</f>
        <v>0</v>
      </c>
      <c r="CX144" s="123">
        <f t="shared" si="214"/>
        <v>0</v>
      </c>
      <c r="CY144" s="123">
        <f>IF(Plus!$F$10=Plus!$AK$3,MIN(CZ143+CQ144+CT144+CU144+CV144-CX144,DK144),0)</f>
        <v>0</v>
      </c>
      <c r="CZ144" s="297">
        <f t="shared" si="294"/>
        <v>0</v>
      </c>
      <c r="DA144" s="306">
        <f>Plus!O185</f>
        <v>0</v>
      </c>
      <c r="DB144" s="74"/>
      <c r="DC144" s="74"/>
      <c r="DD144" s="407">
        <f t="shared" si="215"/>
        <v>0</v>
      </c>
      <c r="DG144" s="90">
        <f t="shared" si="216"/>
        <v>12</v>
      </c>
      <c r="DH144" s="121">
        <f t="shared" si="265"/>
        <v>0</v>
      </c>
      <c r="DJ144" s="149">
        <f t="shared" si="266"/>
        <v>0</v>
      </c>
      <c r="DK144" s="2179">
        <f t="shared" ca="1" si="217"/>
        <v>0</v>
      </c>
      <c r="DN144" s="120">
        <f t="shared" si="267"/>
        <v>0</v>
      </c>
      <c r="DO144" s="110">
        <f t="shared" si="218"/>
        <v>0</v>
      </c>
      <c r="DP144" s="110">
        <f t="shared" si="276"/>
        <v>0</v>
      </c>
      <c r="DQ144" s="109">
        <f t="shared" si="219"/>
        <v>0</v>
      </c>
      <c r="DR144" s="109">
        <f t="shared" si="220"/>
        <v>0</v>
      </c>
      <c r="DS144" s="113">
        <f t="shared" si="221"/>
        <v>0</v>
      </c>
      <c r="DU144" s="102">
        <f t="shared" si="222"/>
        <v>0</v>
      </c>
      <c r="DV144" s="211">
        <f t="shared" si="277"/>
        <v>120</v>
      </c>
      <c r="DW144" s="212">
        <f t="shared" si="223"/>
        <v>0</v>
      </c>
      <c r="DX144" s="212">
        <f t="shared" si="178"/>
        <v>0</v>
      </c>
      <c r="DY144" s="212">
        <f t="shared" si="268"/>
        <v>0</v>
      </c>
      <c r="DZ144" s="213">
        <f t="shared" si="179"/>
        <v>1000000</v>
      </c>
      <c r="ED144" s="182"/>
      <c r="EF144" s="308">
        <f t="shared" ca="1" si="180"/>
        <v>3</v>
      </c>
      <c r="EG144" s="309">
        <f t="shared" si="224"/>
        <v>0</v>
      </c>
      <c r="EH144" s="268">
        <f t="shared" si="181"/>
        <v>0</v>
      </c>
      <c r="EI144" s="33">
        <f t="shared" si="225"/>
        <v>0</v>
      </c>
      <c r="EJ144" s="33">
        <f t="shared" si="291"/>
        <v>0</v>
      </c>
      <c r="EK144" s="33">
        <f t="shared" si="297"/>
        <v>0</v>
      </c>
      <c r="EL144" s="33">
        <f>IF(ER143&lt;0.01,0,IF(Plus!$F$22=Plus!$AN$4,0,IF(Plus!$F$22=Plus!$AN$3,ER143*Plus!$F$23/1000,ER143*VLOOKUP(Plus!$G$21,Plus!$AP$2:'Plus'!$AQ$5,2,0))))</f>
        <v>0</v>
      </c>
      <c r="EM144" s="33">
        <f>IF(ER143&lt;0.01,0,IF(Plus!$F$24=Plus!$AO$3,0,IF(OR(Plus!$F$10=Plus!$AK$7,Plus!$F$10=Plus!$AK$13),0,Plus!$G$13*Plus!$AR$2)))</f>
        <v>0</v>
      </c>
      <c r="EN144" s="33">
        <f>IF(ER143&lt;0.01,0,IF(OR(Plus!$F$10=Plus!$AK$7,Plus!$F$10=Plus!$AK$13),0,Plus!$BD$2*1.16))</f>
        <v>0</v>
      </c>
      <c r="EO144" s="33">
        <f>IF(ER143&lt;0.01,0,IF(Plus!$AS$2&gt;0,EI144*Plus!$AS$3,0))</f>
        <v>0</v>
      </c>
      <c r="EP144" s="33">
        <f t="shared" si="226"/>
        <v>0</v>
      </c>
      <c r="EQ144" s="33">
        <f>IF(Plus!$F$10=Plus!$AK$3,MIN(ER143+EI144+EL144+EM144+EN144-EP144,FC144),0)</f>
        <v>0</v>
      </c>
      <c r="ER144" s="311">
        <f t="shared" si="285"/>
        <v>0</v>
      </c>
      <c r="ES144" s="340">
        <f>Plus!O185</f>
        <v>0</v>
      </c>
      <c r="ET144" s="74"/>
      <c r="EU144" s="74"/>
      <c r="EV144" s="416">
        <f t="shared" si="281"/>
        <v>0</v>
      </c>
      <c r="EY144" s="90">
        <f t="shared" si="227"/>
        <v>12</v>
      </c>
      <c r="EZ144" s="121">
        <f t="shared" si="269"/>
        <v>0</v>
      </c>
      <c r="FB144" s="149">
        <f t="shared" si="270"/>
        <v>0</v>
      </c>
      <c r="FC144" s="2179">
        <f t="shared" ca="1" si="228"/>
        <v>0</v>
      </c>
      <c r="FE144" s="120">
        <f t="shared" si="271"/>
        <v>0</v>
      </c>
      <c r="FF144" s="110">
        <f t="shared" si="229"/>
        <v>0</v>
      </c>
      <c r="FG144" s="110">
        <f t="shared" si="230"/>
        <v>0</v>
      </c>
      <c r="FH144" s="109">
        <f t="shared" si="231"/>
        <v>0</v>
      </c>
      <c r="FI144" s="109">
        <f t="shared" si="182"/>
        <v>0</v>
      </c>
      <c r="FJ144" s="113">
        <f t="shared" si="232"/>
        <v>0</v>
      </c>
      <c r="FL144" s="102">
        <f t="shared" si="233"/>
        <v>0</v>
      </c>
      <c r="FM144" s="211">
        <f t="shared" si="278"/>
        <v>120</v>
      </c>
      <c r="FN144" s="212">
        <f t="shared" si="234"/>
        <v>0</v>
      </c>
      <c r="FO144" s="212">
        <f t="shared" si="183"/>
        <v>0</v>
      </c>
      <c r="FP144" s="212">
        <f t="shared" si="304"/>
        <v>0</v>
      </c>
      <c r="FQ144" s="213">
        <f t="shared" si="184"/>
        <v>1000000</v>
      </c>
      <c r="FV144" s="359"/>
      <c r="FX144" s="308">
        <f t="shared" ca="1" si="185"/>
        <v>3</v>
      </c>
      <c r="FY144" s="309">
        <f t="shared" si="235"/>
        <v>0</v>
      </c>
      <c r="FZ144" s="268">
        <f t="shared" si="186"/>
        <v>0</v>
      </c>
      <c r="GA144" s="33">
        <f t="shared" si="236"/>
        <v>0</v>
      </c>
      <c r="GB144" s="33">
        <f t="shared" si="292"/>
        <v>0</v>
      </c>
      <c r="GC144" s="33">
        <f t="shared" si="293"/>
        <v>0</v>
      </c>
      <c r="GD144" s="33">
        <f>IF(GJ143&lt;0.01,0,IF(Plus!$F$22=Plus!$AN$4,0,IF(Plus!$F$22=Plus!$AN$3,GJ143*Plus!$F$23/1000,GJ143*VLOOKUP(Plus!$G$21,Plus!$AP$2:$AQ$5,2,0))))</f>
        <v>0</v>
      </c>
      <c r="GE144" s="33">
        <f>IF(GJ143&lt;0.01,0,IF(Plus!$F$24=Plus!$AO$3,0,IF(OR(Plus!$F$10=Plus!$AK$7,Plus!$F$10=Plus!$AK$13,Plus!$F$10=Plus!$AK$14),0,IF(OR(Plus!$F$10=Plus!$AK$10,Plus!$F$10=Plus!$AK$11),Plus!$G$13*Adm!$W$7,Plus!$G$13*Adm!$X$4))))</f>
        <v>0</v>
      </c>
      <c r="GF144" s="33">
        <f>IF(GJ143&lt;0.01,0,IF(OR(Plus!$F$10=Plus!$AK$7,Plus!$F$10=Plus!$AK$13),0,Plus!$BD$2*1.16))</f>
        <v>0</v>
      </c>
      <c r="GG144" s="33">
        <f>IF(GJ143&lt;0.01,0,IF(Plus!$AS$2&gt;0,GA144*Plus!$AS$3,0))</f>
        <v>0</v>
      </c>
      <c r="GH144" s="33">
        <f t="shared" si="237"/>
        <v>0</v>
      </c>
      <c r="GI144" s="33">
        <f>IF(Plus!$F$10=Plus!$AK$3,MIN(GJ143+GA144+GD144+GE144+GF144-GH144,GU144),0)</f>
        <v>0</v>
      </c>
      <c r="GJ144" s="311">
        <f t="shared" si="286"/>
        <v>0</v>
      </c>
      <c r="GK144" s="340">
        <f>Plus!O185</f>
        <v>0</v>
      </c>
      <c r="GL144" s="74"/>
      <c r="GM144" s="74"/>
      <c r="GN144" s="419">
        <f t="shared" si="283"/>
        <v>0</v>
      </c>
      <c r="GQ144" s="90">
        <f t="shared" si="238"/>
        <v>12</v>
      </c>
      <c r="GR144" s="121">
        <f t="shared" si="272"/>
        <v>0</v>
      </c>
      <c r="GT144" s="149">
        <f t="shared" si="273"/>
        <v>0</v>
      </c>
      <c r="GU144" s="2179">
        <f t="shared" ca="1" si="239"/>
        <v>0</v>
      </c>
      <c r="GW144" s="120">
        <f t="shared" si="274"/>
        <v>0</v>
      </c>
      <c r="GX144" s="110">
        <f t="shared" si="240"/>
        <v>0</v>
      </c>
      <c r="GY144" s="110">
        <f t="shared" si="241"/>
        <v>0</v>
      </c>
      <c r="GZ144" s="109">
        <f t="shared" si="242"/>
        <v>0</v>
      </c>
      <c r="HA144" s="109">
        <f t="shared" si="187"/>
        <v>0</v>
      </c>
      <c r="HB144" s="113">
        <f t="shared" si="243"/>
        <v>0</v>
      </c>
      <c r="HD144" s="102">
        <f t="shared" si="244"/>
        <v>0</v>
      </c>
      <c r="HE144" s="211">
        <f t="shared" si="279"/>
        <v>120</v>
      </c>
      <c r="HF144" s="212">
        <f t="shared" si="245"/>
        <v>0</v>
      </c>
      <c r="HG144" s="212">
        <f t="shared" si="188"/>
        <v>0</v>
      </c>
      <c r="HH144" s="212">
        <f t="shared" si="305"/>
        <v>0</v>
      </c>
      <c r="HI144" s="213">
        <f t="shared" si="189"/>
        <v>1000000</v>
      </c>
      <c r="HL144" s="182"/>
      <c r="HM144" s="26">
        <f t="shared" ca="1" si="190"/>
        <v>3</v>
      </c>
      <c r="HO144" s="268">
        <f t="shared" si="191"/>
        <v>0</v>
      </c>
      <c r="HP144" s="151">
        <f t="shared" si="302"/>
        <v>0</v>
      </c>
      <c r="HQ144" s="123">
        <f t="shared" si="246"/>
        <v>0</v>
      </c>
      <c r="HR144" s="123">
        <f t="shared" si="247"/>
        <v>0</v>
      </c>
      <c r="HS144" s="123">
        <f t="shared" si="248"/>
        <v>0</v>
      </c>
      <c r="HT144" s="123">
        <f>IF(HY143&lt;0.01,0,IF(Adm!$GS$4=Adm!$GS$8,HY143*$HY$15,IF(Adm!$GS$12=Adm!$GS$13,0,HY143*Adm!$GV$4)))</f>
        <v>0</v>
      </c>
      <c r="HU144" s="123">
        <f>IF(HY143&lt;0.01,0,IF(Adm!$GS$5=Adm!$GS$8,Cal!$BO$108*$HY$16/1.16,IF(Adm!$GS$12=Adm!$GS$13,0,Cal!$BO$108*Adm!$GW$4/1.16)))</f>
        <v>0</v>
      </c>
      <c r="HV144" s="123">
        <f t="shared" si="249"/>
        <v>0</v>
      </c>
      <c r="HW144" s="123">
        <f t="shared" si="192"/>
        <v>0</v>
      </c>
      <c r="HX144" s="123">
        <f>IF(Adm!$GH$6="si",MIN(HY143+HQ144+HT144+HU144+HV144-HW144,IH144),0)</f>
        <v>0</v>
      </c>
      <c r="HY144" s="297">
        <f t="shared" si="250"/>
        <v>0</v>
      </c>
      <c r="HZ144" s="74"/>
      <c r="IA144" s="407">
        <f t="shared" si="251"/>
        <v>0</v>
      </c>
      <c r="IC144" s="90">
        <f t="shared" si="252"/>
        <v>12</v>
      </c>
      <c r="ID144" s="124">
        <f>IF(IC144=1,Cal!$BO$127,0)</f>
        <v>0</v>
      </c>
      <c r="IE144" s="178">
        <f>IF(IC144=1,Adm!$HI$4,0)</f>
        <v>0</v>
      </c>
      <c r="IG144" s="70">
        <f t="shared" si="275"/>
        <v>0</v>
      </c>
      <c r="IH144" s="2178">
        <f t="shared" ca="1" si="253"/>
        <v>0</v>
      </c>
      <c r="IK144" s="217"/>
      <c r="IL144" s="26">
        <f t="shared" ca="1" si="193"/>
        <v>3</v>
      </c>
      <c r="IN144" s="268">
        <f t="shared" si="194"/>
        <v>0</v>
      </c>
      <c r="IO144" s="151">
        <f t="shared" si="303"/>
        <v>0</v>
      </c>
      <c r="IP144" s="123">
        <f t="shared" si="254"/>
        <v>0</v>
      </c>
      <c r="IQ144" s="123">
        <f t="shared" si="255"/>
        <v>0</v>
      </c>
      <c r="IR144" s="123">
        <f t="shared" si="256"/>
        <v>0</v>
      </c>
      <c r="IS144" s="123">
        <f>IF(IX143&lt;0.01,0,IF(Adm!$GS$4=Adm!$GS$8,IX143*$IX$15,IF(Adm!$GS$12=Adm!$GS$13,0,IX143*Adm!$GV$4)))</f>
        <v>0</v>
      </c>
      <c r="IT144" s="123"/>
      <c r="IU144" s="123">
        <f t="shared" si="257"/>
        <v>0</v>
      </c>
      <c r="IV144" s="123">
        <f t="shared" si="258"/>
        <v>0</v>
      </c>
      <c r="IW144" s="123"/>
      <c r="IX144" s="297">
        <f t="shared" si="259"/>
        <v>0</v>
      </c>
      <c r="IY144" s="74"/>
      <c r="IZ144" s="416">
        <f t="shared" si="260"/>
        <v>0</v>
      </c>
      <c r="JB144" s="90">
        <f t="shared" si="261"/>
        <v>12</v>
      </c>
      <c r="JC144" s="124">
        <f>IF(JB144=1,Cal!$BP$127,0)</f>
        <v>0</v>
      </c>
      <c r="JD144" s="178">
        <f>IF(JB144=1,Adm!$HI$4,0)</f>
        <v>0</v>
      </c>
    </row>
    <row r="145" spans="1:264">
      <c r="A145" s="26">
        <f t="shared" ca="1" si="162"/>
        <v>4</v>
      </c>
      <c r="C145" s="33">
        <f t="shared" si="163"/>
        <v>0</v>
      </c>
      <c r="D145" s="123">
        <f t="shared" si="195"/>
        <v>0</v>
      </c>
      <c r="E145" s="123">
        <f t="shared" si="287"/>
        <v>0</v>
      </c>
      <c r="F145" s="123">
        <f t="shared" si="295"/>
        <v>0</v>
      </c>
      <c r="G145" s="123">
        <f>IF(L144&lt;0.01,0,IF(Adm!$S$4=Adm!$S$8,L144*$L$15,L144*Adm!$V$4))</f>
        <v>0</v>
      </c>
      <c r="H145" s="123">
        <f>IF(L144&lt;0.01,0,IF(Adm!$S$5=Adm!$S$8,Adm!$AA$11*$L$16/1.16,IF(Adm!$B$4=Adm!$A$119,0,Adm!$AA$11*Adm!$X$4/1.16)))</f>
        <v>0</v>
      </c>
      <c r="I145" s="123">
        <f>IF(L144&lt;0.01,0,Cal!$AB$126/1.16)</f>
        <v>0</v>
      </c>
      <c r="J145" s="123">
        <f t="shared" si="164"/>
        <v>0</v>
      </c>
      <c r="K145" s="123">
        <f>IF(Adm!$G$4="si",MIN(L144+D145+G145+H145+I145-J145,V145),0)</f>
        <v>0</v>
      </c>
      <c r="L145" s="123">
        <f t="shared" si="196"/>
        <v>0</v>
      </c>
      <c r="M145" s="74"/>
      <c r="N145" s="74"/>
      <c r="O145" s="407">
        <f t="shared" si="197"/>
        <v>0</v>
      </c>
      <c r="R145" s="90">
        <f t="shared" si="198"/>
        <v>1</v>
      </c>
      <c r="S145" s="121">
        <f>IF(R145=1,Cal!$AB$127,0)</f>
        <v>0</v>
      </c>
      <c r="U145" s="70">
        <f t="shared" si="262"/>
        <v>0</v>
      </c>
      <c r="V145" s="2178">
        <f t="shared" ca="1" si="199"/>
        <v>0</v>
      </c>
      <c r="X145" s="398"/>
      <c r="Z145" s="268">
        <f t="shared" si="165"/>
        <v>0</v>
      </c>
      <c r="AA145" s="2176">
        <f t="shared" si="200"/>
        <v>0</v>
      </c>
      <c r="AB145" s="33">
        <f t="shared" si="201"/>
        <v>0</v>
      </c>
      <c r="AC145" s="33">
        <f t="shared" si="202"/>
        <v>0</v>
      </c>
      <c r="AD145" s="33">
        <f>IF(AI144&lt;0.01,0,IF(Adm!$S$4=Adm!$S$8,AI144*$AI$15,AI144*Adm!$V$4))</f>
        <v>0</v>
      </c>
      <c r="AE145" s="33"/>
      <c r="AF145" s="33"/>
      <c r="AG145" s="33">
        <f t="shared" si="166"/>
        <v>0</v>
      </c>
      <c r="AH145" s="33"/>
      <c r="AI145" s="401">
        <f t="shared" si="167"/>
        <v>0</v>
      </c>
      <c r="AK145" s="410">
        <f t="shared" si="168"/>
        <v>0</v>
      </c>
      <c r="AN145" s="90">
        <f t="shared" si="203"/>
        <v>1</v>
      </c>
      <c r="AO145" s="121">
        <f>IF(AN145=1,Cal!$AC$127,0)</f>
        <v>0</v>
      </c>
      <c r="AS145" s="200"/>
      <c r="AU145" s="268">
        <f t="shared" si="169"/>
        <v>0</v>
      </c>
      <c r="AV145" s="2177">
        <f t="shared" si="204"/>
        <v>0</v>
      </c>
      <c r="AW145" s="123">
        <f t="shared" si="170"/>
        <v>0</v>
      </c>
      <c r="AX145" s="123">
        <f t="shared" si="205"/>
        <v>0</v>
      </c>
      <c r="AY145" s="123">
        <f>IF(BC144&lt;0.01,0,IF(Adm!$S$4=Adm!$S$8,BC144*$BC$16,BC144*Adm!$V$4))</f>
        <v>0</v>
      </c>
      <c r="AZ145" s="123"/>
      <c r="BA145" s="123">
        <f>IF(BC144&lt;0.01,0,Adm!$Q$6)</f>
        <v>0</v>
      </c>
      <c r="BB145" s="123">
        <f t="shared" si="171"/>
        <v>0</v>
      </c>
      <c r="BC145" s="297">
        <f t="shared" si="206"/>
        <v>0</v>
      </c>
      <c r="BE145" s="425">
        <f t="shared" si="172"/>
        <v>0</v>
      </c>
      <c r="BH145" s="90">
        <f t="shared" si="207"/>
        <v>1</v>
      </c>
      <c r="BI145" s="121">
        <f>IF(BH145=1,Cal!$AD$127,0)</f>
        <v>0</v>
      </c>
      <c r="BM145" s="221"/>
      <c r="BO145" s="295">
        <f t="shared" ca="1" si="173"/>
        <v>4</v>
      </c>
      <c r="BP145" s="268">
        <f t="shared" si="174"/>
        <v>0</v>
      </c>
      <c r="BQ145" s="123">
        <f t="shared" si="208"/>
        <v>0</v>
      </c>
      <c r="BR145" s="123">
        <f t="shared" si="288"/>
        <v>0</v>
      </c>
      <c r="BS145" s="123">
        <f t="shared" si="296"/>
        <v>0</v>
      </c>
      <c r="BT145" s="123">
        <f>IF(BZ144&lt;0.01,0,IF(Plus!$F$22=Plus!$AN$4,BZ144*$BZ$15,IF(Plus!$F$22=Plus!$AN$3,BZ144*Plus!$F$23/1000,BZ144*VLOOKUP(Plus!$G$21,Plus!$AP$2:'Plus'!$AQ$5,2,0))))</f>
        <v>0</v>
      </c>
      <c r="BU145" s="123">
        <f>IF(BZ144&lt;0.01,0,IF(Plus!$F$24=Plus!$AO$3,Plus!$G$13*Plus!$AR$2/1.16,IF(Plus!$F$10=Plus!$AK$7,0,Plus!$G$13*Plus!$AR$2/1.16)))</f>
        <v>0</v>
      </c>
      <c r="BV145" s="123">
        <f>IF(BZ144&lt;0.01,0,Plus!$BD$2)</f>
        <v>0</v>
      </c>
      <c r="BW145" s="123"/>
      <c r="BX145" s="123">
        <f t="shared" si="175"/>
        <v>0</v>
      </c>
      <c r="BY145" s="123">
        <f>IF(Plus!$F$10=Plus!$AK$3,MIN(BZ144+BQ145+BT145+BU145+BV145-BX145,CJ145),0)</f>
        <v>0</v>
      </c>
      <c r="BZ145" s="297">
        <f t="shared" si="280"/>
        <v>0</v>
      </c>
      <c r="CA145" s="74"/>
      <c r="CB145" s="74"/>
      <c r="CC145" s="413">
        <f t="shared" si="209"/>
        <v>0</v>
      </c>
      <c r="CF145" s="90">
        <f t="shared" si="210"/>
        <v>1</v>
      </c>
      <c r="CG145" s="121">
        <f t="shared" si="263"/>
        <v>0</v>
      </c>
      <c r="CI145" s="70">
        <f t="shared" si="264"/>
        <v>0</v>
      </c>
      <c r="CJ145" s="2178">
        <f t="shared" ca="1" si="211"/>
        <v>0</v>
      </c>
      <c r="CL145" s="161"/>
      <c r="CN145" s="308">
        <f t="shared" ca="1" si="176"/>
        <v>4</v>
      </c>
      <c r="CO145" s="309">
        <f t="shared" si="212"/>
        <v>0</v>
      </c>
      <c r="CP145" s="268">
        <f t="shared" si="177"/>
        <v>0</v>
      </c>
      <c r="CQ145" s="123">
        <f t="shared" si="213"/>
        <v>0</v>
      </c>
      <c r="CR145" s="123">
        <f t="shared" si="289"/>
        <v>0</v>
      </c>
      <c r="CS145" s="123">
        <f t="shared" si="290"/>
        <v>0</v>
      </c>
      <c r="CT145" s="33">
        <f>IF(CZ144&lt;0.01,0,IF(Plus!$F$22=Plus!$AN$4,0,IF(Plus!$F$22=Plus!$AN$3,CZ144*Plus!$F$23/1000,CZ144*VLOOKUP(Plus!$G$21,Plus!$AP$2:'Plus'!$AQ$5,2,0))))</f>
        <v>0</v>
      </c>
      <c r="CU145" s="123">
        <f>IF(CZ144&lt;0.01,0,IF(Plus!$F$24=Plus!$AO$3,0,IF(OR(Plus!$F$10=Plus!$AK$7,Plus!$F$10=Plus!$AK$13),0,Plus!$G$13*Plus!$AR$2)))</f>
        <v>0</v>
      </c>
      <c r="CV145" s="123">
        <f>IF(CZ144&lt;0.01,0,IF(OR(Plus!$F$10=Plus!$AK$7,Plus!$F$10=Plus!$AK$13),0,Plus!$BD$2*1.16))</f>
        <v>0</v>
      </c>
      <c r="CW145" s="123">
        <f>IF(CZ144&lt;0.01,0,IF(Plus!$AS$2&gt;0,CQ145*Plus!$AS$3,0))</f>
        <v>0</v>
      </c>
      <c r="CX145" s="123">
        <f t="shared" si="214"/>
        <v>0</v>
      </c>
      <c r="CY145" s="123">
        <f>IF(Plus!$F$10=Plus!$AK$3,MIN(CZ144+CQ145+CT145+CU145+CV145-CX145,DK145),0)</f>
        <v>0</v>
      </c>
      <c r="CZ145" s="297">
        <f t="shared" si="294"/>
        <v>0</v>
      </c>
      <c r="DA145" s="306">
        <f>Plus!O186</f>
        <v>0</v>
      </c>
      <c r="DB145" s="74"/>
      <c r="DC145" s="74"/>
      <c r="DD145" s="407">
        <f t="shared" si="215"/>
        <v>0</v>
      </c>
      <c r="DG145" s="90">
        <f t="shared" si="216"/>
        <v>1</v>
      </c>
      <c r="DH145" s="121">
        <f t="shared" si="265"/>
        <v>0</v>
      </c>
      <c r="DJ145" s="149">
        <f t="shared" si="266"/>
        <v>0</v>
      </c>
      <c r="DK145" s="2179">
        <f t="shared" ca="1" si="217"/>
        <v>0</v>
      </c>
      <c r="DN145" s="120">
        <f t="shared" si="267"/>
        <v>0</v>
      </c>
      <c r="DO145" s="110">
        <f t="shared" si="218"/>
        <v>0</v>
      </c>
      <c r="DP145" s="110">
        <f t="shared" si="276"/>
        <v>0</v>
      </c>
      <c r="DQ145" s="109">
        <f t="shared" si="219"/>
        <v>0</v>
      </c>
      <c r="DR145" s="109">
        <f t="shared" si="220"/>
        <v>0</v>
      </c>
      <c r="DS145" s="113">
        <f t="shared" si="221"/>
        <v>0</v>
      </c>
      <c r="DU145" s="102">
        <f t="shared" si="222"/>
        <v>0</v>
      </c>
      <c r="DV145" s="333">
        <f t="shared" si="277"/>
        <v>121</v>
      </c>
      <c r="DW145" s="334">
        <f t="shared" si="223"/>
        <v>0</v>
      </c>
      <c r="DX145" s="334">
        <f t="shared" si="178"/>
        <v>0</v>
      </c>
      <c r="DY145" s="334">
        <f>MIN(DZ144+DW145,DY144*(1+$DW$20))</f>
        <v>0</v>
      </c>
      <c r="DZ145" s="213">
        <f t="shared" si="179"/>
        <v>1000000</v>
      </c>
      <c r="ED145" s="182"/>
      <c r="EF145" s="308">
        <f t="shared" ca="1" si="180"/>
        <v>4</v>
      </c>
      <c r="EG145" s="309">
        <f t="shared" si="224"/>
        <v>0</v>
      </c>
      <c r="EH145" s="268">
        <f t="shared" si="181"/>
        <v>0</v>
      </c>
      <c r="EI145" s="33">
        <f t="shared" si="225"/>
        <v>0</v>
      </c>
      <c r="EJ145" s="33">
        <f t="shared" si="291"/>
        <v>0</v>
      </c>
      <c r="EK145" s="33">
        <f t="shared" si="297"/>
        <v>0</v>
      </c>
      <c r="EL145" s="33">
        <f>IF(ER144&lt;0.01,0,IF(Plus!$F$22=Plus!$AN$4,0,IF(Plus!$F$22=Plus!$AN$3,ER144*Plus!$F$23/1000,ER144*VLOOKUP(Plus!$G$21,Plus!$AP$2:'Plus'!$AQ$5,2,0))))</f>
        <v>0</v>
      </c>
      <c r="EM145" s="33">
        <f>IF(ER144&lt;0.01,0,IF(Plus!$F$24=Plus!$AO$3,0,IF(OR(Plus!$F$10=Plus!$AK$7,Plus!$F$10=Plus!$AK$13),0,Plus!$G$13*Plus!$AR$2)))</f>
        <v>0</v>
      </c>
      <c r="EN145" s="33">
        <f>IF(ER144&lt;0.01,0,IF(OR(Plus!$F$10=Plus!$AK$7,Plus!$F$10=Plus!$AK$13),0,Plus!$BD$2*1.16))</f>
        <v>0</v>
      </c>
      <c r="EO145" s="33">
        <f>IF(ER144&lt;0.01,0,IF(Plus!$AS$2&gt;0,EI145*Plus!$AS$3,0))</f>
        <v>0</v>
      </c>
      <c r="EP145" s="33">
        <f t="shared" si="226"/>
        <v>0</v>
      </c>
      <c r="EQ145" s="33">
        <f>IF(Plus!$F$10=Plus!$AK$3,MIN(ER144+EI145+EL145+EM145+EN145-EP145,FC145),0)</f>
        <v>0</v>
      </c>
      <c r="ER145" s="311">
        <f t="shared" si="285"/>
        <v>0</v>
      </c>
      <c r="ES145" s="340">
        <f>Plus!O186</f>
        <v>0</v>
      </c>
      <c r="ET145" s="74"/>
      <c r="EU145" s="74"/>
      <c r="EV145" s="416">
        <f t="shared" si="281"/>
        <v>0</v>
      </c>
      <c r="EY145" s="90">
        <f t="shared" si="227"/>
        <v>1</v>
      </c>
      <c r="EZ145" s="121">
        <f t="shared" si="269"/>
        <v>0</v>
      </c>
      <c r="FB145" s="149">
        <f t="shared" si="270"/>
        <v>0</v>
      </c>
      <c r="FC145" s="2179">
        <f t="shared" ca="1" si="228"/>
        <v>0</v>
      </c>
      <c r="FE145" s="120">
        <f t="shared" si="271"/>
        <v>0</v>
      </c>
      <c r="FF145" s="110">
        <f t="shared" si="229"/>
        <v>0</v>
      </c>
      <c r="FG145" s="110">
        <f t="shared" si="230"/>
        <v>0</v>
      </c>
      <c r="FH145" s="109">
        <f t="shared" si="231"/>
        <v>0</v>
      </c>
      <c r="FI145" s="109">
        <f t="shared" si="182"/>
        <v>0</v>
      </c>
      <c r="FJ145" s="113">
        <f t="shared" si="232"/>
        <v>0</v>
      </c>
      <c r="FL145" s="102">
        <f t="shared" si="233"/>
        <v>0</v>
      </c>
      <c r="FM145" s="326">
        <f t="shared" si="278"/>
        <v>121</v>
      </c>
      <c r="FN145" s="327">
        <f t="shared" si="234"/>
        <v>0</v>
      </c>
      <c r="FO145" s="327">
        <f t="shared" si="183"/>
        <v>0</v>
      </c>
      <c r="FP145" s="327">
        <f>MIN(FQ144+FN145,FP144*(1+$FN$20))</f>
        <v>0</v>
      </c>
      <c r="FQ145" s="213">
        <f t="shared" si="184"/>
        <v>1000000</v>
      </c>
      <c r="FV145" s="359"/>
      <c r="FX145" s="308">
        <f t="shared" ca="1" si="185"/>
        <v>4</v>
      </c>
      <c r="FY145" s="309">
        <f t="shared" si="235"/>
        <v>0</v>
      </c>
      <c r="FZ145" s="268">
        <f t="shared" si="186"/>
        <v>0</v>
      </c>
      <c r="GA145" s="33">
        <f t="shared" si="236"/>
        <v>0</v>
      </c>
      <c r="GB145" s="33">
        <f t="shared" si="292"/>
        <v>0</v>
      </c>
      <c r="GC145" s="33">
        <f t="shared" si="293"/>
        <v>0</v>
      </c>
      <c r="GD145" s="33">
        <f>IF(GJ144&lt;0.01,0,IF(Plus!$F$22=Plus!$AN$4,0,IF(Plus!$F$22=Plus!$AN$3,GJ144*Plus!$F$23/1000,GJ144*VLOOKUP(Plus!$G$21,Plus!$AP$2:$AQ$5,2,0))))</f>
        <v>0</v>
      </c>
      <c r="GE145" s="33">
        <f>IF(GJ144&lt;0.01,0,IF(Plus!$F$24=Plus!$AO$3,0,IF(OR(Plus!$F$10=Plus!$AK$7,Plus!$F$10=Plus!$AK$13,Plus!$F$10=Plus!$AK$14),0,IF(OR(Plus!$F$10=Plus!$AK$10,Plus!$F$10=Plus!$AK$11),Plus!$G$13*Adm!$W$7,Plus!$G$13*Adm!$X$4))))</f>
        <v>0</v>
      </c>
      <c r="GF145" s="33">
        <f>IF(GJ144&lt;0.01,0,IF(OR(Plus!$F$10=Plus!$AK$7,Plus!$F$10=Plus!$AK$13),0,Plus!$BD$2*1.16))</f>
        <v>0</v>
      </c>
      <c r="GG145" s="33">
        <f>IF(GJ144&lt;0.01,0,IF(Plus!$AS$2&gt;0,GA145*Plus!$AS$3,0))</f>
        <v>0</v>
      </c>
      <c r="GH145" s="33">
        <f t="shared" si="237"/>
        <v>0</v>
      </c>
      <c r="GI145" s="33">
        <f>IF(Plus!$F$10=Plus!$AK$3,MIN(GJ144+GA145+GD145+GE145+GF145-GH145,GU145),0)</f>
        <v>0</v>
      </c>
      <c r="GJ145" s="311">
        <f t="shared" si="286"/>
        <v>0</v>
      </c>
      <c r="GK145" s="340">
        <f>Plus!O186</f>
        <v>0</v>
      </c>
      <c r="GL145" s="74"/>
      <c r="GM145" s="74"/>
      <c r="GN145" s="419">
        <f t="shared" si="283"/>
        <v>0</v>
      </c>
      <c r="GQ145" s="90">
        <f t="shared" si="238"/>
        <v>1</v>
      </c>
      <c r="GR145" s="121">
        <f t="shared" si="272"/>
        <v>0</v>
      </c>
      <c r="GT145" s="149">
        <f t="shared" si="273"/>
        <v>0</v>
      </c>
      <c r="GU145" s="2179">
        <f t="shared" ca="1" si="239"/>
        <v>0</v>
      </c>
      <c r="GW145" s="120">
        <f t="shared" si="274"/>
        <v>0</v>
      </c>
      <c r="GX145" s="110">
        <f t="shared" si="240"/>
        <v>0</v>
      </c>
      <c r="GY145" s="110">
        <f t="shared" si="241"/>
        <v>0</v>
      </c>
      <c r="GZ145" s="109">
        <f t="shared" si="242"/>
        <v>0</v>
      </c>
      <c r="HA145" s="109">
        <f t="shared" si="187"/>
        <v>0</v>
      </c>
      <c r="HB145" s="113">
        <f t="shared" si="243"/>
        <v>0</v>
      </c>
      <c r="HD145" s="102">
        <f t="shared" si="244"/>
        <v>0</v>
      </c>
      <c r="HE145" s="326">
        <f t="shared" si="279"/>
        <v>121</v>
      </c>
      <c r="HF145" s="327">
        <f t="shared" si="245"/>
        <v>0</v>
      </c>
      <c r="HG145" s="327">
        <f t="shared" si="188"/>
        <v>0</v>
      </c>
      <c r="HH145" s="327">
        <f>MIN(HI144+HF145,HH144*(1+$FN$20))</f>
        <v>0</v>
      </c>
      <c r="HI145" s="213">
        <f t="shared" si="189"/>
        <v>1000000</v>
      </c>
      <c r="HL145" s="182"/>
      <c r="HM145" s="26">
        <f t="shared" ca="1" si="190"/>
        <v>4</v>
      </c>
      <c r="HO145" s="268">
        <f t="shared" si="191"/>
        <v>0</v>
      </c>
      <c r="HP145" s="151">
        <f t="shared" si="302"/>
        <v>0</v>
      </c>
      <c r="HQ145" s="123">
        <f t="shared" si="246"/>
        <v>0</v>
      </c>
      <c r="HR145" s="123">
        <f t="shared" si="247"/>
        <v>0</v>
      </c>
      <c r="HS145" s="123">
        <f t="shared" si="248"/>
        <v>0</v>
      </c>
      <c r="HT145" s="123">
        <f>IF(HY144&lt;0.01,0,IF(Adm!$GS$4=Adm!$GS$8,HY144*$HY$15,IF(Adm!$GS$12=Adm!$GS$13,0,HY144*Adm!$GV$4)))</f>
        <v>0</v>
      </c>
      <c r="HU145" s="123">
        <f>IF(HY144&lt;0.01,0,IF(Adm!$GS$5=Adm!$GS$8,Cal!$BO$108*$HY$16/1.16,IF(Adm!$GS$12=Adm!$GS$13,0,Cal!$BO$108*Adm!$GW$4/1.16)))</f>
        <v>0</v>
      </c>
      <c r="HV145" s="123">
        <f t="shared" si="249"/>
        <v>0</v>
      </c>
      <c r="HW145" s="123">
        <f t="shared" si="192"/>
        <v>0</v>
      </c>
      <c r="HX145" s="123">
        <f>IF(Adm!$GH$6="si",MIN(HY144+HQ145+HT145+HU145+HV145-HW145,IH145),0)</f>
        <v>0</v>
      </c>
      <c r="HY145" s="297">
        <f t="shared" si="250"/>
        <v>0</v>
      </c>
      <c r="HZ145" s="74"/>
      <c r="IA145" s="407">
        <f t="shared" si="251"/>
        <v>0</v>
      </c>
      <c r="IC145" s="90">
        <f t="shared" si="252"/>
        <v>1</v>
      </c>
      <c r="ID145" s="124">
        <f>IF(IC145=1,Cal!$BO$127,0)</f>
        <v>0</v>
      </c>
      <c r="IE145" s="178">
        <f>IF(IC145=1,Adm!$HI$4,0)</f>
        <v>2.5000000000000001E-3</v>
      </c>
      <c r="IG145" s="70">
        <f t="shared" si="275"/>
        <v>0</v>
      </c>
      <c r="IH145" s="2178">
        <f t="shared" ca="1" si="253"/>
        <v>0</v>
      </c>
      <c r="IK145" s="217"/>
      <c r="IL145" s="26">
        <f t="shared" ca="1" si="193"/>
        <v>4</v>
      </c>
      <c r="IN145" s="268">
        <f t="shared" si="194"/>
        <v>0</v>
      </c>
      <c r="IO145" s="151">
        <f t="shared" si="303"/>
        <v>0</v>
      </c>
      <c r="IP145" s="123">
        <f t="shared" si="254"/>
        <v>0</v>
      </c>
      <c r="IQ145" s="123">
        <f t="shared" si="255"/>
        <v>0</v>
      </c>
      <c r="IR145" s="123">
        <f t="shared" si="256"/>
        <v>0</v>
      </c>
      <c r="IS145" s="123">
        <f>IF(IX144&lt;0.01,0,IF(Adm!$GS$4=Adm!$GS$8,IX144*$IX$15,IF(Adm!$GS$12=Adm!$GS$13,0,IX144*Adm!$GV$4)))</f>
        <v>0</v>
      </c>
      <c r="IT145" s="123"/>
      <c r="IU145" s="123">
        <f t="shared" si="257"/>
        <v>0</v>
      </c>
      <c r="IV145" s="123">
        <f t="shared" si="258"/>
        <v>0</v>
      </c>
      <c r="IW145" s="123"/>
      <c r="IX145" s="297">
        <f t="shared" si="259"/>
        <v>0</v>
      </c>
      <c r="IY145" s="74"/>
      <c r="IZ145" s="416">
        <f t="shared" si="260"/>
        <v>0</v>
      </c>
      <c r="JB145" s="90">
        <f t="shared" si="261"/>
        <v>1</v>
      </c>
      <c r="JC145" s="124">
        <f>IF(JB145=1,Cal!$BP$127,0)</f>
        <v>0</v>
      </c>
      <c r="JD145" s="178">
        <f>IF(JB145=1,Adm!$HI$4,0)</f>
        <v>2.5000000000000001E-3</v>
      </c>
    </row>
    <row r="146" spans="1:264">
      <c r="A146" s="26">
        <f t="shared" ca="1" si="162"/>
        <v>5</v>
      </c>
      <c r="C146" s="33">
        <f t="shared" si="163"/>
        <v>0</v>
      </c>
      <c r="D146" s="123">
        <f t="shared" si="195"/>
        <v>0</v>
      </c>
      <c r="E146" s="123">
        <f t="shared" si="287"/>
        <v>0</v>
      </c>
      <c r="F146" s="123">
        <f t="shared" si="295"/>
        <v>0</v>
      </c>
      <c r="G146" s="123">
        <f>IF(L145&lt;0.01,0,IF(Adm!$S$4=Adm!$S$8,L145*$L$15,L145*Adm!$V$4))</f>
        <v>0</v>
      </c>
      <c r="H146" s="123">
        <f>IF(L145&lt;0.01,0,IF(Adm!$S$5=Adm!$S$8,Adm!$AA$11*$L$16/1.16,IF(Adm!$B$4=Adm!$A$119,0,Adm!$AA$11*Adm!$X$4/1.16)))</f>
        <v>0</v>
      </c>
      <c r="I146" s="123">
        <f>IF(L145&lt;0.01,0,Cal!$AB$126/1.16)</f>
        <v>0</v>
      </c>
      <c r="J146" s="123">
        <f t="shared" si="164"/>
        <v>0</v>
      </c>
      <c r="K146" s="123">
        <f>IF(Adm!$G$4="si",MIN(L145+D146+G146+H146+I146-J146,V146),0)</f>
        <v>0</v>
      </c>
      <c r="L146" s="123">
        <f t="shared" si="196"/>
        <v>0</v>
      </c>
      <c r="M146" s="74"/>
      <c r="N146" s="74"/>
      <c r="O146" s="407">
        <f t="shared" si="197"/>
        <v>0</v>
      </c>
      <c r="R146" s="90">
        <f t="shared" si="198"/>
        <v>2</v>
      </c>
      <c r="S146" s="121">
        <f>IF(R146=1,Cal!$AB$127,0)</f>
        <v>0</v>
      </c>
      <c r="U146" s="70">
        <f t="shared" si="262"/>
        <v>0</v>
      </c>
      <c r="V146" s="2178">
        <f t="shared" ca="1" si="199"/>
        <v>0</v>
      </c>
      <c r="X146" s="398"/>
      <c r="Z146" s="268">
        <f t="shared" si="165"/>
        <v>0</v>
      </c>
      <c r="AA146" s="2176">
        <f t="shared" si="200"/>
        <v>0</v>
      </c>
      <c r="AB146" s="33">
        <f t="shared" si="201"/>
        <v>0</v>
      </c>
      <c r="AC146" s="33">
        <f t="shared" si="202"/>
        <v>0</v>
      </c>
      <c r="AD146" s="33">
        <f>IF(AI145&lt;0.01,0,IF(Adm!$S$4=Adm!$S$8,AI145*$AI$15,AI145*Adm!$V$4))</f>
        <v>0</v>
      </c>
      <c r="AE146" s="33"/>
      <c r="AF146" s="33"/>
      <c r="AG146" s="33">
        <f t="shared" si="166"/>
        <v>0</v>
      </c>
      <c r="AH146" s="33"/>
      <c r="AI146" s="401">
        <f t="shared" si="167"/>
        <v>0</v>
      </c>
      <c r="AK146" s="410">
        <f t="shared" si="168"/>
        <v>0</v>
      </c>
      <c r="AN146" s="90">
        <f t="shared" si="203"/>
        <v>2</v>
      </c>
      <c r="AO146" s="121">
        <f>IF(AN146=1,Cal!$AC$127,0)</f>
        <v>0</v>
      </c>
      <c r="AS146" s="200"/>
      <c r="AU146" s="268">
        <f t="shared" si="169"/>
        <v>0</v>
      </c>
      <c r="AV146" s="2177">
        <f t="shared" si="204"/>
        <v>0</v>
      </c>
      <c r="AW146" s="123">
        <f t="shared" si="170"/>
        <v>0</v>
      </c>
      <c r="AX146" s="123">
        <f t="shared" si="205"/>
        <v>0</v>
      </c>
      <c r="AY146" s="123">
        <f>IF(BC145&lt;0.01,0,IF(Adm!$S$4=Adm!$S$8,BC145*$BC$16,BC145*Adm!$V$4))</f>
        <v>0</v>
      </c>
      <c r="AZ146" s="123"/>
      <c r="BA146" s="123">
        <f>IF(BC145&lt;0.01,0,Adm!$Q$6)</f>
        <v>0</v>
      </c>
      <c r="BB146" s="123">
        <f t="shared" si="171"/>
        <v>0</v>
      </c>
      <c r="BC146" s="297">
        <f t="shared" si="206"/>
        <v>0</v>
      </c>
      <c r="BE146" s="425">
        <f t="shared" si="172"/>
        <v>0</v>
      </c>
      <c r="BH146" s="90">
        <f t="shared" si="207"/>
        <v>2</v>
      </c>
      <c r="BI146" s="121">
        <f>IF(BH146=1,Cal!$AD$127,0)</f>
        <v>0</v>
      </c>
      <c r="BM146" s="221"/>
      <c r="BO146" s="295">
        <f t="shared" ca="1" si="173"/>
        <v>5</v>
      </c>
      <c r="BP146" s="268">
        <f t="shared" si="174"/>
        <v>0</v>
      </c>
      <c r="BQ146" s="123">
        <f t="shared" si="208"/>
        <v>0</v>
      </c>
      <c r="BR146" s="123">
        <f t="shared" si="288"/>
        <v>0</v>
      </c>
      <c r="BS146" s="123">
        <f t="shared" si="296"/>
        <v>0</v>
      </c>
      <c r="BT146" s="123">
        <f>IF(BZ145&lt;0.01,0,IF(Plus!$F$22=Plus!$AN$4,BZ145*$BZ$15,IF(Plus!$F$22=Plus!$AN$3,BZ145*Plus!$F$23/1000,BZ145*VLOOKUP(Plus!$G$21,Plus!$AP$2:'Plus'!$AQ$5,2,0))))</f>
        <v>0</v>
      </c>
      <c r="BU146" s="123">
        <f>IF(BZ145&lt;0.01,0,IF(Plus!$F$24=Plus!$AO$3,Plus!$G$13*Plus!$AR$2/1.16,IF(Plus!$F$10=Plus!$AK$7,0,Plus!$G$13*Plus!$AR$2/1.16)))</f>
        <v>0</v>
      </c>
      <c r="BV146" s="123">
        <f>IF(BZ145&lt;0.01,0,Plus!$BD$2)</f>
        <v>0</v>
      </c>
      <c r="BW146" s="123"/>
      <c r="BX146" s="123">
        <f t="shared" si="175"/>
        <v>0</v>
      </c>
      <c r="BY146" s="123">
        <f>IF(Plus!$F$10=Plus!$AK$3,MIN(BZ145+BQ146+BT146+BU146+BV146-BX146,CJ146),0)</f>
        <v>0</v>
      </c>
      <c r="BZ146" s="297">
        <f t="shared" si="280"/>
        <v>0</v>
      </c>
      <c r="CA146" s="74"/>
      <c r="CB146" s="74"/>
      <c r="CC146" s="413">
        <f t="shared" si="209"/>
        <v>0</v>
      </c>
      <c r="CF146" s="90">
        <f t="shared" si="210"/>
        <v>2</v>
      </c>
      <c r="CG146" s="121">
        <f t="shared" si="263"/>
        <v>0</v>
      </c>
      <c r="CI146" s="70">
        <f t="shared" si="264"/>
        <v>0</v>
      </c>
      <c r="CJ146" s="2178">
        <f t="shared" ca="1" si="211"/>
        <v>0</v>
      </c>
      <c r="CL146" s="161"/>
      <c r="CN146" s="308">
        <f t="shared" ca="1" si="176"/>
        <v>5</v>
      </c>
      <c r="CO146" s="309">
        <f t="shared" si="212"/>
        <v>0</v>
      </c>
      <c r="CP146" s="268">
        <f t="shared" si="177"/>
        <v>0</v>
      </c>
      <c r="CQ146" s="123">
        <f t="shared" si="213"/>
        <v>0</v>
      </c>
      <c r="CR146" s="123">
        <f t="shared" si="289"/>
        <v>0</v>
      </c>
      <c r="CS146" s="123">
        <f t="shared" si="290"/>
        <v>0</v>
      </c>
      <c r="CT146" s="33">
        <f>IF(CZ145&lt;0.01,0,IF(Plus!$F$22=Plus!$AN$4,0,IF(Plus!$F$22=Plus!$AN$3,CZ145*Plus!$F$23/1000,CZ145*VLOOKUP(Plus!$G$21,Plus!$AP$2:'Plus'!$AQ$5,2,0))))</f>
        <v>0</v>
      </c>
      <c r="CU146" s="123">
        <f>IF(CZ145&lt;0.01,0,IF(Plus!$F$24=Plus!$AO$3,0,IF(OR(Plus!$F$10=Plus!$AK$7,Plus!$F$10=Plus!$AK$13),0,Plus!$G$13*Plus!$AR$2)))</f>
        <v>0</v>
      </c>
      <c r="CV146" s="123">
        <f>IF(CZ145&lt;0.01,0,IF(OR(Plus!$F$10=Plus!$AK$7,Plus!$F$10=Plus!$AK$13),0,Plus!$BD$2*1.16))</f>
        <v>0</v>
      </c>
      <c r="CW146" s="123">
        <f>IF(CZ145&lt;0.01,0,IF(Plus!$AS$2&gt;0,CQ146*Plus!$AS$3,0))</f>
        <v>0</v>
      </c>
      <c r="CX146" s="123">
        <f t="shared" si="214"/>
        <v>0</v>
      </c>
      <c r="CY146" s="123">
        <f>IF(Plus!$F$10=Plus!$AK$3,MIN(CZ145+CQ146+CT146+CU146+CV146-CX146,DK146),0)</f>
        <v>0</v>
      </c>
      <c r="CZ146" s="297">
        <f t="shared" si="294"/>
        <v>0</v>
      </c>
      <c r="DA146" s="306">
        <f>Plus!O187</f>
        <v>0</v>
      </c>
      <c r="DB146" s="74"/>
      <c r="DC146" s="74"/>
      <c r="DD146" s="407">
        <f t="shared" si="215"/>
        <v>0</v>
      </c>
      <c r="DG146" s="90">
        <f t="shared" si="216"/>
        <v>2</v>
      </c>
      <c r="DH146" s="121">
        <f t="shared" si="265"/>
        <v>0</v>
      </c>
      <c r="DJ146" s="149">
        <f t="shared" si="266"/>
        <v>0</v>
      </c>
      <c r="DK146" s="2179">
        <f t="shared" ca="1" si="217"/>
        <v>0</v>
      </c>
      <c r="DN146" s="120">
        <f t="shared" si="267"/>
        <v>0</v>
      </c>
      <c r="DO146" s="110">
        <f t="shared" si="218"/>
        <v>0</v>
      </c>
      <c r="DP146" s="110">
        <f t="shared" si="276"/>
        <v>0</v>
      </c>
      <c r="DQ146" s="109">
        <f t="shared" si="219"/>
        <v>0</v>
      </c>
      <c r="DR146" s="109">
        <f t="shared" si="220"/>
        <v>0</v>
      </c>
      <c r="DS146" s="113">
        <f t="shared" si="221"/>
        <v>0</v>
      </c>
      <c r="DU146" s="102">
        <f t="shared" si="222"/>
        <v>0</v>
      </c>
      <c r="DV146" s="211">
        <f t="shared" si="277"/>
        <v>122</v>
      </c>
      <c r="DW146" s="212">
        <f t="shared" si="223"/>
        <v>0</v>
      </c>
      <c r="DX146" s="212">
        <f t="shared" si="178"/>
        <v>0</v>
      </c>
      <c r="DY146" s="212">
        <f t="shared" si="268"/>
        <v>0</v>
      </c>
      <c r="DZ146" s="213">
        <f t="shared" si="179"/>
        <v>1000000</v>
      </c>
      <c r="ED146" s="182"/>
      <c r="EF146" s="308">
        <f t="shared" ca="1" si="180"/>
        <v>5</v>
      </c>
      <c r="EG146" s="309">
        <f t="shared" si="224"/>
        <v>0</v>
      </c>
      <c r="EH146" s="268">
        <f t="shared" si="181"/>
        <v>0</v>
      </c>
      <c r="EI146" s="33">
        <f t="shared" si="225"/>
        <v>0</v>
      </c>
      <c r="EJ146" s="33">
        <f t="shared" si="291"/>
        <v>0</v>
      </c>
      <c r="EK146" s="33">
        <f t="shared" si="297"/>
        <v>0</v>
      </c>
      <c r="EL146" s="33">
        <f>IF(ER145&lt;0.01,0,IF(Plus!$F$22=Plus!$AN$4,0,IF(Plus!$F$22=Plus!$AN$3,ER145*Plus!$F$23/1000,ER145*VLOOKUP(Plus!$G$21,Plus!$AP$2:'Plus'!$AQ$5,2,0))))</f>
        <v>0</v>
      </c>
      <c r="EM146" s="33">
        <f>IF(ER145&lt;0.01,0,IF(Plus!$F$24=Plus!$AO$3,0,IF(OR(Plus!$F$10=Plus!$AK$7,Plus!$F$10=Plus!$AK$13),0,Plus!$G$13*Plus!$AR$2)))</f>
        <v>0</v>
      </c>
      <c r="EN146" s="33">
        <f>IF(ER145&lt;0.01,0,IF(OR(Plus!$F$10=Plus!$AK$7,Plus!$F$10=Plus!$AK$13),0,Plus!$BD$2*1.16))</f>
        <v>0</v>
      </c>
      <c r="EO146" s="33">
        <f>IF(ER145&lt;0.01,0,IF(Plus!$AS$2&gt;0,EI146*Plus!$AS$3,0))</f>
        <v>0</v>
      </c>
      <c r="EP146" s="33">
        <f t="shared" si="226"/>
        <v>0</v>
      </c>
      <c r="EQ146" s="33">
        <f>IF(Plus!$F$10=Plus!$AK$3,MIN(ER145+EI146+EL146+EM146+EN146-EP146,FC146),0)</f>
        <v>0</v>
      </c>
      <c r="ER146" s="311">
        <f t="shared" si="285"/>
        <v>0</v>
      </c>
      <c r="ES146" s="340">
        <f>Plus!O187</f>
        <v>0</v>
      </c>
      <c r="ET146" s="74"/>
      <c r="EU146" s="74"/>
      <c r="EV146" s="416">
        <f t="shared" si="281"/>
        <v>0</v>
      </c>
      <c r="EY146" s="90">
        <f t="shared" si="227"/>
        <v>2</v>
      </c>
      <c r="EZ146" s="121">
        <f t="shared" si="269"/>
        <v>0</v>
      </c>
      <c r="FB146" s="149">
        <f t="shared" si="270"/>
        <v>0</v>
      </c>
      <c r="FC146" s="2179">
        <f t="shared" ca="1" si="228"/>
        <v>0</v>
      </c>
      <c r="FE146" s="120">
        <f t="shared" si="271"/>
        <v>0</v>
      </c>
      <c r="FF146" s="110">
        <f t="shared" si="229"/>
        <v>0</v>
      </c>
      <c r="FG146" s="110">
        <f t="shared" si="230"/>
        <v>0</v>
      </c>
      <c r="FH146" s="109">
        <f t="shared" si="231"/>
        <v>0</v>
      </c>
      <c r="FI146" s="109">
        <f t="shared" si="182"/>
        <v>0</v>
      </c>
      <c r="FJ146" s="113">
        <f t="shared" si="232"/>
        <v>0</v>
      </c>
      <c r="FL146" s="102">
        <f t="shared" si="233"/>
        <v>0</v>
      </c>
      <c r="FM146" s="211">
        <f t="shared" si="278"/>
        <v>122</v>
      </c>
      <c r="FN146" s="212">
        <f t="shared" si="234"/>
        <v>0</v>
      </c>
      <c r="FO146" s="212">
        <f t="shared" si="183"/>
        <v>0</v>
      </c>
      <c r="FP146" s="212">
        <f t="shared" ref="FP146:FP156" si="306">MIN(FQ145+FN146,FP145)</f>
        <v>0</v>
      </c>
      <c r="FQ146" s="213">
        <f t="shared" si="184"/>
        <v>1000000</v>
      </c>
      <c r="FV146" s="359"/>
      <c r="FX146" s="308">
        <f t="shared" ca="1" si="185"/>
        <v>5</v>
      </c>
      <c r="FY146" s="309">
        <f t="shared" si="235"/>
        <v>0</v>
      </c>
      <c r="FZ146" s="268">
        <f t="shared" si="186"/>
        <v>0</v>
      </c>
      <c r="GA146" s="33">
        <f t="shared" si="236"/>
        <v>0</v>
      </c>
      <c r="GB146" s="33">
        <f t="shared" si="292"/>
        <v>0</v>
      </c>
      <c r="GC146" s="33">
        <f t="shared" si="293"/>
        <v>0</v>
      </c>
      <c r="GD146" s="33">
        <f>IF(GJ145&lt;0.01,0,IF(Plus!$F$22=Plus!$AN$4,0,IF(Plus!$F$22=Plus!$AN$3,GJ145*Plus!$F$23/1000,GJ145*VLOOKUP(Plus!$G$21,Plus!$AP$2:$AQ$5,2,0))))</f>
        <v>0</v>
      </c>
      <c r="GE146" s="33">
        <f>IF(GJ145&lt;0.01,0,IF(Plus!$F$24=Plus!$AO$3,0,IF(OR(Plus!$F$10=Plus!$AK$7,Plus!$F$10=Plus!$AK$13,Plus!$F$10=Plus!$AK$14),0,IF(OR(Plus!$F$10=Plus!$AK$10,Plus!$F$10=Plus!$AK$11),Plus!$G$13*Adm!$W$7,Plus!$G$13*Adm!$X$4))))</f>
        <v>0</v>
      </c>
      <c r="GF146" s="33">
        <f>IF(GJ145&lt;0.01,0,IF(OR(Plus!$F$10=Plus!$AK$7,Plus!$F$10=Plus!$AK$13),0,Plus!$BD$2*1.16))</f>
        <v>0</v>
      </c>
      <c r="GG146" s="33">
        <f>IF(GJ145&lt;0.01,0,IF(Plus!$AS$2&gt;0,GA146*Plus!$AS$3,0))</f>
        <v>0</v>
      </c>
      <c r="GH146" s="33">
        <f t="shared" si="237"/>
        <v>0</v>
      </c>
      <c r="GI146" s="33">
        <f>IF(Plus!$F$10=Plus!$AK$3,MIN(GJ145+GA146+GD146+GE146+GF146-GH146,GU146),0)</f>
        <v>0</v>
      </c>
      <c r="GJ146" s="311">
        <f t="shared" si="286"/>
        <v>0</v>
      </c>
      <c r="GK146" s="340">
        <f>Plus!O187</f>
        <v>0</v>
      </c>
      <c r="GL146" s="74"/>
      <c r="GM146" s="74"/>
      <c r="GN146" s="419">
        <f t="shared" si="283"/>
        <v>0</v>
      </c>
      <c r="GQ146" s="90">
        <f t="shared" si="238"/>
        <v>2</v>
      </c>
      <c r="GR146" s="121">
        <f t="shared" si="272"/>
        <v>0</v>
      </c>
      <c r="GT146" s="149">
        <f t="shared" si="273"/>
        <v>0</v>
      </c>
      <c r="GU146" s="2179">
        <f t="shared" ca="1" si="239"/>
        <v>0</v>
      </c>
      <c r="GW146" s="120">
        <f t="shared" si="274"/>
        <v>0</v>
      </c>
      <c r="GX146" s="110">
        <f t="shared" si="240"/>
        <v>0</v>
      </c>
      <c r="GY146" s="110">
        <f t="shared" si="241"/>
        <v>0</v>
      </c>
      <c r="GZ146" s="109">
        <f t="shared" si="242"/>
        <v>0</v>
      </c>
      <c r="HA146" s="109">
        <f t="shared" si="187"/>
        <v>0</v>
      </c>
      <c r="HB146" s="113">
        <f t="shared" si="243"/>
        <v>0</v>
      </c>
      <c r="HD146" s="102">
        <f t="shared" si="244"/>
        <v>0</v>
      </c>
      <c r="HE146" s="211">
        <f t="shared" si="279"/>
        <v>122</v>
      </c>
      <c r="HF146" s="212">
        <f t="shared" si="245"/>
        <v>0</v>
      </c>
      <c r="HG146" s="212">
        <f t="shared" si="188"/>
        <v>0</v>
      </c>
      <c r="HH146" s="212">
        <f t="shared" ref="HH146:HH156" si="307">MIN(HI145+HF146,HH145)</f>
        <v>0</v>
      </c>
      <c r="HI146" s="213">
        <f t="shared" si="189"/>
        <v>1000000</v>
      </c>
      <c r="HL146" s="182"/>
      <c r="HM146" s="26">
        <f t="shared" ca="1" si="190"/>
        <v>5</v>
      </c>
      <c r="HO146" s="268">
        <f t="shared" si="191"/>
        <v>0</v>
      </c>
      <c r="HP146" s="151">
        <f t="shared" si="302"/>
        <v>0</v>
      </c>
      <c r="HQ146" s="123">
        <f t="shared" si="246"/>
        <v>0</v>
      </c>
      <c r="HR146" s="123">
        <f t="shared" si="247"/>
        <v>0</v>
      </c>
      <c r="HS146" s="123">
        <f t="shared" si="248"/>
        <v>0</v>
      </c>
      <c r="HT146" s="123">
        <f>IF(HY145&lt;0.01,0,IF(Adm!$GS$4=Adm!$GS$8,HY145*$HY$15,IF(Adm!$GS$12=Adm!$GS$13,0,HY145*Adm!$GV$4)))</f>
        <v>0</v>
      </c>
      <c r="HU146" s="123">
        <f>IF(HY145&lt;0.01,0,IF(Adm!$GS$5=Adm!$GS$8,Cal!$BO$108*$HY$16/1.16,IF(Adm!$GS$12=Adm!$GS$13,0,Cal!$BO$108*Adm!$GW$4/1.16)))</f>
        <v>0</v>
      </c>
      <c r="HV146" s="123">
        <f t="shared" si="249"/>
        <v>0</v>
      </c>
      <c r="HW146" s="123">
        <f t="shared" si="192"/>
        <v>0</v>
      </c>
      <c r="HX146" s="123">
        <f>IF(Adm!$GH$6="si",MIN(HY145+HQ146+HT146+HU146+HV146-HW146,IH146),0)</f>
        <v>0</v>
      </c>
      <c r="HY146" s="297">
        <f t="shared" si="250"/>
        <v>0</v>
      </c>
      <c r="HZ146" s="74"/>
      <c r="IA146" s="407">
        <f t="shared" si="251"/>
        <v>0</v>
      </c>
      <c r="IC146" s="90">
        <f t="shared" si="252"/>
        <v>2</v>
      </c>
      <c r="ID146" s="124">
        <f>IF(IC146=1,Cal!$BO$127,0)</f>
        <v>0</v>
      </c>
      <c r="IE146" s="178">
        <f>IF(IC146=1,Adm!$HI$4,0)</f>
        <v>0</v>
      </c>
      <c r="IG146" s="70">
        <f t="shared" si="275"/>
        <v>0</v>
      </c>
      <c r="IH146" s="2178">
        <f t="shared" ca="1" si="253"/>
        <v>0</v>
      </c>
      <c r="IK146" s="217"/>
      <c r="IL146" s="26">
        <f t="shared" ca="1" si="193"/>
        <v>5</v>
      </c>
      <c r="IN146" s="268">
        <f t="shared" si="194"/>
        <v>0</v>
      </c>
      <c r="IO146" s="151">
        <f t="shared" si="303"/>
        <v>0</v>
      </c>
      <c r="IP146" s="123">
        <f t="shared" si="254"/>
        <v>0</v>
      </c>
      <c r="IQ146" s="123">
        <f t="shared" si="255"/>
        <v>0</v>
      </c>
      <c r="IR146" s="123">
        <f t="shared" si="256"/>
        <v>0</v>
      </c>
      <c r="IS146" s="123">
        <f>IF(IX145&lt;0.01,0,IF(Adm!$GS$4=Adm!$GS$8,IX145*$IX$15,IF(Adm!$GS$12=Adm!$GS$13,0,IX145*Adm!$GV$4)))</f>
        <v>0</v>
      </c>
      <c r="IT146" s="123"/>
      <c r="IU146" s="123">
        <f t="shared" si="257"/>
        <v>0</v>
      </c>
      <c r="IV146" s="123">
        <f t="shared" si="258"/>
        <v>0</v>
      </c>
      <c r="IW146" s="123"/>
      <c r="IX146" s="297">
        <f t="shared" si="259"/>
        <v>0</v>
      </c>
      <c r="IY146" s="74"/>
      <c r="IZ146" s="416">
        <f t="shared" si="260"/>
        <v>0</v>
      </c>
      <c r="JB146" s="90">
        <f t="shared" si="261"/>
        <v>2</v>
      </c>
      <c r="JC146" s="124">
        <f>IF(JB146=1,Cal!$BP$127,0)</f>
        <v>0</v>
      </c>
      <c r="JD146" s="178">
        <f>IF(JB146=1,Adm!$HI$4,0)</f>
        <v>0</v>
      </c>
    </row>
    <row r="147" spans="1:264">
      <c r="A147" s="26">
        <f t="shared" ca="1" si="162"/>
        <v>6</v>
      </c>
      <c r="C147" s="33">
        <f t="shared" si="163"/>
        <v>0</v>
      </c>
      <c r="D147" s="123">
        <f t="shared" si="195"/>
        <v>0</v>
      </c>
      <c r="E147" s="123">
        <f t="shared" si="287"/>
        <v>0</v>
      </c>
      <c r="F147" s="123">
        <f t="shared" si="295"/>
        <v>0</v>
      </c>
      <c r="G147" s="123">
        <f>IF(L146&lt;0.01,0,IF(Adm!$S$4=Adm!$S$8,L146*$L$15,L146*Adm!$V$4))</f>
        <v>0</v>
      </c>
      <c r="H147" s="123">
        <f>IF(L146&lt;0.01,0,IF(Adm!$S$5=Adm!$S$8,Adm!$AA$11*$L$16/1.16,IF(Adm!$B$4=Adm!$A$119,0,Adm!$AA$11*Adm!$X$4/1.16)))</f>
        <v>0</v>
      </c>
      <c r="I147" s="123">
        <f>IF(L146&lt;0.01,0,Cal!$AB$126/1.16)</f>
        <v>0</v>
      </c>
      <c r="J147" s="123">
        <f t="shared" si="164"/>
        <v>0</v>
      </c>
      <c r="K147" s="123">
        <f>IF(Adm!$G$4="si",MIN(L146+D147+G147+H147+I147-J147,V147),0)</f>
        <v>0</v>
      </c>
      <c r="L147" s="123">
        <f t="shared" si="196"/>
        <v>0</v>
      </c>
      <c r="M147" s="74"/>
      <c r="N147" s="74"/>
      <c r="O147" s="407">
        <f t="shared" si="197"/>
        <v>0</v>
      </c>
      <c r="R147" s="90">
        <f t="shared" si="198"/>
        <v>3</v>
      </c>
      <c r="S147" s="121">
        <f>IF(R147=1,Cal!$AB$127,0)</f>
        <v>0</v>
      </c>
      <c r="U147" s="70">
        <f t="shared" si="262"/>
        <v>0</v>
      </c>
      <c r="V147" s="2178">
        <f t="shared" ca="1" si="199"/>
        <v>0</v>
      </c>
      <c r="X147" s="398"/>
      <c r="Z147" s="268">
        <f t="shared" si="165"/>
        <v>0</v>
      </c>
      <c r="AA147" s="2176">
        <f t="shared" si="200"/>
        <v>0</v>
      </c>
      <c r="AB147" s="33">
        <f t="shared" si="201"/>
        <v>0</v>
      </c>
      <c r="AC147" s="33">
        <f t="shared" si="202"/>
        <v>0</v>
      </c>
      <c r="AD147" s="33">
        <f>IF(AI146&lt;0.01,0,IF(Adm!$S$4=Adm!$S$8,AI146*$AI$15,AI146*Adm!$V$4))</f>
        <v>0</v>
      </c>
      <c r="AE147" s="33"/>
      <c r="AF147" s="33"/>
      <c r="AG147" s="33">
        <f t="shared" si="166"/>
        <v>0</v>
      </c>
      <c r="AH147" s="33"/>
      <c r="AI147" s="401">
        <f t="shared" si="167"/>
        <v>0</v>
      </c>
      <c r="AK147" s="410">
        <f t="shared" si="168"/>
        <v>0</v>
      </c>
      <c r="AN147" s="90">
        <f t="shared" si="203"/>
        <v>3</v>
      </c>
      <c r="AO147" s="121">
        <f>IF(AN147=1,Cal!$AC$127,0)</f>
        <v>0</v>
      </c>
      <c r="AS147" s="200"/>
      <c r="AU147" s="268">
        <f t="shared" si="169"/>
        <v>0</v>
      </c>
      <c r="AV147" s="2177">
        <f t="shared" si="204"/>
        <v>0</v>
      </c>
      <c r="AW147" s="123">
        <f t="shared" si="170"/>
        <v>0</v>
      </c>
      <c r="AX147" s="123">
        <f t="shared" si="205"/>
        <v>0</v>
      </c>
      <c r="AY147" s="123">
        <f>IF(BC146&lt;0.01,0,IF(Adm!$S$4=Adm!$S$8,BC146*$BC$16,BC146*Adm!$V$4))</f>
        <v>0</v>
      </c>
      <c r="AZ147" s="123"/>
      <c r="BA147" s="123">
        <f>IF(BC146&lt;0.01,0,Adm!$Q$6)</f>
        <v>0</v>
      </c>
      <c r="BB147" s="123">
        <f t="shared" si="171"/>
        <v>0</v>
      </c>
      <c r="BC147" s="297">
        <f t="shared" si="206"/>
        <v>0</v>
      </c>
      <c r="BE147" s="425">
        <f t="shared" si="172"/>
        <v>0</v>
      </c>
      <c r="BH147" s="90">
        <f t="shared" si="207"/>
        <v>3</v>
      </c>
      <c r="BI147" s="121">
        <f>IF(BH147=1,Cal!$AD$127,0)</f>
        <v>0</v>
      </c>
      <c r="BM147" s="221"/>
      <c r="BO147" s="295">
        <f t="shared" ca="1" si="173"/>
        <v>6</v>
      </c>
      <c r="BP147" s="268">
        <f t="shared" si="174"/>
        <v>0</v>
      </c>
      <c r="BQ147" s="123">
        <f t="shared" si="208"/>
        <v>0</v>
      </c>
      <c r="BR147" s="123">
        <f t="shared" si="288"/>
        <v>0</v>
      </c>
      <c r="BS147" s="123">
        <f t="shared" si="296"/>
        <v>0</v>
      </c>
      <c r="BT147" s="123">
        <f>IF(BZ146&lt;0.01,0,IF(Plus!$F$22=Plus!$AN$4,BZ146*$BZ$15,IF(Plus!$F$22=Plus!$AN$3,BZ146*Plus!$F$23/1000,BZ146*VLOOKUP(Plus!$G$21,Plus!$AP$2:'Plus'!$AQ$5,2,0))))</f>
        <v>0</v>
      </c>
      <c r="BU147" s="123">
        <f>IF(BZ146&lt;0.01,0,IF(Plus!$F$24=Plus!$AO$3,Plus!$G$13*Plus!$AR$2/1.16,IF(Plus!$F$10=Plus!$AK$7,0,Plus!$G$13*Plus!$AR$2/1.16)))</f>
        <v>0</v>
      </c>
      <c r="BV147" s="123">
        <f>IF(BZ146&lt;0.01,0,Plus!$BD$2)</f>
        <v>0</v>
      </c>
      <c r="BW147" s="123"/>
      <c r="BX147" s="123">
        <f t="shared" si="175"/>
        <v>0</v>
      </c>
      <c r="BY147" s="123">
        <f>IF(Plus!$F$10=Plus!$AK$3,MIN(BZ146+BQ147+BT147+BU147+BV147-BX147,CJ147),0)</f>
        <v>0</v>
      </c>
      <c r="BZ147" s="297">
        <f t="shared" si="280"/>
        <v>0</v>
      </c>
      <c r="CA147" s="74"/>
      <c r="CB147" s="74"/>
      <c r="CC147" s="413">
        <f t="shared" si="209"/>
        <v>0</v>
      </c>
      <c r="CF147" s="90">
        <f t="shared" si="210"/>
        <v>3</v>
      </c>
      <c r="CG147" s="121">
        <f t="shared" si="263"/>
        <v>0</v>
      </c>
      <c r="CI147" s="70">
        <f t="shared" si="264"/>
        <v>0</v>
      </c>
      <c r="CJ147" s="2178">
        <f t="shared" ca="1" si="211"/>
        <v>0</v>
      </c>
      <c r="CL147" s="161"/>
      <c r="CN147" s="308">
        <f t="shared" ca="1" si="176"/>
        <v>6</v>
      </c>
      <c r="CO147" s="309">
        <f t="shared" si="212"/>
        <v>0</v>
      </c>
      <c r="CP147" s="268">
        <f t="shared" si="177"/>
        <v>0</v>
      </c>
      <c r="CQ147" s="123">
        <f t="shared" si="213"/>
        <v>0</v>
      </c>
      <c r="CR147" s="123">
        <f t="shared" si="289"/>
        <v>0</v>
      </c>
      <c r="CS147" s="123">
        <f t="shared" si="290"/>
        <v>0</v>
      </c>
      <c r="CT147" s="33">
        <f>IF(CZ146&lt;0.01,0,IF(Plus!$F$22=Plus!$AN$4,0,IF(Plus!$F$22=Plus!$AN$3,CZ146*Plus!$F$23/1000,CZ146*VLOOKUP(Plus!$G$21,Plus!$AP$2:'Plus'!$AQ$5,2,0))))</f>
        <v>0</v>
      </c>
      <c r="CU147" s="123">
        <f>IF(CZ146&lt;0.01,0,IF(Plus!$F$24=Plus!$AO$3,0,IF(OR(Plus!$F$10=Plus!$AK$7,Plus!$F$10=Plus!$AK$13),0,Plus!$G$13*Plus!$AR$2)))</f>
        <v>0</v>
      </c>
      <c r="CV147" s="123">
        <f>IF(CZ146&lt;0.01,0,IF(OR(Plus!$F$10=Plus!$AK$7,Plus!$F$10=Plus!$AK$13),0,Plus!$BD$2*1.16))</f>
        <v>0</v>
      </c>
      <c r="CW147" s="123">
        <f>IF(CZ146&lt;0.01,0,IF(Plus!$AS$2&gt;0,CQ147*Plus!$AS$3,0))</f>
        <v>0</v>
      </c>
      <c r="CX147" s="123">
        <f t="shared" si="214"/>
        <v>0</v>
      </c>
      <c r="CY147" s="123">
        <f>IF(Plus!$F$10=Plus!$AK$3,MIN(CZ146+CQ147+CT147+CU147+CV147-CX147,DK147),0)</f>
        <v>0</v>
      </c>
      <c r="CZ147" s="297">
        <f t="shared" si="294"/>
        <v>0</v>
      </c>
      <c r="DA147" s="306">
        <f>Plus!O188</f>
        <v>0</v>
      </c>
      <c r="DB147" s="74"/>
      <c r="DC147" s="74"/>
      <c r="DD147" s="407">
        <f t="shared" si="215"/>
        <v>0</v>
      </c>
      <c r="DG147" s="90">
        <f t="shared" si="216"/>
        <v>3</v>
      </c>
      <c r="DH147" s="121">
        <f t="shared" si="265"/>
        <v>0</v>
      </c>
      <c r="DJ147" s="149">
        <f t="shared" si="266"/>
        <v>0</v>
      </c>
      <c r="DK147" s="2179">
        <f t="shared" ca="1" si="217"/>
        <v>0</v>
      </c>
      <c r="DN147" s="120">
        <f t="shared" si="267"/>
        <v>0</v>
      </c>
      <c r="DO147" s="110">
        <f t="shared" si="218"/>
        <v>0</v>
      </c>
      <c r="DP147" s="110">
        <f t="shared" si="276"/>
        <v>0</v>
      </c>
      <c r="DQ147" s="109">
        <f t="shared" si="219"/>
        <v>0</v>
      </c>
      <c r="DR147" s="109">
        <f t="shared" si="220"/>
        <v>0</v>
      </c>
      <c r="DS147" s="113">
        <f t="shared" si="221"/>
        <v>0</v>
      </c>
      <c r="DU147" s="102">
        <f t="shared" si="222"/>
        <v>0</v>
      </c>
      <c r="DV147" s="211">
        <f t="shared" si="277"/>
        <v>123</v>
      </c>
      <c r="DW147" s="212">
        <f t="shared" si="223"/>
        <v>0</v>
      </c>
      <c r="DX147" s="212">
        <f t="shared" si="178"/>
        <v>0</v>
      </c>
      <c r="DY147" s="212">
        <f t="shared" si="268"/>
        <v>0</v>
      </c>
      <c r="DZ147" s="213">
        <f t="shared" si="179"/>
        <v>1000000</v>
      </c>
      <c r="ED147" s="182"/>
      <c r="EF147" s="308">
        <f t="shared" ca="1" si="180"/>
        <v>6</v>
      </c>
      <c r="EG147" s="309">
        <f t="shared" si="224"/>
        <v>0</v>
      </c>
      <c r="EH147" s="268">
        <f t="shared" si="181"/>
        <v>0</v>
      </c>
      <c r="EI147" s="33">
        <f t="shared" si="225"/>
        <v>0</v>
      </c>
      <c r="EJ147" s="33">
        <f t="shared" si="291"/>
        <v>0</v>
      </c>
      <c r="EK147" s="33">
        <f t="shared" si="297"/>
        <v>0</v>
      </c>
      <c r="EL147" s="33">
        <f>IF(ER146&lt;0.01,0,IF(Plus!$F$22=Plus!$AN$4,0,IF(Plus!$F$22=Plus!$AN$3,ER146*Plus!$F$23/1000,ER146*VLOOKUP(Plus!$G$21,Plus!$AP$2:'Plus'!$AQ$5,2,0))))</f>
        <v>0</v>
      </c>
      <c r="EM147" s="33">
        <f>IF(ER146&lt;0.01,0,IF(Plus!$F$24=Plus!$AO$3,0,IF(OR(Plus!$F$10=Plus!$AK$7,Plus!$F$10=Plus!$AK$13),0,Plus!$G$13*Plus!$AR$2)))</f>
        <v>0</v>
      </c>
      <c r="EN147" s="33">
        <f>IF(ER146&lt;0.01,0,IF(OR(Plus!$F$10=Plus!$AK$7,Plus!$F$10=Plus!$AK$13),0,Plus!$BD$2*1.16))</f>
        <v>0</v>
      </c>
      <c r="EO147" s="33">
        <f>IF(ER146&lt;0.01,0,IF(Plus!$AS$2&gt;0,EI147*Plus!$AS$3,0))</f>
        <v>0</v>
      </c>
      <c r="EP147" s="33">
        <f t="shared" si="226"/>
        <v>0</v>
      </c>
      <c r="EQ147" s="33">
        <f>IF(Plus!$F$10=Plus!$AK$3,MIN(ER146+EI147+EL147+EM147+EN147-EP147,FC147),0)</f>
        <v>0</v>
      </c>
      <c r="ER147" s="311">
        <f t="shared" si="285"/>
        <v>0</v>
      </c>
      <c r="ES147" s="340">
        <f>Plus!O188</f>
        <v>0</v>
      </c>
      <c r="ET147" s="74"/>
      <c r="EU147" s="74"/>
      <c r="EV147" s="416">
        <f t="shared" si="281"/>
        <v>0</v>
      </c>
      <c r="EY147" s="90">
        <f t="shared" si="227"/>
        <v>3</v>
      </c>
      <c r="EZ147" s="121">
        <f t="shared" si="269"/>
        <v>0</v>
      </c>
      <c r="FB147" s="149">
        <f t="shared" si="270"/>
        <v>0</v>
      </c>
      <c r="FC147" s="2179">
        <f t="shared" ca="1" si="228"/>
        <v>0</v>
      </c>
      <c r="FE147" s="120">
        <f t="shared" si="271"/>
        <v>0</v>
      </c>
      <c r="FF147" s="110">
        <f t="shared" si="229"/>
        <v>0</v>
      </c>
      <c r="FG147" s="110">
        <f t="shared" si="230"/>
        <v>0</v>
      </c>
      <c r="FH147" s="109">
        <f t="shared" si="231"/>
        <v>0</v>
      </c>
      <c r="FI147" s="109">
        <f t="shared" si="182"/>
        <v>0</v>
      </c>
      <c r="FJ147" s="113">
        <f t="shared" si="232"/>
        <v>0</v>
      </c>
      <c r="FL147" s="102">
        <f t="shared" si="233"/>
        <v>0</v>
      </c>
      <c r="FM147" s="211">
        <f t="shared" si="278"/>
        <v>123</v>
      </c>
      <c r="FN147" s="212">
        <f t="shared" si="234"/>
        <v>0</v>
      </c>
      <c r="FO147" s="212">
        <f t="shared" si="183"/>
        <v>0</v>
      </c>
      <c r="FP147" s="212">
        <f t="shared" si="306"/>
        <v>0</v>
      </c>
      <c r="FQ147" s="213">
        <f t="shared" si="184"/>
        <v>1000000</v>
      </c>
      <c r="FV147" s="359"/>
      <c r="FX147" s="308">
        <f t="shared" ca="1" si="185"/>
        <v>6</v>
      </c>
      <c r="FY147" s="309">
        <f t="shared" si="235"/>
        <v>0</v>
      </c>
      <c r="FZ147" s="268">
        <f t="shared" si="186"/>
        <v>0</v>
      </c>
      <c r="GA147" s="33">
        <f t="shared" si="236"/>
        <v>0</v>
      </c>
      <c r="GB147" s="33">
        <f t="shared" si="292"/>
        <v>0</v>
      </c>
      <c r="GC147" s="33">
        <f t="shared" si="293"/>
        <v>0</v>
      </c>
      <c r="GD147" s="33">
        <f>IF(GJ146&lt;0.01,0,IF(Plus!$F$22=Plus!$AN$4,0,IF(Plus!$F$22=Plus!$AN$3,GJ146*Plus!$F$23/1000,GJ146*VLOOKUP(Plus!$G$21,Plus!$AP$2:$AQ$5,2,0))))</f>
        <v>0</v>
      </c>
      <c r="GE147" s="33">
        <f>IF(GJ146&lt;0.01,0,IF(Plus!$F$24=Plus!$AO$3,0,IF(OR(Plus!$F$10=Plus!$AK$7,Plus!$F$10=Plus!$AK$13,Plus!$F$10=Plus!$AK$14),0,IF(OR(Plus!$F$10=Plus!$AK$10,Plus!$F$10=Plus!$AK$11),Plus!$G$13*Adm!$W$7,Plus!$G$13*Adm!$X$4))))</f>
        <v>0</v>
      </c>
      <c r="GF147" s="33">
        <f>IF(GJ146&lt;0.01,0,IF(OR(Plus!$F$10=Plus!$AK$7,Plus!$F$10=Plus!$AK$13),0,Plus!$BD$2*1.16))</f>
        <v>0</v>
      </c>
      <c r="GG147" s="33">
        <f>IF(GJ146&lt;0.01,0,IF(Plus!$AS$2&gt;0,GA147*Plus!$AS$3,0))</f>
        <v>0</v>
      </c>
      <c r="GH147" s="33">
        <f t="shared" si="237"/>
        <v>0</v>
      </c>
      <c r="GI147" s="33">
        <f>IF(Plus!$F$10=Plus!$AK$3,MIN(GJ146+GA147+GD147+GE147+GF147-GH147,GU147),0)</f>
        <v>0</v>
      </c>
      <c r="GJ147" s="311">
        <f t="shared" si="286"/>
        <v>0</v>
      </c>
      <c r="GK147" s="340">
        <f>Plus!O188</f>
        <v>0</v>
      </c>
      <c r="GL147" s="74"/>
      <c r="GM147" s="74"/>
      <c r="GN147" s="419">
        <f t="shared" si="283"/>
        <v>0</v>
      </c>
      <c r="GQ147" s="90">
        <f t="shared" si="238"/>
        <v>3</v>
      </c>
      <c r="GR147" s="121">
        <f t="shared" si="272"/>
        <v>0</v>
      </c>
      <c r="GT147" s="149">
        <f t="shared" si="273"/>
        <v>0</v>
      </c>
      <c r="GU147" s="2179">
        <f t="shared" ca="1" si="239"/>
        <v>0</v>
      </c>
      <c r="GW147" s="120">
        <f t="shared" si="274"/>
        <v>0</v>
      </c>
      <c r="GX147" s="110">
        <f t="shared" si="240"/>
        <v>0</v>
      </c>
      <c r="GY147" s="110">
        <f t="shared" si="241"/>
        <v>0</v>
      </c>
      <c r="GZ147" s="109">
        <f t="shared" si="242"/>
        <v>0</v>
      </c>
      <c r="HA147" s="109">
        <f t="shared" si="187"/>
        <v>0</v>
      </c>
      <c r="HB147" s="113">
        <f t="shared" si="243"/>
        <v>0</v>
      </c>
      <c r="HD147" s="102">
        <f t="shared" si="244"/>
        <v>0</v>
      </c>
      <c r="HE147" s="211">
        <f t="shared" si="279"/>
        <v>123</v>
      </c>
      <c r="HF147" s="212">
        <f t="shared" si="245"/>
        <v>0</v>
      </c>
      <c r="HG147" s="212">
        <f t="shared" si="188"/>
        <v>0</v>
      </c>
      <c r="HH147" s="212">
        <f t="shared" si="307"/>
        <v>0</v>
      </c>
      <c r="HI147" s="213">
        <f t="shared" si="189"/>
        <v>1000000</v>
      </c>
      <c r="HL147" s="182"/>
      <c r="HM147" s="26">
        <f t="shared" ca="1" si="190"/>
        <v>6</v>
      </c>
      <c r="HO147" s="268">
        <f t="shared" si="191"/>
        <v>0</v>
      </c>
      <c r="HP147" s="151">
        <f t="shared" si="302"/>
        <v>0</v>
      </c>
      <c r="HQ147" s="123">
        <f t="shared" si="246"/>
        <v>0</v>
      </c>
      <c r="HR147" s="123">
        <f t="shared" si="247"/>
        <v>0</v>
      </c>
      <c r="HS147" s="123">
        <f t="shared" si="248"/>
        <v>0</v>
      </c>
      <c r="HT147" s="123">
        <f>IF(HY146&lt;0.01,0,IF(Adm!$GS$4=Adm!$GS$8,HY146*$HY$15,IF(Adm!$GS$12=Adm!$GS$13,0,HY146*Adm!$GV$4)))</f>
        <v>0</v>
      </c>
      <c r="HU147" s="123">
        <f>IF(HY146&lt;0.01,0,IF(Adm!$GS$5=Adm!$GS$8,Cal!$BO$108*$HY$16/1.16,IF(Adm!$GS$12=Adm!$GS$13,0,Cal!$BO$108*Adm!$GW$4/1.16)))</f>
        <v>0</v>
      </c>
      <c r="HV147" s="123">
        <f t="shared" si="249"/>
        <v>0</v>
      </c>
      <c r="HW147" s="123">
        <f t="shared" si="192"/>
        <v>0</v>
      </c>
      <c r="HX147" s="123">
        <f>IF(Adm!$GH$6="si",MIN(HY146+HQ147+HT147+HU147+HV147-HW147,IH147),0)</f>
        <v>0</v>
      </c>
      <c r="HY147" s="297">
        <f t="shared" si="250"/>
        <v>0</v>
      </c>
      <c r="HZ147" s="74"/>
      <c r="IA147" s="407">
        <f t="shared" si="251"/>
        <v>0</v>
      </c>
      <c r="IC147" s="90">
        <f t="shared" si="252"/>
        <v>3</v>
      </c>
      <c r="ID147" s="124">
        <f>IF(IC147=1,Cal!$BO$127,0)</f>
        <v>0</v>
      </c>
      <c r="IE147" s="178">
        <f>IF(IC147=1,Adm!$HI$4,0)</f>
        <v>0</v>
      </c>
      <c r="IG147" s="70">
        <f t="shared" si="275"/>
        <v>0</v>
      </c>
      <c r="IH147" s="2178">
        <f t="shared" ca="1" si="253"/>
        <v>0</v>
      </c>
      <c r="IK147" s="217"/>
      <c r="IL147" s="26">
        <f t="shared" ca="1" si="193"/>
        <v>6</v>
      </c>
      <c r="IN147" s="268">
        <f t="shared" si="194"/>
        <v>0</v>
      </c>
      <c r="IO147" s="151">
        <f t="shared" si="303"/>
        <v>0</v>
      </c>
      <c r="IP147" s="123">
        <f t="shared" si="254"/>
        <v>0</v>
      </c>
      <c r="IQ147" s="123">
        <f t="shared" si="255"/>
        <v>0</v>
      </c>
      <c r="IR147" s="123">
        <f t="shared" si="256"/>
        <v>0</v>
      </c>
      <c r="IS147" s="123">
        <f>IF(IX146&lt;0.01,0,IF(Adm!$GS$4=Adm!$GS$8,IX146*$IX$15,IF(Adm!$GS$12=Adm!$GS$13,0,IX146*Adm!$GV$4)))</f>
        <v>0</v>
      </c>
      <c r="IT147" s="123"/>
      <c r="IU147" s="123">
        <f t="shared" si="257"/>
        <v>0</v>
      </c>
      <c r="IV147" s="123">
        <f t="shared" si="258"/>
        <v>0</v>
      </c>
      <c r="IW147" s="123"/>
      <c r="IX147" s="297">
        <f t="shared" si="259"/>
        <v>0</v>
      </c>
      <c r="IY147" s="74"/>
      <c r="IZ147" s="416">
        <f t="shared" si="260"/>
        <v>0</v>
      </c>
      <c r="JB147" s="90">
        <f t="shared" si="261"/>
        <v>3</v>
      </c>
      <c r="JC147" s="124">
        <f>IF(JB147=1,Cal!$BP$127,0)</f>
        <v>0</v>
      </c>
      <c r="JD147" s="178">
        <f>IF(JB147=1,Adm!$HI$4,0)</f>
        <v>0</v>
      </c>
    </row>
    <row r="148" spans="1:264">
      <c r="A148" s="26">
        <f t="shared" ca="1" si="162"/>
        <v>7</v>
      </c>
      <c r="C148" s="33">
        <f t="shared" si="163"/>
        <v>0</v>
      </c>
      <c r="D148" s="123">
        <f t="shared" si="195"/>
        <v>0</v>
      </c>
      <c r="E148" s="123">
        <f t="shared" si="287"/>
        <v>0</v>
      </c>
      <c r="F148" s="123">
        <f t="shared" si="295"/>
        <v>0</v>
      </c>
      <c r="G148" s="123">
        <f>IF(L147&lt;0.01,0,IF(Adm!$S$4=Adm!$S$8,L147*$L$15,L147*Adm!$V$4))</f>
        <v>0</v>
      </c>
      <c r="H148" s="123">
        <f>IF(L147&lt;0.01,0,IF(Adm!$S$5=Adm!$S$8,Adm!$AA$11*$L$16/1.16,IF(Adm!$B$4=Adm!$A$119,0,Adm!$AA$11*Adm!$X$4/1.16)))</f>
        <v>0</v>
      </c>
      <c r="I148" s="123">
        <f>IF(L147&lt;0.01,0,Cal!$AB$126/1.16)</f>
        <v>0</v>
      </c>
      <c r="J148" s="123">
        <f t="shared" si="164"/>
        <v>0</v>
      </c>
      <c r="K148" s="123">
        <f>IF(Adm!$G$4="si",MIN(L147+D148+G148+H148+I148-J148,V148),0)</f>
        <v>0</v>
      </c>
      <c r="L148" s="123">
        <f t="shared" si="196"/>
        <v>0</v>
      </c>
      <c r="M148" s="74"/>
      <c r="N148" s="74"/>
      <c r="O148" s="407">
        <f t="shared" si="197"/>
        <v>0</v>
      </c>
      <c r="R148" s="90">
        <f t="shared" si="198"/>
        <v>4</v>
      </c>
      <c r="S148" s="121">
        <f>IF(R148=1,Cal!$AB$127,0)</f>
        <v>0</v>
      </c>
      <c r="U148" s="70">
        <f t="shared" si="262"/>
        <v>0</v>
      </c>
      <c r="V148" s="2178">
        <f t="shared" ca="1" si="199"/>
        <v>0</v>
      </c>
      <c r="X148" s="398"/>
      <c r="Z148" s="268">
        <f t="shared" si="165"/>
        <v>0</v>
      </c>
      <c r="AA148" s="2176">
        <f t="shared" si="200"/>
        <v>0</v>
      </c>
      <c r="AB148" s="33">
        <f t="shared" si="201"/>
        <v>0</v>
      </c>
      <c r="AC148" s="33">
        <f t="shared" si="202"/>
        <v>0</v>
      </c>
      <c r="AD148" s="33">
        <f>IF(AI147&lt;0.01,0,IF(Adm!$S$4=Adm!$S$8,AI147*$AI$15,AI147*Adm!$V$4))</f>
        <v>0</v>
      </c>
      <c r="AE148" s="33"/>
      <c r="AF148" s="33"/>
      <c r="AG148" s="33">
        <f t="shared" si="166"/>
        <v>0</v>
      </c>
      <c r="AH148" s="33"/>
      <c r="AI148" s="401">
        <f t="shared" si="167"/>
        <v>0</v>
      </c>
      <c r="AK148" s="410">
        <f t="shared" si="168"/>
        <v>0</v>
      </c>
      <c r="AN148" s="90">
        <f t="shared" si="203"/>
        <v>4</v>
      </c>
      <c r="AO148" s="121">
        <f>IF(AN148=1,Cal!$AC$127,0)</f>
        <v>0</v>
      </c>
      <c r="AS148" s="200"/>
      <c r="AU148" s="268">
        <f t="shared" si="169"/>
        <v>0</v>
      </c>
      <c r="AV148" s="2177">
        <f t="shared" si="204"/>
        <v>0</v>
      </c>
      <c r="AW148" s="123">
        <f t="shared" si="170"/>
        <v>0</v>
      </c>
      <c r="AX148" s="123">
        <f t="shared" si="205"/>
        <v>0</v>
      </c>
      <c r="AY148" s="123">
        <f>IF(BC147&lt;0.01,0,IF(Adm!$S$4=Adm!$S$8,BC147*$BC$16,BC147*Adm!$V$4))</f>
        <v>0</v>
      </c>
      <c r="AZ148" s="123"/>
      <c r="BA148" s="123">
        <f>IF(BC147&lt;0.01,0,Adm!$Q$6)</f>
        <v>0</v>
      </c>
      <c r="BB148" s="123">
        <f t="shared" si="171"/>
        <v>0</v>
      </c>
      <c r="BC148" s="297">
        <f t="shared" si="206"/>
        <v>0</v>
      </c>
      <c r="BE148" s="425">
        <f t="shared" si="172"/>
        <v>0</v>
      </c>
      <c r="BH148" s="90">
        <f t="shared" si="207"/>
        <v>4</v>
      </c>
      <c r="BI148" s="121">
        <f>IF(BH148=1,Cal!$AD$127,0)</f>
        <v>0</v>
      </c>
      <c r="BM148" s="221"/>
      <c r="BO148" s="295">
        <f t="shared" ca="1" si="173"/>
        <v>7</v>
      </c>
      <c r="BP148" s="268">
        <f t="shared" si="174"/>
        <v>0</v>
      </c>
      <c r="BQ148" s="123">
        <f t="shared" si="208"/>
        <v>0</v>
      </c>
      <c r="BR148" s="123">
        <f t="shared" si="288"/>
        <v>0</v>
      </c>
      <c r="BS148" s="123">
        <f t="shared" si="296"/>
        <v>0</v>
      </c>
      <c r="BT148" s="123">
        <f>IF(BZ147&lt;0.01,0,IF(Plus!$F$22=Plus!$AN$4,BZ147*$BZ$15,IF(Plus!$F$22=Plus!$AN$3,BZ147*Plus!$F$23/1000,BZ147*VLOOKUP(Plus!$G$21,Plus!$AP$2:'Plus'!$AQ$5,2,0))))</f>
        <v>0</v>
      </c>
      <c r="BU148" s="123">
        <f>IF(BZ147&lt;0.01,0,IF(Plus!$F$24=Plus!$AO$3,Plus!$G$13*Plus!$AR$2/1.16,IF(Plus!$F$10=Plus!$AK$7,0,Plus!$G$13*Plus!$AR$2/1.16)))</f>
        <v>0</v>
      </c>
      <c r="BV148" s="123">
        <f>IF(BZ147&lt;0.01,0,Plus!$BD$2)</f>
        <v>0</v>
      </c>
      <c r="BW148" s="123"/>
      <c r="BX148" s="123">
        <f t="shared" si="175"/>
        <v>0</v>
      </c>
      <c r="BY148" s="123">
        <f>IF(Plus!$F$10=Plus!$AK$3,MIN(BZ147+BQ148+BT148+BU148+BV148-BX148,CJ148),0)</f>
        <v>0</v>
      </c>
      <c r="BZ148" s="297">
        <f t="shared" si="280"/>
        <v>0</v>
      </c>
      <c r="CA148" s="74"/>
      <c r="CB148" s="74"/>
      <c r="CC148" s="413">
        <f t="shared" si="209"/>
        <v>0</v>
      </c>
      <c r="CF148" s="90">
        <f t="shared" si="210"/>
        <v>4</v>
      </c>
      <c r="CG148" s="121">
        <f t="shared" si="263"/>
        <v>0</v>
      </c>
      <c r="CI148" s="70">
        <f t="shared" si="264"/>
        <v>0</v>
      </c>
      <c r="CJ148" s="2178">
        <f t="shared" ca="1" si="211"/>
        <v>0</v>
      </c>
      <c r="CL148" s="161"/>
      <c r="CN148" s="308">
        <f t="shared" ca="1" si="176"/>
        <v>7</v>
      </c>
      <c r="CO148" s="309">
        <f t="shared" si="212"/>
        <v>0</v>
      </c>
      <c r="CP148" s="268">
        <f t="shared" si="177"/>
        <v>0</v>
      </c>
      <c r="CQ148" s="123">
        <f t="shared" si="213"/>
        <v>0</v>
      </c>
      <c r="CR148" s="123">
        <f t="shared" si="289"/>
        <v>0</v>
      </c>
      <c r="CS148" s="123">
        <f t="shared" si="290"/>
        <v>0</v>
      </c>
      <c r="CT148" s="33">
        <f>IF(CZ147&lt;0.01,0,IF(Plus!$F$22=Plus!$AN$4,0,IF(Plus!$F$22=Plus!$AN$3,CZ147*Plus!$F$23/1000,CZ147*VLOOKUP(Plus!$G$21,Plus!$AP$2:'Plus'!$AQ$5,2,0))))</f>
        <v>0</v>
      </c>
      <c r="CU148" s="123">
        <f>IF(CZ147&lt;0.01,0,IF(Plus!$F$24=Plus!$AO$3,0,IF(OR(Plus!$F$10=Plus!$AK$7,Plus!$F$10=Plus!$AK$13),0,Plus!$G$13*Plus!$AR$2)))</f>
        <v>0</v>
      </c>
      <c r="CV148" s="123">
        <f>IF(CZ147&lt;0.01,0,IF(OR(Plus!$F$10=Plus!$AK$7,Plus!$F$10=Plus!$AK$13),0,Plus!$BD$2*1.16))</f>
        <v>0</v>
      </c>
      <c r="CW148" s="123">
        <f>IF(CZ147&lt;0.01,0,IF(Plus!$AS$2&gt;0,CQ148*Plus!$AS$3,0))</f>
        <v>0</v>
      </c>
      <c r="CX148" s="123">
        <f t="shared" si="214"/>
        <v>0</v>
      </c>
      <c r="CY148" s="123">
        <f>IF(Plus!$F$10=Plus!$AK$3,MIN(CZ147+CQ148+CT148+CU148+CV148-CX148,DK148),0)</f>
        <v>0</v>
      </c>
      <c r="CZ148" s="297">
        <f t="shared" si="294"/>
        <v>0</v>
      </c>
      <c r="DA148" s="306">
        <f>Plus!O189</f>
        <v>0</v>
      </c>
      <c r="DB148" s="74"/>
      <c r="DC148" s="74"/>
      <c r="DD148" s="407">
        <f t="shared" si="215"/>
        <v>0</v>
      </c>
      <c r="DG148" s="90">
        <f t="shared" si="216"/>
        <v>4</v>
      </c>
      <c r="DH148" s="121">
        <f t="shared" si="265"/>
        <v>0</v>
      </c>
      <c r="DJ148" s="149">
        <f t="shared" si="266"/>
        <v>0</v>
      </c>
      <c r="DK148" s="2179">
        <f t="shared" ca="1" si="217"/>
        <v>0</v>
      </c>
      <c r="DN148" s="120">
        <f t="shared" si="267"/>
        <v>0</v>
      </c>
      <c r="DO148" s="110">
        <f t="shared" si="218"/>
        <v>0</v>
      </c>
      <c r="DP148" s="110">
        <f t="shared" si="276"/>
        <v>0</v>
      </c>
      <c r="DQ148" s="109">
        <f t="shared" si="219"/>
        <v>0</v>
      </c>
      <c r="DR148" s="109">
        <f t="shared" si="220"/>
        <v>0</v>
      </c>
      <c r="DS148" s="113">
        <f t="shared" si="221"/>
        <v>0</v>
      </c>
      <c r="DU148" s="102">
        <f t="shared" si="222"/>
        <v>0</v>
      </c>
      <c r="DV148" s="211">
        <f t="shared" si="277"/>
        <v>124</v>
      </c>
      <c r="DW148" s="212">
        <f t="shared" si="223"/>
        <v>0</v>
      </c>
      <c r="DX148" s="212">
        <f t="shared" si="178"/>
        <v>0</v>
      </c>
      <c r="DY148" s="212">
        <f t="shared" si="268"/>
        <v>0</v>
      </c>
      <c r="DZ148" s="213">
        <f t="shared" si="179"/>
        <v>1000000</v>
      </c>
      <c r="ED148" s="182"/>
      <c r="EF148" s="308">
        <f t="shared" ca="1" si="180"/>
        <v>7</v>
      </c>
      <c r="EG148" s="309">
        <f t="shared" si="224"/>
        <v>0</v>
      </c>
      <c r="EH148" s="268">
        <f t="shared" si="181"/>
        <v>0</v>
      </c>
      <c r="EI148" s="33">
        <f t="shared" si="225"/>
        <v>0</v>
      </c>
      <c r="EJ148" s="33">
        <f t="shared" si="291"/>
        <v>0</v>
      </c>
      <c r="EK148" s="33">
        <f t="shared" si="297"/>
        <v>0</v>
      </c>
      <c r="EL148" s="33">
        <f>IF(ER147&lt;0.01,0,IF(Plus!$F$22=Plus!$AN$4,0,IF(Plus!$F$22=Plus!$AN$3,ER147*Plus!$F$23/1000,ER147*VLOOKUP(Plus!$G$21,Plus!$AP$2:'Plus'!$AQ$5,2,0))))</f>
        <v>0</v>
      </c>
      <c r="EM148" s="33">
        <f>IF(ER147&lt;0.01,0,IF(Plus!$F$24=Plus!$AO$3,0,IF(OR(Plus!$F$10=Plus!$AK$7,Plus!$F$10=Plus!$AK$13),0,Plus!$G$13*Plus!$AR$2)))</f>
        <v>0</v>
      </c>
      <c r="EN148" s="33">
        <f>IF(ER147&lt;0.01,0,IF(OR(Plus!$F$10=Plus!$AK$7,Plus!$F$10=Plus!$AK$13),0,Plus!$BD$2*1.16))</f>
        <v>0</v>
      </c>
      <c r="EO148" s="33">
        <f>IF(ER147&lt;0.01,0,IF(Plus!$AS$2&gt;0,EI148*Plus!$AS$3,0))</f>
        <v>0</v>
      </c>
      <c r="EP148" s="33">
        <f t="shared" si="226"/>
        <v>0</v>
      </c>
      <c r="EQ148" s="33">
        <f>IF(Plus!$F$10=Plus!$AK$3,MIN(ER147+EI148+EL148+EM148+EN148-EP148,FC148),0)</f>
        <v>0</v>
      </c>
      <c r="ER148" s="311">
        <f t="shared" si="285"/>
        <v>0</v>
      </c>
      <c r="ES148" s="340">
        <f>Plus!O189</f>
        <v>0</v>
      </c>
      <c r="ET148" s="74"/>
      <c r="EU148" s="74"/>
      <c r="EV148" s="416">
        <f t="shared" si="281"/>
        <v>0</v>
      </c>
      <c r="EY148" s="90">
        <f t="shared" si="227"/>
        <v>4</v>
      </c>
      <c r="EZ148" s="121">
        <f t="shared" si="269"/>
        <v>0</v>
      </c>
      <c r="FB148" s="149">
        <f t="shared" si="270"/>
        <v>0</v>
      </c>
      <c r="FC148" s="2179">
        <f t="shared" ca="1" si="228"/>
        <v>0</v>
      </c>
      <c r="FE148" s="120">
        <f t="shared" si="271"/>
        <v>0</v>
      </c>
      <c r="FF148" s="110">
        <f t="shared" si="229"/>
        <v>0</v>
      </c>
      <c r="FG148" s="110">
        <f t="shared" si="230"/>
        <v>0</v>
      </c>
      <c r="FH148" s="109">
        <f t="shared" si="231"/>
        <v>0</v>
      </c>
      <c r="FI148" s="109">
        <f t="shared" si="182"/>
        <v>0</v>
      </c>
      <c r="FJ148" s="113">
        <f t="shared" si="232"/>
        <v>0</v>
      </c>
      <c r="FL148" s="102">
        <f t="shared" si="233"/>
        <v>0</v>
      </c>
      <c r="FM148" s="211">
        <f t="shared" si="278"/>
        <v>124</v>
      </c>
      <c r="FN148" s="212">
        <f t="shared" si="234"/>
        <v>0</v>
      </c>
      <c r="FO148" s="212">
        <f t="shared" si="183"/>
        <v>0</v>
      </c>
      <c r="FP148" s="212">
        <f t="shared" si="306"/>
        <v>0</v>
      </c>
      <c r="FQ148" s="213">
        <f t="shared" si="184"/>
        <v>1000000</v>
      </c>
      <c r="FV148" s="359"/>
      <c r="FX148" s="308">
        <f t="shared" ca="1" si="185"/>
        <v>7</v>
      </c>
      <c r="FY148" s="309">
        <f t="shared" si="235"/>
        <v>0</v>
      </c>
      <c r="FZ148" s="268">
        <f t="shared" si="186"/>
        <v>0</v>
      </c>
      <c r="GA148" s="33">
        <f t="shared" si="236"/>
        <v>0</v>
      </c>
      <c r="GB148" s="33">
        <f t="shared" si="292"/>
        <v>0</v>
      </c>
      <c r="GC148" s="33">
        <f t="shared" si="293"/>
        <v>0</v>
      </c>
      <c r="GD148" s="33">
        <f>IF(GJ147&lt;0.01,0,IF(Plus!$F$22=Plus!$AN$4,0,IF(Plus!$F$22=Plus!$AN$3,GJ147*Plus!$F$23/1000,GJ147*VLOOKUP(Plus!$G$21,Plus!$AP$2:$AQ$5,2,0))))</f>
        <v>0</v>
      </c>
      <c r="GE148" s="33">
        <f>IF(GJ147&lt;0.01,0,IF(Plus!$F$24=Plus!$AO$3,0,IF(OR(Plus!$F$10=Plus!$AK$7,Plus!$F$10=Plus!$AK$13,Plus!$F$10=Plus!$AK$14),0,IF(OR(Plus!$F$10=Plus!$AK$10,Plus!$F$10=Plus!$AK$11),Plus!$G$13*Adm!$W$7,Plus!$G$13*Adm!$X$4))))</f>
        <v>0</v>
      </c>
      <c r="GF148" s="33">
        <f>IF(GJ147&lt;0.01,0,IF(OR(Plus!$F$10=Plus!$AK$7,Plus!$F$10=Plus!$AK$13),0,Plus!$BD$2*1.16))</f>
        <v>0</v>
      </c>
      <c r="GG148" s="33">
        <f>IF(GJ147&lt;0.01,0,IF(Plus!$AS$2&gt;0,GA148*Plus!$AS$3,0))</f>
        <v>0</v>
      </c>
      <c r="GH148" s="33">
        <f t="shared" si="237"/>
        <v>0</v>
      </c>
      <c r="GI148" s="33">
        <f>IF(Plus!$F$10=Plus!$AK$3,MIN(GJ147+GA148+GD148+GE148+GF148-GH148,GU148),0)</f>
        <v>0</v>
      </c>
      <c r="GJ148" s="311">
        <f t="shared" si="286"/>
        <v>0</v>
      </c>
      <c r="GK148" s="340">
        <f>Plus!O189</f>
        <v>0</v>
      </c>
      <c r="GL148" s="74"/>
      <c r="GM148" s="74"/>
      <c r="GN148" s="419">
        <f t="shared" si="283"/>
        <v>0</v>
      </c>
      <c r="GQ148" s="90">
        <f t="shared" si="238"/>
        <v>4</v>
      </c>
      <c r="GR148" s="121">
        <f t="shared" si="272"/>
        <v>0</v>
      </c>
      <c r="GT148" s="149">
        <f t="shared" si="273"/>
        <v>0</v>
      </c>
      <c r="GU148" s="2179">
        <f t="shared" ca="1" si="239"/>
        <v>0</v>
      </c>
      <c r="GW148" s="120">
        <f t="shared" si="274"/>
        <v>0</v>
      </c>
      <c r="GX148" s="110">
        <f t="shared" si="240"/>
        <v>0</v>
      </c>
      <c r="GY148" s="110">
        <f t="shared" si="241"/>
        <v>0</v>
      </c>
      <c r="GZ148" s="109">
        <f t="shared" si="242"/>
        <v>0</v>
      </c>
      <c r="HA148" s="109">
        <f t="shared" si="187"/>
        <v>0</v>
      </c>
      <c r="HB148" s="113">
        <f t="shared" si="243"/>
        <v>0</v>
      </c>
      <c r="HD148" s="102">
        <f t="shared" si="244"/>
        <v>0</v>
      </c>
      <c r="HE148" s="211">
        <f t="shared" si="279"/>
        <v>124</v>
      </c>
      <c r="HF148" s="212">
        <f t="shared" si="245"/>
        <v>0</v>
      </c>
      <c r="HG148" s="212">
        <f t="shared" si="188"/>
        <v>0</v>
      </c>
      <c r="HH148" s="212">
        <f t="shared" si="307"/>
        <v>0</v>
      </c>
      <c r="HI148" s="213">
        <f t="shared" si="189"/>
        <v>1000000</v>
      </c>
      <c r="HL148" s="182"/>
      <c r="HM148" s="26">
        <f t="shared" ca="1" si="190"/>
        <v>7</v>
      </c>
      <c r="HO148" s="268">
        <f t="shared" si="191"/>
        <v>0</v>
      </c>
      <c r="HP148" s="151">
        <f t="shared" si="302"/>
        <v>0</v>
      </c>
      <c r="HQ148" s="123">
        <f t="shared" si="246"/>
        <v>0</v>
      </c>
      <c r="HR148" s="123">
        <f t="shared" si="247"/>
        <v>0</v>
      </c>
      <c r="HS148" s="123">
        <f t="shared" si="248"/>
        <v>0</v>
      </c>
      <c r="HT148" s="123">
        <f>IF(HY147&lt;0.01,0,IF(Adm!$GS$4=Adm!$GS$8,HY147*$HY$15,IF(Adm!$GS$12=Adm!$GS$13,0,HY147*Adm!$GV$4)))</f>
        <v>0</v>
      </c>
      <c r="HU148" s="123">
        <f>IF(HY147&lt;0.01,0,IF(Adm!$GS$5=Adm!$GS$8,Cal!$BO$108*$HY$16/1.16,IF(Adm!$GS$12=Adm!$GS$13,0,Cal!$BO$108*Adm!$GW$4/1.16)))</f>
        <v>0</v>
      </c>
      <c r="HV148" s="123">
        <f t="shared" si="249"/>
        <v>0</v>
      </c>
      <c r="HW148" s="123">
        <f t="shared" si="192"/>
        <v>0</v>
      </c>
      <c r="HX148" s="123">
        <f>IF(Adm!$GH$6="si",MIN(HY147+HQ148+HT148+HU148+HV148-HW148,IH148),0)</f>
        <v>0</v>
      </c>
      <c r="HY148" s="297">
        <f t="shared" si="250"/>
        <v>0</v>
      </c>
      <c r="HZ148" s="74"/>
      <c r="IA148" s="407">
        <f t="shared" si="251"/>
        <v>0</v>
      </c>
      <c r="IC148" s="90">
        <f t="shared" si="252"/>
        <v>4</v>
      </c>
      <c r="ID148" s="124">
        <f>IF(IC148=1,Cal!$BO$127,0)</f>
        <v>0</v>
      </c>
      <c r="IE148" s="178">
        <f>IF(IC148=1,Adm!$HI$4,0)</f>
        <v>0</v>
      </c>
      <c r="IG148" s="70">
        <f t="shared" si="275"/>
        <v>0</v>
      </c>
      <c r="IH148" s="2178">
        <f t="shared" ca="1" si="253"/>
        <v>0</v>
      </c>
      <c r="IK148" s="217"/>
      <c r="IL148" s="26">
        <f t="shared" ca="1" si="193"/>
        <v>7</v>
      </c>
      <c r="IN148" s="268">
        <f t="shared" si="194"/>
        <v>0</v>
      </c>
      <c r="IO148" s="151">
        <f t="shared" si="303"/>
        <v>0</v>
      </c>
      <c r="IP148" s="123">
        <f t="shared" si="254"/>
        <v>0</v>
      </c>
      <c r="IQ148" s="123">
        <f t="shared" si="255"/>
        <v>0</v>
      </c>
      <c r="IR148" s="123">
        <f t="shared" si="256"/>
        <v>0</v>
      </c>
      <c r="IS148" s="123">
        <f>IF(IX147&lt;0.01,0,IF(Adm!$GS$4=Adm!$GS$8,IX147*$IX$15,IF(Adm!$GS$12=Adm!$GS$13,0,IX147*Adm!$GV$4)))</f>
        <v>0</v>
      </c>
      <c r="IT148" s="123"/>
      <c r="IU148" s="123">
        <f t="shared" si="257"/>
        <v>0</v>
      </c>
      <c r="IV148" s="123">
        <f t="shared" si="258"/>
        <v>0</v>
      </c>
      <c r="IW148" s="123"/>
      <c r="IX148" s="297">
        <f t="shared" si="259"/>
        <v>0</v>
      </c>
      <c r="IY148" s="74"/>
      <c r="IZ148" s="416">
        <f t="shared" si="260"/>
        <v>0</v>
      </c>
      <c r="JB148" s="90">
        <f t="shared" si="261"/>
        <v>4</v>
      </c>
      <c r="JC148" s="124">
        <f>IF(JB148=1,Cal!$BP$127,0)</f>
        <v>0</v>
      </c>
      <c r="JD148" s="178">
        <f>IF(JB148=1,Adm!$HI$4,0)</f>
        <v>0</v>
      </c>
    </row>
    <row r="149" spans="1:264">
      <c r="A149" s="26">
        <f t="shared" ca="1" si="162"/>
        <v>8</v>
      </c>
      <c r="C149" s="33">
        <f t="shared" si="163"/>
        <v>0</v>
      </c>
      <c r="D149" s="123">
        <f t="shared" si="195"/>
        <v>0</v>
      </c>
      <c r="E149" s="123">
        <f t="shared" si="287"/>
        <v>0</v>
      </c>
      <c r="F149" s="123">
        <f t="shared" si="295"/>
        <v>0</v>
      </c>
      <c r="G149" s="123">
        <f>IF(L148&lt;0.01,0,IF(Adm!$S$4=Adm!$S$8,L148*$L$15,L148*Adm!$V$4))</f>
        <v>0</v>
      </c>
      <c r="H149" s="123">
        <f>IF(L148&lt;0.01,0,IF(Adm!$S$5=Adm!$S$8,Adm!$AA$11*$L$16/1.16,IF(Adm!$B$4=Adm!$A$119,0,Adm!$AA$11*Adm!$X$4/1.16)))</f>
        <v>0</v>
      </c>
      <c r="I149" s="123">
        <f>IF(L148&lt;0.01,0,Cal!$AB$126/1.16)</f>
        <v>0</v>
      </c>
      <c r="J149" s="123">
        <f t="shared" si="164"/>
        <v>0</v>
      </c>
      <c r="K149" s="123">
        <f>IF(Adm!$G$4="si",MIN(L148+D149+G149+H149+I149-J149,V149),0)</f>
        <v>0</v>
      </c>
      <c r="L149" s="123">
        <f t="shared" si="196"/>
        <v>0</v>
      </c>
      <c r="M149" s="74"/>
      <c r="N149" s="74"/>
      <c r="O149" s="407">
        <f t="shared" si="197"/>
        <v>0</v>
      </c>
      <c r="R149" s="90">
        <f t="shared" si="198"/>
        <v>5</v>
      </c>
      <c r="S149" s="121">
        <f>IF(R149=1,Cal!$AB$127,0)</f>
        <v>0</v>
      </c>
      <c r="U149" s="70">
        <f t="shared" si="262"/>
        <v>0</v>
      </c>
      <c r="V149" s="2178">
        <f t="shared" ca="1" si="199"/>
        <v>0</v>
      </c>
      <c r="X149" s="398"/>
      <c r="Z149" s="268">
        <f t="shared" si="165"/>
        <v>0</v>
      </c>
      <c r="AA149" s="2176">
        <f t="shared" si="200"/>
        <v>0</v>
      </c>
      <c r="AB149" s="33">
        <f t="shared" si="201"/>
        <v>0</v>
      </c>
      <c r="AC149" s="33">
        <f t="shared" si="202"/>
        <v>0</v>
      </c>
      <c r="AD149" s="33">
        <f>IF(AI148&lt;0.01,0,IF(Adm!$S$4=Adm!$S$8,AI148*$AI$15,AI148*Adm!$V$4))</f>
        <v>0</v>
      </c>
      <c r="AE149" s="33"/>
      <c r="AF149" s="33"/>
      <c r="AG149" s="33">
        <f t="shared" si="166"/>
        <v>0</v>
      </c>
      <c r="AH149" s="33"/>
      <c r="AI149" s="401">
        <f t="shared" si="167"/>
        <v>0</v>
      </c>
      <c r="AK149" s="410">
        <f t="shared" si="168"/>
        <v>0</v>
      </c>
      <c r="AN149" s="90">
        <f t="shared" si="203"/>
        <v>5</v>
      </c>
      <c r="AO149" s="121">
        <f>IF(AN149=1,Cal!$AC$127,0)</f>
        <v>0</v>
      </c>
      <c r="AS149" s="200"/>
      <c r="AU149" s="268">
        <f t="shared" si="169"/>
        <v>0</v>
      </c>
      <c r="AV149" s="2177">
        <f t="shared" si="204"/>
        <v>0</v>
      </c>
      <c r="AW149" s="123">
        <f t="shared" si="170"/>
        <v>0</v>
      </c>
      <c r="AX149" s="123">
        <f t="shared" si="205"/>
        <v>0</v>
      </c>
      <c r="AY149" s="123">
        <f>IF(BC148&lt;0.01,0,IF(Adm!$S$4=Adm!$S$8,BC148*$BC$16,BC148*Adm!$V$4))</f>
        <v>0</v>
      </c>
      <c r="AZ149" s="123"/>
      <c r="BA149" s="123">
        <f>IF(BC148&lt;0.01,0,Adm!$Q$6)</f>
        <v>0</v>
      </c>
      <c r="BB149" s="123">
        <f t="shared" si="171"/>
        <v>0</v>
      </c>
      <c r="BC149" s="297">
        <f t="shared" si="206"/>
        <v>0</v>
      </c>
      <c r="BE149" s="425">
        <f t="shared" si="172"/>
        <v>0</v>
      </c>
      <c r="BH149" s="90">
        <f t="shared" si="207"/>
        <v>5</v>
      </c>
      <c r="BI149" s="121">
        <f>IF(BH149=1,Cal!$AD$127,0)</f>
        <v>0</v>
      </c>
      <c r="BM149" s="221"/>
      <c r="BO149" s="295">
        <f t="shared" ca="1" si="173"/>
        <v>8</v>
      </c>
      <c r="BP149" s="268">
        <f t="shared" si="174"/>
        <v>0</v>
      </c>
      <c r="BQ149" s="123">
        <f t="shared" si="208"/>
        <v>0</v>
      </c>
      <c r="BR149" s="123">
        <f t="shared" si="288"/>
        <v>0</v>
      </c>
      <c r="BS149" s="123">
        <f t="shared" si="296"/>
        <v>0</v>
      </c>
      <c r="BT149" s="123">
        <f>IF(BZ148&lt;0.01,0,IF(Plus!$F$22=Plus!$AN$4,BZ148*$BZ$15,IF(Plus!$F$22=Plus!$AN$3,BZ148*Plus!$F$23/1000,BZ148*VLOOKUP(Plus!$G$21,Plus!$AP$2:'Plus'!$AQ$5,2,0))))</f>
        <v>0</v>
      </c>
      <c r="BU149" s="123">
        <f>IF(BZ148&lt;0.01,0,IF(Plus!$F$24=Plus!$AO$3,Plus!$G$13*Plus!$AR$2/1.16,IF(Plus!$F$10=Plus!$AK$7,0,Plus!$G$13*Plus!$AR$2/1.16)))</f>
        <v>0</v>
      </c>
      <c r="BV149" s="123">
        <f>IF(BZ148&lt;0.01,0,Plus!$BD$2)</f>
        <v>0</v>
      </c>
      <c r="BW149" s="123"/>
      <c r="BX149" s="123">
        <f t="shared" si="175"/>
        <v>0</v>
      </c>
      <c r="BY149" s="123">
        <f>IF(Plus!$F$10=Plus!$AK$3,MIN(BZ148+BQ149+BT149+BU149+BV149-BX149,CJ149),0)</f>
        <v>0</v>
      </c>
      <c r="BZ149" s="297">
        <f t="shared" si="280"/>
        <v>0</v>
      </c>
      <c r="CA149" s="74"/>
      <c r="CB149" s="74"/>
      <c r="CC149" s="413">
        <f t="shared" si="209"/>
        <v>0</v>
      </c>
      <c r="CF149" s="90">
        <f t="shared" si="210"/>
        <v>5</v>
      </c>
      <c r="CG149" s="121">
        <f t="shared" si="263"/>
        <v>0</v>
      </c>
      <c r="CI149" s="70">
        <f t="shared" si="264"/>
        <v>0</v>
      </c>
      <c r="CJ149" s="2178">
        <f t="shared" ca="1" si="211"/>
        <v>0</v>
      </c>
      <c r="CL149" s="161"/>
      <c r="CN149" s="308">
        <f t="shared" ca="1" si="176"/>
        <v>8</v>
      </c>
      <c r="CO149" s="309">
        <f t="shared" si="212"/>
        <v>0</v>
      </c>
      <c r="CP149" s="268">
        <f t="shared" si="177"/>
        <v>0</v>
      </c>
      <c r="CQ149" s="123">
        <f t="shared" si="213"/>
        <v>0</v>
      </c>
      <c r="CR149" s="123">
        <f t="shared" si="289"/>
        <v>0</v>
      </c>
      <c r="CS149" s="123">
        <f t="shared" si="290"/>
        <v>0</v>
      </c>
      <c r="CT149" s="33">
        <f>IF(CZ148&lt;0.01,0,IF(Plus!$F$22=Plus!$AN$4,0,IF(Plus!$F$22=Plus!$AN$3,CZ148*Plus!$F$23/1000,CZ148*VLOOKUP(Plus!$G$21,Plus!$AP$2:'Plus'!$AQ$5,2,0))))</f>
        <v>0</v>
      </c>
      <c r="CU149" s="123">
        <f>IF(CZ148&lt;0.01,0,IF(Plus!$F$24=Plus!$AO$3,0,IF(OR(Plus!$F$10=Plus!$AK$7,Plus!$F$10=Plus!$AK$13),0,Plus!$G$13*Plus!$AR$2)))</f>
        <v>0</v>
      </c>
      <c r="CV149" s="123">
        <f>IF(CZ148&lt;0.01,0,IF(OR(Plus!$F$10=Plus!$AK$7,Plus!$F$10=Plus!$AK$13),0,Plus!$BD$2*1.16))</f>
        <v>0</v>
      </c>
      <c r="CW149" s="123">
        <f>IF(CZ148&lt;0.01,0,IF(Plus!$AS$2&gt;0,CQ149*Plus!$AS$3,0))</f>
        <v>0</v>
      </c>
      <c r="CX149" s="123">
        <f t="shared" si="214"/>
        <v>0</v>
      </c>
      <c r="CY149" s="123">
        <f>IF(Plus!$F$10=Plus!$AK$3,MIN(CZ148+CQ149+CT149+CU149+CV149-CX149,DK149),0)</f>
        <v>0</v>
      </c>
      <c r="CZ149" s="297">
        <f t="shared" si="294"/>
        <v>0</v>
      </c>
      <c r="DA149" s="306">
        <f>Plus!O190</f>
        <v>0</v>
      </c>
      <c r="DB149" s="74"/>
      <c r="DC149" s="74"/>
      <c r="DD149" s="407">
        <f t="shared" si="215"/>
        <v>0</v>
      </c>
      <c r="DG149" s="90">
        <f t="shared" si="216"/>
        <v>5</v>
      </c>
      <c r="DH149" s="121">
        <f t="shared" si="265"/>
        <v>0</v>
      </c>
      <c r="DJ149" s="149">
        <f t="shared" si="266"/>
        <v>0</v>
      </c>
      <c r="DK149" s="2179">
        <f t="shared" ca="1" si="217"/>
        <v>0</v>
      </c>
      <c r="DN149" s="120">
        <f t="shared" si="267"/>
        <v>0</v>
      </c>
      <c r="DO149" s="110">
        <f t="shared" si="218"/>
        <v>0</v>
      </c>
      <c r="DP149" s="110">
        <f t="shared" si="276"/>
        <v>0</v>
      </c>
      <c r="DQ149" s="109">
        <f t="shared" si="219"/>
        <v>0</v>
      </c>
      <c r="DR149" s="109">
        <f t="shared" si="220"/>
        <v>0</v>
      </c>
      <c r="DS149" s="113">
        <f t="shared" si="221"/>
        <v>0</v>
      </c>
      <c r="DU149" s="102">
        <f t="shared" si="222"/>
        <v>0</v>
      </c>
      <c r="DV149" s="211">
        <f t="shared" si="277"/>
        <v>125</v>
      </c>
      <c r="DW149" s="212">
        <f t="shared" si="223"/>
        <v>0</v>
      </c>
      <c r="DX149" s="212">
        <f t="shared" si="178"/>
        <v>0</v>
      </c>
      <c r="DY149" s="212">
        <f t="shared" si="268"/>
        <v>0</v>
      </c>
      <c r="DZ149" s="213">
        <f t="shared" si="179"/>
        <v>1000000</v>
      </c>
      <c r="ED149" s="182"/>
      <c r="EF149" s="308">
        <f t="shared" ca="1" si="180"/>
        <v>8</v>
      </c>
      <c r="EG149" s="309">
        <f t="shared" si="224"/>
        <v>0</v>
      </c>
      <c r="EH149" s="268">
        <f t="shared" si="181"/>
        <v>0</v>
      </c>
      <c r="EI149" s="33">
        <f t="shared" si="225"/>
        <v>0</v>
      </c>
      <c r="EJ149" s="33">
        <f t="shared" si="291"/>
        <v>0</v>
      </c>
      <c r="EK149" s="33">
        <f t="shared" si="297"/>
        <v>0</v>
      </c>
      <c r="EL149" s="33">
        <f>IF(ER148&lt;0.01,0,IF(Plus!$F$22=Plus!$AN$4,0,IF(Plus!$F$22=Plus!$AN$3,ER148*Plus!$F$23/1000,ER148*VLOOKUP(Plus!$G$21,Plus!$AP$2:'Plus'!$AQ$5,2,0))))</f>
        <v>0</v>
      </c>
      <c r="EM149" s="33">
        <f>IF(ER148&lt;0.01,0,IF(Plus!$F$24=Plus!$AO$3,0,IF(OR(Plus!$F$10=Plus!$AK$7,Plus!$F$10=Plus!$AK$13),0,Plus!$G$13*Plus!$AR$2)))</f>
        <v>0</v>
      </c>
      <c r="EN149" s="33">
        <f>IF(ER148&lt;0.01,0,IF(OR(Plus!$F$10=Plus!$AK$7,Plus!$F$10=Plus!$AK$13),0,Plus!$BD$2*1.16))</f>
        <v>0</v>
      </c>
      <c r="EO149" s="33">
        <f>IF(ER148&lt;0.01,0,IF(Plus!$AS$2&gt;0,EI149*Plus!$AS$3,0))</f>
        <v>0</v>
      </c>
      <c r="EP149" s="33">
        <f t="shared" si="226"/>
        <v>0</v>
      </c>
      <c r="EQ149" s="33">
        <f>IF(Plus!$F$10=Plus!$AK$3,MIN(ER148+EI149+EL149+EM149+EN149-EP149,FC149),0)</f>
        <v>0</v>
      </c>
      <c r="ER149" s="311">
        <f t="shared" si="285"/>
        <v>0</v>
      </c>
      <c r="ES149" s="340">
        <f>Plus!O190</f>
        <v>0</v>
      </c>
      <c r="ET149" s="74"/>
      <c r="EU149" s="74"/>
      <c r="EV149" s="416">
        <f t="shared" si="281"/>
        <v>0</v>
      </c>
      <c r="EY149" s="90">
        <f t="shared" si="227"/>
        <v>5</v>
      </c>
      <c r="EZ149" s="121">
        <f t="shared" si="269"/>
        <v>0</v>
      </c>
      <c r="FB149" s="149">
        <f t="shared" si="270"/>
        <v>0</v>
      </c>
      <c r="FC149" s="2179">
        <f t="shared" ca="1" si="228"/>
        <v>0</v>
      </c>
      <c r="FE149" s="120">
        <f t="shared" si="271"/>
        <v>0</v>
      </c>
      <c r="FF149" s="110">
        <f t="shared" si="229"/>
        <v>0</v>
      </c>
      <c r="FG149" s="110">
        <f t="shared" si="230"/>
        <v>0</v>
      </c>
      <c r="FH149" s="109">
        <f t="shared" si="231"/>
        <v>0</v>
      </c>
      <c r="FI149" s="109">
        <f t="shared" si="182"/>
        <v>0</v>
      </c>
      <c r="FJ149" s="113">
        <f t="shared" si="232"/>
        <v>0</v>
      </c>
      <c r="FL149" s="102">
        <f t="shared" si="233"/>
        <v>0</v>
      </c>
      <c r="FM149" s="211">
        <f t="shared" si="278"/>
        <v>125</v>
      </c>
      <c r="FN149" s="212">
        <f t="shared" si="234"/>
        <v>0</v>
      </c>
      <c r="FO149" s="212">
        <f t="shared" si="183"/>
        <v>0</v>
      </c>
      <c r="FP149" s="212">
        <f t="shared" si="306"/>
        <v>0</v>
      </c>
      <c r="FQ149" s="213">
        <f t="shared" si="184"/>
        <v>1000000</v>
      </c>
      <c r="FV149" s="359"/>
      <c r="FX149" s="308">
        <f t="shared" ca="1" si="185"/>
        <v>8</v>
      </c>
      <c r="FY149" s="309">
        <f t="shared" si="235"/>
        <v>0</v>
      </c>
      <c r="FZ149" s="268">
        <f t="shared" si="186"/>
        <v>0</v>
      </c>
      <c r="GA149" s="33">
        <f t="shared" si="236"/>
        <v>0</v>
      </c>
      <c r="GB149" s="33">
        <f t="shared" si="292"/>
        <v>0</v>
      </c>
      <c r="GC149" s="33">
        <f t="shared" si="293"/>
        <v>0</v>
      </c>
      <c r="GD149" s="33">
        <f>IF(GJ148&lt;0.01,0,IF(Plus!$F$22=Plus!$AN$4,0,IF(Plus!$F$22=Plus!$AN$3,GJ148*Plus!$F$23/1000,GJ148*VLOOKUP(Plus!$G$21,Plus!$AP$2:$AQ$5,2,0))))</f>
        <v>0</v>
      </c>
      <c r="GE149" s="33">
        <f>IF(GJ148&lt;0.01,0,IF(Plus!$F$24=Plus!$AO$3,0,IF(OR(Plus!$F$10=Plus!$AK$7,Plus!$F$10=Plus!$AK$13,Plus!$F$10=Plus!$AK$14),0,IF(OR(Plus!$F$10=Plus!$AK$10,Plus!$F$10=Plus!$AK$11),Plus!$G$13*Adm!$W$7,Plus!$G$13*Adm!$X$4))))</f>
        <v>0</v>
      </c>
      <c r="GF149" s="33">
        <f>IF(GJ148&lt;0.01,0,IF(OR(Plus!$F$10=Plus!$AK$7,Plus!$F$10=Plus!$AK$13),0,Plus!$BD$2*1.16))</f>
        <v>0</v>
      </c>
      <c r="GG149" s="33">
        <f>IF(GJ148&lt;0.01,0,IF(Plus!$AS$2&gt;0,GA149*Plus!$AS$3,0))</f>
        <v>0</v>
      </c>
      <c r="GH149" s="33">
        <f t="shared" si="237"/>
        <v>0</v>
      </c>
      <c r="GI149" s="33">
        <f>IF(Plus!$F$10=Plus!$AK$3,MIN(GJ148+GA149+GD149+GE149+GF149-GH149,GU149),0)</f>
        <v>0</v>
      </c>
      <c r="GJ149" s="311">
        <f t="shared" si="286"/>
        <v>0</v>
      </c>
      <c r="GK149" s="340">
        <f>Plus!O190</f>
        <v>0</v>
      </c>
      <c r="GL149" s="74"/>
      <c r="GM149" s="74"/>
      <c r="GN149" s="419">
        <f t="shared" si="283"/>
        <v>0</v>
      </c>
      <c r="GQ149" s="90">
        <f t="shared" si="238"/>
        <v>5</v>
      </c>
      <c r="GR149" s="121">
        <f t="shared" si="272"/>
        <v>0</v>
      </c>
      <c r="GT149" s="149">
        <f t="shared" si="273"/>
        <v>0</v>
      </c>
      <c r="GU149" s="2179">
        <f t="shared" ca="1" si="239"/>
        <v>0</v>
      </c>
      <c r="GW149" s="120">
        <f t="shared" si="274"/>
        <v>0</v>
      </c>
      <c r="GX149" s="110">
        <f t="shared" si="240"/>
        <v>0</v>
      </c>
      <c r="GY149" s="110">
        <f t="shared" si="241"/>
        <v>0</v>
      </c>
      <c r="GZ149" s="109">
        <f t="shared" si="242"/>
        <v>0</v>
      </c>
      <c r="HA149" s="109">
        <f t="shared" si="187"/>
        <v>0</v>
      </c>
      <c r="HB149" s="113">
        <f t="shared" si="243"/>
        <v>0</v>
      </c>
      <c r="HD149" s="102">
        <f t="shared" si="244"/>
        <v>0</v>
      </c>
      <c r="HE149" s="211">
        <f t="shared" si="279"/>
        <v>125</v>
      </c>
      <c r="HF149" s="212">
        <f t="shared" si="245"/>
        <v>0</v>
      </c>
      <c r="HG149" s="212">
        <f t="shared" si="188"/>
        <v>0</v>
      </c>
      <c r="HH149" s="212">
        <f t="shared" si="307"/>
        <v>0</v>
      </c>
      <c r="HI149" s="213">
        <f t="shared" si="189"/>
        <v>1000000</v>
      </c>
      <c r="HL149" s="182"/>
      <c r="HM149" s="26">
        <f t="shared" ca="1" si="190"/>
        <v>8</v>
      </c>
      <c r="HO149" s="268">
        <f t="shared" si="191"/>
        <v>0</v>
      </c>
      <c r="HP149" s="151">
        <f t="shared" si="302"/>
        <v>0</v>
      </c>
      <c r="HQ149" s="123">
        <f t="shared" si="246"/>
        <v>0</v>
      </c>
      <c r="HR149" s="123">
        <f t="shared" si="247"/>
        <v>0</v>
      </c>
      <c r="HS149" s="123">
        <f t="shared" si="248"/>
        <v>0</v>
      </c>
      <c r="HT149" s="123">
        <f>IF(HY148&lt;0.01,0,IF(Adm!$GS$4=Adm!$GS$8,HY148*$HY$15,IF(Adm!$GS$12=Adm!$GS$13,0,HY148*Adm!$GV$4)))</f>
        <v>0</v>
      </c>
      <c r="HU149" s="123">
        <f>IF(HY148&lt;0.01,0,IF(Adm!$GS$5=Adm!$GS$8,Cal!$BO$108*$HY$16/1.16,IF(Adm!$GS$12=Adm!$GS$13,0,Cal!$BO$108*Adm!$GW$4/1.16)))</f>
        <v>0</v>
      </c>
      <c r="HV149" s="123">
        <f t="shared" si="249"/>
        <v>0</v>
      </c>
      <c r="HW149" s="123">
        <f t="shared" si="192"/>
        <v>0</v>
      </c>
      <c r="HX149" s="123">
        <f>IF(Adm!$GH$6="si",MIN(HY148+HQ149+HT149+HU149+HV149-HW149,IH149),0)</f>
        <v>0</v>
      </c>
      <c r="HY149" s="297">
        <f t="shared" si="250"/>
        <v>0</v>
      </c>
      <c r="HZ149" s="74"/>
      <c r="IA149" s="407">
        <f t="shared" si="251"/>
        <v>0</v>
      </c>
      <c r="IC149" s="90">
        <f t="shared" si="252"/>
        <v>5</v>
      </c>
      <c r="ID149" s="124">
        <f>IF(IC149=1,Cal!$BO$127,0)</f>
        <v>0</v>
      </c>
      <c r="IE149" s="178">
        <f>IF(IC149=1,Adm!$HI$4,0)</f>
        <v>0</v>
      </c>
      <c r="IG149" s="70">
        <f t="shared" si="275"/>
        <v>0</v>
      </c>
      <c r="IH149" s="2178">
        <f t="shared" ca="1" si="253"/>
        <v>0</v>
      </c>
      <c r="IK149" s="217"/>
      <c r="IL149" s="26">
        <f t="shared" ca="1" si="193"/>
        <v>8</v>
      </c>
      <c r="IN149" s="268">
        <f t="shared" si="194"/>
        <v>0</v>
      </c>
      <c r="IO149" s="151">
        <f t="shared" si="303"/>
        <v>0</v>
      </c>
      <c r="IP149" s="123">
        <f t="shared" si="254"/>
        <v>0</v>
      </c>
      <c r="IQ149" s="123">
        <f t="shared" si="255"/>
        <v>0</v>
      </c>
      <c r="IR149" s="123">
        <f t="shared" si="256"/>
        <v>0</v>
      </c>
      <c r="IS149" s="123">
        <f>IF(IX148&lt;0.01,0,IF(Adm!$GS$4=Adm!$GS$8,IX148*$IX$15,IF(Adm!$GS$12=Adm!$GS$13,0,IX148*Adm!$GV$4)))</f>
        <v>0</v>
      </c>
      <c r="IT149" s="123"/>
      <c r="IU149" s="123">
        <f t="shared" si="257"/>
        <v>0</v>
      </c>
      <c r="IV149" s="123">
        <f t="shared" si="258"/>
        <v>0</v>
      </c>
      <c r="IW149" s="123"/>
      <c r="IX149" s="297">
        <f t="shared" si="259"/>
        <v>0</v>
      </c>
      <c r="IY149" s="74"/>
      <c r="IZ149" s="416">
        <f t="shared" si="260"/>
        <v>0</v>
      </c>
      <c r="JB149" s="90">
        <f t="shared" si="261"/>
        <v>5</v>
      </c>
      <c r="JC149" s="124">
        <f>IF(JB149=1,Cal!$BP$127,0)</f>
        <v>0</v>
      </c>
      <c r="JD149" s="178">
        <f>IF(JB149=1,Adm!$HI$4,0)</f>
        <v>0</v>
      </c>
    </row>
    <row r="150" spans="1:264">
      <c r="A150" s="26">
        <f t="shared" ca="1" si="162"/>
        <v>9</v>
      </c>
      <c r="C150" s="33">
        <f t="shared" si="163"/>
        <v>0</v>
      </c>
      <c r="D150" s="123">
        <f t="shared" si="195"/>
        <v>0</v>
      </c>
      <c r="E150" s="123">
        <f t="shared" si="287"/>
        <v>0</v>
      </c>
      <c r="F150" s="123">
        <f t="shared" si="295"/>
        <v>0</v>
      </c>
      <c r="G150" s="123">
        <f>IF(L149&lt;0.01,0,IF(Adm!$S$4=Adm!$S$8,L149*$L$15,L149*Adm!$V$4))</f>
        <v>0</v>
      </c>
      <c r="H150" s="123">
        <f>IF(L149&lt;0.01,0,IF(Adm!$S$5=Adm!$S$8,Adm!$AA$11*$L$16/1.16,IF(Adm!$B$4=Adm!$A$119,0,Adm!$AA$11*Adm!$X$4/1.16)))</f>
        <v>0</v>
      </c>
      <c r="I150" s="123">
        <f>IF(L149&lt;0.01,0,Cal!$AB$126/1.16)</f>
        <v>0</v>
      </c>
      <c r="J150" s="123">
        <f t="shared" si="164"/>
        <v>0</v>
      </c>
      <c r="K150" s="123">
        <f>IF(Adm!$G$4="si",MIN(L149+D150+G150+H150+I150-J150,V150),0)</f>
        <v>0</v>
      </c>
      <c r="L150" s="123">
        <f t="shared" si="196"/>
        <v>0</v>
      </c>
      <c r="M150" s="74"/>
      <c r="N150" s="74"/>
      <c r="O150" s="407">
        <f t="shared" si="197"/>
        <v>0</v>
      </c>
      <c r="R150" s="90">
        <f t="shared" si="198"/>
        <v>6</v>
      </c>
      <c r="S150" s="121">
        <f>IF(R150=1,Cal!$AB$127,0)</f>
        <v>0</v>
      </c>
      <c r="U150" s="70">
        <f t="shared" si="262"/>
        <v>0</v>
      </c>
      <c r="V150" s="2178">
        <f t="shared" ca="1" si="199"/>
        <v>0</v>
      </c>
      <c r="X150" s="398"/>
      <c r="Z150" s="268">
        <f t="shared" si="165"/>
        <v>0</v>
      </c>
      <c r="AA150" s="2176">
        <f t="shared" si="200"/>
        <v>0</v>
      </c>
      <c r="AB150" s="33">
        <f t="shared" si="201"/>
        <v>0</v>
      </c>
      <c r="AC150" s="33">
        <f t="shared" si="202"/>
        <v>0</v>
      </c>
      <c r="AD150" s="33">
        <f>IF(AI149&lt;0.01,0,IF(Adm!$S$4=Adm!$S$8,AI149*$AI$15,AI149*Adm!$V$4))</f>
        <v>0</v>
      </c>
      <c r="AE150" s="33"/>
      <c r="AF150" s="33"/>
      <c r="AG150" s="33">
        <f t="shared" si="166"/>
        <v>0</v>
      </c>
      <c r="AH150" s="33"/>
      <c r="AI150" s="401">
        <f t="shared" si="167"/>
        <v>0</v>
      </c>
      <c r="AK150" s="410">
        <f t="shared" si="168"/>
        <v>0</v>
      </c>
      <c r="AN150" s="90">
        <f t="shared" si="203"/>
        <v>6</v>
      </c>
      <c r="AO150" s="121">
        <f>IF(AN150=1,Cal!$AC$127,0)</f>
        <v>0</v>
      </c>
      <c r="AS150" s="200"/>
      <c r="AU150" s="268">
        <f t="shared" si="169"/>
        <v>0</v>
      </c>
      <c r="AV150" s="2177">
        <f t="shared" si="204"/>
        <v>0</v>
      </c>
      <c r="AW150" s="123">
        <f t="shared" si="170"/>
        <v>0</v>
      </c>
      <c r="AX150" s="123">
        <f t="shared" si="205"/>
        <v>0</v>
      </c>
      <c r="AY150" s="123">
        <f>IF(BC149&lt;0.01,0,IF(Adm!$S$4=Adm!$S$8,BC149*$BC$16,BC149*Adm!$V$4))</f>
        <v>0</v>
      </c>
      <c r="AZ150" s="123"/>
      <c r="BA150" s="123">
        <f>IF(BC149&lt;0.01,0,Adm!$Q$6)</f>
        <v>0</v>
      </c>
      <c r="BB150" s="123">
        <f t="shared" si="171"/>
        <v>0</v>
      </c>
      <c r="BC150" s="297">
        <f t="shared" si="206"/>
        <v>0</v>
      </c>
      <c r="BE150" s="425">
        <f t="shared" si="172"/>
        <v>0</v>
      </c>
      <c r="BH150" s="90">
        <f t="shared" si="207"/>
        <v>6</v>
      </c>
      <c r="BI150" s="121">
        <f>IF(BH150=1,Cal!$AD$127,0)</f>
        <v>0</v>
      </c>
      <c r="BM150" s="221"/>
      <c r="BO150" s="295">
        <f t="shared" ca="1" si="173"/>
        <v>9</v>
      </c>
      <c r="BP150" s="268">
        <f t="shared" si="174"/>
        <v>0</v>
      </c>
      <c r="BQ150" s="123">
        <f t="shared" si="208"/>
        <v>0</v>
      </c>
      <c r="BR150" s="123">
        <f t="shared" si="288"/>
        <v>0</v>
      </c>
      <c r="BS150" s="123">
        <f t="shared" si="296"/>
        <v>0</v>
      </c>
      <c r="BT150" s="123">
        <f>IF(BZ149&lt;0.01,0,IF(Plus!$F$22=Plus!$AN$4,BZ149*$BZ$15,IF(Plus!$F$22=Plus!$AN$3,BZ149*Plus!$F$23/1000,BZ149*VLOOKUP(Plus!$G$21,Plus!$AP$2:'Plus'!$AQ$5,2,0))))</f>
        <v>0</v>
      </c>
      <c r="BU150" s="123">
        <f>IF(BZ149&lt;0.01,0,IF(Plus!$F$24=Plus!$AO$3,Plus!$G$13*Plus!$AR$2/1.16,IF(Plus!$F$10=Plus!$AK$7,0,Plus!$G$13*Plus!$AR$2/1.16)))</f>
        <v>0</v>
      </c>
      <c r="BV150" s="123">
        <f>IF(BZ149&lt;0.01,0,Plus!$BD$2)</f>
        <v>0</v>
      </c>
      <c r="BW150" s="123"/>
      <c r="BX150" s="123">
        <f t="shared" si="175"/>
        <v>0</v>
      </c>
      <c r="BY150" s="123">
        <f>IF(Plus!$F$10=Plus!$AK$3,MIN(BZ149+BQ150+BT150+BU150+BV150-BX150,CJ150),0)</f>
        <v>0</v>
      </c>
      <c r="BZ150" s="297">
        <f t="shared" si="280"/>
        <v>0</v>
      </c>
      <c r="CA150" s="74"/>
      <c r="CB150" s="74"/>
      <c r="CC150" s="413">
        <f t="shared" si="209"/>
        <v>0</v>
      </c>
      <c r="CF150" s="90">
        <f t="shared" si="210"/>
        <v>6</v>
      </c>
      <c r="CG150" s="121">
        <f t="shared" si="263"/>
        <v>0</v>
      </c>
      <c r="CI150" s="70">
        <f t="shared" si="264"/>
        <v>0</v>
      </c>
      <c r="CJ150" s="2178">
        <f t="shared" ca="1" si="211"/>
        <v>0</v>
      </c>
      <c r="CL150" s="161"/>
      <c r="CN150" s="308">
        <f t="shared" ca="1" si="176"/>
        <v>9</v>
      </c>
      <c r="CO150" s="309">
        <f t="shared" si="212"/>
        <v>0</v>
      </c>
      <c r="CP150" s="268">
        <f t="shared" si="177"/>
        <v>0</v>
      </c>
      <c r="CQ150" s="123">
        <f t="shared" si="213"/>
        <v>0</v>
      </c>
      <c r="CR150" s="123">
        <f t="shared" si="289"/>
        <v>0</v>
      </c>
      <c r="CS150" s="123">
        <f t="shared" si="290"/>
        <v>0</v>
      </c>
      <c r="CT150" s="33">
        <f>IF(CZ149&lt;0.01,0,IF(Plus!$F$22=Plus!$AN$4,0,IF(Plus!$F$22=Plus!$AN$3,CZ149*Plus!$F$23/1000,CZ149*VLOOKUP(Plus!$G$21,Plus!$AP$2:'Plus'!$AQ$5,2,0))))</f>
        <v>0</v>
      </c>
      <c r="CU150" s="123">
        <f>IF(CZ149&lt;0.01,0,IF(Plus!$F$24=Plus!$AO$3,0,IF(OR(Plus!$F$10=Plus!$AK$7,Plus!$F$10=Plus!$AK$13),0,Plus!$G$13*Plus!$AR$2)))</f>
        <v>0</v>
      </c>
      <c r="CV150" s="123">
        <f>IF(CZ149&lt;0.01,0,IF(OR(Plus!$F$10=Plus!$AK$7,Plus!$F$10=Plus!$AK$13),0,Plus!$BD$2*1.16))</f>
        <v>0</v>
      </c>
      <c r="CW150" s="123">
        <f>IF(CZ149&lt;0.01,0,IF(Plus!$AS$2&gt;0,CQ150*Plus!$AS$3,0))</f>
        <v>0</v>
      </c>
      <c r="CX150" s="123">
        <f t="shared" si="214"/>
        <v>0</v>
      </c>
      <c r="CY150" s="123">
        <f>IF(Plus!$F$10=Plus!$AK$3,MIN(CZ149+CQ150+CT150+CU150+CV150-CX150,DK150),0)</f>
        <v>0</v>
      </c>
      <c r="CZ150" s="297">
        <f t="shared" si="294"/>
        <v>0</v>
      </c>
      <c r="DA150" s="306">
        <f>Plus!O191</f>
        <v>0</v>
      </c>
      <c r="DB150" s="74"/>
      <c r="DC150" s="74"/>
      <c r="DD150" s="407">
        <f t="shared" si="215"/>
        <v>0</v>
      </c>
      <c r="DG150" s="90">
        <f t="shared" si="216"/>
        <v>6</v>
      </c>
      <c r="DH150" s="121">
        <f t="shared" si="265"/>
        <v>0</v>
      </c>
      <c r="DJ150" s="149">
        <f t="shared" si="266"/>
        <v>0</v>
      </c>
      <c r="DK150" s="2179">
        <f t="shared" ca="1" si="217"/>
        <v>0</v>
      </c>
      <c r="DN150" s="120">
        <f t="shared" si="267"/>
        <v>0</v>
      </c>
      <c r="DO150" s="110">
        <f t="shared" si="218"/>
        <v>0</v>
      </c>
      <c r="DP150" s="110">
        <f t="shared" si="276"/>
        <v>0</v>
      </c>
      <c r="DQ150" s="109">
        <f t="shared" si="219"/>
        <v>0</v>
      </c>
      <c r="DR150" s="109">
        <f t="shared" si="220"/>
        <v>0</v>
      </c>
      <c r="DS150" s="113">
        <f t="shared" si="221"/>
        <v>0</v>
      </c>
      <c r="DU150" s="102">
        <f t="shared" si="222"/>
        <v>0</v>
      </c>
      <c r="DV150" s="211">
        <f t="shared" si="277"/>
        <v>126</v>
      </c>
      <c r="DW150" s="212">
        <f t="shared" si="223"/>
        <v>0</v>
      </c>
      <c r="DX150" s="212">
        <f t="shared" si="178"/>
        <v>0</v>
      </c>
      <c r="DY150" s="212">
        <f t="shared" si="268"/>
        <v>0</v>
      </c>
      <c r="DZ150" s="213">
        <f t="shared" si="179"/>
        <v>1000000</v>
      </c>
      <c r="ED150" s="182"/>
      <c r="EF150" s="308">
        <f t="shared" ca="1" si="180"/>
        <v>9</v>
      </c>
      <c r="EG150" s="309">
        <f t="shared" si="224"/>
        <v>0</v>
      </c>
      <c r="EH150" s="268">
        <f t="shared" si="181"/>
        <v>0</v>
      </c>
      <c r="EI150" s="33">
        <f t="shared" si="225"/>
        <v>0</v>
      </c>
      <c r="EJ150" s="33">
        <f t="shared" si="291"/>
        <v>0</v>
      </c>
      <c r="EK150" s="33">
        <f t="shared" si="297"/>
        <v>0</v>
      </c>
      <c r="EL150" s="33">
        <f>IF(ER149&lt;0.01,0,IF(Plus!$F$22=Plus!$AN$4,0,IF(Plus!$F$22=Plus!$AN$3,ER149*Plus!$F$23/1000,ER149*VLOOKUP(Plus!$G$21,Plus!$AP$2:'Plus'!$AQ$5,2,0))))</f>
        <v>0</v>
      </c>
      <c r="EM150" s="33">
        <f>IF(ER149&lt;0.01,0,IF(Plus!$F$24=Plus!$AO$3,0,IF(OR(Plus!$F$10=Plus!$AK$7,Plus!$F$10=Plus!$AK$13),0,Plus!$G$13*Plus!$AR$2)))</f>
        <v>0</v>
      </c>
      <c r="EN150" s="33">
        <f>IF(ER149&lt;0.01,0,IF(OR(Plus!$F$10=Plus!$AK$7,Plus!$F$10=Plus!$AK$13),0,Plus!$BD$2*1.16))</f>
        <v>0</v>
      </c>
      <c r="EO150" s="33">
        <f>IF(ER149&lt;0.01,0,IF(Plus!$AS$2&gt;0,EI150*Plus!$AS$3,0))</f>
        <v>0</v>
      </c>
      <c r="EP150" s="33">
        <f t="shared" si="226"/>
        <v>0</v>
      </c>
      <c r="EQ150" s="33">
        <f>IF(Plus!$F$10=Plus!$AK$3,MIN(ER149+EI150+EL150+EM150+EN150-EP150,FC150),0)</f>
        <v>0</v>
      </c>
      <c r="ER150" s="311">
        <f t="shared" si="285"/>
        <v>0</v>
      </c>
      <c r="ES150" s="340">
        <f>Plus!O191</f>
        <v>0</v>
      </c>
      <c r="ET150" s="74"/>
      <c r="EU150" s="74"/>
      <c r="EV150" s="416">
        <f t="shared" si="281"/>
        <v>0</v>
      </c>
      <c r="EY150" s="90">
        <f t="shared" si="227"/>
        <v>6</v>
      </c>
      <c r="EZ150" s="121">
        <f t="shared" si="269"/>
        <v>0</v>
      </c>
      <c r="FB150" s="149">
        <f t="shared" si="270"/>
        <v>0</v>
      </c>
      <c r="FC150" s="2179">
        <f t="shared" ca="1" si="228"/>
        <v>0</v>
      </c>
      <c r="FE150" s="120">
        <f t="shared" si="271"/>
        <v>0</v>
      </c>
      <c r="FF150" s="110">
        <f t="shared" si="229"/>
        <v>0</v>
      </c>
      <c r="FG150" s="110">
        <f t="shared" si="230"/>
        <v>0</v>
      </c>
      <c r="FH150" s="109">
        <f t="shared" si="231"/>
        <v>0</v>
      </c>
      <c r="FI150" s="109">
        <f t="shared" si="182"/>
        <v>0</v>
      </c>
      <c r="FJ150" s="113">
        <f t="shared" si="232"/>
        <v>0</v>
      </c>
      <c r="FL150" s="102">
        <f t="shared" si="233"/>
        <v>0</v>
      </c>
      <c r="FM150" s="211">
        <f t="shared" si="278"/>
        <v>126</v>
      </c>
      <c r="FN150" s="212">
        <f t="shared" si="234"/>
        <v>0</v>
      </c>
      <c r="FO150" s="212">
        <f t="shared" si="183"/>
        <v>0</v>
      </c>
      <c r="FP150" s="212">
        <f t="shared" si="306"/>
        <v>0</v>
      </c>
      <c r="FQ150" s="213">
        <f t="shared" si="184"/>
        <v>1000000</v>
      </c>
      <c r="FV150" s="359"/>
      <c r="FX150" s="308">
        <f t="shared" ca="1" si="185"/>
        <v>9</v>
      </c>
      <c r="FY150" s="309">
        <f t="shared" si="235"/>
        <v>0</v>
      </c>
      <c r="FZ150" s="268">
        <f t="shared" si="186"/>
        <v>0</v>
      </c>
      <c r="GA150" s="33">
        <f t="shared" si="236"/>
        <v>0</v>
      </c>
      <c r="GB150" s="33">
        <f t="shared" si="292"/>
        <v>0</v>
      </c>
      <c r="GC150" s="33">
        <f t="shared" si="293"/>
        <v>0</v>
      </c>
      <c r="GD150" s="33">
        <f>IF(GJ149&lt;0.01,0,IF(Plus!$F$22=Plus!$AN$4,0,IF(Plus!$F$22=Plus!$AN$3,GJ149*Plus!$F$23/1000,GJ149*VLOOKUP(Plus!$G$21,Plus!$AP$2:$AQ$5,2,0))))</f>
        <v>0</v>
      </c>
      <c r="GE150" s="33">
        <f>IF(GJ149&lt;0.01,0,IF(Plus!$F$24=Plus!$AO$3,0,IF(OR(Plus!$F$10=Plus!$AK$7,Plus!$F$10=Plus!$AK$13,Plus!$F$10=Plus!$AK$14),0,IF(OR(Plus!$F$10=Plus!$AK$10,Plus!$F$10=Plus!$AK$11),Plus!$G$13*Adm!$W$7,Plus!$G$13*Adm!$X$4))))</f>
        <v>0</v>
      </c>
      <c r="GF150" s="33">
        <f>IF(GJ149&lt;0.01,0,IF(OR(Plus!$F$10=Plus!$AK$7,Plus!$F$10=Plus!$AK$13),0,Plus!$BD$2*1.16))</f>
        <v>0</v>
      </c>
      <c r="GG150" s="33">
        <f>IF(GJ149&lt;0.01,0,IF(Plus!$AS$2&gt;0,GA150*Plus!$AS$3,0))</f>
        <v>0</v>
      </c>
      <c r="GH150" s="33">
        <f t="shared" si="237"/>
        <v>0</v>
      </c>
      <c r="GI150" s="33">
        <f>IF(Plus!$F$10=Plus!$AK$3,MIN(GJ149+GA150+GD150+GE150+GF150-GH150,GU150),0)</f>
        <v>0</v>
      </c>
      <c r="GJ150" s="311">
        <f t="shared" si="286"/>
        <v>0</v>
      </c>
      <c r="GK150" s="340">
        <f>Plus!O191</f>
        <v>0</v>
      </c>
      <c r="GL150" s="74"/>
      <c r="GM150" s="74"/>
      <c r="GN150" s="419">
        <f t="shared" si="283"/>
        <v>0</v>
      </c>
      <c r="GQ150" s="90">
        <f t="shared" si="238"/>
        <v>6</v>
      </c>
      <c r="GR150" s="121">
        <f t="shared" si="272"/>
        <v>0</v>
      </c>
      <c r="GT150" s="149">
        <f t="shared" si="273"/>
        <v>0</v>
      </c>
      <c r="GU150" s="2179">
        <f t="shared" ca="1" si="239"/>
        <v>0</v>
      </c>
      <c r="GW150" s="120">
        <f t="shared" si="274"/>
        <v>0</v>
      </c>
      <c r="GX150" s="110">
        <f t="shared" si="240"/>
        <v>0</v>
      </c>
      <c r="GY150" s="110">
        <f t="shared" si="241"/>
        <v>0</v>
      </c>
      <c r="GZ150" s="109">
        <f t="shared" si="242"/>
        <v>0</v>
      </c>
      <c r="HA150" s="109">
        <f t="shared" si="187"/>
        <v>0</v>
      </c>
      <c r="HB150" s="113">
        <f t="shared" si="243"/>
        <v>0</v>
      </c>
      <c r="HD150" s="102">
        <f t="shared" si="244"/>
        <v>0</v>
      </c>
      <c r="HE150" s="211">
        <f t="shared" si="279"/>
        <v>126</v>
      </c>
      <c r="HF150" s="212">
        <f t="shared" si="245"/>
        <v>0</v>
      </c>
      <c r="HG150" s="212">
        <f t="shared" si="188"/>
        <v>0</v>
      </c>
      <c r="HH150" s="212">
        <f t="shared" si="307"/>
        <v>0</v>
      </c>
      <c r="HI150" s="213">
        <f t="shared" si="189"/>
        <v>1000000</v>
      </c>
      <c r="HL150" s="182"/>
      <c r="HM150" s="26">
        <f t="shared" ca="1" si="190"/>
        <v>9</v>
      </c>
      <c r="HO150" s="268">
        <f t="shared" si="191"/>
        <v>0</v>
      </c>
      <c r="HP150" s="151">
        <f t="shared" si="302"/>
        <v>0</v>
      </c>
      <c r="HQ150" s="123">
        <f t="shared" si="246"/>
        <v>0</v>
      </c>
      <c r="HR150" s="123">
        <f t="shared" si="247"/>
        <v>0</v>
      </c>
      <c r="HS150" s="123">
        <f t="shared" si="248"/>
        <v>0</v>
      </c>
      <c r="HT150" s="123">
        <f>IF(HY149&lt;0.01,0,IF(Adm!$GS$4=Adm!$GS$8,HY149*$HY$15,IF(Adm!$GS$12=Adm!$GS$13,0,HY149*Adm!$GV$4)))</f>
        <v>0</v>
      </c>
      <c r="HU150" s="123">
        <f>IF(HY149&lt;0.01,0,IF(Adm!$GS$5=Adm!$GS$8,Cal!$BO$108*$HY$16/1.16,IF(Adm!$GS$12=Adm!$GS$13,0,Cal!$BO$108*Adm!$GW$4/1.16)))</f>
        <v>0</v>
      </c>
      <c r="HV150" s="123">
        <f t="shared" si="249"/>
        <v>0</v>
      </c>
      <c r="HW150" s="123">
        <f t="shared" si="192"/>
        <v>0</v>
      </c>
      <c r="HX150" s="123">
        <f>IF(Adm!$GH$6="si",MIN(HY149+HQ150+HT150+HU150+HV150-HW150,IH150),0)</f>
        <v>0</v>
      </c>
      <c r="HY150" s="297">
        <f t="shared" si="250"/>
        <v>0</v>
      </c>
      <c r="HZ150" s="74"/>
      <c r="IA150" s="407">
        <f t="shared" si="251"/>
        <v>0</v>
      </c>
      <c r="IC150" s="90">
        <f t="shared" si="252"/>
        <v>6</v>
      </c>
      <c r="ID150" s="124">
        <f>IF(IC150=1,Cal!$BO$127,0)</f>
        <v>0</v>
      </c>
      <c r="IE150" s="178">
        <f>IF(IC150=1,Adm!$HI$4,0)</f>
        <v>0</v>
      </c>
      <c r="IG150" s="70">
        <f t="shared" si="275"/>
        <v>0</v>
      </c>
      <c r="IH150" s="2178">
        <f t="shared" ca="1" si="253"/>
        <v>0</v>
      </c>
      <c r="IK150" s="217"/>
      <c r="IL150" s="26">
        <f t="shared" ca="1" si="193"/>
        <v>9</v>
      </c>
      <c r="IN150" s="268">
        <f t="shared" si="194"/>
        <v>0</v>
      </c>
      <c r="IO150" s="151">
        <f t="shared" si="303"/>
        <v>0</v>
      </c>
      <c r="IP150" s="123">
        <f t="shared" si="254"/>
        <v>0</v>
      </c>
      <c r="IQ150" s="123">
        <f t="shared" si="255"/>
        <v>0</v>
      </c>
      <c r="IR150" s="123">
        <f t="shared" si="256"/>
        <v>0</v>
      </c>
      <c r="IS150" s="123">
        <f>IF(IX149&lt;0.01,0,IF(Adm!$GS$4=Adm!$GS$8,IX149*$IX$15,IF(Adm!$GS$12=Adm!$GS$13,0,IX149*Adm!$GV$4)))</f>
        <v>0</v>
      </c>
      <c r="IT150" s="123"/>
      <c r="IU150" s="123">
        <f t="shared" si="257"/>
        <v>0</v>
      </c>
      <c r="IV150" s="123">
        <f t="shared" si="258"/>
        <v>0</v>
      </c>
      <c r="IW150" s="123"/>
      <c r="IX150" s="297">
        <f t="shared" si="259"/>
        <v>0</v>
      </c>
      <c r="IY150" s="74"/>
      <c r="IZ150" s="416">
        <f t="shared" si="260"/>
        <v>0</v>
      </c>
      <c r="JB150" s="90">
        <f t="shared" si="261"/>
        <v>6</v>
      </c>
      <c r="JC150" s="124">
        <f>IF(JB150=1,Cal!$BP$127,0)</f>
        <v>0</v>
      </c>
      <c r="JD150" s="178">
        <f>IF(JB150=1,Adm!$HI$4,0)</f>
        <v>0</v>
      </c>
    </row>
    <row r="151" spans="1:264">
      <c r="A151" s="26">
        <f t="shared" ca="1" si="162"/>
        <v>10</v>
      </c>
      <c r="C151" s="33">
        <f t="shared" si="163"/>
        <v>0</v>
      </c>
      <c r="D151" s="123">
        <f t="shared" si="195"/>
        <v>0</v>
      </c>
      <c r="E151" s="123">
        <f t="shared" si="287"/>
        <v>0</v>
      </c>
      <c r="F151" s="123">
        <f t="shared" si="295"/>
        <v>0</v>
      </c>
      <c r="G151" s="123">
        <f>IF(L150&lt;0.01,0,IF(Adm!$S$4=Adm!$S$8,L150*$L$15,L150*Adm!$V$4))</f>
        <v>0</v>
      </c>
      <c r="H151" s="123">
        <f>IF(L150&lt;0.01,0,IF(Adm!$S$5=Adm!$S$8,Adm!$AA$11*$L$16/1.16,IF(Adm!$B$4=Adm!$A$119,0,Adm!$AA$11*Adm!$X$4/1.16)))</f>
        <v>0</v>
      </c>
      <c r="I151" s="123">
        <f>IF(L150&lt;0.01,0,Cal!$AB$126/1.16)</f>
        <v>0</v>
      </c>
      <c r="J151" s="123">
        <f t="shared" si="164"/>
        <v>0</v>
      </c>
      <c r="K151" s="123">
        <f>IF(Adm!$G$4="si",MIN(L150+D151+G151+H151+I151-J151,V151),0)</f>
        <v>0</v>
      </c>
      <c r="L151" s="123">
        <f t="shared" si="196"/>
        <v>0</v>
      </c>
      <c r="M151" s="74"/>
      <c r="N151" s="74"/>
      <c r="O151" s="407">
        <f t="shared" si="197"/>
        <v>0</v>
      </c>
      <c r="R151" s="90">
        <f t="shared" si="198"/>
        <v>7</v>
      </c>
      <c r="S151" s="121">
        <f>IF(R151=1,Cal!$AB$127,0)</f>
        <v>0</v>
      </c>
      <c r="U151" s="70">
        <f t="shared" si="262"/>
        <v>0</v>
      </c>
      <c r="V151" s="2178">
        <f t="shared" ca="1" si="199"/>
        <v>0</v>
      </c>
      <c r="X151" s="398"/>
      <c r="Z151" s="268">
        <f t="shared" si="165"/>
        <v>0</v>
      </c>
      <c r="AA151" s="2176">
        <f t="shared" si="200"/>
        <v>0</v>
      </c>
      <c r="AB151" s="33">
        <f t="shared" si="201"/>
        <v>0</v>
      </c>
      <c r="AC151" s="33">
        <f t="shared" si="202"/>
        <v>0</v>
      </c>
      <c r="AD151" s="33">
        <f>IF(AI150&lt;0.01,0,IF(Adm!$S$4=Adm!$S$8,AI150*$AI$15,AI150*Adm!$V$4))</f>
        <v>0</v>
      </c>
      <c r="AE151" s="33"/>
      <c r="AF151" s="33"/>
      <c r="AG151" s="33">
        <f t="shared" si="166"/>
        <v>0</v>
      </c>
      <c r="AH151" s="33"/>
      <c r="AI151" s="401">
        <f t="shared" si="167"/>
        <v>0</v>
      </c>
      <c r="AK151" s="410">
        <f t="shared" si="168"/>
        <v>0</v>
      </c>
      <c r="AN151" s="90">
        <f t="shared" si="203"/>
        <v>7</v>
      </c>
      <c r="AO151" s="121">
        <f>IF(AN151=1,Cal!$AC$127,0)</f>
        <v>0</v>
      </c>
      <c r="AS151" s="200"/>
      <c r="AU151" s="268">
        <f t="shared" si="169"/>
        <v>0</v>
      </c>
      <c r="AV151" s="2177">
        <f t="shared" si="204"/>
        <v>0</v>
      </c>
      <c r="AW151" s="123">
        <f t="shared" si="170"/>
        <v>0</v>
      </c>
      <c r="AX151" s="123">
        <f t="shared" si="205"/>
        <v>0</v>
      </c>
      <c r="AY151" s="123">
        <f>IF(BC150&lt;0.01,0,IF(Adm!$S$4=Adm!$S$8,BC150*$BC$16,BC150*Adm!$V$4))</f>
        <v>0</v>
      </c>
      <c r="AZ151" s="123"/>
      <c r="BA151" s="123">
        <f>IF(BC150&lt;0.01,0,Adm!$Q$6)</f>
        <v>0</v>
      </c>
      <c r="BB151" s="123">
        <f t="shared" si="171"/>
        <v>0</v>
      </c>
      <c r="BC151" s="297">
        <f t="shared" si="206"/>
        <v>0</v>
      </c>
      <c r="BE151" s="425">
        <f t="shared" si="172"/>
        <v>0</v>
      </c>
      <c r="BH151" s="90">
        <f t="shared" si="207"/>
        <v>7</v>
      </c>
      <c r="BI151" s="121">
        <f>IF(BH151=1,Cal!$AD$127,0)</f>
        <v>0</v>
      </c>
      <c r="BM151" s="221"/>
      <c r="BO151" s="295">
        <f t="shared" ca="1" si="173"/>
        <v>10</v>
      </c>
      <c r="BP151" s="268">
        <f t="shared" si="174"/>
        <v>0</v>
      </c>
      <c r="BQ151" s="123">
        <f t="shared" si="208"/>
        <v>0</v>
      </c>
      <c r="BR151" s="123">
        <f t="shared" si="288"/>
        <v>0</v>
      </c>
      <c r="BS151" s="123">
        <f t="shared" si="296"/>
        <v>0</v>
      </c>
      <c r="BT151" s="123">
        <f>IF(BZ150&lt;0.01,0,IF(Plus!$F$22=Plus!$AN$4,BZ150*$BZ$15,IF(Plus!$F$22=Plus!$AN$3,BZ150*Plus!$F$23/1000,BZ150*VLOOKUP(Plus!$G$21,Plus!$AP$2:'Plus'!$AQ$5,2,0))))</f>
        <v>0</v>
      </c>
      <c r="BU151" s="123">
        <f>IF(BZ150&lt;0.01,0,IF(Plus!$F$24=Plus!$AO$3,Plus!$G$13*Plus!$AR$2/1.16,IF(Plus!$F$10=Plus!$AK$7,0,Plus!$G$13*Plus!$AR$2/1.16)))</f>
        <v>0</v>
      </c>
      <c r="BV151" s="123">
        <f>IF(BZ150&lt;0.01,0,Plus!$BD$2)</f>
        <v>0</v>
      </c>
      <c r="BW151" s="123"/>
      <c r="BX151" s="123">
        <f t="shared" si="175"/>
        <v>0</v>
      </c>
      <c r="BY151" s="123">
        <f>IF(Plus!$F$10=Plus!$AK$3,MIN(BZ150+BQ151+BT151+BU151+BV151-BX151,CJ151),0)</f>
        <v>0</v>
      </c>
      <c r="BZ151" s="297">
        <f t="shared" si="280"/>
        <v>0</v>
      </c>
      <c r="CA151" s="74"/>
      <c r="CB151" s="74"/>
      <c r="CC151" s="413">
        <f t="shared" si="209"/>
        <v>0</v>
      </c>
      <c r="CF151" s="90">
        <f t="shared" si="210"/>
        <v>7</v>
      </c>
      <c r="CG151" s="121">
        <f t="shared" si="263"/>
        <v>0</v>
      </c>
      <c r="CI151" s="70">
        <f t="shared" si="264"/>
        <v>0</v>
      </c>
      <c r="CJ151" s="2178">
        <f t="shared" ca="1" si="211"/>
        <v>0</v>
      </c>
      <c r="CL151" s="161"/>
      <c r="CN151" s="308">
        <f t="shared" ca="1" si="176"/>
        <v>10</v>
      </c>
      <c r="CO151" s="309">
        <f t="shared" si="212"/>
        <v>0</v>
      </c>
      <c r="CP151" s="268">
        <f t="shared" si="177"/>
        <v>0</v>
      </c>
      <c r="CQ151" s="123">
        <f t="shared" si="213"/>
        <v>0</v>
      </c>
      <c r="CR151" s="123">
        <f t="shared" si="289"/>
        <v>0</v>
      </c>
      <c r="CS151" s="123">
        <f t="shared" si="290"/>
        <v>0</v>
      </c>
      <c r="CT151" s="33">
        <f>IF(CZ150&lt;0.01,0,IF(Plus!$F$22=Plus!$AN$4,0,IF(Plus!$F$22=Plus!$AN$3,CZ150*Plus!$F$23/1000,CZ150*VLOOKUP(Plus!$G$21,Plus!$AP$2:'Plus'!$AQ$5,2,0))))</f>
        <v>0</v>
      </c>
      <c r="CU151" s="123">
        <f>IF(CZ150&lt;0.01,0,IF(Plus!$F$24=Plus!$AO$3,0,IF(OR(Plus!$F$10=Plus!$AK$7,Plus!$F$10=Plus!$AK$13),0,Plus!$G$13*Plus!$AR$2)))</f>
        <v>0</v>
      </c>
      <c r="CV151" s="123">
        <f>IF(CZ150&lt;0.01,0,IF(OR(Plus!$F$10=Plus!$AK$7,Plus!$F$10=Plus!$AK$13),0,Plus!$BD$2*1.16))</f>
        <v>0</v>
      </c>
      <c r="CW151" s="123">
        <f>IF(CZ150&lt;0.01,0,IF(Plus!$AS$2&gt;0,CQ151*Plus!$AS$3,0))</f>
        <v>0</v>
      </c>
      <c r="CX151" s="123">
        <f t="shared" si="214"/>
        <v>0</v>
      </c>
      <c r="CY151" s="123">
        <f>IF(Plus!$F$10=Plus!$AK$3,MIN(CZ150+CQ151+CT151+CU151+CV151-CX151,DK151),0)</f>
        <v>0</v>
      </c>
      <c r="CZ151" s="297">
        <f t="shared" si="294"/>
        <v>0</v>
      </c>
      <c r="DA151" s="306">
        <f>Plus!O192</f>
        <v>0</v>
      </c>
      <c r="DB151" s="74"/>
      <c r="DC151" s="74"/>
      <c r="DD151" s="407">
        <f t="shared" si="215"/>
        <v>0</v>
      </c>
      <c r="DG151" s="90">
        <f t="shared" si="216"/>
        <v>7</v>
      </c>
      <c r="DH151" s="121">
        <f t="shared" si="265"/>
        <v>0</v>
      </c>
      <c r="DJ151" s="149">
        <f t="shared" si="266"/>
        <v>0</v>
      </c>
      <c r="DK151" s="2179">
        <f t="shared" ca="1" si="217"/>
        <v>0</v>
      </c>
      <c r="DN151" s="120">
        <f t="shared" si="267"/>
        <v>0</v>
      </c>
      <c r="DO151" s="110">
        <f t="shared" si="218"/>
        <v>0</v>
      </c>
      <c r="DP151" s="110">
        <f t="shared" si="276"/>
        <v>0</v>
      </c>
      <c r="DQ151" s="109">
        <f t="shared" si="219"/>
        <v>0</v>
      </c>
      <c r="DR151" s="109">
        <f t="shared" si="220"/>
        <v>0</v>
      </c>
      <c r="DS151" s="113">
        <f t="shared" si="221"/>
        <v>0</v>
      </c>
      <c r="DU151" s="102">
        <f t="shared" si="222"/>
        <v>0</v>
      </c>
      <c r="DV151" s="211">
        <f t="shared" si="277"/>
        <v>127</v>
      </c>
      <c r="DW151" s="212">
        <f t="shared" si="223"/>
        <v>0</v>
      </c>
      <c r="DX151" s="212">
        <f t="shared" si="178"/>
        <v>0</v>
      </c>
      <c r="DY151" s="212">
        <f t="shared" si="268"/>
        <v>0</v>
      </c>
      <c r="DZ151" s="213">
        <f t="shared" si="179"/>
        <v>1000000</v>
      </c>
      <c r="ED151" s="182"/>
      <c r="EF151" s="308">
        <f t="shared" ca="1" si="180"/>
        <v>10</v>
      </c>
      <c r="EG151" s="309">
        <f t="shared" si="224"/>
        <v>0</v>
      </c>
      <c r="EH151" s="268">
        <f t="shared" si="181"/>
        <v>0</v>
      </c>
      <c r="EI151" s="33">
        <f t="shared" si="225"/>
        <v>0</v>
      </c>
      <c r="EJ151" s="33">
        <f t="shared" si="291"/>
        <v>0</v>
      </c>
      <c r="EK151" s="33">
        <f t="shared" si="297"/>
        <v>0</v>
      </c>
      <c r="EL151" s="33">
        <f>IF(ER150&lt;0.01,0,IF(Plus!$F$22=Plus!$AN$4,0,IF(Plus!$F$22=Plus!$AN$3,ER150*Plus!$F$23/1000,ER150*VLOOKUP(Plus!$G$21,Plus!$AP$2:'Plus'!$AQ$5,2,0))))</f>
        <v>0</v>
      </c>
      <c r="EM151" s="33">
        <f>IF(ER150&lt;0.01,0,IF(Plus!$F$24=Plus!$AO$3,0,IF(OR(Plus!$F$10=Plus!$AK$7,Plus!$F$10=Plus!$AK$13),0,Plus!$G$13*Plus!$AR$2)))</f>
        <v>0</v>
      </c>
      <c r="EN151" s="33">
        <f>IF(ER150&lt;0.01,0,IF(OR(Plus!$F$10=Plus!$AK$7,Plus!$F$10=Plus!$AK$13),0,Plus!$BD$2*1.16))</f>
        <v>0</v>
      </c>
      <c r="EO151" s="33">
        <f>IF(ER150&lt;0.01,0,IF(Plus!$AS$2&gt;0,EI151*Plus!$AS$3,0))</f>
        <v>0</v>
      </c>
      <c r="EP151" s="33">
        <f t="shared" si="226"/>
        <v>0</v>
      </c>
      <c r="EQ151" s="33">
        <f>IF(Plus!$F$10=Plus!$AK$3,MIN(ER150+EI151+EL151+EM151+EN151-EP151,FC151),0)</f>
        <v>0</v>
      </c>
      <c r="ER151" s="311">
        <f t="shared" si="285"/>
        <v>0</v>
      </c>
      <c r="ES151" s="340">
        <f>Plus!O192</f>
        <v>0</v>
      </c>
      <c r="ET151" s="74"/>
      <c r="EU151" s="74"/>
      <c r="EV151" s="416">
        <f t="shared" si="281"/>
        <v>0</v>
      </c>
      <c r="EY151" s="90">
        <f t="shared" si="227"/>
        <v>7</v>
      </c>
      <c r="EZ151" s="121">
        <f t="shared" si="269"/>
        <v>0</v>
      </c>
      <c r="FB151" s="149">
        <f t="shared" si="270"/>
        <v>0</v>
      </c>
      <c r="FC151" s="2179">
        <f t="shared" ca="1" si="228"/>
        <v>0</v>
      </c>
      <c r="FE151" s="120">
        <f t="shared" si="271"/>
        <v>0</v>
      </c>
      <c r="FF151" s="110">
        <f t="shared" si="229"/>
        <v>0</v>
      </c>
      <c r="FG151" s="110">
        <f t="shared" si="230"/>
        <v>0</v>
      </c>
      <c r="FH151" s="109">
        <f t="shared" si="231"/>
        <v>0</v>
      </c>
      <c r="FI151" s="109">
        <f t="shared" si="182"/>
        <v>0</v>
      </c>
      <c r="FJ151" s="113">
        <f t="shared" si="232"/>
        <v>0</v>
      </c>
      <c r="FL151" s="102">
        <f t="shared" si="233"/>
        <v>0</v>
      </c>
      <c r="FM151" s="211">
        <f t="shared" si="278"/>
        <v>127</v>
      </c>
      <c r="FN151" s="212">
        <f t="shared" si="234"/>
        <v>0</v>
      </c>
      <c r="FO151" s="212">
        <f t="shared" si="183"/>
        <v>0</v>
      </c>
      <c r="FP151" s="212">
        <f t="shared" si="306"/>
        <v>0</v>
      </c>
      <c r="FQ151" s="213">
        <f t="shared" si="184"/>
        <v>1000000</v>
      </c>
      <c r="FV151" s="359"/>
      <c r="FX151" s="308">
        <f t="shared" ca="1" si="185"/>
        <v>10</v>
      </c>
      <c r="FY151" s="309">
        <f t="shared" si="235"/>
        <v>0</v>
      </c>
      <c r="FZ151" s="268">
        <f t="shared" si="186"/>
        <v>0</v>
      </c>
      <c r="GA151" s="33">
        <f t="shared" si="236"/>
        <v>0</v>
      </c>
      <c r="GB151" s="33">
        <f t="shared" si="292"/>
        <v>0</v>
      </c>
      <c r="GC151" s="33">
        <f t="shared" si="293"/>
        <v>0</v>
      </c>
      <c r="GD151" s="33">
        <f>IF(GJ150&lt;0.01,0,IF(Plus!$F$22=Plus!$AN$4,0,IF(Plus!$F$22=Plus!$AN$3,GJ150*Plus!$F$23/1000,GJ150*VLOOKUP(Plus!$G$21,Plus!$AP$2:$AQ$5,2,0))))</f>
        <v>0</v>
      </c>
      <c r="GE151" s="33">
        <f>IF(GJ150&lt;0.01,0,IF(Plus!$F$24=Plus!$AO$3,0,IF(OR(Plus!$F$10=Plus!$AK$7,Plus!$F$10=Plus!$AK$13,Plus!$F$10=Plus!$AK$14),0,IF(OR(Plus!$F$10=Plus!$AK$10,Plus!$F$10=Plus!$AK$11),Plus!$G$13*Adm!$W$7,Plus!$G$13*Adm!$X$4))))</f>
        <v>0</v>
      </c>
      <c r="GF151" s="33">
        <f>IF(GJ150&lt;0.01,0,IF(OR(Plus!$F$10=Plus!$AK$7,Plus!$F$10=Plus!$AK$13),0,Plus!$BD$2*1.16))</f>
        <v>0</v>
      </c>
      <c r="GG151" s="33">
        <f>IF(GJ150&lt;0.01,0,IF(Plus!$AS$2&gt;0,GA151*Plus!$AS$3,0))</f>
        <v>0</v>
      </c>
      <c r="GH151" s="33">
        <f t="shared" si="237"/>
        <v>0</v>
      </c>
      <c r="GI151" s="33">
        <f>IF(Plus!$F$10=Plus!$AK$3,MIN(GJ150+GA151+GD151+GE151+GF151-GH151,GU151),0)</f>
        <v>0</v>
      </c>
      <c r="GJ151" s="311">
        <f t="shared" si="286"/>
        <v>0</v>
      </c>
      <c r="GK151" s="340">
        <f>Plus!O192</f>
        <v>0</v>
      </c>
      <c r="GL151" s="74"/>
      <c r="GM151" s="74"/>
      <c r="GN151" s="419">
        <f t="shared" si="283"/>
        <v>0</v>
      </c>
      <c r="GQ151" s="90">
        <f t="shared" si="238"/>
        <v>7</v>
      </c>
      <c r="GR151" s="121">
        <f t="shared" si="272"/>
        <v>0</v>
      </c>
      <c r="GT151" s="149">
        <f t="shared" si="273"/>
        <v>0</v>
      </c>
      <c r="GU151" s="2179">
        <f t="shared" ca="1" si="239"/>
        <v>0</v>
      </c>
      <c r="GW151" s="120">
        <f t="shared" si="274"/>
        <v>0</v>
      </c>
      <c r="GX151" s="110">
        <f t="shared" si="240"/>
        <v>0</v>
      </c>
      <c r="GY151" s="110">
        <f t="shared" si="241"/>
        <v>0</v>
      </c>
      <c r="GZ151" s="109">
        <f t="shared" si="242"/>
        <v>0</v>
      </c>
      <c r="HA151" s="109">
        <f t="shared" si="187"/>
        <v>0</v>
      </c>
      <c r="HB151" s="113">
        <f t="shared" si="243"/>
        <v>0</v>
      </c>
      <c r="HD151" s="102">
        <f t="shared" si="244"/>
        <v>0</v>
      </c>
      <c r="HE151" s="211">
        <f t="shared" si="279"/>
        <v>127</v>
      </c>
      <c r="HF151" s="212">
        <f t="shared" si="245"/>
        <v>0</v>
      </c>
      <c r="HG151" s="212">
        <f t="shared" si="188"/>
        <v>0</v>
      </c>
      <c r="HH151" s="212">
        <f t="shared" si="307"/>
        <v>0</v>
      </c>
      <c r="HI151" s="213">
        <f t="shared" si="189"/>
        <v>1000000</v>
      </c>
      <c r="HL151" s="182"/>
      <c r="HM151" s="26">
        <f t="shared" ca="1" si="190"/>
        <v>10</v>
      </c>
      <c r="HO151" s="268">
        <f t="shared" si="191"/>
        <v>0</v>
      </c>
      <c r="HP151" s="151">
        <f t="shared" si="302"/>
        <v>0</v>
      </c>
      <c r="HQ151" s="123">
        <f t="shared" si="246"/>
        <v>0</v>
      </c>
      <c r="HR151" s="123">
        <f t="shared" si="247"/>
        <v>0</v>
      </c>
      <c r="HS151" s="123">
        <f t="shared" si="248"/>
        <v>0</v>
      </c>
      <c r="HT151" s="123">
        <f>IF(HY150&lt;0.01,0,IF(Adm!$GS$4=Adm!$GS$8,HY150*$HY$15,IF(Adm!$GS$12=Adm!$GS$13,0,HY150*Adm!$GV$4)))</f>
        <v>0</v>
      </c>
      <c r="HU151" s="123">
        <f>IF(HY150&lt;0.01,0,IF(Adm!$GS$5=Adm!$GS$8,Cal!$BO$108*$HY$16/1.16,IF(Adm!$GS$12=Adm!$GS$13,0,Cal!$BO$108*Adm!$GW$4/1.16)))</f>
        <v>0</v>
      </c>
      <c r="HV151" s="123">
        <f t="shared" si="249"/>
        <v>0</v>
      </c>
      <c r="HW151" s="123">
        <f t="shared" si="192"/>
        <v>0</v>
      </c>
      <c r="HX151" s="123">
        <f>IF(Adm!$GH$6="si",MIN(HY150+HQ151+HT151+HU151+HV151-HW151,IH151),0)</f>
        <v>0</v>
      </c>
      <c r="HY151" s="297">
        <f t="shared" si="250"/>
        <v>0</v>
      </c>
      <c r="HZ151" s="74"/>
      <c r="IA151" s="407">
        <f t="shared" si="251"/>
        <v>0</v>
      </c>
      <c r="IC151" s="90">
        <f t="shared" si="252"/>
        <v>7</v>
      </c>
      <c r="ID151" s="124">
        <f>IF(IC151=1,Cal!$BO$127,0)</f>
        <v>0</v>
      </c>
      <c r="IE151" s="178">
        <f>IF(IC151=1,Adm!$HI$4,0)</f>
        <v>0</v>
      </c>
      <c r="IG151" s="70">
        <f t="shared" si="275"/>
        <v>0</v>
      </c>
      <c r="IH151" s="2178">
        <f t="shared" ca="1" si="253"/>
        <v>0</v>
      </c>
      <c r="IK151" s="217"/>
      <c r="IL151" s="26">
        <f t="shared" ca="1" si="193"/>
        <v>10</v>
      </c>
      <c r="IN151" s="268">
        <f t="shared" si="194"/>
        <v>0</v>
      </c>
      <c r="IO151" s="151">
        <f t="shared" si="303"/>
        <v>0</v>
      </c>
      <c r="IP151" s="123">
        <f t="shared" si="254"/>
        <v>0</v>
      </c>
      <c r="IQ151" s="123">
        <f t="shared" si="255"/>
        <v>0</v>
      </c>
      <c r="IR151" s="123">
        <f t="shared" si="256"/>
        <v>0</v>
      </c>
      <c r="IS151" s="123">
        <f>IF(IX150&lt;0.01,0,IF(Adm!$GS$4=Adm!$GS$8,IX150*$IX$15,IF(Adm!$GS$12=Adm!$GS$13,0,IX150*Adm!$GV$4)))</f>
        <v>0</v>
      </c>
      <c r="IT151" s="123"/>
      <c r="IU151" s="123">
        <f t="shared" si="257"/>
        <v>0</v>
      </c>
      <c r="IV151" s="123">
        <f t="shared" si="258"/>
        <v>0</v>
      </c>
      <c r="IW151" s="123"/>
      <c r="IX151" s="297">
        <f t="shared" si="259"/>
        <v>0</v>
      </c>
      <c r="IY151" s="74"/>
      <c r="IZ151" s="416">
        <f t="shared" si="260"/>
        <v>0</v>
      </c>
      <c r="JB151" s="90">
        <f t="shared" si="261"/>
        <v>7</v>
      </c>
      <c r="JC151" s="124">
        <f>IF(JB151=1,Cal!$BP$127,0)</f>
        <v>0</v>
      </c>
      <c r="JD151" s="178">
        <f>IF(JB151=1,Adm!$HI$4,0)</f>
        <v>0</v>
      </c>
    </row>
    <row r="152" spans="1:264">
      <c r="A152" s="26">
        <f t="shared" ca="1" si="162"/>
        <v>11</v>
      </c>
      <c r="C152" s="33">
        <f t="shared" si="163"/>
        <v>0</v>
      </c>
      <c r="D152" s="123">
        <f t="shared" si="195"/>
        <v>0</v>
      </c>
      <c r="E152" s="123">
        <f t="shared" si="287"/>
        <v>0</v>
      </c>
      <c r="F152" s="123">
        <f t="shared" si="295"/>
        <v>0</v>
      </c>
      <c r="G152" s="123">
        <f>IF(L151&lt;0.01,0,IF(Adm!$S$4=Adm!$S$8,L151*$L$15,L151*Adm!$V$4))</f>
        <v>0</v>
      </c>
      <c r="H152" s="123">
        <f>IF(L151&lt;0.01,0,IF(Adm!$S$5=Adm!$S$8,Adm!$AA$11*$L$16/1.16,IF(Adm!$B$4=Adm!$A$119,0,Adm!$AA$11*Adm!$X$4/1.16)))</f>
        <v>0</v>
      </c>
      <c r="I152" s="123">
        <f>IF(L151&lt;0.01,0,Cal!$AB$126/1.16)</f>
        <v>0</v>
      </c>
      <c r="J152" s="123">
        <f t="shared" si="164"/>
        <v>0</v>
      </c>
      <c r="K152" s="123">
        <f>IF(Adm!$G$4="si",MIN(L151+D152+G152+H152+I152-J152,V152),0)</f>
        <v>0</v>
      </c>
      <c r="L152" s="123">
        <f t="shared" si="196"/>
        <v>0</v>
      </c>
      <c r="M152" s="74"/>
      <c r="N152" s="74"/>
      <c r="O152" s="407">
        <f t="shared" si="197"/>
        <v>0</v>
      </c>
      <c r="R152" s="90">
        <f t="shared" si="198"/>
        <v>8</v>
      </c>
      <c r="S152" s="121">
        <f>IF(R152=1,Cal!$AB$127,0)</f>
        <v>0</v>
      </c>
      <c r="U152" s="70">
        <f t="shared" si="262"/>
        <v>0</v>
      </c>
      <c r="V152" s="2178">
        <f t="shared" ca="1" si="199"/>
        <v>0</v>
      </c>
      <c r="X152" s="398"/>
      <c r="Z152" s="268">
        <f t="shared" si="165"/>
        <v>0</v>
      </c>
      <c r="AA152" s="2176">
        <f t="shared" si="200"/>
        <v>0</v>
      </c>
      <c r="AB152" s="33">
        <f t="shared" si="201"/>
        <v>0</v>
      </c>
      <c r="AC152" s="33">
        <f t="shared" si="202"/>
        <v>0</v>
      </c>
      <c r="AD152" s="33">
        <f>IF(AI151&lt;0.01,0,IF(Adm!$S$4=Adm!$S$8,AI151*$AI$15,AI151*Adm!$V$4))</f>
        <v>0</v>
      </c>
      <c r="AE152" s="33"/>
      <c r="AF152" s="33"/>
      <c r="AG152" s="33">
        <f t="shared" si="166"/>
        <v>0</v>
      </c>
      <c r="AH152" s="33"/>
      <c r="AI152" s="401">
        <f t="shared" si="167"/>
        <v>0</v>
      </c>
      <c r="AK152" s="410">
        <f t="shared" si="168"/>
        <v>0</v>
      </c>
      <c r="AN152" s="90">
        <f t="shared" si="203"/>
        <v>8</v>
      </c>
      <c r="AO152" s="121">
        <f>IF(AN152=1,Cal!$AC$127,0)</f>
        <v>0</v>
      </c>
      <c r="AS152" s="200"/>
      <c r="AU152" s="268">
        <f t="shared" si="169"/>
        <v>0</v>
      </c>
      <c r="AV152" s="2177">
        <f t="shared" si="204"/>
        <v>0</v>
      </c>
      <c r="AW152" s="123">
        <f t="shared" si="170"/>
        <v>0</v>
      </c>
      <c r="AX152" s="123">
        <f t="shared" si="205"/>
        <v>0</v>
      </c>
      <c r="AY152" s="123">
        <f>IF(BC151&lt;0.01,0,IF(Adm!$S$4=Adm!$S$8,BC151*$BC$16,BC151*Adm!$V$4))</f>
        <v>0</v>
      </c>
      <c r="AZ152" s="123"/>
      <c r="BA152" s="123">
        <f>IF(BC151&lt;0.01,0,Adm!$Q$6)</f>
        <v>0</v>
      </c>
      <c r="BB152" s="123">
        <f t="shared" si="171"/>
        <v>0</v>
      </c>
      <c r="BC152" s="297">
        <f t="shared" si="206"/>
        <v>0</v>
      </c>
      <c r="BE152" s="425">
        <f t="shared" si="172"/>
        <v>0</v>
      </c>
      <c r="BH152" s="90">
        <f t="shared" si="207"/>
        <v>8</v>
      </c>
      <c r="BI152" s="121">
        <f>IF(BH152=1,Cal!$AD$127,0)</f>
        <v>0</v>
      </c>
      <c r="BM152" s="221"/>
      <c r="BO152" s="295">
        <f t="shared" ca="1" si="173"/>
        <v>11</v>
      </c>
      <c r="BP152" s="268">
        <f t="shared" si="174"/>
        <v>0</v>
      </c>
      <c r="BQ152" s="123">
        <f t="shared" si="208"/>
        <v>0</v>
      </c>
      <c r="BR152" s="123">
        <f t="shared" si="288"/>
        <v>0</v>
      </c>
      <c r="BS152" s="123">
        <f t="shared" si="296"/>
        <v>0</v>
      </c>
      <c r="BT152" s="123">
        <f>IF(BZ151&lt;0.01,0,IF(Plus!$F$22=Plus!$AN$4,BZ151*$BZ$15,IF(Plus!$F$22=Plus!$AN$3,BZ151*Plus!$F$23/1000,BZ151*VLOOKUP(Plus!$G$21,Plus!$AP$2:'Plus'!$AQ$5,2,0))))</f>
        <v>0</v>
      </c>
      <c r="BU152" s="123">
        <f>IF(BZ151&lt;0.01,0,IF(Plus!$F$24=Plus!$AO$3,Plus!$G$13*Plus!$AR$2/1.16,IF(Plus!$F$10=Plus!$AK$7,0,Plus!$G$13*Plus!$AR$2/1.16)))</f>
        <v>0</v>
      </c>
      <c r="BV152" s="123">
        <f>IF(BZ151&lt;0.01,0,Plus!$BD$2)</f>
        <v>0</v>
      </c>
      <c r="BW152" s="123"/>
      <c r="BX152" s="123">
        <f t="shared" si="175"/>
        <v>0</v>
      </c>
      <c r="BY152" s="123">
        <f>IF(Plus!$F$10=Plus!$AK$3,MIN(BZ151+BQ152+BT152+BU152+BV152-BX152,CJ152),0)</f>
        <v>0</v>
      </c>
      <c r="BZ152" s="297">
        <f t="shared" si="280"/>
        <v>0</v>
      </c>
      <c r="CA152" s="74"/>
      <c r="CB152" s="74"/>
      <c r="CC152" s="413">
        <f t="shared" si="209"/>
        <v>0</v>
      </c>
      <c r="CF152" s="90">
        <f t="shared" si="210"/>
        <v>8</v>
      </c>
      <c r="CG152" s="121">
        <f t="shared" si="263"/>
        <v>0</v>
      </c>
      <c r="CI152" s="70">
        <f t="shared" si="264"/>
        <v>0</v>
      </c>
      <c r="CJ152" s="2178">
        <f t="shared" ca="1" si="211"/>
        <v>0</v>
      </c>
      <c r="CL152" s="161"/>
      <c r="CN152" s="308">
        <f t="shared" ca="1" si="176"/>
        <v>11</v>
      </c>
      <c r="CO152" s="309">
        <f t="shared" si="212"/>
        <v>0</v>
      </c>
      <c r="CP152" s="268">
        <f t="shared" si="177"/>
        <v>0</v>
      </c>
      <c r="CQ152" s="123">
        <f t="shared" si="213"/>
        <v>0</v>
      </c>
      <c r="CR152" s="123">
        <f t="shared" si="289"/>
        <v>0</v>
      </c>
      <c r="CS152" s="123">
        <f t="shared" si="290"/>
        <v>0</v>
      </c>
      <c r="CT152" s="33">
        <f>IF(CZ151&lt;0.01,0,IF(Plus!$F$22=Plus!$AN$4,0,IF(Plus!$F$22=Plus!$AN$3,CZ151*Plus!$F$23/1000,CZ151*VLOOKUP(Plus!$G$21,Plus!$AP$2:'Plus'!$AQ$5,2,0))))</f>
        <v>0</v>
      </c>
      <c r="CU152" s="123">
        <f>IF(CZ151&lt;0.01,0,IF(Plus!$F$24=Plus!$AO$3,0,IF(OR(Plus!$F$10=Plus!$AK$7,Plus!$F$10=Plus!$AK$13),0,Plus!$G$13*Plus!$AR$2)))</f>
        <v>0</v>
      </c>
      <c r="CV152" s="123">
        <f>IF(CZ151&lt;0.01,0,IF(OR(Plus!$F$10=Plus!$AK$7,Plus!$F$10=Plus!$AK$13),0,Plus!$BD$2*1.16))</f>
        <v>0</v>
      </c>
      <c r="CW152" s="123">
        <f>IF(CZ151&lt;0.01,0,IF(Plus!$AS$2&gt;0,CQ152*Plus!$AS$3,0))</f>
        <v>0</v>
      </c>
      <c r="CX152" s="123">
        <f t="shared" si="214"/>
        <v>0</v>
      </c>
      <c r="CY152" s="123">
        <f>IF(Plus!$F$10=Plus!$AK$3,MIN(CZ151+CQ152+CT152+CU152+CV152-CX152,DK152),0)</f>
        <v>0</v>
      </c>
      <c r="CZ152" s="297">
        <f t="shared" si="294"/>
        <v>0</v>
      </c>
      <c r="DA152" s="306">
        <f>Plus!O193</f>
        <v>0</v>
      </c>
      <c r="DB152" s="74"/>
      <c r="DC152" s="74"/>
      <c r="DD152" s="407">
        <f t="shared" si="215"/>
        <v>0</v>
      </c>
      <c r="DG152" s="90">
        <f t="shared" si="216"/>
        <v>8</v>
      </c>
      <c r="DH152" s="121">
        <f t="shared" si="265"/>
        <v>0</v>
      </c>
      <c r="DJ152" s="149">
        <f t="shared" si="266"/>
        <v>0</v>
      </c>
      <c r="DK152" s="2179">
        <f t="shared" ca="1" si="217"/>
        <v>0</v>
      </c>
      <c r="DN152" s="120">
        <f t="shared" si="267"/>
        <v>0</v>
      </c>
      <c r="DO152" s="110">
        <f t="shared" si="218"/>
        <v>0</v>
      </c>
      <c r="DP152" s="110">
        <f t="shared" si="276"/>
        <v>0</v>
      </c>
      <c r="DQ152" s="109">
        <f t="shared" si="219"/>
        <v>0</v>
      </c>
      <c r="DR152" s="109">
        <f t="shared" si="220"/>
        <v>0</v>
      </c>
      <c r="DS152" s="113">
        <f t="shared" si="221"/>
        <v>0</v>
      </c>
      <c r="DU152" s="102">
        <f t="shared" si="222"/>
        <v>0</v>
      </c>
      <c r="DV152" s="211">
        <f t="shared" si="277"/>
        <v>128</v>
      </c>
      <c r="DW152" s="212">
        <f t="shared" si="223"/>
        <v>0</v>
      </c>
      <c r="DX152" s="212">
        <f t="shared" si="178"/>
        <v>0</v>
      </c>
      <c r="DY152" s="212">
        <f t="shared" si="268"/>
        <v>0</v>
      </c>
      <c r="DZ152" s="213">
        <f t="shared" si="179"/>
        <v>1000000</v>
      </c>
      <c r="ED152" s="182"/>
      <c r="EF152" s="308">
        <f t="shared" ca="1" si="180"/>
        <v>11</v>
      </c>
      <c r="EG152" s="309">
        <f t="shared" si="224"/>
        <v>0</v>
      </c>
      <c r="EH152" s="268">
        <f t="shared" si="181"/>
        <v>0</v>
      </c>
      <c r="EI152" s="33">
        <f t="shared" si="225"/>
        <v>0</v>
      </c>
      <c r="EJ152" s="33">
        <f t="shared" si="291"/>
        <v>0</v>
      </c>
      <c r="EK152" s="33">
        <f t="shared" si="297"/>
        <v>0</v>
      </c>
      <c r="EL152" s="33">
        <f>IF(ER151&lt;0.01,0,IF(Plus!$F$22=Plus!$AN$4,0,IF(Plus!$F$22=Plus!$AN$3,ER151*Plus!$F$23/1000,ER151*VLOOKUP(Plus!$G$21,Plus!$AP$2:'Plus'!$AQ$5,2,0))))</f>
        <v>0</v>
      </c>
      <c r="EM152" s="33">
        <f>IF(ER151&lt;0.01,0,IF(Plus!$F$24=Plus!$AO$3,0,IF(OR(Plus!$F$10=Plus!$AK$7,Plus!$F$10=Plus!$AK$13),0,Plus!$G$13*Plus!$AR$2)))</f>
        <v>0</v>
      </c>
      <c r="EN152" s="33">
        <f>IF(ER151&lt;0.01,0,IF(OR(Plus!$F$10=Plus!$AK$7,Plus!$F$10=Plus!$AK$13),0,Plus!$BD$2*1.16))</f>
        <v>0</v>
      </c>
      <c r="EO152" s="33">
        <f>IF(ER151&lt;0.01,0,IF(Plus!$AS$2&gt;0,EI152*Plus!$AS$3,0))</f>
        <v>0</v>
      </c>
      <c r="EP152" s="33">
        <f t="shared" si="226"/>
        <v>0</v>
      </c>
      <c r="EQ152" s="33">
        <f>IF(Plus!$F$10=Plus!$AK$3,MIN(ER151+EI152+EL152+EM152+EN152-EP152,FC152),0)</f>
        <v>0</v>
      </c>
      <c r="ER152" s="311">
        <f t="shared" si="285"/>
        <v>0</v>
      </c>
      <c r="ES152" s="340">
        <f>Plus!O193</f>
        <v>0</v>
      </c>
      <c r="ET152" s="74"/>
      <c r="EU152" s="74"/>
      <c r="EV152" s="416">
        <f t="shared" si="281"/>
        <v>0</v>
      </c>
      <c r="EY152" s="90">
        <f t="shared" si="227"/>
        <v>8</v>
      </c>
      <c r="EZ152" s="121">
        <f t="shared" si="269"/>
        <v>0</v>
      </c>
      <c r="FB152" s="149">
        <f t="shared" si="270"/>
        <v>0</v>
      </c>
      <c r="FC152" s="2179">
        <f t="shared" ca="1" si="228"/>
        <v>0</v>
      </c>
      <c r="FE152" s="120">
        <f t="shared" si="271"/>
        <v>0</v>
      </c>
      <c r="FF152" s="110">
        <f t="shared" si="229"/>
        <v>0</v>
      </c>
      <c r="FG152" s="110">
        <f t="shared" si="230"/>
        <v>0</v>
      </c>
      <c r="FH152" s="109">
        <f t="shared" si="231"/>
        <v>0</v>
      </c>
      <c r="FI152" s="109">
        <f t="shared" si="182"/>
        <v>0</v>
      </c>
      <c r="FJ152" s="113">
        <f t="shared" si="232"/>
        <v>0</v>
      </c>
      <c r="FL152" s="102">
        <f t="shared" si="233"/>
        <v>0</v>
      </c>
      <c r="FM152" s="211">
        <f t="shared" si="278"/>
        <v>128</v>
      </c>
      <c r="FN152" s="212">
        <f t="shared" si="234"/>
        <v>0</v>
      </c>
      <c r="FO152" s="212">
        <f t="shared" si="183"/>
        <v>0</v>
      </c>
      <c r="FP152" s="212">
        <f t="shared" si="306"/>
        <v>0</v>
      </c>
      <c r="FQ152" s="213">
        <f t="shared" si="184"/>
        <v>1000000</v>
      </c>
      <c r="FV152" s="359"/>
      <c r="FX152" s="308">
        <f t="shared" ca="1" si="185"/>
        <v>11</v>
      </c>
      <c r="FY152" s="309">
        <f t="shared" si="235"/>
        <v>0</v>
      </c>
      <c r="FZ152" s="268">
        <f t="shared" si="186"/>
        <v>0</v>
      </c>
      <c r="GA152" s="33">
        <f t="shared" si="236"/>
        <v>0</v>
      </c>
      <c r="GB152" s="33">
        <f t="shared" si="292"/>
        <v>0</v>
      </c>
      <c r="GC152" s="33">
        <f t="shared" si="293"/>
        <v>0</v>
      </c>
      <c r="GD152" s="33">
        <f>IF(GJ151&lt;0.01,0,IF(Plus!$F$22=Plus!$AN$4,0,IF(Plus!$F$22=Plus!$AN$3,GJ151*Plus!$F$23/1000,GJ151*VLOOKUP(Plus!$G$21,Plus!$AP$2:$AQ$5,2,0))))</f>
        <v>0</v>
      </c>
      <c r="GE152" s="33">
        <f>IF(GJ151&lt;0.01,0,IF(Plus!$F$24=Plus!$AO$3,0,IF(OR(Plus!$F$10=Plus!$AK$7,Plus!$F$10=Plus!$AK$13,Plus!$F$10=Plus!$AK$14),0,IF(OR(Plus!$F$10=Plus!$AK$10,Plus!$F$10=Plus!$AK$11),Plus!$G$13*Adm!$W$7,Plus!$G$13*Adm!$X$4))))</f>
        <v>0</v>
      </c>
      <c r="GF152" s="33">
        <f>IF(GJ151&lt;0.01,0,IF(OR(Plus!$F$10=Plus!$AK$7,Plus!$F$10=Plus!$AK$13),0,Plus!$BD$2*1.16))</f>
        <v>0</v>
      </c>
      <c r="GG152" s="33">
        <f>IF(GJ151&lt;0.01,0,IF(Plus!$AS$2&gt;0,GA152*Plus!$AS$3,0))</f>
        <v>0</v>
      </c>
      <c r="GH152" s="33">
        <f t="shared" si="237"/>
        <v>0</v>
      </c>
      <c r="GI152" s="33">
        <f>IF(Plus!$F$10=Plus!$AK$3,MIN(GJ151+GA152+GD152+GE152+GF152-GH152,GU152),0)</f>
        <v>0</v>
      </c>
      <c r="GJ152" s="311">
        <f t="shared" si="286"/>
        <v>0</v>
      </c>
      <c r="GK152" s="340">
        <f>Plus!O193</f>
        <v>0</v>
      </c>
      <c r="GL152" s="74"/>
      <c r="GM152" s="74"/>
      <c r="GN152" s="419">
        <f t="shared" si="283"/>
        <v>0</v>
      </c>
      <c r="GQ152" s="90">
        <f t="shared" si="238"/>
        <v>8</v>
      </c>
      <c r="GR152" s="121">
        <f t="shared" si="272"/>
        <v>0</v>
      </c>
      <c r="GT152" s="149">
        <f t="shared" si="273"/>
        <v>0</v>
      </c>
      <c r="GU152" s="2179">
        <f t="shared" ca="1" si="239"/>
        <v>0</v>
      </c>
      <c r="GW152" s="120">
        <f t="shared" si="274"/>
        <v>0</v>
      </c>
      <c r="GX152" s="110">
        <f t="shared" si="240"/>
        <v>0</v>
      </c>
      <c r="GY152" s="110">
        <f t="shared" si="241"/>
        <v>0</v>
      </c>
      <c r="GZ152" s="109">
        <f t="shared" si="242"/>
        <v>0</v>
      </c>
      <c r="HA152" s="109">
        <f t="shared" si="187"/>
        <v>0</v>
      </c>
      <c r="HB152" s="113">
        <f t="shared" si="243"/>
        <v>0</v>
      </c>
      <c r="HD152" s="102">
        <f t="shared" si="244"/>
        <v>0</v>
      </c>
      <c r="HE152" s="211">
        <f t="shared" si="279"/>
        <v>128</v>
      </c>
      <c r="HF152" s="212">
        <f t="shared" si="245"/>
        <v>0</v>
      </c>
      <c r="HG152" s="212">
        <f t="shared" si="188"/>
        <v>0</v>
      </c>
      <c r="HH152" s="212">
        <f t="shared" si="307"/>
        <v>0</v>
      </c>
      <c r="HI152" s="213">
        <f t="shared" si="189"/>
        <v>1000000</v>
      </c>
      <c r="HL152" s="182"/>
      <c r="HM152" s="26">
        <f t="shared" ca="1" si="190"/>
        <v>11</v>
      </c>
      <c r="HO152" s="268">
        <f t="shared" si="191"/>
        <v>0</v>
      </c>
      <c r="HP152" s="151">
        <f t="shared" si="302"/>
        <v>0</v>
      </c>
      <c r="HQ152" s="123">
        <f t="shared" si="246"/>
        <v>0</v>
      </c>
      <c r="HR152" s="123">
        <f t="shared" si="247"/>
        <v>0</v>
      </c>
      <c r="HS152" s="123">
        <f t="shared" si="248"/>
        <v>0</v>
      </c>
      <c r="HT152" s="123">
        <f>IF(HY151&lt;0.01,0,IF(Adm!$GS$4=Adm!$GS$8,HY151*$HY$15,IF(Adm!$GS$12=Adm!$GS$13,0,HY151*Adm!$GV$4)))</f>
        <v>0</v>
      </c>
      <c r="HU152" s="123">
        <f>IF(HY151&lt;0.01,0,IF(Adm!$GS$5=Adm!$GS$8,Cal!$BO$108*$HY$16/1.16,IF(Adm!$GS$12=Adm!$GS$13,0,Cal!$BO$108*Adm!$GW$4/1.16)))</f>
        <v>0</v>
      </c>
      <c r="HV152" s="123">
        <f t="shared" si="249"/>
        <v>0</v>
      </c>
      <c r="HW152" s="123">
        <f t="shared" si="192"/>
        <v>0</v>
      </c>
      <c r="HX152" s="123">
        <f>IF(Adm!$GH$6="si",MIN(HY151+HQ152+HT152+HU152+HV152-HW152,IH152),0)</f>
        <v>0</v>
      </c>
      <c r="HY152" s="297">
        <f t="shared" si="250"/>
        <v>0</v>
      </c>
      <c r="HZ152" s="74"/>
      <c r="IA152" s="407">
        <f t="shared" si="251"/>
        <v>0</v>
      </c>
      <c r="IC152" s="90">
        <f t="shared" si="252"/>
        <v>8</v>
      </c>
      <c r="ID152" s="124">
        <f>IF(IC152=1,Cal!$BO$127,0)</f>
        <v>0</v>
      </c>
      <c r="IE152" s="178">
        <f>IF(IC152=1,Adm!$HI$4,0)</f>
        <v>0</v>
      </c>
      <c r="IG152" s="70">
        <f t="shared" si="275"/>
        <v>0</v>
      </c>
      <c r="IH152" s="2178">
        <f t="shared" ca="1" si="253"/>
        <v>0</v>
      </c>
      <c r="IK152" s="217"/>
      <c r="IL152" s="26">
        <f t="shared" ca="1" si="193"/>
        <v>11</v>
      </c>
      <c r="IN152" s="268">
        <f t="shared" si="194"/>
        <v>0</v>
      </c>
      <c r="IO152" s="151">
        <f t="shared" si="303"/>
        <v>0</v>
      </c>
      <c r="IP152" s="123">
        <f t="shared" si="254"/>
        <v>0</v>
      </c>
      <c r="IQ152" s="123">
        <f t="shared" si="255"/>
        <v>0</v>
      </c>
      <c r="IR152" s="123">
        <f t="shared" si="256"/>
        <v>0</v>
      </c>
      <c r="IS152" s="123">
        <f>IF(IX151&lt;0.01,0,IF(Adm!$GS$4=Adm!$GS$8,IX151*$IX$15,IF(Adm!$GS$12=Adm!$GS$13,0,IX151*Adm!$GV$4)))</f>
        <v>0</v>
      </c>
      <c r="IT152" s="123"/>
      <c r="IU152" s="123">
        <f t="shared" si="257"/>
        <v>0</v>
      </c>
      <c r="IV152" s="123">
        <f t="shared" si="258"/>
        <v>0</v>
      </c>
      <c r="IW152" s="123"/>
      <c r="IX152" s="297">
        <f t="shared" si="259"/>
        <v>0</v>
      </c>
      <c r="IY152" s="74"/>
      <c r="IZ152" s="416">
        <f t="shared" si="260"/>
        <v>0</v>
      </c>
      <c r="JB152" s="90">
        <f t="shared" si="261"/>
        <v>8</v>
      </c>
      <c r="JC152" s="124">
        <f>IF(JB152=1,Cal!$BP$127,0)</f>
        <v>0</v>
      </c>
      <c r="JD152" s="178">
        <f>IF(JB152=1,Adm!$HI$4,0)</f>
        <v>0</v>
      </c>
    </row>
    <row r="153" spans="1:264">
      <c r="A153" s="26">
        <f t="shared" ref="A153:A216" ca="1" si="308">IF(A152=12,1,A152+1)</f>
        <v>12</v>
      </c>
      <c r="C153" s="33">
        <f t="shared" ref="C153:C216" si="309">IF(L152&lt;0.01,0,C152+1)</f>
        <v>0</v>
      </c>
      <c r="D153" s="123">
        <f t="shared" si="195"/>
        <v>0</v>
      </c>
      <c r="E153" s="123">
        <f t="shared" si="287"/>
        <v>0</v>
      </c>
      <c r="F153" s="123">
        <f t="shared" si="295"/>
        <v>0</v>
      </c>
      <c r="G153" s="123">
        <f>IF(L152&lt;0.01,0,IF(Adm!$S$4=Adm!$S$8,L152*$L$15,L152*Adm!$V$4))</f>
        <v>0</v>
      </c>
      <c r="H153" s="123">
        <f>IF(L152&lt;0.01,0,IF(Adm!$S$5=Adm!$S$8,Adm!$AA$11*$L$16/1.16,IF(Adm!$B$4=Adm!$A$119,0,Adm!$AA$11*Adm!$X$4/1.16)))</f>
        <v>0</v>
      </c>
      <c r="I153" s="123">
        <f>IF(L152&lt;0.01,0,Cal!$AB$126/1.16)</f>
        <v>0</v>
      </c>
      <c r="J153" s="123">
        <f t="shared" ref="J153:J216" si="310">IF(L152&lt;0.01,0,F153+G153+H153+I153)</f>
        <v>0</v>
      </c>
      <c r="K153" s="123">
        <f>IF(Adm!$G$4="si",MIN(L152+D153+G153+H153+I153-J153,V153),0)</f>
        <v>0</v>
      </c>
      <c r="L153" s="123">
        <f t="shared" si="196"/>
        <v>0</v>
      </c>
      <c r="M153" s="74"/>
      <c r="N153" s="74"/>
      <c r="O153" s="407">
        <f t="shared" si="197"/>
        <v>0</v>
      </c>
      <c r="R153" s="90">
        <f t="shared" si="198"/>
        <v>9</v>
      </c>
      <c r="S153" s="121">
        <f>IF(R153=1,Cal!$AB$127,0)</f>
        <v>0</v>
      </c>
      <c r="U153" s="70">
        <f t="shared" si="262"/>
        <v>0</v>
      </c>
      <c r="V153" s="2178">
        <f t="shared" ca="1" si="199"/>
        <v>0</v>
      </c>
      <c r="X153" s="398"/>
      <c r="Z153" s="268">
        <f t="shared" ref="Z153:Z216" si="311">IF(AI152&lt;0.01,0,Z152+1)</f>
        <v>0</v>
      </c>
      <c r="AA153" s="2176">
        <f t="shared" si="200"/>
        <v>0</v>
      </c>
      <c r="AB153" s="33">
        <f t="shared" si="201"/>
        <v>0</v>
      </c>
      <c r="AC153" s="33">
        <f t="shared" si="202"/>
        <v>0</v>
      </c>
      <c r="AD153" s="33">
        <f>IF(AI152&lt;0.01,0,IF(Adm!$S$4=Adm!$S$8,AI152*$AI$15,AI152*Adm!$V$4))</f>
        <v>0</v>
      </c>
      <c r="AE153" s="33"/>
      <c r="AF153" s="33"/>
      <c r="AG153" s="33">
        <f t="shared" ref="AG153:AG216" si="312">IF(AI152&lt;0.01,0,AC153+AD153+AE153+AF153)</f>
        <v>0</v>
      </c>
      <c r="AH153" s="33"/>
      <c r="AI153" s="401">
        <f t="shared" ref="AI153:AI216" si="313">AI152-AB153</f>
        <v>0</v>
      </c>
      <c r="AK153" s="410">
        <f t="shared" ref="AK153:AK216" si="314">AG153</f>
        <v>0</v>
      </c>
      <c r="AN153" s="90">
        <f t="shared" si="203"/>
        <v>9</v>
      </c>
      <c r="AO153" s="121">
        <f>IF(AN153=1,Cal!$AC$127,0)</f>
        <v>0</v>
      </c>
      <c r="AS153" s="200"/>
      <c r="AU153" s="268">
        <f t="shared" ref="AU153:AU216" si="315">IF(BC152&lt;0.01,0,AU152+1)</f>
        <v>0</v>
      </c>
      <c r="AV153" s="2177">
        <f t="shared" si="204"/>
        <v>0</v>
      </c>
      <c r="AW153" s="123">
        <f t="shared" ref="AW153:AW216" si="316">IF(BC152&lt;0.01,0,AX153-AV153)</f>
        <v>0</v>
      </c>
      <c r="AX153" s="123">
        <f t="shared" si="205"/>
        <v>0</v>
      </c>
      <c r="AY153" s="123">
        <f>IF(BC152&lt;0.01,0,IF(Adm!$S$4=Adm!$S$8,BC152*$BC$16,BC152*Adm!$V$4))</f>
        <v>0</v>
      </c>
      <c r="AZ153" s="123"/>
      <c r="BA153" s="123">
        <f>IF(BC152&lt;0.01,0,Adm!$Q$6)</f>
        <v>0</v>
      </c>
      <c r="BB153" s="123">
        <f t="shared" ref="BB153:BB216" si="317">IF(BC152&lt;0.01,0,AX153+AY153+AZ153+BA153)</f>
        <v>0</v>
      </c>
      <c r="BC153" s="297">
        <f t="shared" si="206"/>
        <v>0</v>
      </c>
      <c r="BE153" s="425">
        <f t="shared" ref="BE153:BE216" si="318">BB153</f>
        <v>0</v>
      </c>
      <c r="BH153" s="90">
        <f t="shared" si="207"/>
        <v>9</v>
      </c>
      <c r="BI153" s="121">
        <f>IF(BH153=1,Cal!$AD$127,0)</f>
        <v>0</v>
      </c>
      <c r="BM153" s="221"/>
      <c r="BO153" s="295">
        <f t="shared" ref="BO153:BO216" ca="1" si="319">IF(BO152=12,1,BO152+1)</f>
        <v>12</v>
      </c>
      <c r="BP153" s="268">
        <f t="shared" ref="BP153:BP216" si="320">IF(BZ152&lt;0.01,0,BP152+1)</f>
        <v>0</v>
      </c>
      <c r="BQ153" s="123">
        <f t="shared" si="208"/>
        <v>0</v>
      </c>
      <c r="BR153" s="123">
        <f t="shared" si="288"/>
        <v>0</v>
      </c>
      <c r="BS153" s="123">
        <f t="shared" si="296"/>
        <v>0</v>
      </c>
      <c r="BT153" s="123">
        <f>IF(BZ152&lt;0.01,0,IF(Plus!$F$22=Plus!$AN$4,BZ152*$BZ$15,IF(Plus!$F$22=Plus!$AN$3,BZ152*Plus!$F$23/1000,BZ152*VLOOKUP(Plus!$G$21,Plus!$AP$2:'Plus'!$AQ$5,2,0))))</f>
        <v>0</v>
      </c>
      <c r="BU153" s="123">
        <f>IF(BZ152&lt;0.01,0,IF(Plus!$F$24=Plus!$AO$3,Plus!$G$13*Plus!$AR$2/1.16,IF(Plus!$F$10=Plus!$AK$7,0,Plus!$G$13*Plus!$AR$2/1.16)))</f>
        <v>0</v>
      </c>
      <c r="BV153" s="123">
        <f>IF(BZ152&lt;0.01,0,Plus!$BD$2)</f>
        <v>0</v>
      </c>
      <c r="BW153" s="123"/>
      <c r="BX153" s="123">
        <f t="shared" ref="BX153:BX216" si="321">IF(BZ152&lt;0.01,0,BS153+BT153+BU153+BV153)</f>
        <v>0</v>
      </c>
      <c r="BY153" s="123">
        <f>IF(Plus!$F$10=Plus!$AK$3,MIN(BZ152+BQ153+BT153+BU153+BV153-BX153,CJ153),0)</f>
        <v>0</v>
      </c>
      <c r="BZ153" s="297">
        <f t="shared" si="280"/>
        <v>0</v>
      </c>
      <c r="CA153" s="74"/>
      <c r="CB153" s="74"/>
      <c r="CC153" s="413">
        <f t="shared" si="209"/>
        <v>0</v>
      </c>
      <c r="CF153" s="90">
        <f t="shared" si="210"/>
        <v>9</v>
      </c>
      <c r="CG153" s="121">
        <f t="shared" si="263"/>
        <v>0</v>
      </c>
      <c r="CI153" s="70">
        <f t="shared" si="264"/>
        <v>0</v>
      </c>
      <c r="CJ153" s="2178">
        <f t="shared" ca="1" si="211"/>
        <v>0</v>
      </c>
      <c r="CL153" s="161"/>
      <c r="CN153" s="308">
        <f t="shared" ref="CN153:CN216" ca="1" si="322">IF(CN152=12,1,CN152+1)</f>
        <v>12</v>
      </c>
      <c r="CO153" s="309">
        <f t="shared" si="212"/>
        <v>0</v>
      </c>
      <c r="CP153" s="268">
        <f t="shared" ref="CP153:CP216" si="323">IF(CZ152&lt;0.01,0,CP152+1)</f>
        <v>0</v>
      </c>
      <c r="CQ153" s="123">
        <f t="shared" si="213"/>
        <v>0</v>
      </c>
      <c r="CR153" s="123">
        <f t="shared" si="289"/>
        <v>0</v>
      </c>
      <c r="CS153" s="123">
        <f t="shared" si="290"/>
        <v>0</v>
      </c>
      <c r="CT153" s="33">
        <f>IF(CZ152&lt;0.01,0,IF(Plus!$F$22=Plus!$AN$4,0,IF(Plus!$F$22=Plus!$AN$3,CZ152*Plus!$F$23/1000,CZ152*VLOOKUP(Plus!$G$21,Plus!$AP$2:'Plus'!$AQ$5,2,0))))</f>
        <v>0</v>
      </c>
      <c r="CU153" s="123">
        <f>IF(CZ152&lt;0.01,0,IF(Plus!$F$24=Plus!$AO$3,0,IF(OR(Plus!$F$10=Plus!$AK$7,Plus!$F$10=Plus!$AK$13),0,Plus!$G$13*Plus!$AR$2)))</f>
        <v>0</v>
      </c>
      <c r="CV153" s="123">
        <f>IF(CZ152&lt;0.01,0,IF(OR(Plus!$F$10=Plus!$AK$7,Plus!$F$10=Plus!$AK$13),0,Plus!$BD$2*1.16))</f>
        <v>0</v>
      </c>
      <c r="CW153" s="123">
        <f>IF(CZ152&lt;0.01,0,IF(Plus!$AS$2&gt;0,CQ153*Plus!$AS$3,0))</f>
        <v>0</v>
      </c>
      <c r="CX153" s="123">
        <f t="shared" si="214"/>
        <v>0</v>
      </c>
      <c r="CY153" s="123">
        <f>IF(Plus!$F$10=Plus!$AK$3,MIN(CZ152+CQ153+CT153+CU153+CV153-CX153,DK153),0)</f>
        <v>0</v>
      </c>
      <c r="CZ153" s="297">
        <f t="shared" si="294"/>
        <v>0</v>
      </c>
      <c r="DA153" s="306">
        <f>Plus!O194</f>
        <v>0</v>
      </c>
      <c r="DB153" s="74"/>
      <c r="DC153" s="74"/>
      <c r="DD153" s="407">
        <f t="shared" si="215"/>
        <v>0</v>
      </c>
      <c r="DG153" s="90">
        <f t="shared" si="216"/>
        <v>9</v>
      </c>
      <c r="DH153" s="121">
        <f t="shared" si="265"/>
        <v>0</v>
      </c>
      <c r="DJ153" s="149">
        <f t="shared" si="266"/>
        <v>0</v>
      </c>
      <c r="DK153" s="2179">
        <f t="shared" ca="1" si="217"/>
        <v>0</v>
      </c>
      <c r="DN153" s="120">
        <f t="shared" si="267"/>
        <v>0</v>
      </c>
      <c r="DO153" s="110">
        <f t="shared" si="218"/>
        <v>0</v>
      </c>
      <c r="DP153" s="110">
        <f t="shared" si="276"/>
        <v>0</v>
      </c>
      <c r="DQ153" s="109">
        <f t="shared" si="219"/>
        <v>0</v>
      </c>
      <c r="DR153" s="109">
        <f t="shared" si="220"/>
        <v>0</v>
      </c>
      <c r="DS153" s="113">
        <f t="shared" si="221"/>
        <v>0</v>
      </c>
      <c r="DU153" s="102">
        <f t="shared" si="222"/>
        <v>0</v>
      </c>
      <c r="DV153" s="211">
        <f t="shared" si="277"/>
        <v>129</v>
      </c>
      <c r="DW153" s="212">
        <f t="shared" si="223"/>
        <v>0</v>
      </c>
      <c r="DX153" s="212">
        <f t="shared" ref="DX153:DX216" si="324">DY153-DW153</f>
        <v>0</v>
      </c>
      <c r="DY153" s="212">
        <f t="shared" si="268"/>
        <v>0</v>
      </c>
      <c r="DZ153" s="213">
        <f t="shared" ref="DZ153:DZ216" si="325">IF(DZ152&lt;0.001,0,DZ152-DX153-EA155)</f>
        <v>1000000</v>
      </c>
      <c r="ED153" s="182"/>
      <c r="EF153" s="308">
        <f t="shared" ref="EF153:EF216" ca="1" si="326">IF(EF152=12,1,EF152+1)</f>
        <v>12</v>
      </c>
      <c r="EG153" s="309">
        <f t="shared" si="224"/>
        <v>0</v>
      </c>
      <c r="EH153" s="268">
        <f t="shared" ref="EH153:EH216" si="327">IF(ER152&lt;0.01,0,EH152+1)</f>
        <v>0</v>
      </c>
      <c r="EI153" s="33">
        <f t="shared" si="225"/>
        <v>0</v>
      </c>
      <c r="EJ153" s="33">
        <f t="shared" si="291"/>
        <v>0</v>
      </c>
      <c r="EK153" s="33">
        <f t="shared" si="297"/>
        <v>0</v>
      </c>
      <c r="EL153" s="33">
        <f>IF(ER152&lt;0.01,0,IF(Plus!$F$22=Plus!$AN$4,0,IF(Plus!$F$22=Plus!$AN$3,ER152*Plus!$F$23/1000,ER152*VLOOKUP(Plus!$G$21,Plus!$AP$2:'Plus'!$AQ$5,2,0))))</f>
        <v>0</v>
      </c>
      <c r="EM153" s="33">
        <f>IF(ER152&lt;0.01,0,IF(Plus!$F$24=Plus!$AO$3,0,IF(OR(Plus!$F$10=Plus!$AK$7,Plus!$F$10=Plus!$AK$13),0,Plus!$G$13*Plus!$AR$2)))</f>
        <v>0</v>
      </c>
      <c r="EN153" s="33">
        <f>IF(ER152&lt;0.01,0,IF(OR(Plus!$F$10=Plus!$AK$7,Plus!$F$10=Plus!$AK$13),0,Plus!$BD$2*1.16))</f>
        <v>0</v>
      </c>
      <c r="EO153" s="33">
        <f>IF(ER152&lt;0.01,0,IF(Plus!$AS$2&gt;0,EI153*Plus!$AS$3,0))</f>
        <v>0</v>
      </c>
      <c r="EP153" s="33">
        <f t="shared" si="226"/>
        <v>0</v>
      </c>
      <c r="EQ153" s="33">
        <f>IF(Plus!$F$10=Plus!$AK$3,MIN(ER152+EI153+EL153+EM153+EN153-EP153,FC153),0)</f>
        <v>0</v>
      </c>
      <c r="ER153" s="311">
        <f t="shared" si="285"/>
        <v>0</v>
      </c>
      <c r="ES153" s="340">
        <f>Plus!O194</f>
        <v>0</v>
      </c>
      <c r="ET153" s="74"/>
      <c r="EU153" s="74"/>
      <c r="EV153" s="416">
        <f t="shared" si="281"/>
        <v>0</v>
      </c>
      <c r="EY153" s="90">
        <f t="shared" si="227"/>
        <v>9</v>
      </c>
      <c r="EZ153" s="121">
        <f t="shared" si="269"/>
        <v>0</v>
      </c>
      <c r="FB153" s="149">
        <f t="shared" si="270"/>
        <v>0</v>
      </c>
      <c r="FC153" s="2179">
        <f t="shared" ca="1" si="228"/>
        <v>0</v>
      </c>
      <c r="FE153" s="120">
        <f t="shared" si="271"/>
        <v>0</v>
      </c>
      <c r="FF153" s="110">
        <f t="shared" si="229"/>
        <v>0</v>
      </c>
      <c r="FG153" s="110">
        <f t="shared" si="230"/>
        <v>0</v>
      </c>
      <c r="FH153" s="109">
        <f t="shared" si="231"/>
        <v>0</v>
      </c>
      <c r="FI153" s="109">
        <f t="shared" ref="FI153:FI216" si="328">IF(AND($FE$21=2,ES152&lt;0.01),0,IF($FE$21=2,(ER152*FJ153)+EI153,0))</f>
        <v>0</v>
      </c>
      <c r="FJ153" s="113">
        <f t="shared" si="232"/>
        <v>0</v>
      </c>
      <c r="FL153" s="102">
        <f t="shared" si="233"/>
        <v>0</v>
      </c>
      <c r="FM153" s="211">
        <f t="shared" si="278"/>
        <v>129</v>
      </c>
      <c r="FN153" s="212">
        <f t="shared" si="234"/>
        <v>0</v>
      </c>
      <c r="FO153" s="212">
        <f t="shared" ref="FO153:FO216" si="329">FP153-FN153</f>
        <v>0</v>
      </c>
      <c r="FP153" s="212">
        <f t="shared" si="306"/>
        <v>0</v>
      </c>
      <c r="FQ153" s="213">
        <f t="shared" ref="FQ153:FQ216" si="330">IF(FQ152&lt;0.001,0,FQ152-FO153-FR155)</f>
        <v>1000000</v>
      </c>
      <c r="FV153" s="359"/>
      <c r="FX153" s="308">
        <f t="shared" ref="FX153:FX216" ca="1" si="331">IF(FX152=12,1,FX152+1)</f>
        <v>12</v>
      </c>
      <c r="FY153" s="309">
        <f t="shared" si="235"/>
        <v>0</v>
      </c>
      <c r="FZ153" s="268">
        <f t="shared" ref="FZ153:FZ216" si="332">IF(GJ152&lt;0.01,0,FZ152+1)</f>
        <v>0</v>
      </c>
      <c r="GA153" s="33">
        <f t="shared" si="236"/>
        <v>0</v>
      </c>
      <c r="GB153" s="33">
        <f t="shared" si="292"/>
        <v>0</v>
      </c>
      <c r="GC153" s="33">
        <f t="shared" si="293"/>
        <v>0</v>
      </c>
      <c r="GD153" s="33">
        <f>IF(GJ152&lt;0.01,0,IF(Plus!$F$22=Plus!$AN$4,0,IF(Plus!$F$22=Plus!$AN$3,GJ152*Plus!$F$23/1000,GJ152*VLOOKUP(Plus!$G$21,Plus!$AP$2:$AQ$5,2,0))))</f>
        <v>0</v>
      </c>
      <c r="GE153" s="33">
        <f>IF(GJ152&lt;0.01,0,IF(Plus!$F$24=Plus!$AO$3,0,IF(OR(Plus!$F$10=Plus!$AK$7,Plus!$F$10=Plus!$AK$13,Plus!$F$10=Plus!$AK$14),0,IF(OR(Plus!$F$10=Plus!$AK$10,Plus!$F$10=Plus!$AK$11),Plus!$G$13*Adm!$W$7,Plus!$G$13*Adm!$X$4))))</f>
        <v>0</v>
      </c>
      <c r="GF153" s="33">
        <f>IF(GJ152&lt;0.01,0,IF(OR(Plus!$F$10=Plus!$AK$7,Plus!$F$10=Plus!$AK$13),0,Plus!$BD$2*1.16))</f>
        <v>0</v>
      </c>
      <c r="GG153" s="33">
        <f>IF(GJ152&lt;0.01,0,IF(Plus!$AS$2&gt;0,GA153*Plus!$AS$3,0))</f>
        <v>0</v>
      </c>
      <c r="GH153" s="33">
        <f t="shared" si="237"/>
        <v>0</v>
      </c>
      <c r="GI153" s="33">
        <f>IF(Plus!$F$10=Plus!$AK$3,MIN(GJ152+GA153+GD153+GE153+GF153-GH153,GU153),0)</f>
        <v>0</v>
      </c>
      <c r="GJ153" s="311">
        <f t="shared" si="286"/>
        <v>0</v>
      </c>
      <c r="GK153" s="340">
        <f>Plus!O194</f>
        <v>0</v>
      </c>
      <c r="GL153" s="74"/>
      <c r="GM153" s="74"/>
      <c r="GN153" s="419">
        <f t="shared" si="283"/>
        <v>0</v>
      </c>
      <c r="GQ153" s="90">
        <f t="shared" si="238"/>
        <v>9</v>
      </c>
      <c r="GR153" s="121">
        <f t="shared" si="272"/>
        <v>0</v>
      </c>
      <c r="GT153" s="149">
        <f t="shared" si="273"/>
        <v>0</v>
      </c>
      <c r="GU153" s="2179">
        <f t="shared" ca="1" si="239"/>
        <v>0</v>
      </c>
      <c r="GW153" s="120">
        <f t="shared" si="274"/>
        <v>0</v>
      </c>
      <c r="GX153" s="110">
        <f t="shared" si="240"/>
        <v>0</v>
      </c>
      <c r="GY153" s="110">
        <f t="shared" si="241"/>
        <v>0</v>
      </c>
      <c r="GZ153" s="109">
        <f t="shared" si="242"/>
        <v>0</v>
      </c>
      <c r="HA153" s="109">
        <f t="shared" ref="HA153:HA216" si="333">IF(AND($FE$21=2,GK152&lt;0.01),0,IF($FE$21=2,(GJ152*HB153)+GA153,0))</f>
        <v>0</v>
      </c>
      <c r="HB153" s="113">
        <f t="shared" si="243"/>
        <v>0</v>
      </c>
      <c r="HD153" s="102">
        <f t="shared" si="244"/>
        <v>0</v>
      </c>
      <c r="HE153" s="211">
        <f t="shared" si="279"/>
        <v>129</v>
      </c>
      <c r="HF153" s="212">
        <f t="shared" si="245"/>
        <v>0</v>
      </c>
      <c r="HG153" s="212">
        <f t="shared" ref="HG153:HG216" si="334">HH153-HF153</f>
        <v>0</v>
      </c>
      <c r="HH153" s="212">
        <f t="shared" si="307"/>
        <v>0</v>
      </c>
      <c r="HI153" s="213">
        <f t="shared" ref="HI153:HI216" si="335">IF(HI152&lt;0.001,0,HI152-HG153-HJ155)</f>
        <v>1000000</v>
      </c>
      <c r="HL153" s="182"/>
      <c r="HM153" s="26">
        <f t="shared" ref="HM153:HM216" ca="1" si="336">IF(HM152=12,1,HM152+1)</f>
        <v>12</v>
      </c>
      <c r="HO153" s="268">
        <f t="shared" ref="HO153:HO216" si="337">IF(HY152&lt;0.01,0,HO152+1)</f>
        <v>0</v>
      </c>
      <c r="HP153" s="151">
        <f t="shared" si="302"/>
        <v>0</v>
      </c>
      <c r="HQ153" s="123">
        <f t="shared" si="246"/>
        <v>0</v>
      </c>
      <c r="HR153" s="123">
        <f t="shared" si="247"/>
        <v>0</v>
      </c>
      <c r="HS153" s="123">
        <f t="shared" si="248"/>
        <v>0</v>
      </c>
      <c r="HT153" s="123">
        <f>IF(HY152&lt;0.01,0,IF(Adm!$GS$4=Adm!$GS$8,HY152*$HY$15,IF(Adm!$GS$12=Adm!$GS$13,0,HY152*Adm!$GV$4)))</f>
        <v>0</v>
      </c>
      <c r="HU153" s="123">
        <f>IF(HY152&lt;0.01,0,IF(Adm!$GS$5=Adm!$GS$8,Cal!$BO$108*$HY$16/1.16,IF(Adm!$GS$12=Adm!$GS$13,0,Cal!$BO$108*Adm!$GW$4/1.16)))</f>
        <v>0</v>
      </c>
      <c r="HV153" s="123">
        <f t="shared" si="249"/>
        <v>0</v>
      </c>
      <c r="HW153" s="123">
        <f t="shared" ref="HW153:HW216" si="338">IF(HY152&lt;0.01,0,HS153+HT153+HU153+HV153)</f>
        <v>0</v>
      </c>
      <c r="HX153" s="123">
        <f>IF(Adm!$GH$6="si",MIN(HY152+HQ153+HT153+HU153+HV153-HW153,IH153),0)</f>
        <v>0</v>
      </c>
      <c r="HY153" s="297">
        <f t="shared" si="250"/>
        <v>0</v>
      </c>
      <c r="HZ153" s="74"/>
      <c r="IA153" s="407">
        <f t="shared" si="251"/>
        <v>0</v>
      </c>
      <c r="IC153" s="90">
        <f t="shared" si="252"/>
        <v>9</v>
      </c>
      <c r="ID153" s="124">
        <f>IF(IC153=1,Cal!$BO$127,0)</f>
        <v>0</v>
      </c>
      <c r="IE153" s="178">
        <f>IF(IC153=1,Adm!$HI$4,0)</f>
        <v>0</v>
      </c>
      <c r="IG153" s="70">
        <f t="shared" si="275"/>
        <v>0</v>
      </c>
      <c r="IH153" s="2178">
        <f t="shared" ca="1" si="253"/>
        <v>0</v>
      </c>
      <c r="IK153" s="217"/>
      <c r="IL153" s="26">
        <f t="shared" ref="IL153:IL216" ca="1" si="339">IF(IL152=12,1,IL152+1)</f>
        <v>12</v>
      </c>
      <c r="IN153" s="268">
        <f t="shared" ref="IN153:IN216" si="340">IF(IX152&lt;0.01,0,IN152+1)</f>
        <v>0</v>
      </c>
      <c r="IO153" s="151">
        <f t="shared" si="303"/>
        <v>0</v>
      </c>
      <c r="IP153" s="123">
        <f t="shared" si="254"/>
        <v>0</v>
      </c>
      <c r="IQ153" s="123">
        <f t="shared" si="255"/>
        <v>0</v>
      </c>
      <c r="IR153" s="123">
        <f t="shared" si="256"/>
        <v>0</v>
      </c>
      <c r="IS153" s="123">
        <f>IF(IX152&lt;0.01,0,IF(Adm!$GS$4=Adm!$GS$8,IX152*$IX$15,IF(Adm!$GS$12=Adm!$GS$13,0,IX152*Adm!$GV$4)))</f>
        <v>0</v>
      </c>
      <c r="IT153" s="123"/>
      <c r="IU153" s="123">
        <f t="shared" si="257"/>
        <v>0</v>
      </c>
      <c r="IV153" s="123">
        <f t="shared" si="258"/>
        <v>0</v>
      </c>
      <c r="IW153" s="123"/>
      <c r="IX153" s="297">
        <f t="shared" si="259"/>
        <v>0</v>
      </c>
      <c r="IY153" s="74"/>
      <c r="IZ153" s="416">
        <f t="shared" si="260"/>
        <v>0</v>
      </c>
      <c r="JB153" s="90">
        <f t="shared" si="261"/>
        <v>9</v>
      </c>
      <c r="JC153" s="124">
        <f>IF(JB153=1,Cal!$BP$127,0)</f>
        <v>0</v>
      </c>
      <c r="JD153" s="178">
        <f>IF(JB153=1,Adm!$HI$4,0)</f>
        <v>0</v>
      </c>
    </row>
    <row r="154" spans="1:264">
      <c r="A154" s="26">
        <f t="shared" ca="1" si="308"/>
        <v>1</v>
      </c>
      <c r="C154" s="33">
        <f t="shared" si="309"/>
        <v>0</v>
      </c>
      <c r="D154" s="123">
        <f t="shared" ref="D154:D217" si="341">IF(L153&lt;0.01,0,L153*$F$9*30.4166/360)</f>
        <v>0</v>
      </c>
      <c r="E154" s="123">
        <f t="shared" si="287"/>
        <v>0</v>
      </c>
      <c r="F154" s="123">
        <f t="shared" si="295"/>
        <v>0</v>
      </c>
      <c r="G154" s="123">
        <f>IF(L153&lt;0.01,0,IF(Adm!$S$4=Adm!$S$8,L153*$L$15,L153*Adm!$V$4))</f>
        <v>0</v>
      </c>
      <c r="H154" s="123">
        <f>IF(L153&lt;0.01,0,IF(Adm!$S$5=Adm!$S$8,Adm!$AA$11*$L$16/1.16,IF(Adm!$B$4=Adm!$A$119,0,Adm!$AA$11*Adm!$X$4/1.16)))</f>
        <v>0</v>
      </c>
      <c r="I154" s="123">
        <f>IF(L153&lt;0.01,0,Cal!$AB$126/1.16)</f>
        <v>0</v>
      </c>
      <c r="J154" s="123">
        <f t="shared" si="310"/>
        <v>0</v>
      </c>
      <c r="K154" s="123">
        <f>IF(Adm!$G$4="si",MIN(L153+D154+G154+H154+I154-J154,V154),0)</f>
        <v>0</v>
      </c>
      <c r="L154" s="123">
        <f t="shared" ref="L154:L217" si="342">IF(L153&lt;0.01,0,L153-E154-K154)</f>
        <v>0</v>
      </c>
      <c r="M154" s="74"/>
      <c r="N154" s="74"/>
      <c r="O154" s="407">
        <f t="shared" ref="O154:O217" si="343">J154+K154</f>
        <v>0</v>
      </c>
      <c r="R154" s="90">
        <f t="shared" ref="R154:R217" si="344">IF(R153=12,1,R153+1)</f>
        <v>10</v>
      </c>
      <c r="S154" s="121">
        <f>IF(R154=1,Cal!$AB$127,0)</f>
        <v>0</v>
      </c>
      <c r="U154" s="70">
        <f t="shared" si="262"/>
        <v>0</v>
      </c>
      <c r="V154" s="2178">
        <f t="shared" ref="V154:V217" ca="1" si="345">IF(MOD(A154,2)=0,U154*0.05*2,0)</f>
        <v>0</v>
      </c>
      <c r="X154" s="398"/>
      <c r="Z154" s="268">
        <f t="shared" si="311"/>
        <v>0</v>
      </c>
      <c r="AA154" s="2176">
        <f t="shared" ref="AA154:AA217" si="346">IF(AI153&lt;0.01,0,AI153*$AC$9*30.4166/360)</f>
        <v>0</v>
      </c>
      <c r="AB154" s="33">
        <f t="shared" ref="AB154:AB217" si="347">IF(AI153&lt;0.01,0,AC154-AA154)</f>
        <v>0</v>
      </c>
      <c r="AC154" s="33">
        <f t="shared" ref="AC154:AC217" si="348">IF(AI153&lt;0.1,0,MIN(AI153+AA154,AC153*(1+AO154)))</f>
        <v>0</v>
      </c>
      <c r="AD154" s="33">
        <f>IF(AI153&lt;0.01,0,IF(Adm!$S$4=Adm!$S$8,AI153*$AI$15,AI153*Adm!$V$4))</f>
        <v>0</v>
      </c>
      <c r="AE154" s="33"/>
      <c r="AF154" s="33"/>
      <c r="AG154" s="33">
        <f t="shared" si="312"/>
        <v>0</v>
      </c>
      <c r="AH154" s="33"/>
      <c r="AI154" s="401">
        <f t="shared" si="313"/>
        <v>0</v>
      </c>
      <c r="AK154" s="410">
        <f t="shared" si="314"/>
        <v>0</v>
      </c>
      <c r="AN154" s="90">
        <f t="shared" ref="AN154:AN217" si="349">IF(AN153=12,1,AN153+1)</f>
        <v>10</v>
      </c>
      <c r="AO154" s="121">
        <f>IF(AN154=1,Cal!$AC$127,0)</f>
        <v>0</v>
      </c>
      <c r="AS154" s="200"/>
      <c r="AU154" s="268">
        <f t="shared" si="315"/>
        <v>0</v>
      </c>
      <c r="AV154" s="2177">
        <f t="shared" ref="AV154:AV217" si="350">IF(BC153&lt;0.01,0,BC153*$AX$9*30.4166/360)</f>
        <v>0</v>
      </c>
      <c r="AW154" s="123">
        <f t="shared" si="316"/>
        <v>0</v>
      </c>
      <c r="AX154" s="123">
        <f t="shared" ref="AX154:AX217" si="351">IF(BC153&lt;0.1,0,MIN(BC153+AV154,AX153*(1+BI154)))</f>
        <v>0</v>
      </c>
      <c r="AY154" s="123">
        <f>IF(BC153&lt;0.01,0,IF(Adm!$S$4=Adm!$S$8,BC153*$BC$16,BC153*Adm!$V$4))</f>
        <v>0</v>
      </c>
      <c r="AZ154" s="123"/>
      <c r="BA154" s="123">
        <f>IF(BC153&lt;0.01,0,Adm!$Q$6)</f>
        <v>0</v>
      </c>
      <c r="BB154" s="123">
        <f t="shared" si="317"/>
        <v>0</v>
      </c>
      <c r="BC154" s="297">
        <f t="shared" ref="BC154:BC217" si="352">BC153-AW154</f>
        <v>0</v>
      </c>
      <c r="BE154" s="425">
        <f t="shared" si="318"/>
        <v>0</v>
      </c>
      <c r="BH154" s="90">
        <f t="shared" ref="BH154:BH217" si="353">IF(BH153=12,1,BH153+1)</f>
        <v>10</v>
      </c>
      <c r="BI154" s="121">
        <f>IF(BH154=1,Cal!$AD$127,0)</f>
        <v>0</v>
      </c>
      <c r="BM154" s="221"/>
      <c r="BO154" s="295">
        <f t="shared" ca="1" si="319"/>
        <v>1</v>
      </c>
      <c r="BP154" s="268">
        <f t="shared" si="320"/>
        <v>0</v>
      </c>
      <c r="BQ154" s="123">
        <f t="shared" ref="BQ154:BQ217" si="354">IF(BZ153&lt;0.01,0,BZ153*$BS$9*30.4166/360)</f>
        <v>0</v>
      </c>
      <c r="BR154" s="123">
        <f t="shared" si="288"/>
        <v>0</v>
      </c>
      <c r="BS154" s="123">
        <f t="shared" si="296"/>
        <v>0</v>
      </c>
      <c r="BT154" s="123">
        <f>IF(BZ153&lt;0.01,0,IF(Plus!$F$22=Plus!$AN$4,BZ153*$BZ$15,IF(Plus!$F$22=Plus!$AN$3,BZ153*Plus!$F$23/1000,BZ153*VLOOKUP(Plus!$G$21,Plus!$AP$2:'Plus'!$AQ$5,2,0))))</f>
        <v>0</v>
      </c>
      <c r="BU154" s="123">
        <f>IF(BZ153&lt;0.01,0,IF(Plus!$F$24=Plus!$AO$3,Plus!$G$13*Plus!$AR$2/1.16,IF(Plus!$F$10=Plus!$AK$7,0,Plus!$G$13*Plus!$AR$2/1.16)))</f>
        <v>0</v>
      </c>
      <c r="BV154" s="123">
        <f>IF(BZ153&lt;0.01,0,Plus!$BD$2)</f>
        <v>0</v>
      </c>
      <c r="BW154" s="123"/>
      <c r="BX154" s="123">
        <f t="shared" si="321"/>
        <v>0</v>
      </c>
      <c r="BY154" s="123">
        <f>IF(Plus!$F$10=Plus!$AK$3,MIN(BZ153+BQ154+BT154+BU154+BV154-BX154,CJ154),0)</f>
        <v>0</v>
      </c>
      <c r="BZ154" s="297">
        <f t="shared" si="280"/>
        <v>0</v>
      </c>
      <c r="CA154" s="74"/>
      <c r="CB154" s="74"/>
      <c r="CC154" s="413">
        <f t="shared" ref="CC154:CC217" si="355">BX154+BY154</f>
        <v>0</v>
      </c>
      <c r="CF154" s="90">
        <f t="shared" ref="CF154:CF217" si="356">IF(CF153=12,1,CF153+1)</f>
        <v>10</v>
      </c>
      <c r="CG154" s="121">
        <f t="shared" si="263"/>
        <v>0</v>
      </c>
      <c r="CI154" s="70">
        <f t="shared" si="264"/>
        <v>0</v>
      </c>
      <c r="CJ154" s="2178">
        <f t="shared" ref="CJ154:CJ217" ca="1" si="357">IF(MOD(BO154,2)=0,CI154*0.05*2,0)</f>
        <v>0</v>
      </c>
      <c r="CL154" s="161"/>
      <c r="CN154" s="308">
        <f t="shared" ca="1" si="322"/>
        <v>1</v>
      </c>
      <c r="CO154" s="309">
        <f t="shared" ref="CO154:CO217" si="358">IF(CZ153&gt;0,CO153-1,0)</f>
        <v>0</v>
      </c>
      <c r="CP154" s="268">
        <f t="shared" si="323"/>
        <v>0</v>
      </c>
      <c r="CQ154" s="123">
        <f t="shared" ref="CQ154:CQ217" si="359">IF(CZ153&lt;0.01,0,CZ153*$CS$9*30.4166/360)</f>
        <v>0</v>
      </c>
      <c r="CR154" s="123">
        <f t="shared" si="289"/>
        <v>0</v>
      </c>
      <c r="CS154" s="123">
        <f t="shared" si="290"/>
        <v>0</v>
      </c>
      <c r="CT154" s="33">
        <f>IF(CZ153&lt;0.01,0,IF(Plus!$F$22=Plus!$AN$4,0,IF(Plus!$F$22=Plus!$AN$3,CZ153*Plus!$F$23/1000,CZ153*VLOOKUP(Plus!$G$21,Plus!$AP$2:'Plus'!$AQ$5,2,0))))</f>
        <v>0</v>
      </c>
      <c r="CU154" s="123">
        <f>IF(CZ153&lt;0.01,0,IF(Plus!$F$24=Plus!$AO$3,0,IF(OR(Plus!$F$10=Plus!$AK$7,Plus!$F$10=Plus!$AK$13),0,Plus!$G$13*Plus!$AR$2)))</f>
        <v>0</v>
      </c>
      <c r="CV154" s="123">
        <f>IF(CZ153&lt;0.01,0,IF(OR(Plus!$F$10=Plus!$AK$7,Plus!$F$10=Plus!$AK$13),0,Plus!$BD$2*1.16))</f>
        <v>0</v>
      </c>
      <c r="CW154" s="123">
        <f>IF(CZ153&lt;0.01,0,IF(Plus!$AS$2&gt;0,CQ154*Plus!$AS$3,0))</f>
        <v>0</v>
      </c>
      <c r="CX154" s="123">
        <f t="shared" ref="CX154:CX217" si="360">IF(CZ153&lt;0.01,0,CS154+CT154+CU154+CV154+CW154)</f>
        <v>0</v>
      </c>
      <c r="CY154" s="123">
        <f>IF(Plus!$F$10=Plus!$AK$3,MIN(CZ153+CQ154+CT154+CU154+CV154-CX154,DK154),0)</f>
        <v>0</v>
      </c>
      <c r="CZ154" s="297">
        <f t="shared" si="294"/>
        <v>0</v>
      </c>
      <c r="DA154" s="306">
        <f>Plus!O195</f>
        <v>0</v>
      </c>
      <c r="DB154" s="74"/>
      <c r="DC154" s="74"/>
      <c r="DD154" s="407">
        <f t="shared" ref="DD154:DD217" si="361">CS154+CT154+(CU154/1.16)+(CV154/1.16)+CY154</f>
        <v>0</v>
      </c>
      <c r="DG154" s="90">
        <f t="shared" ref="DG154:DG217" si="362">IF(DG153=12,1,DG153+1)</f>
        <v>10</v>
      </c>
      <c r="DH154" s="121">
        <f t="shared" si="265"/>
        <v>0</v>
      </c>
      <c r="DJ154" s="149">
        <f t="shared" si="266"/>
        <v>0</v>
      </c>
      <c r="DK154" s="2179">
        <f t="shared" ref="DK154:DK217" ca="1" si="363">IF(MOD(CN154,2)=0,DJ154*0.05*2,0)</f>
        <v>0</v>
      </c>
      <c r="DN154" s="120">
        <f t="shared" si="267"/>
        <v>0</v>
      </c>
      <c r="DO154" s="110">
        <f t="shared" ref="DO154:DO217" si="364">IF(AND($DP$21=1,DA153&gt;0.1),DP154,0)</f>
        <v>0</v>
      </c>
      <c r="DP154" s="110">
        <f t="shared" si="276"/>
        <v>0</v>
      </c>
      <c r="DQ154" s="109">
        <f t="shared" ref="DQ154:DQ217" si="365">IF(AND(DR154&gt;0.01,$DN$21=2),DR154,0)</f>
        <v>0</v>
      </c>
      <c r="DR154" s="109">
        <f t="shared" ref="DR154:DR217" si="366">IF(AND($DN$21=2,DA153&lt;0.01),0,IF($DN$21=2,(CZ153*DS154)+CQ154,0))</f>
        <v>0</v>
      </c>
      <c r="DS154" s="113">
        <f t="shared" ref="DS154:DS217" si="367">DU154</f>
        <v>0</v>
      </c>
      <c r="DU154" s="102">
        <f t="shared" ref="DU154:DU217" si="368">DX154/DZ153</f>
        <v>0</v>
      </c>
      <c r="DV154" s="211">
        <f t="shared" si="277"/>
        <v>130</v>
      </c>
      <c r="DW154" s="212">
        <f t="shared" ref="DW154:DW217" si="369">DZ153*$DW$18*30.4166/360</f>
        <v>0</v>
      </c>
      <c r="DX154" s="212">
        <f t="shared" si="324"/>
        <v>0</v>
      </c>
      <c r="DY154" s="212">
        <f t="shared" si="268"/>
        <v>0</v>
      </c>
      <c r="DZ154" s="213">
        <f t="shared" si="325"/>
        <v>1000000</v>
      </c>
      <c r="ED154" s="182"/>
      <c r="EF154" s="308">
        <f t="shared" ca="1" si="326"/>
        <v>1</v>
      </c>
      <c r="EG154" s="309">
        <f t="shared" ref="EG154:EG217" si="370">IF(ER153&gt;0,EG153-1,0)</f>
        <v>0</v>
      </c>
      <c r="EH154" s="268">
        <f t="shared" si="327"/>
        <v>0</v>
      </c>
      <c r="EI154" s="33">
        <f t="shared" ref="EI154:EI217" si="371">IF(ER153&lt;0.01,0,ER153*$EK$9*30.4166/360)</f>
        <v>0</v>
      </c>
      <c r="EJ154" s="33">
        <f t="shared" si="291"/>
        <v>0</v>
      </c>
      <c r="EK154" s="33">
        <f t="shared" si="297"/>
        <v>0</v>
      </c>
      <c r="EL154" s="33">
        <f>IF(ER153&lt;0.01,0,IF(Plus!$F$22=Plus!$AN$4,0,IF(Plus!$F$22=Plus!$AN$3,ER153*Plus!$F$23/1000,ER153*VLOOKUP(Plus!$G$21,Plus!$AP$2:'Plus'!$AQ$5,2,0))))</f>
        <v>0</v>
      </c>
      <c r="EM154" s="33">
        <f>IF(ER153&lt;0.01,0,IF(Plus!$F$24=Plus!$AO$3,0,IF(OR(Plus!$F$10=Plus!$AK$7,Plus!$F$10=Plus!$AK$13),0,Plus!$G$13*Plus!$AR$2)))</f>
        <v>0</v>
      </c>
      <c r="EN154" s="33">
        <f>IF(ER153&lt;0.01,0,IF(OR(Plus!$F$10=Plus!$AK$7,Plus!$F$10=Plus!$AK$13),0,Plus!$BD$2*1.16))</f>
        <v>0</v>
      </c>
      <c r="EO154" s="33">
        <f>IF(ER153&lt;0.01,0,IF(Plus!$AS$2&gt;0,EI154*Plus!$AS$3,0))</f>
        <v>0</v>
      </c>
      <c r="EP154" s="33">
        <f t="shared" ref="EP154:EP217" si="372">IF(ER153&lt;0.01,0,EK154+EL154+EM154+EN154+EO154)</f>
        <v>0</v>
      </c>
      <c r="EQ154" s="33">
        <f>IF(Plus!$F$10=Plus!$AK$3,MIN(ER153+EI154+EL154+EM154+EN154-EP154,FC154),0)</f>
        <v>0</v>
      </c>
      <c r="ER154" s="311">
        <f t="shared" si="285"/>
        <v>0</v>
      </c>
      <c r="ES154" s="340">
        <f>Plus!O195</f>
        <v>0</v>
      </c>
      <c r="ET154" s="74"/>
      <c r="EU154" s="74"/>
      <c r="EV154" s="416">
        <f t="shared" si="281"/>
        <v>0</v>
      </c>
      <c r="EY154" s="90">
        <f t="shared" ref="EY154:EY217" si="373">IF(EY153=12,1,EY153+1)</f>
        <v>10</v>
      </c>
      <c r="EZ154" s="121">
        <f t="shared" si="269"/>
        <v>0</v>
      </c>
      <c r="FB154" s="149">
        <f t="shared" si="270"/>
        <v>0</v>
      </c>
      <c r="FC154" s="2179">
        <f t="shared" ref="FC154:FC217" ca="1" si="374">IF(MOD(EF154,2)=0,FB154*0.05*2,0)</f>
        <v>0</v>
      </c>
      <c r="FE154" s="120">
        <f t="shared" si="271"/>
        <v>0</v>
      </c>
      <c r="FF154" s="110">
        <f t="shared" ref="FF154:FF217" si="375">IF(AND($FG$21=1,ES153&gt;0.1),FG154,0)</f>
        <v>0</v>
      </c>
      <c r="FG154" s="110">
        <f t="shared" ref="FG154:FG217" si="376">IF(AND($FG$21=1,$FE$21=2),PMT((($EK$9/360)*(365/12)),EG153,-ER153),0)</f>
        <v>0</v>
      </c>
      <c r="FH154" s="109">
        <f t="shared" ref="FH154:FH217" si="377">IF(AND(FI154&gt;0.01,$FE$21=2),FI154,0)</f>
        <v>0</v>
      </c>
      <c r="FI154" s="109">
        <f t="shared" si="328"/>
        <v>0</v>
      </c>
      <c r="FJ154" s="113">
        <f t="shared" ref="FJ154:FJ217" si="378">FL154</f>
        <v>0</v>
      </c>
      <c r="FL154" s="102">
        <f t="shared" ref="FL154:FL217" si="379">FO154/FQ153</f>
        <v>0</v>
      </c>
      <c r="FM154" s="211">
        <f t="shared" si="278"/>
        <v>130</v>
      </c>
      <c r="FN154" s="212">
        <f t="shared" ref="FN154:FN217" si="380">FQ153*$FN$18*30.4166/360</f>
        <v>0</v>
      </c>
      <c r="FO154" s="212">
        <f t="shared" si="329"/>
        <v>0</v>
      </c>
      <c r="FP154" s="212">
        <f t="shared" si="306"/>
        <v>0</v>
      </c>
      <c r="FQ154" s="213">
        <f t="shared" si="330"/>
        <v>1000000</v>
      </c>
      <c r="FV154" s="359"/>
      <c r="FX154" s="308">
        <f t="shared" ca="1" si="331"/>
        <v>1</v>
      </c>
      <c r="FY154" s="309">
        <f t="shared" ref="FY154:FY217" si="381">IF(GJ153&gt;0,FY153-1,0)</f>
        <v>0</v>
      </c>
      <c r="FZ154" s="268">
        <f t="shared" si="332"/>
        <v>0</v>
      </c>
      <c r="GA154" s="33">
        <f t="shared" ref="GA154:GA217" si="382">IF(GJ153&lt;0.01,0,GJ153*$EK$9*30.4166/360)</f>
        <v>0</v>
      </c>
      <c r="GB154" s="33">
        <f t="shared" si="292"/>
        <v>0</v>
      </c>
      <c r="GC154" s="33">
        <f t="shared" si="293"/>
        <v>0</v>
      </c>
      <c r="GD154" s="33">
        <f>IF(GJ153&lt;0.01,0,IF(Plus!$F$22=Plus!$AN$4,0,IF(Plus!$F$22=Plus!$AN$3,GJ153*Plus!$F$23/1000,GJ153*VLOOKUP(Plus!$G$21,Plus!$AP$2:$AQ$5,2,0))))</f>
        <v>0</v>
      </c>
      <c r="GE154" s="33">
        <f>IF(GJ153&lt;0.01,0,IF(Plus!$F$24=Plus!$AO$3,0,IF(OR(Plus!$F$10=Plus!$AK$7,Plus!$F$10=Plus!$AK$13,Plus!$F$10=Plus!$AK$14),0,IF(OR(Plus!$F$10=Plus!$AK$10,Plus!$F$10=Plus!$AK$11),Plus!$G$13*Adm!$W$7,Plus!$G$13*Adm!$X$4))))</f>
        <v>0</v>
      </c>
      <c r="GF154" s="33">
        <f>IF(GJ153&lt;0.01,0,IF(OR(Plus!$F$10=Plus!$AK$7,Plus!$F$10=Plus!$AK$13),0,Plus!$BD$2*1.16))</f>
        <v>0</v>
      </c>
      <c r="GG154" s="33">
        <f>IF(GJ153&lt;0.01,0,IF(Plus!$AS$2&gt;0,GA154*Plus!$AS$3,0))</f>
        <v>0</v>
      </c>
      <c r="GH154" s="33">
        <f t="shared" ref="GH154:GH217" si="383">IF(GJ153&lt;0.01,0,GC154+GD154+GE154+GF154+GG154)</f>
        <v>0</v>
      </c>
      <c r="GI154" s="33">
        <f>IF(Plus!$F$10=Plus!$AK$3,MIN(GJ153+GA154+GD154+GE154+GF154-GH154,GU154),0)</f>
        <v>0</v>
      </c>
      <c r="GJ154" s="311">
        <f t="shared" si="286"/>
        <v>0</v>
      </c>
      <c r="GK154" s="340">
        <f>Plus!O195</f>
        <v>0</v>
      </c>
      <c r="GL154" s="74"/>
      <c r="GM154" s="74"/>
      <c r="GN154" s="419">
        <f t="shared" si="283"/>
        <v>0</v>
      </c>
      <c r="GQ154" s="90">
        <f t="shared" ref="GQ154:GQ217" si="384">IF(GQ153=12,1,GQ153+1)</f>
        <v>10</v>
      </c>
      <c r="GR154" s="121">
        <f t="shared" si="272"/>
        <v>0</v>
      </c>
      <c r="GT154" s="149">
        <f t="shared" si="273"/>
        <v>0</v>
      </c>
      <c r="GU154" s="2179">
        <f t="shared" ref="GU154:GU217" ca="1" si="385">IF(MOD(FX154,2)=0,GT154*0.05*2,0)</f>
        <v>0</v>
      </c>
      <c r="GW154" s="120">
        <f t="shared" si="274"/>
        <v>0</v>
      </c>
      <c r="GX154" s="110">
        <f t="shared" ref="GX154:GX217" si="386">IF(AND($FG$21=1,GK153&gt;0.1),GY154,0)</f>
        <v>0</v>
      </c>
      <c r="GY154" s="110">
        <f t="shared" ref="GY154:GY217" si="387">IF(AND($FG$21=1,$FE$21=2),PMT((($EK$9/360)*(365/12)),FY153,-GJ153),0)</f>
        <v>0</v>
      </c>
      <c r="GZ154" s="109">
        <f t="shared" ref="GZ154:GZ217" si="388">IF(AND(HA154&gt;0.01,$FE$21=2),HA154,0)</f>
        <v>0</v>
      </c>
      <c r="HA154" s="109">
        <f t="shared" si="333"/>
        <v>0</v>
      </c>
      <c r="HB154" s="113">
        <f t="shared" ref="HB154:HB217" si="389">HD154</f>
        <v>0</v>
      </c>
      <c r="HD154" s="102">
        <f t="shared" ref="HD154:HD217" si="390">HG154/HI153</f>
        <v>0</v>
      </c>
      <c r="HE154" s="211">
        <f t="shared" si="279"/>
        <v>130</v>
      </c>
      <c r="HF154" s="212">
        <f t="shared" ref="HF154:HF217" si="391">HI153*$FN$18*30.4166/360</f>
        <v>0</v>
      </c>
      <c r="HG154" s="212">
        <f t="shared" si="334"/>
        <v>0</v>
      </c>
      <c r="HH154" s="212">
        <f t="shared" si="307"/>
        <v>0</v>
      </c>
      <c r="HI154" s="213">
        <f t="shared" si="335"/>
        <v>1000000</v>
      </c>
      <c r="HL154" s="182"/>
      <c r="HM154" s="26">
        <f t="shared" ca="1" si="336"/>
        <v>1</v>
      </c>
      <c r="HO154" s="268">
        <f t="shared" si="337"/>
        <v>0</v>
      </c>
      <c r="HP154" s="151">
        <f t="shared" si="302"/>
        <v>0</v>
      </c>
      <c r="HQ154" s="123">
        <f t="shared" ref="HQ154:HQ217" si="392">IF(HY153&lt;0.01,0,HY153*HP154*30.4166/360)</f>
        <v>0</v>
      </c>
      <c r="HR154" s="123">
        <f t="shared" ref="HR154:HR217" si="393">IF(HY153&lt;0.01,0,HS154-HQ154)</f>
        <v>0</v>
      </c>
      <c r="HS154" s="123">
        <f t="shared" ref="HS154:HS217" si="394">IF(HY152&lt;0.1,0,MIN(HY153+HQ154,HS153*(1+ID154)))</f>
        <v>0</v>
      </c>
      <c r="HT154" s="123">
        <f>IF(HY153&lt;0.01,0,IF(Adm!$GS$4=Adm!$GS$8,HY153*$HY$15,IF(Adm!$GS$12=Adm!$GS$13,0,HY153*Adm!$GV$4)))</f>
        <v>0</v>
      </c>
      <c r="HU154" s="123">
        <f>IF(HY153&lt;0.01,0,IF(Adm!$GS$5=Adm!$GS$8,Cal!$BO$108*$HY$16/1.16,IF(Adm!$GS$12=Adm!$GS$13,0,Cal!$BO$108*Adm!$GW$4/1.16)))</f>
        <v>0</v>
      </c>
      <c r="HV154" s="123">
        <f t="shared" ref="HV154:HV217" si="395">IF(HY153&lt;0.01,0,0)</f>
        <v>0</v>
      </c>
      <c r="HW154" s="123">
        <f t="shared" si="338"/>
        <v>0</v>
      </c>
      <c r="HX154" s="123">
        <f>IF(Adm!$GH$6="si",MIN(HY153+HQ154+HT154+HU154+HV154-HW154,IH154),0)</f>
        <v>0</v>
      </c>
      <c r="HY154" s="297">
        <f t="shared" ref="HY154:HY217" si="396">IF(HY153&lt;0.01,0,HY153-HR154-HX154)</f>
        <v>0</v>
      </c>
      <c r="HZ154" s="74"/>
      <c r="IA154" s="407">
        <f t="shared" ref="IA154:IA217" si="397">HW154+HX154</f>
        <v>0</v>
      </c>
      <c r="IC154" s="90">
        <f t="shared" ref="IC154:IC217" si="398">IF(IC153=12,1,IC153+1)</f>
        <v>10</v>
      </c>
      <c r="ID154" s="124">
        <f>IF(IC154=1,Cal!$BO$127,0)</f>
        <v>0</v>
      </c>
      <c r="IE154" s="178">
        <f>IF(IC154=1,Adm!$HI$4,0)</f>
        <v>0</v>
      </c>
      <c r="IG154" s="70">
        <f t="shared" si="275"/>
        <v>0</v>
      </c>
      <c r="IH154" s="2178">
        <f t="shared" ref="IH154:IH217" ca="1" si="399">IF(MOD(HM154,2)=0,IG154*0.05*2,0)</f>
        <v>0</v>
      </c>
      <c r="IK154" s="217"/>
      <c r="IL154" s="26">
        <f t="shared" ca="1" si="339"/>
        <v>1</v>
      </c>
      <c r="IN154" s="268">
        <f t="shared" si="340"/>
        <v>0</v>
      </c>
      <c r="IO154" s="151">
        <f t="shared" si="303"/>
        <v>0</v>
      </c>
      <c r="IP154" s="123">
        <f t="shared" ref="IP154:IP217" si="400">IF(IX153&lt;0.01,0,IX153*IO154*30.4166/360)</f>
        <v>0</v>
      </c>
      <c r="IQ154" s="123">
        <f t="shared" ref="IQ154:IQ217" si="401">IF(IX153&lt;0.01,0,IR154-IP154)</f>
        <v>0</v>
      </c>
      <c r="IR154" s="123">
        <f t="shared" ref="IR154:IR217" si="402">IF(IX152&lt;0.1,0,MIN(IX153+IP154,IR153*(1+JC154)))</f>
        <v>0</v>
      </c>
      <c r="IS154" s="123">
        <f>IF(IX153&lt;0.01,0,IF(Adm!$GS$4=Adm!$GS$8,IX153*$IX$15,IF(Adm!$GS$12=Adm!$GS$13,0,IX153*Adm!$GV$4)))</f>
        <v>0</v>
      </c>
      <c r="IT154" s="123"/>
      <c r="IU154" s="123">
        <f t="shared" ref="IU154:IU217" si="403">IF(IX153&lt;0.01,0,0)</f>
        <v>0</v>
      </c>
      <c r="IV154" s="123">
        <f t="shared" ref="IV154:IV217" si="404">IF(IX153&lt;0.01,0,IR154+IS154+IT154+IU154)</f>
        <v>0</v>
      </c>
      <c r="IW154" s="123"/>
      <c r="IX154" s="297">
        <f t="shared" ref="IX154:IX217" si="405">IF(IX153&lt;0.01,0,IX153-IQ154-IW154)</f>
        <v>0</v>
      </c>
      <c r="IY154" s="74"/>
      <c r="IZ154" s="416">
        <f t="shared" ref="IZ154:IZ217" si="406">IV154+IW154</f>
        <v>0</v>
      </c>
      <c r="JB154" s="90">
        <f t="shared" ref="JB154:JB217" si="407">IF(JB153=12,1,JB153+1)</f>
        <v>10</v>
      </c>
      <c r="JC154" s="124">
        <f>IF(JB154=1,Cal!$BP$127,0)</f>
        <v>0</v>
      </c>
      <c r="JD154" s="178">
        <f>IF(JB154=1,Adm!$HI$4,0)</f>
        <v>0</v>
      </c>
    </row>
    <row r="155" spans="1:264">
      <c r="A155" s="26">
        <f t="shared" ca="1" si="308"/>
        <v>2</v>
      </c>
      <c r="C155" s="33">
        <f t="shared" si="309"/>
        <v>0</v>
      </c>
      <c r="D155" s="123">
        <f t="shared" si="341"/>
        <v>0</v>
      </c>
      <c r="E155" s="123">
        <f t="shared" si="287"/>
        <v>0</v>
      </c>
      <c r="F155" s="123">
        <f t="shared" si="295"/>
        <v>0</v>
      </c>
      <c r="G155" s="123">
        <f>IF(L154&lt;0.01,0,IF(Adm!$S$4=Adm!$S$8,L154*$L$15,L154*Adm!$V$4))</f>
        <v>0</v>
      </c>
      <c r="H155" s="123">
        <f>IF(L154&lt;0.01,0,IF(Adm!$S$5=Adm!$S$8,Adm!$AA$11*$L$16/1.16,IF(Adm!$B$4=Adm!$A$119,0,Adm!$AA$11*Adm!$X$4/1.16)))</f>
        <v>0</v>
      </c>
      <c r="I155" s="123">
        <f>IF(L154&lt;0.01,0,Cal!$AB$126/1.16)</f>
        <v>0</v>
      </c>
      <c r="J155" s="123">
        <f t="shared" si="310"/>
        <v>0</v>
      </c>
      <c r="K155" s="123">
        <f>IF(Adm!$G$4="si",MIN(L154+D155+G155+H155+I155-J155,V155),0)</f>
        <v>0</v>
      </c>
      <c r="L155" s="123">
        <f t="shared" si="342"/>
        <v>0</v>
      </c>
      <c r="M155" s="74"/>
      <c r="N155" s="74"/>
      <c r="O155" s="407">
        <f t="shared" si="343"/>
        <v>0</v>
      </c>
      <c r="R155" s="90">
        <f t="shared" si="344"/>
        <v>11</v>
      </c>
      <c r="S155" s="121">
        <f>IF(R155=1,Cal!$AB$127,0)</f>
        <v>0</v>
      </c>
      <c r="U155" s="70">
        <f t="shared" ref="U155:U218" si="408">U154</f>
        <v>0</v>
      </c>
      <c r="V155" s="2178">
        <f t="shared" ca="1" si="345"/>
        <v>0</v>
      </c>
      <c r="X155" s="398"/>
      <c r="Z155" s="268">
        <f t="shared" si="311"/>
        <v>0</v>
      </c>
      <c r="AA155" s="2176">
        <f t="shared" si="346"/>
        <v>0</v>
      </c>
      <c r="AB155" s="33">
        <f t="shared" si="347"/>
        <v>0</v>
      </c>
      <c r="AC155" s="33">
        <f t="shared" si="348"/>
        <v>0</v>
      </c>
      <c r="AD155" s="33">
        <f>IF(AI154&lt;0.01,0,IF(Adm!$S$4=Adm!$S$8,AI154*$AI$15,AI154*Adm!$V$4))</f>
        <v>0</v>
      </c>
      <c r="AE155" s="33"/>
      <c r="AF155" s="33"/>
      <c r="AG155" s="33">
        <f t="shared" si="312"/>
        <v>0</v>
      </c>
      <c r="AH155" s="33"/>
      <c r="AI155" s="401">
        <f t="shared" si="313"/>
        <v>0</v>
      </c>
      <c r="AK155" s="410">
        <f t="shared" si="314"/>
        <v>0</v>
      </c>
      <c r="AN155" s="90">
        <f t="shared" si="349"/>
        <v>11</v>
      </c>
      <c r="AO155" s="121">
        <f>IF(AN155=1,Cal!$AC$127,0)</f>
        <v>0</v>
      </c>
      <c r="AS155" s="200"/>
      <c r="AU155" s="268">
        <f t="shared" si="315"/>
        <v>0</v>
      </c>
      <c r="AV155" s="2177">
        <f t="shared" si="350"/>
        <v>0</v>
      </c>
      <c r="AW155" s="123">
        <f t="shared" si="316"/>
        <v>0</v>
      </c>
      <c r="AX155" s="123">
        <f t="shared" si="351"/>
        <v>0</v>
      </c>
      <c r="AY155" s="123">
        <f>IF(BC154&lt;0.01,0,IF(Adm!$S$4=Adm!$S$8,BC154*$BC$16,BC154*Adm!$V$4))</f>
        <v>0</v>
      </c>
      <c r="AZ155" s="123"/>
      <c r="BA155" s="123">
        <f>IF(BC154&lt;0.01,0,Adm!$Q$6)</f>
        <v>0</v>
      </c>
      <c r="BB155" s="123">
        <f t="shared" si="317"/>
        <v>0</v>
      </c>
      <c r="BC155" s="297">
        <f t="shared" si="352"/>
        <v>0</v>
      </c>
      <c r="BE155" s="425">
        <f t="shared" si="318"/>
        <v>0</v>
      </c>
      <c r="BH155" s="90">
        <f t="shared" si="353"/>
        <v>11</v>
      </c>
      <c r="BI155" s="121">
        <f>IF(BH155=1,Cal!$AD$127,0)</f>
        <v>0</v>
      </c>
      <c r="BM155" s="221"/>
      <c r="BO155" s="295">
        <f t="shared" ca="1" si="319"/>
        <v>2</v>
      </c>
      <c r="BP155" s="268">
        <f t="shared" si="320"/>
        <v>0</v>
      </c>
      <c r="BQ155" s="123">
        <f t="shared" si="354"/>
        <v>0</v>
      </c>
      <c r="BR155" s="123">
        <f t="shared" si="288"/>
        <v>0</v>
      </c>
      <c r="BS155" s="123">
        <f t="shared" si="296"/>
        <v>0</v>
      </c>
      <c r="BT155" s="123">
        <f>IF(BZ154&lt;0.01,0,IF(Plus!$F$22=Plus!$AN$4,BZ154*$BZ$15,IF(Plus!$F$22=Plus!$AN$3,BZ154*Plus!$F$23/1000,BZ154*VLOOKUP(Plus!$G$21,Plus!$AP$2:'Plus'!$AQ$5,2,0))))</f>
        <v>0</v>
      </c>
      <c r="BU155" s="123">
        <f>IF(BZ154&lt;0.01,0,IF(Plus!$F$24=Plus!$AO$3,Plus!$G$13*Plus!$AR$2/1.16,IF(Plus!$F$10=Plus!$AK$7,0,Plus!$G$13*Plus!$AR$2/1.16)))</f>
        <v>0</v>
      </c>
      <c r="BV155" s="123">
        <f>IF(BZ154&lt;0.01,0,Plus!$BD$2)</f>
        <v>0</v>
      </c>
      <c r="BW155" s="123"/>
      <c r="BX155" s="123">
        <f t="shared" si="321"/>
        <v>0</v>
      </c>
      <c r="BY155" s="123">
        <f>IF(Plus!$F$10=Plus!$AK$3,MIN(BZ154+BQ155+BT155+BU155+BV155-BX155,CJ155),0)</f>
        <v>0</v>
      </c>
      <c r="BZ155" s="297">
        <f t="shared" si="280"/>
        <v>0</v>
      </c>
      <c r="CA155" s="74"/>
      <c r="CB155" s="74"/>
      <c r="CC155" s="413">
        <f t="shared" si="355"/>
        <v>0</v>
      </c>
      <c r="CF155" s="90">
        <f t="shared" si="356"/>
        <v>11</v>
      </c>
      <c r="CG155" s="121">
        <f t="shared" ref="CG155:CG218" si="409">IF(CF155=1,$BS$12,0)</f>
        <v>0</v>
      </c>
      <c r="CI155" s="70">
        <f t="shared" ref="CI155:CI218" si="410">CI154</f>
        <v>0</v>
      </c>
      <c r="CJ155" s="2178">
        <f t="shared" ca="1" si="357"/>
        <v>0</v>
      </c>
      <c r="CL155" s="161"/>
      <c r="CN155" s="308">
        <f t="shared" ca="1" si="322"/>
        <v>2</v>
      </c>
      <c r="CO155" s="309">
        <f t="shared" si="358"/>
        <v>0</v>
      </c>
      <c r="CP155" s="268">
        <f t="shared" si="323"/>
        <v>0</v>
      </c>
      <c r="CQ155" s="123">
        <f t="shared" si="359"/>
        <v>0</v>
      </c>
      <c r="CR155" s="123">
        <f t="shared" si="289"/>
        <v>0</v>
      </c>
      <c r="CS155" s="123">
        <f t="shared" si="290"/>
        <v>0</v>
      </c>
      <c r="CT155" s="33">
        <f>IF(CZ154&lt;0.01,0,IF(Plus!$F$22=Plus!$AN$4,0,IF(Plus!$F$22=Plus!$AN$3,CZ154*Plus!$F$23/1000,CZ154*VLOOKUP(Plus!$G$21,Plus!$AP$2:'Plus'!$AQ$5,2,0))))</f>
        <v>0</v>
      </c>
      <c r="CU155" s="123">
        <f>IF(CZ154&lt;0.01,0,IF(Plus!$F$24=Plus!$AO$3,0,IF(OR(Plus!$F$10=Plus!$AK$7,Plus!$F$10=Plus!$AK$13),0,Plus!$G$13*Plus!$AR$2)))</f>
        <v>0</v>
      </c>
      <c r="CV155" s="123">
        <f>IF(CZ154&lt;0.01,0,IF(OR(Plus!$F$10=Plus!$AK$7,Plus!$F$10=Plus!$AK$13),0,Plus!$BD$2*1.16))</f>
        <v>0</v>
      </c>
      <c r="CW155" s="123">
        <f>IF(CZ154&lt;0.01,0,IF(Plus!$AS$2&gt;0,CQ155*Plus!$AS$3,0))</f>
        <v>0</v>
      </c>
      <c r="CX155" s="123">
        <f t="shared" si="360"/>
        <v>0</v>
      </c>
      <c r="CY155" s="123">
        <f>IF(Plus!$F$10=Plus!$AK$3,MIN(CZ154+CQ155+CT155+CU155+CV155-CX155,DK155),0)</f>
        <v>0</v>
      </c>
      <c r="CZ155" s="297">
        <f t="shared" si="294"/>
        <v>0</v>
      </c>
      <c r="DA155" s="306">
        <f>Plus!O196</f>
        <v>0</v>
      </c>
      <c r="DB155" s="74"/>
      <c r="DC155" s="74"/>
      <c r="DD155" s="407">
        <f t="shared" si="361"/>
        <v>0</v>
      </c>
      <c r="DG155" s="90">
        <f t="shared" si="362"/>
        <v>11</v>
      </c>
      <c r="DH155" s="121">
        <f t="shared" ref="DH155:DH218" si="411">IF(DG155=1,$CS$12,0)</f>
        <v>0</v>
      </c>
      <c r="DJ155" s="149">
        <f t="shared" ref="DJ155:DJ218" si="412">DJ154</f>
        <v>0</v>
      </c>
      <c r="DK155" s="2179">
        <f t="shared" ca="1" si="363"/>
        <v>0</v>
      </c>
      <c r="DN155" s="120">
        <f t="shared" ref="DN155:DN218" si="413">IF(DO155&gt;1,DO155,IF(DQ155&gt;1,DQ155,0))</f>
        <v>0</v>
      </c>
      <c r="DO155" s="110">
        <f t="shared" si="364"/>
        <v>0</v>
      </c>
      <c r="DP155" s="110">
        <f t="shared" si="276"/>
        <v>0</v>
      </c>
      <c r="DQ155" s="109">
        <f t="shared" si="365"/>
        <v>0</v>
      </c>
      <c r="DR155" s="109">
        <f t="shared" si="366"/>
        <v>0</v>
      </c>
      <c r="DS155" s="113">
        <f t="shared" si="367"/>
        <v>0</v>
      </c>
      <c r="DU155" s="102">
        <f t="shared" si="368"/>
        <v>0</v>
      </c>
      <c r="DV155" s="211">
        <f t="shared" si="277"/>
        <v>131</v>
      </c>
      <c r="DW155" s="212">
        <f t="shared" si="369"/>
        <v>0</v>
      </c>
      <c r="DX155" s="212">
        <f t="shared" si="324"/>
        <v>0</v>
      </c>
      <c r="DY155" s="212">
        <f t="shared" ref="DY155:DY218" si="414">MIN(DZ154+DW155,DY154)</f>
        <v>0</v>
      </c>
      <c r="DZ155" s="213">
        <f t="shared" si="325"/>
        <v>1000000</v>
      </c>
      <c r="ED155" s="182"/>
      <c r="EF155" s="308">
        <f t="shared" ca="1" si="326"/>
        <v>2</v>
      </c>
      <c r="EG155" s="309">
        <f t="shared" si="370"/>
        <v>0</v>
      </c>
      <c r="EH155" s="268">
        <f t="shared" si="327"/>
        <v>0</v>
      </c>
      <c r="EI155" s="33">
        <f t="shared" si="371"/>
        <v>0</v>
      </c>
      <c r="EJ155" s="33">
        <f t="shared" si="291"/>
        <v>0</v>
      </c>
      <c r="EK155" s="33">
        <f t="shared" si="297"/>
        <v>0</v>
      </c>
      <c r="EL155" s="33">
        <f>IF(ER154&lt;0.01,0,IF(Plus!$F$22=Plus!$AN$4,0,IF(Plus!$F$22=Plus!$AN$3,ER154*Plus!$F$23/1000,ER154*VLOOKUP(Plus!$G$21,Plus!$AP$2:'Plus'!$AQ$5,2,0))))</f>
        <v>0</v>
      </c>
      <c r="EM155" s="33">
        <f>IF(ER154&lt;0.01,0,IF(Plus!$F$24=Plus!$AO$3,0,IF(OR(Plus!$F$10=Plus!$AK$7,Plus!$F$10=Plus!$AK$13),0,Plus!$G$13*Plus!$AR$2)))</f>
        <v>0</v>
      </c>
      <c r="EN155" s="33">
        <f>IF(ER154&lt;0.01,0,IF(OR(Plus!$F$10=Plus!$AK$7,Plus!$F$10=Plus!$AK$13),0,Plus!$BD$2*1.16))</f>
        <v>0</v>
      </c>
      <c r="EO155" s="33">
        <f>IF(ER154&lt;0.01,0,IF(Plus!$AS$2&gt;0,EI155*Plus!$AS$3,0))</f>
        <v>0</v>
      </c>
      <c r="EP155" s="33">
        <f t="shared" si="372"/>
        <v>0</v>
      </c>
      <c r="EQ155" s="33">
        <f>IF(Plus!$F$10=Plus!$AK$3,MIN(ER154+EI155+EL155+EM155+EN155-EP155,FC155),0)</f>
        <v>0</v>
      </c>
      <c r="ER155" s="311">
        <f t="shared" si="285"/>
        <v>0</v>
      </c>
      <c r="ES155" s="340">
        <f>Plus!O196</f>
        <v>0</v>
      </c>
      <c r="ET155" s="74"/>
      <c r="EU155" s="74"/>
      <c r="EV155" s="416">
        <f t="shared" si="281"/>
        <v>0</v>
      </c>
      <c r="EY155" s="90">
        <f t="shared" si="373"/>
        <v>11</v>
      </c>
      <c r="EZ155" s="121">
        <f t="shared" ref="EZ155:EZ218" si="415">IF(EY155=1,$EK$12,0)</f>
        <v>0</v>
      </c>
      <c r="FB155" s="149">
        <f t="shared" ref="FB155:FB218" si="416">FB154</f>
        <v>0</v>
      </c>
      <c r="FC155" s="2179">
        <f t="shared" ca="1" si="374"/>
        <v>0</v>
      </c>
      <c r="FE155" s="120">
        <f t="shared" ref="FE155:FE218" si="417">IF(FF155&gt;1,FF155,IF(FH155&gt;1,FH155,0))</f>
        <v>0</v>
      </c>
      <c r="FF155" s="110">
        <f t="shared" si="375"/>
        <v>0</v>
      </c>
      <c r="FG155" s="110">
        <f t="shared" si="376"/>
        <v>0</v>
      </c>
      <c r="FH155" s="109">
        <f t="shared" si="377"/>
        <v>0</v>
      </c>
      <c r="FI155" s="109">
        <f t="shared" si="328"/>
        <v>0</v>
      </c>
      <c r="FJ155" s="113">
        <f t="shared" si="378"/>
        <v>0</v>
      </c>
      <c r="FL155" s="102">
        <f t="shared" si="379"/>
        <v>0</v>
      </c>
      <c r="FM155" s="211">
        <f t="shared" si="278"/>
        <v>131</v>
      </c>
      <c r="FN155" s="212">
        <f t="shared" si="380"/>
        <v>0</v>
      </c>
      <c r="FO155" s="212">
        <f t="shared" si="329"/>
        <v>0</v>
      </c>
      <c r="FP155" s="212">
        <f t="shared" si="306"/>
        <v>0</v>
      </c>
      <c r="FQ155" s="213">
        <f t="shared" si="330"/>
        <v>1000000</v>
      </c>
      <c r="FV155" s="359"/>
      <c r="FX155" s="308">
        <f t="shared" ca="1" si="331"/>
        <v>2</v>
      </c>
      <c r="FY155" s="309">
        <f t="shared" si="381"/>
        <v>0</v>
      </c>
      <c r="FZ155" s="268">
        <f t="shared" si="332"/>
        <v>0</v>
      </c>
      <c r="GA155" s="33">
        <f t="shared" si="382"/>
        <v>0</v>
      </c>
      <c r="GB155" s="33">
        <f t="shared" si="292"/>
        <v>0</v>
      </c>
      <c r="GC155" s="33">
        <f t="shared" si="293"/>
        <v>0</v>
      </c>
      <c r="GD155" s="33">
        <f>IF(GJ154&lt;0.01,0,IF(Plus!$F$22=Plus!$AN$4,0,IF(Plus!$F$22=Plus!$AN$3,GJ154*Plus!$F$23/1000,GJ154*VLOOKUP(Plus!$G$21,Plus!$AP$2:$AQ$5,2,0))))</f>
        <v>0</v>
      </c>
      <c r="GE155" s="33">
        <f>IF(GJ154&lt;0.01,0,IF(Plus!$F$24=Plus!$AO$3,0,IF(OR(Plus!$F$10=Plus!$AK$7,Plus!$F$10=Plus!$AK$13,Plus!$F$10=Plus!$AK$14),0,IF(OR(Plus!$F$10=Plus!$AK$10,Plus!$F$10=Plus!$AK$11),Plus!$G$13*Adm!$W$7,Plus!$G$13*Adm!$X$4))))</f>
        <v>0</v>
      </c>
      <c r="GF155" s="33">
        <f>IF(GJ154&lt;0.01,0,IF(OR(Plus!$F$10=Plus!$AK$7,Plus!$F$10=Plus!$AK$13),0,Plus!$BD$2*1.16))</f>
        <v>0</v>
      </c>
      <c r="GG155" s="33">
        <f>IF(GJ154&lt;0.01,0,IF(Plus!$AS$2&gt;0,GA155*Plus!$AS$3,0))</f>
        <v>0</v>
      </c>
      <c r="GH155" s="33">
        <f t="shared" si="383"/>
        <v>0</v>
      </c>
      <c r="GI155" s="33">
        <f>IF(Plus!$F$10=Plus!$AK$3,MIN(GJ154+GA155+GD155+GE155+GF155-GH155,GU155),0)</f>
        <v>0</v>
      </c>
      <c r="GJ155" s="311">
        <f t="shared" si="286"/>
        <v>0</v>
      </c>
      <c r="GK155" s="340">
        <f>Plus!O196</f>
        <v>0</v>
      </c>
      <c r="GL155" s="74"/>
      <c r="GM155" s="74"/>
      <c r="GN155" s="419">
        <f t="shared" si="283"/>
        <v>0</v>
      </c>
      <c r="GQ155" s="90">
        <f t="shared" si="384"/>
        <v>11</v>
      </c>
      <c r="GR155" s="121">
        <f t="shared" ref="GR155:GR218" si="418">IF(GQ155=1,$GC$12,0)</f>
        <v>0</v>
      </c>
      <c r="GT155" s="149">
        <f t="shared" ref="GT155:GT218" si="419">GT154</f>
        <v>0</v>
      </c>
      <c r="GU155" s="2179">
        <f t="shared" ca="1" si="385"/>
        <v>0</v>
      </c>
      <c r="GW155" s="120">
        <f t="shared" ref="GW155:GW218" si="420">IF(GX155&gt;1,GX155,IF(GZ155&gt;1,GZ155,0))</f>
        <v>0</v>
      </c>
      <c r="GX155" s="110">
        <f t="shared" si="386"/>
        <v>0</v>
      </c>
      <c r="GY155" s="110">
        <f t="shared" si="387"/>
        <v>0</v>
      </c>
      <c r="GZ155" s="109">
        <f t="shared" si="388"/>
        <v>0</v>
      </c>
      <c r="HA155" s="109">
        <f t="shared" si="333"/>
        <v>0</v>
      </c>
      <c r="HB155" s="113">
        <f t="shared" si="389"/>
        <v>0</v>
      </c>
      <c r="HD155" s="102">
        <f t="shared" si="390"/>
        <v>0</v>
      </c>
      <c r="HE155" s="211">
        <f t="shared" si="279"/>
        <v>131</v>
      </c>
      <c r="HF155" s="212">
        <f t="shared" si="391"/>
        <v>0</v>
      </c>
      <c r="HG155" s="212">
        <f t="shared" si="334"/>
        <v>0</v>
      </c>
      <c r="HH155" s="212">
        <f t="shared" si="307"/>
        <v>0</v>
      </c>
      <c r="HI155" s="213">
        <f t="shared" si="335"/>
        <v>1000000</v>
      </c>
      <c r="HL155" s="182"/>
      <c r="HM155" s="26">
        <f t="shared" ca="1" si="336"/>
        <v>2</v>
      </c>
      <c r="HO155" s="268">
        <f t="shared" si="337"/>
        <v>0</v>
      </c>
      <c r="HP155" s="151">
        <f t="shared" si="302"/>
        <v>0</v>
      </c>
      <c r="HQ155" s="123">
        <f t="shared" si="392"/>
        <v>0</v>
      </c>
      <c r="HR155" s="123">
        <f t="shared" si="393"/>
        <v>0</v>
      </c>
      <c r="HS155" s="123">
        <f t="shared" si="394"/>
        <v>0</v>
      </c>
      <c r="HT155" s="123">
        <f>IF(HY154&lt;0.01,0,IF(Adm!$GS$4=Adm!$GS$8,HY154*$HY$15,IF(Adm!$GS$12=Adm!$GS$13,0,HY154*Adm!$GV$4)))</f>
        <v>0</v>
      </c>
      <c r="HU155" s="123">
        <f>IF(HY154&lt;0.01,0,IF(Adm!$GS$5=Adm!$GS$8,Cal!$BO$108*$HY$16/1.16,IF(Adm!$GS$12=Adm!$GS$13,0,Cal!$BO$108*Adm!$GW$4/1.16)))</f>
        <v>0</v>
      </c>
      <c r="HV155" s="123">
        <f t="shared" si="395"/>
        <v>0</v>
      </c>
      <c r="HW155" s="123">
        <f t="shared" si="338"/>
        <v>0</v>
      </c>
      <c r="HX155" s="123">
        <f>IF(Adm!$GH$6="si",MIN(HY154+HQ155+HT155+HU155+HV155-HW155,IH155),0)</f>
        <v>0</v>
      </c>
      <c r="HY155" s="297">
        <f t="shared" si="396"/>
        <v>0</v>
      </c>
      <c r="HZ155" s="74"/>
      <c r="IA155" s="407">
        <f t="shared" si="397"/>
        <v>0</v>
      </c>
      <c r="IC155" s="90">
        <f t="shared" si="398"/>
        <v>11</v>
      </c>
      <c r="ID155" s="124">
        <f>IF(IC155=1,Cal!$BO$127,0)</f>
        <v>0</v>
      </c>
      <c r="IE155" s="178">
        <f>IF(IC155=1,Adm!$HI$4,0)</f>
        <v>0</v>
      </c>
      <c r="IG155" s="70">
        <f t="shared" ref="IG155:IG218" si="421">IG154</f>
        <v>0</v>
      </c>
      <c r="IH155" s="2178">
        <f t="shared" ca="1" si="399"/>
        <v>0</v>
      </c>
      <c r="IK155" s="217"/>
      <c r="IL155" s="26">
        <f t="shared" ca="1" si="339"/>
        <v>2</v>
      </c>
      <c r="IN155" s="268">
        <f t="shared" si="340"/>
        <v>0</v>
      </c>
      <c r="IO155" s="151">
        <f t="shared" si="303"/>
        <v>0</v>
      </c>
      <c r="IP155" s="123">
        <f t="shared" si="400"/>
        <v>0</v>
      </c>
      <c r="IQ155" s="123">
        <f t="shared" si="401"/>
        <v>0</v>
      </c>
      <c r="IR155" s="123">
        <f t="shared" si="402"/>
        <v>0</v>
      </c>
      <c r="IS155" s="123">
        <f>IF(IX154&lt;0.01,0,IF(Adm!$GS$4=Adm!$GS$8,IX154*$IX$15,IF(Adm!$GS$12=Adm!$GS$13,0,IX154*Adm!$GV$4)))</f>
        <v>0</v>
      </c>
      <c r="IT155" s="123"/>
      <c r="IU155" s="123">
        <f t="shared" si="403"/>
        <v>0</v>
      </c>
      <c r="IV155" s="123">
        <f t="shared" si="404"/>
        <v>0</v>
      </c>
      <c r="IW155" s="123"/>
      <c r="IX155" s="297">
        <f t="shared" si="405"/>
        <v>0</v>
      </c>
      <c r="IY155" s="74"/>
      <c r="IZ155" s="416">
        <f t="shared" si="406"/>
        <v>0</v>
      </c>
      <c r="JB155" s="90">
        <f t="shared" si="407"/>
        <v>11</v>
      </c>
      <c r="JC155" s="124">
        <f>IF(JB155=1,Cal!$BP$127,0)</f>
        <v>0</v>
      </c>
      <c r="JD155" s="178">
        <f>IF(JB155=1,Adm!$HI$4,0)</f>
        <v>0</v>
      </c>
    </row>
    <row r="156" spans="1:264">
      <c r="A156" s="26">
        <f t="shared" ca="1" si="308"/>
        <v>3</v>
      </c>
      <c r="C156" s="33">
        <f t="shared" si="309"/>
        <v>0</v>
      </c>
      <c r="D156" s="123">
        <f t="shared" si="341"/>
        <v>0</v>
      </c>
      <c r="E156" s="123">
        <f t="shared" si="287"/>
        <v>0</v>
      </c>
      <c r="F156" s="123">
        <f t="shared" si="295"/>
        <v>0</v>
      </c>
      <c r="G156" s="123">
        <f>IF(L155&lt;0.01,0,IF(Adm!$S$4=Adm!$S$8,L155*$L$15,L155*Adm!$V$4))</f>
        <v>0</v>
      </c>
      <c r="H156" s="123">
        <f>IF(L155&lt;0.01,0,IF(Adm!$S$5=Adm!$S$8,Adm!$AA$11*$L$16/1.16,IF(Adm!$B$4=Adm!$A$119,0,Adm!$AA$11*Adm!$X$4/1.16)))</f>
        <v>0</v>
      </c>
      <c r="I156" s="123">
        <f>IF(L155&lt;0.01,0,Cal!$AB$126/1.16)</f>
        <v>0</v>
      </c>
      <c r="J156" s="123">
        <f t="shared" si="310"/>
        <v>0</v>
      </c>
      <c r="K156" s="123">
        <f>IF(Adm!$G$4="si",MIN(L155+D156+G156+H156+I156-J156,V156),0)</f>
        <v>0</v>
      </c>
      <c r="L156" s="123">
        <f t="shared" si="342"/>
        <v>0</v>
      </c>
      <c r="M156" s="74"/>
      <c r="N156" s="74"/>
      <c r="O156" s="407">
        <f t="shared" si="343"/>
        <v>0</v>
      </c>
      <c r="R156" s="90">
        <f t="shared" si="344"/>
        <v>12</v>
      </c>
      <c r="S156" s="121">
        <f>IF(R156=1,Cal!$AB$127,0)</f>
        <v>0</v>
      </c>
      <c r="U156" s="70">
        <f t="shared" si="408"/>
        <v>0</v>
      </c>
      <c r="V156" s="2178">
        <f t="shared" ca="1" si="345"/>
        <v>0</v>
      </c>
      <c r="X156" s="398"/>
      <c r="Z156" s="268">
        <f t="shared" si="311"/>
        <v>0</v>
      </c>
      <c r="AA156" s="2176">
        <f t="shared" si="346"/>
        <v>0</v>
      </c>
      <c r="AB156" s="33">
        <f t="shared" si="347"/>
        <v>0</v>
      </c>
      <c r="AC156" s="33">
        <f t="shared" si="348"/>
        <v>0</v>
      </c>
      <c r="AD156" s="33">
        <f>IF(AI155&lt;0.01,0,IF(Adm!$S$4=Adm!$S$8,AI155*$AI$15,AI155*Adm!$V$4))</f>
        <v>0</v>
      </c>
      <c r="AE156" s="33"/>
      <c r="AF156" s="33"/>
      <c r="AG156" s="33">
        <f t="shared" si="312"/>
        <v>0</v>
      </c>
      <c r="AH156" s="33"/>
      <c r="AI156" s="401">
        <f t="shared" si="313"/>
        <v>0</v>
      </c>
      <c r="AK156" s="410">
        <f t="shared" si="314"/>
        <v>0</v>
      </c>
      <c r="AN156" s="90">
        <f t="shared" si="349"/>
        <v>12</v>
      </c>
      <c r="AO156" s="121">
        <f>IF(AN156=1,Cal!$AC$127,0)</f>
        <v>0</v>
      </c>
      <c r="AS156" s="200"/>
      <c r="AU156" s="268">
        <f t="shared" si="315"/>
        <v>0</v>
      </c>
      <c r="AV156" s="2177">
        <f t="shared" si="350"/>
        <v>0</v>
      </c>
      <c r="AW156" s="123">
        <f t="shared" si="316"/>
        <v>0</v>
      </c>
      <c r="AX156" s="123">
        <f t="shared" si="351"/>
        <v>0</v>
      </c>
      <c r="AY156" s="123">
        <f>IF(BC155&lt;0.01,0,IF(Adm!$S$4=Adm!$S$8,BC155*$BC$16,BC155*Adm!$V$4))</f>
        <v>0</v>
      </c>
      <c r="AZ156" s="123"/>
      <c r="BA156" s="123">
        <f>IF(BC155&lt;0.01,0,Adm!$Q$6)</f>
        <v>0</v>
      </c>
      <c r="BB156" s="123">
        <f t="shared" si="317"/>
        <v>0</v>
      </c>
      <c r="BC156" s="297">
        <f t="shared" si="352"/>
        <v>0</v>
      </c>
      <c r="BE156" s="425">
        <f t="shared" si="318"/>
        <v>0</v>
      </c>
      <c r="BH156" s="90">
        <f t="shared" si="353"/>
        <v>12</v>
      </c>
      <c r="BI156" s="121">
        <f>IF(BH156=1,Cal!$AD$127,0)</f>
        <v>0</v>
      </c>
      <c r="BM156" s="221"/>
      <c r="BO156" s="295">
        <f t="shared" ca="1" si="319"/>
        <v>3</v>
      </c>
      <c r="BP156" s="268">
        <f t="shared" si="320"/>
        <v>0</v>
      </c>
      <c r="BQ156" s="123">
        <f t="shared" si="354"/>
        <v>0</v>
      </c>
      <c r="BR156" s="123">
        <f t="shared" si="288"/>
        <v>0</v>
      </c>
      <c r="BS156" s="123">
        <f t="shared" si="296"/>
        <v>0</v>
      </c>
      <c r="BT156" s="123">
        <f>IF(BZ155&lt;0.01,0,IF(Plus!$F$22=Plus!$AN$4,BZ155*$BZ$15,IF(Plus!$F$22=Plus!$AN$3,BZ155*Plus!$F$23/1000,BZ155*VLOOKUP(Plus!$G$21,Plus!$AP$2:'Plus'!$AQ$5,2,0))))</f>
        <v>0</v>
      </c>
      <c r="BU156" s="123">
        <f>IF(BZ155&lt;0.01,0,IF(Plus!$F$24=Plus!$AO$3,Plus!$G$13*Plus!$AR$2/1.16,IF(Plus!$F$10=Plus!$AK$7,0,Plus!$G$13*Plus!$AR$2/1.16)))</f>
        <v>0</v>
      </c>
      <c r="BV156" s="123">
        <f>IF(BZ155&lt;0.01,0,Plus!$BD$2)</f>
        <v>0</v>
      </c>
      <c r="BW156" s="123"/>
      <c r="BX156" s="123">
        <f t="shared" si="321"/>
        <v>0</v>
      </c>
      <c r="BY156" s="123">
        <f>IF(Plus!$F$10=Plus!$AK$3,MIN(BZ155+BQ156+BT156+BU156+BV156-BX156,CJ156),0)</f>
        <v>0</v>
      </c>
      <c r="BZ156" s="297">
        <f t="shared" si="280"/>
        <v>0</v>
      </c>
      <c r="CA156" s="74"/>
      <c r="CB156" s="74"/>
      <c r="CC156" s="413">
        <f t="shared" si="355"/>
        <v>0</v>
      </c>
      <c r="CF156" s="90">
        <f t="shared" si="356"/>
        <v>12</v>
      </c>
      <c r="CG156" s="121">
        <f t="shared" si="409"/>
        <v>0</v>
      </c>
      <c r="CI156" s="70">
        <f t="shared" si="410"/>
        <v>0</v>
      </c>
      <c r="CJ156" s="2178">
        <f t="shared" ca="1" si="357"/>
        <v>0</v>
      </c>
      <c r="CL156" s="161"/>
      <c r="CN156" s="308">
        <f t="shared" ca="1" si="322"/>
        <v>3</v>
      </c>
      <c r="CO156" s="309">
        <f t="shared" si="358"/>
        <v>0</v>
      </c>
      <c r="CP156" s="268">
        <f t="shared" si="323"/>
        <v>0</v>
      </c>
      <c r="CQ156" s="123">
        <f t="shared" si="359"/>
        <v>0</v>
      </c>
      <c r="CR156" s="123">
        <f t="shared" si="289"/>
        <v>0</v>
      </c>
      <c r="CS156" s="123">
        <f t="shared" si="290"/>
        <v>0</v>
      </c>
      <c r="CT156" s="33">
        <f>IF(CZ155&lt;0.01,0,IF(Plus!$F$22=Plus!$AN$4,0,IF(Plus!$F$22=Plus!$AN$3,CZ155*Plus!$F$23/1000,CZ155*VLOOKUP(Plus!$G$21,Plus!$AP$2:'Plus'!$AQ$5,2,0))))</f>
        <v>0</v>
      </c>
      <c r="CU156" s="123">
        <f>IF(CZ155&lt;0.01,0,IF(Plus!$F$24=Plus!$AO$3,0,IF(OR(Plus!$F$10=Plus!$AK$7,Plus!$F$10=Plus!$AK$13),0,Plus!$G$13*Plus!$AR$2)))</f>
        <v>0</v>
      </c>
      <c r="CV156" s="123">
        <f>IF(CZ155&lt;0.01,0,IF(OR(Plus!$F$10=Plus!$AK$7,Plus!$F$10=Plus!$AK$13),0,Plus!$BD$2*1.16))</f>
        <v>0</v>
      </c>
      <c r="CW156" s="123">
        <f>IF(CZ155&lt;0.01,0,IF(Plus!$AS$2&gt;0,CQ156*Plus!$AS$3,0))</f>
        <v>0</v>
      </c>
      <c r="CX156" s="123">
        <f t="shared" si="360"/>
        <v>0</v>
      </c>
      <c r="CY156" s="123">
        <f>IF(Plus!$F$10=Plus!$AK$3,MIN(CZ155+CQ156+CT156+CU156+CV156-CX156,DK156),0)</f>
        <v>0</v>
      </c>
      <c r="CZ156" s="297">
        <f t="shared" si="294"/>
        <v>0</v>
      </c>
      <c r="DA156" s="306">
        <f>Plus!O197</f>
        <v>0</v>
      </c>
      <c r="DB156" s="74"/>
      <c r="DC156" s="74"/>
      <c r="DD156" s="407">
        <f t="shared" si="361"/>
        <v>0</v>
      </c>
      <c r="DG156" s="90">
        <f t="shared" si="362"/>
        <v>12</v>
      </c>
      <c r="DH156" s="121">
        <f t="shared" si="411"/>
        <v>0</v>
      </c>
      <c r="DJ156" s="149">
        <f t="shared" si="412"/>
        <v>0</v>
      </c>
      <c r="DK156" s="2179">
        <f t="shared" ca="1" si="363"/>
        <v>0</v>
      </c>
      <c r="DN156" s="120">
        <f t="shared" si="413"/>
        <v>0</v>
      </c>
      <c r="DO156" s="110">
        <f t="shared" si="364"/>
        <v>0</v>
      </c>
      <c r="DP156" s="110">
        <f t="shared" ref="DP156:DP219" si="422">IF(AND($DP$21=1,$DN$21=2),PMT((($CS$9/360)*(365/12)),CO155,-CZ155),0)</f>
        <v>0</v>
      </c>
      <c r="DQ156" s="109">
        <f t="shared" si="365"/>
        <v>0</v>
      </c>
      <c r="DR156" s="109">
        <f t="shared" si="366"/>
        <v>0</v>
      </c>
      <c r="DS156" s="113">
        <f t="shared" si="367"/>
        <v>0</v>
      </c>
      <c r="DU156" s="102">
        <f t="shared" si="368"/>
        <v>0</v>
      </c>
      <c r="DV156" s="211">
        <f t="shared" ref="DV156:DV219" si="423">IF(DZ155&lt;=0,"",DV155+1)</f>
        <v>132</v>
      </c>
      <c r="DW156" s="212">
        <f t="shared" si="369"/>
        <v>0</v>
      </c>
      <c r="DX156" s="212">
        <f t="shared" si="324"/>
        <v>0</v>
      </c>
      <c r="DY156" s="212">
        <f t="shared" si="414"/>
        <v>0</v>
      </c>
      <c r="DZ156" s="213">
        <f t="shared" si="325"/>
        <v>1000000</v>
      </c>
      <c r="ED156" s="182"/>
      <c r="EF156" s="308">
        <f t="shared" ca="1" si="326"/>
        <v>3</v>
      </c>
      <c r="EG156" s="309">
        <f t="shared" si="370"/>
        <v>0</v>
      </c>
      <c r="EH156" s="268">
        <f t="shared" si="327"/>
        <v>0</v>
      </c>
      <c r="EI156" s="33">
        <f t="shared" si="371"/>
        <v>0</v>
      </c>
      <c r="EJ156" s="33">
        <f t="shared" si="291"/>
        <v>0</v>
      </c>
      <c r="EK156" s="33">
        <f t="shared" si="297"/>
        <v>0</v>
      </c>
      <c r="EL156" s="33">
        <f>IF(ER155&lt;0.01,0,IF(Plus!$F$22=Plus!$AN$4,0,IF(Plus!$F$22=Plus!$AN$3,ER155*Plus!$F$23/1000,ER155*VLOOKUP(Plus!$G$21,Plus!$AP$2:'Plus'!$AQ$5,2,0))))</f>
        <v>0</v>
      </c>
      <c r="EM156" s="33">
        <f>IF(ER155&lt;0.01,0,IF(Plus!$F$24=Plus!$AO$3,0,IF(OR(Plus!$F$10=Plus!$AK$7,Plus!$F$10=Plus!$AK$13),0,Plus!$G$13*Plus!$AR$2)))</f>
        <v>0</v>
      </c>
      <c r="EN156" s="33">
        <f>IF(ER155&lt;0.01,0,IF(OR(Plus!$F$10=Plus!$AK$7,Plus!$F$10=Plus!$AK$13),0,Plus!$BD$2*1.16))</f>
        <v>0</v>
      </c>
      <c r="EO156" s="33">
        <f>IF(ER155&lt;0.01,0,IF(Plus!$AS$2&gt;0,EI156*Plus!$AS$3,0))</f>
        <v>0</v>
      </c>
      <c r="EP156" s="33">
        <f t="shared" si="372"/>
        <v>0</v>
      </c>
      <c r="EQ156" s="33">
        <f>IF(Plus!$F$10=Plus!$AK$3,MIN(ER155+EI156+EL156+EM156+EN156-EP156,FC156),0)</f>
        <v>0</v>
      </c>
      <c r="ER156" s="311">
        <f t="shared" si="285"/>
        <v>0</v>
      </c>
      <c r="ES156" s="340">
        <f>Plus!O197</f>
        <v>0</v>
      </c>
      <c r="ET156" s="74"/>
      <c r="EU156" s="74"/>
      <c r="EV156" s="416">
        <f t="shared" si="281"/>
        <v>0</v>
      </c>
      <c r="EY156" s="90">
        <f t="shared" si="373"/>
        <v>12</v>
      </c>
      <c r="EZ156" s="121">
        <f t="shared" si="415"/>
        <v>0</v>
      </c>
      <c r="FB156" s="149">
        <f t="shared" si="416"/>
        <v>0</v>
      </c>
      <c r="FC156" s="2179">
        <f t="shared" ca="1" si="374"/>
        <v>0</v>
      </c>
      <c r="FE156" s="120">
        <f t="shared" si="417"/>
        <v>0</v>
      </c>
      <c r="FF156" s="110">
        <f t="shared" si="375"/>
        <v>0</v>
      </c>
      <c r="FG156" s="110">
        <f t="shared" si="376"/>
        <v>0</v>
      </c>
      <c r="FH156" s="109">
        <f t="shared" si="377"/>
        <v>0</v>
      </c>
      <c r="FI156" s="109">
        <f t="shared" si="328"/>
        <v>0</v>
      </c>
      <c r="FJ156" s="113">
        <f t="shared" si="378"/>
        <v>0</v>
      </c>
      <c r="FL156" s="102">
        <f t="shared" si="379"/>
        <v>0</v>
      </c>
      <c r="FM156" s="211">
        <f t="shared" ref="FM156:FM205" si="424">IF(FQ155&lt;=0,"",FM155+1)</f>
        <v>132</v>
      </c>
      <c r="FN156" s="212">
        <f t="shared" si="380"/>
        <v>0</v>
      </c>
      <c r="FO156" s="212">
        <f t="shared" si="329"/>
        <v>0</v>
      </c>
      <c r="FP156" s="212">
        <f t="shared" si="306"/>
        <v>0</v>
      </c>
      <c r="FQ156" s="213">
        <f t="shared" si="330"/>
        <v>1000000</v>
      </c>
      <c r="FV156" s="359"/>
      <c r="FX156" s="308">
        <f t="shared" ca="1" si="331"/>
        <v>3</v>
      </c>
      <c r="FY156" s="309">
        <f t="shared" si="381"/>
        <v>0</v>
      </c>
      <c r="FZ156" s="268">
        <f t="shared" si="332"/>
        <v>0</v>
      </c>
      <c r="GA156" s="33">
        <f t="shared" si="382"/>
        <v>0</v>
      </c>
      <c r="GB156" s="33">
        <f t="shared" si="292"/>
        <v>0</v>
      </c>
      <c r="GC156" s="33">
        <f t="shared" si="293"/>
        <v>0</v>
      </c>
      <c r="GD156" s="33">
        <f>IF(GJ155&lt;0.01,0,IF(Plus!$F$22=Plus!$AN$4,0,IF(Plus!$F$22=Plus!$AN$3,GJ155*Plus!$F$23/1000,GJ155*VLOOKUP(Plus!$G$21,Plus!$AP$2:$AQ$5,2,0))))</f>
        <v>0</v>
      </c>
      <c r="GE156" s="33">
        <f>IF(GJ155&lt;0.01,0,IF(Plus!$F$24=Plus!$AO$3,0,IF(OR(Plus!$F$10=Plus!$AK$7,Plus!$F$10=Plus!$AK$13,Plus!$F$10=Plus!$AK$14),0,IF(OR(Plus!$F$10=Plus!$AK$10,Plus!$F$10=Plus!$AK$11),Plus!$G$13*Adm!$W$7,Plus!$G$13*Adm!$X$4))))</f>
        <v>0</v>
      </c>
      <c r="GF156" s="33">
        <f>IF(GJ155&lt;0.01,0,IF(OR(Plus!$F$10=Plus!$AK$7,Plus!$F$10=Plus!$AK$13),0,Plus!$BD$2*1.16))</f>
        <v>0</v>
      </c>
      <c r="GG156" s="33">
        <f>IF(GJ155&lt;0.01,0,IF(Plus!$AS$2&gt;0,GA156*Plus!$AS$3,0))</f>
        <v>0</v>
      </c>
      <c r="GH156" s="33">
        <f t="shared" si="383"/>
        <v>0</v>
      </c>
      <c r="GI156" s="33">
        <f>IF(Plus!$F$10=Plus!$AK$3,MIN(GJ155+GA156+GD156+GE156+GF156-GH156,GU156),0)</f>
        <v>0</v>
      </c>
      <c r="GJ156" s="311">
        <f t="shared" si="286"/>
        <v>0</v>
      </c>
      <c r="GK156" s="340">
        <f>Plus!O197</f>
        <v>0</v>
      </c>
      <c r="GL156" s="74"/>
      <c r="GM156" s="74"/>
      <c r="GN156" s="419">
        <f t="shared" si="283"/>
        <v>0</v>
      </c>
      <c r="GQ156" s="90">
        <f t="shared" si="384"/>
        <v>12</v>
      </c>
      <c r="GR156" s="121">
        <f t="shared" si="418"/>
        <v>0</v>
      </c>
      <c r="GT156" s="149">
        <f t="shared" si="419"/>
        <v>0</v>
      </c>
      <c r="GU156" s="2179">
        <f t="shared" ca="1" si="385"/>
        <v>0</v>
      </c>
      <c r="GW156" s="120">
        <f t="shared" si="420"/>
        <v>0</v>
      </c>
      <c r="GX156" s="110">
        <f t="shared" si="386"/>
        <v>0</v>
      </c>
      <c r="GY156" s="110">
        <f t="shared" si="387"/>
        <v>0</v>
      </c>
      <c r="GZ156" s="109">
        <f t="shared" si="388"/>
        <v>0</v>
      </c>
      <c r="HA156" s="109">
        <f t="shared" si="333"/>
        <v>0</v>
      </c>
      <c r="HB156" s="113">
        <f t="shared" si="389"/>
        <v>0</v>
      </c>
      <c r="HD156" s="102">
        <f t="shared" si="390"/>
        <v>0</v>
      </c>
      <c r="HE156" s="211">
        <f t="shared" ref="HE156:HE205" si="425">IF(HI155&lt;=0,"",HE155+1)</f>
        <v>132</v>
      </c>
      <c r="HF156" s="212">
        <f t="shared" si="391"/>
        <v>0</v>
      </c>
      <c r="HG156" s="212">
        <f t="shared" si="334"/>
        <v>0</v>
      </c>
      <c r="HH156" s="212">
        <f t="shared" si="307"/>
        <v>0</v>
      </c>
      <c r="HI156" s="213">
        <f t="shared" si="335"/>
        <v>1000000</v>
      </c>
      <c r="HL156" s="182"/>
      <c r="HM156" s="26">
        <f t="shared" ca="1" si="336"/>
        <v>3</v>
      </c>
      <c r="HO156" s="268">
        <f t="shared" si="337"/>
        <v>0</v>
      </c>
      <c r="HP156" s="151">
        <f t="shared" si="302"/>
        <v>0</v>
      </c>
      <c r="HQ156" s="123">
        <f t="shared" si="392"/>
        <v>0</v>
      </c>
      <c r="HR156" s="123">
        <f t="shared" si="393"/>
        <v>0</v>
      </c>
      <c r="HS156" s="123">
        <f t="shared" si="394"/>
        <v>0</v>
      </c>
      <c r="HT156" s="123">
        <f>IF(HY155&lt;0.01,0,IF(Adm!$GS$4=Adm!$GS$8,HY155*$HY$15,IF(Adm!$GS$12=Adm!$GS$13,0,HY155*Adm!$GV$4)))</f>
        <v>0</v>
      </c>
      <c r="HU156" s="123">
        <f>IF(HY155&lt;0.01,0,IF(Adm!$GS$5=Adm!$GS$8,Cal!$BO$108*$HY$16/1.16,IF(Adm!$GS$12=Adm!$GS$13,0,Cal!$BO$108*Adm!$GW$4/1.16)))</f>
        <v>0</v>
      </c>
      <c r="HV156" s="123">
        <f t="shared" si="395"/>
        <v>0</v>
      </c>
      <c r="HW156" s="123">
        <f t="shared" si="338"/>
        <v>0</v>
      </c>
      <c r="HX156" s="123">
        <f>IF(Adm!$GH$6="si",MIN(HY155+HQ156+HT156+HU156+HV156-HW156,IH156),0)</f>
        <v>0</v>
      </c>
      <c r="HY156" s="297">
        <f t="shared" si="396"/>
        <v>0</v>
      </c>
      <c r="HZ156" s="74"/>
      <c r="IA156" s="407">
        <f t="shared" si="397"/>
        <v>0</v>
      </c>
      <c r="IC156" s="90">
        <f t="shared" si="398"/>
        <v>12</v>
      </c>
      <c r="ID156" s="124">
        <f>IF(IC156=1,Cal!$BO$127,0)</f>
        <v>0</v>
      </c>
      <c r="IE156" s="178">
        <f>IF(IC156=1,Adm!$HI$4,0)</f>
        <v>0</v>
      </c>
      <c r="IG156" s="70">
        <f t="shared" si="421"/>
        <v>0</v>
      </c>
      <c r="IH156" s="2178">
        <f t="shared" ca="1" si="399"/>
        <v>0</v>
      </c>
      <c r="IK156" s="217"/>
      <c r="IL156" s="26">
        <f t="shared" ca="1" si="339"/>
        <v>3</v>
      </c>
      <c r="IN156" s="268">
        <f t="shared" si="340"/>
        <v>0</v>
      </c>
      <c r="IO156" s="151">
        <f t="shared" si="303"/>
        <v>0</v>
      </c>
      <c r="IP156" s="123">
        <f t="shared" si="400"/>
        <v>0</v>
      </c>
      <c r="IQ156" s="123">
        <f t="shared" si="401"/>
        <v>0</v>
      </c>
      <c r="IR156" s="123">
        <f t="shared" si="402"/>
        <v>0</v>
      </c>
      <c r="IS156" s="123">
        <f>IF(IX155&lt;0.01,0,IF(Adm!$GS$4=Adm!$GS$8,IX155*$IX$15,IF(Adm!$GS$12=Adm!$GS$13,0,IX155*Adm!$GV$4)))</f>
        <v>0</v>
      </c>
      <c r="IT156" s="123"/>
      <c r="IU156" s="123">
        <f t="shared" si="403"/>
        <v>0</v>
      </c>
      <c r="IV156" s="123">
        <f t="shared" si="404"/>
        <v>0</v>
      </c>
      <c r="IW156" s="123"/>
      <c r="IX156" s="297">
        <f t="shared" si="405"/>
        <v>0</v>
      </c>
      <c r="IY156" s="74"/>
      <c r="IZ156" s="416">
        <f t="shared" si="406"/>
        <v>0</v>
      </c>
      <c r="JB156" s="90">
        <f t="shared" si="407"/>
        <v>12</v>
      </c>
      <c r="JC156" s="124">
        <f>IF(JB156=1,Cal!$BP$127,0)</f>
        <v>0</v>
      </c>
      <c r="JD156" s="178">
        <f>IF(JB156=1,Adm!$HI$4,0)</f>
        <v>0</v>
      </c>
    </row>
    <row r="157" spans="1:264">
      <c r="A157" s="26">
        <f t="shared" ca="1" si="308"/>
        <v>4</v>
      </c>
      <c r="C157" s="33">
        <f t="shared" si="309"/>
        <v>0</v>
      </c>
      <c r="D157" s="123">
        <f t="shared" si="341"/>
        <v>0</v>
      </c>
      <c r="E157" s="123">
        <f t="shared" si="287"/>
        <v>0</v>
      </c>
      <c r="F157" s="123">
        <f t="shared" si="295"/>
        <v>0</v>
      </c>
      <c r="G157" s="123">
        <f>IF(L156&lt;0.01,0,IF(Adm!$S$4=Adm!$S$8,L156*$L$15,L156*Adm!$V$4))</f>
        <v>0</v>
      </c>
      <c r="H157" s="123">
        <f>IF(L156&lt;0.01,0,IF(Adm!$S$5=Adm!$S$8,Adm!$AA$11*$L$16/1.16,IF(Adm!$B$4=Adm!$A$119,0,Adm!$AA$11*Adm!$X$4/1.16)))</f>
        <v>0</v>
      </c>
      <c r="I157" s="123">
        <f>IF(L156&lt;0.01,0,Cal!$AB$126/1.16)</f>
        <v>0</v>
      </c>
      <c r="J157" s="123">
        <f t="shared" si="310"/>
        <v>0</v>
      </c>
      <c r="K157" s="123">
        <f>IF(Adm!$G$4="si",MIN(L156+D157+G157+H157+I157-J157,V157),0)</f>
        <v>0</v>
      </c>
      <c r="L157" s="123">
        <f t="shared" si="342"/>
        <v>0</v>
      </c>
      <c r="M157" s="74"/>
      <c r="N157" s="74"/>
      <c r="O157" s="407">
        <f t="shared" si="343"/>
        <v>0</v>
      </c>
      <c r="R157" s="90">
        <f t="shared" si="344"/>
        <v>1</v>
      </c>
      <c r="S157" s="121">
        <f>IF(R157=1,Cal!$AB$127,0)</f>
        <v>0</v>
      </c>
      <c r="U157" s="70">
        <f t="shared" si="408"/>
        <v>0</v>
      </c>
      <c r="V157" s="2178">
        <f t="shared" ca="1" si="345"/>
        <v>0</v>
      </c>
      <c r="X157" s="398"/>
      <c r="Z157" s="268">
        <f t="shared" si="311"/>
        <v>0</v>
      </c>
      <c r="AA157" s="2176">
        <f t="shared" si="346"/>
        <v>0</v>
      </c>
      <c r="AB157" s="33">
        <f t="shared" si="347"/>
        <v>0</v>
      </c>
      <c r="AC157" s="33">
        <f t="shared" si="348"/>
        <v>0</v>
      </c>
      <c r="AD157" s="33">
        <f>IF(AI156&lt;0.01,0,IF(Adm!$S$4=Adm!$S$8,AI156*$AI$15,AI156*Adm!$V$4))</f>
        <v>0</v>
      </c>
      <c r="AE157" s="33"/>
      <c r="AF157" s="33"/>
      <c r="AG157" s="33">
        <f t="shared" si="312"/>
        <v>0</v>
      </c>
      <c r="AH157" s="33"/>
      <c r="AI157" s="401">
        <f t="shared" si="313"/>
        <v>0</v>
      </c>
      <c r="AK157" s="410">
        <f t="shared" si="314"/>
        <v>0</v>
      </c>
      <c r="AN157" s="90">
        <f t="shared" si="349"/>
        <v>1</v>
      </c>
      <c r="AO157" s="121">
        <f>IF(AN157=1,Cal!$AC$127,0)</f>
        <v>0</v>
      </c>
      <c r="AS157" s="200"/>
      <c r="AU157" s="268">
        <f t="shared" si="315"/>
        <v>0</v>
      </c>
      <c r="AV157" s="2177">
        <f t="shared" si="350"/>
        <v>0</v>
      </c>
      <c r="AW157" s="123">
        <f t="shared" si="316"/>
        <v>0</v>
      </c>
      <c r="AX157" s="123">
        <f t="shared" si="351"/>
        <v>0</v>
      </c>
      <c r="AY157" s="123">
        <f>IF(BC156&lt;0.01,0,IF(Adm!$S$4=Adm!$S$8,BC156*$BC$16,BC156*Adm!$V$4))</f>
        <v>0</v>
      </c>
      <c r="AZ157" s="123"/>
      <c r="BA157" s="123">
        <f>IF(BC156&lt;0.01,0,Adm!$Q$6)</f>
        <v>0</v>
      </c>
      <c r="BB157" s="123">
        <f t="shared" si="317"/>
        <v>0</v>
      </c>
      <c r="BC157" s="297">
        <f t="shared" si="352"/>
        <v>0</v>
      </c>
      <c r="BE157" s="425">
        <f t="shared" si="318"/>
        <v>0</v>
      </c>
      <c r="BH157" s="90">
        <f t="shared" si="353"/>
        <v>1</v>
      </c>
      <c r="BI157" s="121">
        <f>IF(BH157=1,Cal!$AD$127,0)</f>
        <v>0</v>
      </c>
      <c r="BM157" s="221"/>
      <c r="BO157" s="295">
        <f t="shared" ca="1" si="319"/>
        <v>4</v>
      </c>
      <c r="BP157" s="268">
        <f t="shared" si="320"/>
        <v>0</v>
      </c>
      <c r="BQ157" s="123">
        <f t="shared" si="354"/>
        <v>0</v>
      </c>
      <c r="BR157" s="123">
        <f t="shared" si="288"/>
        <v>0</v>
      </c>
      <c r="BS157" s="123">
        <f t="shared" si="296"/>
        <v>0</v>
      </c>
      <c r="BT157" s="123">
        <f>IF(BZ156&lt;0.01,0,IF(Plus!$F$22=Plus!$AN$4,BZ156*$BZ$15,IF(Plus!$F$22=Plus!$AN$3,BZ156*Plus!$F$23/1000,BZ156*VLOOKUP(Plus!$G$21,Plus!$AP$2:'Plus'!$AQ$5,2,0))))</f>
        <v>0</v>
      </c>
      <c r="BU157" s="123">
        <f>IF(BZ156&lt;0.01,0,IF(Plus!$F$24=Plus!$AO$3,Plus!$G$13*Plus!$AR$2/1.16,IF(Plus!$F$10=Plus!$AK$7,0,Plus!$G$13*Plus!$AR$2/1.16)))</f>
        <v>0</v>
      </c>
      <c r="BV157" s="123">
        <f>IF(BZ156&lt;0.01,0,Plus!$BD$2)</f>
        <v>0</v>
      </c>
      <c r="BW157" s="123"/>
      <c r="BX157" s="123">
        <f t="shared" si="321"/>
        <v>0</v>
      </c>
      <c r="BY157" s="123">
        <f>IF(Plus!$F$10=Plus!$AK$3,MIN(BZ156+BQ157+BT157+BU157+BV157-BX157,CJ157),0)</f>
        <v>0</v>
      </c>
      <c r="BZ157" s="297">
        <f t="shared" si="280"/>
        <v>0</v>
      </c>
      <c r="CA157" s="74"/>
      <c r="CB157" s="74"/>
      <c r="CC157" s="413">
        <f t="shared" si="355"/>
        <v>0</v>
      </c>
      <c r="CF157" s="90">
        <f t="shared" si="356"/>
        <v>1</v>
      </c>
      <c r="CG157" s="121">
        <f t="shared" si="409"/>
        <v>0</v>
      </c>
      <c r="CI157" s="70">
        <f t="shared" si="410"/>
        <v>0</v>
      </c>
      <c r="CJ157" s="2178">
        <f t="shared" ca="1" si="357"/>
        <v>0</v>
      </c>
      <c r="CL157" s="161"/>
      <c r="CN157" s="308">
        <f t="shared" ca="1" si="322"/>
        <v>4</v>
      </c>
      <c r="CO157" s="309">
        <f t="shared" si="358"/>
        <v>0</v>
      </c>
      <c r="CP157" s="268">
        <f t="shared" si="323"/>
        <v>0</v>
      </c>
      <c r="CQ157" s="123">
        <f t="shared" si="359"/>
        <v>0</v>
      </c>
      <c r="CR157" s="123">
        <f t="shared" si="289"/>
        <v>0</v>
      </c>
      <c r="CS157" s="123">
        <f t="shared" si="290"/>
        <v>0</v>
      </c>
      <c r="CT157" s="33">
        <f>IF(CZ156&lt;0.01,0,IF(Plus!$F$22=Plus!$AN$4,0,IF(Plus!$F$22=Plus!$AN$3,CZ156*Plus!$F$23/1000,CZ156*VLOOKUP(Plus!$G$21,Plus!$AP$2:'Plus'!$AQ$5,2,0))))</f>
        <v>0</v>
      </c>
      <c r="CU157" s="123">
        <f>IF(CZ156&lt;0.01,0,IF(Plus!$F$24=Plus!$AO$3,0,IF(OR(Plus!$F$10=Plus!$AK$7,Plus!$F$10=Plus!$AK$13),0,Plus!$G$13*Plus!$AR$2)))</f>
        <v>0</v>
      </c>
      <c r="CV157" s="123">
        <f>IF(CZ156&lt;0.01,0,IF(OR(Plus!$F$10=Plus!$AK$7,Plus!$F$10=Plus!$AK$13),0,Plus!$BD$2*1.16))</f>
        <v>0</v>
      </c>
      <c r="CW157" s="123">
        <f>IF(CZ156&lt;0.01,0,IF(Plus!$AS$2&gt;0,CQ157*Plus!$AS$3,0))</f>
        <v>0</v>
      </c>
      <c r="CX157" s="123">
        <f t="shared" si="360"/>
        <v>0</v>
      </c>
      <c r="CY157" s="123">
        <f>IF(Plus!$F$10=Plus!$AK$3,MIN(CZ156+CQ157+CT157+CU157+CV157-CX157,DK157),0)</f>
        <v>0</v>
      </c>
      <c r="CZ157" s="297">
        <f t="shared" si="294"/>
        <v>0</v>
      </c>
      <c r="DA157" s="306">
        <f>Plus!O198</f>
        <v>0</v>
      </c>
      <c r="DB157" s="74"/>
      <c r="DC157" s="74"/>
      <c r="DD157" s="407">
        <f t="shared" si="361"/>
        <v>0</v>
      </c>
      <c r="DG157" s="90">
        <f t="shared" si="362"/>
        <v>1</v>
      </c>
      <c r="DH157" s="121">
        <f t="shared" si="411"/>
        <v>0</v>
      </c>
      <c r="DJ157" s="149">
        <f t="shared" si="412"/>
        <v>0</v>
      </c>
      <c r="DK157" s="2179">
        <f t="shared" ca="1" si="363"/>
        <v>0</v>
      </c>
      <c r="DN157" s="120">
        <f t="shared" si="413"/>
        <v>0</v>
      </c>
      <c r="DO157" s="110">
        <f t="shared" si="364"/>
        <v>0</v>
      </c>
      <c r="DP157" s="110">
        <f t="shared" si="422"/>
        <v>0</v>
      </c>
      <c r="DQ157" s="109">
        <f t="shared" si="365"/>
        <v>0</v>
      </c>
      <c r="DR157" s="109">
        <f t="shared" si="366"/>
        <v>0</v>
      </c>
      <c r="DS157" s="113">
        <f t="shared" si="367"/>
        <v>0</v>
      </c>
      <c r="DU157" s="102">
        <f t="shared" si="368"/>
        <v>0</v>
      </c>
      <c r="DV157" s="333">
        <f t="shared" si="423"/>
        <v>133</v>
      </c>
      <c r="DW157" s="334">
        <f t="shared" si="369"/>
        <v>0</v>
      </c>
      <c r="DX157" s="334">
        <f t="shared" si="324"/>
        <v>0</v>
      </c>
      <c r="DY157" s="334">
        <f>MIN(DZ156+DW157,DY156*(1+$DW$20))</f>
        <v>0</v>
      </c>
      <c r="DZ157" s="213">
        <f t="shared" si="325"/>
        <v>1000000</v>
      </c>
      <c r="ED157" s="182"/>
      <c r="EF157" s="308">
        <f t="shared" ca="1" si="326"/>
        <v>4</v>
      </c>
      <c r="EG157" s="309">
        <f t="shared" si="370"/>
        <v>0</v>
      </c>
      <c r="EH157" s="268">
        <f t="shared" si="327"/>
        <v>0</v>
      </c>
      <c r="EI157" s="33">
        <f t="shared" si="371"/>
        <v>0</v>
      </c>
      <c r="EJ157" s="33">
        <f t="shared" si="291"/>
        <v>0</v>
      </c>
      <c r="EK157" s="33">
        <f t="shared" si="297"/>
        <v>0</v>
      </c>
      <c r="EL157" s="33">
        <f>IF(ER156&lt;0.01,0,IF(Plus!$F$22=Plus!$AN$4,0,IF(Plus!$F$22=Plus!$AN$3,ER156*Plus!$F$23/1000,ER156*VLOOKUP(Plus!$G$21,Plus!$AP$2:'Plus'!$AQ$5,2,0))))</f>
        <v>0</v>
      </c>
      <c r="EM157" s="33">
        <f>IF(ER156&lt;0.01,0,IF(Plus!$F$24=Plus!$AO$3,0,IF(OR(Plus!$F$10=Plus!$AK$7,Plus!$F$10=Plus!$AK$13),0,Plus!$G$13*Plus!$AR$2)))</f>
        <v>0</v>
      </c>
      <c r="EN157" s="33">
        <f>IF(ER156&lt;0.01,0,IF(OR(Plus!$F$10=Plus!$AK$7,Plus!$F$10=Plus!$AK$13),0,Plus!$BD$2*1.16))</f>
        <v>0</v>
      </c>
      <c r="EO157" s="33">
        <f>IF(ER156&lt;0.01,0,IF(Plus!$AS$2&gt;0,EI157*Plus!$AS$3,0))</f>
        <v>0</v>
      </c>
      <c r="EP157" s="33">
        <f t="shared" si="372"/>
        <v>0</v>
      </c>
      <c r="EQ157" s="33">
        <f>IF(Plus!$F$10=Plus!$AK$3,MIN(ER156+EI157+EL157+EM157+EN157-EP157,FC157),0)</f>
        <v>0</v>
      </c>
      <c r="ER157" s="311">
        <f t="shared" si="285"/>
        <v>0</v>
      </c>
      <c r="ES157" s="340">
        <f>Plus!O198</f>
        <v>0</v>
      </c>
      <c r="ET157" s="74"/>
      <c r="EU157" s="74"/>
      <c r="EV157" s="416">
        <f t="shared" si="281"/>
        <v>0</v>
      </c>
      <c r="EY157" s="90">
        <f t="shared" si="373"/>
        <v>1</v>
      </c>
      <c r="EZ157" s="121">
        <f t="shared" si="415"/>
        <v>0</v>
      </c>
      <c r="FB157" s="149">
        <f t="shared" si="416"/>
        <v>0</v>
      </c>
      <c r="FC157" s="2179">
        <f t="shared" ca="1" si="374"/>
        <v>0</v>
      </c>
      <c r="FE157" s="120">
        <f t="shared" si="417"/>
        <v>0</v>
      </c>
      <c r="FF157" s="110">
        <f t="shared" si="375"/>
        <v>0</v>
      </c>
      <c r="FG157" s="110">
        <f t="shared" si="376"/>
        <v>0</v>
      </c>
      <c r="FH157" s="109">
        <f t="shared" si="377"/>
        <v>0</v>
      </c>
      <c r="FI157" s="109">
        <f t="shared" si="328"/>
        <v>0</v>
      </c>
      <c r="FJ157" s="113">
        <f t="shared" si="378"/>
        <v>0</v>
      </c>
      <c r="FL157" s="102">
        <f t="shared" si="379"/>
        <v>0</v>
      </c>
      <c r="FM157" s="326">
        <f t="shared" si="424"/>
        <v>133</v>
      </c>
      <c r="FN157" s="327">
        <f t="shared" si="380"/>
        <v>0</v>
      </c>
      <c r="FO157" s="327">
        <f t="shared" si="329"/>
        <v>0</v>
      </c>
      <c r="FP157" s="327">
        <f>MIN(FQ156+FN157,FP156*(1+$FN$20))</f>
        <v>0</v>
      </c>
      <c r="FQ157" s="213">
        <f t="shared" si="330"/>
        <v>1000000</v>
      </c>
      <c r="FV157" s="359"/>
      <c r="FX157" s="308">
        <f t="shared" ca="1" si="331"/>
        <v>4</v>
      </c>
      <c r="FY157" s="309">
        <f t="shared" si="381"/>
        <v>0</v>
      </c>
      <c r="FZ157" s="268">
        <f t="shared" si="332"/>
        <v>0</v>
      </c>
      <c r="GA157" s="33">
        <f t="shared" si="382"/>
        <v>0</v>
      </c>
      <c r="GB157" s="33">
        <f t="shared" si="292"/>
        <v>0</v>
      </c>
      <c r="GC157" s="33">
        <f t="shared" si="293"/>
        <v>0</v>
      </c>
      <c r="GD157" s="33">
        <f>IF(GJ156&lt;0.01,0,IF(Plus!$F$22=Plus!$AN$4,0,IF(Plus!$F$22=Plus!$AN$3,GJ156*Plus!$F$23/1000,GJ156*VLOOKUP(Plus!$G$21,Plus!$AP$2:$AQ$5,2,0))))</f>
        <v>0</v>
      </c>
      <c r="GE157" s="33">
        <f>IF(GJ156&lt;0.01,0,IF(Plus!$F$24=Plus!$AO$3,0,IF(OR(Plus!$F$10=Plus!$AK$7,Plus!$F$10=Plus!$AK$13,Plus!$F$10=Plus!$AK$14),0,IF(OR(Plus!$F$10=Plus!$AK$10,Plus!$F$10=Plus!$AK$11),Plus!$G$13*Adm!$W$7,Plus!$G$13*Adm!$X$4))))</f>
        <v>0</v>
      </c>
      <c r="GF157" s="33">
        <f>IF(GJ156&lt;0.01,0,IF(OR(Plus!$F$10=Plus!$AK$7,Plus!$F$10=Plus!$AK$13),0,Plus!$BD$2*1.16))</f>
        <v>0</v>
      </c>
      <c r="GG157" s="33">
        <f>IF(GJ156&lt;0.01,0,IF(Plus!$AS$2&gt;0,GA157*Plus!$AS$3,0))</f>
        <v>0</v>
      </c>
      <c r="GH157" s="33">
        <f t="shared" si="383"/>
        <v>0</v>
      </c>
      <c r="GI157" s="33">
        <f>IF(Plus!$F$10=Plus!$AK$3,MIN(GJ156+GA157+GD157+GE157+GF157-GH157,GU157),0)</f>
        <v>0</v>
      </c>
      <c r="GJ157" s="311">
        <f t="shared" si="286"/>
        <v>0</v>
      </c>
      <c r="GK157" s="340">
        <f>Plus!O198</f>
        <v>0</v>
      </c>
      <c r="GL157" s="74"/>
      <c r="GM157" s="74"/>
      <c r="GN157" s="419">
        <f t="shared" si="283"/>
        <v>0</v>
      </c>
      <c r="GQ157" s="90">
        <f t="shared" si="384"/>
        <v>1</v>
      </c>
      <c r="GR157" s="121">
        <f t="shared" si="418"/>
        <v>0</v>
      </c>
      <c r="GT157" s="149">
        <f t="shared" si="419"/>
        <v>0</v>
      </c>
      <c r="GU157" s="2179">
        <f t="shared" ca="1" si="385"/>
        <v>0</v>
      </c>
      <c r="GW157" s="120">
        <f t="shared" si="420"/>
        <v>0</v>
      </c>
      <c r="GX157" s="110">
        <f t="shared" si="386"/>
        <v>0</v>
      </c>
      <c r="GY157" s="110">
        <f t="shared" si="387"/>
        <v>0</v>
      </c>
      <c r="GZ157" s="109">
        <f t="shared" si="388"/>
        <v>0</v>
      </c>
      <c r="HA157" s="109">
        <f t="shared" si="333"/>
        <v>0</v>
      </c>
      <c r="HB157" s="113">
        <f t="shared" si="389"/>
        <v>0</v>
      </c>
      <c r="HD157" s="102">
        <f t="shared" si="390"/>
        <v>0</v>
      </c>
      <c r="HE157" s="326">
        <f t="shared" si="425"/>
        <v>133</v>
      </c>
      <c r="HF157" s="327">
        <f t="shared" si="391"/>
        <v>0</v>
      </c>
      <c r="HG157" s="327">
        <f t="shared" si="334"/>
        <v>0</v>
      </c>
      <c r="HH157" s="327">
        <f>MIN(HI156+HF157,HH156*(1+$FN$20))</f>
        <v>0</v>
      </c>
      <c r="HI157" s="213">
        <f t="shared" si="335"/>
        <v>1000000</v>
      </c>
      <c r="HL157" s="182"/>
      <c r="HM157" s="26">
        <f t="shared" ca="1" si="336"/>
        <v>4</v>
      </c>
      <c r="HO157" s="268">
        <f t="shared" si="337"/>
        <v>0</v>
      </c>
      <c r="HP157" s="151">
        <f t="shared" si="302"/>
        <v>0</v>
      </c>
      <c r="HQ157" s="123">
        <f t="shared" si="392"/>
        <v>0</v>
      </c>
      <c r="HR157" s="123">
        <f t="shared" si="393"/>
        <v>0</v>
      </c>
      <c r="HS157" s="123">
        <f t="shared" si="394"/>
        <v>0</v>
      </c>
      <c r="HT157" s="123">
        <f>IF(HY156&lt;0.01,0,IF(Adm!$GS$4=Adm!$GS$8,HY156*$HY$15,IF(Adm!$GS$12=Adm!$GS$13,0,HY156*Adm!$GV$4)))</f>
        <v>0</v>
      </c>
      <c r="HU157" s="123">
        <f>IF(HY156&lt;0.01,0,IF(Adm!$GS$5=Adm!$GS$8,Cal!$BO$108*$HY$16/1.16,IF(Adm!$GS$12=Adm!$GS$13,0,Cal!$BO$108*Adm!$GW$4/1.16)))</f>
        <v>0</v>
      </c>
      <c r="HV157" s="123">
        <f t="shared" si="395"/>
        <v>0</v>
      </c>
      <c r="HW157" s="123">
        <f t="shared" si="338"/>
        <v>0</v>
      </c>
      <c r="HX157" s="123">
        <f>IF(Adm!$GH$6="si",MIN(HY156+HQ157+HT157+HU157+HV157-HW157,IH157),0)</f>
        <v>0</v>
      </c>
      <c r="HY157" s="297">
        <f t="shared" si="396"/>
        <v>0</v>
      </c>
      <c r="HZ157" s="74"/>
      <c r="IA157" s="407">
        <f t="shared" si="397"/>
        <v>0</v>
      </c>
      <c r="IC157" s="90">
        <f t="shared" si="398"/>
        <v>1</v>
      </c>
      <c r="ID157" s="124">
        <f>IF(IC157=1,Cal!$BO$127,0)</f>
        <v>0</v>
      </c>
      <c r="IE157" s="178">
        <f>IF(IC157=1,Adm!$HI$4,0)</f>
        <v>2.5000000000000001E-3</v>
      </c>
      <c r="IG157" s="70">
        <f t="shared" si="421"/>
        <v>0</v>
      </c>
      <c r="IH157" s="2178">
        <f t="shared" ca="1" si="399"/>
        <v>0</v>
      </c>
      <c r="IK157" s="217"/>
      <c r="IL157" s="26">
        <f t="shared" ca="1" si="339"/>
        <v>4</v>
      </c>
      <c r="IN157" s="268">
        <f t="shared" si="340"/>
        <v>0</v>
      </c>
      <c r="IO157" s="151">
        <f t="shared" si="303"/>
        <v>0</v>
      </c>
      <c r="IP157" s="123">
        <f t="shared" si="400"/>
        <v>0</v>
      </c>
      <c r="IQ157" s="123">
        <f t="shared" si="401"/>
        <v>0</v>
      </c>
      <c r="IR157" s="123">
        <f t="shared" si="402"/>
        <v>0</v>
      </c>
      <c r="IS157" s="123">
        <f>IF(IX156&lt;0.01,0,IF(Adm!$GS$4=Adm!$GS$8,IX156*$IX$15,IF(Adm!$GS$12=Adm!$GS$13,0,IX156*Adm!$GV$4)))</f>
        <v>0</v>
      </c>
      <c r="IT157" s="123"/>
      <c r="IU157" s="123">
        <f t="shared" si="403"/>
        <v>0</v>
      </c>
      <c r="IV157" s="123">
        <f t="shared" si="404"/>
        <v>0</v>
      </c>
      <c r="IW157" s="123"/>
      <c r="IX157" s="297">
        <f t="shared" si="405"/>
        <v>0</v>
      </c>
      <c r="IY157" s="74"/>
      <c r="IZ157" s="416">
        <f t="shared" si="406"/>
        <v>0</v>
      </c>
      <c r="JB157" s="90">
        <f t="shared" si="407"/>
        <v>1</v>
      </c>
      <c r="JC157" s="124">
        <f>IF(JB157=1,Cal!$BP$127,0)</f>
        <v>0</v>
      </c>
      <c r="JD157" s="178">
        <f>IF(JB157=1,Adm!$HI$4,0)</f>
        <v>2.5000000000000001E-3</v>
      </c>
    </row>
    <row r="158" spans="1:264">
      <c r="A158" s="26">
        <f t="shared" ca="1" si="308"/>
        <v>5</v>
      </c>
      <c r="C158" s="33">
        <f t="shared" si="309"/>
        <v>0</v>
      </c>
      <c r="D158" s="123">
        <f t="shared" si="341"/>
        <v>0</v>
      </c>
      <c r="E158" s="123">
        <f t="shared" si="287"/>
        <v>0</v>
      </c>
      <c r="F158" s="123">
        <f t="shared" si="295"/>
        <v>0</v>
      </c>
      <c r="G158" s="123">
        <f>IF(L157&lt;0.01,0,IF(Adm!$S$4=Adm!$S$8,L157*$L$15,L157*Adm!$V$4))</f>
        <v>0</v>
      </c>
      <c r="H158" s="123">
        <f>IF(L157&lt;0.01,0,IF(Adm!$S$5=Adm!$S$8,Adm!$AA$11*$L$16/1.16,IF(Adm!$B$4=Adm!$A$119,0,Adm!$AA$11*Adm!$X$4/1.16)))</f>
        <v>0</v>
      </c>
      <c r="I158" s="123">
        <f>IF(L157&lt;0.01,0,Cal!$AB$126/1.16)</f>
        <v>0</v>
      </c>
      <c r="J158" s="123">
        <f t="shared" si="310"/>
        <v>0</v>
      </c>
      <c r="K158" s="123">
        <f>IF(Adm!$G$4="si",MIN(L157+D158+G158+H158+I158-J158,V158),0)</f>
        <v>0</v>
      </c>
      <c r="L158" s="123">
        <f t="shared" si="342"/>
        <v>0</v>
      </c>
      <c r="M158" s="74"/>
      <c r="N158" s="74"/>
      <c r="O158" s="407">
        <f t="shared" si="343"/>
        <v>0</v>
      </c>
      <c r="R158" s="90">
        <f t="shared" si="344"/>
        <v>2</v>
      </c>
      <c r="S158" s="121">
        <f>IF(R158=1,Cal!$AB$127,0)</f>
        <v>0</v>
      </c>
      <c r="U158" s="70">
        <f t="shared" si="408"/>
        <v>0</v>
      </c>
      <c r="V158" s="2178">
        <f t="shared" ca="1" si="345"/>
        <v>0</v>
      </c>
      <c r="X158" s="398"/>
      <c r="Z158" s="268">
        <f t="shared" si="311"/>
        <v>0</v>
      </c>
      <c r="AA158" s="2176">
        <f t="shared" si="346"/>
        <v>0</v>
      </c>
      <c r="AB158" s="33">
        <f t="shared" si="347"/>
        <v>0</v>
      </c>
      <c r="AC158" s="33">
        <f t="shared" si="348"/>
        <v>0</v>
      </c>
      <c r="AD158" s="33">
        <f>IF(AI157&lt;0.01,0,IF(Adm!$S$4=Adm!$S$8,AI157*$AI$15,AI157*Adm!$V$4))</f>
        <v>0</v>
      </c>
      <c r="AE158" s="33"/>
      <c r="AF158" s="33"/>
      <c r="AG158" s="33">
        <f t="shared" si="312"/>
        <v>0</v>
      </c>
      <c r="AH158" s="33"/>
      <c r="AI158" s="401">
        <f t="shared" si="313"/>
        <v>0</v>
      </c>
      <c r="AK158" s="410">
        <f t="shared" si="314"/>
        <v>0</v>
      </c>
      <c r="AN158" s="90">
        <f t="shared" si="349"/>
        <v>2</v>
      </c>
      <c r="AO158" s="121">
        <f>IF(AN158=1,Cal!$AC$127,0)</f>
        <v>0</v>
      </c>
      <c r="AS158" s="200"/>
      <c r="AU158" s="268">
        <f t="shared" si="315"/>
        <v>0</v>
      </c>
      <c r="AV158" s="2177">
        <f t="shared" si="350"/>
        <v>0</v>
      </c>
      <c r="AW158" s="123">
        <f t="shared" si="316"/>
        <v>0</v>
      </c>
      <c r="AX158" s="123">
        <f t="shared" si="351"/>
        <v>0</v>
      </c>
      <c r="AY158" s="123">
        <f>IF(BC157&lt;0.01,0,IF(Adm!$S$4=Adm!$S$8,BC157*$BC$16,BC157*Adm!$V$4))</f>
        <v>0</v>
      </c>
      <c r="AZ158" s="123"/>
      <c r="BA158" s="123">
        <f>IF(BC157&lt;0.01,0,Adm!$Q$6)</f>
        <v>0</v>
      </c>
      <c r="BB158" s="123">
        <f t="shared" si="317"/>
        <v>0</v>
      </c>
      <c r="BC158" s="297">
        <f t="shared" si="352"/>
        <v>0</v>
      </c>
      <c r="BE158" s="425">
        <f t="shared" si="318"/>
        <v>0</v>
      </c>
      <c r="BH158" s="90">
        <f t="shared" si="353"/>
        <v>2</v>
      </c>
      <c r="BI158" s="121">
        <f>IF(BH158=1,Cal!$AD$127,0)</f>
        <v>0</v>
      </c>
      <c r="BM158" s="221"/>
      <c r="BO158" s="295">
        <f t="shared" ca="1" si="319"/>
        <v>5</v>
      </c>
      <c r="BP158" s="268">
        <f t="shared" si="320"/>
        <v>0</v>
      </c>
      <c r="BQ158" s="123">
        <f t="shared" si="354"/>
        <v>0</v>
      </c>
      <c r="BR158" s="123">
        <f t="shared" si="288"/>
        <v>0</v>
      </c>
      <c r="BS158" s="123">
        <f t="shared" si="296"/>
        <v>0</v>
      </c>
      <c r="BT158" s="123">
        <f>IF(BZ157&lt;0.01,0,IF(Plus!$F$22=Plus!$AN$4,BZ157*$BZ$15,IF(Plus!$F$22=Plus!$AN$3,BZ157*Plus!$F$23/1000,BZ157*VLOOKUP(Plus!$G$21,Plus!$AP$2:'Plus'!$AQ$5,2,0))))</f>
        <v>0</v>
      </c>
      <c r="BU158" s="123">
        <f>IF(BZ157&lt;0.01,0,IF(Plus!$F$24=Plus!$AO$3,Plus!$G$13*Plus!$AR$2/1.16,IF(Plus!$F$10=Plus!$AK$7,0,Plus!$G$13*Plus!$AR$2/1.16)))</f>
        <v>0</v>
      </c>
      <c r="BV158" s="123">
        <f>IF(BZ157&lt;0.01,0,Plus!$BD$2)</f>
        <v>0</v>
      </c>
      <c r="BW158" s="123"/>
      <c r="BX158" s="123">
        <f t="shared" si="321"/>
        <v>0</v>
      </c>
      <c r="BY158" s="123">
        <f>IF(Plus!$F$10=Plus!$AK$3,MIN(BZ157+BQ158+BT158+BU158+BV158-BX158,CJ158),0)</f>
        <v>0</v>
      </c>
      <c r="BZ158" s="297">
        <f t="shared" si="280"/>
        <v>0</v>
      </c>
      <c r="CA158" s="74"/>
      <c r="CB158" s="74"/>
      <c r="CC158" s="413">
        <f t="shared" si="355"/>
        <v>0</v>
      </c>
      <c r="CF158" s="90">
        <f t="shared" si="356"/>
        <v>2</v>
      </c>
      <c r="CG158" s="121">
        <f t="shared" si="409"/>
        <v>0</v>
      </c>
      <c r="CI158" s="70">
        <f t="shared" si="410"/>
        <v>0</v>
      </c>
      <c r="CJ158" s="2178">
        <f t="shared" ca="1" si="357"/>
        <v>0</v>
      </c>
      <c r="CL158" s="161"/>
      <c r="CN158" s="308">
        <f t="shared" ca="1" si="322"/>
        <v>5</v>
      </c>
      <c r="CO158" s="309">
        <f t="shared" si="358"/>
        <v>0</v>
      </c>
      <c r="CP158" s="268">
        <f t="shared" si="323"/>
        <v>0</v>
      </c>
      <c r="CQ158" s="123">
        <f t="shared" si="359"/>
        <v>0</v>
      </c>
      <c r="CR158" s="123">
        <f t="shared" si="289"/>
        <v>0</v>
      </c>
      <c r="CS158" s="123">
        <f t="shared" si="290"/>
        <v>0</v>
      </c>
      <c r="CT158" s="33">
        <f>IF(CZ157&lt;0.01,0,IF(Plus!$F$22=Plus!$AN$4,0,IF(Plus!$F$22=Plus!$AN$3,CZ157*Plus!$F$23/1000,CZ157*VLOOKUP(Plus!$G$21,Plus!$AP$2:'Plus'!$AQ$5,2,0))))</f>
        <v>0</v>
      </c>
      <c r="CU158" s="123">
        <f>IF(CZ157&lt;0.01,0,IF(Plus!$F$24=Plus!$AO$3,0,IF(OR(Plus!$F$10=Plus!$AK$7,Plus!$F$10=Plus!$AK$13),0,Plus!$G$13*Plus!$AR$2)))</f>
        <v>0</v>
      </c>
      <c r="CV158" s="123">
        <f>IF(CZ157&lt;0.01,0,IF(OR(Plus!$F$10=Plus!$AK$7,Plus!$F$10=Plus!$AK$13),0,Plus!$BD$2*1.16))</f>
        <v>0</v>
      </c>
      <c r="CW158" s="123">
        <f>IF(CZ157&lt;0.01,0,IF(Plus!$AS$2&gt;0,CQ158*Plus!$AS$3,0))</f>
        <v>0</v>
      </c>
      <c r="CX158" s="123">
        <f t="shared" si="360"/>
        <v>0</v>
      </c>
      <c r="CY158" s="123">
        <f>IF(Plus!$F$10=Plus!$AK$3,MIN(CZ157+CQ158+CT158+CU158+CV158-CX158,DK158),0)</f>
        <v>0</v>
      </c>
      <c r="CZ158" s="297">
        <f t="shared" si="294"/>
        <v>0</v>
      </c>
      <c r="DA158" s="306">
        <f>Plus!O199</f>
        <v>0</v>
      </c>
      <c r="DB158" s="74"/>
      <c r="DC158" s="74"/>
      <c r="DD158" s="407">
        <f t="shared" si="361"/>
        <v>0</v>
      </c>
      <c r="DG158" s="90">
        <f t="shared" si="362"/>
        <v>2</v>
      </c>
      <c r="DH158" s="121">
        <f t="shared" si="411"/>
        <v>0</v>
      </c>
      <c r="DJ158" s="149">
        <f t="shared" si="412"/>
        <v>0</v>
      </c>
      <c r="DK158" s="2179">
        <f t="shared" ca="1" si="363"/>
        <v>0</v>
      </c>
      <c r="DN158" s="120">
        <f t="shared" si="413"/>
        <v>0</v>
      </c>
      <c r="DO158" s="110">
        <f t="shared" si="364"/>
        <v>0</v>
      </c>
      <c r="DP158" s="110">
        <f t="shared" si="422"/>
        <v>0</v>
      </c>
      <c r="DQ158" s="109">
        <f t="shared" si="365"/>
        <v>0</v>
      </c>
      <c r="DR158" s="109">
        <f t="shared" si="366"/>
        <v>0</v>
      </c>
      <c r="DS158" s="113">
        <f t="shared" si="367"/>
        <v>0</v>
      </c>
      <c r="DU158" s="102">
        <f t="shared" si="368"/>
        <v>0</v>
      </c>
      <c r="DV158" s="211">
        <f t="shared" si="423"/>
        <v>134</v>
      </c>
      <c r="DW158" s="212">
        <f t="shared" si="369"/>
        <v>0</v>
      </c>
      <c r="DX158" s="212">
        <f t="shared" si="324"/>
        <v>0</v>
      </c>
      <c r="DY158" s="212">
        <f t="shared" si="414"/>
        <v>0</v>
      </c>
      <c r="DZ158" s="213">
        <f t="shared" si="325"/>
        <v>1000000</v>
      </c>
      <c r="ED158" s="182"/>
      <c r="EF158" s="308">
        <f t="shared" ca="1" si="326"/>
        <v>5</v>
      </c>
      <c r="EG158" s="309">
        <f t="shared" si="370"/>
        <v>0</v>
      </c>
      <c r="EH158" s="268">
        <f t="shared" si="327"/>
        <v>0</v>
      </c>
      <c r="EI158" s="33">
        <f t="shared" si="371"/>
        <v>0</v>
      </c>
      <c r="EJ158" s="33">
        <f t="shared" si="291"/>
        <v>0</v>
      </c>
      <c r="EK158" s="33">
        <f t="shared" si="297"/>
        <v>0</v>
      </c>
      <c r="EL158" s="33">
        <f>IF(ER157&lt;0.01,0,IF(Plus!$F$22=Plus!$AN$4,0,IF(Plus!$F$22=Plus!$AN$3,ER157*Plus!$F$23/1000,ER157*VLOOKUP(Plus!$G$21,Plus!$AP$2:'Plus'!$AQ$5,2,0))))</f>
        <v>0</v>
      </c>
      <c r="EM158" s="33">
        <f>IF(ER157&lt;0.01,0,IF(Plus!$F$24=Plus!$AO$3,0,IF(OR(Plus!$F$10=Plus!$AK$7,Plus!$F$10=Plus!$AK$13),0,Plus!$G$13*Plus!$AR$2)))</f>
        <v>0</v>
      </c>
      <c r="EN158" s="33">
        <f>IF(ER157&lt;0.01,0,IF(OR(Plus!$F$10=Plus!$AK$7,Plus!$F$10=Plus!$AK$13),0,Plus!$BD$2*1.16))</f>
        <v>0</v>
      </c>
      <c r="EO158" s="33">
        <f>IF(ER157&lt;0.01,0,IF(Plus!$AS$2&gt;0,EI158*Plus!$AS$3,0))</f>
        <v>0</v>
      </c>
      <c r="EP158" s="33">
        <f t="shared" si="372"/>
        <v>0</v>
      </c>
      <c r="EQ158" s="33">
        <f>IF(Plus!$F$10=Plus!$AK$3,MIN(ER157+EI158+EL158+EM158+EN158-EP158,FC158),0)</f>
        <v>0</v>
      </c>
      <c r="ER158" s="311">
        <f t="shared" si="285"/>
        <v>0</v>
      </c>
      <c r="ES158" s="340">
        <f>Plus!O199</f>
        <v>0</v>
      </c>
      <c r="ET158" s="74"/>
      <c r="EU158" s="74"/>
      <c r="EV158" s="416">
        <f t="shared" si="281"/>
        <v>0</v>
      </c>
      <c r="EY158" s="90">
        <f t="shared" si="373"/>
        <v>2</v>
      </c>
      <c r="EZ158" s="121">
        <f t="shared" si="415"/>
        <v>0</v>
      </c>
      <c r="FB158" s="149">
        <f t="shared" si="416"/>
        <v>0</v>
      </c>
      <c r="FC158" s="2179">
        <f t="shared" ca="1" si="374"/>
        <v>0</v>
      </c>
      <c r="FE158" s="120">
        <f t="shared" si="417"/>
        <v>0</v>
      </c>
      <c r="FF158" s="110">
        <f t="shared" si="375"/>
        <v>0</v>
      </c>
      <c r="FG158" s="110">
        <f t="shared" si="376"/>
        <v>0</v>
      </c>
      <c r="FH158" s="109">
        <f t="shared" si="377"/>
        <v>0</v>
      </c>
      <c r="FI158" s="109">
        <f t="shared" si="328"/>
        <v>0</v>
      </c>
      <c r="FJ158" s="113">
        <f t="shared" si="378"/>
        <v>0</v>
      </c>
      <c r="FL158" s="102">
        <f t="shared" si="379"/>
        <v>0</v>
      </c>
      <c r="FM158" s="211">
        <f t="shared" si="424"/>
        <v>134</v>
      </c>
      <c r="FN158" s="212">
        <f t="shared" si="380"/>
        <v>0</v>
      </c>
      <c r="FO158" s="212">
        <f t="shared" si="329"/>
        <v>0</v>
      </c>
      <c r="FP158" s="212">
        <f t="shared" ref="FP158:FP168" si="426">MIN(FQ157+FN158,FP157)</f>
        <v>0</v>
      </c>
      <c r="FQ158" s="213">
        <f t="shared" si="330"/>
        <v>1000000</v>
      </c>
      <c r="FV158" s="359"/>
      <c r="FX158" s="308">
        <f t="shared" ca="1" si="331"/>
        <v>5</v>
      </c>
      <c r="FY158" s="309">
        <f t="shared" si="381"/>
        <v>0</v>
      </c>
      <c r="FZ158" s="268">
        <f t="shared" si="332"/>
        <v>0</v>
      </c>
      <c r="GA158" s="33">
        <f t="shared" si="382"/>
        <v>0</v>
      </c>
      <c r="GB158" s="33">
        <f t="shared" si="292"/>
        <v>0</v>
      </c>
      <c r="GC158" s="33">
        <f t="shared" si="293"/>
        <v>0</v>
      </c>
      <c r="GD158" s="33">
        <f>IF(GJ157&lt;0.01,0,IF(Plus!$F$22=Plus!$AN$4,0,IF(Plus!$F$22=Plus!$AN$3,GJ157*Plus!$F$23/1000,GJ157*VLOOKUP(Plus!$G$21,Plus!$AP$2:$AQ$5,2,0))))</f>
        <v>0</v>
      </c>
      <c r="GE158" s="33">
        <f>IF(GJ157&lt;0.01,0,IF(Plus!$F$24=Plus!$AO$3,0,IF(OR(Plus!$F$10=Plus!$AK$7,Plus!$F$10=Plus!$AK$13,Plus!$F$10=Plus!$AK$14),0,IF(OR(Plus!$F$10=Plus!$AK$10,Plus!$F$10=Plus!$AK$11),Plus!$G$13*Adm!$W$7,Plus!$G$13*Adm!$X$4))))</f>
        <v>0</v>
      </c>
      <c r="GF158" s="33">
        <f>IF(GJ157&lt;0.01,0,IF(OR(Plus!$F$10=Plus!$AK$7,Plus!$F$10=Plus!$AK$13),0,Plus!$BD$2*1.16))</f>
        <v>0</v>
      </c>
      <c r="GG158" s="33">
        <f>IF(GJ157&lt;0.01,0,IF(Plus!$AS$2&gt;0,GA158*Plus!$AS$3,0))</f>
        <v>0</v>
      </c>
      <c r="GH158" s="33">
        <f t="shared" si="383"/>
        <v>0</v>
      </c>
      <c r="GI158" s="33">
        <f>IF(Plus!$F$10=Plus!$AK$3,MIN(GJ157+GA158+GD158+GE158+GF158-GH158,GU158),0)</f>
        <v>0</v>
      </c>
      <c r="GJ158" s="311">
        <f t="shared" si="286"/>
        <v>0</v>
      </c>
      <c r="GK158" s="340">
        <f>Plus!O199</f>
        <v>0</v>
      </c>
      <c r="GL158" s="74"/>
      <c r="GM158" s="74"/>
      <c r="GN158" s="419">
        <f t="shared" si="283"/>
        <v>0</v>
      </c>
      <c r="GQ158" s="90">
        <f t="shared" si="384"/>
        <v>2</v>
      </c>
      <c r="GR158" s="121">
        <f t="shared" si="418"/>
        <v>0</v>
      </c>
      <c r="GT158" s="149">
        <f t="shared" si="419"/>
        <v>0</v>
      </c>
      <c r="GU158" s="2179">
        <f t="shared" ca="1" si="385"/>
        <v>0</v>
      </c>
      <c r="GW158" s="120">
        <f t="shared" si="420"/>
        <v>0</v>
      </c>
      <c r="GX158" s="110">
        <f t="shared" si="386"/>
        <v>0</v>
      </c>
      <c r="GY158" s="110">
        <f t="shared" si="387"/>
        <v>0</v>
      </c>
      <c r="GZ158" s="109">
        <f t="shared" si="388"/>
        <v>0</v>
      </c>
      <c r="HA158" s="109">
        <f t="shared" si="333"/>
        <v>0</v>
      </c>
      <c r="HB158" s="113">
        <f t="shared" si="389"/>
        <v>0</v>
      </c>
      <c r="HD158" s="102">
        <f t="shared" si="390"/>
        <v>0</v>
      </c>
      <c r="HE158" s="211">
        <f t="shared" si="425"/>
        <v>134</v>
      </c>
      <c r="HF158" s="212">
        <f t="shared" si="391"/>
        <v>0</v>
      </c>
      <c r="HG158" s="212">
        <f t="shared" si="334"/>
        <v>0</v>
      </c>
      <c r="HH158" s="212">
        <f t="shared" ref="HH158:HH168" si="427">MIN(HI157+HF158,HH157)</f>
        <v>0</v>
      </c>
      <c r="HI158" s="213">
        <f t="shared" si="335"/>
        <v>1000000</v>
      </c>
      <c r="HL158" s="182"/>
      <c r="HM158" s="26">
        <f t="shared" ca="1" si="336"/>
        <v>5</v>
      </c>
      <c r="HO158" s="268">
        <f t="shared" si="337"/>
        <v>0</v>
      </c>
      <c r="HP158" s="151">
        <f t="shared" si="302"/>
        <v>0</v>
      </c>
      <c r="HQ158" s="123">
        <f t="shared" si="392"/>
        <v>0</v>
      </c>
      <c r="HR158" s="123">
        <f t="shared" si="393"/>
        <v>0</v>
      </c>
      <c r="HS158" s="123">
        <f t="shared" si="394"/>
        <v>0</v>
      </c>
      <c r="HT158" s="123">
        <f>IF(HY157&lt;0.01,0,IF(Adm!$GS$4=Adm!$GS$8,HY157*$HY$15,IF(Adm!$GS$12=Adm!$GS$13,0,HY157*Adm!$GV$4)))</f>
        <v>0</v>
      </c>
      <c r="HU158" s="123">
        <f>IF(HY157&lt;0.01,0,IF(Adm!$GS$5=Adm!$GS$8,Cal!$BO$108*$HY$16/1.16,IF(Adm!$GS$12=Adm!$GS$13,0,Cal!$BO$108*Adm!$GW$4/1.16)))</f>
        <v>0</v>
      </c>
      <c r="HV158" s="123">
        <f t="shared" si="395"/>
        <v>0</v>
      </c>
      <c r="HW158" s="123">
        <f t="shared" si="338"/>
        <v>0</v>
      </c>
      <c r="HX158" s="123">
        <f>IF(Adm!$GH$6="si",MIN(HY157+HQ158+HT158+HU158+HV158-HW158,IH158),0)</f>
        <v>0</v>
      </c>
      <c r="HY158" s="297">
        <f t="shared" si="396"/>
        <v>0</v>
      </c>
      <c r="HZ158" s="74"/>
      <c r="IA158" s="407">
        <f t="shared" si="397"/>
        <v>0</v>
      </c>
      <c r="IC158" s="90">
        <f t="shared" si="398"/>
        <v>2</v>
      </c>
      <c r="ID158" s="124">
        <f>IF(IC158=1,Cal!$BO$127,0)</f>
        <v>0</v>
      </c>
      <c r="IE158" s="178">
        <f>IF(IC158=1,Adm!$HI$4,0)</f>
        <v>0</v>
      </c>
      <c r="IG158" s="70">
        <f t="shared" si="421"/>
        <v>0</v>
      </c>
      <c r="IH158" s="2178">
        <f t="shared" ca="1" si="399"/>
        <v>0</v>
      </c>
      <c r="IK158" s="217"/>
      <c r="IL158" s="26">
        <f t="shared" ca="1" si="339"/>
        <v>5</v>
      </c>
      <c r="IN158" s="268">
        <f t="shared" si="340"/>
        <v>0</v>
      </c>
      <c r="IO158" s="151">
        <f t="shared" si="303"/>
        <v>0</v>
      </c>
      <c r="IP158" s="123">
        <f t="shared" si="400"/>
        <v>0</v>
      </c>
      <c r="IQ158" s="123">
        <f t="shared" si="401"/>
        <v>0</v>
      </c>
      <c r="IR158" s="123">
        <f t="shared" si="402"/>
        <v>0</v>
      </c>
      <c r="IS158" s="123">
        <f>IF(IX157&lt;0.01,0,IF(Adm!$GS$4=Adm!$GS$8,IX157*$IX$15,IF(Adm!$GS$12=Adm!$GS$13,0,IX157*Adm!$GV$4)))</f>
        <v>0</v>
      </c>
      <c r="IT158" s="123"/>
      <c r="IU158" s="123">
        <f t="shared" si="403"/>
        <v>0</v>
      </c>
      <c r="IV158" s="123">
        <f t="shared" si="404"/>
        <v>0</v>
      </c>
      <c r="IW158" s="123"/>
      <c r="IX158" s="297">
        <f t="shared" si="405"/>
        <v>0</v>
      </c>
      <c r="IY158" s="74"/>
      <c r="IZ158" s="416">
        <f t="shared" si="406"/>
        <v>0</v>
      </c>
      <c r="JB158" s="90">
        <f t="shared" si="407"/>
        <v>2</v>
      </c>
      <c r="JC158" s="124">
        <f>IF(JB158=1,Cal!$BP$127,0)</f>
        <v>0</v>
      </c>
      <c r="JD158" s="178">
        <f>IF(JB158=1,Adm!$HI$4,0)</f>
        <v>0</v>
      </c>
    </row>
    <row r="159" spans="1:264">
      <c r="A159" s="26">
        <f t="shared" ca="1" si="308"/>
        <v>6</v>
      </c>
      <c r="C159" s="33">
        <f t="shared" si="309"/>
        <v>0</v>
      </c>
      <c r="D159" s="123">
        <f t="shared" si="341"/>
        <v>0</v>
      </c>
      <c r="E159" s="123">
        <f t="shared" si="287"/>
        <v>0</v>
      </c>
      <c r="F159" s="123">
        <f t="shared" si="295"/>
        <v>0</v>
      </c>
      <c r="G159" s="123">
        <f>IF(L158&lt;0.01,0,IF(Adm!$S$4=Adm!$S$8,L158*$L$15,L158*Adm!$V$4))</f>
        <v>0</v>
      </c>
      <c r="H159" s="123">
        <f>IF(L158&lt;0.01,0,IF(Adm!$S$5=Adm!$S$8,Adm!$AA$11*$L$16/1.16,IF(Adm!$B$4=Adm!$A$119,0,Adm!$AA$11*Adm!$X$4/1.16)))</f>
        <v>0</v>
      </c>
      <c r="I159" s="123">
        <f>IF(L158&lt;0.01,0,Cal!$AB$126/1.16)</f>
        <v>0</v>
      </c>
      <c r="J159" s="123">
        <f t="shared" si="310"/>
        <v>0</v>
      </c>
      <c r="K159" s="123">
        <f>IF(Adm!$G$4="si",MIN(L158+D159+G159+H159+I159-J159,V159),0)</f>
        <v>0</v>
      </c>
      <c r="L159" s="123">
        <f t="shared" si="342"/>
        <v>0</v>
      </c>
      <c r="M159" s="74"/>
      <c r="N159" s="74"/>
      <c r="O159" s="407">
        <f t="shared" si="343"/>
        <v>0</v>
      </c>
      <c r="R159" s="90">
        <f t="shared" si="344"/>
        <v>3</v>
      </c>
      <c r="S159" s="121">
        <f>IF(R159=1,Cal!$AB$127,0)</f>
        <v>0</v>
      </c>
      <c r="U159" s="70">
        <f t="shared" si="408"/>
        <v>0</v>
      </c>
      <c r="V159" s="2178">
        <f t="shared" ca="1" si="345"/>
        <v>0</v>
      </c>
      <c r="X159" s="398"/>
      <c r="Z159" s="268">
        <f t="shared" si="311"/>
        <v>0</v>
      </c>
      <c r="AA159" s="2176">
        <f t="shared" si="346"/>
        <v>0</v>
      </c>
      <c r="AB159" s="33">
        <f t="shared" si="347"/>
        <v>0</v>
      </c>
      <c r="AC159" s="33">
        <f t="shared" si="348"/>
        <v>0</v>
      </c>
      <c r="AD159" s="33">
        <f>IF(AI158&lt;0.01,0,IF(Adm!$S$4=Adm!$S$8,AI158*$AI$15,AI158*Adm!$V$4))</f>
        <v>0</v>
      </c>
      <c r="AE159" s="33"/>
      <c r="AF159" s="33"/>
      <c r="AG159" s="33">
        <f t="shared" si="312"/>
        <v>0</v>
      </c>
      <c r="AH159" s="33"/>
      <c r="AI159" s="401">
        <f t="shared" si="313"/>
        <v>0</v>
      </c>
      <c r="AK159" s="410">
        <f t="shared" si="314"/>
        <v>0</v>
      </c>
      <c r="AN159" s="90">
        <f t="shared" si="349"/>
        <v>3</v>
      </c>
      <c r="AO159" s="121">
        <f>IF(AN159=1,Cal!$AC$127,0)</f>
        <v>0</v>
      </c>
      <c r="AS159" s="200"/>
      <c r="AU159" s="268">
        <f t="shared" si="315"/>
        <v>0</v>
      </c>
      <c r="AV159" s="2177">
        <f t="shared" si="350"/>
        <v>0</v>
      </c>
      <c r="AW159" s="123">
        <f t="shared" si="316"/>
        <v>0</v>
      </c>
      <c r="AX159" s="123">
        <f t="shared" si="351"/>
        <v>0</v>
      </c>
      <c r="AY159" s="123">
        <f>IF(BC158&lt;0.01,0,IF(Adm!$S$4=Adm!$S$8,BC158*$BC$16,BC158*Adm!$V$4))</f>
        <v>0</v>
      </c>
      <c r="AZ159" s="123"/>
      <c r="BA159" s="123">
        <f>IF(BC158&lt;0.01,0,Adm!$Q$6)</f>
        <v>0</v>
      </c>
      <c r="BB159" s="123">
        <f t="shared" si="317"/>
        <v>0</v>
      </c>
      <c r="BC159" s="297">
        <f t="shared" si="352"/>
        <v>0</v>
      </c>
      <c r="BE159" s="425">
        <f t="shared" si="318"/>
        <v>0</v>
      </c>
      <c r="BH159" s="90">
        <f t="shared" si="353"/>
        <v>3</v>
      </c>
      <c r="BI159" s="121">
        <f>IF(BH159=1,Cal!$AD$127,0)</f>
        <v>0</v>
      </c>
      <c r="BM159" s="221"/>
      <c r="BO159" s="295">
        <f t="shared" ca="1" si="319"/>
        <v>6</v>
      </c>
      <c r="BP159" s="268">
        <f t="shared" si="320"/>
        <v>0</v>
      </c>
      <c r="BQ159" s="123">
        <f t="shared" si="354"/>
        <v>0</v>
      </c>
      <c r="BR159" s="123">
        <f t="shared" si="288"/>
        <v>0</v>
      </c>
      <c r="BS159" s="123">
        <f t="shared" si="296"/>
        <v>0</v>
      </c>
      <c r="BT159" s="123">
        <f>IF(BZ158&lt;0.01,0,IF(Plus!$F$22=Plus!$AN$4,BZ158*$BZ$15,IF(Plus!$F$22=Plus!$AN$3,BZ158*Plus!$F$23/1000,BZ158*VLOOKUP(Plus!$G$21,Plus!$AP$2:'Plus'!$AQ$5,2,0))))</f>
        <v>0</v>
      </c>
      <c r="BU159" s="123">
        <f>IF(BZ158&lt;0.01,0,IF(Plus!$F$24=Plus!$AO$3,Plus!$G$13*Plus!$AR$2/1.16,IF(Plus!$F$10=Plus!$AK$7,0,Plus!$G$13*Plus!$AR$2/1.16)))</f>
        <v>0</v>
      </c>
      <c r="BV159" s="123">
        <f>IF(BZ158&lt;0.01,0,Plus!$BD$2)</f>
        <v>0</v>
      </c>
      <c r="BW159" s="123"/>
      <c r="BX159" s="123">
        <f t="shared" si="321"/>
        <v>0</v>
      </c>
      <c r="BY159" s="123">
        <f>IF(Plus!$F$10=Plus!$AK$3,MIN(BZ158+BQ159+BT159+BU159+BV159-BX159,CJ159),0)</f>
        <v>0</v>
      </c>
      <c r="BZ159" s="297">
        <f t="shared" si="280"/>
        <v>0</v>
      </c>
      <c r="CA159" s="74"/>
      <c r="CB159" s="74"/>
      <c r="CC159" s="413">
        <f t="shared" si="355"/>
        <v>0</v>
      </c>
      <c r="CF159" s="90">
        <f t="shared" si="356"/>
        <v>3</v>
      </c>
      <c r="CG159" s="121">
        <f t="shared" si="409"/>
        <v>0</v>
      </c>
      <c r="CI159" s="70">
        <f t="shared" si="410"/>
        <v>0</v>
      </c>
      <c r="CJ159" s="2178">
        <f t="shared" ca="1" si="357"/>
        <v>0</v>
      </c>
      <c r="CL159" s="161"/>
      <c r="CN159" s="308">
        <f t="shared" ca="1" si="322"/>
        <v>6</v>
      </c>
      <c r="CO159" s="309">
        <f t="shared" si="358"/>
        <v>0</v>
      </c>
      <c r="CP159" s="268">
        <f t="shared" si="323"/>
        <v>0</v>
      </c>
      <c r="CQ159" s="123">
        <f t="shared" si="359"/>
        <v>0</v>
      </c>
      <c r="CR159" s="123">
        <f t="shared" si="289"/>
        <v>0</v>
      </c>
      <c r="CS159" s="123">
        <f t="shared" si="290"/>
        <v>0</v>
      </c>
      <c r="CT159" s="33">
        <f>IF(CZ158&lt;0.01,0,IF(Plus!$F$22=Plus!$AN$4,0,IF(Plus!$F$22=Plus!$AN$3,CZ158*Plus!$F$23/1000,CZ158*VLOOKUP(Plus!$G$21,Plus!$AP$2:'Plus'!$AQ$5,2,0))))</f>
        <v>0</v>
      </c>
      <c r="CU159" s="123">
        <f>IF(CZ158&lt;0.01,0,IF(Plus!$F$24=Plus!$AO$3,0,IF(OR(Plus!$F$10=Plus!$AK$7,Plus!$F$10=Plus!$AK$13),0,Plus!$G$13*Plus!$AR$2)))</f>
        <v>0</v>
      </c>
      <c r="CV159" s="123">
        <f>IF(CZ158&lt;0.01,0,IF(OR(Plus!$F$10=Plus!$AK$7,Plus!$F$10=Plus!$AK$13),0,Plus!$BD$2*1.16))</f>
        <v>0</v>
      </c>
      <c r="CW159" s="123">
        <f>IF(CZ158&lt;0.01,0,IF(Plus!$AS$2&gt;0,CQ159*Plus!$AS$3,0))</f>
        <v>0</v>
      </c>
      <c r="CX159" s="123">
        <f t="shared" si="360"/>
        <v>0</v>
      </c>
      <c r="CY159" s="123">
        <f>IF(Plus!$F$10=Plus!$AK$3,MIN(CZ158+CQ159+CT159+CU159+CV159-CX159,DK159),0)</f>
        <v>0</v>
      </c>
      <c r="CZ159" s="297">
        <f t="shared" si="294"/>
        <v>0</v>
      </c>
      <c r="DA159" s="306">
        <f>Plus!O200</f>
        <v>0</v>
      </c>
      <c r="DB159" s="74"/>
      <c r="DC159" s="74"/>
      <c r="DD159" s="407">
        <f t="shared" si="361"/>
        <v>0</v>
      </c>
      <c r="DG159" s="90">
        <f t="shared" si="362"/>
        <v>3</v>
      </c>
      <c r="DH159" s="121">
        <f t="shared" si="411"/>
        <v>0</v>
      </c>
      <c r="DJ159" s="149">
        <f t="shared" si="412"/>
        <v>0</v>
      </c>
      <c r="DK159" s="2179">
        <f t="shared" ca="1" si="363"/>
        <v>0</v>
      </c>
      <c r="DN159" s="120">
        <f t="shared" si="413"/>
        <v>0</v>
      </c>
      <c r="DO159" s="110">
        <f t="shared" si="364"/>
        <v>0</v>
      </c>
      <c r="DP159" s="110">
        <f t="shared" si="422"/>
        <v>0</v>
      </c>
      <c r="DQ159" s="109">
        <f t="shared" si="365"/>
        <v>0</v>
      </c>
      <c r="DR159" s="109">
        <f t="shared" si="366"/>
        <v>0</v>
      </c>
      <c r="DS159" s="113">
        <f t="shared" si="367"/>
        <v>0</v>
      </c>
      <c r="DU159" s="102">
        <f t="shared" si="368"/>
        <v>0</v>
      </c>
      <c r="DV159" s="211">
        <f t="shared" si="423"/>
        <v>135</v>
      </c>
      <c r="DW159" s="212">
        <f t="shared" si="369"/>
        <v>0</v>
      </c>
      <c r="DX159" s="212">
        <f t="shared" si="324"/>
        <v>0</v>
      </c>
      <c r="DY159" s="212">
        <f t="shared" si="414"/>
        <v>0</v>
      </c>
      <c r="DZ159" s="213">
        <f t="shared" si="325"/>
        <v>1000000</v>
      </c>
      <c r="ED159" s="182"/>
      <c r="EF159" s="308">
        <f t="shared" ca="1" si="326"/>
        <v>6</v>
      </c>
      <c r="EG159" s="309">
        <f t="shared" si="370"/>
        <v>0</v>
      </c>
      <c r="EH159" s="268">
        <f t="shared" si="327"/>
        <v>0</v>
      </c>
      <c r="EI159" s="33">
        <f t="shared" si="371"/>
        <v>0</v>
      </c>
      <c r="EJ159" s="33">
        <f t="shared" si="291"/>
        <v>0</v>
      </c>
      <c r="EK159" s="33">
        <f t="shared" si="297"/>
        <v>0</v>
      </c>
      <c r="EL159" s="33">
        <f>IF(ER158&lt;0.01,0,IF(Plus!$F$22=Plus!$AN$4,0,IF(Plus!$F$22=Plus!$AN$3,ER158*Plus!$F$23/1000,ER158*VLOOKUP(Plus!$G$21,Plus!$AP$2:'Plus'!$AQ$5,2,0))))</f>
        <v>0</v>
      </c>
      <c r="EM159" s="33">
        <f>IF(ER158&lt;0.01,0,IF(Plus!$F$24=Plus!$AO$3,0,IF(OR(Plus!$F$10=Plus!$AK$7,Plus!$F$10=Plus!$AK$13),0,Plus!$G$13*Plus!$AR$2)))</f>
        <v>0</v>
      </c>
      <c r="EN159" s="33">
        <f>IF(ER158&lt;0.01,0,IF(OR(Plus!$F$10=Plus!$AK$7,Plus!$F$10=Plus!$AK$13),0,Plus!$BD$2*1.16))</f>
        <v>0</v>
      </c>
      <c r="EO159" s="33">
        <f>IF(ER158&lt;0.01,0,IF(Plus!$AS$2&gt;0,EI159*Plus!$AS$3,0))</f>
        <v>0</v>
      </c>
      <c r="EP159" s="33">
        <f t="shared" si="372"/>
        <v>0</v>
      </c>
      <c r="EQ159" s="33">
        <f>IF(Plus!$F$10=Plus!$AK$3,MIN(ER158+EI159+EL159+EM159+EN159-EP159,FC159),0)</f>
        <v>0</v>
      </c>
      <c r="ER159" s="311">
        <f t="shared" si="285"/>
        <v>0</v>
      </c>
      <c r="ES159" s="340">
        <f>Plus!O200</f>
        <v>0</v>
      </c>
      <c r="ET159" s="74"/>
      <c r="EU159" s="74"/>
      <c r="EV159" s="416">
        <f t="shared" si="281"/>
        <v>0</v>
      </c>
      <c r="EY159" s="90">
        <f t="shared" si="373"/>
        <v>3</v>
      </c>
      <c r="EZ159" s="121">
        <f t="shared" si="415"/>
        <v>0</v>
      </c>
      <c r="FB159" s="149">
        <f t="shared" si="416"/>
        <v>0</v>
      </c>
      <c r="FC159" s="2179">
        <f t="shared" ca="1" si="374"/>
        <v>0</v>
      </c>
      <c r="FE159" s="120">
        <f t="shared" si="417"/>
        <v>0</v>
      </c>
      <c r="FF159" s="110">
        <f t="shared" si="375"/>
        <v>0</v>
      </c>
      <c r="FG159" s="110">
        <f t="shared" si="376"/>
        <v>0</v>
      </c>
      <c r="FH159" s="109">
        <f t="shared" si="377"/>
        <v>0</v>
      </c>
      <c r="FI159" s="109">
        <f t="shared" si="328"/>
        <v>0</v>
      </c>
      <c r="FJ159" s="113">
        <f t="shared" si="378"/>
        <v>0</v>
      </c>
      <c r="FL159" s="102">
        <f t="shared" si="379"/>
        <v>0</v>
      </c>
      <c r="FM159" s="211">
        <f t="shared" si="424"/>
        <v>135</v>
      </c>
      <c r="FN159" s="212">
        <f t="shared" si="380"/>
        <v>0</v>
      </c>
      <c r="FO159" s="212">
        <f t="shared" si="329"/>
        <v>0</v>
      </c>
      <c r="FP159" s="212">
        <f t="shared" si="426"/>
        <v>0</v>
      </c>
      <c r="FQ159" s="213">
        <f t="shared" si="330"/>
        <v>1000000</v>
      </c>
      <c r="FV159" s="359"/>
      <c r="FX159" s="308">
        <f t="shared" ca="1" si="331"/>
        <v>6</v>
      </c>
      <c r="FY159" s="309">
        <f t="shared" si="381"/>
        <v>0</v>
      </c>
      <c r="FZ159" s="268">
        <f t="shared" si="332"/>
        <v>0</v>
      </c>
      <c r="GA159" s="33">
        <f t="shared" si="382"/>
        <v>0</v>
      </c>
      <c r="GB159" s="33">
        <f t="shared" si="292"/>
        <v>0</v>
      </c>
      <c r="GC159" s="33">
        <f t="shared" si="293"/>
        <v>0</v>
      </c>
      <c r="GD159" s="33">
        <f>IF(GJ158&lt;0.01,0,IF(Plus!$F$22=Plus!$AN$4,0,IF(Plus!$F$22=Plus!$AN$3,GJ158*Plus!$F$23/1000,GJ158*VLOOKUP(Plus!$G$21,Plus!$AP$2:$AQ$5,2,0))))</f>
        <v>0</v>
      </c>
      <c r="GE159" s="33">
        <f>IF(GJ158&lt;0.01,0,IF(Plus!$F$24=Plus!$AO$3,0,IF(OR(Plus!$F$10=Plus!$AK$7,Plus!$F$10=Plus!$AK$13,Plus!$F$10=Plus!$AK$14),0,IF(OR(Plus!$F$10=Plus!$AK$10,Plus!$F$10=Plus!$AK$11),Plus!$G$13*Adm!$W$7,Plus!$G$13*Adm!$X$4))))</f>
        <v>0</v>
      </c>
      <c r="GF159" s="33">
        <f>IF(GJ158&lt;0.01,0,IF(OR(Plus!$F$10=Plus!$AK$7,Plus!$F$10=Plus!$AK$13),0,Plus!$BD$2*1.16))</f>
        <v>0</v>
      </c>
      <c r="GG159" s="33">
        <f>IF(GJ158&lt;0.01,0,IF(Plus!$AS$2&gt;0,GA159*Plus!$AS$3,0))</f>
        <v>0</v>
      </c>
      <c r="GH159" s="33">
        <f t="shared" si="383"/>
        <v>0</v>
      </c>
      <c r="GI159" s="33">
        <f>IF(Plus!$F$10=Plus!$AK$3,MIN(GJ158+GA159+GD159+GE159+GF159-GH159,GU159),0)</f>
        <v>0</v>
      </c>
      <c r="GJ159" s="311">
        <f t="shared" si="286"/>
        <v>0</v>
      </c>
      <c r="GK159" s="340">
        <f>Plus!O200</f>
        <v>0</v>
      </c>
      <c r="GL159" s="74"/>
      <c r="GM159" s="74"/>
      <c r="GN159" s="419">
        <f t="shared" si="283"/>
        <v>0</v>
      </c>
      <c r="GQ159" s="90">
        <f t="shared" si="384"/>
        <v>3</v>
      </c>
      <c r="GR159" s="121">
        <f t="shared" si="418"/>
        <v>0</v>
      </c>
      <c r="GT159" s="149">
        <f t="shared" si="419"/>
        <v>0</v>
      </c>
      <c r="GU159" s="2179">
        <f t="shared" ca="1" si="385"/>
        <v>0</v>
      </c>
      <c r="GW159" s="120">
        <f t="shared" si="420"/>
        <v>0</v>
      </c>
      <c r="GX159" s="110">
        <f t="shared" si="386"/>
        <v>0</v>
      </c>
      <c r="GY159" s="110">
        <f t="shared" si="387"/>
        <v>0</v>
      </c>
      <c r="GZ159" s="109">
        <f t="shared" si="388"/>
        <v>0</v>
      </c>
      <c r="HA159" s="109">
        <f t="shared" si="333"/>
        <v>0</v>
      </c>
      <c r="HB159" s="113">
        <f t="shared" si="389"/>
        <v>0</v>
      </c>
      <c r="HD159" s="102">
        <f t="shared" si="390"/>
        <v>0</v>
      </c>
      <c r="HE159" s="211">
        <f t="shared" si="425"/>
        <v>135</v>
      </c>
      <c r="HF159" s="212">
        <f t="shared" si="391"/>
        <v>0</v>
      </c>
      <c r="HG159" s="212">
        <f t="shared" si="334"/>
        <v>0</v>
      </c>
      <c r="HH159" s="212">
        <f t="shared" si="427"/>
        <v>0</v>
      </c>
      <c r="HI159" s="213">
        <f t="shared" si="335"/>
        <v>1000000</v>
      </c>
      <c r="HL159" s="182"/>
      <c r="HM159" s="26">
        <f t="shared" ca="1" si="336"/>
        <v>6</v>
      </c>
      <c r="HO159" s="268">
        <f t="shared" si="337"/>
        <v>0</v>
      </c>
      <c r="HP159" s="151">
        <f t="shared" si="302"/>
        <v>0</v>
      </c>
      <c r="HQ159" s="123">
        <f t="shared" si="392"/>
        <v>0</v>
      </c>
      <c r="HR159" s="123">
        <f t="shared" si="393"/>
        <v>0</v>
      </c>
      <c r="HS159" s="123">
        <f t="shared" si="394"/>
        <v>0</v>
      </c>
      <c r="HT159" s="123">
        <f>IF(HY158&lt;0.01,0,IF(Adm!$GS$4=Adm!$GS$8,HY158*$HY$15,IF(Adm!$GS$12=Adm!$GS$13,0,HY158*Adm!$GV$4)))</f>
        <v>0</v>
      </c>
      <c r="HU159" s="123">
        <f>IF(HY158&lt;0.01,0,IF(Adm!$GS$5=Adm!$GS$8,Cal!$BO$108*$HY$16/1.16,IF(Adm!$GS$12=Adm!$GS$13,0,Cal!$BO$108*Adm!$GW$4/1.16)))</f>
        <v>0</v>
      </c>
      <c r="HV159" s="123">
        <f t="shared" si="395"/>
        <v>0</v>
      </c>
      <c r="HW159" s="123">
        <f t="shared" si="338"/>
        <v>0</v>
      </c>
      <c r="HX159" s="123">
        <f>IF(Adm!$GH$6="si",MIN(HY158+HQ159+HT159+HU159+HV159-HW159,IH159),0)</f>
        <v>0</v>
      </c>
      <c r="HY159" s="297">
        <f t="shared" si="396"/>
        <v>0</v>
      </c>
      <c r="HZ159" s="74"/>
      <c r="IA159" s="407">
        <f t="shared" si="397"/>
        <v>0</v>
      </c>
      <c r="IC159" s="90">
        <f t="shared" si="398"/>
        <v>3</v>
      </c>
      <c r="ID159" s="124">
        <f>IF(IC159=1,Cal!$BO$127,0)</f>
        <v>0</v>
      </c>
      <c r="IE159" s="178">
        <f>IF(IC159=1,Adm!$HI$4,0)</f>
        <v>0</v>
      </c>
      <c r="IG159" s="70">
        <f t="shared" si="421"/>
        <v>0</v>
      </c>
      <c r="IH159" s="2178">
        <f t="shared" ca="1" si="399"/>
        <v>0</v>
      </c>
      <c r="IK159" s="217"/>
      <c r="IL159" s="26">
        <f t="shared" ca="1" si="339"/>
        <v>6</v>
      </c>
      <c r="IN159" s="268">
        <f t="shared" si="340"/>
        <v>0</v>
      </c>
      <c r="IO159" s="151">
        <f t="shared" si="303"/>
        <v>0</v>
      </c>
      <c r="IP159" s="123">
        <f t="shared" si="400"/>
        <v>0</v>
      </c>
      <c r="IQ159" s="123">
        <f t="shared" si="401"/>
        <v>0</v>
      </c>
      <c r="IR159" s="123">
        <f t="shared" si="402"/>
        <v>0</v>
      </c>
      <c r="IS159" s="123">
        <f>IF(IX158&lt;0.01,0,IF(Adm!$GS$4=Adm!$GS$8,IX158*$IX$15,IF(Adm!$GS$12=Adm!$GS$13,0,IX158*Adm!$GV$4)))</f>
        <v>0</v>
      </c>
      <c r="IT159" s="123"/>
      <c r="IU159" s="123">
        <f t="shared" si="403"/>
        <v>0</v>
      </c>
      <c r="IV159" s="123">
        <f t="shared" si="404"/>
        <v>0</v>
      </c>
      <c r="IW159" s="123"/>
      <c r="IX159" s="297">
        <f t="shared" si="405"/>
        <v>0</v>
      </c>
      <c r="IY159" s="74"/>
      <c r="IZ159" s="416">
        <f t="shared" si="406"/>
        <v>0</v>
      </c>
      <c r="JB159" s="90">
        <f t="shared" si="407"/>
        <v>3</v>
      </c>
      <c r="JC159" s="124">
        <f>IF(JB159=1,Cal!$BP$127,0)</f>
        <v>0</v>
      </c>
      <c r="JD159" s="178">
        <f>IF(JB159=1,Adm!$HI$4,0)</f>
        <v>0</v>
      </c>
    </row>
    <row r="160" spans="1:264">
      <c r="A160" s="26">
        <f t="shared" ca="1" si="308"/>
        <v>7</v>
      </c>
      <c r="C160" s="33">
        <f t="shared" si="309"/>
        <v>0</v>
      </c>
      <c r="D160" s="123">
        <f t="shared" si="341"/>
        <v>0</v>
      </c>
      <c r="E160" s="123">
        <f t="shared" si="287"/>
        <v>0</v>
      </c>
      <c r="F160" s="123">
        <f t="shared" si="295"/>
        <v>0</v>
      </c>
      <c r="G160" s="123">
        <f>IF(L159&lt;0.01,0,IF(Adm!$S$4=Adm!$S$8,L159*$L$15,L159*Adm!$V$4))</f>
        <v>0</v>
      </c>
      <c r="H160" s="123">
        <f>IF(L159&lt;0.01,0,IF(Adm!$S$5=Adm!$S$8,Adm!$AA$11*$L$16/1.16,IF(Adm!$B$4=Adm!$A$119,0,Adm!$AA$11*Adm!$X$4/1.16)))</f>
        <v>0</v>
      </c>
      <c r="I160" s="123">
        <f>IF(L159&lt;0.01,0,Cal!$AB$126/1.16)</f>
        <v>0</v>
      </c>
      <c r="J160" s="123">
        <f t="shared" si="310"/>
        <v>0</v>
      </c>
      <c r="K160" s="123">
        <f>IF(Adm!$G$4="si",MIN(L159+D160+G160+H160+I160-J160,V160),0)</f>
        <v>0</v>
      </c>
      <c r="L160" s="123">
        <f t="shared" si="342"/>
        <v>0</v>
      </c>
      <c r="M160" s="74"/>
      <c r="N160" s="74"/>
      <c r="O160" s="407">
        <f t="shared" si="343"/>
        <v>0</v>
      </c>
      <c r="R160" s="90">
        <f t="shared" si="344"/>
        <v>4</v>
      </c>
      <c r="S160" s="121">
        <f>IF(R160=1,Cal!$AB$127,0)</f>
        <v>0</v>
      </c>
      <c r="U160" s="70">
        <f t="shared" si="408"/>
        <v>0</v>
      </c>
      <c r="V160" s="2178">
        <f t="shared" ca="1" si="345"/>
        <v>0</v>
      </c>
      <c r="X160" s="398"/>
      <c r="Z160" s="268">
        <f t="shared" si="311"/>
        <v>0</v>
      </c>
      <c r="AA160" s="2176">
        <f t="shared" si="346"/>
        <v>0</v>
      </c>
      <c r="AB160" s="33">
        <f t="shared" si="347"/>
        <v>0</v>
      </c>
      <c r="AC160" s="33">
        <f t="shared" si="348"/>
        <v>0</v>
      </c>
      <c r="AD160" s="33">
        <f>IF(AI159&lt;0.01,0,IF(Adm!$S$4=Adm!$S$8,AI159*$AI$15,AI159*Adm!$V$4))</f>
        <v>0</v>
      </c>
      <c r="AE160" s="33"/>
      <c r="AF160" s="33"/>
      <c r="AG160" s="33">
        <f t="shared" si="312"/>
        <v>0</v>
      </c>
      <c r="AH160" s="33"/>
      <c r="AI160" s="401">
        <f t="shared" si="313"/>
        <v>0</v>
      </c>
      <c r="AK160" s="410">
        <f t="shared" si="314"/>
        <v>0</v>
      </c>
      <c r="AN160" s="90">
        <f t="shared" si="349"/>
        <v>4</v>
      </c>
      <c r="AO160" s="121">
        <f>IF(AN160=1,Cal!$AC$127,0)</f>
        <v>0</v>
      </c>
      <c r="AS160" s="200"/>
      <c r="AU160" s="268">
        <f t="shared" si="315"/>
        <v>0</v>
      </c>
      <c r="AV160" s="2177">
        <f t="shared" si="350"/>
        <v>0</v>
      </c>
      <c r="AW160" s="123">
        <f t="shared" si="316"/>
        <v>0</v>
      </c>
      <c r="AX160" s="123">
        <f t="shared" si="351"/>
        <v>0</v>
      </c>
      <c r="AY160" s="123">
        <f>IF(BC159&lt;0.01,0,IF(Adm!$S$4=Adm!$S$8,BC159*$BC$16,BC159*Adm!$V$4))</f>
        <v>0</v>
      </c>
      <c r="AZ160" s="123"/>
      <c r="BA160" s="123">
        <f>IF(BC159&lt;0.01,0,Adm!$Q$6)</f>
        <v>0</v>
      </c>
      <c r="BB160" s="123">
        <f t="shared" si="317"/>
        <v>0</v>
      </c>
      <c r="BC160" s="297">
        <f t="shared" si="352"/>
        <v>0</v>
      </c>
      <c r="BE160" s="425">
        <f t="shared" si="318"/>
        <v>0</v>
      </c>
      <c r="BH160" s="90">
        <f t="shared" si="353"/>
        <v>4</v>
      </c>
      <c r="BI160" s="121">
        <f>IF(BH160=1,Cal!$AD$127,0)</f>
        <v>0</v>
      </c>
      <c r="BM160" s="221"/>
      <c r="BO160" s="295">
        <f t="shared" ca="1" si="319"/>
        <v>7</v>
      </c>
      <c r="BP160" s="268">
        <f t="shared" si="320"/>
        <v>0</v>
      </c>
      <c r="BQ160" s="123">
        <f t="shared" si="354"/>
        <v>0</v>
      </c>
      <c r="BR160" s="123">
        <f t="shared" si="288"/>
        <v>0</v>
      </c>
      <c r="BS160" s="123">
        <f t="shared" si="296"/>
        <v>0</v>
      </c>
      <c r="BT160" s="123">
        <f>IF(BZ159&lt;0.01,0,IF(Plus!$F$22=Plus!$AN$4,BZ159*$BZ$15,IF(Plus!$F$22=Plus!$AN$3,BZ159*Plus!$F$23/1000,BZ159*VLOOKUP(Plus!$G$21,Plus!$AP$2:'Plus'!$AQ$5,2,0))))</f>
        <v>0</v>
      </c>
      <c r="BU160" s="123">
        <f>IF(BZ159&lt;0.01,0,IF(Plus!$F$24=Plus!$AO$3,Plus!$G$13*Plus!$AR$2/1.16,IF(Plus!$F$10=Plus!$AK$7,0,Plus!$G$13*Plus!$AR$2/1.16)))</f>
        <v>0</v>
      </c>
      <c r="BV160" s="123">
        <f>IF(BZ159&lt;0.01,0,Plus!$BD$2)</f>
        <v>0</v>
      </c>
      <c r="BW160" s="123"/>
      <c r="BX160" s="123">
        <f t="shared" si="321"/>
        <v>0</v>
      </c>
      <c r="BY160" s="123">
        <f>IF(Plus!$F$10=Plus!$AK$3,MIN(BZ159+BQ160+BT160+BU160+BV160-BX160,CJ160),0)</f>
        <v>0</v>
      </c>
      <c r="BZ160" s="297">
        <f t="shared" si="280"/>
        <v>0</v>
      </c>
      <c r="CA160" s="74"/>
      <c r="CB160" s="74"/>
      <c r="CC160" s="413">
        <f t="shared" si="355"/>
        <v>0</v>
      </c>
      <c r="CF160" s="90">
        <f t="shared" si="356"/>
        <v>4</v>
      </c>
      <c r="CG160" s="121">
        <f t="shared" si="409"/>
        <v>0</v>
      </c>
      <c r="CI160" s="70">
        <f t="shared" si="410"/>
        <v>0</v>
      </c>
      <c r="CJ160" s="2178">
        <f t="shared" ca="1" si="357"/>
        <v>0</v>
      </c>
      <c r="CL160" s="161"/>
      <c r="CN160" s="308">
        <f t="shared" ca="1" si="322"/>
        <v>7</v>
      </c>
      <c r="CO160" s="309">
        <f t="shared" si="358"/>
        <v>0</v>
      </c>
      <c r="CP160" s="268">
        <f t="shared" si="323"/>
        <v>0</v>
      </c>
      <c r="CQ160" s="123">
        <f t="shared" si="359"/>
        <v>0</v>
      </c>
      <c r="CR160" s="123">
        <f t="shared" si="289"/>
        <v>0</v>
      </c>
      <c r="CS160" s="123">
        <f t="shared" si="290"/>
        <v>0</v>
      </c>
      <c r="CT160" s="33">
        <f>IF(CZ159&lt;0.01,0,IF(Plus!$F$22=Plus!$AN$4,0,IF(Plus!$F$22=Plus!$AN$3,CZ159*Plus!$F$23/1000,CZ159*VLOOKUP(Plus!$G$21,Plus!$AP$2:'Plus'!$AQ$5,2,0))))</f>
        <v>0</v>
      </c>
      <c r="CU160" s="123">
        <f>IF(CZ159&lt;0.01,0,IF(Plus!$F$24=Plus!$AO$3,0,IF(OR(Plus!$F$10=Plus!$AK$7,Plus!$F$10=Plus!$AK$13),0,Plus!$G$13*Plus!$AR$2)))</f>
        <v>0</v>
      </c>
      <c r="CV160" s="123">
        <f>IF(CZ159&lt;0.01,0,IF(OR(Plus!$F$10=Plus!$AK$7,Plus!$F$10=Plus!$AK$13),0,Plus!$BD$2*1.16))</f>
        <v>0</v>
      </c>
      <c r="CW160" s="123">
        <f>IF(CZ159&lt;0.01,0,IF(Plus!$AS$2&gt;0,CQ160*Plus!$AS$3,0))</f>
        <v>0</v>
      </c>
      <c r="CX160" s="123">
        <f t="shared" si="360"/>
        <v>0</v>
      </c>
      <c r="CY160" s="123">
        <f>IF(Plus!$F$10=Plus!$AK$3,MIN(CZ159+CQ160+CT160+CU160+CV160-CX160,DK160),0)</f>
        <v>0</v>
      </c>
      <c r="CZ160" s="297">
        <f t="shared" si="294"/>
        <v>0</v>
      </c>
      <c r="DA160" s="306">
        <f>Plus!O201</f>
        <v>0</v>
      </c>
      <c r="DB160" s="74"/>
      <c r="DC160" s="74"/>
      <c r="DD160" s="407">
        <f t="shared" si="361"/>
        <v>0</v>
      </c>
      <c r="DG160" s="90">
        <f t="shared" si="362"/>
        <v>4</v>
      </c>
      <c r="DH160" s="121">
        <f t="shared" si="411"/>
        <v>0</v>
      </c>
      <c r="DJ160" s="149">
        <f t="shared" si="412"/>
        <v>0</v>
      </c>
      <c r="DK160" s="2179">
        <f t="shared" ca="1" si="363"/>
        <v>0</v>
      </c>
      <c r="DN160" s="120">
        <f t="shared" si="413"/>
        <v>0</v>
      </c>
      <c r="DO160" s="110">
        <f t="shared" si="364"/>
        <v>0</v>
      </c>
      <c r="DP160" s="110">
        <f t="shared" si="422"/>
        <v>0</v>
      </c>
      <c r="DQ160" s="109">
        <f t="shared" si="365"/>
        <v>0</v>
      </c>
      <c r="DR160" s="109">
        <f t="shared" si="366"/>
        <v>0</v>
      </c>
      <c r="DS160" s="113">
        <f t="shared" si="367"/>
        <v>0</v>
      </c>
      <c r="DU160" s="102">
        <f t="shared" si="368"/>
        <v>0</v>
      </c>
      <c r="DV160" s="211">
        <f t="shared" si="423"/>
        <v>136</v>
      </c>
      <c r="DW160" s="212">
        <f t="shared" si="369"/>
        <v>0</v>
      </c>
      <c r="DX160" s="212">
        <f t="shared" si="324"/>
        <v>0</v>
      </c>
      <c r="DY160" s="212">
        <f t="shared" si="414"/>
        <v>0</v>
      </c>
      <c r="DZ160" s="213">
        <f t="shared" si="325"/>
        <v>1000000</v>
      </c>
      <c r="ED160" s="182"/>
      <c r="EF160" s="308">
        <f t="shared" ca="1" si="326"/>
        <v>7</v>
      </c>
      <c r="EG160" s="309">
        <f t="shared" si="370"/>
        <v>0</v>
      </c>
      <c r="EH160" s="268">
        <f t="shared" si="327"/>
        <v>0</v>
      </c>
      <c r="EI160" s="33">
        <f t="shared" si="371"/>
        <v>0</v>
      </c>
      <c r="EJ160" s="33">
        <f t="shared" si="291"/>
        <v>0</v>
      </c>
      <c r="EK160" s="33">
        <f t="shared" si="297"/>
        <v>0</v>
      </c>
      <c r="EL160" s="33">
        <f>IF(ER159&lt;0.01,0,IF(Plus!$F$22=Plus!$AN$4,0,IF(Plus!$F$22=Plus!$AN$3,ER159*Plus!$F$23/1000,ER159*VLOOKUP(Plus!$G$21,Plus!$AP$2:'Plus'!$AQ$5,2,0))))</f>
        <v>0</v>
      </c>
      <c r="EM160" s="33">
        <f>IF(ER159&lt;0.01,0,IF(Plus!$F$24=Plus!$AO$3,0,IF(OR(Plus!$F$10=Plus!$AK$7,Plus!$F$10=Plus!$AK$13),0,Plus!$G$13*Plus!$AR$2)))</f>
        <v>0</v>
      </c>
      <c r="EN160" s="33">
        <f>IF(ER159&lt;0.01,0,IF(OR(Plus!$F$10=Plus!$AK$7,Plus!$F$10=Plus!$AK$13),0,Plus!$BD$2*1.16))</f>
        <v>0</v>
      </c>
      <c r="EO160" s="33">
        <f>IF(ER159&lt;0.01,0,IF(Plus!$AS$2&gt;0,EI160*Plus!$AS$3,0))</f>
        <v>0</v>
      </c>
      <c r="EP160" s="33">
        <f t="shared" si="372"/>
        <v>0</v>
      </c>
      <c r="EQ160" s="33">
        <f>IF(Plus!$F$10=Plus!$AK$3,MIN(ER159+EI160+EL160+EM160+EN160-EP160,FC160),0)</f>
        <v>0</v>
      </c>
      <c r="ER160" s="311">
        <f t="shared" si="285"/>
        <v>0</v>
      </c>
      <c r="ES160" s="340">
        <f>Plus!O201</f>
        <v>0</v>
      </c>
      <c r="ET160" s="74"/>
      <c r="EU160" s="74"/>
      <c r="EV160" s="416">
        <f t="shared" si="281"/>
        <v>0</v>
      </c>
      <c r="EY160" s="90">
        <f t="shared" si="373"/>
        <v>4</v>
      </c>
      <c r="EZ160" s="121">
        <f t="shared" si="415"/>
        <v>0</v>
      </c>
      <c r="FB160" s="149">
        <f t="shared" si="416"/>
        <v>0</v>
      </c>
      <c r="FC160" s="2179">
        <f t="shared" ca="1" si="374"/>
        <v>0</v>
      </c>
      <c r="FE160" s="120">
        <f t="shared" si="417"/>
        <v>0</v>
      </c>
      <c r="FF160" s="110">
        <f t="shared" si="375"/>
        <v>0</v>
      </c>
      <c r="FG160" s="110">
        <f t="shared" si="376"/>
        <v>0</v>
      </c>
      <c r="FH160" s="109">
        <f t="shared" si="377"/>
        <v>0</v>
      </c>
      <c r="FI160" s="109">
        <f t="shared" si="328"/>
        <v>0</v>
      </c>
      <c r="FJ160" s="113">
        <f t="shared" si="378"/>
        <v>0</v>
      </c>
      <c r="FL160" s="102">
        <f t="shared" si="379"/>
        <v>0</v>
      </c>
      <c r="FM160" s="211">
        <f t="shared" si="424"/>
        <v>136</v>
      </c>
      <c r="FN160" s="212">
        <f t="shared" si="380"/>
        <v>0</v>
      </c>
      <c r="FO160" s="212">
        <f t="shared" si="329"/>
        <v>0</v>
      </c>
      <c r="FP160" s="212">
        <f t="shared" si="426"/>
        <v>0</v>
      </c>
      <c r="FQ160" s="213">
        <f t="shared" si="330"/>
        <v>1000000</v>
      </c>
      <c r="FV160" s="359"/>
      <c r="FX160" s="308">
        <f t="shared" ca="1" si="331"/>
        <v>7</v>
      </c>
      <c r="FY160" s="309">
        <f t="shared" si="381"/>
        <v>0</v>
      </c>
      <c r="FZ160" s="268">
        <f t="shared" si="332"/>
        <v>0</v>
      </c>
      <c r="GA160" s="33">
        <f t="shared" si="382"/>
        <v>0</v>
      </c>
      <c r="GB160" s="33">
        <f t="shared" si="292"/>
        <v>0</v>
      </c>
      <c r="GC160" s="33">
        <f t="shared" si="293"/>
        <v>0</v>
      </c>
      <c r="GD160" s="33">
        <f>IF(GJ159&lt;0.01,0,IF(Plus!$F$22=Plus!$AN$4,0,IF(Plus!$F$22=Plus!$AN$3,GJ159*Plus!$F$23/1000,GJ159*VLOOKUP(Plus!$G$21,Plus!$AP$2:$AQ$5,2,0))))</f>
        <v>0</v>
      </c>
      <c r="GE160" s="33">
        <f>IF(GJ159&lt;0.01,0,IF(Plus!$F$24=Plus!$AO$3,0,IF(OR(Plus!$F$10=Plus!$AK$7,Plus!$F$10=Plus!$AK$13,Plus!$F$10=Plus!$AK$14),0,IF(OR(Plus!$F$10=Plus!$AK$10,Plus!$F$10=Plus!$AK$11),Plus!$G$13*Adm!$W$7,Plus!$G$13*Adm!$X$4))))</f>
        <v>0</v>
      </c>
      <c r="GF160" s="33">
        <f>IF(GJ159&lt;0.01,0,IF(OR(Plus!$F$10=Plus!$AK$7,Plus!$F$10=Plus!$AK$13),0,Plus!$BD$2*1.16))</f>
        <v>0</v>
      </c>
      <c r="GG160" s="33">
        <f>IF(GJ159&lt;0.01,0,IF(Plus!$AS$2&gt;0,GA160*Plus!$AS$3,0))</f>
        <v>0</v>
      </c>
      <c r="GH160" s="33">
        <f t="shared" si="383"/>
        <v>0</v>
      </c>
      <c r="GI160" s="33">
        <f>IF(Plus!$F$10=Plus!$AK$3,MIN(GJ159+GA160+GD160+GE160+GF160-GH160,GU160),0)</f>
        <v>0</v>
      </c>
      <c r="GJ160" s="311">
        <f t="shared" si="286"/>
        <v>0</v>
      </c>
      <c r="GK160" s="340">
        <f>Plus!O201</f>
        <v>0</v>
      </c>
      <c r="GL160" s="74"/>
      <c r="GM160" s="74"/>
      <c r="GN160" s="419">
        <f t="shared" si="283"/>
        <v>0</v>
      </c>
      <c r="GQ160" s="90">
        <f t="shared" si="384"/>
        <v>4</v>
      </c>
      <c r="GR160" s="121">
        <f t="shared" si="418"/>
        <v>0</v>
      </c>
      <c r="GT160" s="149">
        <f t="shared" si="419"/>
        <v>0</v>
      </c>
      <c r="GU160" s="2179">
        <f t="shared" ca="1" si="385"/>
        <v>0</v>
      </c>
      <c r="GW160" s="120">
        <f t="shared" si="420"/>
        <v>0</v>
      </c>
      <c r="GX160" s="110">
        <f t="shared" si="386"/>
        <v>0</v>
      </c>
      <c r="GY160" s="110">
        <f t="shared" si="387"/>
        <v>0</v>
      </c>
      <c r="GZ160" s="109">
        <f t="shared" si="388"/>
        <v>0</v>
      </c>
      <c r="HA160" s="109">
        <f t="shared" si="333"/>
        <v>0</v>
      </c>
      <c r="HB160" s="113">
        <f t="shared" si="389"/>
        <v>0</v>
      </c>
      <c r="HD160" s="102">
        <f t="shared" si="390"/>
        <v>0</v>
      </c>
      <c r="HE160" s="211">
        <f t="shared" si="425"/>
        <v>136</v>
      </c>
      <c r="HF160" s="212">
        <f t="shared" si="391"/>
        <v>0</v>
      </c>
      <c r="HG160" s="212">
        <f t="shared" si="334"/>
        <v>0</v>
      </c>
      <c r="HH160" s="212">
        <f t="shared" si="427"/>
        <v>0</v>
      </c>
      <c r="HI160" s="213">
        <f t="shared" si="335"/>
        <v>1000000</v>
      </c>
      <c r="HL160" s="182"/>
      <c r="HM160" s="26">
        <f t="shared" ca="1" si="336"/>
        <v>7</v>
      </c>
      <c r="HO160" s="268">
        <f t="shared" si="337"/>
        <v>0</v>
      </c>
      <c r="HP160" s="151">
        <f t="shared" si="302"/>
        <v>0</v>
      </c>
      <c r="HQ160" s="123">
        <f t="shared" si="392"/>
        <v>0</v>
      </c>
      <c r="HR160" s="123">
        <f t="shared" si="393"/>
        <v>0</v>
      </c>
      <c r="HS160" s="123">
        <f t="shared" si="394"/>
        <v>0</v>
      </c>
      <c r="HT160" s="123">
        <f>IF(HY159&lt;0.01,0,IF(Adm!$GS$4=Adm!$GS$8,HY159*$HY$15,IF(Adm!$GS$12=Adm!$GS$13,0,HY159*Adm!$GV$4)))</f>
        <v>0</v>
      </c>
      <c r="HU160" s="123">
        <f>IF(HY159&lt;0.01,0,IF(Adm!$GS$5=Adm!$GS$8,Cal!$BO$108*$HY$16/1.16,IF(Adm!$GS$12=Adm!$GS$13,0,Cal!$BO$108*Adm!$GW$4/1.16)))</f>
        <v>0</v>
      </c>
      <c r="HV160" s="123">
        <f t="shared" si="395"/>
        <v>0</v>
      </c>
      <c r="HW160" s="123">
        <f t="shared" si="338"/>
        <v>0</v>
      </c>
      <c r="HX160" s="123">
        <f>IF(Adm!$GH$6="si",MIN(HY159+HQ160+HT160+HU160+HV160-HW160,IH160),0)</f>
        <v>0</v>
      </c>
      <c r="HY160" s="297">
        <f t="shared" si="396"/>
        <v>0</v>
      </c>
      <c r="HZ160" s="74"/>
      <c r="IA160" s="407">
        <f t="shared" si="397"/>
        <v>0</v>
      </c>
      <c r="IC160" s="90">
        <f t="shared" si="398"/>
        <v>4</v>
      </c>
      <c r="ID160" s="124">
        <f>IF(IC160=1,Cal!$BO$127,0)</f>
        <v>0</v>
      </c>
      <c r="IE160" s="178">
        <f>IF(IC160=1,Adm!$HI$4,0)</f>
        <v>0</v>
      </c>
      <c r="IG160" s="70">
        <f t="shared" si="421"/>
        <v>0</v>
      </c>
      <c r="IH160" s="2178">
        <f t="shared" ca="1" si="399"/>
        <v>0</v>
      </c>
      <c r="IK160" s="217"/>
      <c r="IL160" s="26">
        <f t="shared" ca="1" si="339"/>
        <v>7</v>
      </c>
      <c r="IN160" s="268">
        <f t="shared" si="340"/>
        <v>0</v>
      </c>
      <c r="IO160" s="151">
        <f t="shared" si="303"/>
        <v>0</v>
      </c>
      <c r="IP160" s="123">
        <f t="shared" si="400"/>
        <v>0</v>
      </c>
      <c r="IQ160" s="123">
        <f t="shared" si="401"/>
        <v>0</v>
      </c>
      <c r="IR160" s="123">
        <f t="shared" si="402"/>
        <v>0</v>
      </c>
      <c r="IS160" s="123">
        <f>IF(IX159&lt;0.01,0,IF(Adm!$GS$4=Adm!$GS$8,IX159*$IX$15,IF(Adm!$GS$12=Adm!$GS$13,0,IX159*Adm!$GV$4)))</f>
        <v>0</v>
      </c>
      <c r="IT160" s="123"/>
      <c r="IU160" s="123">
        <f t="shared" si="403"/>
        <v>0</v>
      </c>
      <c r="IV160" s="123">
        <f t="shared" si="404"/>
        <v>0</v>
      </c>
      <c r="IW160" s="123"/>
      <c r="IX160" s="297">
        <f t="shared" si="405"/>
        <v>0</v>
      </c>
      <c r="IY160" s="74"/>
      <c r="IZ160" s="416">
        <f t="shared" si="406"/>
        <v>0</v>
      </c>
      <c r="JB160" s="90">
        <f t="shared" si="407"/>
        <v>4</v>
      </c>
      <c r="JC160" s="124">
        <f>IF(JB160=1,Cal!$BP$127,0)</f>
        <v>0</v>
      </c>
      <c r="JD160" s="178">
        <f>IF(JB160=1,Adm!$HI$4,0)</f>
        <v>0</v>
      </c>
    </row>
    <row r="161" spans="1:264">
      <c r="A161" s="26">
        <f t="shared" ca="1" si="308"/>
        <v>8</v>
      </c>
      <c r="C161" s="33">
        <f t="shared" si="309"/>
        <v>0</v>
      </c>
      <c r="D161" s="123">
        <f t="shared" si="341"/>
        <v>0</v>
      </c>
      <c r="E161" s="123">
        <f t="shared" si="287"/>
        <v>0</v>
      </c>
      <c r="F161" s="123">
        <f t="shared" si="295"/>
        <v>0</v>
      </c>
      <c r="G161" s="123">
        <f>IF(L160&lt;0.01,0,IF(Adm!$S$4=Adm!$S$8,L160*$L$15,L160*Adm!$V$4))</f>
        <v>0</v>
      </c>
      <c r="H161" s="123">
        <f>IF(L160&lt;0.01,0,IF(Adm!$S$5=Adm!$S$8,Adm!$AA$11*$L$16/1.16,IF(Adm!$B$4=Adm!$A$119,0,Adm!$AA$11*Adm!$X$4/1.16)))</f>
        <v>0</v>
      </c>
      <c r="I161" s="123">
        <f>IF(L160&lt;0.01,0,Cal!$AB$126/1.16)</f>
        <v>0</v>
      </c>
      <c r="J161" s="123">
        <f t="shared" si="310"/>
        <v>0</v>
      </c>
      <c r="K161" s="123">
        <f>IF(Adm!$G$4="si",MIN(L160+D161+G161+H161+I161-J161,V161),0)</f>
        <v>0</v>
      </c>
      <c r="L161" s="123">
        <f t="shared" si="342"/>
        <v>0</v>
      </c>
      <c r="M161" s="74"/>
      <c r="N161" s="74"/>
      <c r="O161" s="407">
        <f t="shared" si="343"/>
        <v>0</v>
      </c>
      <c r="R161" s="90">
        <f t="shared" si="344"/>
        <v>5</v>
      </c>
      <c r="S161" s="121">
        <f>IF(R161=1,Cal!$AB$127,0)</f>
        <v>0</v>
      </c>
      <c r="U161" s="70">
        <f t="shared" si="408"/>
        <v>0</v>
      </c>
      <c r="V161" s="2178">
        <f t="shared" ca="1" si="345"/>
        <v>0</v>
      </c>
      <c r="X161" s="398"/>
      <c r="Z161" s="268">
        <f t="shared" si="311"/>
        <v>0</v>
      </c>
      <c r="AA161" s="2176">
        <f t="shared" si="346"/>
        <v>0</v>
      </c>
      <c r="AB161" s="33">
        <f t="shared" si="347"/>
        <v>0</v>
      </c>
      <c r="AC161" s="33">
        <f t="shared" si="348"/>
        <v>0</v>
      </c>
      <c r="AD161" s="33">
        <f>IF(AI160&lt;0.01,0,IF(Adm!$S$4=Adm!$S$8,AI160*$AI$15,AI160*Adm!$V$4))</f>
        <v>0</v>
      </c>
      <c r="AE161" s="33"/>
      <c r="AF161" s="33"/>
      <c r="AG161" s="33">
        <f t="shared" si="312"/>
        <v>0</v>
      </c>
      <c r="AH161" s="33"/>
      <c r="AI161" s="401">
        <f t="shared" si="313"/>
        <v>0</v>
      </c>
      <c r="AK161" s="410">
        <f t="shared" si="314"/>
        <v>0</v>
      </c>
      <c r="AN161" s="90">
        <f t="shared" si="349"/>
        <v>5</v>
      </c>
      <c r="AO161" s="121">
        <f>IF(AN161=1,Cal!$AC$127,0)</f>
        <v>0</v>
      </c>
      <c r="AS161" s="200"/>
      <c r="AU161" s="268">
        <f t="shared" si="315"/>
        <v>0</v>
      </c>
      <c r="AV161" s="2177">
        <f t="shared" si="350"/>
        <v>0</v>
      </c>
      <c r="AW161" s="123">
        <f t="shared" si="316"/>
        <v>0</v>
      </c>
      <c r="AX161" s="123">
        <f t="shared" si="351"/>
        <v>0</v>
      </c>
      <c r="AY161" s="123">
        <f>IF(BC160&lt;0.01,0,IF(Adm!$S$4=Adm!$S$8,BC160*$BC$16,BC160*Adm!$V$4))</f>
        <v>0</v>
      </c>
      <c r="AZ161" s="123"/>
      <c r="BA161" s="123">
        <f>IF(BC160&lt;0.01,0,Adm!$Q$6)</f>
        <v>0</v>
      </c>
      <c r="BB161" s="123">
        <f t="shared" si="317"/>
        <v>0</v>
      </c>
      <c r="BC161" s="297">
        <f t="shared" si="352"/>
        <v>0</v>
      </c>
      <c r="BE161" s="425">
        <f t="shared" si="318"/>
        <v>0</v>
      </c>
      <c r="BH161" s="90">
        <f t="shared" si="353"/>
        <v>5</v>
      </c>
      <c r="BI161" s="121">
        <f>IF(BH161=1,Cal!$AD$127,0)</f>
        <v>0</v>
      </c>
      <c r="BM161" s="221"/>
      <c r="BO161" s="295">
        <f t="shared" ca="1" si="319"/>
        <v>8</v>
      </c>
      <c r="BP161" s="268">
        <f t="shared" si="320"/>
        <v>0</v>
      </c>
      <c r="BQ161" s="123">
        <f t="shared" si="354"/>
        <v>0</v>
      </c>
      <c r="BR161" s="123">
        <f t="shared" si="288"/>
        <v>0</v>
      </c>
      <c r="BS161" s="123">
        <f t="shared" si="296"/>
        <v>0</v>
      </c>
      <c r="BT161" s="123">
        <f>IF(BZ160&lt;0.01,0,IF(Plus!$F$22=Plus!$AN$4,BZ160*$BZ$15,IF(Plus!$F$22=Plus!$AN$3,BZ160*Plus!$F$23/1000,BZ160*VLOOKUP(Plus!$G$21,Plus!$AP$2:'Plus'!$AQ$5,2,0))))</f>
        <v>0</v>
      </c>
      <c r="BU161" s="123">
        <f>IF(BZ160&lt;0.01,0,IF(Plus!$F$24=Plus!$AO$3,Plus!$G$13*Plus!$AR$2/1.16,IF(Plus!$F$10=Plus!$AK$7,0,Plus!$G$13*Plus!$AR$2/1.16)))</f>
        <v>0</v>
      </c>
      <c r="BV161" s="123">
        <f>IF(BZ160&lt;0.01,0,Plus!$BD$2)</f>
        <v>0</v>
      </c>
      <c r="BW161" s="123"/>
      <c r="BX161" s="123">
        <f t="shared" si="321"/>
        <v>0</v>
      </c>
      <c r="BY161" s="123">
        <f>IF(Plus!$F$10=Plus!$AK$3,MIN(BZ160+BQ161+BT161+BU161+BV161-BX161,CJ161),0)</f>
        <v>0</v>
      </c>
      <c r="BZ161" s="297">
        <f t="shared" si="280"/>
        <v>0</v>
      </c>
      <c r="CA161" s="74"/>
      <c r="CB161" s="74"/>
      <c r="CC161" s="413">
        <f t="shared" si="355"/>
        <v>0</v>
      </c>
      <c r="CF161" s="90">
        <f t="shared" si="356"/>
        <v>5</v>
      </c>
      <c r="CG161" s="121">
        <f t="shared" si="409"/>
        <v>0</v>
      </c>
      <c r="CI161" s="70">
        <f t="shared" si="410"/>
        <v>0</v>
      </c>
      <c r="CJ161" s="2178">
        <f t="shared" ca="1" si="357"/>
        <v>0</v>
      </c>
      <c r="CL161" s="161"/>
      <c r="CN161" s="308">
        <f t="shared" ca="1" si="322"/>
        <v>8</v>
      </c>
      <c r="CO161" s="309">
        <f t="shared" si="358"/>
        <v>0</v>
      </c>
      <c r="CP161" s="268">
        <f t="shared" si="323"/>
        <v>0</v>
      </c>
      <c r="CQ161" s="123">
        <f t="shared" si="359"/>
        <v>0</v>
      </c>
      <c r="CR161" s="123">
        <f t="shared" si="289"/>
        <v>0</v>
      </c>
      <c r="CS161" s="123">
        <f t="shared" si="290"/>
        <v>0</v>
      </c>
      <c r="CT161" s="33">
        <f>IF(CZ160&lt;0.01,0,IF(Plus!$F$22=Plus!$AN$4,0,IF(Plus!$F$22=Plus!$AN$3,CZ160*Plus!$F$23/1000,CZ160*VLOOKUP(Plus!$G$21,Plus!$AP$2:'Plus'!$AQ$5,2,0))))</f>
        <v>0</v>
      </c>
      <c r="CU161" s="123">
        <f>IF(CZ160&lt;0.01,0,IF(Plus!$F$24=Plus!$AO$3,0,IF(OR(Plus!$F$10=Plus!$AK$7,Plus!$F$10=Plus!$AK$13),0,Plus!$G$13*Plus!$AR$2)))</f>
        <v>0</v>
      </c>
      <c r="CV161" s="123">
        <f>IF(CZ160&lt;0.01,0,IF(OR(Plus!$F$10=Plus!$AK$7,Plus!$F$10=Plus!$AK$13),0,Plus!$BD$2*1.16))</f>
        <v>0</v>
      </c>
      <c r="CW161" s="123">
        <f>IF(CZ160&lt;0.01,0,IF(Plus!$AS$2&gt;0,CQ161*Plus!$AS$3,0))</f>
        <v>0</v>
      </c>
      <c r="CX161" s="123">
        <f t="shared" si="360"/>
        <v>0</v>
      </c>
      <c r="CY161" s="123">
        <f>IF(Plus!$F$10=Plus!$AK$3,MIN(CZ160+CQ161+CT161+CU161+CV161-CX161,DK161),0)</f>
        <v>0</v>
      </c>
      <c r="CZ161" s="297">
        <f t="shared" si="294"/>
        <v>0</v>
      </c>
      <c r="DA161" s="306">
        <f>Plus!O202</f>
        <v>0</v>
      </c>
      <c r="DB161" s="74"/>
      <c r="DC161" s="74"/>
      <c r="DD161" s="407">
        <f t="shared" si="361"/>
        <v>0</v>
      </c>
      <c r="DG161" s="90">
        <f t="shared" si="362"/>
        <v>5</v>
      </c>
      <c r="DH161" s="121">
        <f t="shared" si="411"/>
        <v>0</v>
      </c>
      <c r="DJ161" s="149">
        <f t="shared" si="412"/>
        <v>0</v>
      </c>
      <c r="DK161" s="2179">
        <f t="shared" ca="1" si="363"/>
        <v>0</v>
      </c>
      <c r="DN161" s="120">
        <f t="shared" si="413"/>
        <v>0</v>
      </c>
      <c r="DO161" s="110">
        <f t="shared" si="364"/>
        <v>0</v>
      </c>
      <c r="DP161" s="110">
        <f t="shared" si="422"/>
        <v>0</v>
      </c>
      <c r="DQ161" s="109">
        <f t="shared" si="365"/>
        <v>0</v>
      </c>
      <c r="DR161" s="109">
        <f t="shared" si="366"/>
        <v>0</v>
      </c>
      <c r="DS161" s="113">
        <f t="shared" si="367"/>
        <v>0</v>
      </c>
      <c r="DU161" s="102">
        <f t="shared" si="368"/>
        <v>0</v>
      </c>
      <c r="DV161" s="211">
        <f t="shared" si="423"/>
        <v>137</v>
      </c>
      <c r="DW161" s="212">
        <f t="shared" si="369"/>
        <v>0</v>
      </c>
      <c r="DX161" s="212">
        <f t="shared" si="324"/>
        <v>0</v>
      </c>
      <c r="DY161" s="212">
        <f t="shared" si="414"/>
        <v>0</v>
      </c>
      <c r="DZ161" s="213">
        <f t="shared" si="325"/>
        <v>1000000</v>
      </c>
      <c r="ED161" s="182"/>
      <c r="EF161" s="308">
        <f t="shared" ca="1" si="326"/>
        <v>8</v>
      </c>
      <c r="EG161" s="309">
        <f t="shared" si="370"/>
        <v>0</v>
      </c>
      <c r="EH161" s="268">
        <f t="shared" si="327"/>
        <v>0</v>
      </c>
      <c r="EI161" s="33">
        <f t="shared" si="371"/>
        <v>0</v>
      </c>
      <c r="EJ161" s="33">
        <f t="shared" si="291"/>
        <v>0</v>
      </c>
      <c r="EK161" s="33">
        <f t="shared" si="297"/>
        <v>0</v>
      </c>
      <c r="EL161" s="33">
        <f>IF(ER160&lt;0.01,0,IF(Plus!$F$22=Plus!$AN$4,0,IF(Plus!$F$22=Plus!$AN$3,ER160*Plus!$F$23/1000,ER160*VLOOKUP(Plus!$G$21,Plus!$AP$2:'Plus'!$AQ$5,2,0))))</f>
        <v>0</v>
      </c>
      <c r="EM161" s="33">
        <f>IF(ER160&lt;0.01,0,IF(Plus!$F$24=Plus!$AO$3,0,IF(OR(Plus!$F$10=Plus!$AK$7,Plus!$F$10=Plus!$AK$13),0,Plus!$G$13*Plus!$AR$2)))</f>
        <v>0</v>
      </c>
      <c r="EN161" s="33">
        <f>IF(ER160&lt;0.01,0,IF(OR(Plus!$F$10=Plus!$AK$7,Plus!$F$10=Plus!$AK$13),0,Plus!$BD$2*1.16))</f>
        <v>0</v>
      </c>
      <c r="EO161" s="33">
        <f>IF(ER160&lt;0.01,0,IF(Plus!$AS$2&gt;0,EI161*Plus!$AS$3,0))</f>
        <v>0</v>
      </c>
      <c r="EP161" s="33">
        <f t="shared" si="372"/>
        <v>0</v>
      </c>
      <c r="EQ161" s="33">
        <f>IF(Plus!$F$10=Plus!$AK$3,MIN(ER160+EI161+EL161+EM161+EN161-EP161,FC161),0)</f>
        <v>0</v>
      </c>
      <c r="ER161" s="311">
        <f t="shared" si="285"/>
        <v>0</v>
      </c>
      <c r="ES161" s="340">
        <f>Plus!O202</f>
        <v>0</v>
      </c>
      <c r="ET161" s="74"/>
      <c r="EU161" s="74"/>
      <c r="EV161" s="416">
        <f t="shared" si="281"/>
        <v>0</v>
      </c>
      <c r="EY161" s="90">
        <f t="shared" si="373"/>
        <v>5</v>
      </c>
      <c r="EZ161" s="121">
        <f t="shared" si="415"/>
        <v>0</v>
      </c>
      <c r="FB161" s="149">
        <f t="shared" si="416"/>
        <v>0</v>
      </c>
      <c r="FC161" s="2179">
        <f t="shared" ca="1" si="374"/>
        <v>0</v>
      </c>
      <c r="FE161" s="120">
        <f t="shared" si="417"/>
        <v>0</v>
      </c>
      <c r="FF161" s="110">
        <f t="shared" si="375"/>
        <v>0</v>
      </c>
      <c r="FG161" s="110">
        <f t="shared" si="376"/>
        <v>0</v>
      </c>
      <c r="FH161" s="109">
        <f t="shared" si="377"/>
        <v>0</v>
      </c>
      <c r="FI161" s="109">
        <f t="shared" si="328"/>
        <v>0</v>
      </c>
      <c r="FJ161" s="113">
        <f t="shared" si="378"/>
        <v>0</v>
      </c>
      <c r="FL161" s="102">
        <f t="shared" si="379"/>
        <v>0</v>
      </c>
      <c r="FM161" s="211">
        <f t="shared" si="424"/>
        <v>137</v>
      </c>
      <c r="FN161" s="212">
        <f t="shared" si="380"/>
        <v>0</v>
      </c>
      <c r="FO161" s="212">
        <f t="shared" si="329"/>
        <v>0</v>
      </c>
      <c r="FP161" s="212">
        <f t="shared" si="426"/>
        <v>0</v>
      </c>
      <c r="FQ161" s="213">
        <f t="shared" si="330"/>
        <v>1000000</v>
      </c>
      <c r="FV161" s="359"/>
      <c r="FX161" s="308">
        <f t="shared" ca="1" si="331"/>
        <v>8</v>
      </c>
      <c r="FY161" s="309">
        <f t="shared" si="381"/>
        <v>0</v>
      </c>
      <c r="FZ161" s="268">
        <f t="shared" si="332"/>
        <v>0</v>
      </c>
      <c r="GA161" s="33">
        <f t="shared" si="382"/>
        <v>0</v>
      </c>
      <c r="GB161" s="33">
        <f t="shared" si="292"/>
        <v>0</v>
      </c>
      <c r="GC161" s="33">
        <f t="shared" si="293"/>
        <v>0</v>
      </c>
      <c r="GD161" s="33">
        <f>IF(GJ160&lt;0.01,0,IF(Plus!$F$22=Plus!$AN$4,0,IF(Plus!$F$22=Plus!$AN$3,GJ160*Plus!$F$23/1000,GJ160*VLOOKUP(Plus!$G$21,Plus!$AP$2:$AQ$5,2,0))))</f>
        <v>0</v>
      </c>
      <c r="GE161" s="33">
        <f>IF(GJ160&lt;0.01,0,IF(Plus!$F$24=Plus!$AO$3,0,IF(OR(Plus!$F$10=Plus!$AK$7,Plus!$F$10=Plus!$AK$13,Plus!$F$10=Plus!$AK$14),0,IF(OR(Plus!$F$10=Plus!$AK$10,Plus!$F$10=Plus!$AK$11),Plus!$G$13*Adm!$W$7,Plus!$G$13*Adm!$X$4))))</f>
        <v>0</v>
      </c>
      <c r="GF161" s="33">
        <f>IF(GJ160&lt;0.01,0,IF(OR(Plus!$F$10=Plus!$AK$7,Plus!$F$10=Plus!$AK$13),0,Plus!$BD$2*1.16))</f>
        <v>0</v>
      </c>
      <c r="GG161" s="33">
        <f>IF(GJ160&lt;0.01,0,IF(Plus!$AS$2&gt;0,GA161*Plus!$AS$3,0))</f>
        <v>0</v>
      </c>
      <c r="GH161" s="33">
        <f t="shared" si="383"/>
        <v>0</v>
      </c>
      <c r="GI161" s="33">
        <f>IF(Plus!$F$10=Plus!$AK$3,MIN(GJ160+GA161+GD161+GE161+GF161-GH161,GU161),0)</f>
        <v>0</v>
      </c>
      <c r="GJ161" s="311">
        <f t="shared" si="286"/>
        <v>0</v>
      </c>
      <c r="GK161" s="340">
        <f>Plus!O202</f>
        <v>0</v>
      </c>
      <c r="GL161" s="74"/>
      <c r="GM161" s="74"/>
      <c r="GN161" s="419">
        <f t="shared" si="283"/>
        <v>0</v>
      </c>
      <c r="GQ161" s="90">
        <f t="shared" si="384"/>
        <v>5</v>
      </c>
      <c r="GR161" s="121">
        <f t="shared" si="418"/>
        <v>0</v>
      </c>
      <c r="GT161" s="149">
        <f t="shared" si="419"/>
        <v>0</v>
      </c>
      <c r="GU161" s="2179">
        <f t="shared" ca="1" si="385"/>
        <v>0</v>
      </c>
      <c r="GW161" s="120">
        <f t="shared" si="420"/>
        <v>0</v>
      </c>
      <c r="GX161" s="110">
        <f t="shared" si="386"/>
        <v>0</v>
      </c>
      <c r="GY161" s="110">
        <f t="shared" si="387"/>
        <v>0</v>
      </c>
      <c r="GZ161" s="109">
        <f t="shared" si="388"/>
        <v>0</v>
      </c>
      <c r="HA161" s="109">
        <f t="shared" si="333"/>
        <v>0</v>
      </c>
      <c r="HB161" s="113">
        <f t="shared" si="389"/>
        <v>0</v>
      </c>
      <c r="HD161" s="102">
        <f t="shared" si="390"/>
        <v>0</v>
      </c>
      <c r="HE161" s="211">
        <f t="shared" si="425"/>
        <v>137</v>
      </c>
      <c r="HF161" s="212">
        <f t="shared" si="391"/>
        <v>0</v>
      </c>
      <c r="HG161" s="212">
        <f t="shared" si="334"/>
        <v>0</v>
      </c>
      <c r="HH161" s="212">
        <f t="shared" si="427"/>
        <v>0</v>
      </c>
      <c r="HI161" s="213">
        <f t="shared" si="335"/>
        <v>1000000</v>
      </c>
      <c r="HL161" s="182"/>
      <c r="HM161" s="26">
        <f t="shared" ca="1" si="336"/>
        <v>8</v>
      </c>
      <c r="HO161" s="268">
        <f t="shared" si="337"/>
        <v>0</v>
      </c>
      <c r="HP161" s="151">
        <f t="shared" si="302"/>
        <v>0</v>
      </c>
      <c r="HQ161" s="123">
        <f t="shared" si="392"/>
        <v>0</v>
      </c>
      <c r="HR161" s="123">
        <f t="shared" si="393"/>
        <v>0</v>
      </c>
      <c r="HS161" s="123">
        <f t="shared" si="394"/>
        <v>0</v>
      </c>
      <c r="HT161" s="123">
        <f>IF(HY160&lt;0.01,0,IF(Adm!$GS$4=Adm!$GS$8,HY160*$HY$15,IF(Adm!$GS$12=Adm!$GS$13,0,HY160*Adm!$GV$4)))</f>
        <v>0</v>
      </c>
      <c r="HU161" s="123">
        <f>IF(HY160&lt;0.01,0,IF(Adm!$GS$5=Adm!$GS$8,Cal!$BO$108*$HY$16/1.16,IF(Adm!$GS$12=Adm!$GS$13,0,Cal!$BO$108*Adm!$GW$4/1.16)))</f>
        <v>0</v>
      </c>
      <c r="HV161" s="123">
        <f t="shared" si="395"/>
        <v>0</v>
      </c>
      <c r="HW161" s="123">
        <f t="shared" si="338"/>
        <v>0</v>
      </c>
      <c r="HX161" s="123">
        <f>IF(Adm!$GH$6="si",MIN(HY160+HQ161+HT161+HU161+HV161-HW161,IH161),0)</f>
        <v>0</v>
      </c>
      <c r="HY161" s="297">
        <f t="shared" si="396"/>
        <v>0</v>
      </c>
      <c r="HZ161" s="74"/>
      <c r="IA161" s="407">
        <f t="shared" si="397"/>
        <v>0</v>
      </c>
      <c r="IC161" s="90">
        <f t="shared" si="398"/>
        <v>5</v>
      </c>
      <c r="ID161" s="124">
        <f>IF(IC161=1,Cal!$BO$127,0)</f>
        <v>0</v>
      </c>
      <c r="IE161" s="178">
        <f>IF(IC161=1,Adm!$HI$4,0)</f>
        <v>0</v>
      </c>
      <c r="IG161" s="70">
        <f t="shared" si="421"/>
        <v>0</v>
      </c>
      <c r="IH161" s="2178">
        <f t="shared" ca="1" si="399"/>
        <v>0</v>
      </c>
      <c r="IK161" s="217"/>
      <c r="IL161" s="26">
        <f t="shared" ca="1" si="339"/>
        <v>8</v>
      </c>
      <c r="IN161" s="268">
        <f t="shared" si="340"/>
        <v>0</v>
      </c>
      <c r="IO161" s="151">
        <f t="shared" si="303"/>
        <v>0</v>
      </c>
      <c r="IP161" s="123">
        <f t="shared" si="400"/>
        <v>0</v>
      </c>
      <c r="IQ161" s="123">
        <f t="shared" si="401"/>
        <v>0</v>
      </c>
      <c r="IR161" s="123">
        <f t="shared" si="402"/>
        <v>0</v>
      </c>
      <c r="IS161" s="123">
        <f>IF(IX160&lt;0.01,0,IF(Adm!$GS$4=Adm!$GS$8,IX160*$IX$15,IF(Adm!$GS$12=Adm!$GS$13,0,IX160*Adm!$GV$4)))</f>
        <v>0</v>
      </c>
      <c r="IT161" s="123"/>
      <c r="IU161" s="123">
        <f t="shared" si="403"/>
        <v>0</v>
      </c>
      <c r="IV161" s="123">
        <f t="shared" si="404"/>
        <v>0</v>
      </c>
      <c r="IW161" s="123"/>
      <c r="IX161" s="297">
        <f t="shared" si="405"/>
        <v>0</v>
      </c>
      <c r="IY161" s="74"/>
      <c r="IZ161" s="416">
        <f t="shared" si="406"/>
        <v>0</v>
      </c>
      <c r="JB161" s="90">
        <f t="shared" si="407"/>
        <v>5</v>
      </c>
      <c r="JC161" s="124">
        <f>IF(JB161=1,Cal!$BP$127,0)</f>
        <v>0</v>
      </c>
      <c r="JD161" s="178">
        <f>IF(JB161=1,Adm!$HI$4,0)</f>
        <v>0</v>
      </c>
    </row>
    <row r="162" spans="1:264">
      <c r="A162" s="26">
        <f t="shared" ca="1" si="308"/>
        <v>9</v>
      </c>
      <c r="C162" s="33">
        <f t="shared" si="309"/>
        <v>0</v>
      </c>
      <c r="D162" s="123">
        <f t="shared" si="341"/>
        <v>0</v>
      </c>
      <c r="E162" s="123">
        <f t="shared" si="287"/>
        <v>0</v>
      </c>
      <c r="F162" s="123">
        <f t="shared" si="295"/>
        <v>0</v>
      </c>
      <c r="G162" s="123">
        <f>IF(L161&lt;0.01,0,IF(Adm!$S$4=Adm!$S$8,L161*$L$15,L161*Adm!$V$4))</f>
        <v>0</v>
      </c>
      <c r="H162" s="123">
        <f>IF(L161&lt;0.01,0,IF(Adm!$S$5=Adm!$S$8,Adm!$AA$11*$L$16/1.16,IF(Adm!$B$4=Adm!$A$119,0,Adm!$AA$11*Adm!$X$4/1.16)))</f>
        <v>0</v>
      </c>
      <c r="I162" s="123">
        <f>IF(L161&lt;0.01,0,Cal!$AB$126/1.16)</f>
        <v>0</v>
      </c>
      <c r="J162" s="123">
        <f t="shared" si="310"/>
        <v>0</v>
      </c>
      <c r="K162" s="123">
        <f>IF(Adm!$G$4="si",MIN(L161+D162+G162+H162+I162-J162,V162),0)</f>
        <v>0</v>
      </c>
      <c r="L162" s="123">
        <f t="shared" si="342"/>
        <v>0</v>
      </c>
      <c r="M162" s="74"/>
      <c r="N162" s="74"/>
      <c r="O162" s="407">
        <f t="shared" si="343"/>
        <v>0</v>
      </c>
      <c r="R162" s="90">
        <f t="shared" si="344"/>
        <v>6</v>
      </c>
      <c r="S162" s="121">
        <f>IF(R162=1,Cal!$AB$127,0)</f>
        <v>0</v>
      </c>
      <c r="U162" s="70">
        <f t="shared" si="408"/>
        <v>0</v>
      </c>
      <c r="V162" s="2178">
        <f t="shared" ca="1" si="345"/>
        <v>0</v>
      </c>
      <c r="X162" s="398"/>
      <c r="Z162" s="268">
        <f t="shared" si="311"/>
        <v>0</v>
      </c>
      <c r="AA162" s="2176">
        <f t="shared" si="346"/>
        <v>0</v>
      </c>
      <c r="AB162" s="33">
        <f t="shared" si="347"/>
        <v>0</v>
      </c>
      <c r="AC162" s="33">
        <f t="shared" si="348"/>
        <v>0</v>
      </c>
      <c r="AD162" s="33">
        <f>IF(AI161&lt;0.01,0,IF(Adm!$S$4=Adm!$S$8,AI161*$AI$15,AI161*Adm!$V$4))</f>
        <v>0</v>
      </c>
      <c r="AE162" s="33"/>
      <c r="AF162" s="33"/>
      <c r="AG162" s="33">
        <f t="shared" si="312"/>
        <v>0</v>
      </c>
      <c r="AH162" s="33"/>
      <c r="AI162" s="401">
        <f t="shared" si="313"/>
        <v>0</v>
      </c>
      <c r="AK162" s="410">
        <f t="shared" si="314"/>
        <v>0</v>
      </c>
      <c r="AN162" s="90">
        <f t="shared" si="349"/>
        <v>6</v>
      </c>
      <c r="AO162" s="121">
        <f>IF(AN162=1,Cal!$AC$127,0)</f>
        <v>0</v>
      </c>
      <c r="AS162" s="200"/>
      <c r="AU162" s="268">
        <f t="shared" si="315"/>
        <v>0</v>
      </c>
      <c r="AV162" s="2177">
        <f t="shared" si="350"/>
        <v>0</v>
      </c>
      <c r="AW162" s="123">
        <f t="shared" si="316"/>
        <v>0</v>
      </c>
      <c r="AX162" s="123">
        <f t="shared" si="351"/>
        <v>0</v>
      </c>
      <c r="AY162" s="123">
        <f>IF(BC161&lt;0.01,0,IF(Adm!$S$4=Adm!$S$8,BC161*$BC$16,BC161*Adm!$V$4))</f>
        <v>0</v>
      </c>
      <c r="AZ162" s="123"/>
      <c r="BA162" s="123">
        <f>IF(BC161&lt;0.01,0,Adm!$Q$6)</f>
        <v>0</v>
      </c>
      <c r="BB162" s="123">
        <f t="shared" si="317"/>
        <v>0</v>
      </c>
      <c r="BC162" s="297">
        <f t="shared" si="352"/>
        <v>0</v>
      </c>
      <c r="BE162" s="425">
        <f t="shared" si="318"/>
        <v>0</v>
      </c>
      <c r="BH162" s="90">
        <f t="shared" si="353"/>
        <v>6</v>
      </c>
      <c r="BI162" s="121">
        <f>IF(BH162=1,Cal!$AD$127,0)</f>
        <v>0</v>
      </c>
      <c r="BM162" s="221"/>
      <c r="BO162" s="295">
        <f t="shared" ca="1" si="319"/>
        <v>9</v>
      </c>
      <c r="BP162" s="268">
        <f t="shared" si="320"/>
        <v>0</v>
      </c>
      <c r="BQ162" s="123">
        <f t="shared" si="354"/>
        <v>0</v>
      </c>
      <c r="BR162" s="123">
        <f t="shared" si="288"/>
        <v>0</v>
      </c>
      <c r="BS162" s="123">
        <f t="shared" si="296"/>
        <v>0</v>
      </c>
      <c r="BT162" s="123">
        <f>IF(BZ161&lt;0.01,0,IF(Plus!$F$22=Plus!$AN$4,BZ161*$BZ$15,IF(Plus!$F$22=Plus!$AN$3,BZ161*Plus!$F$23/1000,BZ161*VLOOKUP(Plus!$G$21,Plus!$AP$2:'Plus'!$AQ$5,2,0))))</f>
        <v>0</v>
      </c>
      <c r="BU162" s="123">
        <f>IF(BZ161&lt;0.01,0,IF(Plus!$F$24=Plus!$AO$3,Plus!$G$13*Plus!$AR$2/1.16,IF(Plus!$F$10=Plus!$AK$7,0,Plus!$G$13*Plus!$AR$2/1.16)))</f>
        <v>0</v>
      </c>
      <c r="BV162" s="123">
        <f>IF(BZ161&lt;0.01,0,Plus!$BD$2)</f>
        <v>0</v>
      </c>
      <c r="BW162" s="123"/>
      <c r="BX162" s="123">
        <f t="shared" si="321"/>
        <v>0</v>
      </c>
      <c r="BY162" s="123">
        <f>IF(Plus!$F$10=Plus!$AK$3,MIN(BZ161+BQ162+BT162+BU162+BV162-BX162,CJ162),0)</f>
        <v>0</v>
      </c>
      <c r="BZ162" s="297">
        <f t="shared" ref="BZ162:BZ225" si="428">IF(BZ161&lt;0.01,0,BZ161-BR162-BY162)</f>
        <v>0</v>
      </c>
      <c r="CA162" s="74"/>
      <c r="CB162" s="74"/>
      <c r="CC162" s="413">
        <f t="shared" si="355"/>
        <v>0</v>
      </c>
      <c r="CF162" s="90">
        <f t="shared" si="356"/>
        <v>6</v>
      </c>
      <c r="CG162" s="121">
        <f t="shared" si="409"/>
        <v>0</v>
      </c>
      <c r="CI162" s="70">
        <f t="shared" si="410"/>
        <v>0</v>
      </c>
      <c r="CJ162" s="2178">
        <f t="shared" ca="1" si="357"/>
        <v>0</v>
      </c>
      <c r="CL162" s="161"/>
      <c r="CN162" s="308">
        <f t="shared" ca="1" si="322"/>
        <v>9</v>
      </c>
      <c r="CO162" s="309">
        <f t="shared" si="358"/>
        <v>0</v>
      </c>
      <c r="CP162" s="268">
        <f t="shared" si="323"/>
        <v>0</v>
      </c>
      <c r="CQ162" s="123">
        <f t="shared" si="359"/>
        <v>0</v>
      </c>
      <c r="CR162" s="123">
        <f t="shared" si="289"/>
        <v>0</v>
      </c>
      <c r="CS162" s="123">
        <f t="shared" si="290"/>
        <v>0</v>
      </c>
      <c r="CT162" s="33">
        <f>IF(CZ161&lt;0.01,0,IF(Plus!$F$22=Plus!$AN$4,0,IF(Plus!$F$22=Plus!$AN$3,CZ161*Plus!$F$23/1000,CZ161*VLOOKUP(Plus!$G$21,Plus!$AP$2:'Plus'!$AQ$5,2,0))))</f>
        <v>0</v>
      </c>
      <c r="CU162" s="123">
        <f>IF(CZ161&lt;0.01,0,IF(Plus!$F$24=Plus!$AO$3,0,IF(OR(Plus!$F$10=Plus!$AK$7,Plus!$F$10=Plus!$AK$13),0,Plus!$G$13*Plus!$AR$2)))</f>
        <v>0</v>
      </c>
      <c r="CV162" s="123">
        <f>IF(CZ161&lt;0.01,0,IF(OR(Plus!$F$10=Plus!$AK$7,Plus!$F$10=Plus!$AK$13),0,Plus!$BD$2*1.16))</f>
        <v>0</v>
      </c>
      <c r="CW162" s="123">
        <f>IF(CZ161&lt;0.01,0,IF(Plus!$AS$2&gt;0,CQ162*Plus!$AS$3,0))</f>
        <v>0</v>
      </c>
      <c r="CX162" s="123">
        <f t="shared" si="360"/>
        <v>0</v>
      </c>
      <c r="CY162" s="123">
        <f>IF(Plus!$F$10=Plus!$AK$3,MIN(CZ161+CQ162+CT162+CU162+CV162-CX162,DK162),0)</f>
        <v>0</v>
      </c>
      <c r="CZ162" s="297">
        <f t="shared" si="294"/>
        <v>0</v>
      </c>
      <c r="DA162" s="306">
        <f>Plus!O203</f>
        <v>0</v>
      </c>
      <c r="DB162" s="74"/>
      <c r="DC162" s="74"/>
      <c r="DD162" s="407">
        <f t="shared" si="361"/>
        <v>0</v>
      </c>
      <c r="DG162" s="90">
        <f t="shared" si="362"/>
        <v>6</v>
      </c>
      <c r="DH162" s="121">
        <f t="shared" si="411"/>
        <v>0</v>
      </c>
      <c r="DJ162" s="149">
        <f t="shared" si="412"/>
        <v>0</v>
      </c>
      <c r="DK162" s="2179">
        <f t="shared" ca="1" si="363"/>
        <v>0</v>
      </c>
      <c r="DN162" s="120">
        <f t="shared" si="413"/>
        <v>0</v>
      </c>
      <c r="DO162" s="110">
        <f t="shared" si="364"/>
        <v>0</v>
      </c>
      <c r="DP162" s="110">
        <f t="shared" si="422"/>
        <v>0</v>
      </c>
      <c r="DQ162" s="109">
        <f t="shared" si="365"/>
        <v>0</v>
      </c>
      <c r="DR162" s="109">
        <f t="shared" si="366"/>
        <v>0</v>
      </c>
      <c r="DS162" s="113">
        <f t="shared" si="367"/>
        <v>0</v>
      </c>
      <c r="DU162" s="102">
        <f t="shared" si="368"/>
        <v>0</v>
      </c>
      <c r="DV162" s="211">
        <f t="shared" si="423"/>
        <v>138</v>
      </c>
      <c r="DW162" s="212">
        <f t="shared" si="369"/>
        <v>0</v>
      </c>
      <c r="DX162" s="212">
        <f t="shared" si="324"/>
        <v>0</v>
      </c>
      <c r="DY162" s="212">
        <f t="shared" si="414"/>
        <v>0</v>
      </c>
      <c r="DZ162" s="213">
        <f t="shared" si="325"/>
        <v>1000000</v>
      </c>
      <c r="ED162" s="182"/>
      <c r="EF162" s="308">
        <f t="shared" ca="1" si="326"/>
        <v>9</v>
      </c>
      <c r="EG162" s="309">
        <f t="shared" si="370"/>
        <v>0</v>
      </c>
      <c r="EH162" s="268">
        <f t="shared" si="327"/>
        <v>0</v>
      </c>
      <c r="EI162" s="33">
        <f t="shared" si="371"/>
        <v>0</v>
      </c>
      <c r="EJ162" s="33">
        <f t="shared" si="291"/>
        <v>0</v>
      </c>
      <c r="EK162" s="33">
        <f t="shared" si="297"/>
        <v>0</v>
      </c>
      <c r="EL162" s="33">
        <f>IF(ER161&lt;0.01,0,IF(Plus!$F$22=Plus!$AN$4,0,IF(Plus!$F$22=Plus!$AN$3,ER161*Plus!$F$23/1000,ER161*VLOOKUP(Plus!$G$21,Plus!$AP$2:'Plus'!$AQ$5,2,0))))</f>
        <v>0</v>
      </c>
      <c r="EM162" s="33">
        <f>IF(ER161&lt;0.01,0,IF(Plus!$F$24=Plus!$AO$3,0,IF(OR(Plus!$F$10=Plus!$AK$7,Plus!$F$10=Plus!$AK$13),0,Plus!$G$13*Plus!$AR$2)))</f>
        <v>0</v>
      </c>
      <c r="EN162" s="33">
        <f>IF(ER161&lt;0.01,0,IF(OR(Plus!$F$10=Plus!$AK$7,Plus!$F$10=Plus!$AK$13),0,Plus!$BD$2*1.16))</f>
        <v>0</v>
      </c>
      <c r="EO162" s="33">
        <f>IF(ER161&lt;0.01,0,IF(Plus!$AS$2&gt;0,EI162*Plus!$AS$3,0))</f>
        <v>0</v>
      </c>
      <c r="EP162" s="33">
        <f t="shared" si="372"/>
        <v>0</v>
      </c>
      <c r="EQ162" s="33">
        <f>IF(Plus!$F$10=Plus!$AK$3,MIN(ER161+EI162+EL162+EM162+EN162-EP162,FC162),0)</f>
        <v>0</v>
      </c>
      <c r="ER162" s="311">
        <f t="shared" si="285"/>
        <v>0</v>
      </c>
      <c r="ES162" s="340">
        <f>Plus!O203</f>
        <v>0</v>
      </c>
      <c r="ET162" s="74"/>
      <c r="EU162" s="74"/>
      <c r="EV162" s="416">
        <f t="shared" ref="EV162:EV225" si="429">EK162+EL162+(EM162/1.16)+(EN162/1.16)+EQ162</f>
        <v>0</v>
      </c>
      <c r="EY162" s="90">
        <f t="shared" si="373"/>
        <v>6</v>
      </c>
      <c r="EZ162" s="121">
        <f t="shared" si="415"/>
        <v>0</v>
      </c>
      <c r="FB162" s="149">
        <f t="shared" si="416"/>
        <v>0</v>
      </c>
      <c r="FC162" s="2179">
        <f t="shared" ca="1" si="374"/>
        <v>0</v>
      </c>
      <c r="FE162" s="120">
        <f t="shared" si="417"/>
        <v>0</v>
      </c>
      <c r="FF162" s="110">
        <f t="shared" si="375"/>
        <v>0</v>
      </c>
      <c r="FG162" s="110">
        <f t="shared" si="376"/>
        <v>0</v>
      </c>
      <c r="FH162" s="109">
        <f t="shared" si="377"/>
        <v>0</v>
      </c>
      <c r="FI162" s="109">
        <f t="shared" si="328"/>
        <v>0</v>
      </c>
      <c r="FJ162" s="113">
        <f t="shared" si="378"/>
        <v>0</v>
      </c>
      <c r="FL162" s="102">
        <f t="shared" si="379"/>
        <v>0</v>
      </c>
      <c r="FM162" s="211">
        <f t="shared" si="424"/>
        <v>138</v>
      </c>
      <c r="FN162" s="212">
        <f t="shared" si="380"/>
        <v>0</v>
      </c>
      <c r="FO162" s="212">
        <f t="shared" si="329"/>
        <v>0</v>
      </c>
      <c r="FP162" s="212">
        <f t="shared" si="426"/>
        <v>0</v>
      </c>
      <c r="FQ162" s="213">
        <f t="shared" si="330"/>
        <v>1000000</v>
      </c>
      <c r="FV162" s="359"/>
      <c r="FX162" s="308">
        <f t="shared" ca="1" si="331"/>
        <v>9</v>
      </c>
      <c r="FY162" s="309">
        <f t="shared" si="381"/>
        <v>0</v>
      </c>
      <c r="FZ162" s="268">
        <f t="shared" si="332"/>
        <v>0</v>
      </c>
      <c r="GA162" s="33">
        <f t="shared" si="382"/>
        <v>0</v>
      </c>
      <c r="GB162" s="33">
        <f t="shared" si="292"/>
        <v>0</v>
      </c>
      <c r="GC162" s="33">
        <f t="shared" si="293"/>
        <v>0</v>
      </c>
      <c r="GD162" s="33">
        <f>IF(GJ161&lt;0.01,0,IF(Plus!$F$22=Plus!$AN$4,0,IF(Plus!$F$22=Plus!$AN$3,GJ161*Plus!$F$23/1000,GJ161*VLOOKUP(Plus!$G$21,Plus!$AP$2:$AQ$5,2,0))))</f>
        <v>0</v>
      </c>
      <c r="GE162" s="33">
        <f>IF(GJ161&lt;0.01,0,IF(Plus!$F$24=Plus!$AO$3,0,IF(OR(Plus!$F$10=Plus!$AK$7,Plus!$F$10=Plus!$AK$13,Plus!$F$10=Plus!$AK$14),0,IF(OR(Plus!$F$10=Plus!$AK$10,Plus!$F$10=Plus!$AK$11),Plus!$G$13*Adm!$W$7,Plus!$G$13*Adm!$X$4))))</f>
        <v>0</v>
      </c>
      <c r="GF162" s="33">
        <f>IF(GJ161&lt;0.01,0,IF(OR(Plus!$F$10=Plus!$AK$7,Plus!$F$10=Plus!$AK$13),0,Plus!$BD$2*1.16))</f>
        <v>0</v>
      </c>
      <c r="GG162" s="33">
        <f>IF(GJ161&lt;0.01,0,IF(Plus!$AS$2&gt;0,GA162*Plus!$AS$3,0))</f>
        <v>0</v>
      </c>
      <c r="GH162" s="33">
        <f t="shared" si="383"/>
        <v>0</v>
      </c>
      <c r="GI162" s="33">
        <f>IF(Plus!$F$10=Plus!$AK$3,MIN(GJ161+GA162+GD162+GE162+GF162-GH162,GU162),0)</f>
        <v>0</v>
      </c>
      <c r="GJ162" s="311">
        <f t="shared" si="286"/>
        <v>0</v>
      </c>
      <c r="GK162" s="340">
        <f>Plus!O203</f>
        <v>0</v>
      </c>
      <c r="GL162" s="74"/>
      <c r="GM162" s="74"/>
      <c r="GN162" s="419">
        <f t="shared" ref="GN162:GN225" si="430">GC162+GD162+(GE162/1.16)+(GF162/1.16)+GI162</f>
        <v>0</v>
      </c>
      <c r="GQ162" s="90">
        <f t="shared" si="384"/>
        <v>6</v>
      </c>
      <c r="GR162" s="121">
        <f t="shared" si="418"/>
        <v>0</v>
      </c>
      <c r="GT162" s="149">
        <f t="shared" si="419"/>
        <v>0</v>
      </c>
      <c r="GU162" s="2179">
        <f t="shared" ca="1" si="385"/>
        <v>0</v>
      </c>
      <c r="GW162" s="120">
        <f t="shared" si="420"/>
        <v>0</v>
      </c>
      <c r="GX162" s="110">
        <f t="shared" si="386"/>
        <v>0</v>
      </c>
      <c r="GY162" s="110">
        <f t="shared" si="387"/>
        <v>0</v>
      </c>
      <c r="GZ162" s="109">
        <f t="shared" si="388"/>
        <v>0</v>
      </c>
      <c r="HA162" s="109">
        <f t="shared" si="333"/>
        <v>0</v>
      </c>
      <c r="HB162" s="113">
        <f t="shared" si="389"/>
        <v>0</v>
      </c>
      <c r="HD162" s="102">
        <f t="shared" si="390"/>
        <v>0</v>
      </c>
      <c r="HE162" s="211">
        <f t="shared" si="425"/>
        <v>138</v>
      </c>
      <c r="HF162" s="212">
        <f t="shared" si="391"/>
        <v>0</v>
      </c>
      <c r="HG162" s="212">
        <f t="shared" si="334"/>
        <v>0</v>
      </c>
      <c r="HH162" s="212">
        <f t="shared" si="427"/>
        <v>0</v>
      </c>
      <c r="HI162" s="213">
        <f t="shared" si="335"/>
        <v>1000000</v>
      </c>
      <c r="HL162" s="182"/>
      <c r="HM162" s="26">
        <f t="shared" ca="1" si="336"/>
        <v>9</v>
      </c>
      <c r="HO162" s="268">
        <f t="shared" si="337"/>
        <v>0</v>
      </c>
      <c r="HP162" s="151">
        <f t="shared" si="302"/>
        <v>0</v>
      </c>
      <c r="HQ162" s="123">
        <f t="shared" si="392"/>
        <v>0</v>
      </c>
      <c r="HR162" s="123">
        <f t="shared" si="393"/>
        <v>0</v>
      </c>
      <c r="HS162" s="123">
        <f t="shared" si="394"/>
        <v>0</v>
      </c>
      <c r="HT162" s="123">
        <f>IF(HY161&lt;0.01,0,IF(Adm!$GS$4=Adm!$GS$8,HY161*$HY$15,IF(Adm!$GS$12=Adm!$GS$13,0,HY161*Adm!$GV$4)))</f>
        <v>0</v>
      </c>
      <c r="HU162" s="123">
        <f>IF(HY161&lt;0.01,0,IF(Adm!$GS$5=Adm!$GS$8,Cal!$BO$108*$HY$16/1.16,IF(Adm!$GS$12=Adm!$GS$13,0,Cal!$BO$108*Adm!$GW$4/1.16)))</f>
        <v>0</v>
      </c>
      <c r="HV162" s="123">
        <f t="shared" si="395"/>
        <v>0</v>
      </c>
      <c r="HW162" s="123">
        <f t="shared" si="338"/>
        <v>0</v>
      </c>
      <c r="HX162" s="123">
        <f>IF(Adm!$GH$6="si",MIN(HY161+HQ162+HT162+HU162+HV162-HW162,IH162),0)</f>
        <v>0</v>
      </c>
      <c r="HY162" s="297">
        <f t="shared" si="396"/>
        <v>0</v>
      </c>
      <c r="HZ162" s="74"/>
      <c r="IA162" s="407">
        <f t="shared" si="397"/>
        <v>0</v>
      </c>
      <c r="IC162" s="90">
        <f t="shared" si="398"/>
        <v>6</v>
      </c>
      <c r="ID162" s="124">
        <f>IF(IC162=1,Cal!$BO$127,0)</f>
        <v>0</v>
      </c>
      <c r="IE162" s="178">
        <f>IF(IC162=1,Adm!$HI$4,0)</f>
        <v>0</v>
      </c>
      <c r="IG162" s="70">
        <f t="shared" si="421"/>
        <v>0</v>
      </c>
      <c r="IH162" s="2178">
        <f t="shared" ca="1" si="399"/>
        <v>0</v>
      </c>
      <c r="IK162" s="217"/>
      <c r="IL162" s="26">
        <f t="shared" ca="1" si="339"/>
        <v>9</v>
      </c>
      <c r="IN162" s="268">
        <f t="shared" si="340"/>
        <v>0</v>
      </c>
      <c r="IO162" s="151">
        <f t="shared" si="303"/>
        <v>0</v>
      </c>
      <c r="IP162" s="123">
        <f t="shared" si="400"/>
        <v>0</v>
      </c>
      <c r="IQ162" s="123">
        <f t="shared" si="401"/>
        <v>0</v>
      </c>
      <c r="IR162" s="123">
        <f t="shared" si="402"/>
        <v>0</v>
      </c>
      <c r="IS162" s="123">
        <f>IF(IX161&lt;0.01,0,IF(Adm!$GS$4=Adm!$GS$8,IX161*$IX$15,IF(Adm!$GS$12=Adm!$GS$13,0,IX161*Adm!$GV$4)))</f>
        <v>0</v>
      </c>
      <c r="IT162" s="123"/>
      <c r="IU162" s="123">
        <f t="shared" si="403"/>
        <v>0</v>
      </c>
      <c r="IV162" s="123">
        <f t="shared" si="404"/>
        <v>0</v>
      </c>
      <c r="IW162" s="123"/>
      <c r="IX162" s="297">
        <f t="shared" si="405"/>
        <v>0</v>
      </c>
      <c r="IY162" s="74"/>
      <c r="IZ162" s="416">
        <f t="shared" si="406"/>
        <v>0</v>
      </c>
      <c r="JB162" s="90">
        <f t="shared" si="407"/>
        <v>6</v>
      </c>
      <c r="JC162" s="124">
        <f>IF(JB162=1,Cal!$BP$127,0)</f>
        <v>0</v>
      </c>
      <c r="JD162" s="178">
        <f>IF(JB162=1,Adm!$HI$4,0)</f>
        <v>0</v>
      </c>
    </row>
    <row r="163" spans="1:264">
      <c r="A163" s="26">
        <f t="shared" ca="1" si="308"/>
        <v>10</v>
      </c>
      <c r="C163" s="33">
        <f t="shared" si="309"/>
        <v>0</v>
      </c>
      <c r="D163" s="123">
        <f t="shared" si="341"/>
        <v>0</v>
      </c>
      <c r="E163" s="123">
        <f t="shared" si="287"/>
        <v>0</v>
      </c>
      <c r="F163" s="123">
        <f t="shared" si="295"/>
        <v>0</v>
      </c>
      <c r="G163" s="123">
        <f>IF(L162&lt;0.01,0,IF(Adm!$S$4=Adm!$S$8,L162*$L$15,L162*Adm!$V$4))</f>
        <v>0</v>
      </c>
      <c r="H163" s="123">
        <f>IF(L162&lt;0.01,0,IF(Adm!$S$5=Adm!$S$8,Adm!$AA$11*$L$16/1.16,IF(Adm!$B$4=Adm!$A$119,0,Adm!$AA$11*Adm!$X$4/1.16)))</f>
        <v>0</v>
      </c>
      <c r="I163" s="123">
        <f>IF(L162&lt;0.01,0,Cal!$AB$126/1.16)</f>
        <v>0</v>
      </c>
      <c r="J163" s="123">
        <f t="shared" si="310"/>
        <v>0</v>
      </c>
      <c r="K163" s="123">
        <f>IF(Adm!$G$4="si",MIN(L162+D163+G163+H163+I163-J163,V163),0)</f>
        <v>0</v>
      </c>
      <c r="L163" s="123">
        <f t="shared" si="342"/>
        <v>0</v>
      </c>
      <c r="M163" s="74"/>
      <c r="N163" s="74"/>
      <c r="O163" s="407">
        <f t="shared" si="343"/>
        <v>0</v>
      </c>
      <c r="R163" s="90">
        <f t="shared" si="344"/>
        <v>7</v>
      </c>
      <c r="S163" s="121">
        <f>IF(R163=1,Cal!$AB$127,0)</f>
        <v>0</v>
      </c>
      <c r="U163" s="70">
        <f t="shared" si="408"/>
        <v>0</v>
      </c>
      <c r="V163" s="2178">
        <f t="shared" ca="1" si="345"/>
        <v>0</v>
      </c>
      <c r="X163" s="398"/>
      <c r="Z163" s="268">
        <f t="shared" si="311"/>
        <v>0</v>
      </c>
      <c r="AA163" s="2176">
        <f t="shared" si="346"/>
        <v>0</v>
      </c>
      <c r="AB163" s="33">
        <f t="shared" si="347"/>
        <v>0</v>
      </c>
      <c r="AC163" s="33">
        <f t="shared" si="348"/>
        <v>0</v>
      </c>
      <c r="AD163" s="33">
        <f>IF(AI162&lt;0.01,0,IF(Adm!$S$4=Adm!$S$8,AI162*$AI$15,AI162*Adm!$V$4))</f>
        <v>0</v>
      </c>
      <c r="AE163" s="33"/>
      <c r="AF163" s="33"/>
      <c r="AG163" s="33">
        <f t="shared" si="312"/>
        <v>0</v>
      </c>
      <c r="AH163" s="33"/>
      <c r="AI163" s="401">
        <f t="shared" si="313"/>
        <v>0</v>
      </c>
      <c r="AK163" s="410">
        <f t="shared" si="314"/>
        <v>0</v>
      </c>
      <c r="AN163" s="90">
        <f t="shared" si="349"/>
        <v>7</v>
      </c>
      <c r="AO163" s="121">
        <f>IF(AN163=1,Cal!$AC$127,0)</f>
        <v>0</v>
      </c>
      <c r="AS163" s="200"/>
      <c r="AU163" s="268">
        <f t="shared" si="315"/>
        <v>0</v>
      </c>
      <c r="AV163" s="2177">
        <f t="shared" si="350"/>
        <v>0</v>
      </c>
      <c r="AW163" s="123">
        <f t="shared" si="316"/>
        <v>0</v>
      </c>
      <c r="AX163" s="123">
        <f t="shared" si="351"/>
        <v>0</v>
      </c>
      <c r="AY163" s="123">
        <f>IF(BC162&lt;0.01,0,IF(Adm!$S$4=Adm!$S$8,BC162*$BC$16,BC162*Adm!$V$4))</f>
        <v>0</v>
      </c>
      <c r="AZ163" s="123"/>
      <c r="BA163" s="123">
        <f>IF(BC162&lt;0.01,0,Adm!$Q$6)</f>
        <v>0</v>
      </c>
      <c r="BB163" s="123">
        <f t="shared" si="317"/>
        <v>0</v>
      </c>
      <c r="BC163" s="297">
        <f t="shared" si="352"/>
        <v>0</v>
      </c>
      <c r="BE163" s="425">
        <f t="shared" si="318"/>
        <v>0</v>
      </c>
      <c r="BH163" s="90">
        <f t="shared" si="353"/>
        <v>7</v>
      </c>
      <c r="BI163" s="121">
        <f>IF(BH163=1,Cal!$AD$127,0)</f>
        <v>0</v>
      </c>
      <c r="BM163" s="221"/>
      <c r="BO163" s="295">
        <f t="shared" ca="1" si="319"/>
        <v>10</v>
      </c>
      <c r="BP163" s="268">
        <f t="shared" si="320"/>
        <v>0</v>
      </c>
      <c r="BQ163" s="123">
        <f t="shared" si="354"/>
        <v>0</v>
      </c>
      <c r="BR163" s="123">
        <f t="shared" si="288"/>
        <v>0</v>
      </c>
      <c r="BS163" s="123">
        <f t="shared" si="296"/>
        <v>0</v>
      </c>
      <c r="BT163" s="123">
        <f>IF(BZ162&lt;0.01,0,IF(Plus!$F$22=Plus!$AN$4,BZ162*$BZ$15,IF(Plus!$F$22=Plus!$AN$3,BZ162*Plus!$F$23/1000,BZ162*VLOOKUP(Plus!$G$21,Plus!$AP$2:'Plus'!$AQ$5,2,0))))</f>
        <v>0</v>
      </c>
      <c r="BU163" s="123">
        <f>IF(BZ162&lt;0.01,0,IF(Plus!$F$24=Plus!$AO$3,Plus!$G$13*Plus!$AR$2/1.16,IF(Plus!$F$10=Plus!$AK$7,0,Plus!$G$13*Plus!$AR$2/1.16)))</f>
        <v>0</v>
      </c>
      <c r="BV163" s="123">
        <f>IF(BZ162&lt;0.01,0,Plus!$BD$2)</f>
        <v>0</v>
      </c>
      <c r="BW163" s="123"/>
      <c r="BX163" s="123">
        <f t="shared" si="321"/>
        <v>0</v>
      </c>
      <c r="BY163" s="123">
        <f>IF(Plus!$F$10=Plus!$AK$3,MIN(BZ162+BQ163+BT163+BU163+BV163-BX163,CJ163),0)</f>
        <v>0</v>
      </c>
      <c r="BZ163" s="297">
        <f t="shared" si="428"/>
        <v>0</v>
      </c>
      <c r="CA163" s="74"/>
      <c r="CB163" s="74"/>
      <c r="CC163" s="413">
        <f t="shared" si="355"/>
        <v>0</v>
      </c>
      <c r="CF163" s="90">
        <f t="shared" si="356"/>
        <v>7</v>
      </c>
      <c r="CG163" s="121">
        <f t="shared" si="409"/>
        <v>0</v>
      </c>
      <c r="CI163" s="70">
        <f t="shared" si="410"/>
        <v>0</v>
      </c>
      <c r="CJ163" s="2178">
        <f t="shared" ca="1" si="357"/>
        <v>0</v>
      </c>
      <c r="CL163" s="161"/>
      <c r="CN163" s="308">
        <f t="shared" ca="1" si="322"/>
        <v>10</v>
      </c>
      <c r="CO163" s="309">
        <f t="shared" si="358"/>
        <v>0</v>
      </c>
      <c r="CP163" s="268">
        <f t="shared" si="323"/>
        <v>0</v>
      </c>
      <c r="CQ163" s="123">
        <f t="shared" si="359"/>
        <v>0</v>
      </c>
      <c r="CR163" s="123">
        <f t="shared" si="289"/>
        <v>0</v>
      </c>
      <c r="CS163" s="123">
        <f t="shared" si="290"/>
        <v>0</v>
      </c>
      <c r="CT163" s="33">
        <f>IF(CZ162&lt;0.01,0,IF(Plus!$F$22=Plus!$AN$4,0,IF(Plus!$F$22=Plus!$AN$3,CZ162*Plus!$F$23/1000,CZ162*VLOOKUP(Plus!$G$21,Plus!$AP$2:'Plus'!$AQ$5,2,0))))</f>
        <v>0</v>
      </c>
      <c r="CU163" s="123">
        <f>IF(CZ162&lt;0.01,0,IF(Plus!$F$24=Plus!$AO$3,0,IF(OR(Plus!$F$10=Plus!$AK$7,Plus!$F$10=Plus!$AK$13),0,Plus!$G$13*Plus!$AR$2)))</f>
        <v>0</v>
      </c>
      <c r="CV163" s="123">
        <f>IF(CZ162&lt;0.01,0,IF(OR(Plus!$F$10=Plus!$AK$7,Plus!$F$10=Plus!$AK$13),0,Plus!$BD$2*1.16))</f>
        <v>0</v>
      </c>
      <c r="CW163" s="123">
        <f>IF(CZ162&lt;0.01,0,IF(Plus!$AS$2&gt;0,CQ163*Plus!$AS$3,0))</f>
        <v>0</v>
      </c>
      <c r="CX163" s="123">
        <f t="shared" si="360"/>
        <v>0</v>
      </c>
      <c r="CY163" s="123">
        <f>IF(Plus!$F$10=Plus!$AK$3,MIN(CZ162+CQ163+CT163+CU163+CV163-CX163,DK163),0)</f>
        <v>0</v>
      </c>
      <c r="CZ163" s="297">
        <f t="shared" si="294"/>
        <v>0</v>
      </c>
      <c r="DA163" s="306">
        <f>Plus!O204</f>
        <v>0</v>
      </c>
      <c r="DB163" s="74"/>
      <c r="DC163" s="74"/>
      <c r="DD163" s="407">
        <f t="shared" si="361"/>
        <v>0</v>
      </c>
      <c r="DG163" s="90">
        <f t="shared" si="362"/>
        <v>7</v>
      </c>
      <c r="DH163" s="121">
        <f t="shared" si="411"/>
        <v>0</v>
      </c>
      <c r="DJ163" s="149">
        <f t="shared" si="412"/>
        <v>0</v>
      </c>
      <c r="DK163" s="2179">
        <f t="shared" ca="1" si="363"/>
        <v>0</v>
      </c>
      <c r="DN163" s="120">
        <f t="shared" si="413"/>
        <v>0</v>
      </c>
      <c r="DO163" s="110">
        <f t="shared" si="364"/>
        <v>0</v>
      </c>
      <c r="DP163" s="110">
        <f t="shared" si="422"/>
        <v>0</v>
      </c>
      <c r="DQ163" s="109">
        <f t="shared" si="365"/>
        <v>0</v>
      </c>
      <c r="DR163" s="109">
        <f t="shared" si="366"/>
        <v>0</v>
      </c>
      <c r="DS163" s="113">
        <f t="shared" si="367"/>
        <v>0</v>
      </c>
      <c r="DU163" s="102">
        <f t="shared" si="368"/>
        <v>0</v>
      </c>
      <c r="DV163" s="211">
        <f t="shared" si="423"/>
        <v>139</v>
      </c>
      <c r="DW163" s="212">
        <f t="shared" si="369"/>
        <v>0</v>
      </c>
      <c r="DX163" s="212">
        <f t="shared" si="324"/>
        <v>0</v>
      </c>
      <c r="DY163" s="212">
        <f t="shared" si="414"/>
        <v>0</v>
      </c>
      <c r="DZ163" s="213">
        <f t="shared" si="325"/>
        <v>1000000</v>
      </c>
      <c r="ED163" s="182"/>
      <c r="EF163" s="308">
        <f t="shared" ca="1" si="326"/>
        <v>10</v>
      </c>
      <c r="EG163" s="309">
        <f t="shared" si="370"/>
        <v>0</v>
      </c>
      <c r="EH163" s="268">
        <f t="shared" si="327"/>
        <v>0</v>
      </c>
      <c r="EI163" s="33">
        <f t="shared" si="371"/>
        <v>0</v>
      </c>
      <c r="EJ163" s="33">
        <f t="shared" si="291"/>
        <v>0</v>
      </c>
      <c r="EK163" s="33">
        <f t="shared" si="297"/>
        <v>0</v>
      </c>
      <c r="EL163" s="33">
        <f>IF(ER162&lt;0.01,0,IF(Plus!$F$22=Plus!$AN$4,0,IF(Plus!$F$22=Plus!$AN$3,ER162*Plus!$F$23/1000,ER162*VLOOKUP(Plus!$G$21,Plus!$AP$2:'Plus'!$AQ$5,2,0))))</f>
        <v>0</v>
      </c>
      <c r="EM163" s="33">
        <f>IF(ER162&lt;0.01,0,IF(Plus!$F$24=Plus!$AO$3,0,IF(OR(Plus!$F$10=Plus!$AK$7,Plus!$F$10=Plus!$AK$13),0,Plus!$G$13*Plus!$AR$2)))</f>
        <v>0</v>
      </c>
      <c r="EN163" s="33">
        <f>IF(ER162&lt;0.01,0,IF(OR(Plus!$F$10=Plus!$AK$7,Plus!$F$10=Plus!$AK$13),0,Plus!$BD$2*1.16))</f>
        <v>0</v>
      </c>
      <c r="EO163" s="33">
        <f>IF(ER162&lt;0.01,0,IF(Plus!$AS$2&gt;0,EI163*Plus!$AS$3,0))</f>
        <v>0</v>
      </c>
      <c r="EP163" s="33">
        <f t="shared" si="372"/>
        <v>0</v>
      </c>
      <c r="EQ163" s="33">
        <f>IF(Plus!$F$10=Plus!$AK$3,MIN(ER162+EI163+EL163+EM163+EN163-EP163,FC163),0)</f>
        <v>0</v>
      </c>
      <c r="ER163" s="311">
        <f t="shared" ref="ER163:ER226" si="431">IF(ER162&lt;0.01,0,ER162-EJ163-EQ163-ES163)</f>
        <v>0</v>
      </c>
      <c r="ES163" s="340">
        <f>Plus!O204</f>
        <v>0</v>
      </c>
      <c r="ET163" s="74"/>
      <c r="EU163" s="74"/>
      <c r="EV163" s="416">
        <f t="shared" si="429"/>
        <v>0</v>
      </c>
      <c r="EY163" s="90">
        <f t="shared" si="373"/>
        <v>7</v>
      </c>
      <c r="EZ163" s="121">
        <f t="shared" si="415"/>
        <v>0</v>
      </c>
      <c r="FB163" s="149">
        <f t="shared" si="416"/>
        <v>0</v>
      </c>
      <c r="FC163" s="2179">
        <f t="shared" ca="1" si="374"/>
        <v>0</v>
      </c>
      <c r="FE163" s="120">
        <f t="shared" si="417"/>
        <v>0</v>
      </c>
      <c r="FF163" s="110">
        <f t="shared" si="375"/>
        <v>0</v>
      </c>
      <c r="FG163" s="110">
        <f t="shared" si="376"/>
        <v>0</v>
      </c>
      <c r="FH163" s="109">
        <f t="shared" si="377"/>
        <v>0</v>
      </c>
      <c r="FI163" s="109">
        <f t="shared" si="328"/>
        <v>0</v>
      </c>
      <c r="FJ163" s="113">
        <f t="shared" si="378"/>
        <v>0</v>
      </c>
      <c r="FL163" s="102">
        <f t="shared" si="379"/>
        <v>0</v>
      </c>
      <c r="FM163" s="211">
        <f t="shared" si="424"/>
        <v>139</v>
      </c>
      <c r="FN163" s="212">
        <f t="shared" si="380"/>
        <v>0</v>
      </c>
      <c r="FO163" s="212">
        <f t="shared" si="329"/>
        <v>0</v>
      </c>
      <c r="FP163" s="212">
        <f t="shared" si="426"/>
        <v>0</v>
      </c>
      <c r="FQ163" s="213">
        <f t="shared" si="330"/>
        <v>1000000</v>
      </c>
      <c r="FV163" s="359"/>
      <c r="FX163" s="308">
        <f t="shared" ca="1" si="331"/>
        <v>10</v>
      </c>
      <c r="FY163" s="309">
        <f t="shared" si="381"/>
        <v>0</v>
      </c>
      <c r="FZ163" s="268">
        <f t="shared" si="332"/>
        <v>0</v>
      </c>
      <c r="GA163" s="33">
        <f t="shared" si="382"/>
        <v>0</v>
      </c>
      <c r="GB163" s="33">
        <f t="shared" si="292"/>
        <v>0</v>
      </c>
      <c r="GC163" s="33">
        <f t="shared" si="293"/>
        <v>0</v>
      </c>
      <c r="GD163" s="33">
        <f>IF(GJ162&lt;0.01,0,IF(Plus!$F$22=Plus!$AN$4,0,IF(Plus!$F$22=Plus!$AN$3,GJ162*Plus!$F$23/1000,GJ162*VLOOKUP(Plus!$G$21,Plus!$AP$2:$AQ$5,2,0))))</f>
        <v>0</v>
      </c>
      <c r="GE163" s="33">
        <f>IF(GJ162&lt;0.01,0,IF(Plus!$F$24=Plus!$AO$3,0,IF(OR(Plus!$F$10=Plus!$AK$7,Plus!$F$10=Plus!$AK$13,Plus!$F$10=Plus!$AK$14),0,IF(OR(Plus!$F$10=Plus!$AK$10,Plus!$F$10=Plus!$AK$11),Plus!$G$13*Adm!$W$7,Plus!$G$13*Adm!$X$4))))</f>
        <v>0</v>
      </c>
      <c r="GF163" s="33">
        <f>IF(GJ162&lt;0.01,0,IF(OR(Plus!$F$10=Plus!$AK$7,Plus!$F$10=Plus!$AK$13),0,Plus!$BD$2*1.16))</f>
        <v>0</v>
      </c>
      <c r="GG163" s="33">
        <f>IF(GJ162&lt;0.01,0,IF(Plus!$AS$2&gt;0,GA163*Plus!$AS$3,0))</f>
        <v>0</v>
      </c>
      <c r="GH163" s="33">
        <f t="shared" si="383"/>
        <v>0</v>
      </c>
      <c r="GI163" s="33">
        <f>IF(Plus!$F$10=Plus!$AK$3,MIN(GJ162+GA163+GD163+GE163+GF163-GH163,GU163),0)</f>
        <v>0</v>
      </c>
      <c r="GJ163" s="311">
        <f t="shared" ref="GJ163:GJ226" si="432">IF(GJ162&lt;0.01,0,GJ162-GB163-GI163-GK163)</f>
        <v>0</v>
      </c>
      <c r="GK163" s="340">
        <f>Plus!O204</f>
        <v>0</v>
      </c>
      <c r="GL163" s="74"/>
      <c r="GM163" s="74"/>
      <c r="GN163" s="419">
        <f t="shared" si="430"/>
        <v>0</v>
      </c>
      <c r="GQ163" s="90">
        <f t="shared" si="384"/>
        <v>7</v>
      </c>
      <c r="GR163" s="121">
        <f t="shared" si="418"/>
        <v>0</v>
      </c>
      <c r="GT163" s="149">
        <f t="shared" si="419"/>
        <v>0</v>
      </c>
      <c r="GU163" s="2179">
        <f t="shared" ca="1" si="385"/>
        <v>0</v>
      </c>
      <c r="GW163" s="120">
        <f t="shared" si="420"/>
        <v>0</v>
      </c>
      <c r="GX163" s="110">
        <f t="shared" si="386"/>
        <v>0</v>
      </c>
      <c r="GY163" s="110">
        <f t="shared" si="387"/>
        <v>0</v>
      </c>
      <c r="GZ163" s="109">
        <f t="shared" si="388"/>
        <v>0</v>
      </c>
      <c r="HA163" s="109">
        <f t="shared" si="333"/>
        <v>0</v>
      </c>
      <c r="HB163" s="113">
        <f t="shared" si="389"/>
        <v>0</v>
      </c>
      <c r="HD163" s="102">
        <f t="shared" si="390"/>
        <v>0</v>
      </c>
      <c r="HE163" s="211">
        <f t="shared" si="425"/>
        <v>139</v>
      </c>
      <c r="HF163" s="212">
        <f t="shared" si="391"/>
        <v>0</v>
      </c>
      <c r="HG163" s="212">
        <f t="shared" si="334"/>
        <v>0</v>
      </c>
      <c r="HH163" s="212">
        <f t="shared" si="427"/>
        <v>0</v>
      </c>
      <c r="HI163" s="213">
        <f t="shared" si="335"/>
        <v>1000000</v>
      </c>
      <c r="HL163" s="182"/>
      <c r="HM163" s="26">
        <f t="shared" ca="1" si="336"/>
        <v>10</v>
      </c>
      <c r="HO163" s="268">
        <f t="shared" si="337"/>
        <v>0</v>
      </c>
      <c r="HP163" s="151">
        <f t="shared" si="302"/>
        <v>0</v>
      </c>
      <c r="HQ163" s="123">
        <f t="shared" si="392"/>
        <v>0</v>
      </c>
      <c r="HR163" s="123">
        <f t="shared" si="393"/>
        <v>0</v>
      </c>
      <c r="HS163" s="123">
        <f t="shared" si="394"/>
        <v>0</v>
      </c>
      <c r="HT163" s="123">
        <f>IF(HY162&lt;0.01,0,IF(Adm!$GS$4=Adm!$GS$8,HY162*$HY$15,IF(Adm!$GS$12=Adm!$GS$13,0,HY162*Adm!$GV$4)))</f>
        <v>0</v>
      </c>
      <c r="HU163" s="123">
        <f>IF(HY162&lt;0.01,0,IF(Adm!$GS$5=Adm!$GS$8,Cal!$BO$108*$HY$16/1.16,IF(Adm!$GS$12=Adm!$GS$13,0,Cal!$BO$108*Adm!$GW$4/1.16)))</f>
        <v>0</v>
      </c>
      <c r="HV163" s="123">
        <f t="shared" si="395"/>
        <v>0</v>
      </c>
      <c r="HW163" s="123">
        <f t="shared" si="338"/>
        <v>0</v>
      </c>
      <c r="HX163" s="123">
        <f>IF(Adm!$GH$6="si",MIN(HY162+HQ163+HT163+HU163+HV163-HW163,IH163),0)</f>
        <v>0</v>
      </c>
      <c r="HY163" s="297">
        <f t="shared" si="396"/>
        <v>0</v>
      </c>
      <c r="HZ163" s="74"/>
      <c r="IA163" s="407">
        <f t="shared" si="397"/>
        <v>0</v>
      </c>
      <c r="IC163" s="90">
        <f t="shared" si="398"/>
        <v>7</v>
      </c>
      <c r="ID163" s="124">
        <f>IF(IC163=1,Cal!$BO$127,0)</f>
        <v>0</v>
      </c>
      <c r="IE163" s="178">
        <f>IF(IC163=1,Adm!$HI$4,0)</f>
        <v>0</v>
      </c>
      <c r="IG163" s="70">
        <f t="shared" si="421"/>
        <v>0</v>
      </c>
      <c r="IH163" s="2178">
        <f t="shared" ca="1" si="399"/>
        <v>0</v>
      </c>
      <c r="IK163" s="217"/>
      <c r="IL163" s="26">
        <f t="shared" ca="1" si="339"/>
        <v>10</v>
      </c>
      <c r="IN163" s="268">
        <f t="shared" si="340"/>
        <v>0</v>
      </c>
      <c r="IO163" s="151">
        <f t="shared" si="303"/>
        <v>0</v>
      </c>
      <c r="IP163" s="123">
        <f t="shared" si="400"/>
        <v>0</v>
      </c>
      <c r="IQ163" s="123">
        <f t="shared" si="401"/>
        <v>0</v>
      </c>
      <c r="IR163" s="123">
        <f t="shared" si="402"/>
        <v>0</v>
      </c>
      <c r="IS163" s="123">
        <f>IF(IX162&lt;0.01,0,IF(Adm!$GS$4=Adm!$GS$8,IX162*$IX$15,IF(Adm!$GS$12=Adm!$GS$13,0,IX162*Adm!$GV$4)))</f>
        <v>0</v>
      </c>
      <c r="IT163" s="123"/>
      <c r="IU163" s="123">
        <f t="shared" si="403"/>
        <v>0</v>
      </c>
      <c r="IV163" s="123">
        <f t="shared" si="404"/>
        <v>0</v>
      </c>
      <c r="IW163" s="123"/>
      <c r="IX163" s="297">
        <f t="shared" si="405"/>
        <v>0</v>
      </c>
      <c r="IY163" s="74"/>
      <c r="IZ163" s="416">
        <f t="shared" si="406"/>
        <v>0</v>
      </c>
      <c r="JB163" s="90">
        <f t="shared" si="407"/>
        <v>7</v>
      </c>
      <c r="JC163" s="124">
        <f>IF(JB163=1,Cal!$BP$127,0)</f>
        <v>0</v>
      </c>
      <c r="JD163" s="178">
        <f>IF(JB163=1,Adm!$HI$4,0)</f>
        <v>0</v>
      </c>
    </row>
    <row r="164" spans="1:264">
      <c r="A164" s="26">
        <f t="shared" ca="1" si="308"/>
        <v>11</v>
      </c>
      <c r="C164" s="33">
        <f t="shared" si="309"/>
        <v>0</v>
      </c>
      <c r="D164" s="123">
        <f t="shared" si="341"/>
        <v>0</v>
      </c>
      <c r="E164" s="123">
        <f t="shared" si="287"/>
        <v>0</v>
      </c>
      <c r="F164" s="123">
        <f t="shared" si="295"/>
        <v>0</v>
      </c>
      <c r="G164" s="123">
        <f>IF(L163&lt;0.01,0,IF(Adm!$S$4=Adm!$S$8,L163*$L$15,L163*Adm!$V$4))</f>
        <v>0</v>
      </c>
      <c r="H164" s="123">
        <f>IF(L163&lt;0.01,0,IF(Adm!$S$5=Adm!$S$8,Adm!$AA$11*$L$16/1.16,IF(Adm!$B$4=Adm!$A$119,0,Adm!$AA$11*Adm!$X$4/1.16)))</f>
        <v>0</v>
      </c>
      <c r="I164" s="123">
        <f>IF(L163&lt;0.01,0,Cal!$AB$126/1.16)</f>
        <v>0</v>
      </c>
      <c r="J164" s="123">
        <f t="shared" si="310"/>
        <v>0</v>
      </c>
      <c r="K164" s="123">
        <f>IF(Adm!$G$4="si",MIN(L163+D164+G164+H164+I164-J164,V164),0)</f>
        <v>0</v>
      </c>
      <c r="L164" s="123">
        <f t="shared" si="342"/>
        <v>0</v>
      </c>
      <c r="M164" s="74"/>
      <c r="N164" s="74"/>
      <c r="O164" s="407">
        <f t="shared" si="343"/>
        <v>0</v>
      </c>
      <c r="R164" s="90">
        <f t="shared" si="344"/>
        <v>8</v>
      </c>
      <c r="S164" s="121">
        <f>IF(R164=1,Cal!$AB$127,0)</f>
        <v>0</v>
      </c>
      <c r="U164" s="70">
        <f t="shared" si="408"/>
        <v>0</v>
      </c>
      <c r="V164" s="2178">
        <f t="shared" ca="1" si="345"/>
        <v>0</v>
      </c>
      <c r="X164" s="398"/>
      <c r="Z164" s="268">
        <f t="shared" si="311"/>
        <v>0</v>
      </c>
      <c r="AA164" s="2176">
        <f t="shared" si="346"/>
        <v>0</v>
      </c>
      <c r="AB164" s="33">
        <f t="shared" si="347"/>
        <v>0</v>
      </c>
      <c r="AC164" s="33">
        <f t="shared" si="348"/>
        <v>0</v>
      </c>
      <c r="AD164" s="33">
        <f>IF(AI163&lt;0.01,0,IF(Adm!$S$4=Adm!$S$8,AI163*$AI$15,AI163*Adm!$V$4))</f>
        <v>0</v>
      </c>
      <c r="AE164" s="33"/>
      <c r="AF164" s="33"/>
      <c r="AG164" s="33">
        <f t="shared" si="312"/>
        <v>0</v>
      </c>
      <c r="AH164" s="33"/>
      <c r="AI164" s="401">
        <f t="shared" si="313"/>
        <v>0</v>
      </c>
      <c r="AK164" s="410">
        <f t="shared" si="314"/>
        <v>0</v>
      </c>
      <c r="AN164" s="90">
        <f t="shared" si="349"/>
        <v>8</v>
      </c>
      <c r="AO164" s="121">
        <f>IF(AN164=1,Cal!$AC$127,0)</f>
        <v>0</v>
      </c>
      <c r="AS164" s="200"/>
      <c r="AU164" s="268">
        <f t="shared" si="315"/>
        <v>0</v>
      </c>
      <c r="AV164" s="2177">
        <f t="shared" si="350"/>
        <v>0</v>
      </c>
      <c r="AW164" s="123">
        <f t="shared" si="316"/>
        <v>0</v>
      </c>
      <c r="AX164" s="123">
        <f t="shared" si="351"/>
        <v>0</v>
      </c>
      <c r="AY164" s="123">
        <f>IF(BC163&lt;0.01,0,IF(Adm!$S$4=Adm!$S$8,BC163*$BC$16,BC163*Adm!$V$4))</f>
        <v>0</v>
      </c>
      <c r="AZ164" s="123"/>
      <c r="BA164" s="123">
        <f>IF(BC163&lt;0.01,0,Adm!$Q$6)</f>
        <v>0</v>
      </c>
      <c r="BB164" s="123">
        <f t="shared" si="317"/>
        <v>0</v>
      </c>
      <c r="BC164" s="297">
        <f t="shared" si="352"/>
        <v>0</v>
      </c>
      <c r="BE164" s="425">
        <f t="shared" si="318"/>
        <v>0</v>
      </c>
      <c r="BH164" s="90">
        <f t="shared" si="353"/>
        <v>8</v>
      </c>
      <c r="BI164" s="121">
        <f>IF(BH164=1,Cal!$AD$127,0)</f>
        <v>0</v>
      </c>
      <c r="BM164" s="221"/>
      <c r="BO164" s="295">
        <f t="shared" ca="1" si="319"/>
        <v>11</v>
      </c>
      <c r="BP164" s="268">
        <f t="shared" si="320"/>
        <v>0</v>
      </c>
      <c r="BQ164" s="123">
        <f t="shared" si="354"/>
        <v>0</v>
      </c>
      <c r="BR164" s="123">
        <f t="shared" si="288"/>
        <v>0</v>
      </c>
      <c r="BS164" s="123">
        <f t="shared" si="296"/>
        <v>0</v>
      </c>
      <c r="BT164" s="123">
        <f>IF(BZ163&lt;0.01,0,IF(Plus!$F$22=Plus!$AN$4,BZ163*$BZ$15,IF(Plus!$F$22=Plus!$AN$3,BZ163*Plus!$F$23/1000,BZ163*VLOOKUP(Plus!$G$21,Plus!$AP$2:'Plus'!$AQ$5,2,0))))</f>
        <v>0</v>
      </c>
      <c r="BU164" s="123">
        <f>IF(BZ163&lt;0.01,0,IF(Plus!$F$24=Plus!$AO$3,Plus!$G$13*Plus!$AR$2/1.16,IF(Plus!$F$10=Plus!$AK$7,0,Plus!$G$13*Plus!$AR$2/1.16)))</f>
        <v>0</v>
      </c>
      <c r="BV164" s="123">
        <f>IF(BZ163&lt;0.01,0,Plus!$BD$2)</f>
        <v>0</v>
      </c>
      <c r="BW164" s="123"/>
      <c r="BX164" s="123">
        <f t="shared" si="321"/>
        <v>0</v>
      </c>
      <c r="BY164" s="123">
        <f>IF(Plus!$F$10=Plus!$AK$3,MIN(BZ163+BQ164+BT164+BU164+BV164-BX164,CJ164),0)</f>
        <v>0</v>
      </c>
      <c r="BZ164" s="297">
        <f t="shared" si="428"/>
        <v>0</v>
      </c>
      <c r="CA164" s="74"/>
      <c r="CB164" s="74"/>
      <c r="CC164" s="413">
        <f t="shared" si="355"/>
        <v>0</v>
      </c>
      <c r="CF164" s="90">
        <f t="shared" si="356"/>
        <v>8</v>
      </c>
      <c r="CG164" s="121">
        <f t="shared" si="409"/>
        <v>0</v>
      </c>
      <c r="CI164" s="70">
        <f t="shared" si="410"/>
        <v>0</v>
      </c>
      <c r="CJ164" s="2178">
        <f t="shared" ca="1" si="357"/>
        <v>0</v>
      </c>
      <c r="CL164" s="161"/>
      <c r="CN164" s="308">
        <f t="shared" ca="1" si="322"/>
        <v>11</v>
      </c>
      <c r="CO164" s="309">
        <f t="shared" si="358"/>
        <v>0</v>
      </c>
      <c r="CP164" s="268">
        <f t="shared" si="323"/>
        <v>0</v>
      </c>
      <c r="CQ164" s="123">
        <f t="shared" si="359"/>
        <v>0</v>
      </c>
      <c r="CR164" s="123">
        <f t="shared" si="289"/>
        <v>0</v>
      </c>
      <c r="CS164" s="123">
        <f t="shared" si="290"/>
        <v>0</v>
      </c>
      <c r="CT164" s="33">
        <f>IF(CZ163&lt;0.01,0,IF(Plus!$F$22=Plus!$AN$4,0,IF(Plus!$F$22=Plus!$AN$3,CZ163*Plus!$F$23/1000,CZ163*VLOOKUP(Plus!$G$21,Plus!$AP$2:'Plus'!$AQ$5,2,0))))</f>
        <v>0</v>
      </c>
      <c r="CU164" s="123">
        <f>IF(CZ163&lt;0.01,0,IF(Plus!$F$24=Plus!$AO$3,0,IF(OR(Plus!$F$10=Plus!$AK$7,Plus!$F$10=Plus!$AK$13),0,Plus!$G$13*Plus!$AR$2)))</f>
        <v>0</v>
      </c>
      <c r="CV164" s="123">
        <f>IF(CZ163&lt;0.01,0,IF(OR(Plus!$F$10=Plus!$AK$7,Plus!$F$10=Plus!$AK$13),0,Plus!$BD$2*1.16))</f>
        <v>0</v>
      </c>
      <c r="CW164" s="123">
        <f>IF(CZ163&lt;0.01,0,IF(Plus!$AS$2&gt;0,CQ164*Plus!$AS$3,0))</f>
        <v>0</v>
      </c>
      <c r="CX164" s="123">
        <f t="shared" si="360"/>
        <v>0</v>
      </c>
      <c r="CY164" s="123">
        <f>IF(Plus!$F$10=Plus!$AK$3,MIN(CZ163+CQ164+CT164+CU164+CV164-CX164,DK164),0)</f>
        <v>0</v>
      </c>
      <c r="CZ164" s="297">
        <f t="shared" si="294"/>
        <v>0</v>
      </c>
      <c r="DA164" s="306">
        <f>Plus!O205</f>
        <v>0</v>
      </c>
      <c r="DB164" s="74"/>
      <c r="DC164" s="74"/>
      <c r="DD164" s="407">
        <f t="shared" si="361"/>
        <v>0</v>
      </c>
      <c r="DG164" s="90">
        <f t="shared" si="362"/>
        <v>8</v>
      </c>
      <c r="DH164" s="121">
        <f t="shared" si="411"/>
        <v>0</v>
      </c>
      <c r="DJ164" s="149">
        <f t="shared" si="412"/>
        <v>0</v>
      </c>
      <c r="DK164" s="2179">
        <f t="shared" ca="1" si="363"/>
        <v>0</v>
      </c>
      <c r="DN164" s="120">
        <f t="shared" si="413"/>
        <v>0</v>
      </c>
      <c r="DO164" s="110">
        <f t="shared" si="364"/>
        <v>0</v>
      </c>
      <c r="DP164" s="110">
        <f t="shared" si="422"/>
        <v>0</v>
      </c>
      <c r="DQ164" s="109">
        <f t="shared" si="365"/>
        <v>0</v>
      </c>
      <c r="DR164" s="109">
        <f t="shared" si="366"/>
        <v>0</v>
      </c>
      <c r="DS164" s="113">
        <f t="shared" si="367"/>
        <v>0</v>
      </c>
      <c r="DU164" s="102">
        <f t="shared" si="368"/>
        <v>0</v>
      </c>
      <c r="DV164" s="211">
        <f t="shared" si="423"/>
        <v>140</v>
      </c>
      <c r="DW164" s="212">
        <f t="shared" si="369"/>
        <v>0</v>
      </c>
      <c r="DX164" s="212">
        <f t="shared" si="324"/>
        <v>0</v>
      </c>
      <c r="DY164" s="212">
        <f t="shared" si="414"/>
        <v>0</v>
      </c>
      <c r="DZ164" s="213">
        <f t="shared" si="325"/>
        <v>1000000</v>
      </c>
      <c r="ED164" s="182"/>
      <c r="EF164" s="308">
        <f t="shared" ca="1" si="326"/>
        <v>11</v>
      </c>
      <c r="EG164" s="309">
        <f t="shared" si="370"/>
        <v>0</v>
      </c>
      <c r="EH164" s="268">
        <f t="shared" si="327"/>
        <v>0</v>
      </c>
      <c r="EI164" s="33">
        <f t="shared" si="371"/>
        <v>0</v>
      </c>
      <c r="EJ164" s="33">
        <f t="shared" si="291"/>
        <v>0</v>
      </c>
      <c r="EK164" s="33">
        <f t="shared" si="297"/>
        <v>0</v>
      </c>
      <c r="EL164" s="33">
        <f>IF(ER163&lt;0.01,0,IF(Plus!$F$22=Plus!$AN$4,0,IF(Plus!$F$22=Plus!$AN$3,ER163*Plus!$F$23/1000,ER163*VLOOKUP(Plus!$G$21,Plus!$AP$2:'Plus'!$AQ$5,2,0))))</f>
        <v>0</v>
      </c>
      <c r="EM164" s="33">
        <f>IF(ER163&lt;0.01,0,IF(Plus!$F$24=Plus!$AO$3,0,IF(OR(Plus!$F$10=Plus!$AK$7,Plus!$F$10=Plus!$AK$13),0,Plus!$G$13*Plus!$AR$2)))</f>
        <v>0</v>
      </c>
      <c r="EN164" s="33">
        <f>IF(ER163&lt;0.01,0,IF(OR(Plus!$F$10=Plus!$AK$7,Plus!$F$10=Plus!$AK$13),0,Plus!$BD$2*1.16))</f>
        <v>0</v>
      </c>
      <c r="EO164" s="33">
        <f>IF(ER163&lt;0.01,0,IF(Plus!$AS$2&gt;0,EI164*Plus!$AS$3,0))</f>
        <v>0</v>
      </c>
      <c r="EP164" s="33">
        <f t="shared" si="372"/>
        <v>0</v>
      </c>
      <c r="EQ164" s="33">
        <f>IF(Plus!$F$10=Plus!$AK$3,MIN(ER163+EI164+EL164+EM164+EN164-EP164,FC164),0)</f>
        <v>0</v>
      </c>
      <c r="ER164" s="311">
        <f t="shared" si="431"/>
        <v>0</v>
      </c>
      <c r="ES164" s="340">
        <f>Plus!O205</f>
        <v>0</v>
      </c>
      <c r="ET164" s="74"/>
      <c r="EU164" s="74"/>
      <c r="EV164" s="416">
        <f t="shared" si="429"/>
        <v>0</v>
      </c>
      <c r="EY164" s="90">
        <f t="shared" si="373"/>
        <v>8</v>
      </c>
      <c r="EZ164" s="121">
        <f t="shared" si="415"/>
        <v>0</v>
      </c>
      <c r="FB164" s="149">
        <f t="shared" si="416"/>
        <v>0</v>
      </c>
      <c r="FC164" s="2179">
        <f t="shared" ca="1" si="374"/>
        <v>0</v>
      </c>
      <c r="FE164" s="120">
        <f t="shared" si="417"/>
        <v>0</v>
      </c>
      <c r="FF164" s="110">
        <f t="shared" si="375"/>
        <v>0</v>
      </c>
      <c r="FG164" s="110">
        <f t="shared" si="376"/>
        <v>0</v>
      </c>
      <c r="FH164" s="109">
        <f t="shared" si="377"/>
        <v>0</v>
      </c>
      <c r="FI164" s="109">
        <f t="shared" si="328"/>
        <v>0</v>
      </c>
      <c r="FJ164" s="113">
        <f t="shared" si="378"/>
        <v>0</v>
      </c>
      <c r="FL164" s="102">
        <f t="shared" si="379"/>
        <v>0</v>
      </c>
      <c r="FM164" s="211">
        <f t="shared" si="424"/>
        <v>140</v>
      </c>
      <c r="FN164" s="212">
        <f t="shared" si="380"/>
        <v>0</v>
      </c>
      <c r="FO164" s="212">
        <f t="shared" si="329"/>
        <v>0</v>
      </c>
      <c r="FP164" s="212">
        <f t="shared" si="426"/>
        <v>0</v>
      </c>
      <c r="FQ164" s="213">
        <f t="shared" si="330"/>
        <v>1000000</v>
      </c>
      <c r="FV164" s="359"/>
      <c r="FX164" s="308">
        <f t="shared" ca="1" si="331"/>
        <v>11</v>
      </c>
      <c r="FY164" s="309">
        <f t="shared" si="381"/>
        <v>0</v>
      </c>
      <c r="FZ164" s="268">
        <f t="shared" si="332"/>
        <v>0</v>
      </c>
      <c r="GA164" s="33">
        <f t="shared" si="382"/>
        <v>0</v>
      </c>
      <c r="GB164" s="33">
        <f t="shared" si="292"/>
        <v>0</v>
      </c>
      <c r="GC164" s="33">
        <f t="shared" si="293"/>
        <v>0</v>
      </c>
      <c r="GD164" s="33">
        <f>IF(GJ163&lt;0.01,0,IF(Plus!$F$22=Plus!$AN$4,0,IF(Plus!$F$22=Plus!$AN$3,GJ163*Plus!$F$23/1000,GJ163*VLOOKUP(Plus!$G$21,Plus!$AP$2:$AQ$5,2,0))))</f>
        <v>0</v>
      </c>
      <c r="GE164" s="33">
        <f>IF(GJ163&lt;0.01,0,IF(Plus!$F$24=Plus!$AO$3,0,IF(OR(Plus!$F$10=Plus!$AK$7,Plus!$F$10=Plus!$AK$13,Plus!$F$10=Plus!$AK$14),0,IF(OR(Plus!$F$10=Plus!$AK$10,Plus!$F$10=Plus!$AK$11),Plus!$G$13*Adm!$W$7,Plus!$G$13*Adm!$X$4))))</f>
        <v>0</v>
      </c>
      <c r="GF164" s="33">
        <f>IF(GJ163&lt;0.01,0,IF(OR(Plus!$F$10=Plus!$AK$7,Plus!$F$10=Plus!$AK$13),0,Plus!$BD$2*1.16))</f>
        <v>0</v>
      </c>
      <c r="GG164" s="33">
        <f>IF(GJ163&lt;0.01,0,IF(Plus!$AS$2&gt;0,GA164*Plus!$AS$3,0))</f>
        <v>0</v>
      </c>
      <c r="GH164" s="33">
        <f t="shared" si="383"/>
        <v>0</v>
      </c>
      <c r="GI164" s="33">
        <f>IF(Plus!$F$10=Plus!$AK$3,MIN(GJ163+GA164+GD164+GE164+GF164-GH164,GU164),0)</f>
        <v>0</v>
      </c>
      <c r="GJ164" s="311">
        <f t="shared" si="432"/>
        <v>0</v>
      </c>
      <c r="GK164" s="340">
        <f>Plus!O205</f>
        <v>0</v>
      </c>
      <c r="GL164" s="74"/>
      <c r="GM164" s="74"/>
      <c r="GN164" s="419">
        <f t="shared" si="430"/>
        <v>0</v>
      </c>
      <c r="GQ164" s="90">
        <f t="shared" si="384"/>
        <v>8</v>
      </c>
      <c r="GR164" s="121">
        <f t="shared" si="418"/>
        <v>0</v>
      </c>
      <c r="GT164" s="149">
        <f t="shared" si="419"/>
        <v>0</v>
      </c>
      <c r="GU164" s="2179">
        <f t="shared" ca="1" si="385"/>
        <v>0</v>
      </c>
      <c r="GW164" s="120">
        <f t="shared" si="420"/>
        <v>0</v>
      </c>
      <c r="GX164" s="110">
        <f t="shared" si="386"/>
        <v>0</v>
      </c>
      <c r="GY164" s="110">
        <f t="shared" si="387"/>
        <v>0</v>
      </c>
      <c r="GZ164" s="109">
        <f t="shared" si="388"/>
        <v>0</v>
      </c>
      <c r="HA164" s="109">
        <f t="shared" si="333"/>
        <v>0</v>
      </c>
      <c r="HB164" s="113">
        <f t="shared" si="389"/>
        <v>0</v>
      </c>
      <c r="HD164" s="102">
        <f t="shared" si="390"/>
        <v>0</v>
      </c>
      <c r="HE164" s="211">
        <f t="shared" si="425"/>
        <v>140</v>
      </c>
      <c r="HF164" s="212">
        <f t="shared" si="391"/>
        <v>0</v>
      </c>
      <c r="HG164" s="212">
        <f t="shared" si="334"/>
        <v>0</v>
      </c>
      <c r="HH164" s="212">
        <f t="shared" si="427"/>
        <v>0</v>
      </c>
      <c r="HI164" s="213">
        <f t="shared" si="335"/>
        <v>1000000</v>
      </c>
      <c r="HL164" s="182"/>
      <c r="HM164" s="26">
        <f t="shared" ca="1" si="336"/>
        <v>11</v>
      </c>
      <c r="HO164" s="268">
        <f t="shared" si="337"/>
        <v>0</v>
      </c>
      <c r="HP164" s="151">
        <f t="shared" si="302"/>
        <v>0</v>
      </c>
      <c r="HQ164" s="123">
        <f t="shared" si="392"/>
        <v>0</v>
      </c>
      <c r="HR164" s="123">
        <f t="shared" si="393"/>
        <v>0</v>
      </c>
      <c r="HS164" s="123">
        <f t="shared" si="394"/>
        <v>0</v>
      </c>
      <c r="HT164" s="123">
        <f>IF(HY163&lt;0.01,0,IF(Adm!$GS$4=Adm!$GS$8,HY163*$HY$15,IF(Adm!$GS$12=Adm!$GS$13,0,HY163*Adm!$GV$4)))</f>
        <v>0</v>
      </c>
      <c r="HU164" s="123">
        <f>IF(HY163&lt;0.01,0,IF(Adm!$GS$5=Adm!$GS$8,Cal!$BO$108*$HY$16/1.16,IF(Adm!$GS$12=Adm!$GS$13,0,Cal!$BO$108*Adm!$GW$4/1.16)))</f>
        <v>0</v>
      </c>
      <c r="HV164" s="123">
        <f t="shared" si="395"/>
        <v>0</v>
      </c>
      <c r="HW164" s="123">
        <f t="shared" si="338"/>
        <v>0</v>
      </c>
      <c r="HX164" s="123">
        <f>IF(Adm!$GH$6="si",MIN(HY163+HQ164+HT164+HU164+HV164-HW164,IH164),0)</f>
        <v>0</v>
      </c>
      <c r="HY164" s="297">
        <f t="shared" si="396"/>
        <v>0</v>
      </c>
      <c r="HZ164" s="74"/>
      <c r="IA164" s="407">
        <f t="shared" si="397"/>
        <v>0</v>
      </c>
      <c r="IC164" s="90">
        <f t="shared" si="398"/>
        <v>8</v>
      </c>
      <c r="ID164" s="124">
        <f>IF(IC164=1,Cal!$BO$127,0)</f>
        <v>0</v>
      </c>
      <c r="IE164" s="178">
        <f>IF(IC164=1,Adm!$HI$4,0)</f>
        <v>0</v>
      </c>
      <c r="IG164" s="70">
        <f t="shared" si="421"/>
        <v>0</v>
      </c>
      <c r="IH164" s="2178">
        <f t="shared" ca="1" si="399"/>
        <v>0</v>
      </c>
      <c r="IK164" s="217"/>
      <c r="IL164" s="26">
        <f t="shared" ca="1" si="339"/>
        <v>11</v>
      </c>
      <c r="IN164" s="268">
        <f t="shared" si="340"/>
        <v>0</v>
      </c>
      <c r="IO164" s="151">
        <f t="shared" si="303"/>
        <v>0</v>
      </c>
      <c r="IP164" s="123">
        <f t="shared" si="400"/>
        <v>0</v>
      </c>
      <c r="IQ164" s="123">
        <f t="shared" si="401"/>
        <v>0</v>
      </c>
      <c r="IR164" s="123">
        <f t="shared" si="402"/>
        <v>0</v>
      </c>
      <c r="IS164" s="123">
        <f>IF(IX163&lt;0.01,0,IF(Adm!$GS$4=Adm!$GS$8,IX163*$IX$15,IF(Adm!$GS$12=Adm!$GS$13,0,IX163*Adm!$GV$4)))</f>
        <v>0</v>
      </c>
      <c r="IT164" s="123"/>
      <c r="IU164" s="123">
        <f t="shared" si="403"/>
        <v>0</v>
      </c>
      <c r="IV164" s="123">
        <f t="shared" si="404"/>
        <v>0</v>
      </c>
      <c r="IW164" s="123"/>
      <c r="IX164" s="297">
        <f t="shared" si="405"/>
        <v>0</v>
      </c>
      <c r="IY164" s="74"/>
      <c r="IZ164" s="416">
        <f t="shared" si="406"/>
        <v>0</v>
      </c>
      <c r="JB164" s="90">
        <f t="shared" si="407"/>
        <v>8</v>
      </c>
      <c r="JC164" s="124">
        <f>IF(JB164=1,Cal!$BP$127,0)</f>
        <v>0</v>
      </c>
      <c r="JD164" s="178">
        <f>IF(JB164=1,Adm!$HI$4,0)</f>
        <v>0</v>
      </c>
    </row>
    <row r="165" spans="1:264">
      <c r="A165" s="26">
        <f t="shared" ca="1" si="308"/>
        <v>12</v>
      </c>
      <c r="C165" s="33">
        <f t="shared" si="309"/>
        <v>0</v>
      </c>
      <c r="D165" s="123">
        <f t="shared" si="341"/>
        <v>0</v>
      </c>
      <c r="E165" s="123">
        <f t="shared" si="287"/>
        <v>0</v>
      </c>
      <c r="F165" s="123">
        <f t="shared" si="295"/>
        <v>0</v>
      </c>
      <c r="G165" s="123">
        <f>IF(L164&lt;0.01,0,IF(Adm!$S$4=Adm!$S$8,L164*$L$15,L164*Adm!$V$4))</f>
        <v>0</v>
      </c>
      <c r="H165" s="123">
        <f>IF(L164&lt;0.01,0,IF(Adm!$S$5=Adm!$S$8,Adm!$AA$11*$L$16/1.16,IF(Adm!$B$4=Adm!$A$119,0,Adm!$AA$11*Adm!$X$4/1.16)))</f>
        <v>0</v>
      </c>
      <c r="I165" s="123">
        <f>IF(L164&lt;0.01,0,Cal!$AB$126/1.16)</f>
        <v>0</v>
      </c>
      <c r="J165" s="123">
        <f t="shared" si="310"/>
        <v>0</v>
      </c>
      <c r="K165" s="123">
        <f>IF(Adm!$G$4="si",MIN(L164+D165+G165+H165+I165-J165,V165),0)</f>
        <v>0</v>
      </c>
      <c r="L165" s="123">
        <f t="shared" si="342"/>
        <v>0</v>
      </c>
      <c r="M165" s="74"/>
      <c r="N165" s="74"/>
      <c r="O165" s="407">
        <f t="shared" si="343"/>
        <v>0</v>
      </c>
      <c r="R165" s="90">
        <f t="shared" si="344"/>
        <v>9</v>
      </c>
      <c r="S165" s="121">
        <f>IF(R165=1,Cal!$AB$127,0)</f>
        <v>0</v>
      </c>
      <c r="U165" s="70">
        <f t="shared" si="408"/>
        <v>0</v>
      </c>
      <c r="V165" s="2178">
        <f t="shared" ca="1" si="345"/>
        <v>0</v>
      </c>
      <c r="X165" s="398"/>
      <c r="Z165" s="268">
        <f t="shared" si="311"/>
        <v>0</v>
      </c>
      <c r="AA165" s="2176">
        <f t="shared" si="346"/>
        <v>0</v>
      </c>
      <c r="AB165" s="33">
        <f t="shared" si="347"/>
        <v>0</v>
      </c>
      <c r="AC165" s="33">
        <f t="shared" si="348"/>
        <v>0</v>
      </c>
      <c r="AD165" s="33">
        <f>IF(AI164&lt;0.01,0,IF(Adm!$S$4=Adm!$S$8,AI164*$AI$15,AI164*Adm!$V$4))</f>
        <v>0</v>
      </c>
      <c r="AE165" s="33"/>
      <c r="AF165" s="33"/>
      <c r="AG165" s="33">
        <f t="shared" si="312"/>
        <v>0</v>
      </c>
      <c r="AH165" s="33"/>
      <c r="AI165" s="401">
        <f t="shared" si="313"/>
        <v>0</v>
      </c>
      <c r="AK165" s="410">
        <f t="shared" si="314"/>
        <v>0</v>
      </c>
      <c r="AN165" s="90">
        <f t="shared" si="349"/>
        <v>9</v>
      </c>
      <c r="AO165" s="121">
        <f>IF(AN165=1,Cal!$AC$127,0)</f>
        <v>0</v>
      </c>
      <c r="AS165" s="200"/>
      <c r="AU165" s="268">
        <f t="shared" si="315"/>
        <v>0</v>
      </c>
      <c r="AV165" s="2177">
        <f t="shared" si="350"/>
        <v>0</v>
      </c>
      <c r="AW165" s="123">
        <f t="shared" si="316"/>
        <v>0</v>
      </c>
      <c r="AX165" s="123">
        <f t="shared" si="351"/>
        <v>0</v>
      </c>
      <c r="AY165" s="123">
        <f>IF(BC164&lt;0.01,0,IF(Adm!$S$4=Adm!$S$8,BC164*$BC$16,BC164*Adm!$V$4))</f>
        <v>0</v>
      </c>
      <c r="AZ165" s="123"/>
      <c r="BA165" s="123">
        <f>IF(BC164&lt;0.01,0,Adm!$Q$6)</f>
        <v>0</v>
      </c>
      <c r="BB165" s="123">
        <f t="shared" si="317"/>
        <v>0</v>
      </c>
      <c r="BC165" s="297">
        <f t="shared" si="352"/>
        <v>0</v>
      </c>
      <c r="BE165" s="425">
        <f t="shared" si="318"/>
        <v>0</v>
      </c>
      <c r="BH165" s="90">
        <f t="shared" si="353"/>
        <v>9</v>
      </c>
      <c r="BI165" s="121">
        <f>IF(BH165=1,Cal!$AD$127,0)</f>
        <v>0</v>
      </c>
      <c r="BM165" s="221"/>
      <c r="BO165" s="295">
        <f t="shared" ca="1" si="319"/>
        <v>12</v>
      </c>
      <c r="BP165" s="268">
        <f t="shared" si="320"/>
        <v>0</v>
      </c>
      <c r="BQ165" s="123">
        <f t="shared" si="354"/>
        <v>0</v>
      </c>
      <c r="BR165" s="123">
        <f t="shared" si="288"/>
        <v>0</v>
      </c>
      <c r="BS165" s="123">
        <f t="shared" si="296"/>
        <v>0</v>
      </c>
      <c r="BT165" s="123">
        <f>IF(BZ164&lt;0.01,0,IF(Plus!$F$22=Plus!$AN$4,BZ164*$BZ$15,IF(Plus!$F$22=Plus!$AN$3,BZ164*Plus!$F$23/1000,BZ164*VLOOKUP(Plus!$G$21,Plus!$AP$2:'Plus'!$AQ$5,2,0))))</f>
        <v>0</v>
      </c>
      <c r="BU165" s="123">
        <f>IF(BZ164&lt;0.01,0,IF(Plus!$F$24=Plus!$AO$3,Plus!$G$13*Plus!$AR$2/1.16,IF(Plus!$F$10=Plus!$AK$7,0,Plus!$G$13*Plus!$AR$2/1.16)))</f>
        <v>0</v>
      </c>
      <c r="BV165" s="123">
        <f>IF(BZ164&lt;0.01,0,Plus!$BD$2)</f>
        <v>0</v>
      </c>
      <c r="BW165" s="123"/>
      <c r="BX165" s="123">
        <f t="shared" si="321"/>
        <v>0</v>
      </c>
      <c r="BY165" s="123">
        <f>IF(Plus!$F$10=Plus!$AK$3,MIN(BZ164+BQ165+BT165+BU165+BV165-BX165,CJ165),0)</f>
        <v>0</v>
      </c>
      <c r="BZ165" s="297">
        <f t="shared" si="428"/>
        <v>0</v>
      </c>
      <c r="CA165" s="74"/>
      <c r="CB165" s="74"/>
      <c r="CC165" s="413">
        <f t="shared" si="355"/>
        <v>0</v>
      </c>
      <c r="CF165" s="90">
        <f t="shared" si="356"/>
        <v>9</v>
      </c>
      <c r="CG165" s="121">
        <f t="shared" si="409"/>
        <v>0</v>
      </c>
      <c r="CI165" s="70">
        <f t="shared" si="410"/>
        <v>0</v>
      </c>
      <c r="CJ165" s="2178">
        <f t="shared" ca="1" si="357"/>
        <v>0</v>
      </c>
      <c r="CL165" s="161"/>
      <c r="CN165" s="308">
        <f t="shared" ca="1" si="322"/>
        <v>12</v>
      </c>
      <c r="CO165" s="309">
        <f t="shared" si="358"/>
        <v>0</v>
      </c>
      <c r="CP165" s="268">
        <f t="shared" si="323"/>
        <v>0</v>
      </c>
      <c r="CQ165" s="123">
        <f t="shared" si="359"/>
        <v>0</v>
      </c>
      <c r="CR165" s="123">
        <f t="shared" si="289"/>
        <v>0</v>
      </c>
      <c r="CS165" s="123">
        <f t="shared" si="290"/>
        <v>0</v>
      </c>
      <c r="CT165" s="33">
        <f>IF(CZ164&lt;0.01,0,IF(Plus!$F$22=Plus!$AN$4,0,IF(Plus!$F$22=Plus!$AN$3,CZ164*Plus!$F$23/1000,CZ164*VLOOKUP(Plus!$G$21,Plus!$AP$2:'Plus'!$AQ$5,2,0))))</f>
        <v>0</v>
      </c>
      <c r="CU165" s="123">
        <f>IF(CZ164&lt;0.01,0,IF(Plus!$F$24=Plus!$AO$3,0,IF(OR(Plus!$F$10=Plus!$AK$7,Plus!$F$10=Plus!$AK$13),0,Plus!$G$13*Plus!$AR$2)))</f>
        <v>0</v>
      </c>
      <c r="CV165" s="123">
        <f>IF(CZ164&lt;0.01,0,IF(OR(Plus!$F$10=Plus!$AK$7,Plus!$F$10=Plus!$AK$13),0,Plus!$BD$2*1.16))</f>
        <v>0</v>
      </c>
      <c r="CW165" s="123">
        <f>IF(CZ164&lt;0.01,0,IF(Plus!$AS$2&gt;0,CQ165*Plus!$AS$3,0))</f>
        <v>0</v>
      </c>
      <c r="CX165" s="123">
        <f t="shared" si="360"/>
        <v>0</v>
      </c>
      <c r="CY165" s="123">
        <f>IF(Plus!$F$10=Plus!$AK$3,MIN(CZ164+CQ165+CT165+CU165+CV165-CX165,DK165),0)</f>
        <v>0</v>
      </c>
      <c r="CZ165" s="297">
        <f t="shared" si="294"/>
        <v>0</v>
      </c>
      <c r="DA165" s="306">
        <f>Plus!O206</f>
        <v>0</v>
      </c>
      <c r="DB165" s="74"/>
      <c r="DC165" s="74"/>
      <c r="DD165" s="407">
        <f t="shared" si="361"/>
        <v>0</v>
      </c>
      <c r="DG165" s="90">
        <f t="shared" si="362"/>
        <v>9</v>
      </c>
      <c r="DH165" s="121">
        <f t="shared" si="411"/>
        <v>0</v>
      </c>
      <c r="DJ165" s="149">
        <f t="shared" si="412"/>
        <v>0</v>
      </c>
      <c r="DK165" s="2179">
        <f t="shared" ca="1" si="363"/>
        <v>0</v>
      </c>
      <c r="DN165" s="120">
        <f t="shared" si="413"/>
        <v>0</v>
      </c>
      <c r="DO165" s="110">
        <f t="shared" si="364"/>
        <v>0</v>
      </c>
      <c r="DP165" s="110">
        <f t="shared" si="422"/>
        <v>0</v>
      </c>
      <c r="DQ165" s="109">
        <f t="shared" si="365"/>
        <v>0</v>
      </c>
      <c r="DR165" s="109">
        <f t="shared" si="366"/>
        <v>0</v>
      </c>
      <c r="DS165" s="113">
        <f t="shared" si="367"/>
        <v>0</v>
      </c>
      <c r="DU165" s="102">
        <f t="shared" si="368"/>
        <v>0</v>
      </c>
      <c r="DV165" s="211">
        <f t="shared" si="423"/>
        <v>141</v>
      </c>
      <c r="DW165" s="212">
        <f t="shared" si="369"/>
        <v>0</v>
      </c>
      <c r="DX165" s="212">
        <f t="shared" si="324"/>
        <v>0</v>
      </c>
      <c r="DY165" s="212">
        <f t="shared" si="414"/>
        <v>0</v>
      </c>
      <c r="DZ165" s="213">
        <f t="shared" si="325"/>
        <v>1000000</v>
      </c>
      <c r="ED165" s="182"/>
      <c r="EF165" s="308">
        <f t="shared" ca="1" si="326"/>
        <v>12</v>
      </c>
      <c r="EG165" s="309">
        <f t="shared" si="370"/>
        <v>0</v>
      </c>
      <c r="EH165" s="268">
        <f t="shared" si="327"/>
        <v>0</v>
      </c>
      <c r="EI165" s="33">
        <f t="shared" si="371"/>
        <v>0</v>
      </c>
      <c r="EJ165" s="33">
        <f t="shared" si="291"/>
        <v>0</v>
      </c>
      <c r="EK165" s="33">
        <f t="shared" si="297"/>
        <v>0</v>
      </c>
      <c r="EL165" s="33">
        <f>IF(ER164&lt;0.01,0,IF(Plus!$F$22=Plus!$AN$4,0,IF(Plus!$F$22=Plus!$AN$3,ER164*Plus!$F$23/1000,ER164*VLOOKUP(Plus!$G$21,Plus!$AP$2:'Plus'!$AQ$5,2,0))))</f>
        <v>0</v>
      </c>
      <c r="EM165" s="33">
        <f>IF(ER164&lt;0.01,0,IF(Plus!$F$24=Plus!$AO$3,0,IF(OR(Plus!$F$10=Plus!$AK$7,Plus!$F$10=Plus!$AK$13),0,Plus!$G$13*Plus!$AR$2)))</f>
        <v>0</v>
      </c>
      <c r="EN165" s="33">
        <f>IF(ER164&lt;0.01,0,IF(OR(Plus!$F$10=Plus!$AK$7,Plus!$F$10=Plus!$AK$13),0,Plus!$BD$2*1.16))</f>
        <v>0</v>
      </c>
      <c r="EO165" s="33">
        <f>IF(ER164&lt;0.01,0,IF(Plus!$AS$2&gt;0,EI165*Plus!$AS$3,0))</f>
        <v>0</v>
      </c>
      <c r="EP165" s="33">
        <f t="shared" si="372"/>
        <v>0</v>
      </c>
      <c r="EQ165" s="33">
        <f>IF(Plus!$F$10=Plus!$AK$3,MIN(ER164+EI165+EL165+EM165+EN165-EP165,FC165),0)</f>
        <v>0</v>
      </c>
      <c r="ER165" s="311">
        <f t="shared" si="431"/>
        <v>0</v>
      </c>
      <c r="ES165" s="340">
        <f>Plus!O206</f>
        <v>0</v>
      </c>
      <c r="ET165" s="74"/>
      <c r="EU165" s="74"/>
      <c r="EV165" s="416">
        <f t="shared" si="429"/>
        <v>0</v>
      </c>
      <c r="EY165" s="90">
        <f t="shared" si="373"/>
        <v>9</v>
      </c>
      <c r="EZ165" s="121">
        <f t="shared" si="415"/>
        <v>0</v>
      </c>
      <c r="FB165" s="149">
        <f t="shared" si="416"/>
        <v>0</v>
      </c>
      <c r="FC165" s="2179">
        <f t="shared" ca="1" si="374"/>
        <v>0</v>
      </c>
      <c r="FE165" s="120">
        <f t="shared" si="417"/>
        <v>0</v>
      </c>
      <c r="FF165" s="110">
        <f t="shared" si="375"/>
        <v>0</v>
      </c>
      <c r="FG165" s="110">
        <f t="shared" si="376"/>
        <v>0</v>
      </c>
      <c r="FH165" s="109">
        <f t="shared" si="377"/>
        <v>0</v>
      </c>
      <c r="FI165" s="109">
        <f t="shared" si="328"/>
        <v>0</v>
      </c>
      <c r="FJ165" s="113">
        <f t="shared" si="378"/>
        <v>0</v>
      </c>
      <c r="FL165" s="102">
        <f t="shared" si="379"/>
        <v>0</v>
      </c>
      <c r="FM165" s="211">
        <f t="shared" si="424"/>
        <v>141</v>
      </c>
      <c r="FN165" s="212">
        <f t="shared" si="380"/>
        <v>0</v>
      </c>
      <c r="FO165" s="212">
        <f t="shared" si="329"/>
        <v>0</v>
      </c>
      <c r="FP165" s="212">
        <f t="shared" si="426"/>
        <v>0</v>
      </c>
      <c r="FQ165" s="213">
        <f t="shared" si="330"/>
        <v>1000000</v>
      </c>
      <c r="FV165" s="359"/>
      <c r="FX165" s="308">
        <f t="shared" ca="1" si="331"/>
        <v>12</v>
      </c>
      <c r="FY165" s="309">
        <f t="shared" si="381"/>
        <v>0</v>
      </c>
      <c r="FZ165" s="268">
        <f t="shared" si="332"/>
        <v>0</v>
      </c>
      <c r="GA165" s="33">
        <f t="shared" si="382"/>
        <v>0</v>
      </c>
      <c r="GB165" s="33">
        <f t="shared" si="292"/>
        <v>0</v>
      </c>
      <c r="GC165" s="33">
        <f t="shared" si="293"/>
        <v>0</v>
      </c>
      <c r="GD165" s="33">
        <f>IF(GJ164&lt;0.01,0,IF(Plus!$F$22=Plus!$AN$4,0,IF(Plus!$F$22=Plus!$AN$3,GJ164*Plus!$F$23/1000,GJ164*VLOOKUP(Plus!$G$21,Plus!$AP$2:$AQ$5,2,0))))</f>
        <v>0</v>
      </c>
      <c r="GE165" s="33">
        <f>IF(GJ164&lt;0.01,0,IF(Plus!$F$24=Plus!$AO$3,0,IF(OR(Plus!$F$10=Plus!$AK$7,Plus!$F$10=Plus!$AK$13,Plus!$F$10=Plus!$AK$14),0,IF(OR(Plus!$F$10=Plus!$AK$10,Plus!$F$10=Plus!$AK$11),Plus!$G$13*Adm!$W$7,Plus!$G$13*Adm!$X$4))))</f>
        <v>0</v>
      </c>
      <c r="GF165" s="33">
        <f>IF(GJ164&lt;0.01,0,IF(OR(Plus!$F$10=Plus!$AK$7,Plus!$F$10=Plus!$AK$13),0,Plus!$BD$2*1.16))</f>
        <v>0</v>
      </c>
      <c r="GG165" s="33">
        <f>IF(GJ164&lt;0.01,0,IF(Plus!$AS$2&gt;0,GA165*Plus!$AS$3,0))</f>
        <v>0</v>
      </c>
      <c r="GH165" s="33">
        <f t="shared" si="383"/>
        <v>0</v>
      </c>
      <c r="GI165" s="33">
        <f>IF(Plus!$F$10=Plus!$AK$3,MIN(GJ164+GA165+GD165+GE165+GF165-GH165,GU165),0)</f>
        <v>0</v>
      </c>
      <c r="GJ165" s="311">
        <f t="shared" si="432"/>
        <v>0</v>
      </c>
      <c r="GK165" s="340">
        <f>Plus!O206</f>
        <v>0</v>
      </c>
      <c r="GL165" s="74"/>
      <c r="GM165" s="74"/>
      <c r="GN165" s="419">
        <f t="shared" si="430"/>
        <v>0</v>
      </c>
      <c r="GQ165" s="90">
        <f t="shared" si="384"/>
        <v>9</v>
      </c>
      <c r="GR165" s="121">
        <f t="shared" si="418"/>
        <v>0</v>
      </c>
      <c r="GT165" s="149">
        <f t="shared" si="419"/>
        <v>0</v>
      </c>
      <c r="GU165" s="2179">
        <f t="shared" ca="1" si="385"/>
        <v>0</v>
      </c>
      <c r="GW165" s="120">
        <f t="shared" si="420"/>
        <v>0</v>
      </c>
      <c r="GX165" s="110">
        <f t="shared" si="386"/>
        <v>0</v>
      </c>
      <c r="GY165" s="110">
        <f t="shared" si="387"/>
        <v>0</v>
      </c>
      <c r="GZ165" s="109">
        <f t="shared" si="388"/>
        <v>0</v>
      </c>
      <c r="HA165" s="109">
        <f t="shared" si="333"/>
        <v>0</v>
      </c>
      <c r="HB165" s="113">
        <f t="shared" si="389"/>
        <v>0</v>
      </c>
      <c r="HD165" s="102">
        <f t="shared" si="390"/>
        <v>0</v>
      </c>
      <c r="HE165" s="211">
        <f t="shared" si="425"/>
        <v>141</v>
      </c>
      <c r="HF165" s="212">
        <f t="shared" si="391"/>
        <v>0</v>
      </c>
      <c r="HG165" s="212">
        <f t="shared" si="334"/>
        <v>0</v>
      </c>
      <c r="HH165" s="212">
        <f t="shared" si="427"/>
        <v>0</v>
      </c>
      <c r="HI165" s="213">
        <f t="shared" si="335"/>
        <v>1000000</v>
      </c>
      <c r="HL165" s="182"/>
      <c r="HM165" s="26">
        <f t="shared" ca="1" si="336"/>
        <v>12</v>
      </c>
      <c r="HO165" s="268">
        <f t="shared" si="337"/>
        <v>0</v>
      </c>
      <c r="HP165" s="151">
        <f t="shared" si="302"/>
        <v>0</v>
      </c>
      <c r="HQ165" s="123">
        <f t="shared" si="392"/>
        <v>0</v>
      </c>
      <c r="HR165" s="123">
        <f t="shared" si="393"/>
        <v>0</v>
      </c>
      <c r="HS165" s="123">
        <f t="shared" si="394"/>
        <v>0</v>
      </c>
      <c r="HT165" s="123">
        <f>IF(HY164&lt;0.01,0,IF(Adm!$GS$4=Adm!$GS$8,HY164*$HY$15,IF(Adm!$GS$12=Adm!$GS$13,0,HY164*Adm!$GV$4)))</f>
        <v>0</v>
      </c>
      <c r="HU165" s="123">
        <f>IF(HY164&lt;0.01,0,IF(Adm!$GS$5=Adm!$GS$8,Cal!$BO$108*$HY$16/1.16,IF(Adm!$GS$12=Adm!$GS$13,0,Cal!$BO$108*Adm!$GW$4/1.16)))</f>
        <v>0</v>
      </c>
      <c r="HV165" s="123">
        <f t="shared" si="395"/>
        <v>0</v>
      </c>
      <c r="HW165" s="123">
        <f t="shared" si="338"/>
        <v>0</v>
      </c>
      <c r="HX165" s="123">
        <f>IF(Adm!$GH$6="si",MIN(HY164+HQ165+HT165+HU165+HV165-HW165,IH165),0)</f>
        <v>0</v>
      </c>
      <c r="HY165" s="297">
        <f t="shared" si="396"/>
        <v>0</v>
      </c>
      <c r="HZ165" s="74"/>
      <c r="IA165" s="407">
        <f t="shared" si="397"/>
        <v>0</v>
      </c>
      <c r="IC165" s="90">
        <f t="shared" si="398"/>
        <v>9</v>
      </c>
      <c r="ID165" s="124">
        <f>IF(IC165=1,Cal!$BO$127,0)</f>
        <v>0</v>
      </c>
      <c r="IE165" s="178">
        <f>IF(IC165=1,Adm!$HI$4,0)</f>
        <v>0</v>
      </c>
      <c r="IG165" s="70">
        <f t="shared" si="421"/>
        <v>0</v>
      </c>
      <c r="IH165" s="2178">
        <f t="shared" ca="1" si="399"/>
        <v>0</v>
      </c>
      <c r="IK165" s="217"/>
      <c r="IL165" s="26">
        <f t="shared" ca="1" si="339"/>
        <v>12</v>
      </c>
      <c r="IN165" s="268">
        <f t="shared" si="340"/>
        <v>0</v>
      </c>
      <c r="IO165" s="151">
        <f t="shared" si="303"/>
        <v>0</v>
      </c>
      <c r="IP165" s="123">
        <f t="shared" si="400"/>
        <v>0</v>
      </c>
      <c r="IQ165" s="123">
        <f t="shared" si="401"/>
        <v>0</v>
      </c>
      <c r="IR165" s="123">
        <f t="shared" si="402"/>
        <v>0</v>
      </c>
      <c r="IS165" s="123">
        <f>IF(IX164&lt;0.01,0,IF(Adm!$GS$4=Adm!$GS$8,IX164*$IX$15,IF(Adm!$GS$12=Adm!$GS$13,0,IX164*Adm!$GV$4)))</f>
        <v>0</v>
      </c>
      <c r="IT165" s="123"/>
      <c r="IU165" s="123">
        <f t="shared" si="403"/>
        <v>0</v>
      </c>
      <c r="IV165" s="123">
        <f t="shared" si="404"/>
        <v>0</v>
      </c>
      <c r="IW165" s="123"/>
      <c r="IX165" s="297">
        <f t="shared" si="405"/>
        <v>0</v>
      </c>
      <c r="IY165" s="74"/>
      <c r="IZ165" s="416">
        <f t="shared" si="406"/>
        <v>0</v>
      </c>
      <c r="JB165" s="90">
        <f t="shared" si="407"/>
        <v>9</v>
      </c>
      <c r="JC165" s="124">
        <f>IF(JB165=1,Cal!$BP$127,0)</f>
        <v>0</v>
      </c>
      <c r="JD165" s="178">
        <f>IF(JB165=1,Adm!$HI$4,0)</f>
        <v>0</v>
      </c>
    </row>
    <row r="166" spans="1:264">
      <c r="A166" s="26">
        <f t="shared" ca="1" si="308"/>
        <v>1</v>
      </c>
      <c r="C166" s="33">
        <f t="shared" si="309"/>
        <v>0</v>
      </c>
      <c r="D166" s="123">
        <f t="shared" si="341"/>
        <v>0</v>
      </c>
      <c r="E166" s="123">
        <f t="shared" ref="E166:E229" si="433">IF(L165&lt;0.01,0,F166-D166)</f>
        <v>0</v>
      </c>
      <c r="F166" s="123">
        <f t="shared" si="295"/>
        <v>0</v>
      </c>
      <c r="G166" s="123">
        <f>IF(L165&lt;0.01,0,IF(Adm!$S$4=Adm!$S$8,L165*$L$15,L165*Adm!$V$4))</f>
        <v>0</v>
      </c>
      <c r="H166" s="123">
        <f>IF(L165&lt;0.01,0,IF(Adm!$S$5=Adm!$S$8,Adm!$AA$11*$L$16/1.16,IF(Adm!$B$4=Adm!$A$119,0,Adm!$AA$11*Adm!$X$4/1.16)))</f>
        <v>0</v>
      </c>
      <c r="I166" s="123">
        <f>IF(L165&lt;0.01,0,Cal!$AB$126/1.16)</f>
        <v>0</v>
      </c>
      <c r="J166" s="123">
        <f t="shared" si="310"/>
        <v>0</v>
      </c>
      <c r="K166" s="123">
        <f>IF(Adm!$G$4="si",MIN(L165+D166+G166+H166+I166-J166,V166),0)</f>
        <v>0</v>
      </c>
      <c r="L166" s="123">
        <f t="shared" si="342"/>
        <v>0</v>
      </c>
      <c r="M166" s="74"/>
      <c r="N166" s="74"/>
      <c r="O166" s="407">
        <f t="shared" si="343"/>
        <v>0</v>
      </c>
      <c r="R166" s="90">
        <f t="shared" si="344"/>
        <v>10</v>
      </c>
      <c r="S166" s="121">
        <f>IF(R166=1,Cal!$AB$127,0)</f>
        <v>0</v>
      </c>
      <c r="U166" s="70">
        <f t="shared" si="408"/>
        <v>0</v>
      </c>
      <c r="V166" s="2178">
        <f t="shared" ca="1" si="345"/>
        <v>0</v>
      </c>
      <c r="X166" s="398"/>
      <c r="Z166" s="268">
        <f t="shared" si="311"/>
        <v>0</v>
      </c>
      <c r="AA166" s="2176">
        <f t="shared" si="346"/>
        <v>0</v>
      </c>
      <c r="AB166" s="33">
        <f t="shared" si="347"/>
        <v>0</v>
      </c>
      <c r="AC166" s="33">
        <f t="shared" si="348"/>
        <v>0</v>
      </c>
      <c r="AD166" s="33">
        <f>IF(AI165&lt;0.01,0,IF(Adm!$S$4=Adm!$S$8,AI165*$AI$15,AI165*Adm!$V$4))</f>
        <v>0</v>
      </c>
      <c r="AE166" s="33"/>
      <c r="AF166" s="33"/>
      <c r="AG166" s="33">
        <f t="shared" si="312"/>
        <v>0</v>
      </c>
      <c r="AH166" s="33"/>
      <c r="AI166" s="401">
        <f t="shared" si="313"/>
        <v>0</v>
      </c>
      <c r="AK166" s="410">
        <f t="shared" si="314"/>
        <v>0</v>
      </c>
      <c r="AN166" s="90">
        <f t="shared" si="349"/>
        <v>10</v>
      </c>
      <c r="AO166" s="121">
        <f>IF(AN166=1,Cal!$AC$127,0)</f>
        <v>0</v>
      </c>
      <c r="AS166" s="200"/>
      <c r="AU166" s="268">
        <f t="shared" si="315"/>
        <v>0</v>
      </c>
      <c r="AV166" s="2177">
        <f t="shared" si="350"/>
        <v>0</v>
      </c>
      <c r="AW166" s="123">
        <f t="shared" si="316"/>
        <v>0</v>
      </c>
      <c r="AX166" s="123">
        <f t="shared" si="351"/>
        <v>0</v>
      </c>
      <c r="AY166" s="123">
        <f>IF(BC165&lt;0.01,0,IF(Adm!$S$4=Adm!$S$8,BC165*$BC$16,BC165*Adm!$V$4))</f>
        <v>0</v>
      </c>
      <c r="AZ166" s="123"/>
      <c r="BA166" s="123">
        <f>IF(BC165&lt;0.01,0,Adm!$Q$6)</f>
        <v>0</v>
      </c>
      <c r="BB166" s="123">
        <f t="shared" si="317"/>
        <v>0</v>
      </c>
      <c r="BC166" s="297">
        <f t="shared" si="352"/>
        <v>0</v>
      </c>
      <c r="BE166" s="425">
        <f t="shared" si="318"/>
        <v>0</v>
      </c>
      <c r="BH166" s="90">
        <f t="shared" si="353"/>
        <v>10</v>
      </c>
      <c r="BI166" s="121">
        <f>IF(BH166=1,Cal!$AD$127,0)</f>
        <v>0</v>
      </c>
      <c r="BM166" s="221"/>
      <c r="BO166" s="295">
        <f t="shared" ca="1" si="319"/>
        <v>1</v>
      </c>
      <c r="BP166" s="268">
        <f t="shared" si="320"/>
        <v>0</v>
      </c>
      <c r="BQ166" s="123">
        <f t="shared" si="354"/>
        <v>0</v>
      </c>
      <c r="BR166" s="123">
        <f t="shared" ref="BR166:BR229" si="434">IF(BZ165&lt;0.01,0,BS166-BQ166)</f>
        <v>0</v>
      </c>
      <c r="BS166" s="123">
        <f t="shared" si="296"/>
        <v>0</v>
      </c>
      <c r="BT166" s="123">
        <f>IF(BZ165&lt;0.01,0,IF(Plus!$F$22=Plus!$AN$4,BZ165*$BZ$15,IF(Plus!$F$22=Plus!$AN$3,BZ165*Plus!$F$23/1000,BZ165*VLOOKUP(Plus!$G$21,Plus!$AP$2:'Plus'!$AQ$5,2,0))))</f>
        <v>0</v>
      </c>
      <c r="BU166" s="123">
        <f>IF(BZ165&lt;0.01,0,IF(Plus!$F$24=Plus!$AO$3,Plus!$G$13*Plus!$AR$2/1.16,IF(Plus!$F$10=Plus!$AK$7,0,Plus!$G$13*Plus!$AR$2/1.16)))</f>
        <v>0</v>
      </c>
      <c r="BV166" s="123">
        <f>IF(BZ165&lt;0.01,0,Plus!$BD$2)</f>
        <v>0</v>
      </c>
      <c r="BW166" s="123"/>
      <c r="BX166" s="123">
        <f t="shared" si="321"/>
        <v>0</v>
      </c>
      <c r="BY166" s="123">
        <f>IF(Plus!$F$10=Plus!$AK$3,MIN(BZ165+BQ166+BT166+BU166+BV166-BX166,CJ166),0)</f>
        <v>0</v>
      </c>
      <c r="BZ166" s="297">
        <f t="shared" si="428"/>
        <v>0</v>
      </c>
      <c r="CA166" s="74"/>
      <c r="CB166" s="74"/>
      <c r="CC166" s="413">
        <f t="shared" si="355"/>
        <v>0</v>
      </c>
      <c r="CF166" s="90">
        <f t="shared" si="356"/>
        <v>10</v>
      </c>
      <c r="CG166" s="121">
        <f t="shared" si="409"/>
        <v>0</v>
      </c>
      <c r="CI166" s="70">
        <f t="shared" si="410"/>
        <v>0</v>
      </c>
      <c r="CJ166" s="2178">
        <f t="shared" ca="1" si="357"/>
        <v>0</v>
      </c>
      <c r="CL166" s="161"/>
      <c r="CN166" s="308">
        <f t="shared" ca="1" si="322"/>
        <v>1</v>
      </c>
      <c r="CO166" s="309">
        <f t="shared" si="358"/>
        <v>0</v>
      </c>
      <c r="CP166" s="268">
        <f t="shared" si="323"/>
        <v>0</v>
      </c>
      <c r="CQ166" s="123">
        <f t="shared" si="359"/>
        <v>0</v>
      </c>
      <c r="CR166" s="123">
        <f t="shared" ref="CR166:CR229" si="435">IF(CZ165&lt;0.01,0,MIN(CZ165,CS166-CQ166))</f>
        <v>0</v>
      </c>
      <c r="CS166" s="123">
        <f t="shared" ref="CS166:CS229" si="436">IF(CZ164&lt;0.1,0,MIN(CZ165+CQ166,IF(DN166&gt;0,DN166,CS165*(1+DH166))))</f>
        <v>0</v>
      </c>
      <c r="CT166" s="33">
        <f>IF(CZ165&lt;0.01,0,IF(Plus!$F$22=Plus!$AN$4,0,IF(Plus!$F$22=Plus!$AN$3,CZ165*Plus!$F$23/1000,CZ165*VLOOKUP(Plus!$G$21,Plus!$AP$2:'Plus'!$AQ$5,2,0))))</f>
        <v>0</v>
      </c>
      <c r="CU166" s="123">
        <f>IF(CZ165&lt;0.01,0,IF(Plus!$F$24=Plus!$AO$3,0,IF(OR(Plus!$F$10=Plus!$AK$7,Plus!$F$10=Plus!$AK$13),0,Plus!$G$13*Plus!$AR$2)))</f>
        <v>0</v>
      </c>
      <c r="CV166" s="123">
        <f>IF(CZ165&lt;0.01,0,IF(OR(Plus!$F$10=Plus!$AK$7,Plus!$F$10=Plus!$AK$13),0,Plus!$BD$2*1.16))</f>
        <v>0</v>
      </c>
      <c r="CW166" s="123">
        <f>IF(CZ165&lt;0.01,0,IF(Plus!$AS$2&gt;0,CQ166*Plus!$AS$3,0))</f>
        <v>0</v>
      </c>
      <c r="CX166" s="123">
        <f t="shared" si="360"/>
        <v>0</v>
      </c>
      <c r="CY166" s="123">
        <f>IF(Plus!$F$10=Plus!$AK$3,MIN(CZ165+CQ166+CT166+CU166+CV166-CX166,DK166),0)</f>
        <v>0</v>
      </c>
      <c r="CZ166" s="297">
        <f t="shared" si="294"/>
        <v>0</v>
      </c>
      <c r="DA166" s="306">
        <f>Plus!O207</f>
        <v>0</v>
      </c>
      <c r="DB166" s="74"/>
      <c r="DC166" s="74"/>
      <c r="DD166" s="407">
        <f t="shared" si="361"/>
        <v>0</v>
      </c>
      <c r="DG166" s="90">
        <f t="shared" si="362"/>
        <v>10</v>
      </c>
      <c r="DH166" s="121">
        <f t="shared" si="411"/>
        <v>0</v>
      </c>
      <c r="DJ166" s="149">
        <f t="shared" si="412"/>
        <v>0</v>
      </c>
      <c r="DK166" s="2179">
        <f t="shared" ca="1" si="363"/>
        <v>0</v>
      </c>
      <c r="DN166" s="120">
        <f t="shared" si="413"/>
        <v>0</v>
      </c>
      <c r="DO166" s="110">
        <f t="shared" si="364"/>
        <v>0</v>
      </c>
      <c r="DP166" s="110">
        <f t="shared" si="422"/>
        <v>0</v>
      </c>
      <c r="DQ166" s="109">
        <f t="shared" si="365"/>
        <v>0</v>
      </c>
      <c r="DR166" s="109">
        <f t="shared" si="366"/>
        <v>0</v>
      </c>
      <c r="DS166" s="113">
        <f t="shared" si="367"/>
        <v>0</v>
      </c>
      <c r="DU166" s="102">
        <f t="shared" si="368"/>
        <v>0</v>
      </c>
      <c r="DV166" s="211">
        <f t="shared" si="423"/>
        <v>142</v>
      </c>
      <c r="DW166" s="212">
        <f t="shared" si="369"/>
        <v>0</v>
      </c>
      <c r="DX166" s="212">
        <f t="shared" si="324"/>
        <v>0</v>
      </c>
      <c r="DY166" s="212">
        <f t="shared" si="414"/>
        <v>0</v>
      </c>
      <c r="DZ166" s="213">
        <f t="shared" si="325"/>
        <v>1000000</v>
      </c>
      <c r="ED166" s="182"/>
      <c r="EF166" s="308">
        <f t="shared" ca="1" si="326"/>
        <v>1</v>
      </c>
      <c r="EG166" s="309">
        <f t="shared" si="370"/>
        <v>0</v>
      </c>
      <c r="EH166" s="268">
        <f t="shared" si="327"/>
        <v>0</v>
      </c>
      <c r="EI166" s="33">
        <f t="shared" si="371"/>
        <v>0</v>
      </c>
      <c r="EJ166" s="33">
        <f t="shared" ref="EJ166:EJ229" si="437">IF(ER165&lt;0.01,0,MIN(ER165,EK166-EI166))</f>
        <v>0</v>
      </c>
      <c r="EK166" s="33">
        <f t="shared" si="297"/>
        <v>0</v>
      </c>
      <c r="EL166" s="33">
        <f>IF(ER165&lt;0.01,0,IF(Plus!$F$22=Plus!$AN$4,0,IF(Plus!$F$22=Plus!$AN$3,ER165*Plus!$F$23/1000,ER165*VLOOKUP(Plus!$G$21,Plus!$AP$2:'Plus'!$AQ$5,2,0))))</f>
        <v>0</v>
      </c>
      <c r="EM166" s="33">
        <f>IF(ER165&lt;0.01,0,IF(Plus!$F$24=Plus!$AO$3,0,IF(OR(Plus!$F$10=Plus!$AK$7,Plus!$F$10=Plus!$AK$13),0,Plus!$G$13*Plus!$AR$2)))</f>
        <v>0</v>
      </c>
      <c r="EN166" s="33">
        <f>IF(ER165&lt;0.01,0,IF(OR(Plus!$F$10=Plus!$AK$7,Plus!$F$10=Plus!$AK$13),0,Plus!$BD$2*1.16))</f>
        <v>0</v>
      </c>
      <c r="EO166" s="33">
        <f>IF(ER165&lt;0.01,0,IF(Plus!$AS$2&gt;0,EI166*Plus!$AS$3,0))</f>
        <v>0</v>
      </c>
      <c r="EP166" s="33">
        <f t="shared" si="372"/>
        <v>0</v>
      </c>
      <c r="EQ166" s="33">
        <f>IF(Plus!$F$10=Plus!$AK$3,MIN(ER165+EI166+EL166+EM166+EN166-EP166,FC166),0)</f>
        <v>0</v>
      </c>
      <c r="ER166" s="311">
        <f t="shared" si="431"/>
        <v>0</v>
      </c>
      <c r="ES166" s="340">
        <f>Plus!O207</f>
        <v>0</v>
      </c>
      <c r="ET166" s="74"/>
      <c r="EU166" s="74"/>
      <c r="EV166" s="416">
        <f t="shared" si="429"/>
        <v>0</v>
      </c>
      <c r="EY166" s="90">
        <f t="shared" si="373"/>
        <v>10</v>
      </c>
      <c r="EZ166" s="121">
        <f t="shared" si="415"/>
        <v>0</v>
      </c>
      <c r="FB166" s="149">
        <f t="shared" si="416"/>
        <v>0</v>
      </c>
      <c r="FC166" s="2179">
        <f t="shared" ca="1" si="374"/>
        <v>0</v>
      </c>
      <c r="FE166" s="120">
        <f t="shared" si="417"/>
        <v>0</v>
      </c>
      <c r="FF166" s="110">
        <f t="shared" si="375"/>
        <v>0</v>
      </c>
      <c r="FG166" s="110">
        <f t="shared" si="376"/>
        <v>0</v>
      </c>
      <c r="FH166" s="109">
        <f t="shared" si="377"/>
        <v>0</v>
      </c>
      <c r="FI166" s="109">
        <f t="shared" si="328"/>
        <v>0</v>
      </c>
      <c r="FJ166" s="113">
        <f t="shared" si="378"/>
        <v>0</v>
      </c>
      <c r="FL166" s="102">
        <f t="shared" si="379"/>
        <v>0</v>
      </c>
      <c r="FM166" s="211">
        <f t="shared" si="424"/>
        <v>142</v>
      </c>
      <c r="FN166" s="212">
        <f t="shared" si="380"/>
        <v>0</v>
      </c>
      <c r="FO166" s="212">
        <f t="shared" si="329"/>
        <v>0</v>
      </c>
      <c r="FP166" s="212">
        <f t="shared" si="426"/>
        <v>0</v>
      </c>
      <c r="FQ166" s="213">
        <f t="shared" si="330"/>
        <v>1000000</v>
      </c>
      <c r="FV166" s="359"/>
      <c r="FX166" s="308">
        <f t="shared" ca="1" si="331"/>
        <v>1</v>
      </c>
      <c r="FY166" s="309">
        <f t="shared" si="381"/>
        <v>0</v>
      </c>
      <c r="FZ166" s="268">
        <f t="shared" si="332"/>
        <v>0</v>
      </c>
      <c r="GA166" s="33">
        <f t="shared" si="382"/>
        <v>0</v>
      </c>
      <c r="GB166" s="33">
        <f t="shared" ref="GB166:GB229" si="438">IF(GJ165&lt;0.01,0,MIN(GJ165,GC166-GA166))</f>
        <v>0</v>
      </c>
      <c r="GC166" s="33">
        <f t="shared" ref="GC166:GC229" si="439">IF(GJ164&lt;0.1,0,MIN(GJ165+GA166,IF(GW166&gt;0,GW166,GC165*(1+GR166))))</f>
        <v>0</v>
      </c>
      <c r="GD166" s="33">
        <f>IF(GJ165&lt;0.01,0,IF(Plus!$F$22=Plus!$AN$4,0,IF(Plus!$F$22=Plus!$AN$3,GJ165*Plus!$F$23/1000,GJ165*VLOOKUP(Plus!$G$21,Plus!$AP$2:$AQ$5,2,0))))</f>
        <v>0</v>
      </c>
      <c r="GE166" s="33">
        <f>IF(GJ165&lt;0.01,0,IF(Plus!$F$24=Plus!$AO$3,0,IF(OR(Plus!$F$10=Plus!$AK$7,Plus!$F$10=Plus!$AK$13,Plus!$F$10=Plus!$AK$14),0,IF(OR(Plus!$F$10=Plus!$AK$10,Plus!$F$10=Plus!$AK$11),Plus!$G$13*Adm!$W$7,Plus!$G$13*Adm!$X$4))))</f>
        <v>0</v>
      </c>
      <c r="GF166" s="33">
        <f>IF(GJ165&lt;0.01,0,IF(OR(Plus!$F$10=Plus!$AK$7,Plus!$F$10=Plus!$AK$13),0,Plus!$BD$2*1.16))</f>
        <v>0</v>
      </c>
      <c r="GG166" s="33">
        <f>IF(GJ165&lt;0.01,0,IF(Plus!$AS$2&gt;0,GA166*Plus!$AS$3,0))</f>
        <v>0</v>
      </c>
      <c r="GH166" s="33">
        <f t="shared" si="383"/>
        <v>0</v>
      </c>
      <c r="GI166" s="33">
        <f>IF(Plus!$F$10=Plus!$AK$3,MIN(GJ165+GA166+GD166+GE166+GF166-GH166,GU166),0)</f>
        <v>0</v>
      </c>
      <c r="GJ166" s="311">
        <f t="shared" si="432"/>
        <v>0</v>
      </c>
      <c r="GK166" s="340">
        <f>Plus!O207</f>
        <v>0</v>
      </c>
      <c r="GL166" s="74"/>
      <c r="GM166" s="74"/>
      <c r="GN166" s="419">
        <f t="shared" si="430"/>
        <v>0</v>
      </c>
      <c r="GQ166" s="90">
        <f t="shared" si="384"/>
        <v>10</v>
      </c>
      <c r="GR166" s="121">
        <f t="shared" si="418"/>
        <v>0</v>
      </c>
      <c r="GT166" s="149">
        <f t="shared" si="419"/>
        <v>0</v>
      </c>
      <c r="GU166" s="2179">
        <f t="shared" ca="1" si="385"/>
        <v>0</v>
      </c>
      <c r="GW166" s="120">
        <f t="shared" si="420"/>
        <v>0</v>
      </c>
      <c r="GX166" s="110">
        <f t="shared" si="386"/>
        <v>0</v>
      </c>
      <c r="GY166" s="110">
        <f t="shared" si="387"/>
        <v>0</v>
      </c>
      <c r="GZ166" s="109">
        <f t="shared" si="388"/>
        <v>0</v>
      </c>
      <c r="HA166" s="109">
        <f t="shared" si="333"/>
        <v>0</v>
      </c>
      <c r="HB166" s="113">
        <f t="shared" si="389"/>
        <v>0</v>
      </c>
      <c r="HD166" s="102">
        <f t="shared" si="390"/>
        <v>0</v>
      </c>
      <c r="HE166" s="211">
        <f t="shared" si="425"/>
        <v>142</v>
      </c>
      <c r="HF166" s="212">
        <f t="shared" si="391"/>
        <v>0</v>
      </c>
      <c r="HG166" s="212">
        <f t="shared" si="334"/>
        <v>0</v>
      </c>
      <c r="HH166" s="212">
        <f t="shared" si="427"/>
        <v>0</v>
      </c>
      <c r="HI166" s="213">
        <f t="shared" si="335"/>
        <v>1000000</v>
      </c>
      <c r="HL166" s="182"/>
      <c r="HM166" s="26">
        <f t="shared" ca="1" si="336"/>
        <v>1</v>
      </c>
      <c r="HO166" s="268">
        <f t="shared" si="337"/>
        <v>0</v>
      </c>
      <c r="HP166" s="151">
        <f t="shared" si="302"/>
        <v>0</v>
      </c>
      <c r="HQ166" s="123">
        <f t="shared" si="392"/>
        <v>0</v>
      </c>
      <c r="HR166" s="123">
        <f t="shared" si="393"/>
        <v>0</v>
      </c>
      <c r="HS166" s="123">
        <f t="shared" si="394"/>
        <v>0</v>
      </c>
      <c r="HT166" s="123">
        <f>IF(HY165&lt;0.01,0,IF(Adm!$GS$4=Adm!$GS$8,HY165*$HY$15,IF(Adm!$GS$12=Adm!$GS$13,0,HY165*Adm!$GV$4)))</f>
        <v>0</v>
      </c>
      <c r="HU166" s="123">
        <f>IF(HY165&lt;0.01,0,IF(Adm!$GS$5=Adm!$GS$8,Cal!$BO$108*$HY$16/1.16,IF(Adm!$GS$12=Adm!$GS$13,0,Cal!$BO$108*Adm!$GW$4/1.16)))</f>
        <v>0</v>
      </c>
      <c r="HV166" s="123">
        <f t="shared" si="395"/>
        <v>0</v>
      </c>
      <c r="HW166" s="123">
        <f t="shared" si="338"/>
        <v>0</v>
      </c>
      <c r="HX166" s="123">
        <f>IF(Adm!$GH$6="si",MIN(HY165+HQ166+HT166+HU166+HV166-HW166,IH166),0)</f>
        <v>0</v>
      </c>
      <c r="HY166" s="297">
        <f t="shared" si="396"/>
        <v>0</v>
      </c>
      <c r="HZ166" s="74"/>
      <c r="IA166" s="407">
        <f t="shared" si="397"/>
        <v>0</v>
      </c>
      <c r="IC166" s="90">
        <f t="shared" si="398"/>
        <v>10</v>
      </c>
      <c r="ID166" s="124">
        <f>IF(IC166=1,Cal!$BO$127,0)</f>
        <v>0</v>
      </c>
      <c r="IE166" s="178">
        <f>IF(IC166=1,Adm!$HI$4,0)</f>
        <v>0</v>
      </c>
      <c r="IG166" s="70">
        <f t="shared" si="421"/>
        <v>0</v>
      </c>
      <c r="IH166" s="2178">
        <f t="shared" ca="1" si="399"/>
        <v>0</v>
      </c>
      <c r="IK166" s="217"/>
      <c r="IL166" s="26">
        <f t="shared" ca="1" si="339"/>
        <v>1</v>
      </c>
      <c r="IN166" s="268">
        <f t="shared" si="340"/>
        <v>0</v>
      </c>
      <c r="IO166" s="151">
        <f t="shared" si="303"/>
        <v>0</v>
      </c>
      <c r="IP166" s="123">
        <f t="shared" si="400"/>
        <v>0</v>
      </c>
      <c r="IQ166" s="123">
        <f t="shared" si="401"/>
        <v>0</v>
      </c>
      <c r="IR166" s="123">
        <f t="shared" si="402"/>
        <v>0</v>
      </c>
      <c r="IS166" s="123">
        <f>IF(IX165&lt;0.01,0,IF(Adm!$GS$4=Adm!$GS$8,IX165*$IX$15,IF(Adm!$GS$12=Adm!$GS$13,0,IX165*Adm!$GV$4)))</f>
        <v>0</v>
      </c>
      <c r="IT166" s="123"/>
      <c r="IU166" s="123">
        <f t="shared" si="403"/>
        <v>0</v>
      </c>
      <c r="IV166" s="123">
        <f t="shared" si="404"/>
        <v>0</v>
      </c>
      <c r="IW166" s="123"/>
      <c r="IX166" s="297">
        <f t="shared" si="405"/>
        <v>0</v>
      </c>
      <c r="IY166" s="74"/>
      <c r="IZ166" s="416">
        <f t="shared" si="406"/>
        <v>0</v>
      </c>
      <c r="JB166" s="90">
        <f t="shared" si="407"/>
        <v>10</v>
      </c>
      <c r="JC166" s="124">
        <f>IF(JB166=1,Cal!$BP$127,0)</f>
        <v>0</v>
      </c>
      <c r="JD166" s="178">
        <f>IF(JB166=1,Adm!$HI$4,0)</f>
        <v>0</v>
      </c>
    </row>
    <row r="167" spans="1:264">
      <c r="A167" s="26">
        <f t="shared" ca="1" si="308"/>
        <v>2</v>
      </c>
      <c r="C167" s="33">
        <f t="shared" si="309"/>
        <v>0</v>
      </c>
      <c r="D167" s="123">
        <f t="shared" si="341"/>
        <v>0</v>
      </c>
      <c r="E167" s="123">
        <f t="shared" si="433"/>
        <v>0</v>
      </c>
      <c r="F167" s="123">
        <f t="shared" si="295"/>
        <v>0</v>
      </c>
      <c r="G167" s="123">
        <f>IF(L166&lt;0.01,0,IF(Adm!$S$4=Adm!$S$8,L166*$L$15,L166*Adm!$V$4))</f>
        <v>0</v>
      </c>
      <c r="H167" s="123">
        <f>IF(L166&lt;0.01,0,IF(Adm!$S$5=Adm!$S$8,Adm!$AA$11*$L$16/1.16,IF(Adm!$B$4=Adm!$A$119,0,Adm!$AA$11*Adm!$X$4/1.16)))</f>
        <v>0</v>
      </c>
      <c r="I167" s="123">
        <f>IF(L166&lt;0.01,0,Cal!$AB$126/1.16)</f>
        <v>0</v>
      </c>
      <c r="J167" s="123">
        <f t="shared" si="310"/>
        <v>0</v>
      </c>
      <c r="K167" s="123">
        <f>IF(Adm!$G$4="si",MIN(L166+D167+G167+H167+I167-J167,V167),0)</f>
        <v>0</v>
      </c>
      <c r="L167" s="123">
        <f t="shared" si="342"/>
        <v>0</v>
      </c>
      <c r="M167" s="74"/>
      <c r="N167" s="74"/>
      <c r="O167" s="407">
        <f t="shared" si="343"/>
        <v>0</v>
      </c>
      <c r="R167" s="90">
        <f t="shared" si="344"/>
        <v>11</v>
      </c>
      <c r="S167" s="121">
        <f>IF(R167=1,Cal!$AB$127,0)</f>
        <v>0</v>
      </c>
      <c r="U167" s="70">
        <f t="shared" si="408"/>
        <v>0</v>
      </c>
      <c r="V167" s="2178">
        <f t="shared" ca="1" si="345"/>
        <v>0</v>
      </c>
      <c r="X167" s="398"/>
      <c r="Z167" s="268">
        <f t="shared" si="311"/>
        <v>0</v>
      </c>
      <c r="AA167" s="2176">
        <f t="shared" si="346"/>
        <v>0</v>
      </c>
      <c r="AB167" s="33">
        <f t="shared" si="347"/>
        <v>0</v>
      </c>
      <c r="AC167" s="33">
        <f t="shared" si="348"/>
        <v>0</v>
      </c>
      <c r="AD167" s="33">
        <f>IF(AI166&lt;0.01,0,IF(Adm!$S$4=Adm!$S$8,AI166*$AI$15,AI166*Adm!$V$4))</f>
        <v>0</v>
      </c>
      <c r="AE167" s="33"/>
      <c r="AF167" s="33"/>
      <c r="AG167" s="33">
        <f t="shared" si="312"/>
        <v>0</v>
      </c>
      <c r="AH167" s="33"/>
      <c r="AI167" s="401">
        <f t="shared" si="313"/>
        <v>0</v>
      </c>
      <c r="AK167" s="410">
        <f t="shared" si="314"/>
        <v>0</v>
      </c>
      <c r="AN167" s="90">
        <f t="shared" si="349"/>
        <v>11</v>
      </c>
      <c r="AO167" s="121">
        <f>IF(AN167=1,Cal!$AC$127,0)</f>
        <v>0</v>
      </c>
      <c r="AS167" s="200"/>
      <c r="AU167" s="268">
        <f t="shared" si="315"/>
        <v>0</v>
      </c>
      <c r="AV167" s="2177">
        <f t="shared" si="350"/>
        <v>0</v>
      </c>
      <c r="AW167" s="123">
        <f t="shared" si="316"/>
        <v>0</v>
      </c>
      <c r="AX167" s="123">
        <f t="shared" si="351"/>
        <v>0</v>
      </c>
      <c r="AY167" s="123">
        <f>IF(BC166&lt;0.01,0,IF(Adm!$S$4=Adm!$S$8,BC166*$BC$16,BC166*Adm!$V$4))</f>
        <v>0</v>
      </c>
      <c r="AZ167" s="123"/>
      <c r="BA167" s="123">
        <f>IF(BC166&lt;0.01,0,Adm!$Q$6)</f>
        <v>0</v>
      </c>
      <c r="BB167" s="123">
        <f t="shared" si="317"/>
        <v>0</v>
      </c>
      <c r="BC167" s="297">
        <f t="shared" si="352"/>
        <v>0</v>
      </c>
      <c r="BE167" s="425">
        <f t="shared" si="318"/>
        <v>0</v>
      </c>
      <c r="BH167" s="90">
        <f t="shared" si="353"/>
        <v>11</v>
      </c>
      <c r="BI167" s="121">
        <f>IF(BH167=1,Cal!$AD$127,0)</f>
        <v>0</v>
      </c>
      <c r="BM167" s="221"/>
      <c r="BO167" s="295">
        <f t="shared" ca="1" si="319"/>
        <v>2</v>
      </c>
      <c r="BP167" s="268">
        <f t="shared" si="320"/>
        <v>0</v>
      </c>
      <c r="BQ167" s="123">
        <f t="shared" si="354"/>
        <v>0</v>
      </c>
      <c r="BR167" s="123">
        <f t="shared" si="434"/>
        <v>0</v>
      </c>
      <c r="BS167" s="123">
        <f t="shared" si="296"/>
        <v>0</v>
      </c>
      <c r="BT167" s="123">
        <f>IF(BZ166&lt;0.01,0,IF(Plus!$F$22=Plus!$AN$4,BZ166*$BZ$15,IF(Plus!$F$22=Plus!$AN$3,BZ166*Plus!$F$23/1000,BZ166*VLOOKUP(Plus!$G$21,Plus!$AP$2:'Plus'!$AQ$5,2,0))))</f>
        <v>0</v>
      </c>
      <c r="BU167" s="123">
        <f>IF(BZ166&lt;0.01,0,IF(Plus!$F$24=Plus!$AO$3,Plus!$G$13*Plus!$AR$2/1.16,IF(Plus!$F$10=Plus!$AK$7,0,Plus!$G$13*Plus!$AR$2/1.16)))</f>
        <v>0</v>
      </c>
      <c r="BV167" s="123">
        <f>IF(BZ166&lt;0.01,0,Plus!$BD$2)</f>
        <v>0</v>
      </c>
      <c r="BW167" s="123"/>
      <c r="BX167" s="123">
        <f t="shared" si="321"/>
        <v>0</v>
      </c>
      <c r="BY167" s="123">
        <f>IF(Plus!$F$10=Plus!$AK$3,MIN(BZ166+BQ167+BT167+BU167+BV167-BX167,CJ167),0)</f>
        <v>0</v>
      </c>
      <c r="BZ167" s="297">
        <f t="shared" si="428"/>
        <v>0</v>
      </c>
      <c r="CA167" s="74"/>
      <c r="CB167" s="74"/>
      <c r="CC167" s="413">
        <f t="shared" si="355"/>
        <v>0</v>
      </c>
      <c r="CF167" s="90">
        <f t="shared" si="356"/>
        <v>11</v>
      </c>
      <c r="CG167" s="121">
        <f t="shared" si="409"/>
        <v>0</v>
      </c>
      <c r="CI167" s="70">
        <f t="shared" si="410"/>
        <v>0</v>
      </c>
      <c r="CJ167" s="2178">
        <f t="shared" ca="1" si="357"/>
        <v>0</v>
      </c>
      <c r="CL167" s="161"/>
      <c r="CN167" s="308">
        <f t="shared" ca="1" si="322"/>
        <v>2</v>
      </c>
      <c r="CO167" s="309">
        <f t="shared" si="358"/>
        <v>0</v>
      </c>
      <c r="CP167" s="268">
        <f t="shared" si="323"/>
        <v>0</v>
      </c>
      <c r="CQ167" s="123">
        <f t="shared" si="359"/>
        <v>0</v>
      </c>
      <c r="CR167" s="123">
        <f t="shared" si="435"/>
        <v>0</v>
      </c>
      <c r="CS167" s="123">
        <f t="shared" si="436"/>
        <v>0</v>
      </c>
      <c r="CT167" s="33">
        <f>IF(CZ166&lt;0.01,0,IF(Plus!$F$22=Plus!$AN$4,0,IF(Plus!$F$22=Plus!$AN$3,CZ166*Plus!$F$23/1000,CZ166*VLOOKUP(Plus!$G$21,Plus!$AP$2:'Plus'!$AQ$5,2,0))))</f>
        <v>0</v>
      </c>
      <c r="CU167" s="123">
        <f>IF(CZ166&lt;0.01,0,IF(Plus!$F$24=Plus!$AO$3,0,IF(OR(Plus!$F$10=Plus!$AK$7,Plus!$F$10=Plus!$AK$13),0,Plus!$G$13*Plus!$AR$2)))</f>
        <v>0</v>
      </c>
      <c r="CV167" s="123">
        <f>IF(CZ166&lt;0.01,0,IF(OR(Plus!$F$10=Plus!$AK$7,Plus!$F$10=Plus!$AK$13),0,Plus!$BD$2*1.16))</f>
        <v>0</v>
      </c>
      <c r="CW167" s="123">
        <f>IF(CZ166&lt;0.01,0,IF(Plus!$AS$2&gt;0,CQ167*Plus!$AS$3,0))</f>
        <v>0</v>
      </c>
      <c r="CX167" s="123">
        <f t="shared" si="360"/>
        <v>0</v>
      </c>
      <c r="CY167" s="123">
        <f>IF(Plus!$F$10=Plus!$AK$3,MIN(CZ166+CQ167+CT167+CU167+CV167-CX167,DK167),0)</f>
        <v>0</v>
      </c>
      <c r="CZ167" s="297">
        <f t="shared" si="294"/>
        <v>0</v>
      </c>
      <c r="DA167" s="306">
        <f>Plus!O208</f>
        <v>0</v>
      </c>
      <c r="DB167" s="74"/>
      <c r="DC167" s="74"/>
      <c r="DD167" s="407">
        <f t="shared" si="361"/>
        <v>0</v>
      </c>
      <c r="DG167" s="90">
        <f t="shared" si="362"/>
        <v>11</v>
      </c>
      <c r="DH167" s="121">
        <f t="shared" si="411"/>
        <v>0</v>
      </c>
      <c r="DJ167" s="149">
        <f t="shared" si="412"/>
        <v>0</v>
      </c>
      <c r="DK167" s="2179">
        <f t="shared" ca="1" si="363"/>
        <v>0</v>
      </c>
      <c r="DN167" s="120">
        <f t="shared" si="413"/>
        <v>0</v>
      </c>
      <c r="DO167" s="110">
        <f t="shared" si="364"/>
        <v>0</v>
      </c>
      <c r="DP167" s="110">
        <f t="shared" si="422"/>
        <v>0</v>
      </c>
      <c r="DQ167" s="109">
        <f t="shared" si="365"/>
        <v>0</v>
      </c>
      <c r="DR167" s="109">
        <f t="shared" si="366"/>
        <v>0</v>
      </c>
      <c r="DS167" s="113">
        <f t="shared" si="367"/>
        <v>0</v>
      </c>
      <c r="DU167" s="102">
        <f t="shared" si="368"/>
        <v>0</v>
      </c>
      <c r="DV167" s="211">
        <f t="shared" si="423"/>
        <v>143</v>
      </c>
      <c r="DW167" s="212">
        <f t="shared" si="369"/>
        <v>0</v>
      </c>
      <c r="DX167" s="212">
        <f t="shared" si="324"/>
        <v>0</v>
      </c>
      <c r="DY167" s="212">
        <f t="shared" si="414"/>
        <v>0</v>
      </c>
      <c r="DZ167" s="213">
        <f t="shared" si="325"/>
        <v>1000000</v>
      </c>
      <c r="ED167" s="182"/>
      <c r="EF167" s="308">
        <f t="shared" ca="1" si="326"/>
        <v>2</v>
      </c>
      <c r="EG167" s="309">
        <f t="shared" si="370"/>
        <v>0</v>
      </c>
      <c r="EH167" s="268">
        <f t="shared" si="327"/>
        <v>0</v>
      </c>
      <c r="EI167" s="33">
        <f t="shared" si="371"/>
        <v>0</v>
      </c>
      <c r="EJ167" s="33">
        <f t="shared" si="437"/>
        <v>0</v>
      </c>
      <c r="EK167" s="33">
        <f t="shared" si="297"/>
        <v>0</v>
      </c>
      <c r="EL167" s="33">
        <f>IF(ER166&lt;0.01,0,IF(Plus!$F$22=Plus!$AN$4,0,IF(Plus!$F$22=Plus!$AN$3,ER166*Plus!$F$23/1000,ER166*VLOOKUP(Plus!$G$21,Plus!$AP$2:'Plus'!$AQ$5,2,0))))</f>
        <v>0</v>
      </c>
      <c r="EM167" s="33">
        <f>IF(ER166&lt;0.01,0,IF(Plus!$F$24=Plus!$AO$3,0,IF(OR(Plus!$F$10=Plus!$AK$7,Plus!$F$10=Plus!$AK$13),0,Plus!$G$13*Plus!$AR$2)))</f>
        <v>0</v>
      </c>
      <c r="EN167" s="33">
        <f>IF(ER166&lt;0.01,0,IF(OR(Plus!$F$10=Plus!$AK$7,Plus!$F$10=Plus!$AK$13),0,Plus!$BD$2*1.16))</f>
        <v>0</v>
      </c>
      <c r="EO167" s="33">
        <f>IF(ER166&lt;0.01,0,IF(Plus!$AS$2&gt;0,EI167*Plus!$AS$3,0))</f>
        <v>0</v>
      </c>
      <c r="EP167" s="33">
        <f t="shared" si="372"/>
        <v>0</v>
      </c>
      <c r="EQ167" s="33">
        <f>IF(Plus!$F$10=Plus!$AK$3,MIN(ER166+EI167+EL167+EM167+EN167-EP167,FC167),0)</f>
        <v>0</v>
      </c>
      <c r="ER167" s="311">
        <f t="shared" si="431"/>
        <v>0</v>
      </c>
      <c r="ES167" s="340">
        <f>Plus!O208</f>
        <v>0</v>
      </c>
      <c r="ET167" s="74"/>
      <c r="EU167" s="74"/>
      <c r="EV167" s="416">
        <f t="shared" si="429"/>
        <v>0</v>
      </c>
      <c r="EY167" s="90">
        <f t="shared" si="373"/>
        <v>11</v>
      </c>
      <c r="EZ167" s="121">
        <f t="shared" si="415"/>
        <v>0</v>
      </c>
      <c r="FB167" s="149">
        <f t="shared" si="416"/>
        <v>0</v>
      </c>
      <c r="FC167" s="2179">
        <f t="shared" ca="1" si="374"/>
        <v>0</v>
      </c>
      <c r="FE167" s="120">
        <f t="shared" si="417"/>
        <v>0</v>
      </c>
      <c r="FF167" s="110">
        <f t="shared" si="375"/>
        <v>0</v>
      </c>
      <c r="FG167" s="110">
        <f t="shared" si="376"/>
        <v>0</v>
      </c>
      <c r="FH167" s="109">
        <f t="shared" si="377"/>
        <v>0</v>
      </c>
      <c r="FI167" s="109">
        <f t="shared" si="328"/>
        <v>0</v>
      </c>
      <c r="FJ167" s="113">
        <f t="shared" si="378"/>
        <v>0</v>
      </c>
      <c r="FL167" s="102">
        <f t="shared" si="379"/>
        <v>0</v>
      </c>
      <c r="FM167" s="211">
        <f t="shared" si="424"/>
        <v>143</v>
      </c>
      <c r="FN167" s="212">
        <f t="shared" si="380"/>
        <v>0</v>
      </c>
      <c r="FO167" s="212">
        <f t="shared" si="329"/>
        <v>0</v>
      </c>
      <c r="FP167" s="212">
        <f t="shared" si="426"/>
        <v>0</v>
      </c>
      <c r="FQ167" s="213">
        <f t="shared" si="330"/>
        <v>1000000</v>
      </c>
      <c r="FV167" s="359"/>
      <c r="FX167" s="308">
        <f t="shared" ca="1" si="331"/>
        <v>2</v>
      </c>
      <c r="FY167" s="309">
        <f t="shared" si="381"/>
        <v>0</v>
      </c>
      <c r="FZ167" s="268">
        <f t="shared" si="332"/>
        <v>0</v>
      </c>
      <c r="GA167" s="33">
        <f t="shared" si="382"/>
        <v>0</v>
      </c>
      <c r="GB167" s="33">
        <f t="shared" si="438"/>
        <v>0</v>
      </c>
      <c r="GC167" s="33">
        <f t="shared" si="439"/>
        <v>0</v>
      </c>
      <c r="GD167" s="33">
        <f>IF(GJ166&lt;0.01,0,IF(Plus!$F$22=Plus!$AN$4,0,IF(Plus!$F$22=Plus!$AN$3,GJ166*Plus!$F$23/1000,GJ166*VLOOKUP(Plus!$G$21,Plus!$AP$2:$AQ$5,2,0))))</f>
        <v>0</v>
      </c>
      <c r="GE167" s="33">
        <f>IF(GJ166&lt;0.01,0,IF(Plus!$F$24=Plus!$AO$3,0,IF(OR(Plus!$F$10=Plus!$AK$7,Plus!$F$10=Plus!$AK$13,Plus!$F$10=Plus!$AK$14),0,IF(OR(Plus!$F$10=Plus!$AK$10,Plus!$F$10=Plus!$AK$11),Plus!$G$13*Adm!$W$7,Plus!$G$13*Adm!$X$4))))</f>
        <v>0</v>
      </c>
      <c r="GF167" s="33">
        <f>IF(GJ166&lt;0.01,0,IF(OR(Plus!$F$10=Plus!$AK$7,Plus!$F$10=Plus!$AK$13),0,Plus!$BD$2*1.16))</f>
        <v>0</v>
      </c>
      <c r="GG167" s="33">
        <f>IF(GJ166&lt;0.01,0,IF(Plus!$AS$2&gt;0,GA167*Plus!$AS$3,0))</f>
        <v>0</v>
      </c>
      <c r="GH167" s="33">
        <f t="shared" si="383"/>
        <v>0</v>
      </c>
      <c r="GI167" s="33">
        <f>IF(Plus!$F$10=Plus!$AK$3,MIN(GJ166+GA167+GD167+GE167+GF167-GH167,GU167),0)</f>
        <v>0</v>
      </c>
      <c r="GJ167" s="311">
        <f t="shared" si="432"/>
        <v>0</v>
      </c>
      <c r="GK167" s="340">
        <f>Plus!O208</f>
        <v>0</v>
      </c>
      <c r="GL167" s="74"/>
      <c r="GM167" s="74"/>
      <c r="GN167" s="419">
        <f t="shared" si="430"/>
        <v>0</v>
      </c>
      <c r="GQ167" s="90">
        <f t="shared" si="384"/>
        <v>11</v>
      </c>
      <c r="GR167" s="121">
        <f t="shared" si="418"/>
        <v>0</v>
      </c>
      <c r="GT167" s="149">
        <f t="shared" si="419"/>
        <v>0</v>
      </c>
      <c r="GU167" s="2179">
        <f t="shared" ca="1" si="385"/>
        <v>0</v>
      </c>
      <c r="GW167" s="120">
        <f t="shared" si="420"/>
        <v>0</v>
      </c>
      <c r="GX167" s="110">
        <f t="shared" si="386"/>
        <v>0</v>
      </c>
      <c r="GY167" s="110">
        <f t="shared" si="387"/>
        <v>0</v>
      </c>
      <c r="GZ167" s="109">
        <f t="shared" si="388"/>
        <v>0</v>
      </c>
      <c r="HA167" s="109">
        <f t="shared" si="333"/>
        <v>0</v>
      </c>
      <c r="HB167" s="113">
        <f t="shared" si="389"/>
        <v>0</v>
      </c>
      <c r="HD167" s="102">
        <f t="shared" si="390"/>
        <v>0</v>
      </c>
      <c r="HE167" s="211">
        <f t="shared" si="425"/>
        <v>143</v>
      </c>
      <c r="HF167" s="212">
        <f t="shared" si="391"/>
        <v>0</v>
      </c>
      <c r="HG167" s="212">
        <f t="shared" si="334"/>
        <v>0</v>
      </c>
      <c r="HH167" s="212">
        <f t="shared" si="427"/>
        <v>0</v>
      </c>
      <c r="HI167" s="213">
        <f t="shared" si="335"/>
        <v>1000000</v>
      </c>
      <c r="HL167" s="182"/>
      <c r="HM167" s="26">
        <f t="shared" ca="1" si="336"/>
        <v>2</v>
      </c>
      <c r="HO167" s="268">
        <f t="shared" si="337"/>
        <v>0</v>
      </c>
      <c r="HP167" s="151">
        <f t="shared" si="302"/>
        <v>0</v>
      </c>
      <c r="HQ167" s="123">
        <f t="shared" si="392"/>
        <v>0</v>
      </c>
      <c r="HR167" s="123">
        <f t="shared" si="393"/>
        <v>0</v>
      </c>
      <c r="HS167" s="123">
        <f t="shared" si="394"/>
        <v>0</v>
      </c>
      <c r="HT167" s="123">
        <f>IF(HY166&lt;0.01,0,IF(Adm!$GS$4=Adm!$GS$8,HY166*$HY$15,IF(Adm!$GS$12=Adm!$GS$13,0,HY166*Adm!$GV$4)))</f>
        <v>0</v>
      </c>
      <c r="HU167" s="123">
        <f>IF(HY166&lt;0.01,0,IF(Adm!$GS$5=Adm!$GS$8,Cal!$BO$108*$HY$16/1.16,IF(Adm!$GS$12=Adm!$GS$13,0,Cal!$BO$108*Adm!$GW$4/1.16)))</f>
        <v>0</v>
      </c>
      <c r="HV167" s="123">
        <f t="shared" si="395"/>
        <v>0</v>
      </c>
      <c r="HW167" s="123">
        <f t="shared" si="338"/>
        <v>0</v>
      </c>
      <c r="HX167" s="123">
        <f>IF(Adm!$GH$6="si",MIN(HY166+HQ167+HT167+HU167+HV167-HW167,IH167),0)</f>
        <v>0</v>
      </c>
      <c r="HY167" s="297">
        <f t="shared" si="396"/>
        <v>0</v>
      </c>
      <c r="HZ167" s="74"/>
      <c r="IA167" s="407">
        <f t="shared" si="397"/>
        <v>0</v>
      </c>
      <c r="IC167" s="90">
        <f t="shared" si="398"/>
        <v>11</v>
      </c>
      <c r="ID167" s="124">
        <f>IF(IC167=1,Cal!$BO$127,0)</f>
        <v>0</v>
      </c>
      <c r="IE167" s="178">
        <f>IF(IC167=1,Adm!$HI$4,0)</f>
        <v>0</v>
      </c>
      <c r="IG167" s="70">
        <f t="shared" si="421"/>
        <v>0</v>
      </c>
      <c r="IH167" s="2178">
        <f t="shared" ca="1" si="399"/>
        <v>0</v>
      </c>
      <c r="IK167" s="217"/>
      <c r="IL167" s="26">
        <f t="shared" ca="1" si="339"/>
        <v>2</v>
      </c>
      <c r="IN167" s="268">
        <f t="shared" si="340"/>
        <v>0</v>
      </c>
      <c r="IO167" s="151">
        <f t="shared" si="303"/>
        <v>0</v>
      </c>
      <c r="IP167" s="123">
        <f t="shared" si="400"/>
        <v>0</v>
      </c>
      <c r="IQ167" s="123">
        <f t="shared" si="401"/>
        <v>0</v>
      </c>
      <c r="IR167" s="123">
        <f t="shared" si="402"/>
        <v>0</v>
      </c>
      <c r="IS167" s="123">
        <f>IF(IX166&lt;0.01,0,IF(Adm!$GS$4=Adm!$GS$8,IX166*$IX$15,IF(Adm!$GS$12=Adm!$GS$13,0,IX166*Adm!$GV$4)))</f>
        <v>0</v>
      </c>
      <c r="IT167" s="123"/>
      <c r="IU167" s="123">
        <f t="shared" si="403"/>
        <v>0</v>
      </c>
      <c r="IV167" s="123">
        <f t="shared" si="404"/>
        <v>0</v>
      </c>
      <c r="IW167" s="123"/>
      <c r="IX167" s="297">
        <f t="shared" si="405"/>
        <v>0</v>
      </c>
      <c r="IY167" s="74"/>
      <c r="IZ167" s="416">
        <f t="shared" si="406"/>
        <v>0</v>
      </c>
      <c r="JB167" s="90">
        <f t="shared" si="407"/>
        <v>11</v>
      </c>
      <c r="JC167" s="124">
        <f>IF(JB167=1,Cal!$BP$127,0)</f>
        <v>0</v>
      </c>
      <c r="JD167" s="178">
        <f>IF(JB167=1,Adm!$HI$4,0)</f>
        <v>0</v>
      </c>
    </row>
    <row r="168" spans="1:264">
      <c r="A168" s="26">
        <f t="shared" ca="1" si="308"/>
        <v>3</v>
      </c>
      <c r="C168" s="33">
        <f t="shared" si="309"/>
        <v>0</v>
      </c>
      <c r="D168" s="123">
        <f t="shared" si="341"/>
        <v>0</v>
      </c>
      <c r="E168" s="123">
        <f t="shared" si="433"/>
        <v>0</v>
      </c>
      <c r="F168" s="123">
        <f t="shared" si="295"/>
        <v>0</v>
      </c>
      <c r="G168" s="123">
        <f>IF(L167&lt;0.01,0,IF(Adm!$S$4=Adm!$S$8,L167*$L$15,L167*Adm!$V$4))</f>
        <v>0</v>
      </c>
      <c r="H168" s="123">
        <f>IF(L167&lt;0.01,0,IF(Adm!$S$5=Adm!$S$8,Adm!$AA$11*$L$16/1.16,IF(Adm!$B$4=Adm!$A$119,0,Adm!$AA$11*Adm!$X$4/1.16)))</f>
        <v>0</v>
      </c>
      <c r="I168" s="123">
        <f>IF(L167&lt;0.01,0,Cal!$AB$126/1.16)</f>
        <v>0</v>
      </c>
      <c r="J168" s="123">
        <f t="shared" si="310"/>
        <v>0</v>
      </c>
      <c r="K168" s="123">
        <f>IF(Adm!$G$4="si",MIN(L167+D168+G168+H168+I168-J168,V168),0)</f>
        <v>0</v>
      </c>
      <c r="L168" s="123">
        <f t="shared" si="342"/>
        <v>0</v>
      </c>
      <c r="M168" s="74"/>
      <c r="N168" s="74"/>
      <c r="O168" s="407">
        <f t="shared" si="343"/>
        <v>0</v>
      </c>
      <c r="R168" s="90">
        <f t="shared" si="344"/>
        <v>12</v>
      </c>
      <c r="S168" s="121">
        <f>IF(R168=1,Cal!$AB$127,0)</f>
        <v>0</v>
      </c>
      <c r="U168" s="70">
        <f t="shared" si="408"/>
        <v>0</v>
      </c>
      <c r="V168" s="2178">
        <f t="shared" ca="1" si="345"/>
        <v>0</v>
      </c>
      <c r="X168" s="398"/>
      <c r="Z168" s="268">
        <f t="shared" si="311"/>
        <v>0</v>
      </c>
      <c r="AA168" s="2176">
        <f t="shared" si="346"/>
        <v>0</v>
      </c>
      <c r="AB168" s="33">
        <f t="shared" si="347"/>
        <v>0</v>
      </c>
      <c r="AC168" s="33">
        <f t="shared" si="348"/>
        <v>0</v>
      </c>
      <c r="AD168" s="33">
        <f>IF(AI167&lt;0.01,0,IF(Adm!$S$4=Adm!$S$8,AI167*$AI$15,AI167*Adm!$V$4))</f>
        <v>0</v>
      </c>
      <c r="AE168" s="33"/>
      <c r="AF168" s="33"/>
      <c r="AG168" s="33">
        <f t="shared" si="312"/>
        <v>0</v>
      </c>
      <c r="AH168" s="33"/>
      <c r="AI168" s="401">
        <f t="shared" si="313"/>
        <v>0</v>
      </c>
      <c r="AK168" s="410">
        <f t="shared" si="314"/>
        <v>0</v>
      </c>
      <c r="AN168" s="90">
        <f t="shared" si="349"/>
        <v>12</v>
      </c>
      <c r="AO168" s="121">
        <f>IF(AN168=1,Cal!$AC$127,0)</f>
        <v>0</v>
      </c>
      <c r="AS168" s="200"/>
      <c r="AU168" s="268">
        <f t="shared" si="315"/>
        <v>0</v>
      </c>
      <c r="AV168" s="2177">
        <f t="shared" si="350"/>
        <v>0</v>
      </c>
      <c r="AW168" s="123">
        <f t="shared" si="316"/>
        <v>0</v>
      </c>
      <c r="AX168" s="123">
        <f t="shared" si="351"/>
        <v>0</v>
      </c>
      <c r="AY168" s="123">
        <f>IF(BC167&lt;0.01,0,IF(Adm!$S$4=Adm!$S$8,BC167*$BC$16,BC167*Adm!$V$4))</f>
        <v>0</v>
      </c>
      <c r="AZ168" s="123"/>
      <c r="BA168" s="123">
        <f>IF(BC167&lt;0.01,0,Adm!$Q$6)</f>
        <v>0</v>
      </c>
      <c r="BB168" s="123">
        <f t="shared" si="317"/>
        <v>0</v>
      </c>
      <c r="BC168" s="297">
        <f t="shared" si="352"/>
        <v>0</v>
      </c>
      <c r="BE168" s="425">
        <f t="shared" si="318"/>
        <v>0</v>
      </c>
      <c r="BH168" s="90">
        <f t="shared" si="353"/>
        <v>12</v>
      </c>
      <c r="BI168" s="121">
        <f>IF(BH168=1,Cal!$AD$127,0)</f>
        <v>0</v>
      </c>
      <c r="BM168" s="221"/>
      <c r="BO168" s="295">
        <f t="shared" ca="1" si="319"/>
        <v>3</v>
      </c>
      <c r="BP168" s="268">
        <f t="shared" si="320"/>
        <v>0</v>
      </c>
      <c r="BQ168" s="123">
        <f t="shared" si="354"/>
        <v>0</v>
      </c>
      <c r="BR168" s="123">
        <f t="shared" si="434"/>
        <v>0</v>
      </c>
      <c r="BS168" s="123">
        <f t="shared" si="296"/>
        <v>0</v>
      </c>
      <c r="BT168" s="123">
        <f>IF(BZ167&lt;0.01,0,IF(Plus!$F$22=Plus!$AN$4,BZ167*$BZ$15,IF(Plus!$F$22=Plus!$AN$3,BZ167*Plus!$F$23/1000,BZ167*VLOOKUP(Plus!$G$21,Plus!$AP$2:'Plus'!$AQ$5,2,0))))</f>
        <v>0</v>
      </c>
      <c r="BU168" s="123">
        <f>IF(BZ167&lt;0.01,0,IF(Plus!$F$24=Plus!$AO$3,Plus!$G$13*Plus!$AR$2/1.16,IF(Plus!$F$10=Plus!$AK$7,0,Plus!$G$13*Plus!$AR$2/1.16)))</f>
        <v>0</v>
      </c>
      <c r="BV168" s="123">
        <f>IF(BZ167&lt;0.01,0,Plus!$BD$2)</f>
        <v>0</v>
      </c>
      <c r="BW168" s="123"/>
      <c r="BX168" s="123">
        <f t="shared" si="321"/>
        <v>0</v>
      </c>
      <c r="BY168" s="123">
        <f>IF(Plus!$F$10=Plus!$AK$3,MIN(BZ167+BQ168+BT168+BU168+BV168-BX168,CJ168),0)</f>
        <v>0</v>
      </c>
      <c r="BZ168" s="297">
        <f t="shared" si="428"/>
        <v>0</v>
      </c>
      <c r="CA168" s="74"/>
      <c r="CB168" s="74"/>
      <c r="CC168" s="413">
        <f t="shared" si="355"/>
        <v>0</v>
      </c>
      <c r="CF168" s="90">
        <f t="shared" si="356"/>
        <v>12</v>
      </c>
      <c r="CG168" s="121">
        <f t="shared" si="409"/>
        <v>0</v>
      </c>
      <c r="CI168" s="70">
        <f t="shared" si="410"/>
        <v>0</v>
      </c>
      <c r="CJ168" s="2178">
        <f t="shared" ca="1" si="357"/>
        <v>0</v>
      </c>
      <c r="CL168" s="161"/>
      <c r="CN168" s="308">
        <f t="shared" ca="1" si="322"/>
        <v>3</v>
      </c>
      <c r="CO168" s="309">
        <f t="shared" si="358"/>
        <v>0</v>
      </c>
      <c r="CP168" s="268">
        <f t="shared" si="323"/>
        <v>0</v>
      </c>
      <c r="CQ168" s="123">
        <f t="shared" si="359"/>
        <v>0</v>
      </c>
      <c r="CR168" s="123">
        <f t="shared" si="435"/>
        <v>0</v>
      </c>
      <c r="CS168" s="123">
        <f t="shared" si="436"/>
        <v>0</v>
      </c>
      <c r="CT168" s="33">
        <f>IF(CZ167&lt;0.01,0,IF(Plus!$F$22=Plus!$AN$4,0,IF(Plus!$F$22=Plus!$AN$3,CZ167*Plus!$F$23/1000,CZ167*VLOOKUP(Plus!$G$21,Plus!$AP$2:'Plus'!$AQ$5,2,0))))</f>
        <v>0</v>
      </c>
      <c r="CU168" s="123">
        <f>IF(CZ167&lt;0.01,0,IF(Plus!$F$24=Plus!$AO$3,0,IF(OR(Plus!$F$10=Plus!$AK$7,Plus!$F$10=Plus!$AK$13),0,Plus!$G$13*Plus!$AR$2)))</f>
        <v>0</v>
      </c>
      <c r="CV168" s="123">
        <f>IF(CZ167&lt;0.01,0,IF(OR(Plus!$F$10=Plus!$AK$7,Plus!$F$10=Plus!$AK$13),0,Plus!$BD$2*1.16))</f>
        <v>0</v>
      </c>
      <c r="CW168" s="123">
        <f>IF(CZ167&lt;0.01,0,IF(Plus!$AS$2&gt;0,CQ168*Plus!$AS$3,0))</f>
        <v>0</v>
      </c>
      <c r="CX168" s="123">
        <f t="shared" si="360"/>
        <v>0</v>
      </c>
      <c r="CY168" s="123">
        <f>IF(Plus!$F$10=Plus!$AK$3,MIN(CZ167+CQ168+CT168+CU168+CV168-CX168,DK168),0)</f>
        <v>0</v>
      </c>
      <c r="CZ168" s="297">
        <f t="shared" si="294"/>
        <v>0</v>
      </c>
      <c r="DA168" s="306">
        <f>Plus!O209</f>
        <v>0</v>
      </c>
      <c r="DB168" s="74"/>
      <c r="DC168" s="74"/>
      <c r="DD168" s="407">
        <f t="shared" si="361"/>
        <v>0</v>
      </c>
      <c r="DG168" s="90">
        <f t="shared" si="362"/>
        <v>12</v>
      </c>
      <c r="DH168" s="121">
        <f t="shared" si="411"/>
        <v>0</v>
      </c>
      <c r="DJ168" s="149">
        <f t="shared" si="412"/>
        <v>0</v>
      </c>
      <c r="DK168" s="2179">
        <f t="shared" ca="1" si="363"/>
        <v>0</v>
      </c>
      <c r="DN168" s="120">
        <f t="shared" si="413"/>
        <v>0</v>
      </c>
      <c r="DO168" s="110">
        <f t="shared" si="364"/>
        <v>0</v>
      </c>
      <c r="DP168" s="110">
        <f t="shared" si="422"/>
        <v>0</v>
      </c>
      <c r="DQ168" s="109">
        <f t="shared" si="365"/>
        <v>0</v>
      </c>
      <c r="DR168" s="109">
        <f t="shared" si="366"/>
        <v>0</v>
      </c>
      <c r="DS168" s="113">
        <f t="shared" si="367"/>
        <v>0</v>
      </c>
      <c r="DU168" s="102">
        <f t="shared" si="368"/>
        <v>0</v>
      </c>
      <c r="DV168" s="211">
        <f t="shared" si="423"/>
        <v>144</v>
      </c>
      <c r="DW168" s="212">
        <f t="shared" si="369"/>
        <v>0</v>
      </c>
      <c r="DX168" s="212">
        <f t="shared" si="324"/>
        <v>0</v>
      </c>
      <c r="DY168" s="212">
        <f t="shared" si="414"/>
        <v>0</v>
      </c>
      <c r="DZ168" s="213">
        <f t="shared" si="325"/>
        <v>1000000</v>
      </c>
      <c r="ED168" s="182"/>
      <c r="EF168" s="308">
        <f t="shared" ca="1" si="326"/>
        <v>3</v>
      </c>
      <c r="EG168" s="309">
        <f t="shared" si="370"/>
        <v>0</v>
      </c>
      <c r="EH168" s="268">
        <f t="shared" si="327"/>
        <v>0</v>
      </c>
      <c r="EI168" s="33">
        <f t="shared" si="371"/>
        <v>0</v>
      </c>
      <c r="EJ168" s="33">
        <f t="shared" si="437"/>
        <v>0</v>
      </c>
      <c r="EK168" s="33">
        <f t="shared" si="297"/>
        <v>0</v>
      </c>
      <c r="EL168" s="33">
        <f>IF(ER167&lt;0.01,0,IF(Plus!$F$22=Plus!$AN$4,0,IF(Plus!$F$22=Plus!$AN$3,ER167*Plus!$F$23/1000,ER167*VLOOKUP(Plus!$G$21,Plus!$AP$2:'Plus'!$AQ$5,2,0))))</f>
        <v>0</v>
      </c>
      <c r="EM168" s="33">
        <f>IF(ER167&lt;0.01,0,IF(Plus!$F$24=Plus!$AO$3,0,IF(OR(Plus!$F$10=Plus!$AK$7,Plus!$F$10=Plus!$AK$13),0,Plus!$G$13*Plus!$AR$2)))</f>
        <v>0</v>
      </c>
      <c r="EN168" s="33">
        <f>IF(ER167&lt;0.01,0,IF(OR(Plus!$F$10=Plus!$AK$7,Plus!$F$10=Plus!$AK$13),0,Plus!$BD$2*1.16))</f>
        <v>0</v>
      </c>
      <c r="EO168" s="33">
        <f>IF(ER167&lt;0.01,0,IF(Plus!$AS$2&gt;0,EI168*Plus!$AS$3,0))</f>
        <v>0</v>
      </c>
      <c r="EP168" s="33">
        <f t="shared" si="372"/>
        <v>0</v>
      </c>
      <c r="EQ168" s="33">
        <f>IF(Plus!$F$10=Plus!$AK$3,MIN(ER167+EI168+EL168+EM168+EN168-EP168,FC168),0)</f>
        <v>0</v>
      </c>
      <c r="ER168" s="311">
        <f t="shared" si="431"/>
        <v>0</v>
      </c>
      <c r="ES168" s="340">
        <f>Plus!O209</f>
        <v>0</v>
      </c>
      <c r="ET168" s="74"/>
      <c r="EU168" s="74"/>
      <c r="EV168" s="416">
        <f t="shared" si="429"/>
        <v>0</v>
      </c>
      <c r="EY168" s="90">
        <f t="shared" si="373"/>
        <v>12</v>
      </c>
      <c r="EZ168" s="121">
        <f t="shared" si="415"/>
        <v>0</v>
      </c>
      <c r="FB168" s="149">
        <f t="shared" si="416"/>
        <v>0</v>
      </c>
      <c r="FC168" s="2179">
        <f t="shared" ca="1" si="374"/>
        <v>0</v>
      </c>
      <c r="FE168" s="120">
        <f t="shared" si="417"/>
        <v>0</v>
      </c>
      <c r="FF168" s="110">
        <f t="shared" si="375"/>
        <v>0</v>
      </c>
      <c r="FG168" s="110">
        <f t="shared" si="376"/>
        <v>0</v>
      </c>
      <c r="FH168" s="109">
        <f t="shared" si="377"/>
        <v>0</v>
      </c>
      <c r="FI168" s="109">
        <f t="shared" si="328"/>
        <v>0</v>
      </c>
      <c r="FJ168" s="113">
        <f t="shared" si="378"/>
        <v>0</v>
      </c>
      <c r="FL168" s="102">
        <f t="shared" si="379"/>
        <v>0</v>
      </c>
      <c r="FM168" s="211">
        <f t="shared" si="424"/>
        <v>144</v>
      </c>
      <c r="FN168" s="212">
        <f t="shared" si="380"/>
        <v>0</v>
      </c>
      <c r="FO168" s="212">
        <f t="shared" si="329"/>
        <v>0</v>
      </c>
      <c r="FP168" s="212">
        <f t="shared" si="426"/>
        <v>0</v>
      </c>
      <c r="FQ168" s="213">
        <f t="shared" si="330"/>
        <v>1000000</v>
      </c>
      <c r="FV168" s="359"/>
      <c r="FX168" s="308">
        <f t="shared" ca="1" si="331"/>
        <v>3</v>
      </c>
      <c r="FY168" s="309">
        <f t="shared" si="381"/>
        <v>0</v>
      </c>
      <c r="FZ168" s="268">
        <f t="shared" si="332"/>
        <v>0</v>
      </c>
      <c r="GA168" s="33">
        <f t="shared" si="382"/>
        <v>0</v>
      </c>
      <c r="GB168" s="33">
        <f t="shared" si="438"/>
        <v>0</v>
      </c>
      <c r="GC168" s="33">
        <f t="shared" si="439"/>
        <v>0</v>
      </c>
      <c r="GD168" s="33">
        <f>IF(GJ167&lt;0.01,0,IF(Plus!$F$22=Plus!$AN$4,0,IF(Plus!$F$22=Plus!$AN$3,GJ167*Plus!$F$23/1000,GJ167*VLOOKUP(Plus!$G$21,Plus!$AP$2:$AQ$5,2,0))))</f>
        <v>0</v>
      </c>
      <c r="GE168" s="33">
        <f>IF(GJ167&lt;0.01,0,IF(Plus!$F$24=Plus!$AO$3,0,IF(OR(Plus!$F$10=Plus!$AK$7,Plus!$F$10=Plus!$AK$13,Plus!$F$10=Plus!$AK$14),0,IF(OR(Plus!$F$10=Plus!$AK$10,Plus!$F$10=Plus!$AK$11),Plus!$G$13*Adm!$W$7,Plus!$G$13*Adm!$X$4))))</f>
        <v>0</v>
      </c>
      <c r="GF168" s="33">
        <f>IF(GJ167&lt;0.01,0,IF(OR(Plus!$F$10=Plus!$AK$7,Plus!$F$10=Plus!$AK$13),0,Plus!$BD$2*1.16))</f>
        <v>0</v>
      </c>
      <c r="GG168" s="33">
        <f>IF(GJ167&lt;0.01,0,IF(Plus!$AS$2&gt;0,GA168*Plus!$AS$3,0))</f>
        <v>0</v>
      </c>
      <c r="GH168" s="33">
        <f t="shared" si="383"/>
        <v>0</v>
      </c>
      <c r="GI168" s="33">
        <f>IF(Plus!$F$10=Plus!$AK$3,MIN(GJ167+GA168+GD168+GE168+GF168-GH168,GU168),0)</f>
        <v>0</v>
      </c>
      <c r="GJ168" s="311">
        <f t="shared" si="432"/>
        <v>0</v>
      </c>
      <c r="GK168" s="340">
        <f>Plus!O209</f>
        <v>0</v>
      </c>
      <c r="GL168" s="74"/>
      <c r="GM168" s="74"/>
      <c r="GN168" s="419">
        <f t="shared" si="430"/>
        <v>0</v>
      </c>
      <c r="GQ168" s="90">
        <f t="shared" si="384"/>
        <v>12</v>
      </c>
      <c r="GR168" s="121">
        <f t="shared" si="418"/>
        <v>0</v>
      </c>
      <c r="GT168" s="149">
        <f t="shared" si="419"/>
        <v>0</v>
      </c>
      <c r="GU168" s="2179">
        <f t="shared" ca="1" si="385"/>
        <v>0</v>
      </c>
      <c r="GW168" s="120">
        <f t="shared" si="420"/>
        <v>0</v>
      </c>
      <c r="GX168" s="110">
        <f t="shared" si="386"/>
        <v>0</v>
      </c>
      <c r="GY168" s="110">
        <f t="shared" si="387"/>
        <v>0</v>
      </c>
      <c r="GZ168" s="109">
        <f t="shared" si="388"/>
        <v>0</v>
      </c>
      <c r="HA168" s="109">
        <f t="shared" si="333"/>
        <v>0</v>
      </c>
      <c r="HB168" s="113">
        <f t="shared" si="389"/>
        <v>0</v>
      </c>
      <c r="HD168" s="102">
        <f t="shared" si="390"/>
        <v>0</v>
      </c>
      <c r="HE168" s="211">
        <f t="shared" si="425"/>
        <v>144</v>
      </c>
      <c r="HF168" s="212">
        <f t="shared" si="391"/>
        <v>0</v>
      </c>
      <c r="HG168" s="212">
        <f t="shared" si="334"/>
        <v>0</v>
      </c>
      <c r="HH168" s="212">
        <f t="shared" si="427"/>
        <v>0</v>
      </c>
      <c r="HI168" s="213">
        <f t="shared" si="335"/>
        <v>1000000</v>
      </c>
      <c r="HL168" s="182"/>
      <c r="HM168" s="26">
        <f t="shared" ca="1" si="336"/>
        <v>3</v>
      </c>
      <c r="HO168" s="268">
        <f t="shared" si="337"/>
        <v>0</v>
      </c>
      <c r="HP168" s="151">
        <f t="shared" si="302"/>
        <v>0</v>
      </c>
      <c r="HQ168" s="123">
        <f t="shared" si="392"/>
        <v>0</v>
      </c>
      <c r="HR168" s="123">
        <f t="shared" si="393"/>
        <v>0</v>
      </c>
      <c r="HS168" s="123">
        <f t="shared" si="394"/>
        <v>0</v>
      </c>
      <c r="HT168" s="123">
        <f>IF(HY167&lt;0.01,0,IF(Adm!$GS$4=Adm!$GS$8,HY167*$HY$15,IF(Adm!$GS$12=Adm!$GS$13,0,HY167*Adm!$GV$4)))</f>
        <v>0</v>
      </c>
      <c r="HU168" s="123">
        <f>IF(HY167&lt;0.01,0,IF(Adm!$GS$5=Adm!$GS$8,Cal!$BO$108*$HY$16/1.16,IF(Adm!$GS$12=Adm!$GS$13,0,Cal!$BO$108*Adm!$GW$4/1.16)))</f>
        <v>0</v>
      </c>
      <c r="HV168" s="123">
        <f t="shared" si="395"/>
        <v>0</v>
      </c>
      <c r="HW168" s="123">
        <f t="shared" si="338"/>
        <v>0</v>
      </c>
      <c r="HX168" s="123">
        <f>IF(Adm!$GH$6="si",MIN(HY167+HQ168+HT168+HU168+HV168-HW168,IH168),0)</f>
        <v>0</v>
      </c>
      <c r="HY168" s="297">
        <f t="shared" si="396"/>
        <v>0</v>
      </c>
      <c r="HZ168" s="74"/>
      <c r="IA168" s="407">
        <f t="shared" si="397"/>
        <v>0</v>
      </c>
      <c r="IC168" s="90">
        <f t="shared" si="398"/>
        <v>12</v>
      </c>
      <c r="ID168" s="124">
        <f>IF(IC168=1,Cal!$BO$127,0)</f>
        <v>0</v>
      </c>
      <c r="IE168" s="178">
        <f>IF(IC168=1,Adm!$HI$4,0)</f>
        <v>0</v>
      </c>
      <c r="IG168" s="70">
        <f t="shared" si="421"/>
        <v>0</v>
      </c>
      <c r="IH168" s="2178">
        <f t="shared" ca="1" si="399"/>
        <v>0</v>
      </c>
      <c r="IK168" s="217"/>
      <c r="IL168" s="26">
        <f t="shared" ca="1" si="339"/>
        <v>3</v>
      </c>
      <c r="IN168" s="268">
        <f t="shared" si="340"/>
        <v>0</v>
      </c>
      <c r="IO168" s="151">
        <f t="shared" si="303"/>
        <v>0</v>
      </c>
      <c r="IP168" s="123">
        <f t="shared" si="400"/>
        <v>0</v>
      </c>
      <c r="IQ168" s="123">
        <f t="shared" si="401"/>
        <v>0</v>
      </c>
      <c r="IR168" s="123">
        <f t="shared" si="402"/>
        <v>0</v>
      </c>
      <c r="IS168" s="123">
        <f>IF(IX167&lt;0.01,0,IF(Adm!$GS$4=Adm!$GS$8,IX167*$IX$15,IF(Adm!$GS$12=Adm!$GS$13,0,IX167*Adm!$GV$4)))</f>
        <v>0</v>
      </c>
      <c r="IT168" s="123"/>
      <c r="IU168" s="123">
        <f t="shared" si="403"/>
        <v>0</v>
      </c>
      <c r="IV168" s="123">
        <f t="shared" si="404"/>
        <v>0</v>
      </c>
      <c r="IW168" s="123"/>
      <c r="IX168" s="297">
        <f t="shared" si="405"/>
        <v>0</v>
      </c>
      <c r="IY168" s="74"/>
      <c r="IZ168" s="416">
        <f t="shared" si="406"/>
        <v>0</v>
      </c>
      <c r="JB168" s="90">
        <f t="shared" si="407"/>
        <v>12</v>
      </c>
      <c r="JC168" s="124">
        <f>IF(JB168=1,Cal!$BP$127,0)</f>
        <v>0</v>
      </c>
      <c r="JD168" s="178">
        <f>IF(JB168=1,Adm!$HI$4,0)</f>
        <v>0</v>
      </c>
    </row>
    <row r="169" spans="1:264">
      <c r="A169" s="26">
        <f t="shared" ca="1" si="308"/>
        <v>4</v>
      </c>
      <c r="C169" s="33">
        <f t="shared" si="309"/>
        <v>0</v>
      </c>
      <c r="D169" s="123">
        <f t="shared" si="341"/>
        <v>0</v>
      </c>
      <c r="E169" s="123">
        <f t="shared" si="433"/>
        <v>0</v>
      </c>
      <c r="F169" s="123">
        <f t="shared" si="295"/>
        <v>0</v>
      </c>
      <c r="G169" s="123">
        <f>IF(L168&lt;0.01,0,IF(Adm!$S$4=Adm!$S$8,L168*$L$15,L168*Adm!$V$4))</f>
        <v>0</v>
      </c>
      <c r="H169" s="123">
        <f>IF(L168&lt;0.01,0,IF(Adm!$S$5=Adm!$S$8,Adm!$AA$11*$L$16/1.16,IF(Adm!$B$4=Adm!$A$119,0,Adm!$AA$11*Adm!$X$4/1.16)))</f>
        <v>0</v>
      </c>
      <c r="I169" s="123">
        <f>IF(L168&lt;0.01,0,Cal!$AB$126/1.16)</f>
        <v>0</v>
      </c>
      <c r="J169" s="123">
        <f t="shared" si="310"/>
        <v>0</v>
      </c>
      <c r="K169" s="123">
        <f>IF(Adm!$G$4="si",MIN(L168+D169+G169+H169+I169-J169,V169),0)</f>
        <v>0</v>
      </c>
      <c r="L169" s="123">
        <f t="shared" si="342"/>
        <v>0</v>
      </c>
      <c r="M169" s="74"/>
      <c r="N169" s="74"/>
      <c r="O169" s="407">
        <f t="shared" si="343"/>
        <v>0</v>
      </c>
      <c r="R169" s="90">
        <f t="shared" si="344"/>
        <v>1</v>
      </c>
      <c r="S169" s="121">
        <f>IF(R169=1,Cal!$AB$127,0)</f>
        <v>0</v>
      </c>
      <c r="U169" s="70">
        <f t="shared" si="408"/>
        <v>0</v>
      </c>
      <c r="V169" s="2178">
        <f t="shared" ca="1" si="345"/>
        <v>0</v>
      </c>
      <c r="X169" s="398"/>
      <c r="Z169" s="268">
        <f t="shared" si="311"/>
        <v>0</v>
      </c>
      <c r="AA169" s="2176">
        <f t="shared" si="346"/>
        <v>0</v>
      </c>
      <c r="AB169" s="33">
        <f t="shared" si="347"/>
        <v>0</v>
      </c>
      <c r="AC169" s="33">
        <f t="shared" si="348"/>
        <v>0</v>
      </c>
      <c r="AD169" s="33">
        <f>IF(AI168&lt;0.01,0,IF(Adm!$S$4=Adm!$S$8,AI168*$AI$15,AI168*Adm!$V$4))</f>
        <v>0</v>
      </c>
      <c r="AE169" s="33"/>
      <c r="AF169" s="33"/>
      <c r="AG169" s="33">
        <f t="shared" si="312"/>
        <v>0</v>
      </c>
      <c r="AH169" s="33"/>
      <c r="AI169" s="401">
        <f t="shared" si="313"/>
        <v>0</v>
      </c>
      <c r="AK169" s="410">
        <f t="shared" si="314"/>
        <v>0</v>
      </c>
      <c r="AN169" s="90">
        <f t="shared" si="349"/>
        <v>1</v>
      </c>
      <c r="AO169" s="121">
        <f>IF(AN169=1,Cal!$AC$127,0)</f>
        <v>0</v>
      </c>
      <c r="AS169" s="200"/>
      <c r="AU169" s="268">
        <f t="shared" si="315"/>
        <v>0</v>
      </c>
      <c r="AV169" s="2177">
        <f t="shared" si="350"/>
        <v>0</v>
      </c>
      <c r="AW169" s="123">
        <f t="shared" si="316"/>
        <v>0</v>
      </c>
      <c r="AX169" s="123">
        <f t="shared" si="351"/>
        <v>0</v>
      </c>
      <c r="AY169" s="123">
        <f>IF(BC168&lt;0.01,0,IF(Adm!$S$4=Adm!$S$8,BC168*$BC$16,BC168*Adm!$V$4))</f>
        <v>0</v>
      </c>
      <c r="AZ169" s="123"/>
      <c r="BA169" s="123">
        <f>IF(BC168&lt;0.01,0,Adm!$Q$6)</f>
        <v>0</v>
      </c>
      <c r="BB169" s="123">
        <f t="shared" si="317"/>
        <v>0</v>
      </c>
      <c r="BC169" s="297">
        <f t="shared" si="352"/>
        <v>0</v>
      </c>
      <c r="BE169" s="425">
        <f t="shared" si="318"/>
        <v>0</v>
      </c>
      <c r="BH169" s="90">
        <f t="shared" si="353"/>
        <v>1</v>
      </c>
      <c r="BI169" s="121">
        <f>IF(BH169=1,Cal!$AD$127,0)</f>
        <v>0</v>
      </c>
      <c r="BM169" s="221"/>
      <c r="BO169" s="295">
        <f t="shared" ca="1" si="319"/>
        <v>4</v>
      </c>
      <c r="BP169" s="268">
        <f t="shared" si="320"/>
        <v>0</v>
      </c>
      <c r="BQ169" s="123">
        <f t="shared" si="354"/>
        <v>0</v>
      </c>
      <c r="BR169" s="123">
        <f t="shared" si="434"/>
        <v>0</v>
      </c>
      <c r="BS169" s="123">
        <f t="shared" si="296"/>
        <v>0</v>
      </c>
      <c r="BT169" s="123">
        <f>IF(BZ168&lt;0.01,0,IF(Plus!$F$22=Plus!$AN$4,BZ168*$BZ$15,IF(Plus!$F$22=Plus!$AN$3,BZ168*Plus!$F$23/1000,BZ168*VLOOKUP(Plus!$G$21,Plus!$AP$2:'Plus'!$AQ$5,2,0))))</f>
        <v>0</v>
      </c>
      <c r="BU169" s="123">
        <f>IF(BZ168&lt;0.01,0,IF(Plus!$F$24=Plus!$AO$3,Plus!$G$13*Plus!$AR$2/1.16,IF(Plus!$F$10=Plus!$AK$7,0,Plus!$G$13*Plus!$AR$2/1.16)))</f>
        <v>0</v>
      </c>
      <c r="BV169" s="123">
        <f>IF(BZ168&lt;0.01,0,Plus!$BD$2)</f>
        <v>0</v>
      </c>
      <c r="BW169" s="123"/>
      <c r="BX169" s="123">
        <f t="shared" si="321"/>
        <v>0</v>
      </c>
      <c r="BY169" s="123">
        <f>IF(Plus!$F$10=Plus!$AK$3,MIN(BZ168+BQ169+BT169+BU169+BV169-BX169,CJ169),0)</f>
        <v>0</v>
      </c>
      <c r="BZ169" s="297">
        <f t="shared" si="428"/>
        <v>0</v>
      </c>
      <c r="CA169" s="74"/>
      <c r="CB169" s="74"/>
      <c r="CC169" s="413">
        <f t="shared" si="355"/>
        <v>0</v>
      </c>
      <c r="CF169" s="90">
        <f t="shared" si="356"/>
        <v>1</v>
      </c>
      <c r="CG169" s="121">
        <f t="shared" si="409"/>
        <v>0</v>
      </c>
      <c r="CI169" s="70">
        <f t="shared" si="410"/>
        <v>0</v>
      </c>
      <c r="CJ169" s="2178">
        <f t="shared" ca="1" si="357"/>
        <v>0</v>
      </c>
      <c r="CL169" s="161"/>
      <c r="CN169" s="308">
        <f t="shared" ca="1" si="322"/>
        <v>4</v>
      </c>
      <c r="CO169" s="309">
        <f t="shared" si="358"/>
        <v>0</v>
      </c>
      <c r="CP169" s="268">
        <f t="shared" si="323"/>
        <v>0</v>
      </c>
      <c r="CQ169" s="123">
        <f t="shared" si="359"/>
        <v>0</v>
      </c>
      <c r="CR169" s="123">
        <f t="shared" si="435"/>
        <v>0</v>
      </c>
      <c r="CS169" s="123">
        <f t="shared" si="436"/>
        <v>0</v>
      </c>
      <c r="CT169" s="33">
        <f>IF(CZ168&lt;0.01,0,IF(Plus!$F$22=Plus!$AN$4,0,IF(Plus!$F$22=Plus!$AN$3,CZ168*Plus!$F$23/1000,CZ168*VLOOKUP(Plus!$G$21,Plus!$AP$2:'Plus'!$AQ$5,2,0))))</f>
        <v>0</v>
      </c>
      <c r="CU169" s="123">
        <f>IF(CZ168&lt;0.01,0,IF(Plus!$F$24=Plus!$AO$3,0,IF(OR(Plus!$F$10=Plus!$AK$7,Plus!$F$10=Plus!$AK$13),0,Plus!$G$13*Plus!$AR$2)))</f>
        <v>0</v>
      </c>
      <c r="CV169" s="123">
        <f>IF(CZ168&lt;0.01,0,IF(OR(Plus!$F$10=Plus!$AK$7,Plus!$F$10=Plus!$AK$13),0,Plus!$BD$2*1.16))</f>
        <v>0</v>
      </c>
      <c r="CW169" s="123">
        <f>IF(CZ168&lt;0.01,0,IF(Plus!$AS$2&gt;0,CQ169*Plus!$AS$3,0))</f>
        <v>0</v>
      </c>
      <c r="CX169" s="123">
        <f t="shared" si="360"/>
        <v>0</v>
      </c>
      <c r="CY169" s="123">
        <f>IF(Plus!$F$10=Plus!$AK$3,MIN(CZ168+CQ169+CT169+CU169+CV169-CX169,DK169),0)</f>
        <v>0</v>
      </c>
      <c r="CZ169" s="297">
        <f t="shared" si="294"/>
        <v>0</v>
      </c>
      <c r="DA169" s="306">
        <f>Plus!O210</f>
        <v>0</v>
      </c>
      <c r="DB169" s="74"/>
      <c r="DC169" s="74"/>
      <c r="DD169" s="407">
        <f t="shared" si="361"/>
        <v>0</v>
      </c>
      <c r="DG169" s="90">
        <f t="shared" si="362"/>
        <v>1</v>
      </c>
      <c r="DH169" s="121">
        <f t="shared" si="411"/>
        <v>0</v>
      </c>
      <c r="DJ169" s="149">
        <f t="shared" si="412"/>
        <v>0</v>
      </c>
      <c r="DK169" s="2179">
        <f t="shared" ca="1" si="363"/>
        <v>0</v>
      </c>
      <c r="DN169" s="120">
        <f t="shared" si="413"/>
        <v>0</v>
      </c>
      <c r="DO169" s="110">
        <f t="shared" si="364"/>
        <v>0</v>
      </c>
      <c r="DP169" s="110">
        <f t="shared" si="422"/>
        <v>0</v>
      </c>
      <c r="DQ169" s="109">
        <f t="shared" si="365"/>
        <v>0</v>
      </c>
      <c r="DR169" s="109">
        <f t="shared" si="366"/>
        <v>0</v>
      </c>
      <c r="DS169" s="113">
        <f t="shared" si="367"/>
        <v>0</v>
      </c>
      <c r="DU169" s="102">
        <f t="shared" si="368"/>
        <v>0</v>
      </c>
      <c r="DV169" s="333">
        <f t="shared" si="423"/>
        <v>145</v>
      </c>
      <c r="DW169" s="334">
        <f t="shared" si="369"/>
        <v>0</v>
      </c>
      <c r="DX169" s="334">
        <f t="shared" si="324"/>
        <v>0</v>
      </c>
      <c r="DY169" s="334">
        <f>MIN(DZ168+DW169,DY168*(1+$DW$20))</f>
        <v>0</v>
      </c>
      <c r="DZ169" s="213">
        <f t="shared" si="325"/>
        <v>1000000</v>
      </c>
      <c r="ED169" s="182"/>
      <c r="EF169" s="308">
        <f t="shared" ca="1" si="326"/>
        <v>4</v>
      </c>
      <c r="EG169" s="309">
        <f t="shared" si="370"/>
        <v>0</v>
      </c>
      <c r="EH169" s="268">
        <f t="shared" si="327"/>
        <v>0</v>
      </c>
      <c r="EI169" s="33">
        <f t="shared" si="371"/>
        <v>0</v>
      </c>
      <c r="EJ169" s="33">
        <f t="shared" si="437"/>
        <v>0</v>
      </c>
      <c r="EK169" s="33">
        <f t="shared" si="297"/>
        <v>0</v>
      </c>
      <c r="EL169" s="33">
        <f>IF(ER168&lt;0.01,0,IF(Plus!$F$22=Plus!$AN$4,0,IF(Plus!$F$22=Plus!$AN$3,ER168*Plus!$F$23/1000,ER168*VLOOKUP(Plus!$G$21,Plus!$AP$2:'Plus'!$AQ$5,2,0))))</f>
        <v>0</v>
      </c>
      <c r="EM169" s="33">
        <f>IF(ER168&lt;0.01,0,IF(Plus!$F$24=Plus!$AO$3,0,IF(OR(Plus!$F$10=Plus!$AK$7,Plus!$F$10=Plus!$AK$13),0,Plus!$G$13*Plus!$AR$2)))</f>
        <v>0</v>
      </c>
      <c r="EN169" s="33">
        <f>IF(ER168&lt;0.01,0,IF(OR(Plus!$F$10=Plus!$AK$7,Plus!$F$10=Plus!$AK$13),0,Plus!$BD$2*1.16))</f>
        <v>0</v>
      </c>
      <c r="EO169" s="33">
        <f>IF(ER168&lt;0.01,0,IF(Plus!$AS$2&gt;0,EI169*Plus!$AS$3,0))</f>
        <v>0</v>
      </c>
      <c r="EP169" s="33">
        <f t="shared" si="372"/>
        <v>0</v>
      </c>
      <c r="EQ169" s="33">
        <f>IF(Plus!$F$10=Plus!$AK$3,MIN(ER168+EI169+EL169+EM169+EN169-EP169,FC169),0)</f>
        <v>0</v>
      </c>
      <c r="ER169" s="311">
        <f t="shared" si="431"/>
        <v>0</v>
      </c>
      <c r="ES169" s="340">
        <f>Plus!O210</f>
        <v>0</v>
      </c>
      <c r="ET169" s="74"/>
      <c r="EU169" s="74"/>
      <c r="EV169" s="416">
        <f t="shared" si="429"/>
        <v>0</v>
      </c>
      <c r="EY169" s="90">
        <f t="shared" si="373"/>
        <v>1</v>
      </c>
      <c r="EZ169" s="121">
        <f t="shared" si="415"/>
        <v>0</v>
      </c>
      <c r="FB169" s="149">
        <f t="shared" si="416"/>
        <v>0</v>
      </c>
      <c r="FC169" s="2179">
        <f t="shared" ca="1" si="374"/>
        <v>0</v>
      </c>
      <c r="FE169" s="120">
        <f t="shared" si="417"/>
        <v>0</v>
      </c>
      <c r="FF169" s="110">
        <f t="shared" si="375"/>
        <v>0</v>
      </c>
      <c r="FG169" s="110">
        <f t="shared" si="376"/>
        <v>0</v>
      </c>
      <c r="FH169" s="109">
        <f t="shared" si="377"/>
        <v>0</v>
      </c>
      <c r="FI169" s="109">
        <f t="shared" si="328"/>
        <v>0</v>
      </c>
      <c r="FJ169" s="113">
        <f t="shared" si="378"/>
        <v>0</v>
      </c>
      <c r="FL169" s="102">
        <f t="shared" si="379"/>
        <v>0</v>
      </c>
      <c r="FM169" s="326">
        <f t="shared" si="424"/>
        <v>145</v>
      </c>
      <c r="FN169" s="327">
        <f t="shared" si="380"/>
        <v>0</v>
      </c>
      <c r="FO169" s="327">
        <f t="shared" si="329"/>
        <v>0</v>
      </c>
      <c r="FP169" s="327">
        <f>MIN(FQ168+FN169,FP168*(1+$FN$20))</f>
        <v>0</v>
      </c>
      <c r="FQ169" s="213">
        <f t="shared" si="330"/>
        <v>1000000</v>
      </c>
      <c r="FV169" s="359"/>
      <c r="FX169" s="308">
        <f t="shared" ca="1" si="331"/>
        <v>4</v>
      </c>
      <c r="FY169" s="309">
        <f t="shared" si="381"/>
        <v>0</v>
      </c>
      <c r="FZ169" s="268">
        <f t="shared" si="332"/>
        <v>0</v>
      </c>
      <c r="GA169" s="33">
        <f t="shared" si="382"/>
        <v>0</v>
      </c>
      <c r="GB169" s="33">
        <f t="shared" si="438"/>
        <v>0</v>
      </c>
      <c r="GC169" s="33">
        <f t="shared" si="439"/>
        <v>0</v>
      </c>
      <c r="GD169" s="33">
        <f>IF(GJ168&lt;0.01,0,IF(Plus!$F$22=Plus!$AN$4,0,IF(Plus!$F$22=Plus!$AN$3,GJ168*Plus!$F$23/1000,GJ168*VLOOKUP(Plus!$G$21,Plus!$AP$2:$AQ$5,2,0))))</f>
        <v>0</v>
      </c>
      <c r="GE169" s="33">
        <f>IF(GJ168&lt;0.01,0,IF(Plus!$F$24=Plus!$AO$3,0,IF(OR(Plus!$F$10=Plus!$AK$7,Plus!$F$10=Plus!$AK$13,Plus!$F$10=Plus!$AK$14),0,IF(OR(Plus!$F$10=Plus!$AK$10,Plus!$F$10=Plus!$AK$11),Plus!$G$13*Adm!$W$7,Plus!$G$13*Adm!$X$4))))</f>
        <v>0</v>
      </c>
      <c r="GF169" s="33">
        <f>IF(GJ168&lt;0.01,0,IF(OR(Plus!$F$10=Plus!$AK$7,Plus!$F$10=Plus!$AK$13),0,Plus!$BD$2*1.16))</f>
        <v>0</v>
      </c>
      <c r="GG169" s="33">
        <f>IF(GJ168&lt;0.01,0,IF(Plus!$AS$2&gt;0,GA169*Plus!$AS$3,0))</f>
        <v>0</v>
      </c>
      <c r="GH169" s="33">
        <f t="shared" si="383"/>
        <v>0</v>
      </c>
      <c r="GI169" s="33">
        <f>IF(Plus!$F$10=Plus!$AK$3,MIN(GJ168+GA169+GD169+GE169+GF169-GH169,GU169),0)</f>
        <v>0</v>
      </c>
      <c r="GJ169" s="311">
        <f t="shared" si="432"/>
        <v>0</v>
      </c>
      <c r="GK169" s="340">
        <f>Plus!O210</f>
        <v>0</v>
      </c>
      <c r="GL169" s="74"/>
      <c r="GM169" s="74"/>
      <c r="GN169" s="419">
        <f t="shared" si="430"/>
        <v>0</v>
      </c>
      <c r="GQ169" s="90">
        <f t="shared" si="384"/>
        <v>1</v>
      </c>
      <c r="GR169" s="121">
        <f t="shared" si="418"/>
        <v>0</v>
      </c>
      <c r="GT169" s="149">
        <f t="shared" si="419"/>
        <v>0</v>
      </c>
      <c r="GU169" s="2179">
        <f t="shared" ca="1" si="385"/>
        <v>0</v>
      </c>
      <c r="GW169" s="120">
        <f t="shared" si="420"/>
        <v>0</v>
      </c>
      <c r="GX169" s="110">
        <f t="shared" si="386"/>
        <v>0</v>
      </c>
      <c r="GY169" s="110">
        <f t="shared" si="387"/>
        <v>0</v>
      </c>
      <c r="GZ169" s="109">
        <f t="shared" si="388"/>
        <v>0</v>
      </c>
      <c r="HA169" s="109">
        <f t="shared" si="333"/>
        <v>0</v>
      </c>
      <c r="HB169" s="113">
        <f t="shared" si="389"/>
        <v>0</v>
      </c>
      <c r="HD169" s="102">
        <f t="shared" si="390"/>
        <v>0</v>
      </c>
      <c r="HE169" s="326">
        <f t="shared" si="425"/>
        <v>145</v>
      </c>
      <c r="HF169" s="327">
        <f t="shared" si="391"/>
        <v>0</v>
      </c>
      <c r="HG169" s="327">
        <f t="shared" si="334"/>
        <v>0</v>
      </c>
      <c r="HH169" s="327">
        <f>MIN(HI168+HF169,HH168*(1+$FN$20))</f>
        <v>0</v>
      </c>
      <c r="HI169" s="213">
        <f t="shared" si="335"/>
        <v>1000000</v>
      </c>
      <c r="HL169" s="182"/>
      <c r="HM169" s="26">
        <f t="shared" ca="1" si="336"/>
        <v>4</v>
      </c>
      <c r="HO169" s="268">
        <f t="shared" si="337"/>
        <v>0</v>
      </c>
      <c r="HP169" s="151">
        <f t="shared" si="302"/>
        <v>0</v>
      </c>
      <c r="HQ169" s="123">
        <f t="shared" si="392"/>
        <v>0</v>
      </c>
      <c r="HR169" s="123">
        <f t="shared" si="393"/>
        <v>0</v>
      </c>
      <c r="HS169" s="123">
        <f t="shared" si="394"/>
        <v>0</v>
      </c>
      <c r="HT169" s="123">
        <f>IF(HY168&lt;0.01,0,IF(Adm!$GS$4=Adm!$GS$8,HY168*$HY$15,IF(Adm!$GS$12=Adm!$GS$13,0,HY168*Adm!$GV$4)))</f>
        <v>0</v>
      </c>
      <c r="HU169" s="123">
        <f>IF(HY168&lt;0.01,0,IF(Adm!$GS$5=Adm!$GS$8,Cal!$BO$108*$HY$16/1.16,IF(Adm!$GS$12=Adm!$GS$13,0,Cal!$BO$108*Adm!$GW$4/1.16)))</f>
        <v>0</v>
      </c>
      <c r="HV169" s="123">
        <f t="shared" si="395"/>
        <v>0</v>
      </c>
      <c r="HW169" s="123">
        <f t="shared" si="338"/>
        <v>0</v>
      </c>
      <c r="HX169" s="123">
        <f>IF(Adm!$GH$6="si",MIN(HY168+HQ169+HT169+HU169+HV169-HW169,IH169),0)</f>
        <v>0</v>
      </c>
      <c r="HY169" s="297">
        <f t="shared" si="396"/>
        <v>0</v>
      </c>
      <c r="HZ169" s="74"/>
      <c r="IA169" s="407">
        <f t="shared" si="397"/>
        <v>0</v>
      </c>
      <c r="IC169" s="90">
        <f t="shared" si="398"/>
        <v>1</v>
      </c>
      <c r="ID169" s="124">
        <f>IF(IC169=1,Cal!$BO$127,0)</f>
        <v>0</v>
      </c>
      <c r="IE169" s="178">
        <f>IF(IC169=1,Adm!$HI$4,0)</f>
        <v>2.5000000000000001E-3</v>
      </c>
      <c r="IG169" s="70">
        <f t="shared" si="421"/>
        <v>0</v>
      </c>
      <c r="IH169" s="2178">
        <f t="shared" ca="1" si="399"/>
        <v>0</v>
      </c>
      <c r="IK169" s="217"/>
      <c r="IL169" s="26">
        <f t="shared" ca="1" si="339"/>
        <v>4</v>
      </c>
      <c r="IN169" s="268">
        <f t="shared" si="340"/>
        <v>0</v>
      </c>
      <c r="IO169" s="151">
        <f t="shared" si="303"/>
        <v>0</v>
      </c>
      <c r="IP169" s="123">
        <f t="shared" si="400"/>
        <v>0</v>
      </c>
      <c r="IQ169" s="123">
        <f t="shared" si="401"/>
        <v>0</v>
      </c>
      <c r="IR169" s="123">
        <f t="shared" si="402"/>
        <v>0</v>
      </c>
      <c r="IS169" s="123">
        <f>IF(IX168&lt;0.01,0,IF(Adm!$GS$4=Adm!$GS$8,IX168*$IX$15,IF(Adm!$GS$12=Adm!$GS$13,0,IX168*Adm!$GV$4)))</f>
        <v>0</v>
      </c>
      <c r="IT169" s="123"/>
      <c r="IU169" s="123">
        <f t="shared" si="403"/>
        <v>0</v>
      </c>
      <c r="IV169" s="123">
        <f t="shared" si="404"/>
        <v>0</v>
      </c>
      <c r="IW169" s="123"/>
      <c r="IX169" s="297">
        <f t="shared" si="405"/>
        <v>0</v>
      </c>
      <c r="IY169" s="74"/>
      <c r="IZ169" s="416">
        <f t="shared" si="406"/>
        <v>0</v>
      </c>
      <c r="JB169" s="90">
        <f t="shared" si="407"/>
        <v>1</v>
      </c>
      <c r="JC169" s="124">
        <f>IF(JB169=1,Cal!$BP$127,0)</f>
        <v>0</v>
      </c>
      <c r="JD169" s="178">
        <f>IF(JB169=1,Adm!$HI$4,0)</f>
        <v>2.5000000000000001E-3</v>
      </c>
    </row>
    <row r="170" spans="1:264">
      <c r="A170" s="26">
        <f t="shared" ca="1" si="308"/>
        <v>5</v>
      </c>
      <c r="C170" s="33">
        <f t="shared" si="309"/>
        <v>0</v>
      </c>
      <c r="D170" s="123">
        <f t="shared" si="341"/>
        <v>0</v>
      </c>
      <c r="E170" s="123">
        <f t="shared" si="433"/>
        <v>0</v>
      </c>
      <c r="F170" s="123">
        <f t="shared" si="295"/>
        <v>0</v>
      </c>
      <c r="G170" s="123">
        <f>IF(L169&lt;0.01,0,IF(Adm!$S$4=Adm!$S$8,L169*$L$15,L169*Adm!$V$4))</f>
        <v>0</v>
      </c>
      <c r="H170" s="123">
        <f>IF(L169&lt;0.01,0,IF(Adm!$S$5=Adm!$S$8,Adm!$AA$11*$L$16/1.16,IF(Adm!$B$4=Adm!$A$119,0,Adm!$AA$11*Adm!$X$4/1.16)))</f>
        <v>0</v>
      </c>
      <c r="I170" s="123">
        <f>IF(L169&lt;0.01,0,Cal!$AB$126/1.16)</f>
        <v>0</v>
      </c>
      <c r="J170" s="123">
        <f t="shared" si="310"/>
        <v>0</v>
      </c>
      <c r="K170" s="123">
        <f>IF(Adm!$G$4="si",MIN(L169+D170+G170+H170+I170-J170,V170),0)</f>
        <v>0</v>
      </c>
      <c r="L170" s="123">
        <f t="shared" si="342"/>
        <v>0</v>
      </c>
      <c r="M170" s="74"/>
      <c r="N170" s="74"/>
      <c r="O170" s="407">
        <f t="shared" si="343"/>
        <v>0</v>
      </c>
      <c r="R170" s="90">
        <f t="shared" si="344"/>
        <v>2</v>
      </c>
      <c r="S170" s="121">
        <f>IF(R170=1,Cal!$AB$127,0)</f>
        <v>0</v>
      </c>
      <c r="U170" s="70">
        <f t="shared" si="408"/>
        <v>0</v>
      </c>
      <c r="V170" s="2178">
        <f t="shared" ca="1" si="345"/>
        <v>0</v>
      </c>
      <c r="X170" s="398"/>
      <c r="Z170" s="268">
        <f t="shared" si="311"/>
        <v>0</v>
      </c>
      <c r="AA170" s="2176">
        <f t="shared" si="346"/>
        <v>0</v>
      </c>
      <c r="AB170" s="33">
        <f t="shared" si="347"/>
        <v>0</v>
      </c>
      <c r="AC170" s="33">
        <f t="shared" si="348"/>
        <v>0</v>
      </c>
      <c r="AD170" s="33">
        <f>IF(AI169&lt;0.01,0,IF(Adm!$S$4=Adm!$S$8,AI169*$AI$15,AI169*Adm!$V$4))</f>
        <v>0</v>
      </c>
      <c r="AE170" s="33"/>
      <c r="AF170" s="33"/>
      <c r="AG170" s="33">
        <f t="shared" si="312"/>
        <v>0</v>
      </c>
      <c r="AH170" s="33"/>
      <c r="AI170" s="401">
        <f t="shared" si="313"/>
        <v>0</v>
      </c>
      <c r="AK170" s="410">
        <f t="shared" si="314"/>
        <v>0</v>
      </c>
      <c r="AN170" s="90">
        <f t="shared" si="349"/>
        <v>2</v>
      </c>
      <c r="AO170" s="121">
        <f>IF(AN170=1,Cal!$AC$127,0)</f>
        <v>0</v>
      </c>
      <c r="AS170" s="200"/>
      <c r="AU170" s="268">
        <f t="shared" si="315"/>
        <v>0</v>
      </c>
      <c r="AV170" s="2177">
        <f t="shared" si="350"/>
        <v>0</v>
      </c>
      <c r="AW170" s="123">
        <f t="shared" si="316"/>
        <v>0</v>
      </c>
      <c r="AX170" s="123">
        <f t="shared" si="351"/>
        <v>0</v>
      </c>
      <c r="AY170" s="123">
        <f>IF(BC169&lt;0.01,0,IF(Adm!$S$4=Adm!$S$8,BC169*$BC$16,BC169*Adm!$V$4))</f>
        <v>0</v>
      </c>
      <c r="AZ170" s="123"/>
      <c r="BA170" s="123">
        <f>IF(BC169&lt;0.01,0,Adm!$Q$6)</f>
        <v>0</v>
      </c>
      <c r="BB170" s="123">
        <f t="shared" si="317"/>
        <v>0</v>
      </c>
      <c r="BC170" s="297">
        <f t="shared" si="352"/>
        <v>0</v>
      </c>
      <c r="BE170" s="425">
        <f t="shared" si="318"/>
        <v>0</v>
      </c>
      <c r="BH170" s="90">
        <f t="shared" si="353"/>
        <v>2</v>
      </c>
      <c r="BI170" s="121">
        <f>IF(BH170=1,Cal!$AD$127,0)</f>
        <v>0</v>
      </c>
      <c r="BM170" s="221"/>
      <c r="BO170" s="295">
        <f t="shared" ca="1" si="319"/>
        <v>5</v>
      </c>
      <c r="BP170" s="268">
        <f t="shared" si="320"/>
        <v>0</v>
      </c>
      <c r="BQ170" s="123">
        <f t="shared" si="354"/>
        <v>0</v>
      </c>
      <c r="BR170" s="123">
        <f t="shared" si="434"/>
        <v>0</v>
      </c>
      <c r="BS170" s="123">
        <f t="shared" si="296"/>
        <v>0</v>
      </c>
      <c r="BT170" s="123">
        <f>IF(BZ169&lt;0.01,0,IF(Plus!$F$22=Plus!$AN$4,BZ169*$BZ$15,IF(Plus!$F$22=Plus!$AN$3,BZ169*Plus!$F$23/1000,BZ169*VLOOKUP(Plus!$G$21,Plus!$AP$2:'Plus'!$AQ$5,2,0))))</f>
        <v>0</v>
      </c>
      <c r="BU170" s="123">
        <f>IF(BZ169&lt;0.01,0,IF(Plus!$F$24=Plus!$AO$3,Plus!$G$13*Plus!$AR$2/1.16,IF(Plus!$F$10=Plus!$AK$7,0,Plus!$G$13*Plus!$AR$2/1.16)))</f>
        <v>0</v>
      </c>
      <c r="BV170" s="123">
        <f>IF(BZ169&lt;0.01,0,Plus!$BD$2)</f>
        <v>0</v>
      </c>
      <c r="BW170" s="123"/>
      <c r="BX170" s="123">
        <f t="shared" si="321"/>
        <v>0</v>
      </c>
      <c r="BY170" s="123">
        <f>IF(Plus!$F$10=Plus!$AK$3,MIN(BZ169+BQ170+BT170+BU170+BV170-BX170,CJ170),0)</f>
        <v>0</v>
      </c>
      <c r="BZ170" s="297">
        <f t="shared" si="428"/>
        <v>0</v>
      </c>
      <c r="CA170" s="74"/>
      <c r="CB170" s="74"/>
      <c r="CC170" s="413">
        <f t="shared" si="355"/>
        <v>0</v>
      </c>
      <c r="CF170" s="90">
        <f t="shared" si="356"/>
        <v>2</v>
      </c>
      <c r="CG170" s="121">
        <f t="shared" si="409"/>
        <v>0</v>
      </c>
      <c r="CI170" s="70">
        <f t="shared" si="410"/>
        <v>0</v>
      </c>
      <c r="CJ170" s="2178">
        <f t="shared" ca="1" si="357"/>
        <v>0</v>
      </c>
      <c r="CL170" s="161"/>
      <c r="CN170" s="308">
        <f t="shared" ca="1" si="322"/>
        <v>5</v>
      </c>
      <c r="CO170" s="309">
        <f t="shared" si="358"/>
        <v>0</v>
      </c>
      <c r="CP170" s="268">
        <f t="shared" si="323"/>
        <v>0</v>
      </c>
      <c r="CQ170" s="123">
        <f t="shared" si="359"/>
        <v>0</v>
      </c>
      <c r="CR170" s="123">
        <f t="shared" si="435"/>
        <v>0</v>
      </c>
      <c r="CS170" s="123">
        <f t="shared" si="436"/>
        <v>0</v>
      </c>
      <c r="CT170" s="33">
        <f>IF(CZ169&lt;0.01,0,IF(Plus!$F$22=Plus!$AN$4,0,IF(Plus!$F$22=Plus!$AN$3,CZ169*Plus!$F$23/1000,CZ169*VLOOKUP(Plus!$G$21,Plus!$AP$2:'Plus'!$AQ$5,2,0))))</f>
        <v>0</v>
      </c>
      <c r="CU170" s="123">
        <f>IF(CZ169&lt;0.01,0,IF(Plus!$F$24=Plus!$AO$3,0,IF(OR(Plus!$F$10=Plus!$AK$7,Plus!$F$10=Plus!$AK$13),0,Plus!$G$13*Plus!$AR$2)))</f>
        <v>0</v>
      </c>
      <c r="CV170" s="123">
        <f>IF(CZ169&lt;0.01,0,IF(OR(Plus!$F$10=Plus!$AK$7,Plus!$F$10=Plus!$AK$13),0,Plus!$BD$2*1.16))</f>
        <v>0</v>
      </c>
      <c r="CW170" s="123">
        <f>IF(CZ169&lt;0.01,0,IF(Plus!$AS$2&gt;0,CQ170*Plus!$AS$3,0))</f>
        <v>0</v>
      </c>
      <c r="CX170" s="123">
        <f t="shared" si="360"/>
        <v>0</v>
      </c>
      <c r="CY170" s="123">
        <f>IF(Plus!$F$10=Plus!$AK$3,MIN(CZ169+CQ170+CT170+CU170+CV170-CX170,DK170),0)</f>
        <v>0</v>
      </c>
      <c r="CZ170" s="297">
        <f t="shared" ref="CZ170:CZ233" si="440">IF(CZ169&lt;0.01,0,CZ169-CR170-CY170-DA170)</f>
        <v>0</v>
      </c>
      <c r="DA170" s="306">
        <f>Plus!O211</f>
        <v>0</v>
      </c>
      <c r="DB170" s="74"/>
      <c r="DC170" s="74"/>
      <c r="DD170" s="407">
        <f t="shared" si="361"/>
        <v>0</v>
      </c>
      <c r="DG170" s="90">
        <f t="shared" si="362"/>
        <v>2</v>
      </c>
      <c r="DH170" s="121">
        <f t="shared" si="411"/>
        <v>0</v>
      </c>
      <c r="DJ170" s="149">
        <f t="shared" si="412"/>
        <v>0</v>
      </c>
      <c r="DK170" s="2179">
        <f t="shared" ca="1" si="363"/>
        <v>0</v>
      </c>
      <c r="DN170" s="120">
        <f t="shared" si="413"/>
        <v>0</v>
      </c>
      <c r="DO170" s="110">
        <f t="shared" si="364"/>
        <v>0</v>
      </c>
      <c r="DP170" s="110">
        <f t="shared" si="422"/>
        <v>0</v>
      </c>
      <c r="DQ170" s="109">
        <f t="shared" si="365"/>
        <v>0</v>
      </c>
      <c r="DR170" s="109">
        <f t="shared" si="366"/>
        <v>0</v>
      </c>
      <c r="DS170" s="113">
        <f t="shared" si="367"/>
        <v>0</v>
      </c>
      <c r="DU170" s="102">
        <f t="shared" si="368"/>
        <v>0</v>
      </c>
      <c r="DV170" s="211">
        <f t="shared" si="423"/>
        <v>146</v>
      </c>
      <c r="DW170" s="212">
        <f t="shared" si="369"/>
        <v>0</v>
      </c>
      <c r="DX170" s="212">
        <f t="shared" si="324"/>
        <v>0</v>
      </c>
      <c r="DY170" s="212">
        <f t="shared" si="414"/>
        <v>0</v>
      </c>
      <c r="DZ170" s="213">
        <f t="shared" si="325"/>
        <v>1000000</v>
      </c>
      <c r="ED170" s="182"/>
      <c r="EF170" s="308">
        <f t="shared" ca="1" si="326"/>
        <v>5</v>
      </c>
      <c r="EG170" s="309">
        <f t="shared" si="370"/>
        <v>0</v>
      </c>
      <c r="EH170" s="268">
        <f t="shared" si="327"/>
        <v>0</v>
      </c>
      <c r="EI170" s="33">
        <f t="shared" si="371"/>
        <v>0</v>
      </c>
      <c r="EJ170" s="33">
        <f t="shared" si="437"/>
        <v>0</v>
      </c>
      <c r="EK170" s="33">
        <f t="shared" si="297"/>
        <v>0</v>
      </c>
      <c r="EL170" s="33">
        <f>IF(ER169&lt;0.01,0,IF(Plus!$F$22=Plus!$AN$4,0,IF(Plus!$F$22=Plus!$AN$3,ER169*Plus!$F$23/1000,ER169*VLOOKUP(Plus!$G$21,Plus!$AP$2:'Plus'!$AQ$5,2,0))))</f>
        <v>0</v>
      </c>
      <c r="EM170" s="33">
        <f>IF(ER169&lt;0.01,0,IF(Plus!$F$24=Plus!$AO$3,0,IF(OR(Plus!$F$10=Plus!$AK$7,Plus!$F$10=Plus!$AK$13),0,Plus!$G$13*Plus!$AR$2)))</f>
        <v>0</v>
      </c>
      <c r="EN170" s="33">
        <f>IF(ER169&lt;0.01,0,IF(OR(Plus!$F$10=Plus!$AK$7,Plus!$F$10=Plus!$AK$13),0,Plus!$BD$2*1.16))</f>
        <v>0</v>
      </c>
      <c r="EO170" s="33">
        <f>IF(ER169&lt;0.01,0,IF(Plus!$AS$2&gt;0,EI170*Plus!$AS$3,0))</f>
        <v>0</v>
      </c>
      <c r="EP170" s="33">
        <f t="shared" si="372"/>
        <v>0</v>
      </c>
      <c r="EQ170" s="33">
        <f>IF(Plus!$F$10=Plus!$AK$3,MIN(ER169+EI170+EL170+EM170+EN170-EP170,FC170),0)</f>
        <v>0</v>
      </c>
      <c r="ER170" s="311">
        <f t="shared" si="431"/>
        <v>0</v>
      </c>
      <c r="ES170" s="340">
        <f>Plus!O211</f>
        <v>0</v>
      </c>
      <c r="ET170" s="74"/>
      <c r="EU170" s="74"/>
      <c r="EV170" s="416">
        <f t="shared" si="429"/>
        <v>0</v>
      </c>
      <c r="EY170" s="90">
        <f t="shared" si="373"/>
        <v>2</v>
      </c>
      <c r="EZ170" s="121">
        <f t="shared" si="415"/>
        <v>0</v>
      </c>
      <c r="FB170" s="149">
        <f t="shared" si="416"/>
        <v>0</v>
      </c>
      <c r="FC170" s="2179">
        <f t="shared" ca="1" si="374"/>
        <v>0</v>
      </c>
      <c r="FE170" s="120">
        <f t="shared" si="417"/>
        <v>0</v>
      </c>
      <c r="FF170" s="110">
        <f t="shared" si="375"/>
        <v>0</v>
      </c>
      <c r="FG170" s="110">
        <f t="shared" si="376"/>
        <v>0</v>
      </c>
      <c r="FH170" s="109">
        <f t="shared" si="377"/>
        <v>0</v>
      </c>
      <c r="FI170" s="109">
        <f t="shared" si="328"/>
        <v>0</v>
      </c>
      <c r="FJ170" s="113">
        <f t="shared" si="378"/>
        <v>0</v>
      </c>
      <c r="FL170" s="102">
        <f t="shared" si="379"/>
        <v>0</v>
      </c>
      <c r="FM170" s="211">
        <f t="shared" si="424"/>
        <v>146</v>
      </c>
      <c r="FN170" s="212">
        <f t="shared" si="380"/>
        <v>0</v>
      </c>
      <c r="FO170" s="212">
        <f t="shared" si="329"/>
        <v>0</v>
      </c>
      <c r="FP170" s="212">
        <f t="shared" ref="FP170:FP180" si="441">MIN(FQ169+FN170,FP169)</f>
        <v>0</v>
      </c>
      <c r="FQ170" s="213">
        <f t="shared" si="330"/>
        <v>1000000</v>
      </c>
      <c r="FV170" s="359"/>
      <c r="FX170" s="308">
        <f t="shared" ca="1" si="331"/>
        <v>5</v>
      </c>
      <c r="FY170" s="309">
        <f t="shared" si="381"/>
        <v>0</v>
      </c>
      <c r="FZ170" s="268">
        <f t="shared" si="332"/>
        <v>0</v>
      </c>
      <c r="GA170" s="33">
        <f t="shared" si="382"/>
        <v>0</v>
      </c>
      <c r="GB170" s="33">
        <f t="shared" si="438"/>
        <v>0</v>
      </c>
      <c r="GC170" s="33">
        <f t="shared" si="439"/>
        <v>0</v>
      </c>
      <c r="GD170" s="33">
        <f>IF(GJ169&lt;0.01,0,IF(Plus!$F$22=Plus!$AN$4,0,IF(Plus!$F$22=Plus!$AN$3,GJ169*Plus!$F$23/1000,GJ169*VLOOKUP(Plus!$G$21,Plus!$AP$2:$AQ$5,2,0))))</f>
        <v>0</v>
      </c>
      <c r="GE170" s="33">
        <f>IF(GJ169&lt;0.01,0,IF(Plus!$F$24=Plus!$AO$3,0,IF(OR(Plus!$F$10=Plus!$AK$7,Plus!$F$10=Plus!$AK$13,Plus!$F$10=Plus!$AK$14),0,IF(OR(Plus!$F$10=Plus!$AK$10,Plus!$F$10=Plus!$AK$11),Plus!$G$13*Adm!$W$7,Plus!$G$13*Adm!$X$4))))</f>
        <v>0</v>
      </c>
      <c r="GF170" s="33">
        <f>IF(GJ169&lt;0.01,0,IF(OR(Plus!$F$10=Plus!$AK$7,Plus!$F$10=Plus!$AK$13),0,Plus!$BD$2*1.16))</f>
        <v>0</v>
      </c>
      <c r="GG170" s="33">
        <f>IF(GJ169&lt;0.01,0,IF(Plus!$AS$2&gt;0,GA170*Plus!$AS$3,0))</f>
        <v>0</v>
      </c>
      <c r="GH170" s="33">
        <f t="shared" si="383"/>
        <v>0</v>
      </c>
      <c r="GI170" s="33">
        <f>IF(Plus!$F$10=Plus!$AK$3,MIN(GJ169+GA170+GD170+GE170+GF170-GH170,GU170),0)</f>
        <v>0</v>
      </c>
      <c r="GJ170" s="311">
        <f t="shared" si="432"/>
        <v>0</v>
      </c>
      <c r="GK170" s="340">
        <f>Plus!O211</f>
        <v>0</v>
      </c>
      <c r="GL170" s="74"/>
      <c r="GM170" s="74"/>
      <c r="GN170" s="419">
        <f t="shared" si="430"/>
        <v>0</v>
      </c>
      <c r="GQ170" s="90">
        <f t="shared" si="384"/>
        <v>2</v>
      </c>
      <c r="GR170" s="121">
        <f t="shared" si="418"/>
        <v>0</v>
      </c>
      <c r="GT170" s="149">
        <f t="shared" si="419"/>
        <v>0</v>
      </c>
      <c r="GU170" s="2179">
        <f t="shared" ca="1" si="385"/>
        <v>0</v>
      </c>
      <c r="GW170" s="120">
        <f t="shared" si="420"/>
        <v>0</v>
      </c>
      <c r="GX170" s="110">
        <f t="shared" si="386"/>
        <v>0</v>
      </c>
      <c r="GY170" s="110">
        <f t="shared" si="387"/>
        <v>0</v>
      </c>
      <c r="GZ170" s="109">
        <f t="shared" si="388"/>
        <v>0</v>
      </c>
      <c r="HA170" s="109">
        <f t="shared" si="333"/>
        <v>0</v>
      </c>
      <c r="HB170" s="113">
        <f t="shared" si="389"/>
        <v>0</v>
      </c>
      <c r="HD170" s="102">
        <f t="shared" si="390"/>
        <v>0</v>
      </c>
      <c r="HE170" s="211">
        <f t="shared" si="425"/>
        <v>146</v>
      </c>
      <c r="HF170" s="212">
        <f t="shared" si="391"/>
        <v>0</v>
      </c>
      <c r="HG170" s="212">
        <f t="shared" si="334"/>
        <v>0</v>
      </c>
      <c r="HH170" s="212">
        <f t="shared" ref="HH170:HH180" si="442">MIN(HI169+HF170,HH169)</f>
        <v>0</v>
      </c>
      <c r="HI170" s="213">
        <f t="shared" si="335"/>
        <v>1000000</v>
      </c>
      <c r="HL170" s="182"/>
      <c r="HM170" s="26">
        <f t="shared" ca="1" si="336"/>
        <v>5</v>
      </c>
      <c r="HO170" s="268">
        <f t="shared" si="337"/>
        <v>0</v>
      </c>
      <c r="HP170" s="151">
        <f t="shared" si="302"/>
        <v>0</v>
      </c>
      <c r="HQ170" s="123">
        <f t="shared" si="392"/>
        <v>0</v>
      </c>
      <c r="HR170" s="123">
        <f t="shared" si="393"/>
        <v>0</v>
      </c>
      <c r="HS170" s="123">
        <f t="shared" si="394"/>
        <v>0</v>
      </c>
      <c r="HT170" s="123">
        <f>IF(HY169&lt;0.01,0,IF(Adm!$GS$4=Adm!$GS$8,HY169*$HY$15,IF(Adm!$GS$12=Adm!$GS$13,0,HY169*Adm!$GV$4)))</f>
        <v>0</v>
      </c>
      <c r="HU170" s="123">
        <f>IF(HY169&lt;0.01,0,IF(Adm!$GS$5=Adm!$GS$8,Cal!$BO$108*$HY$16/1.16,IF(Adm!$GS$12=Adm!$GS$13,0,Cal!$BO$108*Adm!$GW$4/1.16)))</f>
        <v>0</v>
      </c>
      <c r="HV170" s="123">
        <f t="shared" si="395"/>
        <v>0</v>
      </c>
      <c r="HW170" s="123">
        <f t="shared" si="338"/>
        <v>0</v>
      </c>
      <c r="HX170" s="123">
        <f>IF(Adm!$GH$6="si",MIN(HY169+HQ170+HT170+HU170+HV170-HW170,IH170),0)</f>
        <v>0</v>
      </c>
      <c r="HY170" s="297">
        <f t="shared" si="396"/>
        <v>0</v>
      </c>
      <c r="HZ170" s="74"/>
      <c r="IA170" s="407">
        <f t="shared" si="397"/>
        <v>0</v>
      </c>
      <c r="IC170" s="90">
        <f t="shared" si="398"/>
        <v>2</v>
      </c>
      <c r="ID170" s="124">
        <f>IF(IC170=1,Cal!$BO$127,0)</f>
        <v>0</v>
      </c>
      <c r="IE170" s="178">
        <f>IF(IC170=1,Adm!$HI$4,0)</f>
        <v>0</v>
      </c>
      <c r="IG170" s="70">
        <f t="shared" si="421"/>
        <v>0</v>
      </c>
      <c r="IH170" s="2178">
        <f t="shared" ca="1" si="399"/>
        <v>0</v>
      </c>
      <c r="IK170" s="217"/>
      <c r="IL170" s="26">
        <f t="shared" ca="1" si="339"/>
        <v>5</v>
      </c>
      <c r="IN170" s="268">
        <f t="shared" si="340"/>
        <v>0</v>
      </c>
      <c r="IO170" s="151">
        <f t="shared" si="303"/>
        <v>0</v>
      </c>
      <c r="IP170" s="123">
        <f t="shared" si="400"/>
        <v>0</v>
      </c>
      <c r="IQ170" s="123">
        <f t="shared" si="401"/>
        <v>0</v>
      </c>
      <c r="IR170" s="123">
        <f t="shared" si="402"/>
        <v>0</v>
      </c>
      <c r="IS170" s="123">
        <f>IF(IX169&lt;0.01,0,IF(Adm!$GS$4=Adm!$GS$8,IX169*$IX$15,IF(Adm!$GS$12=Adm!$GS$13,0,IX169*Adm!$GV$4)))</f>
        <v>0</v>
      </c>
      <c r="IT170" s="123"/>
      <c r="IU170" s="123">
        <f t="shared" si="403"/>
        <v>0</v>
      </c>
      <c r="IV170" s="123">
        <f t="shared" si="404"/>
        <v>0</v>
      </c>
      <c r="IW170" s="123"/>
      <c r="IX170" s="297">
        <f t="shared" si="405"/>
        <v>0</v>
      </c>
      <c r="IY170" s="74"/>
      <c r="IZ170" s="416">
        <f t="shared" si="406"/>
        <v>0</v>
      </c>
      <c r="JB170" s="90">
        <f t="shared" si="407"/>
        <v>2</v>
      </c>
      <c r="JC170" s="124">
        <f>IF(JB170=1,Cal!$BP$127,0)</f>
        <v>0</v>
      </c>
      <c r="JD170" s="178">
        <f>IF(JB170=1,Adm!$HI$4,0)</f>
        <v>0</v>
      </c>
    </row>
    <row r="171" spans="1:264">
      <c r="A171" s="26">
        <f t="shared" ca="1" si="308"/>
        <v>6</v>
      </c>
      <c r="C171" s="33">
        <f t="shared" si="309"/>
        <v>0</v>
      </c>
      <c r="D171" s="123">
        <f t="shared" si="341"/>
        <v>0</v>
      </c>
      <c r="E171" s="123">
        <f t="shared" si="433"/>
        <v>0</v>
      </c>
      <c r="F171" s="123">
        <f t="shared" si="295"/>
        <v>0</v>
      </c>
      <c r="G171" s="123">
        <f>IF(L170&lt;0.01,0,IF(Adm!$S$4=Adm!$S$8,L170*$L$15,L170*Adm!$V$4))</f>
        <v>0</v>
      </c>
      <c r="H171" s="123">
        <f>IF(L170&lt;0.01,0,IF(Adm!$S$5=Adm!$S$8,Adm!$AA$11*$L$16/1.16,IF(Adm!$B$4=Adm!$A$119,0,Adm!$AA$11*Adm!$X$4/1.16)))</f>
        <v>0</v>
      </c>
      <c r="I171" s="123">
        <f>IF(L170&lt;0.01,0,Cal!$AB$126/1.16)</f>
        <v>0</v>
      </c>
      <c r="J171" s="123">
        <f t="shared" si="310"/>
        <v>0</v>
      </c>
      <c r="K171" s="123">
        <f>IF(Adm!$G$4="si",MIN(L170+D171+G171+H171+I171-J171,V171),0)</f>
        <v>0</v>
      </c>
      <c r="L171" s="123">
        <f t="shared" si="342"/>
        <v>0</v>
      </c>
      <c r="M171" s="74"/>
      <c r="N171" s="74"/>
      <c r="O171" s="407">
        <f t="shared" si="343"/>
        <v>0</v>
      </c>
      <c r="R171" s="90">
        <f t="shared" si="344"/>
        <v>3</v>
      </c>
      <c r="S171" s="121">
        <f>IF(R171=1,Cal!$AB$127,0)</f>
        <v>0</v>
      </c>
      <c r="U171" s="70">
        <f t="shared" si="408"/>
        <v>0</v>
      </c>
      <c r="V171" s="2178">
        <f t="shared" ca="1" si="345"/>
        <v>0</v>
      </c>
      <c r="X171" s="398"/>
      <c r="Z171" s="268">
        <f t="shared" si="311"/>
        <v>0</v>
      </c>
      <c r="AA171" s="2176">
        <f t="shared" si="346"/>
        <v>0</v>
      </c>
      <c r="AB171" s="33">
        <f t="shared" si="347"/>
        <v>0</v>
      </c>
      <c r="AC171" s="33">
        <f t="shared" si="348"/>
        <v>0</v>
      </c>
      <c r="AD171" s="33">
        <f>IF(AI170&lt;0.01,0,IF(Adm!$S$4=Adm!$S$8,AI170*$AI$15,AI170*Adm!$V$4))</f>
        <v>0</v>
      </c>
      <c r="AE171" s="33"/>
      <c r="AF171" s="33"/>
      <c r="AG171" s="33">
        <f t="shared" si="312"/>
        <v>0</v>
      </c>
      <c r="AH171" s="33"/>
      <c r="AI171" s="401">
        <f t="shared" si="313"/>
        <v>0</v>
      </c>
      <c r="AK171" s="410">
        <f t="shared" si="314"/>
        <v>0</v>
      </c>
      <c r="AN171" s="90">
        <f t="shared" si="349"/>
        <v>3</v>
      </c>
      <c r="AO171" s="121">
        <f>IF(AN171=1,Cal!$AC$127,0)</f>
        <v>0</v>
      </c>
      <c r="AS171" s="200"/>
      <c r="AU171" s="268">
        <f t="shared" si="315"/>
        <v>0</v>
      </c>
      <c r="AV171" s="2177">
        <f t="shared" si="350"/>
        <v>0</v>
      </c>
      <c r="AW171" s="123">
        <f t="shared" si="316"/>
        <v>0</v>
      </c>
      <c r="AX171" s="123">
        <f t="shared" si="351"/>
        <v>0</v>
      </c>
      <c r="AY171" s="123">
        <f>IF(BC170&lt;0.01,0,IF(Adm!$S$4=Adm!$S$8,BC170*$BC$16,BC170*Adm!$V$4))</f>
        <v>0</v>
      </c>
      <c r="AZ171" s="123"/>
      <c r="BA171" s="123">
        <f>IF(BC170&lt;0.01,0,Adm!$Q$6)</f>
        <v>0</v>
      </c>
      <c r="BB171" s="123">
        <f t="shared" si="317"/>
        <v>0</v>
      </c>
      <c r="BC171" s="297">
        <f t="shared" si="352"/>
        <v>0</v>
      </c>
      <c r="BE171" s="425">
        <f t="shared" si="318"/>
        <v>0</v>
      </c>
      <c r="BH171" s="90">
        <f t="shared" si="353"/>
        <v>3</v>
      </c>
      <c r="BI171" s="121">
        <f>IF(BH171=1,Cal!$AD$127,0)</f>
        <v>0</v>
      </c>
      <c r="BM171" s="221"/>
      <c r="BO171" s="295">
        <f t="shared" ca="1" si="319"/>
        <v>6</v>
      </c>
      <c r="BP171" s="268">
        <f t="shared" si="320"/>
        <v>0</v>
      </c>
      <c r="BQ171" s="123">
        <f t="shared" si="354"/>
        <v>0</v>
      </c>
      <c r="BR171" s="123">
        <f t="shared" si="434"/>
        <v>0</v>
      </c>
      <c r="BS171" s="123">
        <f t="shared" si="296"/>
        <v>0</v>
      </c>
      <c r="BT171" s="123">
        <f>IF(BZ170&lt;0.01,0,IF(Plus!$F$22=Plus!$AN$4,BZ170*$BZ$15,IF(Plus!$F$22=Plus!$AN$3,BZ170*Plus!$F$23/1000,BZ170*VLOOKUP(Plus!$G$21,Plus!$AP$2:'Plus'!$AQ$5,2,0))))</f>
        <v>0</v>
      </c>
      <c r="BU171" s="123">
        <f>IF(BZ170&lt;0.01,0,IF(Plus!$F$24=Plus!$AO$3,Plus!$G$13*Plus!$AR$2/1.16,IF(Plus!$F$10=Plus!$AK$7,0,Plus!$G$13*Plus!$AR$2/1.16)))</f>
        <v>0</v>
      </c>
      <c r="BV171" s="123">
        <f>IF(BZ170&lt;0.01,0,Plus!$BD$2)</f>
        <v>0</v>
      </c>
      <c r="BW171" s="123"/>
      <c r="BX171" s="123">
        <f t="shared" si="321"/>
        <v>0</v>
      </c>
      <c r="BY171" s="123">
        <f>IF(Plus!$F$10=Plus!$AK$3,MIN(BZ170+BQ171+BT171+BU171+BV171-BX171,CJ171),0)</f>
        <v>0</v>
      </c>
      <c r="BZ171" s="297">
        <f t="shared" si="428"/>
        <v>0</v>
      </c>
      <c r="CA171" s="74"/>
      <c r="CB171" s="74"/>
      <c r="CC171" s="413">
        <f t="shared" si="355"/>
        <v>0</v>
      </c>
      <c r="CF171" s="90">
        <f t="shared" si="356"/>
        <v>3</v>
      </c>
      <c r="CG171" s="121">
        <f t="shared" si="409"/>
        <v>0</v>
      </c>
      <c r="CI171" s="70">
        <f t="shared" si="410"/>
        <v>0</v>
      </c>
      <c r="CJ171" s="2178">
        <f t="shared" ca="1" si="357"/>
        <v>0</v>
      </c>
      <c r="CL171" s="161"/>
      <c r="CN171" s="308">
        <f t="shared" ca="1" si="322"/>
        <v>6</v>
      </c>
      <c r="CO171" s="309">
        <f t="shared" si="358"/>
        <v>0</v>
      </c>
      <c r="CP171" s="268">
        <f t="shared" si="323"/>
        <v>0</v>
      </c>
      <c r="CQ171" s="123">
        <f t="shared" si="359"/>
        <v>0</v>
      </c>
      <c r="CR171" s="123">
        <f t="shared" si="435"/>
        <v>0</v>
      </c>
      <c r="CS171" s="123">
        <f t="shared" si="436"/>
        <v>0</v>
      </c>
      <c r="CT171" s="33">
        <f>IF(CZ170&lt;0.01,0,IF(Plus!$F$22=Plus!$AN$4,0,IF(Plus!$F$22=Plus!$AN$3,CZ170*Plus!$F$23/1000,CZ170*VLOOKUP(Plus!$G$21,Plus!$AP$2:'Plus'!$AQ$5,2,0))))</f>
        <v>0</v>
      </c>
      <c r="CU171" s="123">
        <f>IF(CZ170&lt;0.01,0,IF(Plus!$F$24=Plus!$AO$3,0,IF(OR(Plus!$F$10=Plus!$AK$7,Plus!$F$10=Plus!$AK$13),0,Plus!$G$13*Plus!$AR$2)))</f>
        <v>0</v>
      </c>
      <c r="CV171" s="123">
        <f>IF(CZ170&lt;0.01,0,IF(OR(Plus!$F$10=Plus!$AK$7,Plus!$F$10=Plus!$AK$13),0,Plus!$BD$2*1.16))</f>
        <v>0</v>
      </c>
      <c r="CW171" s="123">
        <f>IF(CZ170&lt;0.01,0,IF(Plus!$AS$2&gt;0,CQ171*Plus!$AS$3,0))</f>
        <v>0</v>
      </c>
      <c r="CX171" s="123">
        <f t="shared" si="360"/>
        <v>0</v>
      </c>
      <c r="CY171" s="123">
        <f>IF(Plus!$F$10=Plus!$AK$3,MIN(CZ170+CQ171+CT171+CU171+CV171-CX171,DK171),0)</f>
        <v>0</v>
      </c>
      <c r="CZ171" s="297">
        <f t="shared" si="440"/>
        <v>0</v>
      </c>
      <c r="DA171" s="306">
        <f>Plus!O212</f>
        <v>0</v>
      </c>
      <c r="DB171" s="74"/>
      <c r="DC171" s="74"/>
      <c r="DD171" s="407">
        <f t="shared" si="361"/>
        <v>0</v>
      </c>
      <c r="DG171" s="90">
        <f t="shared" si="362"/>
        <v>3</v>
      </c>
      <c r="DH171" s="121">
        <f t="shared" si="411"/>
        <v>0</v>
      </c>
      <c r="DJ171" s="149">
        <f t="shared" si="412"/>
        <v>0</v>
      </c>
      <c r="DK171" s="2179">
        <f t="shared" ca="1" si="363"/>
        <v>0</v>
      </c>
      <c r="DN171" s="120">
        <f t="shared" si="413"/>
        <v>0</v>
      </c>
      <c r="DO171" s="110">
        <f t="shared" si="364"/>
        <v>0</v>
      </c>
      <c r="DP171" s="110">
        <f t="shared" si="422"/>
        <v>0</v>
      </c>
      <c r="DQ171" s="109">
        <f t="shared" si="365"/>
        <v>0</v>
      </c>
      <c r="DR171" s="109">
        <f t="shared" si="366"/>
        <v>0</v>
      </c>
      <c r="DS171" s="113">
        <f t="shared" si="367"/>
        <v>0</v>
      </c>
      <c r="DU171" s="102">
        <f t="shared" si="368"/>
        <v>0</v>
      </c>
      <c r="DV171" s="211">
        <f t="shared" si="423"/>
        <v>147</v>
      </c>
      <c r="DW171" s="212">
        <f t="shared" si="369"/>
        <v>0</v>
      </c>
      <c r="DX171" s="212">
        <f t="shared" si="324"/>
        <v>0</v>
      </c>
      <c r="DY171" s="212">
        <f t="shared" si="414"/>
        <v>0</v>
      </c>
      <c r="DZ171" s="213">
        <f t="shared" si="325"/>
        <v>1000000</v>
      </c>
      <c r="ED171" s="182"/>
      <c r="EF171" s="308">
        <f t="shared" ca="1" si="326"/>
        <v>6</v>
      </c>
      <c r="EG171" s="309">
        <f t="shared" si="370"/>
        <v>0</v>
      </c>
      <c r="EH171" s="268">
        <f t="shared" si="327"/>
        <v>0</v>
      </c>
      <c r="EI171" s="33">
        <f t="shared" si="371"/>
        <v>0</v>
      </c>
      <c r="EJ171" s="33">
        <f t="shared" si="437"/>
        <v>0</v>
      </c>
      <c r="EK171" s="33">
        <f t="shared" si="297"/>
        <v>0</v>
      </c>
      <c r="EL171" s="33">
        <f>IF(ER170&lt;0.01,0,IF(Plus!$F$22=Plus!$AN$4,0,IF(Plus!$F$22=Plus!$AN$3,ER170*Plus!$F$23/1000,ER170*VLOOKUP(Plus!$G$21,Plus!$AP$2:'Plus'!$AQ$5,2,0))))</f>
        <v>0</v>
      </c>
      <c r="EM171" s="33">
        <f>IF(ER170&lt;0.01,0,IF(Plus!$F$24=Plus!$AO$3,0,IF(OR(Plus!$F$10=Plus!$AK$7,Plus!$F$10=Plus!$AK$13),0,Plus!$G$13*Plus!$AR$2)))</f>
        <v>0</v>
      </c>
      <c r="EN171" s="33">
        <f>IF(ER170&lt;0.01,0,IF(OR(Plus!$F$10=Plus!$AK$7,Plus!$F$10=Plus!$AK$13),0,Plus!$BD$2*1.16))</f>
        <v>0</v>
      </c>
      <c r="EO171" s="33">
        <f>IF(ER170&lt;0.01,0,IF(Plus!$AS$2&gt;0,EI171*Plus!$AS$3,0))</f>
        <v>0</v>
      </c>
      <c r="EP171" s="33">
        <f t="shared" si="372"/>
        <v>0</v>
      </c>
      <c r="EQ171" s="33">
        <f>IF(Plus!$F$10=Plus!$AK$3,MIN(ER170+EI171+EL171+EM171+EN171-EP171,FC171),0)</f>
        <v>0</v>
      </c>
      <c r="ER171" s="311">
        <f t="shared" si="431"/>
        <v>0</v>
      </c>
      <c r="ES171" s="340">
        <f>Plus!O212</f>
        <v>0</v>
      </c>
      <c r="ET171" s="74"/>
      <c r="EU171" s="74"/>
      <c r="EV171" s="416">
        <f t="shared" si="429"/>
        <v>0</v>
      </c>
      <c r="EY171" s="90">
        <f t="shared" si="373"/>
        <v>3</v>
      </c>
      <c r="EZ171" s="121">
        <f t="shared" si="415"/>
        <v>0</v>
      </c>
      <c r="FB171" s="149">
        <f t="shared" si="416"/>
        <v>0</v>
      </c>
      <c r="FC171" s="2179">
        <f t="shared" ca="1" si="374"/>
        <v>0</v>
      </c>
      <c r="FE171" s="120">
        <f t="shared" si="417"/>
        <v>0</v>
      </c>
      <c r="FF171" s="110">
        <f t="shared" si="375"/>
        <v>0</v>
      </c>
      <c r="FG171" s="110">
        <f t="shared" si="376"/>
        <v>0</v>
      </c>
      <c r="FH171" s="109">
        <f t="shared" si="377"/>
        <v>0</v>
      </c>
      <c r="FI171" s="109">
        <f t="shared" si="328"/>
        <v>0</v>
      </c>
      <c r="FJ171" s="113">
        <f t="shared" si="378"/>
        <v>0</v>
      </c>
      <c r="FL171" s="102">
        <f t="shared" si="379"/>
        <v>0</v>
      </c>
      <c r="FM171" s="211">
        <f t="shared" si="424"/>
        <v>147</v>
      </c>
      <c r="FN171" s="212">
        <f t="shared" si="380"/>
        <v>0</v>
      </c>
      <c r="FO171" s="212">
        <f t="shared" si="329"/>
        <v>0</v>
      </c>
      <c r="FP171" s="212">
        <f t="shared" si="441"/>
        <v>0</v>
      </c>
      <c r="FQ171" s="213">
        <f t="shared" si="330"/>
        <v>1000000</v>
      </c>
      <c r="FV171" s="359"/>
      <c r="FX171" s="308">
        <f t="shared" ca="1" si="331"/>
        <v>6</v>
      </c>
      <c r="FY171" s="309">
        <f t="shared" si="381"/>
        <v>0</v>
      </c>
      <c r="FZ171" s="268">
        <f t="shared" si="332"/>
        <v>0</v>
      </c>
      <c r="GA171" s="33">
        <f t="shared" si="382"/>
        <v>0</v>
      </c>
      <c r="GB171" s="33">
        <f t="shared" si="438"/>
        <v>0</v>
      </c>
      <c r="GC171" s="33">
        <f t="shared" si="439"/>
        <v>0</v>
      </c>
      <c r="GD171" s="33">
        <f>IF(GJ170&lt;0.01,0,IF(Plus!$F$22=Plus!$AN$4,0,IF(Plus!$F$22=Plus!$AN$3,GJ170*Plus!$F$23/1000,GJ170*VLOOKUP(Plus!$G$21,Plus!$AP$2:$AQ$5,2,0))))</f>
        <v>0</v>
      </c>
      <c r="GE171" s="33">
        <f>IF(GJ170&lt;0.01,0,IF(Plus!$F$24=Plus!$AO$3,0,IF(OR(Plus!$F$10=Plus!$AK$7,Plus!$F$10=Plus!$AK$13,Plus!$F$10=Plus!$AK$14),0,IF(OR(Plus!$F$10=Plus!$AK$10,Plus!$F$10=Plus!$AK$11),Plus!$G$13*Adm!$W$7,Plus!$G$13*Adm!$X$4))))</f>
        <v>0</v>
      </c>
      <c r="GF171" s="33">
        <f>IF(GJ170&lt;0.01,0,IF(OR(Plus!$F$10=Plus!$AK$7,Plus!$F$10=Plus!$AK$13),0,Plus!$BD$2*1.16))</f>
        <v>0</v>
      </c>
      <c r="GG171" s="33">
        <f>IF(GJ170&lt;0.01,0,IF(Plus!$AS$2&gt;0,GA171*Plus!$AS$3,0))</f>
        <v>0</v>
      </c>
      <c r="GH171" s="33">
        <f t="shared" si="383"/>
        <v>0</v>
      </c>
      <c r="GI171" s="33">
        <f>IF(Plus!$F$10=Plus!$AK$3,MIN(GJ170+GA171+GD171+GE171+GF171-GH171,GU171),0)</f>
        <v>0</v>
      </c>
      <c r="GJ171" s="311">
        <f t="shared" si="432"/>
        <v>0</v>
      </c>
      <c r="GK171" s="340">
        <f>Plus!O212</f>
        <v>0</v>
      </c>
      <c r="GL171" s="74"/>
      <c r="GM171" s="74"/>
      <c r="GN171" s="419">
        <f t="shared" si="430"/>
        <v>0</v>
      </c>
      <c r="GQ171" s="90">
        <f t="shared" si="384"/>
        <v>3</v>
      </c>
      <c r="GR171" s="121">
        <f t="shared" si="418"/>
        <v>0</v>
      </c>
      <c r="GT171" s="149">
        <f t="shared" si="419"/>
        <v>0</v>
      </c>
      <c r="GU171" s="2179">
        <f t="shared" ca="1" si="385"/>
        <v>0</v>
      </c>
      <c r="GW171" s="120">
        <f t="shared" si="420"/>
        <v>0</v>
      </c>
      <c r="GX171" s="110">
        <f t="shared" si="386"/>
        <v>0</v>
      </c>
      <c r="GY171" s="110">
        <f t="shared" si="387"/>
        <v>0</v>
      </c>
      <c r="GZ171" s="109">
        <f t="shared" si="388"/>
        <v>0</v>
      </c>
      <c r="HA171" s="109">
        <f t="shared" si="333"/>
        <v>0</v>
      </c>
      <c r="HB171" s="113">
        <f t="shared" si="389"/>
        <v>0</v>
      </c>
      <c r="HD171" s="102">
        <f t="shared" si="390"/>
        <v>0</v>
      </c>
      <c r="HE171" s="211">
        <f t="shared" si="425"/>
        <v>147</v>
      </c>
      <c r="HF171" s="212">
        <f t="shared" si="391"/>
        <v>0</v>
      </c>
      <c r="HG171" s="212">
        <f t="shared" si="334"/>
        <v>0</v>
      </c>
      <c r="HH171" s="212">
        <f t="shared" si="442"/>
        <v>0</v>
      </c>
      <c r="HI171" s="213">
        <f t="shared" si="335"/>
        <v>1000000</v>
      </c>
      <c r="HL171" s="182"/>
      <c r="HM171" s="26">
        <f t="shared" ca="1" si="336"/>
        <v>6</v>
      </c>
      <c r="HO171" s="268">
        <f t="shared" si="337"/>
        <v>0</v>
      </c>
      <c r="HP171" s="151">
        <f t="shared" si="302"/>
        <v>0</v>
      </c>
      <c r="HQ171" s="123">
        <f t="shared" si="392"/>
        <v>0</v>
      </c>
      <c r="HR171" s="123">
        <f t="shared" si="393"/>
        <v>0</v>
      </c>
      <c r="HS171" s="123">
        <f t="shared" si="394"/>
        <v>0</v>
      </c>
      <c r="HT171" s="123">
        <f>IF(HY170&lt;0.01,0,IF(Adm!$GS$4=Adm!$GS$8,HY170*$HY$15,IF(Adm!$GS$12=Adm!$GS$13,0,HY170*Adm!$GV$4)))</f>
        <v>0</v>
      </c>
      <c r="HU171" s="123">
        <f>IF(HY170&lt;0.01,0,IF(Adm!$GS$5=Adm!$GS$8,Cal!$BO$108*$HY$16/1.16,IF(Adm!$GS$12=Adm!$GS$13,0,Cal!$BO$108*Adm!$GW$4/1.16)))</f>
        <v>0</v>
      </c>
      <c r="HV171" s="123">
        <f t="shared" si="395"/>
        <v>0</v>
      </c>
      <c r="HW171" s="123">
        <f t="shared" si="338"/>
        <v>0</v>
      </c>
      <c r="HX171" s="123">
        <f>IF(Adm!$GH$6="si",MIN(HY170+HQ171+HT171+HU171+HV171-HW171,IH171),0)</f>
        <v>0</v>
      </c>
      <c r="HY171" s="297">
        <f t="shared" si="396"/>
        <v>0</v>
      </c>
      <c r="HZ171" s="74"/>
      <c r="IA171" s="407">
        <f t="shared" si="397"/>
        <v>0</v>
      </c>
      <c r="IC171" s="90">
        <f t="shared" si="398"/>
        <v>3</v>
      </c>
      <c r="ID171" s="124">
        <f>IF(IC171=1,Cal!$BO$127,0)</f>
        <v>0</v>
      </c>
      <c r="IE171" s="178">
        <f>IF(IC171=1,Adm!$HI$4,0)</f>
        <v>0</v>
      </c>
      <c r="IG171" s="70">
        <f t="shared" si="421"/>
        <v>0</v>
      </c>
      <c r="IH171" s="2178">
        <f t="shared" ca="1" si="399"/>
        <v>0</v>
      </c>
      <c r="IK171" s="217"/>
      <c r="IL171" s="26">
        <f t="shared" ca="1" si="339"/>
        <v>6</v>
      </c>
      <c r="IN171" s="268">
        <f t="shared" si="340"/>
        <v>0</v>
      </c>
      <c r="IO171" s="151">
        <f t="shared" si="303"/>
        <v>0</v>
      </c>
      <c r="IP171" s="123">
        <f t="shared" si="400"/>
        <v>0</v>
      </c>
      <c r="IQ171" s="123">
        <f t="shared" si="401"/>
        <v>0</v>
      </c>
      <c r="IR171" s="123">
        <f t="shared" si="402"/>
        <v>0</v>
      </c>
      <c r="IS171" s="123">
        <f>IF(IX170&lt;0.01,0,IF(Adm!$GS$4=Adm!$GS$8,IX170*$IX$15,IF(Adm!$GS$12=Adm!$GS$13,0,IX170*Adm!$GV$4)))</f>
        <v>0</v>
      </c>
      <c r="IT171" s="123"/>
      <c r="IU171" s="123">
        <f t="shared" si="403"/>
        <v>0</v>
      </c>
      <c r="IV171" s="123">
        <f t="shared" si="404"/>
        <v>0</v>
      </c>
      <c r="IW171" s="123"/>
      <c r="IX171" s="297">
        <f t="shared" si="405"/>
        <v>0</v>
      </c>
      <c r="IY171" s="74"/>
      <c r="IZ171" s="416">
        <f t="shared" si="406"/>
        <v>0</v>
      </c>
      <c r="JB171" s="90">
        <f t="shared" si="407"/>
        <v>3</v>
      </c>
      <c r="JC171" s="124">
        <f>IF(JB171=1,Cal!$BP$127,0)</f>
        <v>0</v>
      </c>
      <c r="JD171" s="178">
        <f>IF(JB171=1,Adm!$HI$4,0)</f>
        <v>0</v>
      </c>
    </row>
    <row r="172" spans="1:264">
      <c r="A172" s="26">
        <f t="shared" ca="1" si="308"/>
        <v>7</v>
      </c>
      <c r="C172" s="33">
        <f t="shared" si="309"/>
        <v>0</v>
      </c>
      <c r="D172" s="123">
        <f t="shared" si="341"/>
        <v>0</v>
      </c>
      <c r="E172" s="123">
        <f t="shared" si="433"/>
        <v>0</v>
      </c>
      <c r="F172" s="123">
        <f t="shared" ref="F172:F235" si="443">IF(L171&lt;0.1,0,MIN(L171+D172,F171*(1+S172)))</f>
        <v>0</v>
      </c>
      <c r="G172" s="123">
        <f>IF(L171&lt;0.01,0,IF(Adm!$S$4=Adm!$S$8,L171*$L$15,L171*Adm!$V$4))</f>
        <v>0</v>
      </c>
      <c r="H172" s="123">
        <f>IF(L171&lt;0.01,0,IF(Adm!$S$5=Adm!$S$8,Adm!$AA$11*$L$16/1.16,IF(Adm!$B$4=Adm!$A$119,0,Adm!$AA$11*Adm!$X$4/1.16)))</f>
        <v>0</v>
      </c>
      <c r="I172" s="123">
        <f>IF(L171&lt;0.01,0,Cal!$AB$126/1.16)</f>
        <v>0</v>
      </c>
      <c r="J172" s="123">
        <f t="shared" si="310"/>
        <v>0</v>
      </c>
      <c r="K172" s="123">
        <f>IF(Adm!$G$4="si",MIN(L171+D172+G172+H172+I172-J172,V172),0)</f>
        <v>0</v>
      </c>
      <c r="L172" s="123">
        <f t="shared" si="342"/>
        <v>0</v>
      </c>
      <c r="M172" s="74"/>
      <c r="N172" s="74"/>
      <c r="O172" s="407">
        <f t="shared" si="343"/>
        <v>0</v>
      </c>
      <c r="R172" s="90">
        <f t="shared" si="344"/>
        <v>4</v>
      </c>
      <c r="S172" s="121">
        <f>IF(R172=1,Cal!$AB$127,0)</f>
        <v>0</v>
      </c>
      <c r="U172" s="70">
        <f t="shared" si="408"/>
        <v>0</v>
      </c>
      <c r="V172" s="2178">
        <f t="shared" ca="1" si="345"/>
        <v>0</v>
      </c>
      <c r="X172" s="398"/>
      <c r="Z172" s="268">
        <f t="shared" si="311"/>
        <v>0</v>
      </c>
      <c r="AA172" s="2176">
        <f t="shared" si="346"/>
        <v>0</v>
      </c>
      <c r="AB172" s="33">
        <f t="shared" si="347"/>
        <v>0</v>
      </c>
      <c r="AC172" s="33">
        <f t="shared" si="348"/>
        <v>0</v>
      </c>
      <c r="AD172" s="33">
        <f>IF(AI171&lt;0.01,0,IF(Adm!$S$4=Adm!$S$8,AI171*$AI$15,AI171*Adm!$V$4))</f>
        <v>0</v>
      </c>
      <c r="AE172" s="33"/>
      <c r="AF172" s="33"/>
      <c r="AG172" s="33">
        <f t="shared" si="312"/>
        <v>0</v>
      </c>
      <c r="AH172" s="33"/>
      <c r="AI172" s="401">
        <f t="shared" si="313"/>
        <v>0</v>
      </c>
      <c r="AK172" s="410">
        <f t="shared" si="314"/>
        <v>0</v>
      </c>
      <c r="AN172" s="90">
        <f t="shared" si="349"/>
        <v>4</v>
      </c>
      <c r="AO172" s="121">
        <f>IF(AN172=1,Cal!$AC$127,0)</f>
        <v>0</v>
      </c>
      <c r="AS172" s="200"/>
      <c r="AU172" s="268">
        <f t="shared" si="315"/>
        <v>0</v>
      </c>
      <c r="AV172" s="2177">
        <f t="shared" si="350"/>
        <v>0</v>
      </c>
      <c r="AW172" s="123">
        <f t="shared" si="316"/>
        <v>0</v>
      </c>
      <c r="AX172" s="123">
        <f t="shared" si="351"/>
        <v>0</v>
      </c>
      <c r="AY172" s="123">
        <f>IF(BC171&lt;0.01,0,IF(Adm!$S$4=Adm!$S$8,BC171*$BC$16,BC171*Adm!$V$4))</f>
        <v>0</v>
      </c>
      <c r="AZ172" s="123"/>
      <c r="BA172" s="123">
        <f>IF(BC171&lt;0.01,0,Adm!$Q$6)</f>
        <v>0</v>
      </c>
      <c r="BB172" s="123">
        <f t="shared" si="317"/>
        <v>0</v>
      </c>
      <c r="BC172" s="297">
        <f t="shared" si="352"/>
        <v>0</v>
      </c>
      <c r="BE172" s="425">
        <f t="shared" si="318"/>
        <v>0</v>
      </c>
      <c r="BH172" s="90">
        <f t="shared" si="353"/>
        <v>4</v>
      </c>
      <c r="BI172" s="121">
        <f>IF(BH172=1,Cal!$AD$127,0)</f>
        <v>0</v>
      </c>
      <c r="BM172" s="221"/>
      <c r="BO172" s="295">
        <f t="shared" ca="1" si="319"/>
        <v>7</v>
      </c>
      <c r="BP172" s="268">
        <f t="shared" si="320"/>
        <v>0</v>
      </c>
      <c r="BQ172" s="123">
        <f t="shared" si="354"/>
        <v>0</v>
      </c>
      <c r="BR172" s="123">
        <f t="shared" si="434"/>
        <v>0</v>
      </c>
      <c r="BS172" s="123">
        <f t="shared" ref="BS172:BS235" si="444">IF(BZ171&lt;0.1,0,MIN(BZ171+BQ172,BS171*(1+CG172)))</f>
        <v>0</v>
      </c>
      <c r="BT172" s="123">
        <f>IF(BZ171&lt;0.01,0,IF(Plus!$F$22=Plus!$AN$4,BZ171*$BZ$15,IF(Plus!$F$22=Plus!$AN$3,BZ171*Plus!$F$23/1000,BZ171*VLOOKUP(Plus!$G$21,Plus!$AP$2:'Plus'!$AQ$5,2,0))))</f>
        <v>0</v>
      </c>
      <c r="BU172" s="123">
        <f>IF(BZ171&lt;0.01,0,IF(Plus!$F$24=Plus!$AO$3,Plus!$G$13*Plus!$AR$2/1.16,IF(Plus!$F$10=Plus!$AK$7,0,Plus!$G$13*Plus!$AR$2/1.16)))</f>
        <v>0</v>
      </c>
      <c r="BV172" s="123">
        <f>IF(BZ171&lt;0.01,0,Plus!$BD$2)</f>
        <v>0</v>
      </c>
      <c r="BW172" s="123"/>
      <c r="BX172" s="123">
        <f t="shared" si="321"/>
        <v>0</v>
      </c>
      <c r="BY172" s="123">
        <f>IF(Plus!$F$10=Plus!$AK$3,MIN(BZ171+BQ172+BT172+BU172+BV172-BX172,CJ172),0)</f>
        <v>0</v>
      </c>
      <c r="BZ172" s="297">
        <f t="shared" si="428"/>
        <v>0</v>
      </c>
      <c r="CA172" s="74"/>
      <c r="CB172" s="74"/>
      <c r="CC172" s="413">
        <f t="shared" si="355"/>
        <v>0</v>
      </c>
      <c r="CF172" s="90">
        <f t="shared" si="356"/>
        <v>4</v>
      </c>
      <c r="CG172" s="121">
        <f t="shared" si="409"/>
        <v>0</v>
      </c>
      <c r="CI172" s="70">
        <f t="shared" si="410"/>
        <v>0</v>
      </c>
      <c r="CJ172" s="2178">
        <f t="shared" ca="1" si="357"/>
        <v>0</v>
      </c>
      <c r="CL172" s="161"/>
      <c r="CN172" s="308">
        <f t="shared" ca="1" si="322"/>
        <v>7</v>
      </c>
      <c r="CO172" s="309">
        <f t="shared" si="358"/>
        <v>0</v>
      </c>
      <c r="CP172" s="268">
        <f t="shared" si="323"/>
        <v>0</v>
      </c>
      <c r="CQ172" s="123">
        <f t="shared" si="359"/>
        <v>0</v>
      </c>
      <c r="CR172" s="123">
        <f t="shared" si="435"/>
        <v>0</v>
      </c>
      <c r="CS172" s="123">
        <f t="shared" si="436"/>
        <v>0</v>
      </c>
      <c r="CT172" s="33">
        <f>IF(CZ171&lt;0.01,0,IF(Plus!$F$22=Plus!$AN$4,0,IF(Plus!$F$22=Plus!$AN$3,CZ171*Plus!$F$23/1000,CZ171*VLOOKUP(Plus!$G$21,Plus!$AP$2:'Plus'!$AQ$5,2,0))))</f>
        <v>0</v>
      </c>
      <c r="CU172" s="123">
        <f>IF(CZ171&lt;0.01,0,IF(Plus!$F$24=Plus!$AO$3,0,IF(OR(Plus!$F$10=Plus!$AK$7,Plus!$F$10=Plus!$AK$13),0,Plus!$G$13*Plus!$AR$2)))</f>
        <v>0</v>
      </c>
      <c r="CV172" s="123">
        <f>IF(CZ171&lt;0.01,0,IF(OR(Plus!$F$10=Plus!$AK$7,Plus!$F$10=Plus!$AK$13),0,Plus!$BD$2*1.16))</f>
        <v>0</v>
      </c>
      <c r="CW172" s="123">
        <f>IF(CZ171&lt;0.01,0,IF(Plus!$AS$2&gt;0,CQ172*Plus!$AS$3,0))</f>
        <v>0</v>
      </c>
      <c r="CX172" s="123">
        <f t="shared" si="360"/>
        <v>0</v>
      </c>
      <c r="CY172" s="123">
        <f>IF(Plus!$F$10=Plus!$AK$3,MIN(CZ171+CQ172+CT172+CU172+CV172-CX172,DK172),0)</f>
        <v>0</v>
      </c>
      <c r="CZ172" s="297">
        <f t="shared" si="440"/>
        <v>0</v>
      </c>
      <c r="DA172" s="306">
        <f>Plus!O213</f>
        <v>0</v>
      </c>
      <c r="DB172" s="74"/>
      <c r="DC172" s="74"/>
      <c r="DD172" s="407">
        <f t="shared" si="361"/>
        <v>0</v>
      </c>
      <c r="DG172" s="90">
        <f t="shared" si="362"/>
        <v>4</v>
      </c>
      <c r="DH172" s="121">
        <f t="shared" si="411"/>
        <v>0</v>
      </c>
      <c r="DJ172" s="149">
        <f t="shared" si="412"/>
        <v>0</v>
      </c>
      <c r="DK172" s="2179">
        <f t="shared" ca="1" si="363"/>
        <v>0</v>
      </c>
      <c r="DN172" s="120">
        <f t="shared" si="413"/>
        <v>0</v>
      </c>
      <c r="DO172" s="110">
        <f t="shared" si="364"/>
        <v>0</v>
      </c>
      <c r="DP172" s="110">
        <f t="shared" si="422"/>
        <v>0</v>
      </c>
      <c r="DQ172" s="109">
        <f t="shared" si="365"/>
        <v>0</v>
      </c>
      <c r="DR172" s="109">
        <f t="shared" si="366"/>
        <v>0</v>
      </c>
      <c r="DS172" s="113">
        <f t="shared" si="367"/>
        <v>0</v>
      </c>
      <c r="DU172" s="102">
        <f t="shared" si="368"/>
        <v>0</v>
      </c>
      <c r="DV172" s="211">
        <f t="shared" si="423"/>
        <v>148</v>
      </c>
      <c r="DW172" s="212">
        <f t="shared" si="369"/>
        <v>0</v>
      </c>
      <c r="DX172" s="212">
        <f t="shared" si="324"/>
        <v>0</v>
      </c>
      <c r="DY172" s="212">
        <f t="shared" si="414"/>
        <v>0</v>
      </c>
      <c r="DZ172" s="213">
        <f t="shared" si="325"/>
        <v>1000000</v>
      </c>
      <c r="ED172" s="182"/>
      <c r="EF172" s="308">
        <f t="shared" ca="1" si="326"/>
        <v>7</v>
      </c>
      <c r="EG172" s="309">
        <f t="shared" si="370"/>
        <v>0</v>
      </c>
      <c r="EH172" s="268">
        <f t="shared" si="327"/>
        <v>0</v>
      </c>
      <c r="EI172" s="33">
        <f t="shared" si="371"/>
        <v>0</v>
      </c>
      <c r="EJ172" s="33">
        <f t="shared" si="437"/>
        <v>0</v>
      </c>
      <c r="EK172" s="33">
        <f t="shared" ref="EK172:EK235" si="445">IF(ER170&lt;0.1,0,MIN(ER171+EI172,IF(FE172&gt;0,FE172,EK171*(1+EZ172))))</f>
        <v>0</v>
      </c>
      <c r="EL172" s="33">
        <f>IF(ER171&lt;0.01,0,IF(Plus!$F$22=Plus!$AN$4,0,IF(Plus!$F$22=Plus!$AN$3,ER171*Plus!$F$23/1000,ER171*VLOOKUP(Plus!$G$21,Plus!$AP$2:'Plus'!$AQ$5,2,0))))</f>
        <v>0</v>
      </c>
      <c r="EM172" s="33">
        <f>IF(ER171&lt;0.01,0,IF(Plus!$F$24=Plus!$AO$3,0,IF(OR(Plus!$F$10=Plus!$AK$7,Plus!$F$10=Plus!$AK$13),0,Plus!$G$13*Plus!$AR$2)))</f>
        <v>0</v>
      </c>
      <c r="EN172" s="33">
        <f>IF(ER171&lt;0.01,0,IF(OR(Plus!$F$10=Plus!$AK$7,Plus!$F$10=Plus!$AK$13),0,Plus!$BD$2*1.16))</f>
        <v>0</v>
      </c>
      <c r="EO172" s="33">
        <f>IF(ER171&lt;0.01,0,IF(Plus!$AS$2&gt;0,EI172*Plus!$AS$3,0))</f>
        <v>0</v>
      </c>
      <c r="EP172" s="33">
        <f t="shared" si="372"/>
        <v>0</v>
      </c>
      <c r="EQ172" s="33">
        <f>IF(Plus!$F$10=Plus!$AK$3,MIN(ER171+EI172+EL172+EM172+EN172-EP172,FC172),0)</f>
        <v>0</v>
      </c>
      <c r="ER172" s="311">
        <f t="shared" si="431"/>
        <v>0</v>
      </c>
      <c r="ES172" s="340">
        <f>Plus!O213</f>
        <v>0</v>
      </c>
      <c r="ET172" s="74"/>
      <c r="EU172" s="74"/>
      <c r="EV172" s="416">
        <f t="shared" si="429"/>
        <v>0</v>
      </c>
      <c r="EY172" s="90">
        <f t="shared" si="373"/>
        <v>4</v>
      </c>
      <c r="EZ172" s="121">
        <f t="shared" si="415"/>
        <v>0</v>
      </c>
      <c r="FB172" s="149">
        <f t="shared" si="416"/>
        <v>0</v>
      </c>
      <c r="FC172" s="2179">
        <f t="shared" ca="1" si="374"/>
        <v>0</v>
      </c>
      <c r="FE172" s="120">
        <f t="shared" si="417"/>
        <v>0</v>
      </c>
      <c r="FF172" s="110">
        <f t="shared" si="375"/>
        <v>0</v>
      </c>
      <c r="FG172" s="110">
        <f t="shared" si="376"/>
        <v>0</v>
      </c>
      <c r="FH172" s="109">
        <f t="shared" si="377"/>
        <v>0</v>
      </c>
      <c r="FI172" s="109">
        <f t="shared" si="328"/>
        <v>0</v>
      </c>
      <c r="FJ172" s="113">
        <f t="shared" si="378"/>
        <v>0</v>
      </c>
      <c r="FL172" s="102">
        <f t="shared" si="379"/>
        <v>0</v>
      </c>
      <c r="FM172" s="211">
        <f t="shared" si="424"/>
        <v>148</v>
      </c>
      <c r="FN172" s="212">
        <f t="shared" si="380"/>
        <v>0</v>
      </c>
      <c r="FO172" s="212">
        <f t="shared" si="329"/>
        <v>0</v>
      </c>
      <c r="FP172" s="212">
        <f t="shared" si="441"/>
        <v>0</v>
      </c>
      <c r="FQ172" s="213">
        <f t="shared" si="330"/>
        <v>1000000</v>
      </c>
      <c r="FV172" s="359"/>
      <c r="FX172" s="308">
        <f t="shared" ca="1" si="331"/>
        <v>7</v>
      </c>
      <c r="FY172" s="309">
        <f t="shared" si="381"/>
        <v>0</v>
      </c>
      <c r="FZ172" s="268">
        <f t="shared" si="332"/>
        <v>0</v>
      </c>
      <c r="GA172" s="33">
        <f t="shared" si="382"/>
        <v>0</v>
      </c>
      <c r="GB172" s="33">
        <f t="shared" si="438"/>
        <v>0</v>
      </c>
      <c r="GC172" s="33">
        <f t="shared" si="439"/>
        <v>0</v>
      </c>
      <c r="GD172" s="33">
        <f>IF(GJ171&lt;0.01,0,IF(Plus!$F$22=Plus!$AN$4,0,IF(Plus!$F$22=Plus!$AN$3,GJ171*Plus!$F$23/1000,GJ171*VLOOKUP(Plus!$G$21,Plus!$AP$2:$AQ$5,2,0))))</f>
        <v>0</v>
      </c>
      <c r="GE172" s="33">
        <f>IF(GJ171&lt;0.01,0,IF(Plus!$F$24=Plus!$AO$3,0,IF(OR(Plus!$F$10=Plus!$AK$7,Plus!$F$10=Plus!$AK$13,Plus!$F$10=Plus!$AK$14),0,IF(OR(Plus!$F$10=Plus!$AK$10,Plus!$F$10=Plus!$AK$11),Plus!$G$13*Adm!$W$7,Plus!$G$13*Adm!$X$4))))</f>
        <v>0</v>
      </c>
      <c r="GF172" s="33">
        <f>IF(GJ171&lt;0.01,0,IF(OR(Plus!$F$10=Plus!$AK$7,Plus!$F$10=Plus!$AK$13),0,Plus!$BD$2*1.16))</f>
        <v>0</v>
      </c>
      <c r="GG172" s="33">
        <f>IF(GJ171&lt;0.01,0,IF(Plus!$AS$2&gt;0,GA172*Plus!$AS$3,0))</f>
        <v>0</v>
      </c>
      <c r="GH172" s="33">
        <f t="shared" si="383"/>
        <v>0</v>
      </c>
      <c r="GI172" s="33">
        <f>IF(Plus!$F$10=Plus!$AK$3,MIN(GJ171+GA172+GD172+GE172+GF172-GH172,GU172),0)</f>
        <v>0</v>
      </c>
      <c r="GJ172" s="311">
        <f t="shared" si="432"/>
        <v>0</v>
      </c>
      <c r="GK172" s="340">
        <f>Plus!O213</f>
        <v>0</v>
      </c>
      <c r="GL172" s="74"/>
      <c r="GM172" s="74"/>
      <c r="GN172" s="419">
        <f t="shared" si="430"/>
        <v>0</v>
      </c>
      <c r="GQ172" s="90">
        <f t="shared" si="384"/>
        <v>4</v>
      </c>
      <c r="GR172" s="121">
        <f t="shared" si="418"/>
        <v>0</v>
      </c>
      <c r="GT172" s="149">
        <f t="shared" si="419"/>
        <v>0</v>
      </c>
      <c r="GU172" s="2179">
        <f t="shared" ca="1" si="385"/>
        <v>0</v>
      </c>
      <c r="GW172" s="120">
        <f t="shared" si="420"/>
        <v>0</v>
      </c>
      <c r="GX172" s="110">
        <f t="shared" si="386"/>
        <v>0</v>
      </c>
      <c r="GY172" s="110">
        <f t="shared" si="387"/>
        <v>0</v>
      </c>
      <c r="GZ172" s="109">
        <f t="shared" si="388"/>
        <v>0</v>
      </c>
      <c r="HA172" s="109">
        <f t="shared" si="333"/>
        <v>0</v>
      </c>
      <c r="HB172" s="113">
        <f t="shared" si="389"/>
        <v>0</v>
      </c>
      <c r="HD172" s="102">
        <f t="shared" si="390"/>
        <v>0</v>
      </c>
      <c r="HE172" s="211">
        <f t="shared" si="425"/>
        <v>148</v>
      </c>
      <c r="HF172" s="212">
        <f t="shared" si="391"/>
        <v>0</v>
      </c>
      <c r="HG172" s="212">
        <f t="shared" si="334"/>
        <v>0</v>
      </c>
      <c r="HH172" s="212">
        <f t="shared" si="442"/>
        <v>0</v>
      </c>
      <c r="HI172" s="213">
        <f t="shared" si="335"/>
        <v>1000000</v>
      </c>
      <c r="HL172" s="182"/>
      <c r="HM172" s="26">
        <f t="shared" ca="1" si="336"/>
        <v>7</v>
      </c>
      <c r="HO172" s="268">
        <f t="shared" si="337"/>
        <v>0</v>
      </c>
      <c r="HP172" s="151">
        <f t="shared" si="302"/>
        <v>0</v>
      </c>
      <c r="HQ172" s="123">
        <f t="shared" si="392"/>
        <v>0</v>
      </c>
      <c r="HR172" s="123">
        <f t="shared" si="393"/>
        <v>0</v>
      </c>
      <c r="HS172" s="123">
        <f t="shared" si="394"/>
        <v>0</v>
      </c>
      <c r="HT172" s="123">
        <f>IF(HY171&lt;0.01,0,IF(Adm!$GS$4=Adm!$GS$8,HY171*$HY$15,IF(Adm!$GS$12=Adm!$GS$13,0,HY171*Adm!$GV$4)))</f>
        <v>0</v>
      </c>
      <c r="HU172" s="123">
        <f>IF(HY171&lt;0.01,0,IF(Adm!$GS$5=Adm!$GS$8,Cal!$BO$108*$HY$16/1.16,IF(Adm!$GS$12=Adm!$GS$13,0,Cal!$BO$108*Adm!$GW$4/1.16)))</f>
        <v>0</v>
      </c>
      <c r="HV172" s="123">
        <f t="shared" si="395"/>
        <v>0</v>
      </c>
      <c r="HW172" s="123">
        <f t="shared" si="338"/>
        <v>0</v>
      </c>
      <c r="HX172" s="123">
        <f>IF(Adm!$GH$6="si",MIN(HY171+HQ172+HT172+HU172+HV172-HW172,IH172),0)</f>
        <v>0</v>
      </c>
      <c r="HY172" s="297">
        <f t="shared" si="396"/>
        <v>0</v>
      </c>
      <c r="HZ172" s="74"/>
      <c r="IA172" s="407">
        <f t="shared" si="397"/>
        <v>0</v>
      </c>
      <c r="IC172" s="90">
        <f t="shared" si="398"/>
        <v>4</v>
      </c>
      <c r="ID172" s="124">
        <f>IF(IC172=1,Cal!$BO$127,0)</f>
        <v>0</v>
      </c>
      <c r="IE172" s="178">
        <f>IF(IC172=1,Adm!$HI$4,0)</f>
        <v>0</v>
      </c>
      <c r="IG172" s="70">
        <f t="shared" si="421"/>
        <v>0</v>
      </c>
      <c r="IH172" s="2178">
        <f t="shared" ca="1" si="399"/>
        <v>0</v>
      </c>
      <c r="IK172" s="217"/>
      <c r="IL172" s="26">
        <f t="shared" ca="1" si="339"/>
        <v>7</v>
      </c>
      <c r="IN172" s="268">
        <f t="shared" si="340"/>
        <v>0</v>
      </c>
      <c r="IO172" s="151">
        <f t="shared" si="303"/>
        <v>0</v>
      </c>
      <c r="IP172" s="123">
        <f t="shared" si="400"/>
        <v>0</v>
      </c>
      <c r="IQ172" s="123">
        <f t="shared" si="401"/>
        <v>0</v>
      </c>
      <c r="IR172" s="123">
        <f t="shared" si="402"/>
        <v>0</v>
      </c>
      <c r="IS172" s="123">
        <f>IF(IX171&lt;0.01,0,IF(Adm!$GS$4=Adm!$GS$8,IX171*$IX$15,IF(Adm!$GS$12=Adm!$GS$13,0,IX171*Adm!$GV$4)))</f>
        <v>0</v>
      </c>
      <c r="IT172" s="123"/>
      <c r="IU172" s="123">
        <f t="shared" si="403"/>
        <v>0</v>
      </c>
      <c r="IV172" s="123">
        <f t="shared" si="404"/>
        <v>0</v>
      </c>
      <c r="IW172" s="123"/>
      <c r="IX172" s="297">
        <f t="shared" si="405"/>
        <v>0</v>
      </c>
      <c r="IY172" s="74"/>
      <c r="IZ172" s="416">
        <f t="shared" si="406"/>
        <v>0</v>
      </c>
      <c r="JB172" s="90">
        <f t="shared" si="407"/>
        <v>4</v>
      </c>
      <c r="JC172" s="124">
        <f>IF(JB172=1,Cal!$BP$127,0)</f>
        <v>0</v>
      </c>
      <c r="JD172" s="178">
        <f>IF(JB172=1,Adm!$HI$4,0)</f>
        <v>0</v>
      </c>
    </row>
    <row r="173" spans="1:264">
      <c r="A173" s="26">
        <f t="shared" ca="1" si="308"/>
        <v>8</v>
      </c>
      <c r="C173" s="33">
        <f t="shared" si="309"/>
        <v>0</v>
      </c>
      <c r="D173" s="123">
        <f t="shared" si="341"/>
        <v>0</v>
      </c>
      <c r="E173" s="123">
        <f t="shared" si="433"/>
        <v>0</v>
      </c>
      <c r="F173" s="123">
        <f t="shared" si="443"/>
        <v>0</v>
      </c>
      <c r="G173" s="123">
        <f>IF(L172&lt;0.01,0,IF(Adm!$S$4=Adm!$S$8,L172*$L$15,L172*Adm!$V$4))</f>
        <v>0</v>
      </c>
      <c r="H173" s="123">
        <f>IF(L172&lt;0.01,0,IF(Adm!$S$5=Adm!$S$8,Adm!$AA$11*$L$16/1.16,IF(Adm!$B$4=Adm!$A$119,0,Adm!$AA$11*Adm!$X$4/1.16)))</f>
        <v>0</v>
      </c>
      <c r="I173" s="123">
        <f>IF(L172&lt;0.01,0,Cal!$AB$126/1.16)</f>
        <v>0</v>
      </c>
      <c r="J173" s="123">
        <f t="shared" si="310"/>
        <v>0</v>
      </c>
      <c r="K173" s="123">
        <f>IF(Adm!$G$4="si",MIN(L172+D173+G173+H173+I173-J173,V173),0)</f>
        <v>0</v>
      </c>
      <c r="L173" s="123">
        <f t="shared" si="342"/>
        <v>0</v>
      </c>
      <c r="M173" s="74"/>
      <c r="N173" s="74"/>
      <c r="O173" s="407">
        <f t="shared" si="343"/>
        <v>0</v>
      </c>
      <c r="R173" s="90">
        <f t="shared" si="344"/>
        <v>5</v>
      </c>
      <c r="S173" s="121">
        <f>IF(R173=1,Cal!$AB$127,0)</f>
        <v>0</v>
      </c>
      <c r="U173" s="70">
        <f t="shared" si="408"/>
        <v>0</v>
      </c>
      <c r="V173" s="2178">
        <f t="shared" ca="1" si="345"/>
        <v>0</v>
      </c>
      <c r="X173" s="398"/>
      <c r="Z173" s="268">
        <f t="shared" si="311"/>
        <v>0</v>
      </c>
      <c r="AA173" s="2176">
        <f t="shared" si="346"/>
        <v>0</v>
      </c>
      <c r="AB173" s="33">
        <f t="shared" si="347"/>
        <v>0</v>
      </c>
      <c r="AC173" s="33">
        <f t="shared" si="348"/>
        <v>0</v>
      </c>
      <c r="AD173" s="33">
        <f>IF(AI172&lt;0.01,0,IF(Adm!$S$4=Adm!$S$8,AI172*$AI$15,AI172*Adm!$V$4))</f>
        <v>0</v>
      </c>
      <c r="AE173" s="33"/>
      <c r="AF173" s="33"/>
      <c r="AG173" s="33">
        <f t="shared" si="312"/>
        <v>0</v>
      </c>
      <c r="AH173" s="33"/>
      <c r="AI173" s="401">
        <f t="shared" si="313"/>
        <v>0</v>
      </c>
      <c r="AK173" s="410">
        <f t="shared" si="314"/>
        <v>0</v>
      </c>
      <c r="AN173" s="90">
        <f t="shared" si="349"/>
        <v>5</v>
      </c>
      <c r="AO173" s="121">
        <f>IF(AN173=1,Cal!$AC$127,0)</f>
        <v>0</v>
      </c>
      <c r="AS173" s="200"/>
      <c r="AU173" s="268">
        <f t="shared" si="315"/>
        <v>0</v>
      </c>
      <c r="AV173" s="2177">
        <f t="shared" si="350"/>
        <v>0</v>
      </c>
      <c r="AW173" s="123">
        <f t="shared" si="316"/>
        <v>0</v>
      </c>
      <c r="AX173" s="123">
        <f t="shared" si="351"/>
        <v>0</v>
      </c>
      <c r="AY173" s="123">
        <f>IF(BC172&lt;0.01,0,IF(Adm!$S$4=Adm!$S$8,BC172*$BC$16,BC172*Adm!$V$4))</f>
        <v>0</v>
      </c>
      <c r="AZ173" s="123"/>
      <c r="BA173" s="123">
        <f>IF(BC172&lt;0.01,0,Adm!$Q$6)</f>
        <v>0</v>
      </c>
      <c r="BB173" s="123">
        <f t="shared" si="317"/>
        <v>0</v>
      </c>
      <c r="BC173" s="297">
        <f t="shared" si="352"/>
        <v>0</v>
      </c>
      <c r="BE173" s="425">
        <f t="shared" si="318"/>
        <v>0</v>
      </c>
      <c r="BH173" s="90">
        <f t="shared" si="353"/>
        <v>5</v>
      </c>
      <c r="BI173" s="121">
        <f>IF(BH173=1,Cal!$AD$127,0)</f>
        <v>0</v>
      </c>
      <c r="BM173" s="221"/>
      <c r="BO173" s="295">
        <f t="shared" ca="1" si="319"/>
        <v>8</v>
      </c>
      <c r="BP173" s="268">
        <f t="shared" si="320"/>
        <v>0</v>
      </c>
      <c r="BQ173" s="123">
        <f t="shared" si="354"/>
        <v>0</v>
      </c>
      <c r="BR173" s="123">
        <f t="shared" si="434"/>
        <v>0</v>
      </c>
      <c r="BS173" s="123">
        <f t="shared" si="444"/>
        <v>0</v>
      </c>
      <c r="BT173" s="123">
        <f>IF(BZ172&lt;0.01,0,IF(Plus!$F$22=Plus!$AN$4,BZ172*$BZ$15,IF(Plus!$F$22=Plus!$AN$3,BZ172*Plus!$F$23/1000,BZ172*VLOOKUP(Plus!$G$21,Plus!$AP$2:'Plus'!$AQ$5,2,0))))</f>
        <v>0</v>
      </c>
      <c r="BU173" s="123">
        <f>IF(BZ172&lt;0.01,0,IF(Plus!$F$24=Plus!$AO$3,Plus!$G$13*Plus!$AR$2/1.16,IF(Plus!$F$10=Plus!$AK$7,0,Plus!$G$13*Plus!$AR$2/1.16)))</f>
        <v>0</v>
      </c>
      <c r="BV173" s="123">
        <f>IF(BZ172&lt;0.01,0,Plus!$BD$2)</f>
        <v>0</v>
      </c>
      <c r="BW173" s="123"/>
      <c r="BX173" s="123">
        <f t="shared" si="321"/>
        <v>0</v>
      </c>
      <c r="BY173" s="123">
        <f>IF(Plus!$F$10=Plus!$AK$3,MIN(BZ172+BQ173+BT173+BU173+BV173-BX173,CJ173),0)</f>
        <v>0</v>
      </c>
      <c r="BZ173" s="297">
        <f t="shared" si="428"/>
        <v>0</v>
      </c>
      <c r="CA173" s="74"/>
      <c r="CB173" s="74"/>
      <c r="CC173" s="413">
        <f t="shared" si="355"/>
        <v>0</v>
      </c>
      <c r="CF173" s="90">
        <f t="shared" si="356"/>
        <v>5</v>
      </c>
      <c r="CG173" s="121">
        <f t="shared" si="409"/>
        <v>0</v>
      </c>
      <c r="CI173" s="70">
        <f t="shared" si="410"/>
        <v>0</v>
      </c>
      <c r="CJ173" s="2178">
        <f t="shared" ca="1" si="357"/>
        <v>0</v>
      </c>
      <c r="CL173" s="161"/>
      <c r="CN173" s="308">
        <f t="shared" ca="1" si="322"/>
        <v>8</v>
      </c>
      <c r="CO173" s="309">
        <f t="shared" si="358"/>
        <v>0</v>
      </c>
      <c r="CP173" s="268">
        <f t="shared" si="323"/>
        <v>0</v>
      </c>
      <c r="CQ173" s="123">
        <f t="shared" si="359"/>
        <v>0</v>
      </c>
      <c r="CR173" s="123">
        <f t="shared" si="435"/>
        <v>0</v>
      </c>
      <c r="CS173" s="123">
        <f t="shared" si="436"/>
        <v>0</v>
      </c>
      <c r="CT173" s="33">
        <f>IF(CZ172&lt;0.01,0,IF(Plus!$F$22=Plus!$AN$4,0,IF(Plus!$F$22=Plus!$AN$3,CZ172*Plus!$F$23/1000,CZ172*VLOOKUP(Plus!$G$21,Plus!$AP$2:'Plus'!$AQ$5,2,0))))</f>
        <v>0</v>
      </c>
      <c r="CU173" s="123">
        <f>IF(CZ172&lt;0.01,0,IF(Plus!$F$24=Plus!$AO$3,0,IF(OR(Plus!$F$10=Plus!$AK$7,Plus!$F$10=Plus!$AK$13),0,Plus!$G$13*Plus!$AR$2)))</f>
        <v>0</v>
      </c>
      <c r="CV173" s="123">
        <f>IF(CZ172&lt;0.01,0,IF(OR(Plus!$F$10=Plus!$AK$7,Plus!$F$10=Plus!$AK$13),0,Plus!$BD$2*1.16))</f>
        <v>0</v>
      </c>
      <c r="CW173" s="123">
        <f>IF(CZ172&lt;0.01,0,IF(Plus!$AS$2&gt;0,CQ173*Plus!$AS$3,0))</f>
        <v>0</v>
      </c>
      <c r="CX173" s="123">
        <f t="shared" si="360"/>
        <v>0</v>
      </c>
      <c r="CY173" s="123">
        <f>IF(Plus!$F$10=Plus!$AK$3,MIN(CZ172+CQ173+CT173+CU173+CV173-CX173,DK173),0)</f>
        <v>0</v>
      </c>
      <c r="CZ173" s="297">
        <f t="shared" si="440"/>
        <v>0</v>
      </c>
      <c r="DA173" s="306">
        <f>Plus!O214</f>
        <v>0</v>
      </c>
      <c r="DB173" s="74"/>
      <c r="DC173" s="74"/>
      <c r="DD173" s="407">
        <f t="shared" si="361"/>
        <v>0</v>
      </c>
      <c r="DG173" s="90">
        <f t="shared" si="362"/>
        <v>5</v>
      </c>
      <c r="DH173" s="121">
        <f t="shared" si="411"/>
        <v>0</v>
      </c>
      <c r="DJ173" s="149">
        <f t="shared" si="412"/>
        <v>0</v>
      </c>
      <c r="DK173" s="2179">
        <f t="shared" ca="1" si="363"/>
        <v>0</v>
      </c>
      <c r="DN173" s="120">
        <f t="shared" si="413"/>
        <v>0</v>
      </c>
      <c r="DO173" s="110">
        <f t="shared" si="364"/>
        <v>0</v>
      </c>
      <c r="DP173" s="110">
        <f t="shared" si="422"/>
        <v>0</v>
      </c>
      <c r="DQ173" s="109">
        <f t="shared" si="365"/>
        <v>0</v>
      </c>
      <c r="DR173" s="109">
        <f t="shared" si="366"/>
        <v>0</v>
      </c>
      <c r="DS173" s="113">
        <f t="shared" si="367"/>
        <v>0</v>
      </c>
      <c r="DU173" s="102">
        <f t="shared" si="368"/>
        <v>0</v>
      </c>
      <c r="DV173" s="211">
        <f t="shared" si="423"/>
        <v>149</v>
      </c>
      <c r="DW173" s="212">
        <f t="shared" si="369"/>
        <v>0</v>
      </c>
      <c r="DX173" s="212">
        <f t="shared" si="324"/>
        <v>0</v>
      </c>
      <c r="DY173" s="212">
        <f t="shared" si="414"/>
        <v>0</v>
      </c>
      <c r="DZ173" s="213">
        <f t="shared" si="325"/>
        <v>1000000</v>
      </c>
      <c r="ED173" s="182"/>
      <c r="EF173" s="308">
        <f t="shared" ca="1" si="326"/>
        <v>8</v>
      </c>
      <c r="EG173" s="309">
        <f t="shared" si="370"/>
        <v>0</v>
      </c>
      <c r="EH173" s="268">
        <f t="shared" si="327"/>
        <v>0</v>
      </c>
      <c r="EI173" s="33">
        <f t="shared" si="371"/>
        <v>0</v>
      </c>
      <c r="EJ173" s="33">
        <f t="shared" si="437"/>
        <v>0</v>
      </c>
      <c r="EK173" s="33">
        <f t="shared" si="445"/>
        <v>0</v>
      </c>
      <c r="EL173" s="33">
        <f>IF(ER172&lt;0.01,0,IF(Plus!$F$22=Plus!$AN$4,0,IF(Plus!$F$22=Plus!$AN$3,ER172*Plus!$F$23/1000,ER172*VLOOKUP(Plus!$G$21,Plus!$AP$2:'Plus'!$AQ$5,2,0))))</f>
        <v>0</v>
      </c>
      <c r="EM173" s="33">
        <f>IF(ER172&lt;0.01,0,IF(Plus!$F$24=Plus!$AO$3,0,IF(OR(Plus!$F$10=Plus!$AK$7,Plus!$F$10=Plus!$AK$13),0,Plus!$G$13*Plus!$AR$2)))</f>
        <v>0</v>
      </c>
      <c r="EN173" s="33">
        <f>IF(ER172&lt;0.01,0,IF(OR(Plus!$F$10=Plus!$AK$7,Plus!$F$10=Plus!$AK$13),0,Plus!$BD$2*1.16))</f>
        <v>0</v>
      </c>
      <c r="EO173" s="33">
        <f>IF(ER172&lt;0.01,0,IF(Plus!$AS$2&gt;0,EI173*Plus!$AS$3,0))</f>
        <v>0</v>
      </c>
      <c r="EP173" s="33">
        <f t="shared" si="372"/>
        <v>0</v>
      </c>
      <c r="EQ173" s="33">
        <f>IF(Plus!$F$10=Plus!$AK$3,MIN(ER172+EI173+EL173+EM173+EN173-EP173,FC173),0)</f>
        <v>0</v>
      </c>
      <c r="ER173" s="311">
        <f t="shared" si="431"/>
        <v>0</v>
      </c>
      <c r="ES173" s="340">
        <f>Plus!O214</f>
        <v>0</v>
      </c>
      <c r="ET173" s="74"/>
      <c r="EU173" s="74"/>
      <c r="EV173" s="416">
        <f t="shared" si="429"/>
        <v>0</v>
      </c>
      <c r="EY173" s="90">
        <f t="shared" si="373"/>
        <v>5</v>
      </c>
      <c r="EZ173" s="121">
        <f t="shared" si="415"/>
        <v>0</v>
      </c>
      <c r="FB173" s="149">
        <f t="shared" si="416"/>
        <v>0</v>
      </c>
      <c r="FC173" s="2179">
        <f t="shared" ca="1" si="374"/>
        <v>0</v>
      </c>
      <c r="FE173" s="120">
        <f t="shared" si="417"/>
        <v>0</v>
      </c>
      <c r="FF173" s="110">
        <f t="shared" si="375"/>
        <v>0</v>
      </c>
      <c r="FG173" s="110">
        <f t="shared" si="376"/>
        <v>0</v>
      </c>
      <c r="FH173" s="109">
        <f t="shared" si="377"/>
        <v>0</v>
      </c>
      <c r="FI173" s="109">
        <f t="shared" si="328"/>
        <v>0</v>
      </c>
      <c r="FJ173" s="113">
        <f t="shared" si="378"/>
        <v>0</v>
      </c>
      <c r="FL173" s="102">
        <f t="shared" si="379"/>
        <v>0</v>
      </c>
      <c r="FM173" s="211">
        <f t="shared" si="424"/>
        <v>149</v>
      </c>
      <c r="FN173" s="212">
        <f t="shared" si="380"/>
        <v>0</v>
      </c>
      <c r="FO173" s="212">
        <f t="shared" si="329"/>
        <v>0</v>
      </c>
      <c r="FP173" s="212">
        <f t="shared" si="441"/>
        <v>0</v>
      </c>
      <c r="FQ173" s="213">
        <f t="shared" si="330"/>
        <v>1000000</v>
      </c>
      <c r="FV173" s="359"/>
      <c r="FX173" s="308">
        <f t="shared" ca="1" si="331"/>
        <v>8</v>
      </c>
      <c r="FY173" s="309">
        <f t="shared" si="381"/>
        <v>0</v>
      </c>
      <c r="FZ173" s="268">
        <f t="shared" si="332"/>
        <v>0</v>
      </c>
      <c r="GA173" s="33">
        <f t="shared" si="382"/>
        <v>0</v>
      </c>
      <c r="GB173" s="33">
        <f t="shared" si="438"/>
        <v>0</v>
      </c>
      <c r="GC173" s="33">
        <f t="shared" si="439"/>
        <v>0</v>
      </c>
      <c r="GD173" s="33">
        <f>IF(GJ172&lt;0.01,0,IF(Plus!$F$22=Plus!$AN$4,0,IF(Plus!$F$22=Plus!$AN$3,GJ172*Plus!$F$23/1000,GJ172*VLOOKUP(Plus!$G$21,Plus!$AP$2:$AQ$5,2,0))))</f>
        <v>0</v>
      </c>
      <c r="GE173" s="33">
        <f>IF(GJ172&lt;0.01,0,IF(Plus!$F$24=Plus!$AO$3,0,IF(OR(Plus!$F$10=Plus!$AK$7,Plus!$F$10=Plus!$AK$13,Plus!$F$10=Plus!$AK$14),0,IF(OR(Plus!$F$10=Plus!$AK$10,Plus!$F$10=Plus!$AK$11),Plus!$G$13*Adm!$W$7,Plus!$G$13*Adm!$X$4))))</f>
        <v>0</v>
      </c>
      <c r="GF173" s="33">
        <f>IF(GJ172&lt;0.01,0,IF(OR(Plus!$F$10=Plus!$AK$7,Plus!$F$10=Plus!$AK$13),0,Plus!$BD$2*1.16))</f>
        <v>0</v>
      </c>
      <c r="GG173" s="33">
        <f>IF(GJ172&lt;0.01,0,IF(Plus!$AS$2&gt;0,GA173*Plus!$AS$3,0))</f>
        <v>0</v>
      </c>
      <c r="GH173" s="33">
        <f t="shared" si="383"/>
        <v>0</v>
      </c>
      <c r="GI173" s="33">
        <f>IF(Plus!$F$10=Plus!$AK$3,MIN(GJ172+GA173+GD173+GE173+GF173-GH173,GU173),0)</f>
        <v>0</v>
      </c>
      <c r="GJ173" s="311">
        <f t="shared" si="432"/>
        <v>0</v>
      </c>
      <c r="GK173" s="340">
        <f>Plus!O214</f>
        <v>0</v>
      </c>
      <c r="GL173" s="74"/>
      <c r="GM173" s="74"/>
      <c r="GN173" s="419">
        <f t="shared" si="430"/>
        <v>0</v>
      </c>
      <c r="GQ173" s="90">
        <f t="shared" si="384"/>
        <v>5</v>
      </c>
      <c r="GR173" s="121">
        <f t="shared" si="418"/>
        <v>0</v>
      </c>
      <c r="GT173" s="149">
        <f t="shared" si="419"/>
        <v>0</v>
      </c>
      <c r="GU173" s="2179">
        <f t="shared" ca="1" si="385"/>
        <v>0</v>
      </c>
      <c r="GW173" s="120">
        <f t="shared" si="420"/>
        <v>0</v>
      </c>
      <c r="GX173" s="110">
        <f t="shared" si="386"/>
        <v>0</v>
      </c>
      <c r="GY173" s="110">
        <f t="shared" si="387"/>
        <v>0</v>
      </c>
      <c r="GZ173" s="109">
        <f t="shared" si="388"/>
        <v>0</v>
      </c>
      <c r="HA173" s="109">
        <f t="shared" si="333"/>
        <v>0</v>
      </c>
      <c r="HB173" s="113">
        <f t="shared" si="389"/>
        <v>0</v>
      </c>
      <c r="HD173" s="102">
        <f t="shared" si="390"/>
        <v>0</v>
      </c>
      <c r="HE173" s="211">
        <f t="shared" si="425"/>
        <v>149</v>
      </c>
      <c r="HF173" s="212">
        <f t="shared" si="391"/>
        <v>0</v>
      </c>
      <c r="HG173" s="212">
        <f t="shared" si="334"/>
        <v>0</v>
      </c>
      <c r="HH173" s="212">
        <f t="shared" si="442"/>
        <v>0</v>
      </c>
      <c r="HI173" s="213">
        <f t="shared" si="335"/>
        <v>1000000</v>
      </c>
      <c r="HL173" s="182"/>
      <c r="HM173" s="26">
        <f t="shared" ca="1" si="336"/>
        <v>8</v>
      </c>
      <c r="HO173" s="268">
        <f t="shared" si="337"/>
        <v>0</v>
      </c>
      <c r="HP173" s="151">
        <f t="shared" si="302"/>
        <v>0</v>
      </c>
      <c r="HQ173" s="123">
        <f t="shared" si="392"/>
        <v>0</v>
      </c>
      <c r="HR173" s="123">
        <f t="shared" si="393"/>
        <v>0</v>
      </c>
      <c r="HS173" s="123">
        <f t="shared" si="394"/>
        <v>0</v>
      </c>
      <c r="HT173" s="123">
        <f>IF(HY172&lt;0.01,0,IF(Adm!$GS$4=Adm!$GS$8,HY172*$HY$15,IF(Adm!$GS$12=Adm!$GS$13,0,HY172*Adm!$GV$4)))</f>
        <v>0</v>
      </c>
      <c r="HU173" s="123">
        <f>IF(HY172&lt;0.01,0,IF(Adm!$GS$5=Adm!$GS$8,Cal!$BO$108*$HY$16/1.16,IF(Adm!$GS$12=Adm!$GS$13,0,Cal!$BO$108*Adm!$GW$4/1.16)))</f>
        <v>0</v>
      </c>
      <c r="HV173" s="123">
        <f t="shared" si="395"/>
        <v>0</v>
      </c>
      <c r="HW173" s="123">
        <f t="shared" si="338"/>
        <v>0</v>
      </c>
      <c r="HX173" s="123">
        <f>IF(Adm!$GH$6="si",MIN(HY172+HQ173+HT173+HU173+HV173-HW173,IH173),0)</f>
        <v>0</v>
      </c>
      <c r="HY173" s="297">
        <f t="shared" si="396"/>
        <v>0</v>
      </c>
      <c r="HZ173" s="74"/>
      <c r="IA173" s="407">
        <f t="shared" si="397"/>
        <v>0</v>
      </c>
      <c r="IC173" s="90">
        <f t="shared" si="398"/>
        <v>5</v>
      </c>
      <c r="ID173" s="124">
        <f>IF(IC173=1,Cal!$BO$127,0)</f>
        <v>0</v>
      </c>
      <c r="IE173" s="178">
        <f>IF(IC173=1,Adm!$HI$4,0)</f>
        <v>0</v>
      </c>
      <c r="IG173" s="70">
        <f t="shared" si="421"/>
        <v>0</v>
      </c>
      <c r="IH173" s="2178">
        <f t="shared" ca="1" si="399"/>
        <v>0</v>
      </c>
      <c r="IK173" s="217"/>
      <c r="IL173" s="26">
        <f t="shared" ca="1" si="339"/>
        <v>8</v>
      </c>
      <c r="IN173" s="268">
        <f t="shared" si="340"/>
        <v>0</v>
      </c>
      <c r="IO173" s="151">
        <f t="shared" si="303"/>
        <v>0</v>
      </c>
      <c r="IP173" s="123">
        <f t="shared" si="400"/>
        <v>0</v>
      </c>
      <c r="IQ173" s="123">
        <f t="shared" si="401"/>
        <v>0</v>
      </c>
      <c r="IR173" s="123">
        <f t="shared" si="402"/>
        <v>0</v>
      </c>
      <c r="IS173" s="123">
        <f>IF(IX172&lt;0.01,0,IF(Adm!$GS$4=Adm!$GS$8,IX172*$IX$15,IF(Adm!$GS$12=Adm!$GS$13,0,IX172*Adm!$GV$4)))</f>
        <v>0</v>
      </c>
      <c r="IT173" s="123"/>
      <c r="IU173" s="123">
        <f t="shared" si="403"/>
        <v>0</v>
      </c>
      <c r="IV173" s="123">
        <f t="shared" si="404"/>
        <v>0</v>
      </c>
      <c r="IW173" s="123"/>
      <c r="IX173" s="297">
        <f t="shared" si="405"/>
        <v>0</v>
      </c>
      <c r="IY173" s="74"/>
      <c r="IZ173" s="416">
        <f t="shared" si="406"/>
        <v>0</v>
      </c>
      <c r="JB173" s="90">
        <f t="shared" si="407"/>
        <v>5</v>
      </c>
      <c r="JC173" s="124">
        <f>IF(JB173=1,Cal!$BP$127,0)</f>
        <v>0</v>
      </c>
      <c r="JD173" s="178">
        <f>IF(JB173=1,Adm!$HI$4,0)</f>
        <v>0</v>
      </c>
    </row>
    <row r="174" spans="1:264">
      <c r="A174" s="26">
        <f t="shared" ca="1" si="308"/>
        <v>9</v>
      </c>
      <c r="C174" s="33">
        <f t="shared" si="309"/>
        <v>0</v>
      </c>
      <c r="D174" s="123">
        <f t="shared" si="341"/>
        <v>0</v>
      </c>
      <c r="E174" s="123">
        <f t="shared" si="433"/>
        <v>0</v>
      </c>
      <c r="F174" s="123">
        <f t="shared" si="443"/>
        <v>0</v>
      </c>
      <c r="G174" s="123">
        <f>IF(L173&lt;0.01,0,IF(Adm!$S$4=Adm!$S$8,L173*$L$15,L173*Adm!$V$4))</f>
        <v>0</v>
      </c>
      <c r="H174" s="123">
        <f>IF(L173&lt;0.01,0,IF(Adm!$S$5=Adm!$S$8,Adm!$AA$11*$L$16/1.16,IF(Adm!$B$4=Adm!$A$119,0,Adm!$AA$11*Adm!$X$4/1.16)))</f>
        <v>0</v>
      </c>
      <c r="I174" s="123">
        <f>IF(L173&lt;0.01,0,Cal!$AB$126/1.16)</f>
        <v>0</v>
      </c>
      <c r="J174" s="123">
        <f t="shared" si="310"/>
        <v>0</v>
      </c>
      <c r="K174" s="123">
        <f>IF(Adm!$G$4="si",MIN(L173+D174+G174+H174+I174-J174,V174),0)</f>
        <v>0</v>
      </c>
      <c r="L174" s="123">
        <f t="shared" si="342"/>
        <v>0</v>
      </c>
      <c r="M174" s="74"/>
      <c r="N174" s="74"/>
      <c r="O174" s="407">
        <f t="shared" si="343"/>
        <v>0</v>
      </c>
      <c r="R174" s="90">
        <f t="shared" si="344"/>
        <v>6</v>
      </c>
      <c r="S174" s="121">
        <f>IF(R174=1,Cal!$AB$127,0)</f>
        <v>0</v>
      </c>
      <c r="U174" s="70">
        <f t="shared" si="408"/>
        <v>0</v>
      </c>
      <c r="V174" s="2178">
        <f t="shared" ca="1" si="345"/>
        <v>0</v>
      </c>
      <c r="X174" s="398"/>
      <c r="Z174" s="268">
        <f t="shared" si="311"/>
        <v>0</v>
      </c>
      <c r="AA174" s="2176">
        <f t="shared" si="346"/>
        <v>0</v>
      </c>
      <c r="AB174" s="33">
        <f t="shared" si="347"/>
        <v>0</v>
      </c>
      <c r="AC174" s="33">
        <f t="shared" si="348"/>
        <v>0</v>
      </c>
      <c r="AD174" s="33">
        <f>IF(AI173&lt;0.01,0,IF(Adm!$S$4=Adm!$S$8,AI173*$AI$15,AI173*Adm!$V$4))</f>
        <v>0</v>
      </c>
      <c r="AE174" s="33"/>
      <c r="AF174" s="33"/>
      <c r="AG174" s="33">
        <f t="shared" si="312"/>
        <v>0</v>
      </c>
      <c r="AH174" s="33"/>
      <c r="AI174" s="401">
        <f t="shared" si="313"/>
        <v>0</v>
      </c>
      <c r="AK174" s="410">
        <f t="shared" si="314"/>
        <v>0</v>
      </c>
      <c r="AN174" s="90">
        <f t="shared" si="349"/>
        <v>6</v>
      </c>
      <c r="AO174" s="121">
        <f>IF(AN174=1,Cal!$AC$127,0)</f>
        <v>0</v>
      </c>
      <c r="AS174" s="200"/>
      <c r="AU174" s="268">
        <f t="shared" si="315"/>
        <v>0</v>
      </c>
      <c r="AV174" s="2177">
        <f t="shared" si="350"/>
        <v>0</v>
      </c>
      <c r="AW174" s="123">
        <f t="shared" si="316"/>
        <v>0</v>
      </c>
      <c r="AX174" s="123">
        <f t="shared" si="351"/>
        <v>0</v>
      </c>
      <c r="AY174" s="123">
        <f>IF(BC173&lt;0.01,0,IF(Adm!$S$4=Adm!$S$8,BC173*$BC$16,BC173*Adm!$V$4))</f>
        <v>0</v>
      </c>
      <c r="AZ174" s="123"/>
      <c r="BA174" s="123">
        <f>IF(BC173&lt;0.01,0,Adm!$Q$6)</f>
        <v>0</v>
      </c>
      <c r="BB174" s="123">
        <f t="shared" si="317"/>
        <v>0</v>
      </c>
      <c r="BC174" s="297">
        <f t="shared" si="352"/>
        <v>0</v>
      </c>
      <c r="BE174" s="425">
        <f t="shared" si="318"/>
        <v>0</v>
      </c>
      <c r="BH174" s="90">
        <f t="shared" si="353"/>
        <v>6</v>
      </c>
      <c r="BI174" s="121">
        <f>IF(BH174=1,Cal!$AD$127,0)</f>
        <v>0</v>
      </c>
      <c r="BM174" s="221"/>
      <c r="BO174" s="295">
        <f t="shared" ca="1" si="319"/>
        <v>9</v>
      </c>
      <c r="BP174" s="268">
        <f t="shared" si="320"/>
        <v>0</v>
      </c>
      <c r="BQ174" s="123">
        <f t="shared" si="354"/>
        <v>0</v>
      </c>
      <c r="BR174" s="123">
        <f t="shared" si="434"/>
        <v>0</v>
      </c>
      <c r="BS174" s="123">
        <f t="shared" si="444"/>
        <v>0</v>
      </c>
      <c r="BT174" s="123">
        <f>IF(BZ173&lt;0.01,0,IF(Plus!$F$22=Plus!$AN$4,BZ173*$BZ$15,IF(Plus!$F$22=Plus!$AN$3,BZ173*Plus!$F$23/1000,BZ173*VLOOKUP(Plus!$G$21,Plus!$AP$2:'Plus'!$AQ$5,2,0))))</f>
        <v>0</v>
      </c>
      <c r="BU174" s="123">
        <f>IF(BZ173&lt;0.01,0,IF(Plus!$F$24=Plus!$AO$3,Plus!$G$13*Plus!$AR$2/1.16,IF(Plus!$F$10=Plus!$AK$7,0,Plus!$G$13*Plus!$AR$2/1.16)))</f>
        <v>0</v>
      </c>
      <c r="BV174" s="123">
        <f>IF(BZ173&lt;0.01,0,Plus!$BD$2)</f>
        <v>0</v>
      </c>
      <c r="BW174" s="123"/>
      <c r="BX174" s="123">
        <f t="shared" si="321"/>
        <v>0</v>
      </c>
      <c r="BY174" s="123">
        <f>IF(Plus!$F$10=Plus!$AK$3,MIN(BZ173+BQ174+BT174+BU174+BV174-BX174,CJ174),0)</f>
        <v>0</v>
      </c>
      <c r="BZ174" s="297">
        <f t="shared" si="428"/>
        <v>0</v>
      </c>
      <c r="CA174" s="74"/>
      <c r="CB174" s="74"/>
      <c r="CC174" s="413">
        <f t="shared" si="355"/>
        <v>0</v>
      </c>
      <c r="CF174" s="90">
        <f t="shared" si="356"/>
        <v>6</v>
      </c>
      <c r="CG174" s="121">
        <f t="shared" si="409"/>
        <v>0</v>
      </c>
      <c r="CI174" s="70">
        <f t="shared" si="410"/>
        <v>0</v>
      </c>
      <c r="CJ174" s="2178">
        <f t="shared" ca="1" si="357"/>
        <v>0</v>
      </c>
      <c r="CL174" s="161"/>
      <c r="CN174" s="308">
        <f t="shared" ca="1" si="322"/>
        <v>9</v>
      </c>
      <c r="CO174" s="309">
        <f t="shared" si="358"/>
        <v>0</v>
      </c>
      <c r="CP174" s="268">
        <f t="shared" si="323"/>
        <v>0</v>
      </c>
      <c r="CQ174" s="123">
        <f t="shared" si="359"/>
        <v>0</v>
      </c>
      <c r="CR174" s="123">
        <f t="shared" si="435"/>
        <v>0</v>
      </c>
      <c r="CS174" s="123">
        <f t="shared" si="436"/>
        <v>0</v>
      </c>
      <c r="CT174" s="33">
        <f>IF(CZ173&lt;0.01,0,IF(Plus!$F$22=Plus!$AN$4,0,IF(Plus!$F$22=Plus!$AN$3,CZ173*Plus!$F$23/1000,CZ173*VLOOKUP(Plus!$G$21,Plus!$AP$2:'Plus'!$AQ$5,2,0))))</f>
        <v>0</v>
      </c>
      <c r="CU174" s="123">
        <f>IF(CZ173&lt;0.01,0,IF(Plus!$F$24=Plus!$AO$3,0,IF(OR(Plus!$F$10=Plus!$AK$7,Plus!$F$10=Plus!$AK$13),0,Plus!$G$13*Plus!$AR$2)))</f>
        <v>0</v>
      </c>
      <c r="CV174" s="123">
        <f>IF(CZ173&lt;0.01,0,IF(OR(Plus!$F$10=Plus!$AK$7,Plus!$F$10=Plus!$AK$13),0,Plus!$BD$2*1.16))</f>
        <v>0</v>
      </c>
      <c r="CW174" s="123">
        <f>IF(CZ173&lt;0.01,0,IF(Plus!$AS$2&gt;0,CQ174*Plus!$AS$3,0))</f>
        <v>0</v>
      </c>
      <c r="CX174" s="123">
        <f t="shared" si="360"/>
        <v>0</v>
      </c>
      <c r="CY174" s="123">
        <f>IF(Plus!$F$10=Plus!$AK$3,MIN(CZ173+CQ174+CT174+CU174+CV174-CX174,DK174),0)</f>
        <v>0</v>
      </c>
      <c r="CZ174" s="297">
        <f t="shared" si="440"/>
        <v>0</v>
      </c>
      <c r="DA174" s="306">
        <f>Plus!O215</f>
        <v>0</v>
      </c>
      <c r="DB174" s="74"/>
      <c r="DC174" s="74"/>
      <c r="DD174" s="407">
        <f t="shared" si="361"/>
        <v>0</v>
      </c>
      <c r="DG174" s="90">
        <f t="shared" si="362"/>
        <v>6</v>
      </c>
      <c r="DH174" s="121">
        <f t="shared" si="411"/>
        <v>0</v>
      </c>
      <c r="DJ174" s="149">
        <f t="shared" si="412"/>
        <v>0</v>
      </c>
      <c r="DK174" s="2179">
        <f t="shared" ca="1" si="363"/>
        <v>0</v>
      </c>
      <c r="DN174" s="120">
        <f t="shared" si="413"/>
        <v>0</v>
      </c>
      <c r="DO174" s="110">
        <f t="shared" si="364"/>
        <v>0</v>
      </c>
      <c r="DP174" s="110">
        <f t="shared" si="422"/>
        <v>0</v>
      </c>
      <c r="DQ174" s="109">
        <f t="shared" si="365"/>
        <v>0</v>
      </c>
      <c r="DR174" s="109">
        <f t="shared" si="366"/>
        <v>0</v>
      </c>
      <c r="DS174" s="113">
        <f t="shared" si="367"/>
        <v>0</v>
      </c>
      <c r="DU174" s="102">
        <f t="shared" si="368"/>
        <v>0</v>
      </c>
      <c r="DV174" s="211">
        <f t="shared" si="423"/>
        <v>150</v>
      </c>
      <c r="DW174" s="212">
        <f t="shared" si="369"/>
        <v>0</v>
      </c>
      <c r="DX174" s="212">
        <f t="shared" si="324"/>
        <v>0</v>
      </c>
      <c r="DY174" s="212">
        <f t="shared" si="414"/>
        <v>0</v>
      </c>
      <c r="DZ174" s="213">
        <f t="shared" si="325"/>
        <v>1000000</v>
      </c>
      <c r="ED174" s="182"/>
      <c r="EF174" s="308">
        <f t="shared" ca="1" si="326"/>
        <v>9</v>
      </c>
      <c r="EG174" s="309">
        <f t="shared" si="370"/>
        <v>0</v>
      </c>
      <c r="EH174" s="268">
        <f t="shared" si="327"/>
        <v>0</v>
      </c>
      <c r="EI174" s="33">
        <f t="shared" si="371"/>
        <v>0</v>
      </c>
      <c r="EJ174" s="33">
        <f t="shared" si="437"/>
        <v>0</v>
      </c>
      <c r="EK174" s="33">
        <f t="shared" si="445"/>
        <v>0</v>
      </c>
      <c r="EL174" s="33">
        <f>IF(ER173&lt;0.01,0,IF(Plus!$F$22=Plus!$AN$4,0,IF(Plus!$F$22=Plus!$AN$3,ER173*Plus!$F$23/1000,ER173*VLOOKUP(Plus!$G$21,Plus!$AP$2:'Plus'!$AQ$5,2,0))))</f>
        <v>0</v>
      </c>
      <c r="EM174" s="33">
        <f>IF(ER173&lt;0.01,0,IF(Plus!$F$24=Plus!$AO$3,0,IF(OR(Plus!$F$10=Plus!$AK$7,Plus!$F$10=Plus!$AK$13),0,Plus!$G$13*Plus!$AR$2)))</f>
        <v>0</v>
      </c>
      <c r="EN174" s="33">
        <f>IF(ER173&lt;0.01,0,IF(OR(Plus!$F$10=Plus!$AK$7,Plus!$F$10=Plus!$AK$13),0,Plus!$BD$2*1.16))</f>
        <v>0</v>
      </c>
      <c r="EO174" s="33">
        <f>IF(ER173&lt;0.01,0,IF(Plus!$AS$2&gt;0,EI174*Plus!$AS$3,0))</f>
        <v>0</v>
      </c>
      <c r="EP174" s="33">
        <f t="shared" si="372"/>
        <v>0</v>
      </c>
      <c r="EQ174" s="33">
        <f>IF(Plus!$F$10=Plus!$AK$3,MIN(ER173+EI174+EL174+EM174+EN174-EP174,FC174),0)</f>
        <v>0</v>
      </c>
      <c r="ER174" s="311">
        <f t="shared" si="431"/>
        <v>0</v>
      </c>
      <c r="ES174" s="340">
        <f>Plus!O215</f>
        <v>0</v>
      </c>
      <c r="ET174" s="74"/>
      <c r="EU174" s="74"/>
      <c r="EV174" s="416">
        <f t="shared" si="429"/>
        <v>0</v>
      </c>
      <c r="EY174" s="90">
        <f t="shared" si="373"/>
        <v>6</v>
      </c>
      <c r="EZ174" s="121">
        <f t="shared" si="415"/>
        <v>0</v>
      </c>
      <c r="FB174" s="149">
        <f t="shared" si="416"/>
        <v>0</v>
      </c>
      <c r="FC174" s="2179">
        <f t="shared" ca="1" si="374"/>
        <v>0</v>
      </c>
      <c r="FE174" s="120">
        <f t="shared" si="417"/>
        <v>0</v>
      </c>
      <c r="FF174" s="110">
        <f t="shared" si="375"/>
        <v>0</v>
      </c>
      <c r="FG174" s="110">
        <f t="shared" si="376"/>
        <v>0</v>
      </c>
      <c r="FH174" s="109">
        <f t="shared" si="377"/>
        <v>0</v>
      </c>
      <c r="FI174" s="109">
        <f t="shared" si="328"/>
        <v>0</v>
      </c>
      <c r="FJ174" s="113">
        <f t="shared" si="378"/>
        <v>0</v>
      </c>
      <c r="FL174" s="102">
        <f t="shared" si="379"/>
        <v>0</v>
      </c>
      <c r="FM174" s="211">
        <f t="shared" si="424"/>
        <v>150</v>
      </c>
      <c r="FN174" s="212">
        <f t="shared" si="380"/>
        <v>0</v>
      </c>
      <c r="FO174" s="212">
        <f t="shared" si="329"/>
        <v>0</v>
      </c>
      <c r="FP174" s="212">
        <f t="shared" si="441"/>
        <v>0</v>
      </c>
      <c r="FQ174" s="213">
        <f t="shared" si="330"/>
        <v>1000000</v>
      </c>
      <c r="FV174" s="359"/>
      <c r="FX174" s="308">
        <f t="shared" ca="1" si="331"/>
        <v>9</v>
      </c>
      <c r="FY174" s="309">
        <f t="shared" si="381"/>
        <v>0</v>
      </c>
      <c r="FZ174" s="268">
        <f t="shared" si="332"/>
        <v>0</v>
      </c>
      <c r="GA174" s="33">
        <f t="shared" si="382"/>
        <v>0</v>
      </c>
      <c r="GB174" s="33">
        <f t="shared" si="438"/>
        <v>0</v>
      </c>
      <c r="GC174" s="33">
        <f t="shared" si="439"/>
        <v>0</v>
      </c>
      <c r="GD174" s="33">
        <f>IF(GJ173&lt;0.01,0,IF(Plus!$F$22=Plus!$AN$4,0,IF(Plus!$F$22=Plus!$AN$3,GJ173*Plus!$F$23/1000,GJ173*VLOOKUP(Plus!$G$21,Plus!$AP$2:$AQ$5,2,0))))</f>
        <v>0</v>
      </c>
      <c r="GE174" s="33">
        <f>IF(GJ173&lt;0.01,0,IF(Plus!$F$24=Plus!$AO$3,0,IF(OR(Plus!$F$10=Plus!$AK$7,Plus!$F$10=Plus!$AK$13,Plus!$F$10=Plus!$AK$14),0,IF(OR(Plus!$F$10=Plus!$AK$10,Plus!$F$10=Plus!$AK$11),Plus!$G$13*Adm!$W$7,Plus!$G$13*Adm!$X$4))))</f>
        <v>0</v>
      </c>
      <c r="GF174" s="33">
        <f>IF(GJ173&lt;0.01,0,IF(OR(Plus!$F$10=Plus!$AK$7,Plus!$F$10=Plus!$AK$13),0,Plus!$BD$2*1.16))</f>
        <v>0</v>
      </c>
      <c r="GG174" s="33">
        <f>IF(GJ173&lt;0.01,0,IF(Plus!$AS$2&gt;0,GA174*Plus!$AS$3,0))</f>
        <v>0</v>
      </c>
      <c r="GH174" s="33">
        <f t="shared" si="383"/>
        <v>0</v>
      </c>
      <c r="GI174" s="33">
        <f>IF(Plus!$F$10=Plus!$AK$3,MIN(GJ173+GA174+GD174+GE174+GF174-GH174,GU174),0)</f>
        <v>0</v>
      </c>
      <c r="GJ174" s="311">
        <f t="shared" si="432"/>
        <v>0</v>
      </c>
      <c r="GK174" s="340">
        <f>Plus!O215</f>
        <v>0</v>
      </c>
      <c r="GL174" s="74"/>
      <c r="GM174" s="74"/>
      <c r="GN174" s="419">
        <f t="shared" si="430"/>
        <v>0</v>
      </c>
      <c r="GQ174" s="90">
        <f t="shared" si="384"/>
        <v>6</v>
      </c>
      <c r="GR174" s="121">
        <f t="shared" si="418"/>
        <v>0</v>
      </c>
      <c r="GT174" s="149">
        <f t="shared" si="419"/>
        <v>0</v>
      </c>
      <c r="GU174" s="2179">
        <f t="shared" ca="1" si="385"/>
        <v>0</v>
      </c>
      <c r="GW174" s="120">
        <f t="shared" si="420"/>
        <v>0</v>
      </c>
      <c r="GX174" s="110">
        <f t="shared" si="386"/>
        <v>0</v>
      </c>
      <c r="GY174" s="110">
        <f t="shared" si="387"/>
        <v>0</v>
      </c>
      <c r="GZ174" s="109">
        <f t="shared" si="388"/>
        <v>0</v>
      </c>
      <c r="HA174" s="109">
        <f t="shared" si="333"/>
        <v>0</v>
      </c>
      <c r="HB174" s="113">
        <f t="shared" si="389"/>
        <v>0</v>
      </c>
      <c r="HD174" s="102">
        <f t="shared" si="390"/>
        <v>0</v>
      </c>
      <c r="HE174" s="211">
        <f t="shared" si="425"/>
        <v>150</v>
      </c>
      <c r="HF174" s="212">
        <f t="shared" si="391"/>
        <v>0</v>
      </c>
      <c r="HG174" s="212">
        <f t="shared" si="334"/>
        <v>0</v>
      </c>
      <c r="HH174" s="212">
        <f t="shared" si="442"/>
        <v>0</v>
      </c>
      <c r="HI174" s="213">
        <f t="shared" si="335"/>
        <v>1000000</v>
      </c>
      <c r="HL174" s="182"/>
      <c r="HM174" s="26">
        <f t="shared" ca="1" si="336"/>
        <v>9</v>
      </c>
      <c r="HO174" s="268">
        <f t="shared" si="337"/>
        <v>0</v>
      </c>
      <c r="HP174" s="151">
        <f t="shared" si="302"/>
        <v>0</v>
      </c>
      <c r="HQ174" s="123">
        <f t="shared" si="392"/>
        <v>0</v>
      </c>
      <c r="HR174" s="123">
        <f t="shared" si="393"/>
        <v>0</v>
      </c>
      <c r="HS174" s="123">
        <f t="shared" si="394"/>
        <v>0</v>
      </c>
      <c r="HT174" s="123">
        <f>IF(HY173&lt;0.01,0,IF(Adm!$GS$4=Adm!$GS$8,HY173*$HY$15,IF(Adm!$GS$12=Adm!$GS$13,0,HY173*Adm!$GV$4)))</f>
        <v>0</v>
      </c>
      <c r="HU174" s="123">
        <f>IF(HY173&lt;0.01,0,IF(Adm!$GS$5=Adm!$GS$8,Cal!$BO$108*$HY$16/1.16,IF(Adm!$GS$12=Adm!$GS$13,0,Cal!$BO$108*Adm!$GW$4/1.16)))</f>
        <v>0</v>
      </c>
      <c r="HV174" s="123">
        <f t="shared" si="395"/>
        <v>0</v>
      </c>
      <c r="HW174" s="123">
        <f t="shared" si="338"/>
        <v>0</v>
      </c>
      <c r="HX174" s="123">
        <f>IF(Adm!$GH$6="si",MIN(HY173+HQ174+HT174+HU174+HV174-HW174,IH174),0)</f>
        <v>0</v>
      </c>
      <c r="HY174" s="297">
        <f t="shared" si="396"/>
        <v>0</v>
      </c>
      <c r="HZ174" s="74"/>
      <c r="IA174" s="407">
        <f t="shared" si="397"/>
        <v>0</v>
      </c>
      <c r="IC174" s="90">
        <f t="shared" si="398"/>
        <v>6</v>
      </c>
      <c r="ID174" s="124">
        <f>IF(IC174=1,Cal!$BO$127,0)</f>
        <v>0</v>
      </c>
      <c r="IE174" s="178">
        <f>IF(IC174=1,Adm!$HI$4,0)</f>
        <v>0</v>
      </c>
      <c r="IG174" s="70">
        <f t="shared" si="421"/>
        <v>0</v>
      </c>
      <c r="IH174" s="2178">
        <f t="shared" ca="1" si="399"/>
        <v>0</v>
      </c>
      <c r="IK174" s="217"/>
      <c r="IL174" s="26">
        <f t="shared" ca="1" si="339"/>
        <v>9</v>
      </c>
      <c r="IN174" s="268">
        <f t="shared" si="340"/>
        <v>0</v>
      </c>
      <c r="IO174" s="151">
        <f t="shared" si="303"/>
        <v>0</v>
      </c>
      <c r="IP174" s="123">
        <f t="shared" si="400"/>
        <v>0</v>
      </c>
      <c r="IQ174" s="123">
        <f t="shared" si="401"/>
        <v>0</v>
      </c>
      <c r="IR174" s="123">
        <f t="shared" si="402"/>
        <v>0</v>
      </c>
      <c r="IS174" s="123">
        <f>IF(IX173&lt;0.01,0,IF(Adm!$GS$4=Adm!$GS$8,IX173*$IX$15,IF(Adm!$GS$12=Adm!$GS$13,0,IX173*Adm!$GV$4)))</f>
        <v>0</v>
      </c>
      <c r="IT174" s="123"/>
      <c r="IU174" s="123">
        <f t="shared" si="403"/>
        <v>0</v>
      </c>
      <c r="IV174" s="123">
        <f t="shared" si="404"/>
        <v>0</v>
      </c>
      <c r="IW174" s="123"/>
      <c r="IX174" s="297">
        <f t="shared" si="405"/>
        <v>0</v>
      </c>
      <c r="IY174" s="74"/>
      <c r="IZ174" s="416">
        <f t="shared" si="406"/>
        <v>0</v>
      </c>
      <c r="JB174" s="90">
        <f t="shared" si="407"/>
        <v>6</v>
      </c>
      <c r="JC174" s="124">
        <f>IF(JB174=1,Cal!$BP$127,0)</f>
        <v>0</v>
      </c>
      <c r="JD174" s="178">
        <f>IF(JB174=1,Adm!$HI$4,0)</f>
        <v>0</v>
      </c>
    </row>
    <row r="175" spans="1:264">
      <c r="A175" s="26">
        <f t="shared" ca="1" si="308"/>
        <v>10</v>
      </c>
      <c r="C175" s="33">
        <f t="shared" si="309"/>
        <v>0</v>
      </c>
      <c r="D175" s="123">
        <f t="shared" si="341"/>
        <v>0</v>
      </c>
      <c r="E175" s="123">
        <f t="shared" si="433"/>
        <v>0</v>
      </c>
      <c r="F175" s="123">
        <f t="shared" si="443"/>
        <v>0</v>
      </c>
      <c r="G175" s="123">
        <f>IF(L174&lt;0.01,0,IF(Adm!$S$4=Adm!$S$8,L174*$L$15,L174*Adm!$V$4))</f>
        <v>0</v>
      </c>
      <c r="H175" s="123">
        <f>IF(L174&lt;0.01,0,IF(Adm!$S$5=Adm!$S$8,Adm!$AA$11*$L$16/1.16,IF(Adm!$B$4=Adm!$A$119,0,Adm!$AA$11*Adm!$X$4/1.16)))</f>
        <v>0</v>
      </c>
      <c r="I175" s="123">
        <f>IF(L174&lt;0.01,0,Cal!$AB$126/1.16)</f>
        <v>0</v>
      </c>
      <c r="J175" s="123">
        <f t="shared" si="310"/>
        <v>0</v>
      </c>
      <c r="K175" s="123">
        <f>IF(Adm!$G$4="si",MIN(L174+D175+G175+H175+I175-J175,V175),0)</f>
        <v>0</v>
      </c>
      <c r="L175" s="123">
        <f t="shared" si="342"/>
        <v>0</v>
      </c>
      <c r="M175" s="74"/>
      <c r="N175" s="74"/>
      <c r="O175" s="407">
        <f t="shared" si="343"/>
        <v>0</v>
      </c>
      <c r="R175" s="90">
        <f t="shared" si="344"/>
        <v>7</v>
      </c>
      <c r="S175" s="121">
        <f>IF(R175=1,Cal!$AB$127,0)</f>
        <v>0</v>
      </c>
      <c r="U175" s="70">
        <f t="shared" si="408"/>
        <v>0</v>
      </c>
      <c r="V175" s="2178">
        <f t="shared" ca="1" si="345"/>
        <v>0</v>
      </c>
      <c r="X175" s="398"/>
      <c r="Z175" s="268">
        <f t="shared" si="311"/>
        <v>0</v>
      </c>
      <c r="AA175" s="2176">
        <f t="shared" si="346"/>
        <v>0</v>
      </c>
      <c r="AB175" s="33">
        <f t="shared" si="347"/>
        <v>0</v>
      </c>
      <c r="AC175" s="33">
        <f t="shared" si="348"/>
        <v>0</v>
      </c>
      <c r="AD175" s="33">
        <f>IF(AI174&lt;0.01,0,IF(Adm!$S$4=Adm!$S$8,AI174*$AI$15,AI174*Adm!$V$4))</f>
        <v>0</v>
      </c>
      <c r="AE175" s="33"/>
      <c r="AF175" s="33"/>
      <c r="AG175" s="33">
        <f t="shared" si="312"/>
        <v>0</v>
      </c>
      <c r="AH175" s="33"/>
      <c r="AI175" s="401">
        <f t="shared" si="313"/>
        <v>0</v>
      </c>
      <c r="AK175" s="410">
        <f t="shared" si="314"/>
        <v>0</v>
      </c>
      <c r="AN175" s="90">
        <f t="shared" si="349"/>
        <v>7</v>
      </c>
      <c r="AO175" s="121">
        <f>IF(AN175=1,Cal!$AC$127,0)</f>
        <v>0</v>
      </c>
      <c r="AS175" s="200"/>
      <c r="AU175" s="268">
        <f t="shared" si="315"/>
        <v>0</v>
      </c>
      <c r="AV175" s="2177">
        <f t="shared" si="350"/>
        <v>0</v>
      </c>
      <c r="AW175" s="123">
        <f t="shared" si="316"/>
        <v>0</v>
      </c>
      <c r="AX175" s="123">
        <f t="shared" si="351"/>
        <v>0</v>
      </c>
      <c r="AY175" s="123">
        <f>IF(BC174&lt;0.01,0,IF(Adm!$S$4=Adm!$S$8,BC174*$BC$16,BC174*Adm!$V$4))</f>
        <v>0</v>
      </c>
      <c r="AZ175" s="123"/>
      <c r="BA175" s="123">
        <f>IF(BC174&lt;0.01,0,Adm!$Q$6)</f>
        <v>0</v>
      </c>
      <c r="BB175" s="123">
        <f t="shared" si="317"/>
        <v>0</v>
      </c>
      <c r="BC175" s="297">
        <f t="shared" si="352"/>
        <v>0</v>
      </c>
      <c r="BE175" s="425">
        <f t="shared" si="318"/>
        <v>0</v>
      </c>
      <c r="BH175" s="90">
        <f t="shared" si="353"/>
        <v>7</v>
      </c>
      <c r="BI175" s="121">
        <f>IF(BH175=1,Cal!$AD$127,0)</f>
        <v>0</v>
      </c>
      <c r="BM175" s="221"/>
      <c r="BO175" s="295">
        <f t="shared" ca="1" si="319"/>
        <v>10</v>
      </c>
      <c r="BP175" s="268">
        <f t="shared" si="320"/>
        <v>0</v>
      </c>
      <c r="BQ175" s="123">
        <f t="shared" si="354"/>
        <v>0</v>
      </c>
      <c r="BR175" s="123">
        <f t="shared" si="434"/>
        <v>0</v>
      </c>
      <c r="BS175" s="123">
        <f t="shared" si="444"/>
        <v>0</v>
      </c>
      <c r="BT175" s="123">
        <f>IF(BZ174&lt;0.01,0,IF(Plus!$F$22=Plus!$AN$4,BZ174*$BZ$15,IF(Plus!$F$22=Plus!$AN$3,BZ174*Plus!$F$23/1000,BZ174*VLOOKUP(Plus!$G$21,Plus!$AP$2:'Plus'!$AQ$5,2,0))))</f>
        <v>0</v>
      </c>
      <c r="BU175" s="123">
        <f>IF(BZ174&lt;0.01,0,IF(Plus!$F$24=Plus!$AO$3,Plus!$G$13*Plus!$AR$2/1.16,IF(Plus!$F$10=Plus!$AK$7,0,Plus!$G$13*Plus!$AR$2/1.16)))</f>
        <v>0</v>
      </c>
      <c r="BV175" s="123">
        <f>IF(BZ174&lt;0.01,0,Plus!$BD$2)</f>
        <v>0</v>
      </c>
      <c r="BW175" s="123"/>
      <c r="BX175" s="123">
        <f t="shared" si="321"/>
        <v>0</v>
      </c>
      <c r="BY175" s="123">
        <f>IF(Plus!$F$10=Plus!$AK$3,MIN(BZ174+BQ175+BT175+BU175+BV175-BX175,CJ175),0)</f>
        <v>0</v>
      </c>
      <c r="BZ175" s="297">
        <f t="shared" si="428"/>
        <v>0</v>
      </c>
      <c r="CA175" s="74"/>
      <c r="CB175" s="74"/>
      <c r="CC175" s="413">
        <f t="shared" si="355"/>
        <v>0</v>
      </c>
      <c r="CF175" s="90">
        <f t="shared" si="356"/>
        <v>7</v>
      </c>
      <c r="CG175" s="121">
        <f t="shared" si="409"/>
        <v>0</v>
      </c>
      <c r="CI175" s="70">
        <f t="shared" si="410"/>
        <v>0</v>
      </c>
      <c r="CJ175" s="2178">
        <f t="shared" ca="1" si="357"/>
        <v>0</v>
      </c>
      <c r="CL175" s="161"/>
      <c r="CN175" s="308">
        <f t="shared" ca="1" si="322"/>
        <v>10</v>
      </c>
      <c r="CO175" s="309">
        <f t="shared" si="358"/>
        <v>0</v>
      </c>
      <c r="CP175" s="268">
        <f t="shared" si="323"/>
        <v>0</v>
      </c>
      <c r="CQ175" s="123">
        <f t="shared" si="359"/>
        <v>0</v>
      </c>
      <c r="CR175" s="123">
        <f t="shared" si="435"/>
        <v>0</v>
      </c>
      <c r="CS175" s="123">
        <f t="shared" si="436"/>
        <v>0</v>
      </c>
      <c r="CT175" s="33">
        <f>IF(CZ174&lt;0.01,0,IF(Plus!$F$22=Plus!$AN$4,0,IF(Plus!$F$22=Plus!$AN$3,CZ174*Plus!$F$23/1000,CZ174*VLOOKUP(Plus!$G$21,Plus!$AP$2:'Plus'!$AQ$5,2,0))))</f>
        <v>0</v>
      </c>
      <c r="CU175" s="123">
        <f>IF(CZ174&lt;0.01,0,IF(Plus!$F$24=Plus!$AO$3,0,IF(OR(Plus!$F$10=Plus!$AK$7,Plus!$F$10=Plus!$AK$13),0,Plus!$G$13*Plus!$AR$2)))</f>
        <v>0</v>
      </c>
      <c r="CV175" s="123">
        <f>IF(CZ174&lt;0.01,0,IF(OR(Plus!$F$10=Plus!$AK$7,Plus!$F$10=Plus!$AK$13),0,Plus!$BD$2*1.16))</f>
        <v>0</v>
      </c>
      <c r="CW175" s="123">
        <f>IF(CZ174&lt;0.01,0,IF(Plus!$AS$2&gt;0,CQ175*Plus!$AS$3,0))</f>
        <v>0</v>
      </c>
      <c r="CX175" s="123">
        <f t="shared" si="360"/>
        <v>0</v>
      </c>
      <c r="CY175" s="123">
        <f>IF(Plus!$F$10=Plus!$AK$3,MIN(CZ174+CQ175+CT175+CU175+CV175-CX175,DK175),0)</f>
        <v>0</v>
      </c>
      <c r="CZ175" s="297">
        <f t="shared" si="440"/>
        <v>0</v>
      </c>
      <c r="DA175" s="306">
        <f>Plus!O216</f>
        <v>0</v>
      </c>
      <c r="DB175" s="74"/>
      <c r="DC175" s="74"/>
      <c r="DD175" s="407">
        <f t="shared" si="361"/>
        <v>0</v>
      </c>
      <c r="DG175" s="90">
        <f t="shared" si="362"/>
        <v>7</v>
      </c>
      <c r="DH175" s="121">
        <f t="shared" si="411"/>
        <v>0</v>
      </c>
      <c r="DJ175" s="149">
        <f t="shared" si="412"/>
        <v>0</v>
      </c>
      <c r="DK175" s="2179">
        <f t="shared" ca="1" si="363"/>
        <v>0</v>
      </c>
      <c r="DN175" s="120">
        <f t="shared" si="413"/>
        <v>0</v>
      </c>
      <c r="DO175" s="110">
        <f t="shared" si="364"/>
        <v>0</v>
      </c>
      <c r="DP175" s="110">
        <f t="shared" si="422"/>
        <v>0</v>
      </c>
      <c r="DQ175" s="109">
        <f t="shared" si="365"/>
        <v>0</v>
      </c>
      <c r="DR175" s="109">
        <f t="shared" si="366"/>
        <v>0</v>
      </c>
      <c r="DS175" s="113">
        <f t="shared" si="367"/>
        <v>0</v>
      </c>
      <c r="DU175" s="102">
        <f t="shared" si="368"/>
        <v>0</v>
      </c>
      <c r="DV175" s="211">
        <f t="shared" si="423"/>
        <v>151</v>
      </c>
      <c r="DW175" s="212">
        <f t="shared" si="369"/>
        <v>0</v>
      </c>
      <c r="DX175" s="212">
        <f t="shared" si="324"/>
        <v>0</v>
      </c>
      <c r="DY175" s="212">
        <f t="shared" si="414"/>
        <v>0</v>
      </c>
      <c r="DZ175" s="213">
        <f t="shared" si="325"/>
        <v>1000000</v>
      </c>
      <c r="ED175" s="182"/>
      <c r="EF175" s="308">
        <f t="shared" ca="1" si="326"/>
        <v>10</v>
      </c>
      <c r="EG175" s="309">
        <f t="shared" si="370"/>
        <v>0</v>
      </c>
      <c r="EH175" s="268">
        <f t="shared" si="327"/>
        <v>0</v>
      </c>
      <c r="EI175" s="33">
        <f t="shared" si="371"/>
        <v>0</v>
      </c>
      <c r="EJ175" s="33">
        <f t="shared" si="437"/>
        <v>0</v>
      </c>
      <c r="EK175" s="33">
        <f t="shared" si="445"/>
        <v>0</v>
      </c>
      <c r="EL175" s="33">
        <f>IF(ER174&lt;0.01,0,IF(Plus!$F$22=Plus!$AN$4,0,IF(Plus!$F$22=Plus!$AN$3,ER174*Plus!$F$23/1000,ER174*VLOOKUP(Plus!$G$21,Plus!$AP$2:'Plus'!$AQ$5,2,0))))</f>
        <v>0</v>
      </c>
      <c r="EM175" s="33">
        <f>IF(ER174&lt;0.01,0,IF(Plus!$F$24=Plus!$AO$3,0,IF(OR(Plus!$F$10=Plus!$AK$7,Plus!$F$10=Plus!$AK$13),0,Plus!$G$13*Plus!$AR$2)))</f>
        <v>0</v>
      </c>
      <c r="EN175" s="33">
        <f>IF(ER174&lt;0.01,0,IF(OR(Plus!$F$10=Plus!$AK$7,Plus!$F$10=Plus!$AK$13),0,Plus!$BD$2*1.16))</f>
        <v>0</v>
      </c>
      <c r="EO175" s="33">
        <f>IF(ER174&lt;0.01,0,IF(Plus!$AS$2&gt;0,EI175*Plus!$AS$3,0))</f>
        <v>0</v>
      </c>
      <c r="EP175" s="33">
        <f t="shared" si="372"/>
        <v>0</v>
      </c>
      <c r="EQ175" s="33">
        <f>IF(Plus!$F$10=Plus!$AK$3,MIN(ER174+EI175+EL175+EM175+EN175-EP175,FC175),0)</f>
        <v>0</v>
      </c>
      <c r="ER175" s="311">
        <f t="shared" si="431"/>
        <v>0</v>
      </c>
      <c r="ES175" s="340">
        <f>Plus!O216</f>
        <v>0</v>
      </c>
      <c r="ET175" s="74"/>
      <c r="EU175" s="74"/>
      <c r="EV175" s="416">
        <f t="shared" si="429"/>
        <v>0</v>
      </c>
      <c r="EY175" s="90">
        <f t="shared" si="373"/>
        <v>7</v>
      </c>
      <c r="EZ175" s="121">
        <f t="shared" si="415"/>
        <v>0</v>
      </c>
      <c r="FB175" s="149">
        <f t="shared" si="416"/>
        <v>0</v>
      </c>
      <c r="FC175" s="2179">
        <f t="shared" ca="1" si="374"/>
        <v>0</v>
      </c>
      <c r="FE175" s="120">
        <f t="shared" si="417"/>
        <v>0</v>
      </c>
      <c r="FF175" s="110">
        <f t="shared" si="375"/>
        <v>0</v>
      </c>
      <c r="FG175" s="110">
        <f t="shared" si="376"/>
        <v>0</v>
      </c>
      <c r="FH175" s="109">
        <f t="shared" si="377"/>
        <v>0</v>
      </c>
      <c r="FI175" s="109">
        <f t="shared" si="328"/>
        <v>0</v>
      </c>
      <c r="FJ175" s="113">
        <f t="shared" si="378"/>
        <v>0</v>
      </c>
      <c r="FL175" s="102">
        <f t="shared" si="379"/>
        <v>0</v>
      </c>
      <c r="FM175" s="211">
        <f t="shared" si="424"/>
        <v>151</v>
      </c>
      <c r="FN175" s="212">
        <f t="shared" si="380"/>
        <v>0</v>
      </c>
      <c r="FO175" s="212">
        <f t="shared" si="329"/>
        <v>0</v>
      </c>
      <c r="FP175" s="212">
        <f t="shared" si="441"/>
        <v>0</v>
      </c>
      <c r="FQ175" s="213">
        <f t="shared" si="330"/>
        <v>1000000</v>
      </c>
      <c r="FV175" s="359"/>
      <c r="FX175" s="308">
        <f t="shared" ca="1" si="331"/>
        <v>10</v>
      </c>
      <c r="FY175" s="309">
        <f t="shared" si="381"/>
        <v>0</v>
      </c>
      <c r="FZ175" s="268">
        <f t="shared" si="332"/>
        <v>0</v>
      </c>
      <c r="GA175" s="33">
        <f t="shared" si="382"/>
        <v>0</v>
      </c>
      <c r="GB175" s="33">
        <f t="shared" si="438"/>
        <v>0</v>
      </c>
      <c r="GC175" s="33">
        <f t="shared" si="439"/>
        <v>0</v>
      </c>
      <c r="GD175" s="33">
        <f>IF(GJ174&lt;0.01,0,IF(Plus!$F$22=Plus!$AN$4,0,IF(Plus!$F$22=Plus!$AN$3,GJ174*Plus!$F$23/1000,GJ174*VLOOKUP(Plus!$G$21,Plus!$AP$2:$AQ$5,2,0))))</f>
        <v>0</v>
      </c>
      <c r="GE175" s="33">
        <f>IF(GJ174&lt;0.01,0,IF(Plus!$F$24=Plus!$AO$3,0,IF(OR(Plus!$F$10=Plus!$AK$7,Plus!$F$10=Plus!$AK$13,Plus!$F$10=Plus!$AK$14),0,IF(OR(Plus!$F$10=Plus!$AK$10,Plus!$F$10=Plus!$AK$11),Plus!$G$13*Adm!$W$7,Plus!$G$13*Adm!$X$4))))</f>
        <v>0</v>
      </c>
      <c r="GF175" s="33">
        <f>IF(GJ174&lt;0.01,0,IF(OR(Plus!$F$10=Plus!$AK$7,Plus!$F$10=Plus!$AK$13),0,Plus!$BD$2*1.16))</f>
        <v>0</v>
      </c>
      <c r="GG175" s="33">
        <f>IF(GJ174&lt;0.01,0,IF(Plus!$AS$2&gt;0,GA175*Plus!$AS$3,0))</f>
        <v>0</v>
      </c>
      <c r="GH175" s="33">
        <f t="shared" si="383"/>
        <v>0</v>
      </c>
      <c r="GI175" s="33">
        <f>IF(Plus!$F$10=Plus!$AK$3,MIN(GJ174+GA175+GD175+GE175+GF175-GH175,GU175),0)</f>
        <v>0</v>
      </c>
      <c r="GJ175" s="311">
        <f t="shared" si="432"/>
        <v>0</v>
      </c>
      <c r="GK175" s="340">
        <f>Plus!O216</f>
        <v>0</v>
      </c>
      <c r="GL175" s="74"/>
      <c r="GM175" s="74"/>
      <c r="GN175" s="419">
        <f t="shared" si="430"/>
        <v>0</v>
      </c>
      <c r="GQ175" s="90">
        <f t="shared" si="384"/>
        <v>7</v>
      </c>
      <c r="GR175" s="121">
        <f t="shared" si="418"/>
        <v>0</v>
      </c>
      <c r="GT175" s="149">
        <f t="shared" si="419"/>
        <v>0</v>
      </c>
      <c r="GU175" s="2179">
        <f t="shared" ca="1" si="385"/>
        <v>0</v>
      </c>
      <c r="GW175" s="120">
        <f t="shared" si="420"/>
        <v>0</v>
      </c>
      <c r="GX175" s="110">
        <f t="shared" si="386"/>
        <v>0</v>
      </c>
      <c r="GY175" s="110">
        <f t="shared" si="387"/>
        <v>0</v>
      </c>
      <c r="GZ175" s="109">
        <f t="shared" si="388"/>
        <v>0</v>
      </c>
      <c r="HA175" s="109">
        <f t="shared" si="333"/>
        <v>0</v>
      </c>
      <c r="HB175" s="113">
        <f t="shared" si="389"/>
        <v>0</v>
      </c>
      <c r="HD175" s="102">
        <f t="shared" si="390"/>
        <v>0</v>
      </c>
      <c r="HE175" s="211">
        <f t="shared" si="425"/>
        <v>151</v>
      </c>
      <c r="HF175" s="212">
        <f t="shared" si="391"/>
        <v>0</v>
      </c>
      <c r="HG175" s="212">
        <f t="shared" si="334"/>
        <v>0</v>
      </c>
      <c r="HH175" s="212">
        <f t="shared" si="442"/>
        <v>0</v>
      </c>
      <c r="HI175" s="213">
        <f t="shared" si="335"/>
        <v>1000000</v>
      </c>
      <c r="HL175" s="182"/>
      <c r="HM175" s="26">
        <f t="shared" ca="1" si="336"/>
        <v>10</v>
      </c>
      <c r="HO175" s="268">
        <f t="shared" si="337"/>
        <v>0</v>
      </c>
      <c r="HP175" s="151">
        <f t="shared" si="302"/>
        <v>0</v>
      </c>
      <c r="HQ175" s="123">
        <f t="shared" si="392"/>
        <v>0</v>
      </c>
      <c r="HR175" s="123">
        <f t="shared" si="393"/>
        <v>0</v>
      </c>
      <c r="HS175" s="123">
        <f t="shared" si="394"/>
        <v>0</v>
      </c>
      <c r="HT175" s="123">
        <f>IF(HY174&lt;0.01,0,IF(Adm!$GS$4=Adm!$GS$8,HY174*$HY$15,IF(Adm!$GS$12=Adm!$GS$13,0,HY174*Adm!$GV$4)))</f>
        <v>0</v>
      </c>
      <c r="HU175" s="123">
        <f>IF(HY174&lt;0.01,0,IF(Adm!$GS$5=Adm!$GS$8,Cal!$BO$108*$HY$16/1.16,IF(Adm!$GS$12=Adm!$GS$13,0,Cal!$BO$108*Adm!$GW$4/1.16)))</f>
        <v>0</v>
      </c>
      <c r="HV175" s="123">
        <f t="shared" si="395"/>
        <v>0</v>
      </c>
      <c r="HW175" s="123">
        <f t="shared" si="338"/>
        <v>0</v>
      </c>
      <c r="HX175" s="123">
        <f>IF(Adm!$GH$6="si",MIN(HY174+HQ175+HT175+HU175+HV175-HW175,IH175),0)</f>
        <v>0</v>
      </c>
      <c r="HY175" s="297">
        <f t="shared" si="396"/>
        <v>0</v>
      </c>
      <c r="HZ175" s="74"/>
      <c r="IA175" s="407">
        <f t="shared" si="397"/>
        <v>0</v>
      </c>
      <c r="IC175" s="90">
        <f t="shared" si="398"/>
        <v>7</v>
      </c>
      <c r="ID175" s="124">
        <f>IF(IC175=1,Cal!$BO$127,0)</f>
        <v>0</v>
      </c>
      <c r="IE175" s="178">
        <f>IF(IC175=1,Adm!$HI$4,0)</f>
        <v>0</v>
      </c>
      <c r="IG175" s="70">
        <f t="shared" si="421"/>
        <v>0</v>
      </c>
      <c r="IH175" s="2178">
        <f t="shared" ca="1" si="399"/>
        <v>0</v>
      </c>
      <c r="IK175" s="217"/>
      <c r="IL175" s="26">
        <f t="shared" ca="1" si="339"/>
        <v>10</v>
      </c>
      <c r="IN175" s="268">
        <f t="shared" si="340"/>
        <v>0</v>
      </c>
      <c r="IO175" s="151">
        <f t="shared" si="303"/>
        <v>0</v>
      </c>
      <c r="IP175" s="123">
        <f t="shared" si="400"/>
        <v>0</v>
      </c>
      <c r="IQ175" s="123">
        <f t="shared" si="401"/>
        <v>0</v>
      </c>
      <c r="IR175" s="123">
        <f t="shared" si="402"/>
        <v>0</v>
      </c>
      <c r="IS175" s="123">
        <f>IF(IX174&lt;0.01,0,IF(Adm!$GS$4=Adm!$GS$8,IX174*$IX$15,IF(Adm!$GS$12=Adm!$GS$13,0,IX174*Adm!$GV$4)))</f>
        <v>0</v>
      </c>
      <c r="IT175" s="123"/>
      <c r="IU175" s="123">
        <f t="shared" si="403"/>
        <v>0</v>
      </c>
      <c r="IV175" s="123">
        <f t="shared" si="404"/>
        <v>0</v>
      </c>
      <c r="IW175" s="123"/>
      <c r="IX175" s="297">
        <f t="shared" si="405"/>
        <v>0</v>
      </c>
      <c r="IY175" s="74"/>
      <c r="IZ175" s="416">
        <f t="shared" si="406"/>
        <v>0</v>
      </c>
      <c r="JB175" s="90">
        <f t="shared" si="407"/>
        <v>7</v>
      </c>
      <c r="JC175" s="124">
        <f>IF(JB175=1,Cal!$BP$127,0)</f>
        <v>0</v>
      </c>
      <c r="JD175" s="178">
        <f>IF(JB175=1,Adm!$HI$4,0)</f>
        <v>0</v>
      </c>
    </row>
    <row r="176" spans="1:264">
      <c r="A176" s="26">
        <f t="shared" ca="1" si="308"/>
        <v>11</v>
      </c>
      <c r="C176" s="33">
        <f t="shared" si="309"/>
        <v>0</v>
      </c>
      <c r="D176" s="123">
        <f t="shared" si="341"/>
        <v>0</v>
      </c>
      <c r="E176" s="123">
        <f t="shared" si="433"/>
        <v>0</v>
      </c>
      <c r="F176" s="123">
        <f t="shared" si="443"/>
        <v>0</v>
      </c>
      <c r="G176" s="123">
        <f>IF(L175&lt;0.01,0,IF(Adm!$S$4=Adm!$S$8,L175*$L$15,L175*Adm!$V$4))</f>
        <v>0</v>
      </c>
      <c r="H176" s="123">
        <f>IF(L175&lt;0.01,0,IF(Adm!$S$5=Adm!$S$8,Adm!$AA$11*$L$16/1.16,IF(Adm!$B$4=Adm!$A$119,0,Adm!$AA$11*Adm!$X$4/1.16)))</f>
        <v>0</v>
      </c>
      <c r="I176" s="123">
        <f>IF(L175&lt;0.01,0,Cal!$AB$126/1.16)</f>
        <v>0</v>
      </c>
      <c r="J176" s="123">
        <f t="shared" si="310"/>
        <v>0</v>
      </c>
      <c r="K176" s="123">
        <f>IF(Adm!$G$4="si",MIN(L175+D176+G176+H176+I176-J176,V176),0)</f>
        <v>0</v>
      </c>
      <c r="L176" s="123">
        <f t="shared" si="342"/>
        <v>0</v>
      </c>
      <c r="M176" s="74"/>
      <c r="N176" s="74"/>
      <c r="O176" s="407">
        <f t="shared" si="343"/>
        <v>0</v>
      </c>
      <c r="R176" s="90">
        <f t="shared" si="344"/>
        <v>8</v>
      </c>
      <c r="S176" s="121">
        <f>IF(R176=1,Cal!$AB$127,0)</f>
        <v>0</v>
      </c>
      <c r="U176" s="70">
        <f t="shared" si="408"/>
        <v>0</v>
      </c>
      <c r="V176" s="2178">
        <f t="shared" ca="1" si="345"/>
        <v>0</v>
      </c>
      <c r="X176" s="398"/>
      <c r="Z176" s="268">
        <f t="shared" si="311"/>
        <v>0</v>
      </c>
      <c r="AA176" s="2176">
        <f t="shared" si="346"/>
        <v>0</v>
      </c>
      <c r="AB176" s="33">
        <f t="shared" si="347"/>
        <v>0</v>
      </c>
      <c r="AC176" s="33">
        <f t="shared" si="348"/>
        <v>0</v>
      </c>
      <c r="AD176" s="33">
        <f>IF(AI175&lt;0.01,0,IF(Adm!$S$4=Adm!$S$8,AI175*$AI$15,AI175*Adm!$V$4))</f>
        <v>0</v>
      </c>
      <c r="AE176" s="33"/>
      <c r="AF176" s="33"/>
      <c r="AG176" s="33">
        <f t="shared" si="312"/>
        <v>0</v>
      </c>
      <c r="AH176" s="33"/>
      <c r="AI176" s="401">
        <f t="shared" si="313"/>
        <v>0</v>
      </c>
      <c r="AK176" s="410">
        <f t="shared" si="314"/>
        <v>0</v>
      </c>
      <c r="AN176" s="90">
        <f t="shared" si="349"/>
        <v>8</v>
      </c>
      <c r="AO176" s="121">
        <f>IF(AN176=1,Cal!$AC$127,0)</f>
        <v>0</v>
      </c>
      <c r="AS176" s="200"/>
      <c r="AU176" s="268">
        <f t="shared" si="315"/>
        <v>0</v>
      </c>
      <c r="AV176" s="2177">
        <f t="shared" si="350"/>
        <v>0</v>
      </c>
      <c r="AW176" s="123">
        <f t="shared" si="316"/>
        <v>0</v>
      </c>
      <c r="AX176" s="123">
        <f t="shared" si="351"/>
        <v>0</v>
      </c>
      <c r="AY176" s="123">
        <f>IF(BC175&lt;0.01,0,IF(Adm!$S$4=Adm!$S$8,BC175*$BC$16,BC175*Adm!$V$4))</f>
        <v>0</v>
      </c>
      <c r="AZ176" s="123"/>
      <c r="BA176" s="123">
        <f>IF(BC175&lt;0.01,0,Adm!$Q$6)</f>
        <v>0</v>
      </c>
      <c r="BB176" s="123">
        <f t="shared" si="317"/>
        <v>0</v>
      </c>
      <c r="BC176" s="297">
        <f t="shared" si="352"/>
        <v>0</v>
      </c>
      <c r="BE176" s="425">
        <f t="shared" si="318"/>
        <v>0</v>
      </c>
      <c r="BH176" s="90">
        <f t="shared" si="353"/>
        <v>8</v>
      </c>
      <c r="BI176" s="121">
        <f>IF(BH176=1,Cal!$AD$127,0)</f>
        <v>0</v>
      </c>
      <c r="BM176" s="221"/>
      <c r="BO176" s="295">
        <f t="shared" ca="1" si="319"/>
        <v>11</v>
      </c>
      <c r="BP176" s="268">
        <f t="shared" si="320"/>
        <v>0</v>
      </c>
      <c r="BQ176" s="123">
        <f t="shared" si="354"/>
        <v>0</v>
      </c>
      <c r="BR176" s="123">
        <f t="shared" si="434"/>
        <v>0</v>
      </c>
      <c r="BS176" s="123">
        <f t="shared" si="444"/>
        <v>0</v>
      </c>
      <c r="BT176" s="123">
        <f>IF(BZ175&lt;0.01,0,IF(Plus!$F$22=Plus!$AN$4,BZ175*$BZ$15,IF(Plus!$F$22=Plus!$AN$3,BZ175*Plus!$F$23/1000,BZ175*VLOOKUP(Plus!$G$21,Plus!$AP$2:'Plus'!$AQ$5,2,0))))</f>
        <v>0</v>
      </c>
      <c r="BU176" s="123">
        <f>IF(BZ175&lt;0.01,0,IF(Plus!$F$24=Plus!$AO$3,Plus!$G$13*Plus!$AR$2/1.16,IF(Plus!$F$10=Plus!$AK$7,0,Plus!$G$13*Plus!$AR$2/1.16)))</f>
        <v>0</v>
      </c>
      <c r="BV176" s="123">
        <f>IF(BZ175&lt;0.01,0,Plus!$BD$2)</f>
        <v>0</v>
      </c>
      <c r="BW176" s="123"/>
      <c r="BX176" s="123">
        <f t="shared" si="321"/>
        <v>0</v>
      </c>
      <c r="BY176" s="123">
        <f>IF(Plus!$F$10=Plus!$AK$3,MIN(BZ175+BQ176+BT176+BU176+BV176-BX176,CJ176),0)</f>
        <v>0</v>
      </c>
      <c r="BZ176" s="297">
        <f t="shared" si="428"/>
        <v>0</v>
      </c>
      <c r="CA176" s="74"/>
      <c r="CB176" s="74"/>
      <c r="CC176" s="413">
        <f t="shared" si="355"/>
        <v>0</v>
      </c>
      <c r="CF176" s="90">
        <f t="shared" si="356"/>
        <v>8</v>
      </c>
      <c r="CG176" s="121">
        <f t="shared" si="409"/>
        <v>0</v>
      </c>
      <c r="CI176" s="70">
        <f t="shared" si="410"/>
        <v>0</v>
      </c>
      <c r="CJ176" s="2178">
        <f t="shared" ca="1" si="357"/>
        <v>0</v>
      </c>
      <c r="CL176" s="161"/>
      <c r="CN176" s="308">
        <f t="shared" ca="1" si="322"/>
        <v>11</v>
      </c>
      <c r="CO176" s="309">
        <f t="shared" si="358"/>
        <v>0</v>
      </c>
      <c r="CP176" s="268">
        <f t="shared" si="323"/>
        <v>0</v>
      </c>
      <c r="CQ176" s="123">
        <f t="shared" si="359"/>
        <v>0</v>
      </c>
      <c r="CR176" s="123">
        <f t="shared" si="435"/>
        <v>0</v>
      </c>
      <c r="CS176" s="123">
        <f t="shared" si="436"/>
        <v>0</v>
      </c>
      <c r="CT176" s="33">
        <f>IF(CZ175&lt;0.01,0,IF(Plus!$F$22=Plus!$AN$4,0,IF(Plus!$F$22=Plus!$AN$3,CZ175*Plus!$F$23/1000,CZ175*VLOOKUP(Plus!$G$21,Plus!$AP$2:'Plus'!$AQ$5,2,0))))</f>
        <v>0</v>
      </c>
      <c r="CU176" s="123">
        <f>IF(CZ175&lt;0.01,0,IF(Plus!$F$24=Plus!$AO$3,0,IF(OR(Plus!$F$10=Plus!$AK$7,Plus!$F$10=Plus!$AK$13),0,Plus!$G$13*Plus!$AR$2)))</f>
        <v>0</v>
      </c>
      <c r="CV176" s="123">
        <f>IF(CZ175&lt;0.01,0,IF(OR(Plus!$F$10=Plus!$AK$7,Plus!$F$10=Plus!$AK$13),0,Plus!$BD$2*1.16))</f>
        <v>0</v>
      </c>
      <c r="CW176" s="123">
        <f>IF(CZ175&lt;0.01,0,IF(Plus!$AS$2&gt;0,CQ176*Plus!$AS$3,0))</f>
        <v>0</v>
      </c>
      <c r="CX176" s="123">
        <f t="shared" si="360"/>
        <v>0</v>
      </c>
      <c r="CY176" s="123">
        <f>IF(Plus!$F$10=Plus!$AK$3,MIN(CZ175+CQ176+CT176+CU176+CV176-CX176,DK176),0)</f>
        <v>0</v>
      </c>
      <c r="CZ176" s="297">
        <f t="shared" si="440"/>
        <v>0</v>
      </c>
      <c r="DA176" s="306">
        <f>Plus!O217</f>
        <v>0</v>
      </c>
      <c r="DB176" s="74"/>
      <c r="DC176" s="74"/>
      <c r="DD176" s="407">
        <f t="shared" si="361"/>
        <v>0</v>
      </c>
      <c r="DG176" s="90">
        <f t="shared" si="362"/>
        <v>8</v>
      </c>
      <c r="DH176" s="121">
        <f t="shared" si="411"/>
        <v>0</v>
      </c>
      <c r="DJ176" s="149">
        <f t="shared" si="412"/>
        <v>0</v>
      </c>
      <c r="DK176" s="2179">
        <f t="shared" ca="1" si="363"/>
        <v>0</v>
      </c>
      <c r="DN176" s="120">
        <f t="shared" si="413"/>
        <v>0</v>
      </c>
      <c r="DO176" s="110">
        <f t="shared" si="364"/>
        <v>0</v>
      </c>
      <c r="DP176" s="110">
        <f t="shared" si="422"/>
        <v>0</v>
      </c>
      <c r="DQ176" s="109">
        <f t="shared" si="365"/>
        <v>0</v>
      </c>
      <c r="DR176" s="109">
        <f t="shared" si="366"/>
        <v>0</v>
      </c>
      <c r="DS176" s="113">
        <f t="shared" si="367"/>
        <v>0</v>
      </c>
      <c r="DU176" s="102">
        <f t="shared" si="368"/>
        <v>0</v>
      </c>
      <c r="DV176" s="211">
        <f t="shared" si="423"/>
        <v>152</v>
      </c>
      <c r="DW176" s="212">
        <f t="shared" si="369"/>
        <v>0</v>
      </c>
      <c r="DX176" s="212">
        <f t="shared" si="324"/>
        <v>0</v>
      </c>
      <c r="DY176" s="212">
        <f t="shared" si="414"/>
        <v>0</v>
      </c>
      <c r="DZ176" s="213">
        <f t="shared" si="325"/>
        <v>1000000</v>
      </c>
      <c r="ED176" s="182"/>
      <c r="EF176" s="308">
        <f t="shared" ca="1" si="326"/>
        <v>11</v>
      </c>
      <c r="EG176" s="309">
        <f t="shared" si="370"/>
        <v>0</v>
      </c>
      <c r="EH176" s="268">
        <f t="shared" si="327"/>
        <v>0</v>
      </c>
      <c r="EI176" s="33">
        <f t="shared" si="371"/>
        <v>0</v>
      </c>
      <c r="EJ176" s="33">
        <f t="shared" si="437"/>
        <v>0</v>
      </c>
      <c r="EK176" s="33">
        <f t="shared" si="445"/>
        <v>0</v>
      </c>
      <c r="EL176" s="33">
        <f>IF(ER175&lt;0.01,0,IF(Plus!$F$22=Plus!$AN$4,0,IF(Plus!$F$22=Plus!$AN$3,ER175*Plus!$F$23/1000,ER175*VLOOKUP(Plus!$G$21,Plus!$AP$2:'Plus'!$AQ$5,2,0))))</f>
        <v>0</v>
      </c>
      <c r="EM176" s="33">
        <f>IF(ER175&lt;0.01,0,IF(Plus!$F$24=Plus!$AO$3,0,IF(OR(Plus!$F$10=Plus!$AK$7,Plus!$F$10=Plus!$AK$13),0,Plus!$G$13*Plus!$AR$2)))</f>
        <v>0</v>
      </c>
      <c r="EN176" s="33">
        <f>IF(ER175&lt;0.01,0,IF(OR(Plus!$F$10=Plus!$AK$7,Plus!$F$10=Plus!$AK$13),0,Plus!$BD$2*1.16))</f>
        <v>0</v>
      </c>
      <c r="EO176" s="33">
        <f>IF(ER175&lt;0.01,0,IF(Plus!$AS$2&gt;0,EI176*Plus!$AS$3,0))</f>
        <v>0</v>
      </c>
      <c r="EP176" s="33">
        <f t="shared" si="372"/>
        <v>0</v>
      </c>
      <c r="EQ176" s="33">
        <f>IF(Plus!$F$10=Plus!$AK$3,MIN(ER175+EI176+EL176+EM176+EN176-EP176,FC176),0)</f>
        <v>0</v>
      </c>
      <c r="ER176" s="311">
        <f t="shared" si="431"/>
        <v>0</v>
      </c>
      <c r="ES176" s="340">
        <f>Plus!O217</f>
        <v>0</v>
      </c>
      <c r="ET176" s="74"/>
      <c r="EU176" s="74"/>
      <c r="EV176" s="416">
        <f t="shared" si="429"/>
        <v>0</v>
      </c>
      <c r="EY176" s="90">
        <f t="shared" si="373"/>
        <v>8</v>
      </c>
      <c r="EZ176" s="121">
        <f t="shared" si="415"/>
        <v>0</v>
      </c>
      <c r="FB176" s="149">
        <f t="shared" si="416"/>
        <v>0</v>
      </c>
      <c r="FC176" s="2179">
        <f t="shared" ca="1" si="374"/>
        <v>0</v>
      </c>
      <c r="FE176" s="120">
        <f t="shared" si="417"/>
        <v>0</v>
      </c>
      <c r="FF176" s="110">
        <f t="shared" si="375"/>
        <v>0</v>
      </c>
      <c r="FG176" s="110">
        <f t="shared" si="376"/>
        <v>0</v>
      </c>
      <c r="FH176" s="109">
        <f t="shared" si="377"/>
        <v>0</v>
      </c>
      <c r="FI176" s="109">
        <f t="shared" si="328"/>
        <v>0</v>
      </c>
      <c r="FJ176" s="113">
        <f t="shared" si="378"/>
        <v>0</v>
      </c>
      <c r="FL176" s="102">
        <f t="shared" si="379"/>
        <v>0</v>
      </c>
      <c r="FM176" s="211">
        <f t="shared" si="424"/>
        <v>152</v>
      </c>
      <c r="FN176" s="212">
        <f t="shared" si="380"/>
        <v>0</v>
      </c>
      <c r="FO176" s="212">
        <f t="shared" si="329"/>
        <v>0</v>
      </c>
      <c r="FP176" s="212">
        <f t="shared" si="441"/>
        <v>0</v>
      </c>
      <c r="FQ176" s="213">
        <f t="shared" si="330"/>
        <v>1000000</v>
      </c>
      <c r="FV176" s="359"/>
      <c r="FX176" s="308">
        <f t="shared" ca="1" si="331"/>
        <v>11</v>
      </c>
      <c r="FY176" s="309">
        <f t="shared" si="381"/>
        <v>0</v>
      </c>
      <c r="FZ176" s="268">
        <f t="shared" si="332"/>
        <v>0</v>
      </c>
      <c r="GA176" s="33">
        <f t="shared" si="382"/>
        <v>0</v>
      </c>
      <c r="GB176" s="33">
        <f t="shared" si="438"/>
        <v>0</v>
      </c>
      <c r="GC176" s="33">
        <f t="shared" si="439"/>
        <v>0</v>
      </c>
      <c r="GD176" s="33">
        <f>IF(GJ175&lt;0.01,0,IF(Plus!$F$22=Plus!$AN$4,0,IF(Plus!$F$22=Plus!$AN$3,GJ175*Plus!$F$23/1000,GJ175*VLOOKUP(Plus!$G$21,Plus!$AP$2:$AQ$5,2,0))))</f>
        <v>0</v>
      </c>
      <c r="GE176" s="33">
        <f>IF(GJ175&lt;0.01,0,IF(Plus!$F$24=Plus!$AO$3,0,IF(OR(Plus!$F$10=Plus!$AK$7,Plus!$F$10=Plus!$AK$13,Plus!$F$10=Plus!$AK$14),0,IF(OR(Plus!$F$10=Plus!$AK$10,Plus!$F$10=Plus!$AK$11),Plus!$G$13*Adm!$W$7,Plus!$G$13*Adm!$X$4))))</f>
        <v>0</v>
      </c>
      <c r="GF176" s="33">
        <f>IF(GJ175&lt;0.01,0,IF(OR(Plus!$F$10=Plus!$AK$7,Plus!$F$10=Plus!$AK$13),0,Plus!$BD$2*1.16))</f>
        <v>0</v>
      </c>
      <c r="GG176" s="33">
        <f>IF(GJ175&lt;0.01,0,IF(Plus!$AS$2&gt;0,GA176*Plus!$AS$3,0))</f>
        <v>0</v>
      </c>
      <c r="GH176" s="33">
        <f t="shared" si="383"/>
        <v>0</v>
      </c>
      <c r="GI176" s="33">
        <f>IF(Plus!$F$10=Plus!$AK$3,MIN(GJ175+GA176+GD176+GE176+GF176-GH176,GU176),0)</f>
        <v>0</v>
      </c>
      <c r="GJ176" s="311">
        <f t="shared" si="432"/>
        <v>0</v>
      </c>
      <c r="GK176" s="340">
        <f>Plus!O217</f>
        <v>0</v>
      </c>
      <c r="GL176" s="74"/>
      <c r="GM176" s="74"/>
      <c r="GN176" s="419">
        <f t="shared" si="430"/>
        <v>0</v>
      </c>
      <c r="GQ176" s="90">
        <f t="shared" si="384"/>
        <v>8</v>
      </c>
      <c r="GR176" s="121">
        <f t="shared" si="418"/>
        <v>0</v>
      </c>
      <c r="GT176" s="149">
        <f t="shared" si="419"/>
        <v>0</v>
      </c>
      <c r="GU176" s="2179">
        <f t="shared" ca="1" si="385"/>
        <v>0</v>
      </c>
      <c r="GW176" s="120">
        <f t="shared" si="420"/>
        <v>0</v>
      </c>
      <c r="GX176" s="110">
        <f t="shared" si="386"/>
        <v>0</v>
      </c>
      <c r="GY176" s="110">
        <f t="shared" si="387"/>
        <v>0</v>
      </c>
      <c r="GZ176" s="109">
        <f t="shared" si="388"/>
        <v>0</v>
      </c>
      <c r="HA176" s="109">
        <f t="shared" si="333"/>
        <v>0</v>
      </c>
      <c r="HB176" s="113">
        <f t="shared" si="389"/>
        <v>0</v>
      </c>
      <c r="HD176" s="102">
        <f t="shared" si="390"/>
        <v>0</v>
      </c>
      <c r="HE176" s="211">
        <f t="shared" si="425"/>
        <v>152</v>
      </c>
      <c r="HF176" s="212">
        <f t="shared" si="391"/>
        <v>0</v>
      </c>
      <c r="HG176" s="212">
        <f t="shared" si="334"/>
        <v>0</v>
      </c>
      <c r="HH176" s="212">
        <f t="shared" si="442"/>
        <v>0</v>
      </c>
      <c r="HI176" s="213">
        <f t="shared" si="335"/>
        <v>1000000</v>
      </c>
      <c r="HL176" s="182"/>
      <c r="HM176" s="26">
        <f t="shared" ca="1" si="336"/>
        <v>11</v>
      </c>
      <c r="HO176" s="268">
        <f t="shared" si="337"/>
        <v>0</v>
      </c>
      <c r="HP176" s="151">
        <f t="shared" si="302"/>
        <v>0</v>
      </c>
      <c r="HQ176" s="123">
        <f t="shared" si="392"/>
        <v>0</v>
      </c>
      <c r="HR176" s="123">
        <f t="shared" si="393"/>
        <v>0</v>
      </c>
      <c r="HS176" s="123">
        <f t="shared" si="394"/>
        <v>0</v>
      </c>
      <c r="HT176" s="123">
        <f>IF(HY175&lt;0.01,0,IF(Adm!$GS$4=Adm!$GS$8,HY175*$HY$15,IF(Adm!$GS$12=Adm!$GS$13,0,HY175*Adm!$GV$4)))</f>
        <v>0</v>
      </c>
      <c r="HU176" s="123">
        <f>IF(HY175&lt;0.01,0,IF(Adm!$GS$5=Adm!$GS$8,Cal!$BO$108*$HY$16/1.16,IF(Adm!$GS$12=Adm!$GS$13,0,Cal!$BO$108*Adm!$GW$4/1.16)))</f>
        <v>0</v>
      </c>
      <c r="HV176" s="123">
        <f t="shared" si="395"/>
        <v>0</v>
      </c>
      <c r="HW176" s="123">
        <f t="shared" si="338"/>
        <v>0</v>
      </c>
      <c r="HX176" s="123">
        <f>IF(Adm!$GH$6="si",MIN(HY175+HQ176+HT176+HU176+HV176-HW176,IH176),0)</f>
        <v>0</v>
      </c>
      <c r="HY176" s="297">
        <f t="shared" si="396"/>
        <v>0</v>
      </c>
      <c r="HZ176" s="74"/>
      <c r="IA176" s="407">
        <f t="shared" si="397"/>
        <v>0</v>
      </c>
      <c r="IC176" s="90">
        <f t="shared" si="398"/>
        <v>8</v>
      </c>
      <c r="ID176" s="124">
        <f>IF(IC176=1,Cal!$BO$127,0)</f>
        <v>0</v>
      </c>
      <c r="IE176" s="178">
        <f>IF(IC176=1,Adm!$HI$4,0)</f>
        <v>0</v>
      </c>
      <c r="IG176" s="70">
        <f t="shared" si="421"/>
        <v>0</v>
      </c>
      <c r="IH176" s="2178">
        <f t="shared" ca="1" si="399"/>
        <v>0</v>
      </c>
      <c r="IK176" s="217"/>
      <c r="IL176" s="26">
        <f t="shared" ca="1" si="339"/>
        <v>11</v>
      </c>
      <c r="IN176" s="268">
        <f t="shared" si="340"/>
        <v>0</v>
      </c>
      <c r="IO176" s="151">
        <f t="shared" si="303"/>
        <v>0</v>
      </c>
      <c r="IP176" s="123">
        <f t="shared" si="400"/>
        <v>0</v>
      </c>
      <c r="IQ176" s="123">
        <f t="shared" si="401"/>
        <v>0</v>
      </c>
      <c r="IR176" s="123">
        <f t="shared" si="402"/>
        <v>0</v>
      </c>
      <c r="IS176" s="123">
        <f>IF(IX175&lt;0.01,0,IF(Adm!$GS$4=Adm!$GS$8,IX175*$IX$15,IF(Adm!$GS$12=Adm!$GS$13,0,IX175*Adm!$GV$4)))</f>
        <v>0</v>
      </c>
      <c r="IT176" s="123"/>
      <c r="IU176" s="123">
        <f t="shared" si="403"/>
        <v>0</v>
      </c>
      <c r="IV176" s="123">
        <f t="shared" si="404"/>
        <v>0</v>
      </c>
      <c r="IW176" s="123"/>
      <c r="IX176" s="297">
        <f t="shared" si="405"/>
        <v>0</v>
      </c>
      <c r="IY176" s="74"/>
      <c r="IZ176" s="416">
        <f t="shared" si="406"/>
        <v>0</v>
      </c>
      <c r="JB176" s="90">
        <f t="shared" si="407"/>
        <v>8</v>
      </c>
      <c r="JC176" s="124">
        <f>IF(JB176=1,Cal!$BP$127,0)</f>
        <v>0</v>
      </c>
      <c r="JD176" s="178">
        <f>IF(JB176=1,Adm!$HI$4,0)</f>
        <v>0</v>
      </c>
    </row>
    <row r="177" spans="1:264">
      <c r="A177" s="26">
        <f t="shared" ca="1" si="308"/>
        <v>12</v>
      </c>
      <c r="C177" s="33">
        <f t="shared" si="309"/>
        <v>0</v>
      </c>
      <c r="D177" s="123">
        <f t="shared" si="341"/>
        <v>0</v>
      </c>
      <c r="E177" s="123">
        <f t="shared" si="433"/>
        <v>0</v>
      </c>
      <c r="F177" s="123">
        <f t="shared" si="443"/>
        <v>0</v>
      </c>
      <c r="G177" s="123">
        <f>IF(L176&lt;0.01,0,IF(Adm!$S$4=Adm!$S$8,L176*$L$15,L176*Adm!$V$4))</f>
        <v>0</v>
      </c>
      <c r="H177" s="123">
        <f>IF(L176&lt;0.01,0,IF(Adm!$S$5=Adm!$S$8,Adm!$AA$11*$L$16/1.16,IF(Adm!$B$4=Adm!$A$119,0,Adm!$AA$11*Adm!$X$4/1.16)))</f>
        <v>0</v>
      </c>
      <c r="I177" s="123">
        <f>IF(L176&lt;0.01,0,Cal!$AB$126/1.16)</f>
        <v>0</v>
      </c>
      <c r="J177" s="123">
        <f t="shared" si="310"/>
        <v>0</v>
      </c>
      <c r="K177" s="123">
        <f>IF(Adm!$G$4="si",MIN(L176+D177+G177+H177+I177-J177,V177),0)</f>
        <v>0</v>
      </c>
      <c r="L177" s="123">
        <f t="shared" si="342"/>
        <v>0</v>
      </c>
      <c r="M177" s="74"/>
      <c r="N177" s="74"/>
      <c r="O177" s="407">
        <f t="shared" si="343"/>
        <v>0</v>
      </c>
      <c r="R177" s="90">
        <f t="shared" si="344"/>
        <v>9</v>
      </c>
      <c r="S177" s="121">
        <f>IF(R177=1,Cal!$AB$127,0)</f>
        <v>0</v>
      </c>
      <c r="U177" s="70">
        <f t="shared" si="408"/>
        <v>0</v>
      </c>
      <c r="V177" s="2178">
        <f t="shared" ca="1" si="345"/>
        <v>0</v>
      </c>
      <c r="X177" s="398"/>
      <c r="Z177" s="268">
        <f t="shared" si="311"/>
        <v>0</v>
      </c>
      <c r="AA177" s="2176">
        <f t="shared" si="346"/>
        <v>0</v>
      </c>
      <c r="AB177" s="33">
        <f t="shared" si="347"/>
        <v>0</v>
      </c>
      <c r="AC177" s="33">
        <f t="shared" si="348"/>
        <v>0</v>
      </c>
      <c r="AD177" s="33">
        <f>IF(AI176&lt;0.01,0,IF(Adm!$S$4=Adm!$S$8,AI176*$AI$15,AI176*Adm!$V$4))</f>
        <v>0</v>
      </c>
      <c r="AE177" s="33"/>
      <c r="AF177" s="33"/>
      <c r="AG177" s="33">
        <f t="shared" si="312"/>
        <v>0</v>
      </c>
      <c r="AH177" s="33"/>
      <c r="AI177" s="401">
        <f t="shared" si="313"/>
        <v>0</v>
      </c>
      <c r="AK177" s="410">
        <f t="shared" si="314"/>
        <v>0</v>
      </c>
      <c r="AN177" s="90">
        <f t="shared" si="349"/>
        <v>9</v>
      </c>
      <c r="AO177" s="121">
        <f>IF(AN177=1,Cal!$AC$127,0)</f>
        <v>0</v>
      </c>
      <c r="AS177" s="200"/>
      <c r="AU177" s="268">
        <f t="shared" si="315"/>
        <v>0</v>
      </c>
      <c r="AV177" s="2177">
        <f t="shared" si="350"/>
        <v>0</v>
      </c>
      <c r="AW177" s="123">
        <f t="shared" si="316"/>
        <v>0</v>
      </c>
      <c r="AX177" s="123">
        <f t="shared" si="351"/>
        <v>0</v>
      </c>
      <c r="AY177" s="123">
        <f>IF(BC176&lt;0.01,0,IF(Adm!$S$4=Adm!$S$8,BC176*$BC$16,BC176*Adm!$V$4))</f>
        <v>0</v>
      </c>
      <c r="AZ177" s="123"/>
      <c r="BA177" s="123">
        <f>IF(BC176&lt;0.01,0,Adm!$Q$6)</f>
        <v>0</v>
      </c>
      <c r="BB177" s="123">
        <f t="shared" si="317"/>
        <v>0</v>
      </c>
      <c r="BC177" s="297">
        <f t="shared" si="352"/>
        <v>0</v>
      </c>
      <c r="BE177" s="425">
        <f t="shared" si="318"/>
        <v>0</v>
      </c>
      <c r="BH177" s="90">
        <f t="shared" si="353"/>
        <v>9</v>
      </c>
      <c r="BI177" s="121">
        <f>IF(BH177=1,Cal!$AD$127,0)</f>
        <v>0</v>
      </c>
      <c r="BM177" s="221"/>
      <c r="BO177" s="295">
        <f t="shared" ca="1" si="319"/>
        <v>12</v>
      </c>
      <c r="BP177" s="268">
        <f t="shared" si="320"/>
        <v>0</v>
      </c>
      <c r="BQ177" s="123">
        <f t="shared" si="354"/>
        <v>0</v>
      </c>
      <c r="BR177" s="123">
        <f t="shared" si="434"/>
        <v>0</v>
      </c>
      <c r="BS177" s="123">
        <f t="shared" si="444"/>
        <v>0</v>
      </c>
      <c r="BT177" s="123">
        <f>IF(BZ176&lt;0.01,0,IF(Plus!$F$22=Plus!$AN$4,BZ176*$BZ$15,IF(Plus!$F$22=Plus!$AN$3,BZ176*Plus!$F$23/1000,BZ176*VLOOKUP(Plus!$G$21,Plus!$AP$2:'Plus'!$AQ$5,2,0))))</f>
        <v>0</v>
      </c>
      <c r="BU177" s="123">
        <f>IF(BZ176&lt;0.01,0,IF(Plus!$F$24=Plus!$AO$3,Plus!$G$13*Plus!$AR$2/1.16,IF(Plus!$F$10=Plus!$AK$7,0,Plus!$G$13*Plus!$AR$2/1.16)))</f>
        <v>0</v>
      </c>
      <c r="BV177" s="123">
        <f>IF(BZ176&lt;0.01,0,Plus!$BD$2)</f>
        <v>0</v>
      </c>
      <c r="BW177" s="123"/>
      <c r="BX177" s="123">
        <f t="shared" si="321"/>
        <v>0</v>
      </c>
      <c r="BY177" s="123">
        <f>IF(Plus!$F$10=Plus!$AK$3,MIN(BZ176+BQ177+BT177+BU177+BV177-BX177,CJ177),0)</f>
        <v>0</v>
      </c>
      <c r="BZ177" s="297">
        <f t="shared" si="428"/>
        <v>0</v>
      </c>
      <c r="CA177" s="74"/>
      <c r="CB177" s="74"/>
      <c r="CC177" s="413">
        <f t="shared" si="355"/>
        <v>0</v>
      </c>
      <c r="CF177" s="90">
        <f t="shared" si="356"/>
        <v>9</v>
      </c>
      <c r="CG177" s="121">
        <f t="shared" si="409"/>
        <v>0</v>
      </c>
      <c r="CI177" s="70">
        <f t="shared" si="410"/>
        <v>0</v>
      </c>
      <c r="CJ177" s="2178">
        <f t="shared" ca="1" si="357"/>
        <v>0</v>
      </c>
      <c r="CL177" s="161"/>
      <c r="CN177" s="308">
        <f t="shared" ca="1" si="322"/>
        <v>12</v>
      </c>
      <c r="CO177" s="309">
        <f t="shared" si="358"/>
        <v>0</v>
      </c>
      <c r="CP177" s="268">
        <f t="shared" si="323"/>
        <v>0</v>
      </c>
      <c r="CQ177" s="123">
        <f t="shared" si="359"/>
        <v>0</v>
      </c>
      <c r="CR177" s="123">
        <f t="shared" si="435"/>
        <v>0</v>
      </c>
      <c r="CS177" s="123">
        <f t="shared" si="436"/>
        <v>0</v>
      </c>
      <c r="CT177" s="33">
        <f>IF(CZ176&lt;0.01,0,IF(Plus!$F$22=Plus!$AN$4,0,IF(Plus!$F$22=Plus!$AN$3,CZ176*Plus!$F$23/1000,CZ176*VLOOKUP(Plus!$G$21,Plus!$AP$2:'Plus'!$AQ$5,2,0))))</f>
        <v>0</v>
      </c>
      <c r="CU177" s="123">
        <f>IF(CZ176&lt;0.01,0,IF(Plus!$F$24=Plus!$AO$3,0,IF(OR(Plus!$F$10=Plus!$AK$7,Plus!$F$10=Plus!$AK$13),0,Plus!$G$13*Plus!$AR$2)))</f>
        <v>0</v>
      </c>
      <c r="CV177" s="123">
        <f>IF(CZ176&lt;0.01,0,IF(OR(Plus!$F$10=Plus!$AK$7,Plus!$F$10=Plus!$AK$13),0,Plus!$BD$2*1.16))</f>
        <v>0</v>
      </c>
      <c r="CW177" s="123">
        <f>IF(CZ176&lt;0.01,0,IF(Plus!$AS$2&gt;0,CQ177*Plus!$AS$3,0))</f>
        <v>0</v>
      </c>
      <c r="CX177" s="123">
        <f t="shared" si="360"/>
        <v>0</v>
      </c>
      <c r="CY177" s="123">
        <f>IF(Plus!$F$10=Plus!$AK$3,MIN(CZ176+CQ177+CT177+CU177+CV177-CX177,DK177),0)</f>
        <v>0</v>
      </c>
      <c r="CZ177" s="297">
        <f t="shared" si="440"/>
        <v>0</v>
      </c>
      <c r="DA177" s="306">
        <f>Plus!O218</f>
        <v>0</v>
      </c>
      <c r="DB177" s="74"/>
      <c r="DC177" s="74"/>
      <c r="DD177" s="407">
        <f t="shared" si="361"/>
        <v>0</v>
      </c>
      <c r="DG177" s="90">
        <f t="shared" si="362"/>
        <v>9</v>
      </c>
      <c r="DH177" s="121">
        <f t="shared" si="411"/>
        <v>0</v>
      </c>
      <c r="DJ177" s="149">
        <f t="shared" si="412"/>
        <v>0</v>
      </c>
      <c r="DK177" s="2179">
        <f t="shared" ca="1" si="363"/>
        <v>0</v>
      </c>
      <c r="DN177" s="120">
        <f t="shared" si="413"/>
        <v>0</v>
      </c>
      <c r="DO177" s="110">
        <f t="shared" si="364"/>
        <v>0</v>
      </c>
      <c r="DP177" s="110">
        <f t="shared" si="422"/>
        <v>0</v>
      </c>
      <c r="DQ177" s="109">
        <f t="shared" si="365"/>
        <v>0</v>
      </c>
      <c r="DR177" s="109">
        <f t="shared" si="366"/>
        <v>0</v>
      </c>
      <c r="DS177" s="113">
        <f t="shared" si="367"/>
        <v>0</v>
      </c>
      <c r="DU177" s="102">
        <f t="shared" si="368"/>
        <v>0</v>
      </c>
      <c r="DV177" s="211">
        <f t="shared" si="423"/>
        <v>153</v>
      </c>
      <c r="DW177" s="212">
        <f t="shared" si="369"/>
        <v>0</v>
      </c>
      <c r="DX177" s="212">
        <f t="shared" si="324"/>
        <v>0</v>
      </c>
      <c r="DY177" s="212">
        <f t="shared" si="414"/>
        <v>0</v>
      </c>
      <c r="DZ177" s="213">
        <f t="shared" si="325"/>
        <v>1000000</v>
      </c>
      <c r="ED177" s="182"/>
      <c r="EF177" s="308">
        <f t="shared" ca="1" si="326"/>
        <v>12</v>
      </c>
      <c r="EG177" s="309">
        <f t="shared" si="370"/>
        <v>0</v>
      </c>
      <c r="EH177" s="268">
        <f t="shared" si="327"/>
        <v>0</v>
      </c>
      <c r="EI177" s="33">
        <f t="shared" si="371"/>
        <v>0</v>
      </c>
      <c r="EJ177" s="33">
        <f t="shared" si="437"/>
        <v>0</v>
      </c>
      <c r="EK177" s="33">
        <f t="shared" si="445"/>
        <v>0</v>
      </c>
      <c r="EL177" s="33">
        <f>IF(ER176&lt;0.01,0,IF(Plus!$F$22=Plus!$AN$4,0,IF(Plus!$F$22=Plus!$AN$3,ER176*Plus!$F$23/1000,ER176*VLOOKUP(Plus!$G$21,Plus!$AP$2:'Plus'!$AQ$5,2,0))))</f>
        <v>0</v>
      </c>
      <c r="EM177" s="33">
        <f>IF(ER176&lt;0.01,0,IF(Plus!$F$24=Plus!$AO$3,0,IF(OR(Plus!$F$10=Plus!$AK$7,Plus!$F$10=Plus!$AK$13),0,Plus!$G$13*Plus!$AR$2)))</f>
        <v>0</v>
      </c>
      <c r="EN177" s="33">
        <f>IF(ER176&lt;0.01,0,IF(OR(Plus!$F$10=Plus!$AK$7,Plus!$F$10=Plus!$AK$13),0,Plus!$BD$2*1.16))</f>
        <v>0</v>
      </c>
      <c r="EO177" s="33">
        <f>IF(ER176&lt;0.01,0,IF(Plus!$AS$2&gt;0,EI177*Plus!$AS$3,0))</f>
        <v>0</v>
      </c>
      <c r="EP177" s="33">
        <f t="shared" si="372"/>
        <v>0</v>
      </c>
      <c r="EQ177" s="33">
        <f>IF(Plus!$F$10=Plus!$AK$3,MIN(ER176+EI177+EL177+EM177+EN177-EP177,FC177),0)</f>
        <v>0</v>
      </c>
      <c r="ER177" s="311">
        <f t="shared" si="431"/>
        <v>0</v>
      </c>
      <c r="ES177" s="340">
        <f>Plus!O218</f>
        <v>0</v>
      </c>
      <c r="ET177" s="74"/>
      <c r="EU177" s="74"/>
      <c r="EV177" s="416">
        <f t="shared" si="429"/>
        <v>0</v>
      </c>
      <c r="EY177" s="90">
        <f t="shared" si="373"/>
        <v>9</v>
      </c>
      <c r="EZ177" s="121">
        <f t="shared" si="415"/>
        <v>0</v>
      </c>
      <c r="FB177" s="149">
        <f t="shared" si="416"/>
        <v>0</v>
      </c>
      <c r="FC177" s="2179">
        <f t="shared" ca="1" si="374"/>
        <v>0</v>
      </c>
      <c r="FE177" s="120">
        <f t="shared" si="417"/>
        <v>0</v>
      </c>
      <c r="FF177" s="110">
        <f t="shared" si="375"/>
        <v>0</v>
      </c>
      <c r="FG177" s="110">
        <f t="shared" si="376"/>
        <v>0</v>
      </c>
      <c r="FH177" s="109">
        <f t="shared" si="377"/>
        <v>0</v>
      </c>
      <c r="FI177" s="109">
        <f t="shared" si="328"/>
        <v>0</v>
      </c>
      <c r="FJ177" s="113">
        <f t="shared" si="378"/>
        <v>0</v>
      </c>
      <c r="FL177" s="102">
        <f t="shared" si="379"/>
        <v>0</v>
      </c>
      <c r="FM177" s="211">
        <f t="shared" si="424"/>
        <v>153</v>
      </c>
      <c r="FN177" s="212">
        <f t="shared" si="380"/>
        <v>0</v>
      </c>
      <c r="FO177" s="212">
        <f t="shared" si="329"/>
        <v>0</v>
      </c>
      <c r="FP177" s="212">
        <f t="shared" si="441"/>
        <v>0</v>
      </c>
      <c r="FQ177" s="213">
        <f t="shared" si="330"/>
        <v>1000000</v>
      </c>
      <c r="FV177" s="359"/>
      <c r="FX177" s="308">
        <f t="shared" ca="1" si="331"/>
        <v>12</v>
      </c>
      <c r="FY177" s="309">
        <f t="shared" si="381"/>
        <v>0</v>
      </c>
      <c r="FZ177" s="268">
        <f t="shared" si="332"/>
        <v>0</v>
      </c>
      <c r="GA177" s="33">
        <f t="shared" si="382"/>
        <v>0</v>
      </c>
      <c r="GB177" s="33">
        <f t="shared" si="438"/>
        <v>0</v>
      </c>
      <c r="GC177" s="33">
        <f t="shared" si="439"/>
        <v>0</v>
      </c>
      <c r="GD177" s="33">
        <f>IF(GJ176&lt;0.01,0,IF(Plus!$F$22=Plus!$AN$4,0,IF(Plus!$F$22=Plus!$AN$3,GJ176*Plus!$F$23/1000,GJ176*VLOOKUP(Plus!$G$21,Plus!$AP$2:$AQ$5,2,0))))</f>
        <v>0</v>
      </c>
      <c r="GE177" s="33">
        <f>IF(GJ176&lt;0.01,0,IF(Plus!$F$24=Plus!$AO$3,0,IF(OR(Plus!$F$10=Plus!$AK$7,Plus!$F$10=Plus!$AK$13,Plus!$F$10=Plus!$AK$14),0,IF(OR(Plus!$F$10=Plus!$AK$10,Plus!$F$10=Plus!$AK$11),Plus!$G$13*Adm!$W$7,Plus!$G$13*Adm!$X$4))))</f>
        <v>0</v>
      </c>
      <c r="GF177" s="33">
        <f>IF(GJ176&lt;0.01,0,IF(OR(Plus!$F$10=Plus!$AK$7,Plus!$F$10=Plus!$AK$13),0,Plus!$BD$2*1.16))</f>
        <v>0</v>
      </c>
      <c r="GG177" s="33">
        <f>IF(GJ176&lt;0.01,0,IF(Plus!$AS$2&gt;0,GA177*Plus!$AS$3,0))</f>
        <v>0</v>
      </c>
      <c r="GH177" s="33">
        <f t="shared" si="383"/>
        <v>0</v>
      </c>
      <c r="GI177" s="33">
        <f>IF(Plus!$F$10=Plus!$AK$3,MIN(GJ176+GA177+GD177+GE177+GF177-GH177,GU177),0)</f>
        <v>0</v>
      </c>
      <c r="GJ177" s="311">
        <f t="shared" si="432"/>
        <v>0</v>
      </c>
      <c r="GK177" s="340">
        <f>Plus!O218</f>
        <v>0</v>
      </c>
      <c r="GL177" s="74"/>
      <c r="GM177" s="74"/>
      <c r="GN177" s="419">
        <f t="shared" si="430"/>
        <v>0</v>
      </c>
      <c r="GQ177" s="90">
        <f t="shared" si="384"/>
        <v>9</v>
      </c>
      <c r="GR177" s="121">
        <f t="shared" si="418"/>
        <v>0</v>
      </c>
      <c r="GT177" s="149">
        <f t="shared" si="419"/>
        <v>0</v>
      </c>
      <c r="GU177" s="2179">
        <f t="shared" ca="1" si="385"/>
        <v>0</v>
      </c>
      <c r="GW177" s="120">
        <f t="shared" si="420"/>
        <v>0</v>
      </c>
      <c r="GX177" s="110">
        <f t="shared" si="386"/>
        <v>0</v>
      </c>
      <c r="GY177" s="110">
        <f t="shared" si="387"/>
        <v>0</v>
      </c>
      <c r="GZ177" s="109">
        <f t="shared" si="388"/>
        <v>0</v>
      </c>
      <c r="HA177" s="109">
        <f t="shared" si="333"/>
        <v>0</v>
      </c>
      <c r="HB177" s="113">
        <f t="shared" si="389"/>
        <v>0</v>
      </c>
      <c r="HD177" s="102">
        <f t="shared" si="390"/>
        <v>0</v>
      </c>
      <c r="HE177" s="211">
        <f t="shared" si="425"/>
        <v>153</v>
      </c>
      <c r="HF177" s="212">
        <f t="shared" si="391"/>
        <v>0</v>
      </c>
      <c r="HG177" s="212">
        <f t="shared" si="334"/>
        <v>0</v>
      </c>
      <c r="HH177" s="212">
        <f t="shared" si="442"/>
        <v>0</v>
      </c>
      <c r="HI177" s="213">
        <f t="shared" si="335"/>
        <v>1000000</v>
      </c>
      <c r="HL177" s="182"/>
      <c r="HM177" s="26">
        <f t="shared" ca="1" si="336"/>
        <v>12</v>
      </c>
      <c r="HO177" s="268">
        <f t="shared" si="337"/>
        <v>0</v>
      </c>
      <c r="HP177" s="151">
        <f t="shared" si="302"/>
        <v>0</v>
      </c>
      <c r="HQ177" s="123">
        <f t="shared" si="392"/>
        <v>0</v>
      </c>
      <c r="HR177" s="123">
        <f t="shared" si="393"/>
        <v>0</v>
      </c>
      <c r="HS177" s="123">
        <f t="shared" si="394"/>
        <v>0</v>
      </c>
      <c r="HT177" s="123">
        <f>IF(HY176&lt;0.01,0,IF(Adm!$GS$4=Adm!$GS$8,HY176*$HY$15,IF(Adm!$GS$12=Adm!$GS$13,0,HY176*Adm!$GV$4)))</f>
        <v>0</v>
      </c>
      <c r="HU177" s="123">
        <f>IF(HY176&lt;0.01,0,IF(Adm!$GS$5=Adm!$GS$8,Cal!$BO$108*$HY$16/1.16,IF(Adm!$GS$12=Adm!$GS$13,0,Cal!$BO$108*Adm!$GW$4/1.16)))</f>
        <v>0</v>
      </c>
      <c r="HV177" s="123">
        <f t="shared" si="395"/>
        <v>0</v>
      </c>
      <c r="HW177" s="123">
        <f t="shared" si="338"/>
        <v>0</v>
      </c>
      <c r="HX177" s="123">
        <f>IF(Adm!$GH$6="si",MIN(HY176+HQ177+HT177+HU177+HV177-HW177,IH177),0)</f>
        <v>0</v>
      </c>
      <c r="HY177" s="297">
        <f t="shared" si="396"/>
        <v>0</v>
      </c>
      <c r="HZ177" s="74"/>
      <c r="IA177" s="407">
        <f t="shared" si="397"/>
        <v>0</v>
      </c>
      <c r="IC177" s="90">
        <f t="shared" si="398"/>
        <v>9</v>
      </c>
      <c r="ID177" s="124">
        <f>IF(IC177=1,Cal!$BO$127,0)</f>
        <v>0</v>
      </c>
      <c r="IE177" s="178">
        <f>IF(IC177=1,Adm!$HI$4,0)</f>
        <v>0</v>
      </c>
      <c r="IG177" s="70">
        <f t="shared" si="421"/>
        <v>0</v>
      </c>
      <c r="IH177" s="2178">
        <f t="shared" ca="1" si="399"/>
        <v>0</v>
      </c>
      <c r="IK177" s="217"/>
      <c r="IL177" s="26">
        <f t="shared" ca="1" si="339"/>
        <v>12</v>
      </c>
      <c r="IN177" s="268">
        <f t="shared" si="340"/>
        <v>0</v>
      </c>
      <c r="IO177" s="151">
        <f t="shared" si="303"/>
        <v>0</v>
      </c>
      <c r="IP177" s="123">
        <f t="shared" si="400"/>
        <v>0</v>
      </c>
      <c r="IQ177" s="123">
        <f t="shared" si="401"/>
        <v>0</v>
      </c>
      <c r="IR177" s="123">
        <f t="shared" si="402"/>
        <v>0</v>
      </c>
      <c r="IS177" s="123">
        <f>IF(IX176&lt;0.01,0,IF(Adm!$GS$4=Adm!$GS$8,IX176*$IX$15,IF(Adm!$GS$12=Adm!$GS$13,0,IX176*Adm!$GV$4)))</f>
        <v>0</v>
      </c>
      <c r="IT177" s="123"/>
      <c r="IU177" s="123">
        <f t="shared" si="403"/>
        <v>0</v>
      </c>
      <c r="IV177" s="123">
        <f t="shared" si="404"/>
        <v>0</v>
      </c>
      <c r="IW177" s="123"/>
      <c r="IX177" s="297">
        <f t="shared" si="405"/>
        <v>0</v>
      </c>
      <c r="IY177" s="74"/>
      <c r="IZ177" s="416">
        <f t="shared" si="406"/>
        <v>0</v>
      </c>
      <c r="JB177" s="90">
        <f t="shared" si="407"/>
        <v>9</v>
      </c>
      <c r="JC177" s="124">
        <f>IF(JB177=1,Cal!$BP$127,0)</f>
        <v>0</v>
      </c>
      <c r="JD177" s="178">
        <f>IF(JB177=1,Adm!$HI$4,0)</f>
        <v>0</v>
      </c>
    </row>
    <row r="178" spans="1:264">
      <c r="A178" s="26">
        <f t="shared" ca="1" si="308"/>
        <v>1</v>
      </c>
      <c r="C178" s="33">
        <f t="shared" si="309"/>
        <v>0</v>
      </c>
      <c r="D178" s="123">
        <f t="shared" si="341"/>
        <v>0</v>
      </c>
      <c r="E178" s="123">
        <f t="shared" si="433"/>
        <v>0</v>
      </c>
      <c r="F178" s="123">
        <f t="shared" si="443"/>
        <v>0</v>
      </c>
      <c r="G178" s="123">
        <f>IF(L177&lt;0.01,0,IF(Adm!$S$4=Adm!$S$8,L177*$L$15,L177*Adm!$V$4))</f>
        <v>0</v>
      </c>
      <c r="H178" s="123">
        <f>IF(L177&lt;0.01,0,IF(Adm!$S$5=Adm!$S$8,Adm!$AA$11*$L$16/1.16,IF(Adm!$B$4=Adm!$A$119,0,Adm!$AA$11*Adm!$X$4/1.16)))</f>
        <v>0</v>
      </c>
      <c r="I178" s="123">
        <f>IF(L177&lt;0.01,0,Cal!$AB$126/1.16)</f>
        <v>0</v>
      </c>
      <c r="J178" s="123">
        <f t="shared" si="310"/>
        <v>0</v>
      </c>
      <c r="K178" s="123">
        <f>IF(Adm!$G$4="si",MIN(L177+D178+G178+H178+I178-J178,V178),0)</f>
        <v>0</v>
      </c>
      <c r="L178" s="123">
        <f t="shared" si="342"/>
        <v>0</v>
      </c>
      <c r="M178" s="74"/>
      <c r="N178" s="74"/>
      <c r="O178" s="407">
        <f t="shared" si="343"/>
        <v>0</v>
      </c>
      <c r="R178" s="90">
        <f t="shared" si="344"/>
        <v>10</v>
      </c>
      <c r="S178" s="121">
        <f>IF(R178=1,Cal!$AB$127,0)</f>
        <v>0</v>
      </c>
      <c r="U178" s="70">
        <f t="shared" si="408"/>
        <v>0</v>
      </c>
      <c r="V178" s="2178">
        <f t="shared" ca="1" si="345"/>
        <v>0</v>
      </c>
      <c r="X178" s="398"/>
      <c r="Z178" s="268">
        <f t="shared" si="311"/>
        <v>0</v>
      </c>
      <c r="AA178" s="2176">
        <f t="shared" si="346"/>
        <v>0</v>
      </c>
      <c r="AB178" s="33">
        <f t="shared" si="347"/>
        <v>0</v>
      </c>
      <c r="AC178" s="33">
        <f t="shared" si="348"/>
        <v>0</v>
      </c>
      <c r="AD178" s="33">
        <f>IF(AI177&lt;0.01,0,IF(Adm!$S$4=Adm!$S$8,AI177*$AI$15,AI177*Adm!$V$4))</f>
        <v>0</v>
      </c>
      <c r="AE178" s="33"/>
      <c r="AF178" s="33"/>
      <c r="AG178" s="33">
        <f t="shared" si="312"/>
        <v>0</v>
      </c>
      <c r="AH178" s="33"/>
      <c r="AI178" s="401">
        <f t="shared" si="313"/>
        <v>0</v>
      </c>
      <c r="AK178" s="410">
        <f t="shared" si="314"/>
        <v>0</v>
      </c>
      <c r="AN178" s="90">
        <f t="shared" si="349"/>
        <v>10</v>
      </c>
      <c r="AO178" s="121">
        <f>IF(AN178=1,Cal!$AC$127,0)</f>
        <v>0</v>
      </c>
      <c r="AS178" s="200"/>
      <c r="AU178" s="268">
        <f t="shared" si="315"/>
        <v>0</v>
      </c>
      <c r="AV178" s="2177">
        <f t="shared" si="350"/>
        <v>0</v>
      </c>
      <c r="AW178" s="123">
        <f t="shared" si="316"/>
        <v>0</v>
      </c>
      <c r="AX178" s="123">
        <f t="shared" si="351"/>
        <v>0</v>
      </c>
      <c r="AY178" s="123">
        <f>IF(BC177&lt;0.01,0,IF(Adm!$S$4=Adm!$S$8,BC177*$BC$16,BC177*Adm!$V$4))</f>
        <v>0</v>
      </c>
      <c r="AZ178" s="123"/>
      <c r="BA178" s="123">
        <f>IF(BC177&lt;0.01,0,Adm!$Q$6)</f>
        <v>0</v>
      </c>
      <c r="BB178" s="123">
        <f t="shared" si="317"/>
        <v>0</v>
      </c>
      <c r="BC178" s="297">
        <f t="shared" si="352"/>
        <v>0</v>
      </c>
      <c r="BE178" s="425">
        <f t="shared" si="318"/>
        <v>0</v>
      </c>
      <c r="BH178" s="90">
        <f t="shared" si="353"/>
        <v>10</v>
      </c>
      <c r="BI178" s="121">
        <f>IF(BH178=1,Cal!$AD$127,0)</f>
        <v>0</v>
      </c>
      <c r="BM178" s="221"/>
      <c r="BO178" s="295">
        <f t="shared" ca="1" si="319"/>
        <v>1</v>
      </c>
      <c r="BP178" s="268">
        <f t="shared" si="320"/>
        <v>0</v>
      </c>
      <c r="BQ178" s="123">
        <f t="shared" si="354"/>
        <v>0</v>
      </c>
      <c r="BR178" s="123">
        <f t="shared" si="434"/>
        <v>0</v>
      </c>
      <c r="BS178" s="123">
        <f t="shared" si="444"/>
        <v>0</v>
      </c>
      <c r="BT178" s="123">
        <f>IF(BZ177&lt;0.01,0,IF(Plus!$F$22=Plus!$AN$4,BZ177*$BZ$15,IF(Plus!$F$22=Plus!$AN$3,BZ177*Plus!$F$23/1000,BZ177*VLOOKUP(Plus!$G$21,Plus!$AP$2:'Plus'!$AQ$5,2,0))))</f>
        <v>0</v>
      </c>
      <c r="BU178" s="123">
        <f>IF(BZ177&lt;0.01,0,IF(Plus!$F$24=Plus!$AO$3,Plus!$G$13*Plus!$AR$2/1.16,IF(Plus!$F$10=Plus!$AK$7,0,Plus!$G$13*Plus!$AR$2/1.16)))</f>
        <v>0</v>
      </c>
      <c r="BV178" s="123">
        <f>IF(BZ177&lt;0.01,0,Plus!$BD$2)</f>
        <v>0</v>
      </c>
      <c r="BW178" s="123"/>
      <c r="BX178" s="123">
        <f t="shared" si="321"/>
        <v>0</v>
      </c>
      <c r="BY178" s="123">
        <f>IF(Plus!$F$10=Plus!$AK$3,MIN(BZ177+BQ178+BT178+BU178+BV178-BX178,CJ178),0)</f>
        <v>0</v>
      </c>
      <c r="BZ178" s="297">
        <f t="shared" si="428"/>
        <v>0</v>
      </c>
      <c r="CA178" s="74"/>
      <c r="CB178" s="74"/>
      <c r="CC178" s="413">
        <f t="shared" si="355"/>
        <v>0</v>
      </c>
      <c r="CF178" s="90">
        <f t="shared" si="356"/>
        <v>10</v>
      </c>
      <c r="CG178" s="121">
        <f t="shared" si="409"/>
        <v>0</v>
      </c>
      <c r="CI178" s="70">
        <f t="shared" si="410"/>
        <v>0</v>
      </c>
      <c r="CJ178" s="2178">
        <f t="shared" ca="1" si="357"/>
        <v>0</v>
      </c>
      <c r="CL178" s="161"/>
      <c r="CN178" s="308">
        <f t="shared" ca="1" si="322"/>
        <v>1</v>
      </c>
      <c r="CO178" s="309">
        <f t="shared" si="358"/>
        <v>0</v>
      </c>
      <c r="CP178" s="268">
        <f t="shared" si="323"/>
        <v>0</v>
      </c>
      <c r="CQ178" s="123">
        <f t="shared" si="359"/>
        <v>0</v>
      </c>
      <c r="CR178" s="123">
        <f t="shared" si="435"/>
        <v>0</v>
      </c>
      <c r="CS178" s="123">
        <f t="shared" si="436"/>
        <v>0</v>
      </c>
      <c r="CT178" s="33">
        <f>IF(CZ177&lt;0.01,0,IF(Plus!$F$22=Plus!$AN$4,0,IF(Plus!$F$22=Plus!$AN$3,CZ177*Plus!$F$23/1000,CZ177*VLOOKUP(Plus!$G$21,Plus!$AP$2:'Plus'!$AQ$5,2,0))))</f>
        <v>0</v>
      </c>
      <c r="CU178" s="123">
        <f>IF(CZ177&lt;0.01,0,IF(Plus!$F$24=Plus!$AO$3,0,IF(OR(Plus!$F$10=Plus!$AK$7,Plus!$F$10=Plus!$AK$13),0,Plus!$G$13*Plus!$AR$2)))</f>
        <v>0</v>
      </c>
      <c r="CV178" s="123">
        <f>IF(CZ177&lt;0.01,0,IF(OR(Plus!$F$10=Plus!$AK$7,Plus!$F$10=Plus!$AK$13),0,Plus!$BD$2*1.16))</f>
        <v>0</v>
      </c>
      <c r="CW178" s="123">
        <f>IF(CZ177&lt;0.01,0,IF(Plus!$AS$2&gt;0,CQ178*Plus!$AS$3,0))</f>
        <v>0</v>
      </c>
      <c r="CX178" s="123">
        <f t="shared" si="360"/>
        <v>0</v>
      </c>
      <c r="CY178" s="123">
        <f>IF(Plus!$F$10=Plus!$AK$3,MIN(CZ177+CQ178+CT178+CU178+CV178-CX178,DK178),0)</f>
        <v>0</v>
      </c>
      <c r="CZ178" s="297">
        <f t="shared" si="440"/>
        <v>0</v>
      </c>
      <c r="DA178" s="306">
        <f>Plus!O219</f>
        <v>0</v>
      </c>
      <c r="DB178" s="74"/>
      <c r="DC178" s="74"/>
      <c r="DD178" s="407">
        <f t="shared" si="361"/>
        <v>0</v>
      </c>
      <c r="DG178" s="90">
        <f t="shared" si="362"/>
        <v>10</v>
      </c>
      <c r="DH178" s="121">
        <f t="shared" si="411"/>
        <v>0</v>
      </c>
      <c r="DJ178" s="149">
        <f t="shared" si="412"/>
        <v>0</v>
      </c>
      <c r="DK178" s="2179">
        <f t="shared" ca="1" si="363"/>
        <v>0</v>
      </c>
      <c r="DN178" s="120">
        <f t="shared" si="413"/>
        <v>0</v>
      </c>
      <c r="DO178" s="110">
        <f t="shared" si="364"/>
        <v>0</v>
      </c>
      <c r="DP178" s="110">
        <f t="shared" si="422"/>
        <v>0</v>
      </c>
      <c r="DQ178" s="109">
        <f t="shared" si="365"/>
        <v>0</v>
      </c>
      <c r="DR178" s="109">
        <f t="shared" si="366"/>
        <v>0</v>
      </c>
      <c r="DS178" s="113">
        <f t="shared" si="367"/>
        <v>0</v>
      </c>
      <c r="DU178" s="102">
        <f t="shared" si="368"/>
        <v>0</v>
      </c>
      <c r="DV178" s="211">
        <f t="shared" si="423"/>
        <v>154</v>
      </c>
      <c r="DW178" s="212">
        <f t="shared" si="369"/>
        <v>0</v>
      </c>
      <c r="DX178" s="212">
        <f t="shared" si="324"/>
        <v>0</v>
      </c>
      <c r="DY178" s="212">
        <f t="shared" si="414"/>
        <v>0</v>
      </c>
      <c r="DZ178" s="213">
        <f t="shared" si="325"/>
        <v>1000000</v>
      </c>
      <c r="ED178" s="182"/>
      <c r="EF178" s="308">
        <f t="shared" ca="1" si="326"/>
        <v>1</v>
      </c>
      <c r="EG178" s="309">
        <f t="shared" si="370"/>
        <v>0</v>
      </c>
      <c r="EH178" s="268">
        <f t="shared" si="327"/>
        <v>0</v>
      </c>
      <c r="EI178" s="33">
        <f t="shared" si="371"/>
        <v>0</v>
      </c>
      <c r="EJ178" s="33">
        <f t="shared" si="437"/>
        <v>0</v>
      </c>
      <c r="EK178" s="33">
        <f t="shared" si="445"/>
        <v>0</v>
      </c>
      <c r="EL178" s="33">
        <f>IF(ER177&lt;0.01,0,IF(Plus!$F$22=Plus!$AN$4,0,IF(Plus!$F$22=Plus!$AN$3,ER177*Plus!$F$23/1000,ER177*VLOOKUP(Plus!$G$21,Plus!$AP$2:'Plus'!$AQ$5,2,0))))</f>
        <v>0</v>
      </c>
      <c r="EM178" s="33">
        <f>IF(ER177&lt;0.01,0,IF(Plus!$F$24=Plus!$AO$3,0,IF(OR(Plus!$F$10=Plus!$AK$7,Plus!$F$10=Plus!$AK$13),0,Plus!$G$13*Plus!$AR$2)))</f>
        <v>0</v>
      </c>
      <c r="EN178" s="33">
        <f>IF(ER177&lt;0.01,0,IF(OR(Plus!$F$10=Plus!$AK$7,Plus!$F$10=Plus!$AK$13),0,Plus!$BD$2*1.16))</f>
        <v>0</v>
      </c>
      <c r="EO178" s="33">
        <f>IF(ER177&lt;0.01,0,IF(Plus!$AS$2&gt;0,EI178*Plus!$AS$3,0))</f>
        <v>0</v>
      </c>
      <c r="EP178" s="33">
        <f t="shared" si="372"/>
        <v>0</v>
      </c>
      <c r="EQ178" s="33">
        <f>IF(Plus!$F$10=Plus!$AK$3,MIN(ER177+EI178+EL178+EM178+EN178-EP178,FC178),0)</f>
        <v>0</v>
      </c>
      <c r="ER178" s="311">
        <f t="shared" si="431"/>
        <v>0</v>
      </c>
      <c r="ES178" s="340">
        <f>Plus!O219</f>
        <v>0</v>
      </c>
      <c r="ET178" s="74"/>
      <c r="EU178" s="74"/>
      <c r="EV178" s="416">
        <f t="shared" si="429"/>
        <v>0</v>
      </c>
      <c r="EY178" s="90">
        <f t="shared" si="373"/>
        <v>10</v>
      </c>
      <c r="EZ178" s="121">
        <f t="shared" si="415"/>
        <v>0</v>
      </c>
      <c r="FB178" s="149">
        <f t="shared" si="416"/>
        <v>0</v>
      </c>
      <c r="FC178" s="2179">
        <f t="shared" ca="1" si="374"/>
        <v>0</v>
      </c>
      <c r="FE178" s="120">
        <f t="shared" si="417"/>
        <v>0</v>
      </c>
      <c r="FF178" s="110">
        <f t="shared" si="375"/>
        <v>0</v>
      </c>
      <c r="FG178" s="110">
        <f t="shared" si="376"/>
        <v>0</v>
      </c>
      <c r="FH178" s="109">
        <f t="shared" si="377"/>
        <v>0</v>
      </c>
      <c r="FI178" s="109">
        <f t="shared" si="328"/>
        <v>0</v>
      </c>
      <c r="FJ178" s="113">
        <f t="shared" si="378"/>
        <v>0</v>
      </c>
      <c r="FL178" s="102">
        <f t="shared" si="379"/>
        <v>0</v>
      </c>
      <c r="FM178" s="211">
        <f t="shared" si="424"/>
        <v>154</v>
      </c>
      <c r="FN178" s="212">
        <f t="shared" si="380"/>
        <v>0</v>
      </c>
      <c r="FO178" s="212">
        <f t="shared" si="329"/>
        <v>0</v>
      </c>
      <c r="FP178" s="212">
        <f t="shared" si="441"/>
        <v>0</v>
      </c>
      <c r="FQ178" s="213">
        <f t="shared" si="330"/>
        <v>1000000</v>
      </c>
      <c r="FV178" s="359"/>
      <c r="FX178" s="308">
        <f t="shared" ca="1" si="331"/>
        <v>1</v>
      </c>
      <c r="FY178" s="309">
        <f t="shared" si="381"/>
        <v>0</v>
      </c>
      <c r="FZ178" s="268">
        <f t="shared" si="332"/>
        <v>0</v>
      </c>
      <c r="GA178" s="33">
        <f t="shared" si="382"/>
        <v>0</v>
      </c>
      <c r="GB178" s="33">
        <f t="shared" si="438"/>
        <v>0</v>
      </c>
      <c r="GC178" s="33">
        <f t="shared" si="439"/>
        <v>0</v>
      </c>
      <c r="GD178" s="33">
        <f>IF(GJ177&lt;0.01,0,IF(Plus!$F$22=Plus!$AN$4,0,IF(Plus!$F$22=Plus!$AN$3,GJ177*Plus!$F$23/1000,GJ177*VLOOKUP(Plus!$G$21,Plus!$AP$2:$AQ$5,2,0))))</f>
        <v>0</v>
      </c>
      <c r="GE178" s="33">
        <f>IF(GJ177&lt;0.01,0,IF(Plus!$F$24=Plus!$AO$3,0,IF(OR(Plus!$F$10=Plus!$AK$7,Plus!$F$10=Plus!$AK$13,Plus!$F$10=Plus!$AK$14),0,IF(OR(Plus!$F$10=Plus!$AK$10,Plus!$F$10=Plus!$AK$11),Plus!$G$13*Adm!$W$7,Plus!$G$13*Adm!$X$4))))</f>
        <v>0</v>
      </c>
      <c r="GF178" s="33">
        <f>IF(GJ177&lt;0.01,0,IF(OR(Plus!$F$10=Plus!$AK$7,Plus!$F$10=Plus!$AK$13),0,Plus!$BD$2*1.16))</f>
        <v>0</v>
      </c>
      <c r="GG178" s="33">
        <f>IF(GJ177&lt;0.01,0,IF(Plus!$AS$2&gt;0,GA178*Plus!$AS$3,0))</f>
        <v>0</v>
      </c>
      <c r="GH178" s="33">
        <f t="shared" si="383"/>
        <v>0</v>
      </c>
      <c r="GI178" s="33">
        <f>IF(Plus!$F$10=Plus!$AK$3,MIN(GJ177+GA178+GD178+GE178+GF178-GH178,GU178),0)</f>
        <v>0</v>
      </c>
      <c r="GJ178" s="311">
        <f t="shared" si="432"/>
        <v>0</v>
      </c>
      <c r="GK178" s="340">
        <f>Plus!O219</f>
        <v>0</v>
      </c>
      <c r="GL178" s="74"/>
      <c r="GM178" s="74"/>
      <c r="GN178" s="419">
        <f t="shared" si="430"/>
        <v>0</v>
      </c>
      <c r="GQ178" s="90">
        <f t="shared" si="384"/>
        <v>10</v>
      </c>
      <c r="GR178" s="121">
        <f t="shared" si="418"/>
        <v>0</v>
      </c>
      <c r="GT178" s="149">
        <f t="shared" si="419"/>
        <v>0</v>
      </c>
      <c r="GU178" s="2179">
        <f t="shared" ca="1" si="385"/>
        <v>0</v>
      </c>
      <c r="GW178" s="120">
        <f t="shared" si="420"/>
        <v>0</v>
      </c>
      <c r="GX178" s="110">
        <f t="shared" si="386"/>
        <v>0</v>
      </c>
      <c r="GY178" s="110">
        <f t="shared" si="387"/>
        <v>0</v>
      </c>
      <c r="GZ178" s="109">
        <f t="shared" si="388"/>
        <v>0</v>
      </c>
      <c r="HA178" s="109">
        <f t="shared" si="333"/>
        <v>0</v>
      </c>
      <c r="HB178" s="113">
        <f t="shared" si="389"/>
        <v>0</v>
      </c>
      <c r="HD178" s="102">
        <f t="shared" si="390"/>
        <v>0</v>
      </c>
      <c r="HE178" s="211">
        <f t="shared" si="425"/>
        <v>154</v>
      </c>
      <c r="HF178" s="212">
        <f t="shared" si="391"/>
        <v>0</v>
      </c>
      <c r="HG178" s="212">
        <f t="shared" si="334"/>
        <v>0</v>
      </c>
      <c r="HH178" s="212">
        <f t="shared" si="442"/>
        <v>0</v>
      </c>
      <c r="HI178" s="213">
        <f t="shared" si="335"/>
        <v>1000000</v>
      </c>
      <c r="HL178" s="182"/>
      <c r="HM178" s="26">
        <f t="shared" ca="1" si="336"/>
        <v>1</v>
      </c>
      <c r="HO178" s="268">
        <f t="shared" si="337"/>
        <v>0</v>
      </c>
      <c r="HP178" s="151">
        <f t="shared" si="302"/>
        <v>0</v>
      </c>
      <c r="HQ178" s="123">
        <f t="shared" si="392"/>
        <v>0</v>
      </c>
      <c r="HR178" s="123">
        <f t="shared" si="393"/>
        <v>0</v>
      </c>
      <c r="HS178" s="123">
        <f t="shared" si="394"/>
        <v>0</v>
      </c>
      <c r="HT178" s="123">
        <f>IF(HY177&lt;0.01,0,IF(Adm!$GS$4=Adm!$GS$8,HY177*$HY$15,IF(Adm!$GS$12=Adm!$GS$13,0,HY177*Adm!$GV$4)))</f>
        <v>0</v>
      </c>
      <c r="HU178" s="123">
        <f>IF(HY177&lt;0.01,0,IF(Adm!$GS$5=Adm!$GS$8,Cal!$BO$108*$HY$16/1.16,IF(Adm!$GS$12=Adm!$GS$13,0,Cal!$BO$108*Adm!$GW$4/1.16)))</f>
        <v>0</v>
      </c>
      <c r="HV178" s="123">
        <f t="shared" si="395"/>
        <v>0</v>
      </c>
      <c r="HW178" s="123">
        <f t="shared" si="338"/>
        <v>0</v>
      </c>
      <c r="HX178" s="123">
        <f>IF(Adm!$GH$6="si",MIN(HY177+HQ178+HT178+HU178+HV178-HW178,IH178),0)</f>
        <v>0</v>
      </c>
      <c r="HY178" s="297">
        <f t="shared" si="396"/>
        <v>0</v>
      </c>
      <c r="HZ178" s="74"/>
      <c r="IA178" s="407">
        <f t="shared" si="397"/>
        <v>0</v>
      </c>
      <c r="IC178" s="90">
        <f t="shared" si="398"/>
        <v>10</v>
      </c>
      <c r="ID178" s="124">
        <f>IF(IC178=1,Cal!$BO$127,0)</f>
        <v>0</v>
      </c>
      <c r="IE178" s="178">
        <f>IF(IC178=1,Adm!$HI$4,0)</f>
        <v>0</v>
      </c>
      <c r="IG178" s="70">
        <f t="shared" si="421"/>
        <v>0</v>
      </c>
      <c r="IH178" s="2178">
        <f t="shared" ca="1" si="399"/>
        <v>0</v>
      </c>
      <c r="IK178" s="217"/>
      <c r="IL178" s="26">
        <f t="shared" ca="1" si="339"/>
        <v>1</v>
      </c>
      <c r="IN178" s="268">
        <f t="shared" si="340"/>
        <v>0</v>
      </c>
      <c r="IO178" s="151">
        <f t="shared" si="303"/>
        <v>0</v>
      </c>
      <c r="IP178" s="123">
        <f t="shared" si="400"/>
        <v>0</v>
      </c>
      <c r="IQ178" s="123">
        <f t="shared" si="401"/>
        <v>0</v>
      </c>
      <c r="IR178" s="123">
        <f t="shared" si="402"/>
        <v>0</v>
      </c>
      <c r="IS178" s="123">
        <f>IF(IX177&lt;0.01,0,IF(Adm!$GS$4=Adm!$GS$8,IX177*$IX$15,IF(Adm!$GS$12=Adm!$GS$13,0,IX177*Adm!$GV$4)))</f>
        <v>0</v>
      </c>
      <c r="IT178" s="123"/>
      <c r="IU178" s="123">
        <f t="shared" si="403"/>
        <v>0</v>
      </c>
      <c r="IV178" s="123">
        <f t="shared" si="404"/>
        <v>0</v>
      </c>
      <c r="IW178" s="123"/>
      <c r="IX178" s="297">
        <f t="shared" si="405"/>
        <v>0</v>
      </c>
      <c r="IY178" s="74"/>
      <c r="IZ178" s="416">
        <f t="shared" si="406"/>
        <v>0</v>
      </c>
      <c r="JB178" s="90">
        <f t="shared" si="407"/>
        <v>10</v>
      </c>
      <c r="JC178" s="124">
        <f>IF(JB178=1,Cal!$BP$127,0)</f>
        <v>0</v>
      </c>
      <c r="JD178" s="178">
        <f>IF(JB178=1,Adm!$HI$4,0)</f>
        <v>0</v>
      </c>
    </row>
    <row r="179" spans="1:264">
      <c r="A179" s="26">
        <f t="shared" ca="1" si="308"/>
        <v>2</v>
      </c>
      <c r="C179" s="33">
        <f t="shared" si="309"/>
        <v>0</v>
      </c>
      <c r="D179" s="123">
        <f t="shared" si="341"/>
        <v>0</v>
      </c>
      <c r="E179" s="123">
        <f t="shared" si="433"/>
        <v>0</v>
      </c>
      <c r="F179" s="123">
        <f t="shared" si="443"/>
        <v>0</v>
      </c>
      <c r="G179" s="123">
        <f>IF(L178&lt;0.01,0,IF(Adm!$S$4=Adm!$S$8,L178*$L$15,L178*Adm!$V$4))</f>
        <v>0</v>
      </c>
      <c r="H179" s="123">
        <f>IF(L178&lt;0.01,0,IF(Adm!$S$5=Adm!$S$8,Adm!$AA$11*$L$16/1.16,IF(Adm!$B$4=Adm!$A$119,0,Adm!$AA$11*Adm!$X$4/1.16)))</f>
        <v>0</v>
      </c>
      <c r="I179" s="123">
        <f>IF(L178&lt;0.01,0,Cal!$AB$126/1.16)</f>
        <v>0</v>
      </c>
      <c r="J179" s="123">
        <f t="shared" si="310"/>
        <v>0</v>
      </c>
      <c r="K179" s="123">
        <f>IF(Adm!$G$4="si",MIN(L178+D179+G179+H179+I179-J179,V179),0)</f>
        <v>0</v>
      </c>
      <c r="L179" s="123">
        <f t="shared" si="342"/>
        <v>0</v>
      </c>
      <c r="M179" s="74"/>
      <c r="N179" s="74"/>
      <c r="O179" s="407">
        <f t="shared" si="343"/>
        <v>0</v>
      </c>
      <c r="R179" s="90">
        <f t="shared" si="344"/>
        <v>11</v>
      </c>
      <c r="S179" s="121">
        <f>IF(R179=1,Cal!$AB$127,0)</f>
        <v>0</v>
      </c>
      <c r="U179" s="70">
        <f t="shared" si="408"/>
        <v>0</v>
      </c>
      <c r="V179" s="2178">
        <f t="shared" ca="1" si="345"/>
        <v>0</v>
      </c>
      <c r="X179" s="398"/>
      <c r="Z179" s="268">
        <f t="shared" si="311"/>
        <v>0</v>
      </c>
      <c r="AA179" s="2176">
        <f t="shared" si="346"/>
        <v>0</v>
      </c>
      <c r="AB179" s="33">
        <f t="shared" si="347"/>
        <v>0</v>
      </c>
      <c r="AC179" s="33">
        <f t="shared" si="348"/>
        <v>0</v>
      </c>
      <c r="AD179" s="33">
        <f>IF(AI178&lt;0.01,0,IF(Adm!$S$4=Adm!$S$8,AI178*$AI$15,AI178*Adm!$V$4))</f>
        <v>0</v>
      </c>
      <c r="AE179" s="33"/>
      <c r="AF179" s="33"/>
      <c r="AG179" s="33">
        <f t="shared" si="312"/>
        <v>0</v>
      </c>
      <c r="AH179" s="33"/>
      <c r="AI179" s="401">
        <f t="shared" si="313"/>
        <v>0</v>
      </c>
      <c r="AK179" s="410">
        <f t="shared" si="314"/>
        <v>0</v>
      </c>
      <c r="AN179" s="90">
        <f t="shared" si="349"/>
        <v>11</v>
      </c>
      <c r="AO179" s="121">
        <f>IF(AN179=1,Cal!$AC$127,0)</f>
        <v>0</v>
      </c>
      <c r="AS179" s="200"/>
      <c r="AU179" s="268">
        <f t="shared" si="315"/>
        <v>0</v>
      </c>
      <c r="AV179" s="2177">
        <f t="shared" si="350"/>
        <v>0</v>
      </c>
      <c r="AW179" s="123">
        <f t="shared" si="316"/>
        <v>0</v>
      </c>
      <c r="AX179" s="123">
        <f t="shared" si="351"/>
        <v>0</v>
      </c>
      <c r="AY179" s="123">
        <f>IF(BC178&lt;0.01,0,IF(Adm!$S$4=Adm!$S$8,BC178*$BC$16,BC178*Adm!$V$4))</f>
        <v>0</v>
      </c>
      <c r="AZ179" s="123"/>
      <c r="BA179" s="123">
        <f>IF(BC178&lt;0.01,0,Adm!$Q$6)</f>
        <v>0</v>
      </c>
      <c r="BB179" s="123">
        <f t="shared" si="317"/>
        <v>0</v>
      </c>
      <c r="BC179" s="297">
        <f t="shared" si="352"/>
        <v>0</v>
      </c>
      <c r="BE179" s="425">
        <f t="shared" si="318"/>
        <v>0</v>
      </c>
      <c r="BH179" s="90">
        <f t="shared" si="353"/>
        <v>11</v>
      </c>
      <c r="BI179" s="121">
        <f>IF(BH179=1,Cal!$AD$127,0)</f>
        <v>0</v>
      </c>
      <c r="BM179" s="221"/>
      <c r="BO179" s="295">
        <f t="shared" ca="1" si="319"/>
        <v>2</v>
      </c>
      <c r="BP179" s="268">
        <f t="shared" si="320"/>
        <v>0</v>
      </c>
      <c r="BQ179" s="123">
        <f t="shared" si="354"/>
        <v>0</v>
      </c>
      <c r="BR179" s="123">
        <f t="shared" si="434"/>
        <v>0</v>
      </c>
      <c r="BS179" s="123">
        <f t="shared" si="444"/>
        <v>0</v>
      </c>
      <c r="BT179" s="123">
        <f>IF(BZ178&lt;0.01,0,IF(Plus!$F$22=Plus!$AN$4,BZ178*$BZ$15,IF(Plus!$F$22=Plus!$AN$3,BZ178*Plus!$F$23/1000,BZ178*VLOOKUP(Plus!$G$21,Plus!$AP$2:'Plus'!$AQ$5,2,0))))</f>
        <v>0</v>
      </c>
      <c r="BU179" s="123">
        <f>IF(BZ178&lt;0.01,0,IF(Plus!$F$24=Plus!$AO$3,Plus!$G$13*Plus!$AR$2/1.16,IF(Plus!$F$10=Plus!$AK$7,0,Plus!$G$13*Plus!$AR$2/1.16)))</f>
        <v>0</v>
      </c>
      <c r="BV179" s="123">
        <f>IF(BZ178&lt;0.01,0,Plus!$BD$2)</f>
        <v>0</v>
      </c>
      <c r="BW179" s="123"/>
      <c r="BX179" s="123">
        <f t="shared" si="321"/>
        <v>0</v>
      </c>
      <c r="BY179" s="123">
        <f>IF(Plus!$F$10=Plus!$AK$3,MIN(BZ178+BQ179+BT179+BU179+BV179-BX179,CJ179),0)</f>
        <v>0</v>
      </c>
      <c r="BZ179" s="297">
        <f t="shared" si="428"/>
        <v>0</v>
      </c>
      <c r="CA179" s="74"/>
      <c r="CB179" s="74"/>
      <c r="CC179" s="413">
        <f t="shared" si="355"/>
        <v>0</v>
      </c>
      <c r="CF179" s="90">
        <f t="shared" si="356"/>
        <v>11</v>
      </c>
      <c r="CG179" s="121">
        <f t="shared" si="409"/>
        <v>0</v>
      </c>
      <c r="CI179" s="70">
        <f t="shared" si="410"/>
        <v>0</v>
      </c>
      <c r="CJ179" s="2178">
        <f t="shared" ca="1" si="357"/>
        <v>0</v>
      </c>
      <c r="CL179" s="161"/>
      <c r="CN179" s="308">
        <f t="shared" ca="1" si="322"/>
        <v>2</v>
      </c>
      <c r="CO179" s="309">
        <f t="shared" si="358"/>
        <v>0</v>
      </c>
      <c r="CP179" s="268">
        <f t="shared" si="323"/>
        <v>0</v>
      </c>
      <c r="CQ179" s="123">
        <f t="shared" si="359"/>
        <v>0</v>
      </c>
      <c r="CR179" s="123">
        <f t="shared" si="435"/>
        <v>0</v>
      </c>
      <c r="CS179" s="123">
        <f t="shared" si="436"/>
        <v>0</v>
      </c>
      <c r="CT179" s="33">
        <f>IF(CZ178&lt;0.01,0,IF(Plus!$F$22=Plus!$AN$4,0,IF(Plus!$F$22=Plus!$AN$3,CZ178*Plus!$F$23/1000,CZ178*VLOOKUP(Plus!$G$21,Plus!$AP$2:'Plus'!$AQ$5,2,0))))</f>
        <v>0</v>
      </c>
      <c r="CU179" s="123">
        <f>IF(CZ178&lt;0.01,0,IF(Plus!$F$24=Plus!$AO$3,0,IF(OR(Plus!$F$10=Plus!$AK$7,Plus!$F$10=Plus!$AK$13),0,Plus!$G$13*Plus!$AR$2)))</f>
        <v>0</v>
      </c>
      <c r="CV179" s="123">
        <f>IF(CZ178&lt;0.01,0,IF(OR(Plus!$F$10=Plus!$AK$7,Plus!$F$10=Plus!$AK$13),0,Plus!$BD$2*1.16))</f>
        <v>0</v>
      </c>
      <c r="CW179" s="123">
        <f>IF(CZ178&lt;0.01,0,IF(Plus!$AS$2&gt;0,CQ179*Plus!$AS$3,0))</f>
        <v>0</v>
      </c>
      <c r="CX179" s="123">
        <f t="shared" si="360"/>
        <v>0</v>
      </c>
      <c r="CY179" s="123">
        <f>IF(Plus!$F$10=Plus!$AK$3,MIN(CZ178+CQ179+CT179+CU179+CV179-CX179,DK179),0)</f>
        <v>0</v>
      </c>
      <c r="CZ179" s="297">
        <f t="shared" si="440"/>
        <v>0</v>
      </c>
      <c r="DA179" s="306">
        <f>Plus!O220</f>
        <v>0</v>
      </c>
      <c r="DB179" s="74"/>
      <c r="DC179" s="74"/>
      <c r="DD179" s="407">
        <f t="shared" si="361"/>
        <v>0</v>
      </c>
      <c r="DG179" s="90">
        <f t="shared" si="362"/>
        <v>11</v>
      </c>
      <c r="DH179" s="121">
        <f t="shared" si="411"/>
        <v>0</v>
      </c>
      <c r="DJ179" s="149">
        <f t="shared" si="412"/>
        <v>0</v>
      </c>
      <c r="DK179" s="2179">
        <f t="shared" ca="1" si="363"/>
        <v>0</v>
      </c>
      <c r="DN179" s="120">
        <f t="shared" si="413"/>
        <v>0</v>
      </c>
      <c r="DO179" s="110">
        <f t="shared" si="364"/>
        <v>0</v>
      </c>
      <c r="DP179" s="110">
        <f t="shared" si="422"/>
        <v>0</v>
      </c>
      <c r="DQ179" s="109">
        <f t="shared" si="365"/>
        <v>0</v>
      </c>
      <c r="DR179" s="109">
        <f t="shared" si="366"/>
        <v>0</v>
      </c>
      <c r="DS179" s="113">
        <f t="shared" si="367"/>
        <v>0</v>
      </c>
      <c r="DU179" s="102">
        <f t="shared" si="368"/>
        <v>0</v>
      </c>
      <c r="DV179" s="211">
        <f t="shared" si="423"/>
        <v>155</v>
      </c>
      <c r="DW179" s="212">
        <f t="shared" si="369"/>
        <v>0</v>
      </c>
      <c r="DX179" s="212">
        <f t="shared" si="324"/>
        <v>0</v>
      </c>
      <c r="DY179" s="212">
        <f t="shared" si="414"/>
        <v>0</v>
      </c>
      <c r="DZ179" s="213">
        <f t="shared" si="325"/>
        <v>1000000</v>
      </c>
      <c r="ED179" s="182"/>
      <c r="EF179" s="308">
        <f t="shared" ca="1" si="326"/>
        <v>2</v>
      </c>
      <c r="EG179" s="309">
        <f t="shared" si="370"/>
        <v>0</v>
      </c>
      <c r="EH179" s="268">
        <f t="shared" si="327"/>
        <v>0</v>
      </c>
      <c r="EI179" s="33">
        <f t="shared" si="371"/>
        <v>0</v>
      </c>
      <c r="EJ179" s="33">
        <f t="shared" si="437"/>
        <v>0</v>
      </c>
      <c r="EK179" s="33">
        <f t="shared" si="445"/>
        <v>0</v>
      </c>
      <c r="EL179" s="33">
        <f>IF(ER178&lt;0.01,0,IF(Plus!$F$22=Plus!$AN$4,0,IF(Plus!$F$22=Plus!$AN$3,ER178*Plus!$F$23/1000,ER178*VLOOKUP(Plus!$G$21,Plus!$AP$2:'Plus'!$AQ$5,2,0))))</f>
        <v>0</v>
      </c>
      <c r="EM179" s="33">
        <f>IF(ER178&lt;0.01,0,IF(Plus!$F$24=Plus!$AO$3,0,IF(OR(Plus!$F$10=Plus!$AK$7,Plus!$F$10=Plus!$AK$13),0,Plus!$G$13*Plus!$AR$2)))</f>
        <v>0</v>
      </c>
      <c r="EN179" s="33">
        <f>IF(ER178&lt;0.01,0,IF(OR(Plus!$F$10=Plus!$AK$7,Plus!$F$10=Plus!$AK$13),0,Plus!$BD$2*1.16))</f>
        <v>0</v>
      </c>
      <c r="EO179" s="33">
        <f>IF(ER178&lt;0.01,0,IF(Plus!$AS$2&gt;0,EI179*Plus!$AS$3,0))</f>
        <v>0</v>
      </c>
      <c r="EP179" s="33">
        <f t="shared" si="372"/>
        <v>0</v>
      </c>
      <c r="EQ179" s="33">
        <f>IF(Plus!$F$10=Plus!$AK$3,MIN(ER178+EI179+EL179+EM179+EN179-EP179,FC179),0)</f>
        <v>0</v>
      </c>
      <c r="ER179" s="311">
        <f t="shared" si="431"/>
        <v>0</v>
      </c>
      <c r="ES179" s="340">
        <f>Plus!O220</f>
        <v>0</v>
      </c>
      <c r="ET179" s="74"/>
      <c r="EU179" s="74"/>
      <c r="EV179" s="416">
        <f t="shared" si="429"/>
        <v>0</v>
      </c>
      <c r="EY179" s="90">
        <f t="shared" si="373"/>
        <v>11</v>
      </c>
      <c r="EZ179" s="121">
        <f t="shared" si="415"/>
        <v>0</v>
      </c>
      <c r="FB179" s="149">
        <f t="shared" si="416"/>
        <v>0</v>
      </c>
      <c r="FC179" s="2179">
        <f t="shared" ca="1" si="374"/>
        <v>0</v>
      </c>
      <c r="FE179" s="120">
        <f t="shared" si="417"/>
        <v>0</v>
      </c>
      <c r="FF179" s="110">
        <f t="shared" si="375"/>
        <v>0</v>
      </c>
      <c r="FG179" s="110">
        <f t="shared" si="376"/>
        <v>0</v>
      </c>
      <c r="FH179" s="109">
        <f t="shared" si="377"/>
        <v>0</v>
      </c>
      <c r="FI179" s="109">
        <f t="shared" si="328"/>
        <v>0</v>
      </c>
      <c r="FJ179" s="113">
        <f t="shared" si="378"/>
        <v>0</v>
      </c>
      <c r="FL179" s="102">
        <f t="shared" si="379"/>
        <v>0</v>
      </c>
      <c r="FM179" s="211">
        <f t="shared" si="424"/>
        <v>155</v>
      </c>
      <c r="FN179" s="212">
        <f t="shared" si="380"/>
        <v>0</v>
      </c>
      <c r="FO179" s="212">
        <f t="shared" si="329"/>
        <v>0</v>
      </c>
      <c r="FP179" s="212">
        <f t="shared" si="441"/>
        <v>0</v>
      </c>
      <c r="FQ179" s="213">
        <f t="shared" si="330"/>
        <v>1000000</v>
      </c>
      <c r="FV179" s="359"/>
      <c r="FX179" s="308">
        <f t="shared" ca="1" si="331"/>
        <v>2</v>
      </c>
      <c r="FY179" s="309">
        <f t="shared" si="381"/>
        <v>0</v>
      </c>
      <c r="FZ179" s="268">
        <f t="shared" si="332"/>
        <v>0</v>
      </c>
      <c r="GA179" s="33">
        <f t="shared" si="382"/>
        <v>0</v>
      </c>
      <c r="GB179" s="33">
        <f t="shared" si="438"/>
        <v>0</v>
      </c>
      <c r="GC179" s="33">
        <f t="shared" si="439"/>
        <v>0</v>
      </c>
      <c r="GD179" s="33">
        <f>IF(GJ178&lt;0.01,0,IF(Plus!$F$22=Plus!$AN$4,0,IF(Plus!$F$22=Plus!$AN$3,GJ178*Plus!$F$23/1000,GJ178*VLOOKUP(Plus!$G$21,Plus!$AP$2:$AQ$5,2,0))))</f>
        <v>0</v>
      </c>
      <c r="GE179" s="33">
        <f>IF(GJ178&lt;0.01,0,IF(Plus!$F$24=Plus!$AO$3,0,IF(OR(Plus!$F$10=Plus!$AK$7,Plus!$F$10=Plus!$AK$13,Plus!$F$10=Plus!$AK$14),0,IF(OR(Plus!$F$10=Plus!$AK$10,Plus!$F$10=Plus!$AK$11),Plus!$G$13*Adm!$W$7,Plus!$G$13*Adm!$X$4))))</f>
        <v>0</v>
      </c>
      <c r="GF179" s="33">
        <f>IF(GJ178&lt;0.01,0,IF(OR(Plus!$F$10=Plus!$AK$7,Plus!$F$10=Plus!$AK$13),0,Plus!$BD$2*1.16))</f>
        <v>0</v>
      </c>
      <c r="GG179" s="33">
        <f>IF(GJ178&lt;0.01,0,IF(Plus!$AS$2&gt;0,GA179*Plus!$AS$3,0))</f>
        <v>0</v>
      </c>
      <c r="GH179" s="33">
        <f t="shared" si="383"/>
        <v>0</v>
      </c>
      <c r="GI179" s="33">
        <f>IF(Plus!$F$10=Plus!$AK$3,MIN(GJ178+GA179+GD179+GE179+GF179-GH179,GU179),0)</f>
        <v>0</v>
      </c>
      <c r="GJ179" s="311">
        <f t="shared" si="432"/>
        <v>0</v>
      </c>
      <c r="GK179" s="340">
        <f>Plus!O220</f>
        <v>0</v>
      </c>
      <c r="GL179" s="74"/>
      <c r="GM179" s="74"/>
      <c r="GN179" s="419">
        <f t="shared" si="430"/>
        <v>0</v>
      </c>
      <c r="GQ179" s="90">
        <f t="shared" si="384"/>
        <v>11</v>
      </c>
      <c r="GR179" s="121">
        <f t="shared" si="418"/>
        <v>0</v>
      </c>
      <c r="GT179" s="149">
        <f t="shared" si="419"/>
        <v>0</v>
      </c>
      <c r="GU179" s="2179">
        <f t="shared" ca="1" si="385"/>
        <v>0</v>
      </c>
      <c r="GW179" s="120">
        <f t="shared" si="420"/>
        <v>0</v>
      </c>
      <c r="GX179" s="110">
        <f t="shared" si="386"/>
        <v>0</v>
      </c>
      <c r="GY179" s="110">
        <f t="shared" si="387"/>
        <v>0</v>
      </c>
      <c r="GZ179" s="109">
        <f t="shared" si="388"/>
        <v>0</v>
      </c>
      <c r="HA179" s="109">
        <f t="shared" si="333"/>
        <v>0</v>
      </c>
      <c r="HB179" s="113">
        <f t="shared" si="389"/>
        <v>0</v>
      </c>
      <c r="HD179" s="102">
        <f t="shared" si="390"/>
        <v>0</v>
      </c>
      <c r="HE179" s="211">
        <f t="shared" si="425"/>
        <v>155</v>
      </c>
      <c r="HF179" s="212">
        <f t="shared" si="391"/>
        <v>0</v>
      </c>
      <c r="HG179" s="212">
        <f t="shared" si="334"/>
        <v>0</v>
      </c>
      <c r="HH179" s="212">
        <f t="shared" si="442"/>
        <v>0</v>
      </c>
      <c r="HI179" s="213">
        <f t="shared" si="335"/>
        <v>1000000</v>
      </c>
      <c r="HL179" s="182"/>
      <c r="HM179" s="26">
        <f t="shared" ca="1" si="336"/>
        <v>2</v>
      </c>
      <c r="HO179" s="268">
        <f t="shared" si="337"/>
        <v>0</v>
      </c>
      <c r="HP179" s="151">
        <f t="shared" si="302"/>
        <v>0</v>
      </c>
      <c r="HQ179" s="123">
        <f t="shared" si="392"/>
        <v>0</v>
      </c>
      <c r="HR179" s="123">
        <f t="shared" si="393"/>
        <v>0</v>
      </c>
      <c r="HS179" s="123">
        <f t="shared" si="394"/>
        <v>0</v>
      </c>
      <c r="HT179" s="123">
        <f>IF(HY178&lt;0.01,0,IF(Adm!$GS$4=Adm!$GS$8,HY178*$HY$15,IF(Adm!$GS$12=Adm!$GS$13,0,HY178*Adm!$GV$4)))</f>
        <v>0</v>
      </c>
      <c r="HU179" s="123">
        <f>IF(HY178&lt;0.01,0,IF(Adm!$GS$5=Adm!$GS$8,Cal!$BO$108*$HY$16/1.16,IF(Adm!$GS$12=Adm!$GS$13,0,Cal!$BO$108*Adm!$GW$4/1.16)))</f>
        <v>0</v>
      </c>
      <c r="HV179" s="123">
        <f t="shared" si="395"/>
        <v>0</v>
      </c>
      <c r="HW179" s="123">
        <f t="shared" si="338"/>
        <v>0</v>
      </c>
      <c r="HX179" s="123">
        <f>IF(Adm!$GH$6="si",MIN(HY178+HQ179+HT179+HU179+HV179-HW179,IH179),0)</f>
        <v>0</v>
      </c>
      <c r="HY179" s="297">
        <f t="shared" si="396"/>
        <v>0</v>
      </c>
      <c r="HZ179" s="74"/>
      <c r="IA179" s="407">
        <f t="shared" si="397"/>
        <v>0</v>
      </c>
      <c r="IC179" s="90">
        <f t="shared" si="398"/>
        <v>11</v>
      </c>
      <c r="ID179" s="124">
        <f>IF(IC179=1,Cal!$BO$127,0)</f>
        <v>0</v>
      </c>
      <c r="IE179" s="178">
        <f>IF(IC179=1,Adm!$HI$4,0)</f>
        <v>0</v>
      </c>
      <c r="IG179" s="70">
        <f t="shared" si="421"/>
        <v>0</v>
      </c>
      <c r="IH179" s="2178">
        <f t="shared" ca="1" si="399"/>
        <v>0</v>
      </c>
      <c r="IK179" s="217"/>
      <c r="IL179" s="26">
        <f t="shared" ca="1" si="339"/>
        <v>2</v>
      </c>
      <c r="IN179" s="268">
        <f t="shared" si="340"/>
        <v>0</v>
      </c>
      <c r="IO179" s="151">
        <f t="shared" si="303"/>
        <v>0</v>
      </c>
      <c r="IP179" s="123">
        <f t="shared" si="400"/>
        <v>0</v>
      </c>
      <c r="IQ179" s="123">
        <f t="shared" si="401"/>
        <v>0</v>
      </c>
      <c r="IR179" s="123">
        <f t="shared" si="402"/>
        <v>0</v>
      </c>
      <c r="IS179" s="123">
        <f>IF(IX178&lt;0.01,0,IF(Adm!$GS$4=Adm!$GS$8,IX178*$IX$15,IF(Adm!$GS$12=Adm!$GS$13,0,IX178*Adm!$GV$4)))</f>
        <v>0</v>
      </c>
      <c r="IT179" s="123"/>
      <c r="IU179" s="123">
        <f t="shared" si="403"/>
        <v>0</v>
      </c>
      <c r="IV179" s="123">
        <f t="shared" si="404"/>
        <v>0</v>
      </c>
      <c r="IW179" s="123"/>
      <c r="IX179" s="297">
        <f t="shared" si="405"/>
        <v>0</v>
      </c>
      <c r="IY179" s="74"/>
      <c r="IZ179" s="416">
        <f t="shared" si="406"/>
        <v>0</v>
      </c>
      <c r="JB179" s="90">
        <f t="shared" si="407"/>
        <v>11</v>
      </c>
      <c r="JC179" s="124">
        <f>IF(JB179=1,Cal!$BP$127,0)</f>
        <v>0</v>
      </c>
      <c r="JD179" s="178">
        <f>IF(JB179=1,Adm!$HI$4,0)</f>
        <v>0</v>
      </c>
    </row>
    <row r="180" spans="1:264">
      <c r="A180" s="26">
        <f t="shared" ca="1" si="308"/>
        <v>3</v>
      </c>
      <c r="C180" s="33">
        <f t="shared" si="309"/>
        <v>0</v>
      </c>
      <c r="D180" s="123">
        <f t="shared" si="341"/>
        <v>0</v>
      </c>
      <c r="E180" s="123">
        <f t="shared" si="433"/>
        <v>0</v>
      </c>
      <c r="F180" s="123">
        <f t="shared" si="443"/>
        <v>0</v>
      </c>
      <c r="G180" s="123">
        <f>IF(L179&lt;0.01,0,IF(Adm!$S$4=Adm!$S$8,L179*$L$15,L179*Adm!$V$4))</f>
        <v>0</v>
      </c>
      <c r="H180" s="123">
        <f>IF(L179&lt;0.01,0,IF(Adm!$S$5=Adm!$S$8,Adm!$AA$11*$L$16/1.16,IF(Adm!$B$4=Adm!$A$119,0,Adm!$AA$11*Adm!$X$4/1.16)))</f>
        <v>0</v>
      </c>
      <c r="I180" s="123">
        <f>IF(L179&lt;0.01,0,Cal!$AB$126/1.16)</f>
        <v>0</v>
      </c>
      <c r="J180" s="123">
        <f t="shared" si="310"/>
        <v>0</v>
      </c>
      <c r="K180" s="123">
        <f>IF(Adm!$G$4="si",MIN(L179+D180+G180+H180+I180-J180,V180),0)</f>
        <v>0</v>
      </c>
      <c r="L180" s="123">
        <f t="shared" si="342"/>
        <v>0</v>
      </c>
      <c r="M180" s="74"/>
      <c r="N180" s="74"/>
      <c r="O180" s="407">
        <f t="shared" si="343"/>
        <v>0</v>
      </c>
      <c r="R180" s="90">
        <f t="shared" si="344"/>
        <v>12</v>
      </c>
      <c r="S180" s="121">
        <f>IF(R180=1,Cal!$AB$127,0)</f>
        <v>0</v>
      </c>
      <c r="U180" s="70">
        <f t="shared" si="408"/>
        <v>0</v>
      </c>
      <c r="V180" s="2178">
        <f t="shared" ca="1" si="345"/>
        <v>0</v>
      </c>
      <c r="X180" s="398"/>
      <c r="Z180" s="268">
        <f t="shared" si="311"/>
        <v>0</v>
      </c>
      <c r="AA180" s="2176">
        <f t="shared" si="346"/>
        <v>0</v>
      </c>
      <c r="AB180" s="33">
        <f t="shared" si="347"/>
        <v>0</v>
      </c>
      <c r="AC180" s="33">
        <f t="shared" si="348"/>
        <v>0</v>
      </c>
      <c r="AD180" s="33">
        <f>IF(AI179&lt;0.01,0,IF(Adm!$S$4=Adm!$S$8,AI179*$AI$15,AI179*Adm!$V$4))</f>
        <v>0</v>
      </c>
      <c r="AE180" s="33"/>
      <c r="AF180" s="33"/>
      <c r="AG180" s="33">
        <f t="shared" si="312"/>
        <v>0</v>
      </c>
      <c r="AH180" s="33"/>
      <c r="AI180" s="401">
        <f t="shared" si="313"/>
        <v>0</v>
      </c>
      <c r="AK180" s="410">
        <f t="shared" si="314"/>
        <v>0</v>
      </c>
      <c r="AN180" s="90">
        <f t="shared" si="349"/>
        <v>12</v>
      </c>
      <c r="AO180" s="121">
        <f>IF(AN180=1,Cal!$AC$127,0)</f>
        <v>0</v>
      </c>
      <c r="AS180" s="200"/>
      <c r="AU180" s="268">
        <f t="shared" si="315"/>
        <v>0</v>
      </c>
      <c r="AV180" s="2177">
        <f t="shared" si="350"/>
        <v>0</v>
      </c>
      <c r="AW180" s="123">
        <f t="shared" si="316"/>
        <v>0</v>
      </c>
      <c r="AX180" s="123">
        <f t="shared" si="351"/>
        <v>0</v>
      </c>
      <c r="AY180" s="123">
        <f>IF(BC179&lt;0.01,0,IF(Adm!$S$4=Adm!$S$8,BC179*$BC$16,BC179*Adm!$V$4))</f>
        <v>0</v>
      </c>
      <c r="AZ180" s="123"/>
      <c r="BA180" s="123">
        <f>IF(BC179&lt;0.01,0,Adm!$Q$6)</f>
        <v>0</v>
      </c>
      <c r="BB180" s="123">
        <f t="shared" si="317"/>
        <v>0</v>
      </c>
      <c r="BC180" s="297">
        <f t="shared" si="352"/>
        <v>0</v>
      </c>
      <c r="BE180" s="425">
        <f t="shared" si="318"/>
        <v>0</v>
      </c>
      <c r="BH180" s="90">
        <f t="shared" si="353"/>
        <v>12</v>
      </c>
      <c r="BI180" s="121">
        <f>IF(BH180=1,Cal!$AD$127,0)</f>
        <v>0</v>
      </c>
      <c r="BM180" s="221"/>
      <c r="BO180" s="295">
        <f t="shared" ca="1" si="319"/>
        <v>3</v>
      </c>
      <c r="BP180" s="268">
        <f t="shared" si="320"/>
        <v>0</v>
      </c>
      <c r="BQ180" s="123">
        <f t="shared" si="354"/>
        <v>0</v>
      </c>
      <c r="BR180" s="123">
        <f t="shared" si="434"/>
        <v>0</v>
      </c>
      <c r="BS180" s="123">
        <f t="shared" si="444"/>
        <v>0</v>
      </c>
      <c r="BT180" s="123">
        <f>IF(BZ179&lt;0.01,0,IF(Plus!$F$22=Plus!$AN$4,BZ179*$BZ$15,IF(Plus!$F$22=Plus!$AN$3,BZ179*Plus!$F$23/1000,BZ179*VLOOKUP(Plus!$G$21,Plus!$AP$2:'Plus'!$AQ$5,2,0))))</f>
        <v>0</v>
      </c>
      <c r="BU180" s="123">
        <f>IF(BZ179&lt;0.01,0,IF(Plus!$F$24=Plus!$AO$3,Plus!$G$13*Plus!$AR$2/1.16,IF(Plus!$F$10=Plus!$AK$7,0,Plus!$G$13*Plus!$AR$2/1.16)))</f>
        <v>0</v>
      </c>
      <c r="BV180" s="123">
        <f>IF(BZ179&lt;0.01,0,Plus!$BD$2)</f>
        <v>0</v>
      </c>
      <c r="BW180" s="123"/>
      <c r="BX180" s="123">
        <f t="shared" si="321"/>
        <v>0</v>
      </c>
      <c r="BY180" s="123">
        <f>IF(Plus!$F$10=Plus!$AK$3,MIN(BZ179+BQ180+BT180+BU180+BV180-BX180,CJ180),0)</f>
        <v>0</v>
      </c>
      <c r="BZ180" s="297">
        <f t="shared" si="428"/>
        <v>0</v>
      </c>
      <c r="CA180" s="74"/>
      <c r="CB180" s="74"/>
      <c r="CC180" s="413">
        <f t="shared" si="355"/>
        <v>0</v>
      </c>
      <c r="CF180" s="90">
        <f t="shared" si="356"/>
        <v>12</v>
      </c>
      <c r="CG180" s="121">
        <f t="shared" si="409"/>
        <v>0</v>
      </c>
      <c r="CI180" s="70">
        <f t="shared" si="410"/>
        <v>0</v>
      </c>
      <c r="CJ180" s="2178">
        <f t="shared" ca="1" si="357"/>
        <v>0</v>
      </c>
      <c r="CL180" s="161"/>
      <c r="CN180" s="308">
        <f t="shared" ca="1" si="322"/>
        <v>3</v>
      </c>
      <c r="CO180" s="309">
        <f t="shared" si="358"/>
        <v>0</v>
      </c>
      <c r="CP180" s="268">
        <f t="shared" si="323"/>
        <v>0</v>
      </c>
      <c r="CQ180" s="123">
        <f t="shared" si="359"/>
        <v>0</v>
      </c>
      <c r="CR180" s="123">
        <f t="shared" si="435"/>
        <v>0</v>
      </c>
      <c r="CS180" s="123">
        <f t="shared" si="436"/>
        <v>0</v>
      </c>
      <c r="CT180" s="33">
        <f>IF(CZ179&lt;0.01,0,IF(Plus!$F$22=Plus!$AN$4,0,IF(Plus!$F$22=Plus!$AN$3,CZ179*Plus!$F$23/1000,CZ179*VLOOKUP(Plus!$G$21,Plus!$AP$2:'Plus'!$AQ$5,2,0))))</f>
        <v>0</v>
      </c>
      <c r="CU180" s="123">
        <f>IF(CZ179&lt;0.01,0,IF(Plus!$F$24=Plus!$AO$3,0,IF(OR(Plus!$F$10=Plus!$AK$7,Plus!$F$10=Plus!$AK$13),0,Plus!$G$13*Plus!$AR$2)))</f>
        <v>0</v>
      </c>
      <c r="CV180" s="123">
        <f>IF(CZ179&lt;0.01,0,IF(OR(Plus!$F$10=Plus!$AK$7,Plus!$F$10=Plus!$AK$13),0,Plus!$BD$2*1.16))</f>
        <v>0</v>
      </c>
      <c r="CW180" s="123">
        <f>IF(CZ179&lt;0.01,0,IF(Plus!$AS$2&gt;0,CQ180*Plus!$AS$3,0))</f>
        <v>0</v>
      </c>
      <c r="CX180" s="123">
        <f t="shared" si="360"/>
        <v>0</v>
      </c>
      <c r="CY180" s="123">
        <f>IF(Plus!$F$10=Plus!$AK$3,MIN(CZ179+CQ180+CT180+CU180+CV180-CX180,DK180),0)</f>
        <v>0</v>
      </c>
      <c r="CZ180" s="297">
        <f t="shared" si="440"/>
        <v>0</v>
      </c>
      <c r="DA180" s="306">
        <f>Plus!O221</f>
        <v>0</v>
      </c>
      <c r="DB180" s="74"/>
      <c r="DC180" s="74"/>
      <c r="DD180" s="407">
        <f t="shared" si="361"/>
        <v>0</v>
      </c>
      <c r="DG180" s="90">
        <f t="shared" si="362"/>
        <v>12</v>
      </c>
      <c r="DH180" s="121">
        <f t="shared" si="411"/>
        <v>0</v>
      </c>
      <c r="DJ180" s="149">
        <f t="shared" si="412"/>
        <v>0</v>
      </c>
      <c r="DK180" s="2179">
        <f t="shared" ca="1" si="363"/>
        <v>0</v>
      </c>
      <c r="DN180" s="120">
        <f t="shared" si="413"/>
        <v>0</v>
      </c>
      <c r="DO180" s="110">
        <f t="shared" si="364"/>
        <v>0</v>
      </c>
      <c r="DP180" s="110">
        <f t="shared" si="422"/>
        <v>0</v>
      </c>
      <c r="DQ180" s="109">
        <f t="shared" si="365"/>
        <v>0</v>
      </c>
      <c r="DR180" s="109">
        <f t="shared" si="366"/>
        <v>0</v>
      </c>
      <c r="DS180" s="113">
        <f t="shared" si="367"/>
        <v>0</v>
      </c>
      <c r="DU180" s="102">
        <f t="shared" si="368"/>
        <v>0</v>
      </c>
      <c r="DV180" s="211">
        <f t="shared" si="423"/>
        <v>156</v>
      </c>
      <c r="DW180" s="212">
        <f t="shared" si="369"/>
        <v>0</v>
      </c>
      <c r="DX180" s="212">
        <f t="shared" si="324"/>
        <v>0</v>
      </c>
      <c r="DY180" s="212">
        <f t="shared" si="414"/>
        <v>0</v>
      </c>
      <c r="DZ180" s="213">
        <f t="shared" si="325"/>
        <v>1000000</v>
      </c>
      <c r="ED180" s="182"/>
      <c r="EF180" s="308">
        <f t="shared" ca="1" si="326"/>
        <v>3</v>
      </c>
      <c r="EG180" s="309">
        <f t="shared" si="370"/>
        <v>0</v>
      </c>
      <c r="EH180" s="268">
        <f t="shared" si="327"/>
        <v>0</v>
      </c>
      <c r="EI180" s="33">
        <f t="shared" si="371"/>
        <v>0</v>
      </c>
      <c r="EJ180" s="33">
        <f t="shared" si="437"/>
        <v>0</v>
      </c>
      <c r="EK180" s="33">
        <f t="shared" si="445"/>
        <v>0</v>
      </c>
      <c r="EL180" s="33">
        <f>IF(ER179&lt;0.01,0,IF(Plus!$F$22=Plus!$AN$4,0,IF(Plus!$F$22=Plus!$AN$3,ER179*Plus!$F$23/1000,ER179*VLOOKUP(Plus!$G$21,Plus!$AP$2:'Plus'!$AQ$5,2,0))))</f>
        <v>0</v>
      </c>
      <c r="EM180" s="33">
        <f>IF(ER179&lt;0.01,0,IF(Plus!$F$24=Plus!$AO$3,0,IF(OR(Plus!$F$10=Plus!$AK$7,Plus!$F$10=Plus!$AK$13),0,Plus!$G$13*Plus!$AR$2)))</f>
        <v>0</v>
      </c>
      <c r="EN180" s="33">
        <f>IF(ER179&lt;0.01,0,IF(OR(Plus!$F$10=Plus!$AK$7,Plus!$F$10=Plus!$AK$13),0,Plus!$BD$2*1.16))</f>
        <v>0</v>
      </c>
      <c r="EO180" s="33">
        <f>IF(ER179&lt;0.01,0,IF(Plus!$AS$2&gt;0,EI180*Plus!$AS$3,0))</f>
        <v>0</v>
      </c>
      <c r="EP180" s="33">
        <f t="shared" si="372"/>
        <v>0</v>
      </c>
      <c r="EQ180" s="33">
        <f>IF(Plus!$F$10=Plus!$AK$3,MIN(ER179+EI180+EL180+EM180+EN180-EP180,FC180),0)</f>
        <v>0</v>
      </c>
      <c r="ER180" s="311">
        <f t="shared" si="431"/>
        <v>0</v>
      </c>
      <c r="ES180" s="340">
        <f>Plus!O221</f>
        <v>0</v>
      </c>
      <c r="ET180" s="74"/>
      <c r="EU180" s="74"/>
      <c r="EV180" s="416">
        <f t="shared" si="429"/>
        <v>0</v>
      </c>
      <c r="EY180" s="90">
        <f t="shared" si="373"/>
        <v>12</v>
      </c>
      <c r="EZ180" s="121">
        <f t="shared" si="415"/>
        <v>0</v>
      </c>
      <c r="FB180" s="149">
        <f t="shared" si="416"/>
        <v>0</v>
      </c>
      <c r="FC180" s="2179">
        <f t="shared" ca="1" si="374"/>
        <v>0</v>
      </c>
      <c r="FE180" s="120">
        <f t="shared" si="417"/>
        <v>0</v>
      </c>
      <c r="FF180" s="110">
        <f t="shared" si="375"/>
        <v>0</v>
      </c>
      <c r="FG180" s="110">
        <f t="shared" si="376"/>
        <v>0</v>
      </c>
      <c r="FH180" s="109">
        <f t="shared" si="377"/>
        <v>0</v>
      </c>
      <c r="FI180" s="109">
        <f t="shared" si="328"/>
        <v>0</v>
      </c>
      <c r="FJ180" s="113">
        <f t="shared" si="378"/>
        <v>0</v>
      </c>
      <c r="FL180" s="102">
        <f t="shared" si="379"/>
        <v>0</v>
      </c>
      <c r="FM180" s="211">
        <f t="shared" si="424"/>
        <v>156</v>
      </c>
      <c r="FN180" s="212">
        <f t="shared" si="380"/>
        <v>0</v>
      </c>
      <c r="FO180" s="212">
        <f t="shared" si="329"/>
        <v>0</v>
      </c>
      <c r="FP180" s="212">
        <f t="shared" si="441"/>
        <v>0</v>
      </c>
      <c r="FQ180" s="213">
        <f t="shared" si="330"/>
        <v>1000000</v>
      </c>
      <c r="FV180" s="359"/>
      <c r="FX180" s="308">
        <f t="shared" ca="1" si="331"/>
        <v>3</v>
      </c>
      <c r="FY180" s="309">
        <f t="shared" si="381"/>
        <v>0</v>
      </c>
      <c r="FZ180" s="268">
        <f t="shared" si="332"/>
        <v>0</v>
      </c>
      <c r="GA180" s="33">
        <f t="shared" si="382"/>
        <v>0</v>
      </c>
      <c r="GB180" s="33">
        <f t="shared" si="438"/>
        <v>0</v>
      </c>
      <c r="GC180" s="33">
        <f t="shared" si="439"/>
        <v>0</v>
      </c>
      <c r="GD180" s="33">
        <f>IF(GJ179&lt;0.01,0,IF(Plus!$F$22=Plus!$AN$4,0,IF(Plus!$F$22=Plus!$AN$3,GJ179*Plus!$F$23/1000,GJ179*VLOOKUP(Plus!$G$21,Plus!$AP$2:$AQ$5,2,0))))</f>
        <v>0</v>
      </c>
      <c r="GE180" s="33">
        <f>IF(GJ179&lt;0.01,0,IF(Plus!$F$24=Plus!$AO$3,0,IF(OR(Plus!$F$10=Plus!$AK$7,Plus!$F$10=Plus!$AK$13,Plus!$F$10=Plus!$AK$14),0,IF(OR(Plus!$F$10=Plus!$AK$10,Plus!$F$10=Plus!$AK$11),Plus!$G$13*Adm!$W$7,Plus!$G$13*Adm!$X$4))))</f>
        <v>0</v>
      </c>
      <c r="GF180" s="33">
        <f>IF(GJ179&lt;0.01,0,IF(OR(Plus!$F$10=Plus!$AK$7,Plus!$F$10=Plus!$AK$13),0,Plus!$BD$2*1.16))</f>
        <v>0</v>
      </c>
      <c r="GG180" s="33">
        <f>IF(GJ179&lt;0.01,0,IF(Plus!$AS$2&gt;0,GA180*Plus!$AS$3,0))</f>
        <v>0</v>
      </c>
      <c r="GH180" s="33">
        <f t="shared" si="383"/>
        <v>0</v>
      </c>
      <c r="GI180" s="33">
        <f>IF(Plus!$F$10=Plus!$AK$3,MIN(GJ179+GA180+GD180+GE180+GF180-GH180,GU180),0)</f>
        <v>0</v>
      </c>
      <c r="GJ180" s="311">
        <f t="shared" si="432"/>
        <v>0</v>
      </c>
      <c r="GK180" s="340">
        <f>Plus!O221</f>
        <v>0</v>
      </c>
      <c r="GL180" s="74"/>
      <c r="GM180" s="74"/>
      <c r="GN180" s="419">
        <f t="shared" si="430"/>
        <v>0</v>
      </c>
      <c r="GQ180" s="90">
        <f t="shared" si="384"/>
        <v>12</v>
      </c>
      <c r="GR180" s="121">
        <f t="shared" si="418"/>
        <v>0</v>
      </c>
      <c r="GT180" s="149">
        <f t="shared" si="419"/>
        <v>0</v>
      </c>
      <c r="GU180" s="2179">
        <f t="shared" ca="1" si="385"/>
        <v>0</v>
      </c>
      <c r="GW180" s="120">
        <f t="shared" si="420"/>
        <v>0</v>
      </c>
      <c r="GX180" s="110">
        <f t="shared" si="386"/>
        <v>0</v>
      </c>
      <c r="GY180" s="110">
        <f t="shared" si="387"/>
        <v>0</v>
      </c>
      <c r="GZ180" s="109">
        <f t="shared" si="388"/>
        <v>0</v>
      </c>
      <c r="HA180" s="109">
        <f t="shared" si="333"/>
        <v>0</v>
      </c>
      <c r="HB180" s="113">
        <f t="shared" si="389"/>
        <v>0</v>
      </c>
      <c r="HD180" s="102">
        <f t="shared" si="390"/>
        <v>0</v>
      </c>
      <c r="HE180" s="211">
        <f t="shared" si="425"/>
        <v>156</v>
      </c>
      <c r="HF180" s="212">
        <f t="shared" si="391"/>
        <v>0</v>
      </c>
      <c r="HG180" s="212">
        <f t="shared" si="334"/>
        <v>0</v>
      </c>
      <c r="HH180" s="212">
        <f t="shared" si="442"/>
        <v>0</v>
      </c>
      <c r="HI180" s="213">
        <f t="shared" si="335"/>
        <v>1000000</v>
      </c>
      <c r="HL180" s="182"/>
      <c r="HM180" s="26">
        <f t="shared" ca="1" si="336"/>
        <v>3</v>
      </c>
      <c r="HO180" s="268">
        <f t="shared" si="337"/>
        <v>0</v>
      </c>
      <c r="HP180" s="151">
        <f t="shared" si="302"/>
        <v>0</v>
      </c>
      <c r="HQ180" s="123">
        <f t="shared" si="392"/>
        <v>0</v>
      </c>
      <c r="HR180" s="123">
        <f t="shared" si="393"/>
        <v>0</v>
      </c>
      <c r="HS180" s="123">
        <f t="shared" si="394"/>
        <v>0</v>
      </c>
      <c r="HT180" s="123">
        <f>IF(HY179&lt;0.01,0,IF(Adm!$GS$4=Adm!$GS$8,HY179*$HY$15,IF(Adm!$GS$12=Adm!$GS$13,0,HY179*Adm!$GV$4)))</f>
        <v>0</v>
      </c>
      <c r="HU180" s="123">
        <f>IF(HY179&lt;0.01,0,IF(Adm!$GS$5=Adm!$GS$8,Cal!$BO$108*$HY$16/1.16,IF(Adm!$GS$12=Adm!$GS$13,0,Cal!$BO$108*Adm!$GW$4/1.16)))</f>
        <v>0</v>
      </c>
      <c r="HV180" s="123">
        <f t="shared" si="395"/>
        <v>0</v>
      </c>
      <c r="HW180" s="123">
        <f t="shared" si="338"/>
        <v>0</v>
      </c>
      <c r="HX180" s="123">
        <f>IF(Adm!$GH$6="si",MIN(HY179+HQ180+HT180+HU180+HV180-HW180,IH180),0)</f>
        <v>0</v>
      </c>
      <c r="HY180" s="297">
        <f t="shared" si="396"/>
        <v>0</v>
      </c>
      <c r="HZ180" s="74"/>
      <c r="IA180" s="407">
        <f t="shared" si="397"/>
        <v>0</v>
      </c>
      <c r="IC180" s="90">
        <f t="shared" si="398"/>
        <v>12</v>
      </c>
      <c r="ID180" s="124">
        <f>IF(IC180=1,Cal!$BO$127,0)</f>
        <v>0</v>
      </c>
      <c r="IE180" s="178">
        <f>IF(IC180=1,Adm!$HI$4,0)</f>
        <v>0</v>
      </c>
      <c r="IG180" s="70">
        <f t="shared" si="421"/>
        <v>0</v>
      </c>
      <c r="IH180" s="2178">
        <f t="shared" ca="1" si="399"/>
        <v>0</v>
      </c>
      <c r="IK180" s="217"/>
      <c r="IL180" s="26">
        <f t="shared" ca="1" si="339"/>
        <v>3</v>
      </c>
      <c r="IN180" s="268">
        <f t="shared" si="340"/>
        <v>0</v>
      </c>
      <c r="IO180" s="151">
        <f t="shared" si="303"/>
        <v>0</v>
      </c>
      <c r="IP180" s="123">
        <f t="shared" si="400"/>
        <v>0</v>
      </c>
      <c r="IQ180" s="123">
        <f t="shared" si="401"/>
        <v>0</v>
      </c>
      <c r="IR180" s="123">
        <f t="shared" si="402"/>
        <v>0</v>
      </c>
      <c r="IS180" s="123">
        <f>IF(IX179&lt;0.01,0,IF(Adm!$GS$4=Adm!$GS$8,IX179*$IX$15,IF(Adm!$GS$12=Adm!$GS$13,0,IX179*Adm!$GV$4)))</f>
        <v>0</v>
      </c>
      <c r="IT180" s="123"/>
      <c r="IU180" s="123">
        <f t="shared" si="403"/>
        <v>0</v>
      </c>
      <c r="IV180" s="123">
        <f t="shared" si="404"/>
        <v>0</v>
      </c>
      <c r="IW180" s="123"/>
      <c r="IX180" s="297">
        <f t="shared" si="405"/>
        <v>0</v>
      </c>
      <c r="IY180" s="74"/>
      <c r="IZ180" s="416">
        <f t="shared" si="406"/>
        <v>0</v>
      </c>
      <c r="JB180" s="90">
        <f t="shared" si="407"/>
        <v>12</v>
      </c>
      <c r="JC180" s="124">
        <f>IF(JB180=1,Cal!$BP$127,0)</f>
        <v>0</v>
      </c>
      <c r="JD180" s="178">
        <f>IF(JB180=1,Adm!$HI$4,0)</f>
        <v>0</v>
      </c>
    </row>
    <row r="181" spans="1:264">
      <c r="A181" s="26">
        <f t="shared" ca="1" si="308"/>
        <v>4</v>
      </c>
      <c r="C181" s="33">
        <f t="shared" si="309"/>
        <v>0</v>
      </c>
      <c r="D181" s="123">
        <f t="shared" si="341"/>
        <v>0</v>
      </c>
      <c r="E181" s="123">
        <f t="shared" si="433"/>
        <v>0</v>
      </c>
      <c r="F181" s="123">
        <f t="shared" si="443"/>
        <v>0</v>
      </c>
      <c r="G181" s="123">
        <f>IF(L180&lt;0.01,0,IF(Adm!$S$4=Adm!$S$8,L180*$L$15,L180*Adm!$V$4))</f>
        <v>0</v>
      </c>
      <c r="H181" s="123">
        <f>IF(L180&lt;0.01,0,IF(Adm!$S$5=Adm!$S$8,Adm!$AA$11*$L$16/1.16,IF(Adm!$B$4=Adm!$A$119,0,Adm!$AA$11*Adm!$X$4/1.16)))</f>
        <v>0</v>
      </c>
      <c r="I181" s="123">
        <f>IF(L180&lt;0.01,0,Cal!$AB$126/1.16)</f>
        <v>0</v>
      </c>
      <c r="J181" s="123">
        <f t="shared" si="310"/>
        <v>0</v>
      </c>
      <c r="K181" s="123">
        <f>IF(Adm!$G$4="si",MIN(L180+D181+G181+H181+I181-J181,V181),0)</f>
        <v>0</v>
      </c>
      <c r="L181" s="123">
        <f t="shared" si="342"/>
        <v>0</v>
      </c>
      <c r="M181" s="74"/>
      <c r="N181" s="74"/>
      <c r="O181" s="407">
        <f t="shared" si="343"/>
        <v>0</v>
      </c>
      <c r="R181" s="90">
        <f t="shared" si="344"/>
        <v>1</v>
      </c>
      <c r="S181" s="121">
        <f>IF(R181=1,Cal!$AB$127,0)</f>
        <v>0</v>
      </c>
      <c r="U181" s="70">
        <f t="shared" si="408"/>
        <v>0</v>
      </c>
      <c r="V181" s="2178">
        <f t="shared" ca="1" si="345"/>
        <v>0</v>
      </c>
      <c r="X181" s="398"/>
      <c r="Z181" s="268">
        <f t="shared" si="311"/>
        <v>0</v>
      </c>
      <c r="AA181" s="2176">
        <f t="shared" si="346"/>
        <v>0</v>
      </c>
      <c r="AB181" s="33">
        <f t="shared" si="347"/>
        <v>0</v>
      </c>
      <c r="AC181" s="33">
        <f t="shared" si="348"/>
        <v>0</v>
      </c>
      <c r="AD181" s="33">
        <f>IF(AI180&lt;0.01,0,IF(Adm!$S$4=Adm!$S$8,AI180*$AI$15,AI180*Adm!$V$4))</f>
        <v>0</v>
      </c>
      <c r="AE181" s="33"/>
      <c r="AF181" s="33"/>
      <c r="AG181" s="33">
        <f t="shared" si="312"/>
        <v>0</v>
      </c>
      <c r="AH181" s="33"/>
      <c r="AI181" s="401">
        <f t="shared" si="313"/>
        <v>0</v>
      </c>
      <c r="AK181" s="410">
        <f t="shared" si="314"/>
        <v>0</v>
      </c>
      <c r="AN181" s="90">
        <f t="shared" si="349"/>
        <v>1</v>
      </c>
      <c r="AO181" s="121">
        <f>IF(AN181=1,Cal!$AC$127,0)</f>
        <v>0</v>
      </c>
      <c r="AS181" s="200"/>
      <c r="AU181" s="268">
        <f t="shared" si="315"/>
        <v>0</v>
      </c>
      <c r="AV181" s="2177">
        <f t="shared" si="350"/>
        <v>0</v>
      </c>
      <c r="AW181" s="123">
        <f t="shared" si="316"/>
        <v>0</v>
      </c>
      <c r="AX181" s="123">
        <f t="shared" si="351"/>
        <v>0</v>
      </c>
      <c r="AY181" s="123">
        <f>IF(BC180&lt;0.01,0,IF(Adm!$S$4=Adm!$S$8,BC180*$BC$16,BC180*Adm!$V$4))</f>
        <v>0</v>
      </c>
      <c r="AZ181" s="123"/>
      <c r="BA181" s="123">
        <f>IF(BC180&lt;0.01,0,Adm!$Q$6)</f>
        <v>0</v>
      </c>
      <c r="BB181" s="123">
        <f t="shared" si="317"/>
        <v>0</v>
      </c>
      <c r="BC181" s="297">
        <f t="shared" si="352"/>
        <v>0</v>
      </c>
      <c r="BE181" s="425">
        <f t="shared" si="318"/>
        <v>0</v>
      </c>
      <c r="BH181" s="90">
        <f t="shared" si="353"/>
        <v>1</v>
      </c>
      <c r="BI181" s="121">
        <f>IF(BH181=1,Cal!$AD$127,0)</f>
        <v>0</v>
      </c>
      <c r="BM181" s="221"/>
      <c r="BO181" s="295">
        <f t="shared" ca="1" si="319"/>
        <v>4</v>
      </c>
      <c r="BP181" s="268">
        <f t="shared" si="320"/>
        <v>0</v>
      </c>
      <c r="BQ181" s="123">
        <f t="shared" si="354"/>
        <v>0</v>
      </c>
      <c r="BR181" s="123">
        <f t="shared" si="434"/>
        <v>0</v>
      </c>
      <c r="BS181" s="123">
        <f t="shared" si="444"/>
        <v>0</v>
      </c>
      <c r="BT181" s="123">
        <f>IF(BZ180&lt;0.01,0,IF(Plus!$F$22=Plus!$AN$4,BZ180*$BZ$15,IF(Plus!$F$22=Plus!$AN$3,BZ180*Plus!$F$23/1000,BZ180*VLOOKUP(Plus!$G$21,Plus!$AP$2:'Plus'!$AQ$5,2,0))))</f>
        <v>0</v>
      </c>
      <c r="BU181" s="123">
        <f>IF(BZ180&lt;0.01,0,IF(Plus!$F$24=Plus!$AO$3,Plus!$G$13*Plus!$AR$2/1.16,IF(Plus!$F$10=Plus!$AK$7,0,Plus!$G$13*Plus!$AR$2/1.16)))</f>
        <v>0</v>
      </c>
      <c r="BV181" s="123">
        <f>IF(BZ180&lt;0.01,0,Plus!$BD$2)</f>
        <v>0</v>
      </c>
      <c r="BW181" s="123"/>
      <c r="BX181" s="123">
        <f t="shared" si="321"/>
        <v>0</v>
      </c>
      <c r="BY181" s="123">
        <f>IF(Plus!$F$10=Plus!$AK$3,MIN(BZ180+BQ181+BT181+BU181+BV181-BX181,CJ181),0)</f>
        <v>0</v>
      </c>
      <c r="BZ181" s="297">
        <f t="shared" si="428"/>
        <v>0</v>
      </c>
      <c r="CA181" s="74"/>
      <c r="CB181" s="74"/>
      <c r="CC181" s="413">
        <f t="shared" si="355"/>
        <v>0</v>
      </c>
      <c r="CF181" s="90">
        <f t="shared" si="356"/>
        <v>1</v>
      </c>
      <c r="CG181" s="121">
        <f t="shared" si="409"/>
        <v>0</v>
      </c>
      <c r="CI181" s="70">
        <f t="shared" si="410"/>
        <v>0</v>
      </c>
      <c r="CJ181" s="2178">
        <f t="shared" ca="1" si="357"/>
        <v>0</v>
      </c>
      <c r="CL181" s="161"/>
      <c r="CN181" s="308">
        <f t="shared" ca="1" si="322"/>
        <v>4</v>
      </c>
      <c r="CO181" s="309">
        <f t="shared" si="358"/>
        <v>0</v>
      </c>
      <c r="CP181" s="268">
        <f t="shared" si="323"/>
        <v>0</v>
      </c>
      <c r="CQ181" s="123">
        <f t="shared" si="359"/>
        <v>0</v>
      </c>
      <c r="CR181" s="123">
        <f t="shared" si="435"/>
        <v>0</v>
      </c>
      <c r="CS181" s="123">
        <f t="shared" si="436"/>
        <v>0</v>
      </c>
      <c r="CT181" s="33">
        <f>IF(CZ180&lt;0.01,0,IF(Plus!$F$22=Plus!$AN$4,0,IF(Plus!$F$22=Plus!$AN$3,CZ180*Plus!$F$23/1000,CZ180*VLOOKUP(Plus!$G$21,Plus!$AP$2:'Plus'!$AQ$5,2,0))))</f>
        <v>0</v>
      </c>
      <c r="CU181" s="123">
        <f>IF(CZ180&lt;0.01,0,IF(Plus!$F$24=Plus!$AO$3,0,IF(OR(Plus!$F$10=Plus!$AK$7,Plus!$F$10=Plus!$AK$13),0,Plus!$G$13*Plus!$AR$2)))</f>
        <v>0</v>
      </c>
      <c r="CV181" s="123">
        <f>IF(CZ180&lt;0.01,0,IF(OR(Plus!$F$10=Plus!$AK$7,Plus!$F$10=Plus!$AK$13),0,Plus!$BD$2*1.16))</f>
        <v>0</v>
      </c>
      <c r="CW181" s="123">
        <f>IF(CZ180&lt;0.01,0,IF(Plus!$AS$2&gt;0,CQ181*Plus!$AS$3,0))</f>
        <v>0</v>
      </c>
      <c r="CX181" s="123">
        <f t="shared" si="360"/>
        <v>0</v>
      </c>
      <c r="CY181" s="123">
        <f>IF(Plus!$F$10=Plus!$AK$3,MIN(CZ180+CQ181+CT181+CU181+CV181-CX181,DK181),0)</f>
        <v>0</v>
      </c>
      <c r="CZ181" s="297">
        <f t="shared" si="440"/>
        <v>0</v>
      </c>
      <c r="DA181" s="306">
        <f>Plus!O222</f>
        <v>0</v>
      </c>
      <c r="DB181" s="74"/>
      <c r="DC181" s="74"/>
      <c r="DD181" s="407">
        <f t="shared" si="361"/>
        <v>0</v>
      </c>
      <c r="DG181" s="90">
        <f t="shared" si="362"/>
        <v>1</v>
      </c>
      <c r="DH181" s="121">
        <f t="shared" si="411"/>
        <v>0</v>
      </c>
      <c r="DJ181" s="149">
        <f t="shared" si="412"/>
        <v>0</v>
      </c>
      <c r="DK181" s="2179">
        <f t="shared" ca="1" si="363"/>
        <v>0</v>
      </c>
      <c r="DN181" s="120">
        <f t="shared" si="413"/>
        <v>0</v>
      </c>
      <c r="DO181" s="110">
        <f t="shared" si="364"/>
        <v>0</v>
      </c>
      <c r="DP181" s="110">
        <f t="shared" si="422"/>
        <v>0</v>
      </c>
      <c r="DQ181" s="109">
        <f t="shared" si="365"/>
        <v>0</v>
      </c>
      <c r="DR181" s="109">
        <f t="shared" si="366"/>
        <v>0</v>
      </c>
      <c r="DS181" s="113">
        <f t="shared" si="367"/>
        <v>0</v>
      </c>
      <c r="DU181" s="102">
        <f t="shared" si="368"/>
        <v>0</v>
      </c>
      <c r="DV181" s="333">
        <f t="shared" si="423"/>
        <v>157</v>
      </c>
      <c r="DW181" s="334">
        <f t="shared" si="369"/>
        <v>0</v>
      </c>
      <c r="DX181" s="334">
        <f t="shared" si="324"/>
        <v>0</v>
      </c>
      <c r="DY181" s="334">
        <f>MIN(DZ180+DW181,DY180*(1+$DW$20))</f>
        <v>0</v>
      </c>
      <c r="DZ181" s="213">
        <f t="shared" si="325"/>
        <v>1000000</v>
      </c>
      <c r="ED181" s="182"/>
      <c r="EF181" s="308">
        <f t="shared" ca="1" si="326"/>
        <v>4</v>
      </c>
      <c r="EG181" s="309">
        <f t="shared" si="370"/>
        <v>0</v>
      </c>
      <c r="EH181" s="268">
        <f t="shared" si="327"/>
        <v>0</v>
      </c>
      <c r="EI181" s="33">
        <f t="shared" si="371"/>
        <v>0</v>
      </c>
      <c r="EJ181" s="33">
        <f t="shared" si="437"/>
        <v>0</v>
      </c>
      <c r="EK181" s="33">
        <f t="shared" si="445"/>
        <v>0</v>
      </c>
      <c r="EL181" s="33">
        <f>IF(ER180&lt;0.01,0,IF(Plus!$F$22=Plus!$AN$4,0,IF(Plus!$F$22=Plus!$AN$3,ER180*Plus!$F$23/1000,ER180*VLOOKUP(Plus!$G$21,Plus!$AP$2:'Plus'!$AQ$5,2,0))))</f>
        <v>0</v>
      </c>
      <c r="EM181" s="33">
        <f>IF(ER180&lt;0.01,0,IF(Plus!$F$24=Plus!$AO$3,0,IF(OR(Plus!$F$10=Plus!$AK$7,Plus!$F$10=Plus!$AK$13),0,Plus!$G$13*Plus!$AR$2)))</f>
        <v>0</v>
      </c>
      <c r="EN181" s="33">
        <f>IF(ER180&lt;0.01,0,IF(OR(Plus!$F$10=Plus!$AK$7,Plus!$F$10=Plus!$AK$13),0,Plus!$BD$2*1.16))</f>
        <v>0</v>
      </c>
      <c r="EO181" s="33">
        <f>IF(ER180&lt;0.01,0,IF(Plus!$AS$2&gt;0,EI181*Plus!$AS$3,0))</f>
        <v>0</v>
      </c>
      <c r="EP181" s="33">
        <f t="shared" si="372"/>
        <v>0</v>
      </c>
      <c r="EQ181" s="33">
        <f>IF(Plus!$F$10=Plus!$AK$3,MIN(ER180+EI181+EL181+EM181+EN181-EP181,FC181),0)</f>
        <v>0</v>
      </c>
      <c r="ER181" s="311">
        <f t="shared" si="431"/>
        <v>0</v>
      </c>
      <c r="ES181" s="340">
        <f>Plus!O222</f>
        <v>0</v>
      </c>
      <c r="ET181" s="74"/>
      <c r="EU181" s="74"/>
      <c r="EV181" s="416">
        <f t="shared" si="429"/>
        <v>0</v>
      </c>
      <c r="EY181" s="90">
        <f t="shared" si="373"/>
        <v>1</v>
      </c>
      <c r="EZ181" s="121">
        <f t="shared" si="415"/>
        <v>0</v>
      </c>
      <c r="FB181" s="149">
        <f t="shared" si="416"/>
        <v>0</v>
      </c>
      <c r="FC181" s="2179">
        <f t="shared" ca="1" si="374"/>
        <v>0</v>
      </c>
      <c r="FE181" s="120">
        <f t="shared" si="417"/>
        <v>0</v>
      </c>
      <c r="FF181" s="110">
        <f t="shared" si="375"/>
        <v>0</v>
      </c>
      <c r="FG181" s="110">
        <f t="shared" si="376"/>
        <v>0</v>
      </c>
      <c r="FH181" s="109">
        <f t="shared" si="377"/>
        <v>0</v>
      </c>
      <c r="FI181" s="109">
        <f t="shared" si="328"/>
        <v>0</v>
      </c>
      <c r="FJ181" s="113">
        <f t="shared" si="378"/>
        <v>0</v>
      </c>
      <c r="FL181" s="102">
        <f t="shared" si="379"/>
        <v>0</v>
      </c>
      <c r="FM181" s="326">
        <f t="shared" si="424"/>
        <v>157</v>
      </c>
      <c r="FN181" s="327">
        <f t="shared" si="380"/>
        <v>0</v>
      </c>
      <c r="FO181" s="327">
        <f t="shared" si="329"/>
        <v>0</v>
      </c>
      <c r="FP181" s="327">
        <f>MIN(FQ180+FN181,FP180*(1+$FN$20))</f>
        <v>0</v>
      </c>
      <c r="FQ181" s="213">
        <f t="shared" si="330"/>
        <v>1000000</v>
      </c>
      <c r="FV181" s="359"/>
      <c r="FX181" s="308">
        <f t="shared" ca="1" si="331"/>
        <v>4</v>
      </c>
      <c r="FY181" s="309">
        <f t="shared" si="381"/>
        <v>0</v>
      </c>
      <c r="FZ181" s="268">
        <f t="shared" si="332"/>
        <v>0</v>
      </c>
      <c r="GA181" s="33">
        <f t="shared" si="382"/>
        <v>0</v>
      </c>
      <c r="GB181" s="33">
        <f t="shared" si="438"/>
        <v>0</v>
      </c>
      <c r="GC181" s="33">
        <f t="shared" si="439"/>
        <v>0</v>
      </c>
      <c r="GD181" s="33">
        <f>IF(GJ180&lt;0.01,0,IF(Plus!$F$22=Plus!$AN$4,0,IF(Plus!$F$22=Plus!$AN$3,GJ180*Plus!$F$23/1000,GJ180*VLOOKUP(Plus!$G$21,Plus!$AP$2:$AQ$5,2,0))))</f>
        <v>0</v>
      </c>
      <c r="GE181" s="33">
        <f>IF(GJ180&lt;0.01,0,IF(Plus!$F$24=Plus!$AO$3,0,IF(OR(Plus!$F$10=Plus!$AK$7,Plus!$F$10=Plus!$AK$13,Plus!$F$10=Plus!$AK$14),0,IF(OR(Plus!$F$10=Plus!$AK$10,Plus!$F$10=Plus!$AK$11),Plus!$G$13*Adm!$W$7,Plus!$G$13*Adm!$X$4))))</f>
        <v>0</v>
      </c>
      <c r="GF181" s="33">
        <f>IF(GJ180&lt;0.01,0,IF(OR(Plus!$F$10=Plus!$AK$7,Plus!$F$10=Plus!$AK$13),0,Plus!$BD$2*1.16))</f>
        <v>0</v>
      </c>
      <c r="GG181" s="33">
        <f>IF(GJ180&lt;0.01,0,IF(Plus!$AS$2&gt;0,GA181*Plus!$AS$3,0))</f>
        <v>0</v>
      </c>
      <c r="GH181" s="33">
        <f t="shared" si="383"/>
        <v>0</v>
      </c>
      <c r="GI181" s="33">
        <f>IF(Plus!$F$10=Plus!$AK$3,MIN(GJ180+GA181+GD181+GE181+GF181-GH181,GU181),0)</f>
        <v>0</v>
      </c>
      <c r="GJ181" s="311">
        <f t="shared" si="432"/>
        <v>0</v>
      </c>
      <c r="GK181" s="340">
        <f>Plus!O222</f>
        <v>0</v>
      </c>
      <c r="GL181" s="74"/>
      <c r="GM181" s="74"/>
      <c r="GN181" s="419">
        <f t="shared" si="430"/>
        <v>0</v>
      </c>
      <c r="GQ181" s="90">
        <f t="shared" si="384"/>
        <v>1</v>
      </c>
      <c r="GR181" s="121">
        <f t="shared" si="418"/>
        <v>0</v>
      </c>
      <c r="GT181" s="149">
        <f t="shared" si="419"/>
        <v>0</v>
      </c>
      <c r="GU181" s="2179">
        <f t="shared" ca="1" si="385"/>
        <v>0</v>
      </c>
      <c r="GW181" s="120">
        <f t="shared" si="420"/>
        <v>0</v>
      </c>
      <c r="GX181" s="110">
        <f t="shared" si="386"/>
        <v>0</v>
      </c>
      <c r="GY181" s="110">
        <f t="shared" si="387"/>
        <v>0</v>
      </c>
      <c r="GZ181" s="109">
        <f t="shared" si="388"/>
        <v>0</v>
      </c>
      <c r="HA181" s="109">
        <f t="shared" si="333"/>
        <v>0</v>
      </c>
      <c r="HB181" s="113">
        <f t="shared" si="389"/>
        <v>0</v>
      </c>
      <c r="HD181" s="102">
        <f t="shared" si="390"/>
        <v>0</v>
      </c>
      <c r="HE181" s="326">
        <f t="shared" si="425"/>
        <v>157</v>
      </c>
      <c r="HF181" s="327">
        <f t="shared" si="391"/>
        <v>0</v>
      </c>
      <c r="HG181" s="327">
        <f t="shared" si="334"/>
        <v>0</v>
      </c>
      <c r="HH181" s="327">
        <f>MIN(HI180+HF181,HH180*(1+$FN$20))</f>
        <v>0</v>
      </c>
      <c r="HI181" s="213">
        <f t="shared" si="335"/>
        <v>1000000</v>
      </c>
      <c r="HL181" s="182"/>
      <c r="HM181" s="26">
        <f t="shared" ca="1" si="336"/>
        <v>4</v>
      </c>
      <c r="HO181" s="268">
        <f t="shared" si="337"/>
        <v>0</v>
      </c>
      <c r="HP181" s="151">
        <f t="shared" si="302"/>
        <v>0</v>
      </c>
      <c r="HQ181" s="123">
        <f t="shared" si="392"/>
        <v>0</v>
      </c>
      <c r="HR181" s="123">
        <f t="shared" si="393"/>
        <v>0</v>
      </c>
      <c r="HS181" s="123">
        <f t="shared" si="394"/>
        <v>0</v>
      </c>
      <c r="HT181" s="123">
        <f>IF(HY180&lt;0.01,0,IF(Adm!$GS$4=Adm!$GS$8,HY180*$HY$15,IF(Adm!$GS$12=Adm!$GS$13,0,HY180*Adm!$GV$4)))</f>
        <v>0</v>
      </c>
      <c r="HU181" s="123">
        <f>IF(HY180&lt;0.01,0,IF(Adm!$GS$5=Adm!$GS$8,Cal!$BO$108*$HY$16/1.16,IF(Adm!$GS$12=Adm!$GS$13,0,Cal!$BO$108*Adm!$GW$4/1.16)))</f>
        <v>0</v>
      </c>
      <c r="HV181" s="123">
        <f t="shared" si="395"/>
        <v>0</v>
      </c>
      <c r="HW181" s="123">
        <f t="shared" si="338"/>
        <v>0</v>
      </c>
      <c r="HX181" s="123">
        <f>IF(Adm!$GH$6="si",MIN(HY180+HQ181+HT181+HU181+HV181-HW181,IH181),0)</f>
        <v>0</v>
      </c>
      <c r="HY181" s="297">
        <f t="shared" si="396"/>
        <v>0</v>
      </c>
      <c r="HZ181" s="74"/>
      <c r="IA181" s="407">
        <f t="shared" si="397"/>
        <v>0</v>
      </c>
      <c r="IC181" s="90">
        <f t="shared" si="398"/>
        <v>1</v>
      </c>
      <c r="ID181" s="124">
        <f>IF(IC181=1,Cal!$BO$127,0)</f>
        <v>0</v>
      </c>
      <c r="IE181" s="178">
        <f>IF(IC181=1,Adm!$HI$4,0)</f>
        <v>2.5000000000000001E-3</v>
      </c>
      <c r="IG181" s="70">
        <f t="shared" si="421"/>
        <v>0</v>
      </c>
      <c r="IH181" s="2178">
        <f t="shared" ca="1" si="399"/>
        <v>0</v>
      </c>
      <c r="IK181" s="217"/>
      <c r="IL181" s="26">
        <f t="shared" ca="1" si="339"/>
        <v>4</v>
      </c>
      <c r="IN181" s="268">
        <f t="shared" si="340"/>
        <v>0</v>
      </c>
      <c r="IO181" s="151">
        <f t="shared" si="303"/>
        <v>0</v>
      </c>
      <c r="IP181" s="123">
        <f t="shared" si="400"/>
        <v>0</v>
      </c>
      <c r="IQ181" s="123">
        <f t="shared" si="401"/>
        <v>0</v>
      </c>
      <c r="IR181" s="123">
        <f t="shared" si="402"/>
        <v>0</v>
      </c>
      <c r="IS181" s="123">
        <f>IF(IX180&lt;0.01,0,IF(Adm!$GS$4=Adm!$GS$8,IX180*$IX$15,IF(Adm!$GS$12=Adm!$GS$13,0,IX180*Adm!$GV$4)))</f>
        <v>0</v>
      </c>
      <c r="IT181" s="123"/>
      <c r="IU181" s="123">
        <f t="shared" si="403"/>
        <v>0</v>
      </c>
      <c r="IV181" s="123">
        <f t="shared" si="404"/>
        <v>0</v>
      </c>
      <c r="IW181" s="123"/>
      <c r="IX181" s="297">
        <f t="shared" si="405"/>
        <v>0</v>
      </c>
      <c r="IY181" s="74"/>
      <c r="IZ181" s="416">
        <f t="shared" si="406"/>
        <v>0</v>
      </c>
      <c r="JB181" s="90">
        <f t="shared" si="407"/>
        <v>1</v>
      </c>
      <c r="JC181" s="124">
        <f>IF(JB181=1,Cal!$BP$127,0)</f>
        <v>0</v>
      </c>
      <c r="JD181" s="178">
        <f>IF(JB181=1,Adm!$HI$4,0)</f>
        <v>2.5000000000000001E-3</v>
      </c>
    </row>
    <row r="182" spans="1:264">
      <c r="A182" s="26">
        <f t="shared" ca="1" si="308"/>
        <v>5</v>
      </c>
      <c r="C182" s="33">
        <f t="shared" si="309"/>
        <v>0</v>
      </c>
      <c r="D182" s="123">
        <f t="shared" si="341"/>
        <v>0</v>
      </c>
      <c r="E182" s="123">
        <f t="shared" si="433"/>
        <v>0</v>
      </c>
      <c r="F182" s="123">
        <f t="shared" si="443"/>
        <v>0</v>
      </c>
      <c r="G182" s="123">
        <f>IF(L181&lt;0.01,0,IF(Adm!$S$4=Adm!$S$8,L181*$L$15,L181*Adm!$V$4))</f>
        <v>0</v>
      </c>
      <c r="H182" s="123">
        <f>IF(L181&lt;0.01,0,IF(Adm!$S$5=Adm!$S$8,Adm!$AA$11*$L$16/1.16,IF(Adm!$B$4=Adm!$A$119,0,Adm!$AA$11*Adm!$X$4/1.16)))</f>
        <v>0</v>
      </c>
      <c r="I182" s="123">
        <f>IF(L181&lt;0.01,0,Cal!$AB$126/1.16)</f>
        <v>0</v>
      </c>
      <c r="J182" s="123">
        <f t="shared" si="310"/>
        <v>0</v>
      </c>
      <c r="K182" s="123">
        <f>IF(Adm!$G$4="si",MIN(L181+D182+G182+H182+I182-J182,V182),0)</f>
        <v>0</v>
      </c>
      <c r="L182" s="123">
        <f t="shared" si="342"/>
        <v>0</v>
      </c>
      <c r="M182" s="74"/>
      <c r="N182" s="74"/>
      <c r="O182" s="407">
        <f t="shared" si="343"/>
        <v>0</v>
      </c>
      <c r="R182" s="90">
        <f t="shared" si="344"/>
        <v>2</v>
      </c>
      <c r="S182" s="121">
        <f>IF(R182=1,Cal!$AB$127,0)</f>
        <v>0</v>
      </c>
      <c r="U182" s="70">
        <f t="shared" si="408"/>
        <v>0</v>
      </c>
      <c r="V182" s="2178">
        <f t="shared" ca="1" si="345"/>
        <v>0</v>
      </c>
      <c r="X182" s="398"/>
      <c r="Z182" s="268">
        <f t="shared" si="311"/>
        <v>0</v>
      </c>
      <c r="AA182" s="2176">
        <f t="shared" si="346"/>
        <v>0</v>
      </c>
      <c r="AB182" s="33">
        <f t="shared" si="347"/>
        <v>0</v>
      </c>
      <c r="AC182" s="33">
        <f t="shared" si="348"/>
        <v>0</v>
      </c>
      <c r="AD182" s="33">
        <f>IF(AI181&lt;0.01,0,IF(Adm!$S$4=Adm!$S$8,AI181*$AI$15,AI181*Adm!$V$4))</f>
        <v>0</v>
      </c>
      <c r="AE182" s="33"/>
      <c r="AF182" s="33"/>
      <c r="AG182" s="33">
        <f t="shared" si="312"/>
        <v>0</v>
      </c>
      <c r="AH182" s="33"/>
      <c r="AI182" s="401">
        <f t="shared" si="313"/>
        <v>0</v>
      </c>
      <c r="AK182" s="410">
        <f t="shared" si="314"/>
        <v>0</v>
      </c>
      <c r="AN182" s="90">
        <f t="shared" si="349"/>
        <v>2</v>
      </c>
      <c r="AO182" s="121">
        <f>IF(AN182=1,Cal!$AC$127,0)</f>
        <v>0</v>
      </c>
      <c r="AS182" s="200"/>
      <c r="AU182" s="268">
        <f t="shared" si="315"/>
        <v>0</v>
      </c>
      <c r="AV182" s="2177">
        <f t="shared" si="350"/>
        <v>0</v>
      </c>
      <c r="AW182" s="123">
        <f t="shared" si="316"/>
        <v>0</v>
      </c>
      <c r="AX182" s="123">
        <f t="shared" si="351"/>
        <v>0</v>
      </c>
      <c r="AY182" s="123">
        <f>IF(BC181&lt;0.01,0,IF(Adm!$S$4=Adm!$S$8,BC181*$BC$16,BC181*Adm!$V$4))</f>
        <v>0</v>
      </c>
      <c r="AZ182" s="123"/>
      <c r="BA182" s="123">
        <f>IF(BC181&lt;0.01,0,Adm!$Q$6)</f>
        <v>0</v>
      </c>
      <c r="BB182" s="123">
        <f t="shared" si="317"/>
        <v>0</v>
      </c>
      <c r="BC182" s="297">
        <f t="shared" si="352"/>
        <v>0</v>
      </c>
      <c r="BE182" s="425">
        <f t="shared" si="318"/>
        <v>0</v>
      </c>
      <c r="BH182" s="90">
        <f t="shared" si="353"/>
        <v>2</v>
      </c>
      <c r="BI182" s="121">
        <f>IF(BH182=1,Cal!$AD$127,0)</f>
        <v>0</v>
      </c>
      <c r="BM182" s="221"/>
      <c r="BO182" s="295">
        <f t="shared" ca="1" si="319"/>
        <v>5</v>
      </c>
      <c r="BP182" s="268">
        <f t="shared" si="320"/>
        <v>0</v>
      </c>
      <c r="BQ182" s="123">
        <f t="shared" si="354"/>
        <v>0</v>
      </c>
      <c r="BR182" s="123">
        <f t="shared" si="434"/>
        <v>0</v>
      </c>
      <c r="BS182" s="123">
        <f t="shared" si="444"/>
        <v>0</v>
      </c>
      <c r="BT182" s="123">
        <f>IF(BZ181&lt;0.01,0,IF(Plus!$F$22=Plus!$AN$4,BZ181*$BZ$15,IF(Plus!$F$22=Plus!$AN$3,BZ181*Plus!$F$23/1000,BZ181*VLOOKUP(Plus!$G$21,Plus!$AP$2:'Plus'!$AQ$5,2,0))))</f>
        <v>0</v>
      </c>
      <c r="BU182" s="123">
        <f>IF(BZ181&lt;0.01,0,IF(Plus!$F$24=Plus!$AO$3,Plus!$G$13*Plus!$AR$2/1.16,IF(Plus!$F$10=Plus!$AK$7,0,Plus!$G$13*Plus!$AR$2/1.16)))</f>
        <v>0</v>
      </c>
      <c r="BV182" s="123">
        <f>IF(BZ181&lt;0.01,0,Plus!$BD$2)</f>
        <v>0</v>
      </c>
      <c r="BW182" s="123"/>
      <c r="BX182" s="123">
        <f t="shared" si="321"/>
        <v>0</v>
      </c>
      <c r="BY182" s="123">
        <f>IF(Plus!$F$10=Plus!$AK$3,MIN(BZ181+BQ182+BT182+BU182+BV182-BX182,CJ182),0)</f>
        <v>0</v>
      </c>
      <c r="BZ182" s="297">
        <f t="shared" si="428"/>
        <v>0</v>
      </c>
      <c r="CA182" s="74"/>
      <c r="CB182" s="74"/>
      <c r="CC182" s="413">
        <f t="shared" si="355"/>
        <v>0</v>
      </c>
      <c r="CF182" s="90">
        <f t="shared" si="356"/>
        <v>2</v>
      </c>
      <c r="CG182" s="121">
        <f t="shared" si="409"/>
        <v>0</v>
      </c>
      <c r="CI182" s="70">
        <f t="shared" si="410"/>
        <v>0</v>
      </c>
      <c r="CJ182" s="2178">
        <f t="shared" ca="1" si="357"/>
        <v>0</v>
      </c>
      <c r="CL182" s="161"/>
      <c r="CN182" s="308">
        <f t="shared" ca="1" si="322"/>
        <v>5</v>
      </c>
      <c r="CO182" s="309">
        <f t="shared" si="358"/>
        <v>0</v>
      </c>
      <c r="CP182" s="268">
        <f t="shared" si="323"/>
        <v>0</v>
      </c>
      <c r="CQ182" s="123">
        <f t="shared" si="359"/>
        <v>0</v>
      </c>
      <c r="CR182" s="123">
        <f t="shared" si="435"/>
        <v>0</v>
      </c>
      <c r="CS182" s="123">
        <f t="shared" si="436"/>
        <v>0</v>
      </c>
      <c r="CT182" s="33">
        <f>IF(CZ181&lt;0.01,0,IF(Plus!$F$22=Plus!$AN$4,0,IF(Plus!$F$22=Plus!$AN$3,CZ181*Plus!$F$23/1000,CZ181*VLOOKUP(Plus!$G$21,Plus!$AP$2:'Plus'!$AQ$5,2,0))))</f>
        <v>0</v>
      </c>
      <c r="CU182" s="123">
        <f>IF(CZ181&lt;0.01,0,IF(Plus!$F$24=Plus!$AO$3,0,IF(OR(Plus!$F$10=Plus!$AK$7,Plus!$F$10=Plus!$AK$13),0,Plus!$G$13*Plus!$AR$2)))</f>
        <v>0</v>
      </c>
      <c r="CV182" s="123">
        <f>IF(CZ181&lt;0.01,0,IF(OR(Plus!$F$10=Plus!$AK$7,Plus!$F$10=Plus!$AK$13),0,Plus!$BD$2*1.16))</f>
        <v>0</v>
      </c>
      <c r="CW182" s="123">
        <f>IF(CZ181&lt;0.01,0,IF(Plus!$AS$2&gt;0,CQ182*Plus!$AS$3,0))</f>
        <v>0</v>
      </c>
      <c r="CX182" s="123">
        <f t="shared" si="360"/>
        <v>0</v>
      </c>
      <c r="CY182" s="123">
        <f>IF(Plus!$F$10=Plus!$AK$3,MIN(CZ181+CQ182+CT182+CU182+CV182-CX182,DK182),0)</f>
        <v>0</v>
      </c>
      <c r="CZ182" s="297">
        <f t="shared" si="440"/>
        <v>0</v>
      </c>
      <c r="DA182" s="306">
        <f>Plus!O223</f>
        <v>0</v>
      </c>
      <c r="DB182" s="74"/>
      <c r="DC182" s="74"/>
      <c r="DD182" s="407">
        <f t="shared" si="361"/>
        <v>0</v>
      </c>
      <c r="DG182" s="90">
        <f t="shared" si="362"/>
        <v>2</v>
      </c>
      <c r="DH182" s="121">
        <f t="shared" si="411"/>
        <v>0</v>
      </c>
      <c r="DJ182" s="149">
        <f t="shared" si="412"/>
        <v>0</v>
      </c>
      <c r="DK182" s="2179">
        <f t="shared" ca="1" si="363"/>
        <v>0</v>
      </c>
      <c r="DN182" s="120">
        <f t="shared" si="413"/>
        <v>0</v>
      </c>
      <c r="DO182" s="110">
        <f t="shared" si="364"/>
        <v>0</v>
      </c>
      <c r="DP182" s="110">
        <f t="shared" si="422"/>
        <v>0</v>
      </c>
      <c r="DQ182" s="109">
        <f t="shared" si="365"/>
        <v>0</v>
      </c>
      <c r="DR182" s="109">
        <f t="shared" si="366"/>
        <v>0</v>
      </c>
      <c r="DS182" s="113">
        <f t="shared" si="367"/>
        <v>0</v>
      </c>
      <c r="DU182" s="102">
        <f t="shared" si="368"/>
        <v>0</v>
      </c>
      <c r="DV182" s="211">
        <f t="shared" si="423"/>
        <v>158</v>
      </c>
      <c r="DW182" s="212">
        <f t="shared" si="369"/>
        <v>0</v>
      </c>
      <c r="DX182" s="212">
        <f t="shared" si="324"/>
        <v>0</v>
      </c>
      <c r="DY182" s="212">
        <f t="shared" si="414"/>
        <v>0</v>
      </c>
      <c r="DZ182" s="213">
        <f t="shared" si="325"/>
        <v>1000000</v>
      </c>
      <c r="ED182" s="182"/>
      <c r="EF182" s="308">
        <f t="shared" ca="1" si="326"/>
        <v>5</v>
      </c>
      <c r="EG182" s="309">
        <f t="shared" si="370"/>
        <v>0</v>
      </c>
      <c r="EH182" s="268">
        <f t="shared" si="327"/>
        <v>0</v>
      </c>
      <c r="EI182" s="33">
        <f t="shared" si="371"/>
        <v>0</v>
      </c>
      <c r="EJ182" s="33">
        <f t="shared" si="437"/>
        <v>0</v>
      </c>
      <c r="EK182" s="33">
        <f t="shared" si="445"/>
        <v>0</v>
      </c>
      <c r="EL182" s="33">
        <f>IF(ER181&lt;0.01,0,IF(Plus!$F$22=Plus!$AN$4,0,IF(Plus!$F$22=Plus!$AN$3,ER181*Plus!$F$23/1000,ER181*VLOOKUP(Plus!$G$21,Plus!$AP$2:'Plus'!$AQ$5,2,0))))</f>
        <v>0</v>
      </c>
      <c r="EM182" s="33">
        <f>IF(ER181&lt;0.01,0,IF(Plus!$F$24=Plus!$AO$3,0,IF(OR(Plus!$F$10=Plus!$AK$7,Plus!$F$10=Plus!$AK$13),0,Plus!$G$13*Plus!$AR$2)))</f>
        <v>0</v>
      </c>
      <c r="EN182" s="33">
        <f>IF(ER181&lt;0.01,0,IF(OR(Plus!$F$10=Plus!$AK$7,Plus!$F$10=Plus!$AK$13),0,Plus!$BD$2*1.16))</f>
        <v>0</v>
      </c>
      <c r="EO182" s="33">
        <f>IF(ER181&lt;0.01,0,IF(Plus!$AS$2&gt;0,EI182*Plus!$AS$3,0))</f>
        <v>0</v>
      </c>
      <c r="EP182" s="33">
        <f t="shared" si="372"/>
        <v>0</v>
      </c>
      <c r="EQ182" s="33">
        <f>IF(Plus!$F$10=Plus!$AK$3,MIN(ER181+EI182+EL182+EM182+EN182-EP182,FC182),0)</f>
        <v>0</v>
      </c>
      <c r="ER182" s="311">
        <f t="shared" si="431"/>
        <v>0</v>
      </c>
      <c r="ES182" s="340">
        <f>Plus!O223</f>
        <v>0</v>
      </c>
      <c r="ET182" s="74"/>
      <c r="EU182" s="74"/>
      <c r="EV182" s="416">
        <f t="shared" si="429"/>
        <v>0</v>
      </c>
      <c r="EY182" s="90">
        <f t="shared" si="373"/>
        <v>2</v>
      </c>
      <c r="EZ182" s="121">
        <f t="shared" si="415"/>
        <v>0</v>
      </c>
      <c r="FB182" s="149">
        <f t="shared" si="416"/>
        <v>0</v>
      </c>
      <c r="FC182" s="2179">
        <f t="shared" ca="1" si="374"/>
        <v>0</v>
      </c>
      <c r="FE182" s="120">
        <f t="shared" si="417"/>
        <v>0</v>
      </c>
      <c r="FF182" s="110">
        <f t="shared" si="375"/>
        <v>0</v>
      </c>
      <c r="FG182" s="110">
        <f t="shared" si="376"/>
        <v>0</v>
      </c>
      <c r="FH182" s="109">
        <f t="shared" si="377"/>
        <v>0</v>
      </c>
      <c r="FI182" s="109">
        <f t="shared" si="328"/>
        <v>0</v>
      </c>
      <c r="FJ182" s="113">
        <f t="shared" si="378"/>
        <v>0</v>
      </c>
      <c r="FL182" s="102">
        <f t="shared" si="379"/>
        <v>0</v>
      </c>
      <c r="FM182" s="211">
        <f t="shared" si="424"/>
        <v>158</v>
      </c>
      <c r="FN182" s="212">
        <f t="shared" si="380"/>
        <v>0</v>
      </c>
      <c r="FO182" s="212">
        <f t="shared" si="329"/>
        <v>0</v>
      </c>
      <c r="FP182" s="212">
        <f t="shared" ref="FP182:FP192" si="446">MIN(FQ181+FN182,FP181)</f>
        <v>0</v>
      </c>
      <c r="FQ182" s="213">
        <f t="shared" si="330"/>
        <v>1000000</v>
      </c>
      <c r="FV182" s="359"/>
      <c r="FX182" s="308">
        <f t="shared" ca="1" si="331"/>
        <v>5</v>
      </c>
      <c r="FY182" s="309">
        <f t="shared" si="381"/>
        <v>0</v>
      </c>
      <c r="FZ182" s="268">
        <f t="shared" si="332"/>
        <v>0</v>
      </c>
      <c r="GA182" s="33">
        <f t="shared" si="382"/>
        <v>0</v>
      </c>
      <c r="GB182" s="33">
        <f t="shared" si="438"/>
        <v>0</v>
      </c>
      <c r="GC182" s="33">
        <f t="shared" si="439"/>
        <v>0</v>
      </c>
      <c r="GD182" s="33">
        <f>IF(GJ181&lt;0.01,0,IF(Plus!$F$22=Plus!$AN$4,0,IF(Plus!$F$22=Plus!$AN$3,GJ181*Plus!$F$23/1000,GJ181*VLOOKUP(Plus!$G$21,Plus!$AP$2:$AQ$5,2,0))))</f>
        <v>0</v>
      </c>
      <c r="GE182" s="33">
        <f>IF(GJ181&lt;0.01,0,IF(Plus!$F$24=Plus!$AO$3,0,IF(OR(Plus!$F$10=Plus!$AK$7,Plus!$F$10=Plus!$AK$13,Plus!$F$10=Plus!$AK$14),0,IF(OR(Plus!$F$10=Plus!$AK$10,Plus!$F$10=Plus!$AK$11),Plus!$G$13*Adm!$W$7,Plus!$G$13*Adm!$X$4))))</f>
        <v>0</v>
      </c>
      <c r="GF182" s="33">
        <f>IF(GJ181&lt;0.01,0,IF(OR(Plus!$F$10=Plus!$AK$7,Plus!$F$10=Plus!$AK$13),0,Plus!$BD$2*1.16))</f>
        <v>0</v>
      </c>
      <c r="GG182" s="33">
        <f>IF(GJ181&lt;0.01,0,IF(Plus!$AS$2&gt;0,GA182*Plus!$AS$3,0))</f>
        <v>0</v>
      </c>
      <c r="GH182" s="33">
        <f t="shared" si="383"/>
        <v>0</v>
      </c>
      <c r="GI182" s="33">
        <f>IF(Plus!$F$10=Plus!$AK$3,MIN(GJ181+GA182+GD182+GE182+GF182-GH182,GU182),0)</f>
        <v>0</v>
      </c>
      <c r="GJ182" s="311">
        <f t="shared" si="432"/>
        <v>0</v>
      </c>
      <c r="GK182" s="340">
        <f>Plus!O223</f>
        <v>0</v>
      </c>
      <c r="GL182" s="74"/>
      <c r="GM182" s="74"/>
      <c r="GN182" s="419">
        <f t="shared" si="430"/>
        <v>0</v>
      </c>
      <c r="GQ182" s="90">
        <f t="shared" si="384"/>
        <v>2</v>
      </c>
      <c r="GR182" s="121">
        <f t="shared" si="418"/>
        <v>0</v>
      </c>
      <c r="GT182" s="149">
        <f t="shared" si="419"/>
        <v>0</v>
      </c>
      <c r="GU182" s="2179">
        <f t="shared" ca="1" si="385"/>
        <v>0</v>
      </c>
      <c r="GW182" s="120">
        <f t="shared" si="420"/>
        <v>0</v>
      </c>
      <c r="GX182" s="110">
        <f t="shared" si="386"/>
        <v>0</v>
      </c>
      <c r="GY182" s="110">
        <f t="shared" si="387"/>
        <v>0</v>
      </c>
      <c r="GZ182" s="109">
        <f t="shared" si="388"/>
        <v>0</v>
      </c>
      <c r="HA182" s="109">
        <f t="shared" si="333"/>
        <v>0</v>
      </c>
      <c r="HB182" s="113">
        <f t="shared" si="389"/>
        <v>0</v>
      </c>
      <c r="HD182" s="102">
        <f t="shared" si="390"/>
        <v>0</v>
      </c>
      <c r="HE182" s="211">
        <f t="shared" si="425"/>
        <v>158</v>
      </c>
      <c r="HF182" s="212">
        <f t="shared" si="391"/>
        <v>0</v>
      </c>
      <c r="HG182" s="212">
        <f t="shared" si="334"/>
        <v>0</v>
      </c>
      <c r="HH182" s="212">
        <f t="shared" ref="HH182:HH192" si="447">MIN(HI181+HF182,HH181)</f>
        <v>0</v>
      </c>
      <c r="HI182" s="213">
        <f t="shared" si="335"/>
        <v>1000000</v>
      </c>
      <c r="HL182" s="182"/>
      <c r="HM182" s="26">
        <f t="shared" ca="1" si="336"/>
        <v>5</v>
      </c>
      <c r="HO182" s="268">
        <f t="shared" si="337"/>
        <v>0</v>
      </c>
      <c r="HP182" s="151">
        <f t="shared" si="302"/>
        <v>0</v>
      </c>
      <c r="HQ182" s="123">
        <f t="shared" si="392"/>
        <v>0</v>
      </c>
      <c r="HR182" s="123">
        <f t="shared" si="393"/>
        <v>0</v>
      </c>
      <c r="HS182" s="123">
        <f t="shared" si="394"/>
        <v>0</v>
      </c>
      <c r="HT182" s="123">
        <f>IF(HY181&lt;0.01,0,IF(Adm!$GS$4=Adm!$GS$8,HY181*$HY$15,IF(Adm!$GS$12=Adm!$GS$13,0,HY181*Adm!$GV$4)))</f>
        <v>0</v>
      </c>
      <c r="HU182" s="123">
        <f>IF(HY181&lt;0.01,0,IF(Adm!$GS$5=Adm!$GS$8,Cal!$BO$108*$HY$16/1.16,IF(Adm!$GS$12=Adm!$GS$13,0,Cal!$BO$108*Adm!$GW$4/1.16)))</f>
        <v>0</v>
      </c>
      <c r="HV182" s="123">
        <f t="shared" si="395"/>
        <v>0</v>
      </c>
      <c r="HW182" s="123">
        <f t="shared" si="338"/>
        <v>0</v>
      </c>
      <c r="HX182" s="123">
        <f>IF(Adm!$GH$6="si",MIN(HY181+HQ182+HT182+HU182+HV182-HW182,IH182),0)</f>
        <v>0</v>
      </c>
      <c r="HY182" s="297">
        <f t="shared" si="396"/>
        <v>0</v>
      </c>
      <c r="HZ182" s="74"/>
      <c r="IA182" s="407">
        <f t="shared" si="397"/>
        <v>0</v>
      </c>
      <c r="IC182" s="90">
        <f t="shared" si="398"/>
        <v>2</v>
      </c>
      <c r="ID182" s="124">
        <f>IF(IC182=1,Cal!$BO$127,0)</f>
        <v>0</v>
      </c>
      <c r="IE182" s="178">
        <f>IF(IC182=1,Adm!$HI$4,0)</f>
        <v>0</v>
      </c>
      <c r="IG182" s="70">
        <f t="shared" si="421"/>
        <v>0</v>
      </c>
      <c r="IH182" s="2178">
        <f t="shared" ca="1" si="399"/>
        <v>0</v>
      </c>
      <c r="IK182" s="217"/>
      <c r="IL182" s="26">
        <f t="shared" ca="1" si="339"/>
        <v>5</v>
      </c>
      <c r="IN182" s="268">
        <f t="shared" si="340"/>
        <v>0</v>
      </c>
      <c r="IO182" s="151">
        <f t="shared" si="303"/>
        <v>0</v>
      </c>
      <c r="IP182" s="123">
        <f t="shared" si="400"/>
        <v>0</v>
      </c>
      <c r="IQ182" s="123">
        <f t="shared" si="401"/>
        <v>0</v>
      </c>
      <c r="IR182" s="123">
        <f t="shared" si="402"/>
        <v>0</v>
      </c>
      <c r="IS182" s="123">
        <f>IF(IX181&lt;0.01,0,IF(Adm!$GS$4=Adm!$GS$8,IX181*$IX$15,IF(Adm!$GS$12=Adm!$GS$13,0,IX181*Adm!$GV$4)))</f>
        <v>0</v>
      </c>
      <c r="IT182" s="123"/>
      <c r="IU182" s="123">
        <f t="shared" si="403"/>
        <v>0</v>
      </c>
      <c r="IV182" s="123">
        <f t="shared" si="404"/>
        <v>0</v>
      </c>
      <c r="IW182" s="123"/>
      <c r="IX182" s="297">
        <f t="shared" si="405"/>
        <v>0</v>
      </c>
      <c r="IY182" s="74"/>
      <c r="IZ182" s="416">
        <f t="shared" si="406"/>
        <v>0</v>
      </c>
      <c r="JB182" s="90">
        <f t="shared" si="407"/>
        <v>2</v>
      </c>
      <c r="JC182" s="124">
        <f>IF(JB182=1,Cal!$BP$127,0)</f>
        <v>0</v>
      </c>
      <c r="JD182" s="178">
        <f>IF(JB182=1,Adm!$HI$4,0)</f>
        <v>0</v>
      </c>
    </row>
    <row r="183" spans="1:264">
      <c r="A183" s="26">
        <f t="shared" ca="1" si="308"/>
        <v>6</v>
      </c>
      <c r="C183" s="33">
        <f t="shared" si="309"/>
        <v>0</v>
      </c>
      <c r="D183" s="123">
        <f t="shared" si="341"/>
        <v>0</v>
      </c>
      <c r="E183" s="123">
        <f t="shared" si="433"/>
        <v>0</v>
      </c>
      <c r="F183" s="123">
        <f t="shared" si="443"/>
        <v>0</v>
      </c>
      <c r="G183" s="123">
        <f>IF(L182&lt;0.01,0,IF(Adm!$S$4=Adm!$S$8,L182*$L$15,L182*Adm!$V$4))</f>
        <v>0</v>
      </c>
      <c r="H183" s="123">
        <f>IF(L182&lt;0.01,0,IF(Adm!$S$5=Adm!$S$8,Adm!$AA$11*$L$16/1.16,IF(Adm!$B$4=Adm!$A$119,0,Adm!$AA$11*Adm!$X$4/1.16)))</f>
        <v>0</v>
      </c>
      <c r="I183" s="123">
        <f>IF(L182&lt;0.01,0,Cal!$AB$126/1.16)</f>
        <v>0</v>
      </c>
      <c r="J183" s="123">
        <f t="shared" si="310"/>
        <v>0</v>
      </c>
      <c r="K183" s="123">
        <f>IF(Adm!$G$4="si",MIN(L182+D183+G183+H183+I183-J183,V183),0)</f>
        <v>0</v>
      </c>
      <c r="L183" s="123">
        <f t="shared" si="342"/>
        <v>0</v>
      </c>
      <c r="M183" s="74"/>
      <c r="N183" s="74"/>
      <c r="O183" s="407">
        <f t="shared" si="343"/>
        <v>0</v>
      </c>
      <c r="R183" s="90">
        <f t="shared" si="344"/>
        <v>3</v>
      </c>
      <c r="S183" s="121">
        <f>IF(R183=1,Cal!$AB$127,0)</f>
        <v>0</v>
      </c>
      <c r="U183" s="70">
        <f t="shared" si="408"/>
        <v>0</v>
      </c>
      <c r="V183" s="2178">
        <f t="shared" ca="1" si="345"/>
        <v>0</v>
      </c>
      <c r="X183" s="398"/>
      <c r="Z183" s="268">
        <f t="shared" si="311"/>
        <v>0</v>
      </c>
      <c r="AA183" s="2176">
        <f t="shared" si="346"/>
        <v>0</v>
      </c>
      <c r="AB183" s="33">
        <f t="shared" si="347"/>
        <v>0</v>
      </c>
      <c r="AC183" s="33">
        <f t="shared" si="348"/>
        <v>0</v>
      </c>
      <c r="AD183" s="33">
        <f>IF(AI182&lt;0.01,0,IF(Adm!$S$4=Adm!$S$8,AI182*$AI$15,AI182*Adm!$V$4))</f>
        <v>0</v>
      </c>
      <c r="AE183" s="33"/>
      <c r="AF183" s="33"/>
      <c r="AG183" s="33">
        <f t="shared" si="312"/>
        <v>0</v>
      </c>
      <c r="AH183" s="33"/>
      <c r="AI183" s="401">
        <f t="shared" si="313"/>
        <v>0</v>
      </c>
      <c r="AK183" s="410">
        <f t="shared" si="314"/>
        <v>0</v>
      </c>
      <c r="AN183" s="90">
        <f t="shared" si="349"/>
        <v>3</v>
      </c>
      <c r="AO183" s="121">
        <f>IF(AN183=1,Cal!$AC$127,0)</f>
        <v>0</v>
      </c>
      <c r="AS183" s="200"/>
      <c r="AU183" s="268">
        <f t="shared" si="315"/>
        <v>0</v>
      </c>
      <c r="AV183" s="2177">
        <f t="shared" si="350"/>
        <v>0</v>
      </c>
      <c r="AW183" s="123">
        <f t="shared" si="316"/>
        <v>0</v>
      </c>
      <c r="AX183" s="123">
        <f t="shared" si="351"/>
        <v>0</v>
      </c>
      <c r="AY183" s="123">
        <f>IF(BC182&lt;0.01,0,IF(Adm!$S$4=Adm!$S$8,BC182*$BC$16,BC182*Adm!$V$4))</f>
        <v>0</v>
      </c>
      <c r="AZ183" s="123"/>
      <c r="BA183" s="123">
        <f>IF(BC182&lt;0.01,0,Adm!$Q$6)</f>
        <v>0</v>
      </c>
      <c r="BB183" s="123">
        <f t="shared" si="317"/>
        <v>0</v>
      </c>
      <c r="BC183" s="297">
        <f t="shared" si="352"/>
        <v>0</v>
      </c>
      <c r="BE183" s="425">
        <f t="shared" si="318"/>
        <v>0</v>
      </c>
      <c r="BH183" s="90">
        <f t="shared" si="353"/>
        <v>3</v>
      </c>
      <c r="BI183" s="121">
        <f>IF(BH183=1,Cal!$AD$127,0)</f>
        <v>0</v>
      </c>
      <c r="BM183" s="221"/>
      <c r="BO183" s="295">
        <f t="shared" ca="1" si="319"/>
        <v>6</v>
      </c>
      <c r="BP183" s="268">
        <f t="shared" si="320"/>
        <v>0</v>
      </c>
      <c r="BQ183" s="123">
        <f t="shared" si="354"/>
        <v>0</v>
      </c>
      <c r="BR183" s="123">
        <f t="shared" si="434"/>
        <v>0</v>
      </c>
      <c r="BS183" s="123">
        <f t="shared" si="444"/>
        <v>0</v>
      </c>
      <c r="BT183" s="123">
        <f>IF(BZ182&lt;0.01,0,IF(Plus!$F$22=Plus!$AN$4,BZ182*$BZ$15,IF(Plus!$F$22=Plus!$AN$3,BZ182*Plus!$F$23/1000,BZ182*VLOOKUP(Plus!$G$21,Plus!$AP$2:'Plus'!$AQ$5,2,0))))</f>
        <v>0</v>
      </c>
      <c r="BU183" s="123">
        <f>IF(BZ182&lt;0.01,0,IF(Plus!$F$24=Plus!$AO$3,Plus!$G$13*Plus!$AR$2/1.16,IF(Plus!$F$10=Plus!$AK$7,0,Plus!$G$13*Plus!$AR$2/1.16)))</f>
        <v>0</v>
      </c>
      <c r="BV183" s="123">
        <f>IF(BZ182&lt;0.01,0,Plus!$BD$2)</f>
        <v>0</v>
      </c>
      <c r="BW183" s="123"/>
      <c r="BX183" s="123">
        <f t="shared" si="321"/>
        <v>0</v>
      </c>
      <c r="BY183" s="123">
        <f>IF(Plus!$F$10=Plus!$AK$3,MIN(BZ182+BQ183+BT183+BU183+BV183-BX183,CJ183),0)</f>
        <v>0</v>
      </c>
      <c r="BZ183" s="297">
        <f t="shared" si="428"/>
        <v>0</v>
      </c>
      <c r="CA183" s="74"/>
      <c r="CB183" s="74"/>
      <c r="CC183" s="413">
        <f t="shared" si="355"/>
        <v>0</v>
      </c>
      <c r="CF183" s="90">
        <f t="shared" si="356"/>
        <v>3</v>
      </c>
      <c r="CG183" s="121">
        <f t="shared" si="409"/>
        <v>0</v>
      </c>
      <c r="CI183" s="70">
        <f t="shared" si="410"/>
        <v>0</v>
      </c>
      <c r="CJ183" s="2178">
        <f t="shared" ca="1" si="357"/>
        <v>0</v>
      </c>
      <c r="CL183" s="161"/>
      <c r="CN183" s="308">
        <f t="shared" ca="1" si="322"/>
        <v>6</v>
      </c>
      <c r="CO183" s="309">
        <f t="shared" si="358"/>
        <v>0</v>
      </c>
      <c r="CP183" s="268">
        <f t="shared" si="323"/>
        <v>0</v>
      </c>
      <c r="CQ183" s="123">
        <f t="shared" si="359"/>
        <v>0</v>
      </c>
      <c r="CR183" s="123">
        <f t="shared" si="435"/>
        <v>0</v>
      </c>
      <c r="CS183" s="123">
        <f t="shared" si="436"/>
        <v>0</v>
      </c>
      <c r="CT183" s="33">
        <f>IF(CZ182&lt;0.01,0,IF(Plus!$F$22=Plus!$AN$4,0,IF(Plus!$F$22=Plus!$AN$3,CZ182*Plus!$F$23/1000,CZ182*VLOOKUP(Plus!$G$21,Plus!$AP$2:'Plus'!$AQ$5,2,0))))</f>
        <v>0</v>
      </c>
      <c r="CU183" s="123">
        <f>IF(CZ182&lt;0.01,0,IF(Plus!$F$24=Plus!$AO$3,0,IF(OR(Plus!$F$10=Plus!$AK$7,Plus!$F$10=Plus!$AK$13),0,Plus!$G$13*Plus!$AR$2)))</f>
        <v>0</v>
      </c>
      <c r="CV183" s="123">
        <f>IF(CZ182&lt;0.01,0,IF(OR(Plus!$F$10=Plus!$AK$7,Plus!$F$10=Plus!$AK$13),0,Plus!$BD$2*1.16))</f>
        <v>0</v>
      </c>
      <c r="CW183" s="123">
        <f>IF(CZ182&lt;0.01,0,IF(Plus!$AS$2&gt;0,CQ183*Plus!$AS$3,0))</f>
        <v>0</v>
      </c>
      <c r="CX183" s="123">
        <f t="shared" si="360"/>
        <v>0</v>
      </c>
      <c r="CY183" s="123">
        <f>IF(Plus!$F$10=Plus!$AK$3,MIN(CZ182+CQ183+CT183+CU183+CV183-CX183,DK183),0)</f>
        <v>0</v>
      </c>
      <c r="CZ183" s="297">
        <f t="shared" si="440"/>
        <v>0</v>
      </c>
      <c r="DA183" s="306">
        <f>Plus!O224</f>
        <v>0</v>
      </c>
      <c r="DB183" s="74"/>
      <c r="DC183" s="74"/>
      <c r="DD183" s="407">
        <f t="shared" si="361"/>
        <v>0</v>
      </c>
      <c r="DG183" s="90">
        <f t="shared" si="362"/>
        <v>3</v>
      </c>
      <c r="DH183" s="121">
        <f t="shared" si="411"/>
        <v>0</v>
      </c>
      <c r="DJ183" s="149">
        <f t="shared" si="412"/>
        <v>0</v>
      </c>
      <c r="DK183" s="2179">
        <f t="shared" ca="1" si="363"/>
        <v>0</v>
      </c>
      <c r="DN183" s="120">
        <f t="shared" si="413"/>
        <v>0</v>
      </c>
      <c r="DO183" s="110">
        <f t="shared" si="364"/>
        <v>0</v>
      </c>
      <c r="DP183" s="110">
        <f t="shared" si="422"/>
        <v>0</v>
      </c>
      <c r="DQ183" s="109">
        <f t="shared" si="365"/>
        <v>0</v>
      </c>
      <c r="DR183" s="109">
        <f t="shared" si="366"/>
        <v>0</v>
      </c>
      <c r="DS183" s="113">
        <f t="shared" si="367"/>
        <v>0</v>
      </c>
      <c r="DU183" s="102">
        <f t="shared" si="368"/>
        <v>0</v>
      </c>
      <c r="DV183" s="211">
        <f t="shared" si="423"/>
        <v>159</v>
      </c>
      <c r="DW183" s="212">
        <f t="shared" si="369"/>
        <v>0</v>
      </c>
      <c r="DX183" s="212">
        <f t="shared" si="324"/>
        <v>0</v>
      </c>
      <c r="DY183" s="212">
        <f t="shared" si="414"/>
        <v>0</v>
      </c>
      <c r="DZ183" s="213">
        <f t="shared" si="325"/>
        <v>1000000</v>
      </c>
      <c r="ED183" s="182"/>
      <c r="EF183" s="308">
        <f t="shared" ca="1" si="326"/>
        <v>6</v>
      </c>
      <c r="EG183" s="309">
        <f t="shared" si="370"/>
        <v>0</v>
      </c>
      <c r="EH183" s="268">
        <f t="shared" si="327"/>
        <v>0</v>
      </c>
      <c r="EI183" s="33">
        <f t="shared" si="371"/>
        <v>0</v>
      </c>
      <c r="EJ183" s="33">
        <f t="shared" si="437"/>
        <v>0</v>
      </c>
      <c r="EK183" s="33">
        <f t="shared" si="445"/>
        <v>0</v>
      </c>
      <c r="EL183" s="33">
        <f>IF(ER182&lt;0.01,0,IF(Plus!$F$22=Plus!$AN$4,0,IF(Plus!$F$22=Plus!$AN$3,ER182*Plus!$F$23/1000,ER182*VLOOKUP(Plus!$G$21,Plus!$AP$2:'Plus'!$AQ$5,2,0))))</f>
        <v>0</v>
      </c>
      <c r="EM183" s="33">
        <f>IF(ER182&lt;0.01,0,IF(Plus!$F$24=Plus!$AO$3,0,IF(OR(Plus!$F$10=Plus!$AK$7,Plus!$F$10=Plus!$AK$13),0,Plus!$G$13*Plus!$AR$2)))</f>
        <v>0</v>
      </c>
      <c r="EN183" s="33">
        <f>IF(ER182&lt;0.01,0,IF(OR(Plus!$F$10=Plus!$AK$7,Plus!$F$10=Plus!$AK$13),0,Plus!$BD$2*1.16))</f>
        <v>0</v>
      </c>
      <c r="EO183" s="33">
        <f>IF(ER182&lt;0.01,0,IF(Plus!$AS$2&gt;0,EI183*Plus!$AS$3,0))</f>
        <v>0</v>
      </c>
      <c r="EP183" s="33">
        <f t="shared" si="372"/>
        <v>0</v>
      </c>
      <c r="EQ183" s="33">
        <f>IF(Plus!$F$10=Plus!$AK$3,MIN(ER182+EI183+EL183+EM183+EN183-EP183,FC183),0)</f>
        <v>0</v>
      </c>
      <c r="ER183" s="311">
        <f t="shared" si="431"/>
        <v>0</v>
      </c>
      <c r="ES183" s="340">
        <f>Plus!O224</f>
        <v>0</v>
      </c>
      <c r="ET183" s="74"/>
      <c r="EU183" s="74"/>
      <c r="EV183" s="416">
        <f t="shared" si="429"/>
        <v>0</v>
      </c>
      <c r="EY183" s="90">
        <f t="shared" si="373"/>
        <v>3</v>
      </c>
      <c r="EZ183" s="121">
        <f t="shared" si="415"/>
        <v>0</v>
      </c>
      <c r="FB183" s="149">
        <f t="shared" si="416"/>
        <v>0</v>
      </c>
      <c r="FC183" s="2179">
        <f t="shared" ca="1" si="374"/>
        <v>0</v>
      </c>
      <c r="FE183" s="120">
        <f t="shared" si="417"/>
        <v>0</v>
      </c>
      <c r="FF183" s="110">
        <f t="shared" si="375"/>
        <v>0</v>
      </c>
      <c r="FG183" s="110">
        <f t="shared" si="376"/>
        <v>0</v>
      </c>
      <c r="FH183" s="109">
        <f t="shared" si="377"/>
        <v>0</v>
      </c>
      <c r="FI183" s="109">
        <f t="shared" si="328"/>
        <v>0</v>
      </c>
      <c r="FJ183" s="113">
        <f t="shared" si="378"/>
        <v>0</v>
      </c>
      <c r="FL183" s="102">
        <f t="shared" si="379"/>
        <v>0</v>
      </c>
      <c r="FM183" s="211">
        <f t="shared" si="424"/>
        <v>159</v>
      </c>
      <c r="FN183" s="212">
        <f t="shared" si="380"/>
        <v>0</v>
      </c>
      <c r="FO183" s="212">
        <f t="shared" si="329"/>
        <v>0</v>
      </c>
      <c r="FP183" s="212">
        <f t="shared" si="446"/>
        <v>0</v>
      </c>
      <c r="FQ183" s="213">
        <f t="shared" si="330"/>
        <v>1000000</v>
      </c>
      <c r="FV183" s="359"/>
      <c r="FX183" s="308">
        <f t="shared" ca="1" si="331"/>
        <v>6</v>
      </c>
      <c r="FY183" s="309">
        <f t="shared" si="381"/>
        <v>0</v>
      </c>
      <c r="FZ183" s="268">
        <f t="shared" si="332"/>
        <v>0</v>
      </c>
      <c r="GA183" s="33">
        <f t="shared" si="382"/>
        <v>0</v>
      </c>
      <c r="GB183" s="33">
        <f t="shared" si="438"/>
        <v>0</v>
      </c>
      <c r="GC183" s="33">
        <f t="shared" si="439"/>
        <v>0</v>
      </c>
      <c r="GD183" s="33">
        <f>IF(GJ182&lt;0.01,0,IF(Plus!$F$22=Plus!$AN$4,0,IF(Plus!$F$22=Plus!$AN$3,GJ182*Plus!$F$23/1000,GJ182*VLOOKUP(Plus!$G$21,Plus!$AP$2:$AQ$5,2,0))))</f>
        <v>0</v>
      </c>
      <c r="GE183" s="33">
        <f>IF(GJ182&lt;0.01,0,IF(Plus!$F$24=Plus!$AO$3,0,IF(OR(Plus!$F$10=Plus!$AK$7,Plus!$F$10=Plus!$AK$13,Plus!$F$10=Plus!$AK$14),0,IF(OR(Plus!$F$10=Plus!$AK$10,Plus!$F$10=Plus!$AK$11),Plus!$G$13*Adm!$W$7,Plus!$G$13*Adm!$X$4))))</f>
        <v>0</v>
      </c>
      <c r="GF183" s="33">
        <f>IF(GJ182&lt;0.01,0,IF(OR(Plus!$F$10=Plus!$AK$7,Plus!$F$10=Plus!$AK$13),0,Plus!$BD$2*1.16))</f>
        <v>0</v>
      </c>
      <c r="GG183" s="33">
        <f>IF(GJ182&lt;0.01,0,IF(Plus!$AS$2&gt;0,GA183*Plus!$AS$3,0))</f>
        <v>0</v>
      </c>
      <c r="GH183" s="33">
        <f t="shared" si="383"/>
        <v>0</v>
      </c>
      <c r="GI183" s="33">
        <f>IF(Plus!$F$10=Plus!$AK$3,MIN(GJ182+GA183+GD183+GE183+GF183-GH183,GU183),0)</f>
        <v>0</v>
      </c>
      <c r="GJ183" s="311">
        <f t="shared" si="432"/>
        <v>0</v>
      </c>
      <c r="GK183" s="340">
        <f>Plus!O224</f>
        <v>0</v>
      </c>
      <c r="GL183" s="74"/>
      <c r="GM183" s="74"/>
      <c r="GN183" s="419">
        <f t="shared" si="430"/>
        <v>0</v>
      </c>
      <c r="GQ183" s="90">
        <f t="shared" si="384"/>
        <v>3</v>
      </c>
      <c r="GR183" s="121">
        <f t="shared" si="418"/>
        <v>0</v>
      </c>
      <c r="GT183" s="149">
        <f t="shared" si="419"/>
        <v>0</v>
      </c>
      <c r="GU183" s="2179">
        <f t="shared" ca="1" si="385"/>
        <v>0</v>
      </c>
      <c r="GW183" s="120">
        <f t="shared" si="420"/>
        <v>0</v>
      </c>
      <c r="GX183" s="110">
        <f t="shared" si="386"/>
        <v>0</v>
      </c>
      <c r="GY183" s="110">
        <f t="shared" si="387"/>
        <v>0</v>
      </c>
      <c r="GZ183" s="109">
        <f t="shared" si="388"/>
        <v>0</v>
      </c>
      <c r="HA183" s="109">
        <f t="shared" si="333"/>
        <v>0</v>
      </c>
      <c r="HB183" s="113">
        <f t="shared" si="389"/>
        <v>0</v>
      </c>
      <c r="HD183" s="102">
        <f t="shared" si="390"/>
        <v>0</v>
      </c>
      <c r="HE183" s="211">
        <f t="shared" si="425"/>
        <v>159</v>
      </c>
      <c r="HF183" s="212">
        <f t="shared" si="391"/>
        <v>0</v>
      </c>
      <c r="HG183" s="212">
        <f t="shared" si="334"/>
        <v>0</v>
      </c>
      <c r="HH183" s="212">
        <f t="shared" si="447"/>
        <v>0</v>
      </c>
      <c r="HI183" s="213">
        <f t="shared" si="335"/>
        <v>1000000</v>
      </c>
      <c r="HL183" s="182"/>
      <c r="HM183" s="26">
        <f t="shared" ca="1" si="336"/>
        <v>6</v>
      </c>
      <c r="HO183" s="268">
        <f t="shared" si="337"/>
        <v>0</v>
      </c>
      <c r="HP183" s="151">
        <f t="shared" si="302"/>
        <v>0</v>
      </c>
      <c r="HQ183" s="123">
        <f t="shared" si="392"/>
        <v>0</v>
      </c>
      <c r="HR183" s="123">
        <f t="shared" si="393"/>
        <v>0</v>
      </c>
      <c r="HS183" s="123">
        <f t="shared" si="394"/>
        <v>0</v>
      </c>
      <c r="HT183" s="123">
        <f>IF(HY182&lt;0.01,0,IF(Adm!$GS$4=Adm!$GS$8,HY182*$HY$15,IF(Adm!$GS$12=Adm!$GS$13,0,HY182*Adm!$GV$4)))</f>
        <v>0</v>
      </c>
      <c r="HU183" s="123">
        <f>IF(HY182&lt;0.01,0,IF(Adm!$GS$5=Adm!$GS$8,Cal!$BO$108*$HY$16/1.16,IF(Adm!$GS$12=Adm!$GS$13,0,Cal!$BO$108*Adm!$GW$4/1.16)))</f>
        <v>0</v>
      </c>
      <c r="HV183" s="123">
        <f t="shared" si="395"/>
        <v>0</v>
      </c>
      <c r="HW183" s="123">
        <f t="shared" si="338"/>
        <v>0</v>
      </c>
      <c r="HX183" s="123">
        <f>IF(Adm!$GH$6="si",MIN(HY182+HQ183+HT183+HU183+HV183-HW183,IH183),0)</f>
        <v>0</v>
      </c>
      <c r="HY183" s="297">
        <f t="shared" si="396"/>
        <v>0</v>
      </c>
      <c r="HZ183" s="74"/>
      <c r="IA183" s="407">
        <f t="shared" si="397"/>
        <v>0</v>
      </c>
      <c r="IC183" s="90">
        <f t="shared" si="398"/>
        <v>3</v>
      </c>
      <c r="ID183" s="124">
        <f>IF(IC183=1,Cal!$BO$127,0)</f>
        <v>0</v>
      </c>
      <c r="IE183" s="178">
        <f>IF(IC183=1,Adm!$HI$4,0)</f>
        <v>0</v>
      </c>
      <c r="IG183" s="70">
        <f t="shared" si="421"/>
        <v>0</v>
      </c>
      <c r="IH183" s="2178">
        <f t="shared" ca="1" si="399"/>
        <v>0</v>
      </c>
      <c r="IK183" s="217"/>
      <c r="IL183" s="26">
        <f t="shared" ca="1" si="339"/>
        <v>6</v>
      </c>
      <c r="IN183" s="268">
        <f t="shared" si="340"/>
        <v>0</v>
      </c>
      <c r="IO183" s="151">
        <f t="shared" si="303"/>
        <v>0</v>
      </c>
      <c r="IP183" s="123">
        <f t="shared" si="400"/>
        <v>0</v>
      </c>
      <c r="IQ183" s="123">
        <f t="shared" si="401"/>
        <v>0</v>
      </c>
      <c r="IR183" s="123">
        <f t="shared" si="402"/>
        <v>0</v>
      </c>
      <c r="IS183" s="123">
        <f>IF(IX182&lt;0.01,0,IF(Adm!$GS$4=Adm!$GS$8,IX182*$IX$15,IF(Adm!$GS$12=Adm!$GS$13,0,IX182*Adm!$GV$4)))</f>
        <v>0</v>
      </c>
      <c r="IT183" s="123"/>
      <c r="IU183" s="123">
        <f t="shared" si="403"/>
        <v>0</v>
      </c>
      <c r="IV183" s="123">
        <f t="shared" si="404"/>
        <v>0</v>
      </c>
      <c r="IW183" s="123"/>
      <c r="IX183" s="297">
        <f t="shared" si="405"/>
        <v>0</v>
      </c>
      <c r="IY183" s="74"/>
      <c r="IZ183" s="416">
        <f t="shared" si="406"/>
        <v>0</v>
      </c>
      <c r="JB183" s="90">
        <f t="shared" si="407"/>
        <v>3</v>
      </c>
      <c r="JC183" s="124">
        <f>IF(JB183=1,Cal!$BP$127,0)</f>
        <v>0</v>
      </c>
      <c r="JD183" s="178">
        <f>IF(JB183=1,Adm!$HI$4,0)</f>
        <v>0</v>
      </c>
    </row>
    <row r="184" spans="1:264">
      <c r="A184" s="26">
        <f t="shared" ca="1" si="308"/>
        <v>7</v>
      </c>
      <c r="C184" s="33">
        <f t="shared" si="309"/>
        <v>0</v>
      </c>
      <c r="D184" s="123">
        <f t="shared" si="341"/>
        <v>0</v>
      </c>
      <c r="E184" s="123">
        <f t="shared" si="433"/>
        <v>0</v>
      </c>
      <c r="F184" s="123">
        <f t="shared" si="443"/>
        <v>0</v>
      </c>
      <c r="G184" s="123">
        <f>IF(L183&lt;0.01,0,IF(Adm!$S$4=Adm!$S$8,L183*$L$15,L183*Adm!$V$4))</f>
        <v>0</v>
      </c>
      <c r="H184" s="123">
        <f>IF(L183&lt;0.01,0,IF(Adm!$S$5=Adm!$S$8,Adm!$AA$11*$L$16/1.16,IF(Adm!$B$4=Adm!$A$119,0,Adm!$AA$11*Adm!$X$4/1.16)))</f>
        <v>0</v>
      </c>
      <c r="I184" s="123">
        <f>IF(L183&lt;0.01,0,Cal!$AB$126/1.16)</f>
        <v>0</v>
      </c>
      <c r="J184" s="123">
        <f t="shared" si="310"/>
        <v>0</v>
      </c>
      <c r="K184" s="123">
        <f>IF(Adm!$G$4="si",MIN(L183+D184+G184+H184+I184-J184,V184),0)</f>
        <v>0</v>
      </c>
      <c r="L184" s="123">
        <f t="shared" si="342"/>
        <v>0</v>
      </c>
      <c r="M184" s="74"/>
      <c r="N184" s="74"/>
      <c r="O184" s="407">
        <f t="shared" si="343"/>
        <v>0</v>
      </c>
      <c r="R184" s="90">
        <f t="shared" si="344"/>
        <v>4</v>
      </c>
      <c r="S184" s="121">
        <f>IF(R184=1,Cal!$AB$127,0)</f>
        <v>0</v>
      </c>
      <c r="U184" s="70">
        <f t="shared" si="408"/>
        <v>0</v>
      </c>
      <c r="V184" s="2178">
        <f t="shared" ca="1" si="345"/>
        <v>0</v>
      </c>
      <c r="X184" s="398"/>
      <c r="Z184" s="268">
        <f t="shared" si="311"/>
        <v>0</v>
      </c>
      <c r="AA184" s="2176">
        <f t="shared" si="346"/>
        <v>0</v>
      </c>
      <c r="AB184" s="33">
        <f t="shared" si="347"/>
        <v>0</v>
      </c>
      <c r="AC184" s="33">
        <f t="shared" si="348"/>
        <v>0</v>
      </c>
      <c r="AD184" s="33">
        <f>IF(AI183&lt;0.01,0,IF(Adm!$S$4=Adm!$S$8,AI183*$AI$15,AI183*Adm!$V$4))</f>
        <v>0</v>
      </c>
      <c r="AE184" s="33"/>
      <c r="AF184" s="33"/>
      <c r="AG184" s="33">
        <f t="shared" si="312"/>
        <v>0</v>
      </c>
      <c r="AH184" s="33"/>
      <c r="AI184" s="401">
        <f t="shared" si="313"/>
        <v>0</v>
      </c>
      <c r="AK184" s="410">
        <f t="shared" si="314"/>
        <v>0</v>
      </c>
      <c r="AN184" s="90">
        <f t="shared" si="349"/>
        <v>4</v>
      </c>
      <c r="AO184" s="121">
        <f>IF(AN184=1,Cal!$AC$127,0)</f>
        <v>0</v>
      </c>
      <c r="AS184" s="200"/>
      <c r="AU184" s="268">
        <f t="shared" si="315"/>
        <v>0</v>
      </c>
      <c r="AV184" s="2177">
        <f t="shared" si="350"/>
        <v>0</v>
      </c>
      <c r="AW184" s="123">
        <f t="shared" si="316"/>
        <v>0</v>
      </c>
      <c r="AX184" s="123">
        <f t="shared" si="351"/>
        <v>0</v>
      </c>
      <c r="AY184" s="123">
        <f>IF(BC183&lt;0.01,0,IF(Adm!$S$4=Adm!$S$8,BC183*$BC$16,BC183*Adm!$V$4))</f>
        <v>0</v>
      </c>
      <c r="AZ184" s="123"/>
      <c r="BA184" s="123">
        <f>IF(BC183&lt;0.01,0,Adm!$Q$6)</f>
        <v>0</v>
      </c>
      <c r="BB184" s="123">
        <f t="shared" si="317"/>
        <v>0</v>
      </c>
      <c r="BC184" s="297">
        <f t="shared" si="352"/>
        <v>0</v>
      </c>
      <c r="BE184" s="425">
        <f t="shared" si="318"/>
        <v>0</v>
      </c>
      <c r="BH184" s="90">
        <f t="shared" si="353"/>
        <v>4</v>
      </c>
      <c r="BI184" s="121">
        <f>IF(BH184=1,Cal!$AD$127,0)</f>
        <v>0</v>
      </c>
      <c r="BM184" s="221"/>
      <c r="BO184" s="295">
        <f t="shared" ca="1" si="319"/>
        <v>7</v>
      </c>
      <c r="BP184" s="268">
        <f t="shared" si="320"/>
        <v>0</v>
      </c>
      <c r="BQ184" s="123">
        <f t="shared" si="354"/>
        <v>0</v>
      </c>
      <c r="BR184" s="123">
        <f t="shared" si="434"/>
        <v>0</v>
      </c>
      <c r="BS184" s="123">
        <f t="shared" si="444"/>
        <v>0</v>
      </c>
      <c r="BT184" s="123">
        <f>IF(BZ183&lt;0.01,0,IF(Plus!$F$22=Plus!$AN$4,BZ183*$BZ$15,IF(Plus!$F$22=Plus!$AN$3,BZ183*Plus!$F$23/1000,BZ183*VLOOKUP(Plus!$G$21,Plus!$AP$2:'Plus'!$AQ$5,2,0))))</f>
        <v>0</v>
      </c>
      <c r="BU184" s="123">
        <f>IF(BZ183&lt;0.01,0,IF(Plus!$F$24=Plus!$AO$3,Plus!$G$13*Plus!$AR$2/1.16,IF(Plus!$F$10=Plus!$AK$7,0,Plus!$G$13*Plus!$AR$2/1.16)))</f>
        <v>0</v>
      </c>
      <c r="BV184" s="123">
        <f>IF(BZ183&lt;0.01,0,Plus!$BD$2)</f>
        <v>0</v>
      </c>
      <c r="BW184" s="123"/>
      <c r="BX184" s="123">
        <f t="shared" si="321"/>
        <v>0</v>
      </c>
      <c r="BY184" s="123">
        <f>IF(Plus!$F$10=Plus!$AK$3,MIN(BZ183+BQ184+BT184+BU184+BV184-BX184,CJ184),0)</f>
        <v>0</v>
      </c>
      <c r="BZ184" s="297">
        <f t="shared" si="428"/>
        <v>0</v>
      </c>
      <c r="CA184" s="74"/>
      <c r="CB184" s="74"/>
      <c r="CC184" s="413">
        <f t="shared" si="355"/>
        <v>0</v>
      </c>
      <c r="CF184" s="90">
        <f t="shared" si="356"/>
        <v>4</v>
      </c>
      <c r="CG184" s="121">
        <f t="shared" si="409"/>
        <v>0</v>
      </c>
      <c r="CI184" s="70">
        <f t="shared" si="410"/>
        <v>0</v>
      </c>
      <c r="CJ184" s="2178">
        <f t="shared" ca="1" si="357"/>
        <v>0</v>
      </c>
      <c r="CL184" s="161"/>
      <c r="CN184" s="308">
        <f t="shared" ca="1" si="322"/>
        <v>7</v>
      </c>
      <c r="CO184" s="309">
        <f t="shared" si="358"/>
        <v>0</v>
      </c>
      <c r="CP184" s="268">
        <f t="shared" si="323"/>
        <v>0</v>
      </c>
      <c r="CQ184" s="123">
        <f t="shared" si="359"/>
        <v>0</v>
      </c>
      <c r="CR184" s="123">
        <f t="shared" si="435"/>
        <v>0</v>
      </c>
      <c r="CS184" s="123">
        <f t="shared" si="436"/>
        <v>0</v>
      </c>
      <c r="CT184" s="33">
        <f>IF(CZ183&lt;0.01,0,IF(Plus!$F$22=Plus!$AN$4,0,IF(Plus!$F$22=Plus!$AN$3,CZ183*Plus!$F$23/1000,CZ183*VLOOKUP(Plus!$G$21,Plus!$AP$2:'Plus'!$AQ$5,2,0))))</f>
        <v>0</v>
      </c>
      <c r="CU184" s="123">
        <f>IF(CZ183&lt;0.01,0,IF(Plus!$F$24=Plus!$AO$3,0,IF(OR(Plus!$F$10=Plus!$AK$7,Plus!$F$10=Plus!$AK$13),0,Plus!$G$13*Plus!$AR$2)))</f>
        <v>0</v>
      </c>
      <c r="CV184" s="123">
        <f>IF(CZ183&lt;0.01,0,IF(OR(Plus!$F$10=Plus!$AK$7,Plus!$F$10=Plus!$AK$13),0,Plus!$BD$2*1.16))</f>
        <v>0</v>
      </c>
      <c r="CW184" s="123">
        <f>IF(CZ183&lt;0.01,0,IF(Plus!$AS$2&gt;0,CQ184*Plus!$AS$3,0))</f>
        <v>0</v>
      </c>
      <c r="CX184" s="123">
        <f t="shared" si="360"/>
        <v>0</v>
      </c>
      <c r="CY184" s="123">
        <f>IF(Plus!$F$10=Plus!$AK$3,MIN(CZ183+CQ184+CT184+CU184+CV184-CX184,DK184),0)</f>
        <v>0</v>
      </c>
      <c r="CZ184" s="297">
        <f t="shared" si="440"/>
        <v>0</v>
      </c>
      <c r="DA184" s="306">
        <f>Plus!O225</f>
        <v>0</v>
      </c>
      <c r="DB184" s="74"/>
      <c r="DC184" s="74"/>
      <c r="DD184" s="407">
        <f t="shared" si="361"/>
        <v>0</v>
      </c>
      <c r="DG184" s="90">
        <f t="shared" si="362"/>
        <v>4</v>
      </c>
      <c r="DH184" s="121">
        <f t="shared" si="411"/>
        <v>0</v>
      </c>
      <c r="DJ184" s="149">
        <f t="shared" si="412"/>
        <v>0</v>
      </c>
      <c r="DK184" s="2179">
        <f t="shared" ca="1" si="363"/>
        <v>0</v>
      </c>
      <c r="DN184" s="120">
        <f t="shared" si="413"/>
        <v>0</v>
      </c>
      <c r="DO184" s="110">
        <f t="shared" si="364"/>
        <v>0</v>
      </c>
      <c r="DP184" s="110">
        <f t="shared" si="422"/>
        <v>0</v>
      </c>
      <c r="DQ184" s="109">
        <f t="shared" si="365"/>
        <v>0</v>
      </c>
      <c r="DR184" s="109">
        <f t="shared" si="366"/>
        <v>0</v>
      </c>
      <c r="DS184" s="113">
        <f t="shared" si="367"/>
        <v>0</v>
      </c>
      <c r="DU184" s="102">
        <f t="shared" si="368"/>
        <v>0</v>
      </c>
      <c r="DV184" s="211">
        <f t="shared" si="423"/>
        <v>160</v>
      </c>
      <c r="DW184" s="212">
        <f t="shared" si="369"/>
        <v>0</v>
      </c>
      <c r="DX184" s="212">
        <f t="shared" si="324"/>
        <v>0</v>
      </c>
      <c r="DY184" s="212">
        <f t="shared" si="414"/>
        <v>0</v>
      </c>
      <c r="DZ184" s="213">
        <f t="shared" si="325"/>
        <v>1000000</v>
      </c>
      <c r="ED184" s="182"/>
      <c r="EF184" s="308">
        <f t="shared" ca="1" si="326"/>
        <v>7</v>
      </c>
      <c r="EG184" s="309">
        <f t="shared" si="370"/>
        <v>0</v>
      </c>
      <c r="EH184" s="268">
        <f t="shared" si="327"/>
        <v>0</v>
      </c>
      <c r="EI184" s="33">
        <f t="shared" si="371"/>
        <v>0</v>
      </c>
      <c r="EJ184" s="33">
        <f t="shared" si="437"/>
        <v>0</v>
      </c>
      <c r="EK184" s="33">
        <f t="shared" si="445"/>
        <v>0</v>
      </c>
      <c r="EL184" s="33">
        <f>IF(ER183&lt;0.01,0,IF(Plus!$F$22=Plus!$AN$4,0,IF(Plus!$F$22=Plus!$AN$3,ER183*Plus!$F$23/1000,ER183*VLOOKUP(Plus!$G$21,Plus!$AP$2:'Plus'!$AQ$5,2,0))))</f>
        <v>0</v>
      </c>
      <c r="EM184" s="33">
        <f>IF(ER183&lt;0.01,0,IF(Plus!$F$24=Plus!$AO$3,0,IF(OR(Plus!$F$10=Plus!$AK$7,Plus!$F$10=Plus!$AK$13),0,Plus!$G$13*Plus!$AR$2)))</f>
        <v>0</v>
      </c>
      <c r="EN184" s="33">
        <f>IF(ER183&lt;0.01,0,IF(OR(Plus!$F$10=Plus!$AK$7,Plus!$F$10=Plus!$AK$13),0,Plus!$BD$2*1.16))</f>
        <v>0</v>
      </c>
      <c r="EO184" s="33">
        <f>IF(ER183&lt;0.01,0,IF(Plus!$AS$2&gt;0,EI184*Plus!$AS$3,0))</f>
        <v>0</v>
      </c>
      <c r="EP184" s="33">
        <f t="shared" si="372"/>
        <v>0</v>
      </c>
      <c r="EQ184" s="33">
        <f>IF(Plus!$F$10=Plus!$AK$3,MIN(ER183+EI184+EL184+EM184+EN184-EP184,FC184),0)</f>
        <v>0</v>
      </c>
      <c r="ER184" s="311">
        <f t="shared" si="431"/>
        <v>0</v>
      </c>
      <c r="ES184" s="340">
        <f>Plus!O225</f>
        <v>0</v>
      </c>
      <c r="ET184" s="74"/>
      <c r="EU184" s="74"/>
      <c r="EV184" s="416">
        <f t="shared" si="429"/>
        <v>0</v>
      </c>
      <c r="EY184" s="90">
        <f t="shared" si="373"/>
        <v>4</v>
      </c>
      <c r="EZ184" s="121">
        <f t="shared" si="415"/>
        <v>0</v>
      </c>
      <c r="FB184" s="149">
        <f t="shared" si="416"/>
        <v>0</v>
      </c>
      <c r="FC184" s="2179">
        <f t="shared" ca="1" si="374"/>
        <v>0</v>
      </c>
      <c r="FE184" s="120">
        <f t="shared" si="417"/>
        <v>0</v>
      </c>
      <c r="FF184" s="110">
        <f t="shared" si="375"/>
        <v>0</v>
      </c>
      <c r="FG184" s="110">
        <f t="shared" si="376"/>
        <v>0</v>
      </c>
      <c r="FH184" s="109">
        <f t="shared" si="377"/>
        <v>0</v>
      </c>
      <c r="FI184" s="109">
        <f t="shared" si="328"/>
        <v>0</v>
      </c>
      <c r="FJ184" s="113">
        <f t="shared" si="378"/>
        <v>0</v>
      </c>
      <c r="FL184" s="102">
        <f t="shared" si="379"/>
        <v>0</v>
      </c>
      <c r="FM184" s="211">
        <f t="shared" si="424"/>
        <v>160</v>
      </c>
      <c r="FN184" s="212">
        <f t="shared" si="380"/>
        <v>0</v>
      </c>
      <c r="FO184" s="212">
        <f t="shared" si="329"/>
        <v>0</v>
      </c>
      <c r="FP184" s="212">
        <f t="shared" si="446"/>
        <v>0</v>
      </c>
      <c r="FQ184" s="213">
        <f t="shared" si="330"/>
        <v>1000000</v>
      </c>
      <c r="FV184" s="359"/>
      <c r="FX184" s="308">
        <f t="shared" ca="1" si="331"/>
        <v>7</v>
      </c>
      <c r="FY184" s="309">
        <f t="shared" si="381"/>
        <v>0</v>
      </c>
      <c r="FZ184" s="268">
        <f t="shared" si="332"/>
        <v>0</v>
      </c>
      <c r="GA184" s="33">
        <f t="shared" si="382"/>
        <v>0</v>
      </c>
      <c r="GB184" s="33">
        <f t="shared" si="438"/>
        <v>0</v>
      </c>
      <c r="GC184" s="33">
        <f t="shared" si="439"/>
        <v>0</v>
      </c>
      <c r="GD184" s="33">
        <f>IF(GJ183&lt;0.01,0,IF(Plus!$F$22=Plus!$AN$4,0,IF(Plus!$F$22=Plus!$AN$3,GJ183*Plus!$F$23/1000,GJ183*VLOOKUP(Plus!$G$21,Plus!$AP$2:$AQ$5,2,0))))</f>
        <v>0</v>
      </c>
      <c r="GE184" s="33">
        <f>IF(GJ183&lt;0.01,0,IF(Plus!$F$24=Plus!$AO$3,0,IF(OR(Plus!$F$10=Plus!$AK$7,Plus!$F$10=Plus!$AK$13,Plus!$F$10=Plus!$AK$14),0,IF(OR(Plus!$F$10=Plus!$AK$10,Plus!$F$10=Plus!$AK$11),Plus!$G$13*Adm!$W$7,Plus!$G$13*Adm!$X$4))))</f>
        <v>0</v>
      </c>
      <c r="GF184" s="33">
        <f>IF(GJ183&lt;0.01,0,IF(OR(Plus!$F$10=Plus!$AK$7,Plus!$F$10=Plus!$AK$13),0,Plus!$BD$2*1.16))</f>
        <v>0</v>
      </c>
      <c r="GG184" s="33">
        <f>IF(GJ183&lt;0.01,0,IF(Plus!$AS$2&gt;0,GA184*Plus!$AS$3,0))</f>
        <v>0</v>
      </c>
      <c r="GH184" s="33">
        <f t="shared" si="383"/>
        <v>0</v>
      </c>
      <c r="GI184" s="33">
        <f>IF(Plus!$F$10=Plus!$AK$3,MIN(GJ183+GA184+GD184+GE184+GF184-GH184,GU184),0)</f>
        <v>0</v>
      </c>
      <c r="GJ184" s="311">
        <f t="shared" si="432"/>
        <v>0</v>
      </c>
      <c r="GK184" s="340">
        <f>Plus!O225</f>
        <v>0</v>
      </c>
      <c r="GL184" s="74"/>
      <c r="GM184" s="74"/>
      <c r="GN184" s="419">
        <f t="shared" si="430"/>
        <v>0</v>
      </c>
      <c r="GQ184" s="90">
        <f t="shared" si="384"/>
        <v>4</v>
      </c>
      <c r="GR184" s="121">
        <f t="shared" si="418"/>
        <v>0</v>
      </c>
      <c r="GT184" s="149">
        <f t="shared" si="419"/>
        <v>0</v>
      </c>
      <c r="GU184" s="2179">
        <f t="shared" ca="1" si="385"/>
        <v>0</v>
      </c>
      <c r="GW184" s="120">
        <f t="shared" si="420"/>
        <v>0</v>
      </c>
      <c r="GX184" s="110">
        <f t="shared" si="386"/>
        <v>0</v>
      </c>
      <c r="GY184" s="110">
        <f t="shared" si="387"/>
        <v>0</v>
      </c>
      <c r="GZ184" s="109">
        <f t="shared" si="388"/>
        <v>0</v>
      </c>
      <c r="HA184" s="109">
        <f t="shared" si="333"/>
        <v>0</v>
      </c>
      <c r="HB184" s="113">
        <f t="shared" si="389"/>
        <v>0</v>
      </c>
      <c r="HD184" s="102">
        <f t="shared" si="390"/>
        <v>0</v>
      </c>
      <c r="HE184" s="211">
        <f t="shared" si="425"/>
        <v>160</v>
      </c>
      <c r="HF184" s="212">
        <f t="shared" si="391"/>
        <v>0</v>
      </c>
      <c r="HG184" s="212">
        <f t="shared" si="334"/>
        <v>0</v>
      </c>
      <c r="HH184" s="212">
        <f t="shared" si="447"/>
        <v>0</v>
      </c>
      <c r="HI184" s="213">
        <f t="shared" si="335"/>
        <v>1000000</v>
      </c>
      <c r="HL184" s="182"/>
      <c r="HM184" s="26">
        <f t="shared" ca="1" si="336"/>
        <v>7</v>
      </c>
      <c r="HO184" s="268">
        <f t="shared" si="337"/>
        <v>0</v>
      </c>
      <c r="HP184" s="151">
        <f t="shared" si="302"/>
        <v>0</v>
      </c>
      <c r="HQ184" s="123">
        <f t="shared" si="392"/>
        <v>0</v>
      </c>
      <c r="HR184" s="123">
        <f t="shared" si="393"/>
        <v>0</v>
      </c>
      <c r="HS184" s="123">
        <f t="shared" si="394"/>
        <v>0</v>
      </c>
      <c r="HT184" s="123">
        <f>IF(HY183&lt;0.01,0,IF(Adm!$GS$4=Adm!$GS$8,HY183*$HY$15,IF(Adm!$GS$12=Adm!$GS$13,0,HY183*Adm!$GV$4)))</f>
        <v>0</v>
      </c>
      <c r="HU184" s="123">
        <f>IF(HY183&lt;0.01,0,IF(Adm!$GS$5=Adm!$GS$8,Cal!$BO$108*$HY$16/1.16,IF(Adm!$GS$12=Adm!$GS$13,0,Cal!$BO$108*Adm!$GW$4/1.16)))</f>
        <v>0</v>
      </c>
      <c r="HV184" s="123">
        <f t="shared" si="395"/>
        <v>0</v>
      </c>
      <c r="HW184" s="123">
        <f t="shared" si="338"/>
        <v>0</v>
      </c>
      <c r="HX184" s="123">
        <f>IF(Adm!$GH$6="si",MIN(HY183+HQ184+HT184+HU184+HV184-HW184,IH184),0)</f>
        <v>0</v>
      </c>
      <c r="HY184" s="297">
        <f t="shared" si="396"/>
        <v>0</v>
      </c>
      <c r="HZ184" s="74"/>
      <c r="IA184" s="407">
        <f t="shared" si="397"/>
        <v>0</v>
      </c>
      <c r="IC184" s="90">
        <f t="shared" si="398"/>
        <v>4</v>
      </c>
      <c r="ID184" s="124">
        <f>IF(IC184=1,Cal!$BO$127,0)</f>
        <v>0</v>
      </c>
      <c r="IE184" s="178">
        <f>IF(IC184=1,Adm!$HI$4,0)</f>
        <v>0</v>
      </c>
      <c r="IG184" s="70">
        <f t="shared" si="421"/>
        <v>0</v>
      </c>
      <c r="IH184" s="2178">
        <f t="shared" ca="1" si="399"/>
        <v>0</v>
      </c>
      <c r="IK184" s="217"/>
      <c r="IL184" s="26">
        <f t="shared" ca="1" si="339"/>
        <v>7</v>
      </c>
      <c r="IN184" s="268">
        <f t="shared" si="340"/>
        <v>0</v>
      </c>
      <c r="IO184" s="151">
        <f t="shared" si="303"/>
        <v>0</v>
      </c>
      <c r="IP184" s="123">
        <f t="shared" si="400"/>
        <v>0</v>
      </c>
      <c r="IQ184" s="123">
        <f t="shared" si="401"/>
        <v>0</v>
      </c>
      <c r="IR184" s="123">
        <f t="shared" si="402"/>
        <v>0</v>
      </c>
      <c r="IS184" s="123">
        <f>IF(IX183&lt;0.01,0,IF(Adm!$GS$4=Adm!$GS$8,IX183*$IX$15,IF(Adm!$GS$12=Adm!$GS$13,0,IX183*Adm!$GV$4)))</f>
        <v>0</v>
      </c>
      <c r="IT184" s="123"/>
      <c r="IU184" s="123">
        <f t="shared" si="403"/>
        <v>0</v>
      </c>
      <c r="IV184" s="123">
        <f t="shared" si="404"/>
        <v>0</v>
      </c>
      <c r="IW184" s="123"/>
      <c r="IX184" s="297">
        <f t="shared" si="405"/>
        <v>0</v>
      </c>
      <c r="IY184" s="74"/>
      <c r="IZ184" s="416">
        <f t="shared" si="406"/>
        <v>0</v>
      </c>
      <c r="JB184" s="90">
        <f t="shared" si="407"/>
        <v>4</v>
      </c>
      <c r="JC184" s="124">
        <f>IF(JB184=1,Cal!$BP$127,0)</f>
        <v>0</v>
      </c>
      <c r="JD184" s="178">
        <f>IF(JB184=1,Adm!$HI$4,0)</f>
        <v>0</v>
      </c>
    </row>
    <row r="185" spans="1:264">
      <c r="A185" s="26">
        <f t="shared" ca="1" si="308"/>
        <v>8</v>
      </c>
      <c r="C185" s="33">
        <f t="shared" si="309"/>
        <v>0</v>
      </c>
      <c r="D185" s="123">
        <f t="shared" si="341"/>
        <v>0</v>
      </c>
      <c r="E185" s="123">
        <f t="shared" si="433"/>
        <v>0</v>
      </c>
      <c r="F185" s="123">
        <f t="shared" si="443"/>
        <v>0</v>
      </c>
      <c r="G185" s="123">
        <f>IF(L184&lt;0.01,0,IF(Adm!$S$4=Adm!$S$8,L184*$L$15,L184*Adm!$V$4))</f>
        <v>0</v>
      </c>
      <c r="H185" s="123">
        <f>IF(L184&lt;0.01,0,IF(Adm!$S$5=Adm!$S$8,Adm!$AA$11*$L$16/1.16,IF(Adm!$B$4=Adm!$A$119,0,Adm!$AA$11*Adm!$X$4/1.16)))</f>
        <v>0</v>
      </c>
      <c r="I185" s="123">
        <f>IF(L184&lt;0.01,0,Cal!$AB$126/1.16)</f>
        <v>0</v>
      </c>
      <c r="J185" s="123">
        <f t="shared" si="310"/>
        <v>0</v>
      </c>
      <c r="K185" s="123">
        <f>IF(Adm!$G$4="si",MIN(L184+D185+G185+H185+I185-J185,V185),0)</f>
        <v>0</v>
      </c>
      <c r="L185" s="123">
        <f t="shared" si="342"/>
        <v>0</v>
      </c>
      <c r="M185" s="74"/>
      <c r="N185" s="74"/>
      <c r="O185" s="407">
        <f t="shared" si="343"/>
        <v>0</v>
      </c>
      <c r="R185" s="90">
        <f t="shared" si="344"/>
        <v>5</v>
      </c>
      <c r="S185" s="121">
        <f>IF(R185=1,Cal!$AB$127,0)</f>
        <v>0</v>
      </c>
      <c r="U185" s="70">
        <f t="shared" si="408"/>
        <v>0</v>
      </c>
      <c r="V185" s="2178">
        <f t="shared" ca="1" si="345"/>
        <v>0</v>
      </c>
      <c r="X185" s="398"/>
      <c r="Z185" s="268">
        <f t="shared" si="311"/>
        <v>0</v>
      </c>
      <c r="AA185" s="2176">
        <f t="shared" si="346"/>
        <v>0</v>
      </c>
      <c r="AB185" s="33">
        <f t="shared" si="347"/>
        <v>0</v>
      </c>
      <c r="AC185" s="33">
        <f t="shared" si="348"/>
        <v>0</v>
      </c>
      <c r="AD185" s="33">
        <f>IF(AI184&lt;0.01,0,IF(Adm!$S$4=Adm!$S$8,AI184*$AI$15,AI184*Adm!$V$4))</f>
        <v>0</v>
      </c>
      <c r="AE185" s="33"/>
      <c r="AF185" s="33"/>
      <c r="AG185" s="33">
        <f t="shared" si="312"/>
        <v>0</v>
      </c>
      <c r="AH185" s="33"/>
      <c r="AI185" s="401">
        <f t="shared" si="313"/>
        <v>0</v>
      </c>
      <c r="AK185" s="410">
        <f t="shared" si="314"/>
        <v>0</v>
      </c>
      <c r="AN185" s="90">
        <f t="shared" si="349"/>
        <v>5</v>
      </c>
      <c r="AO185" s="121">
        <f>IF(AN185=1,Cal!$AC$127,0)</f>
        <v>0</v>
      </c>
      <c r="AS185" s="200"/>
      <c r="AU185" s="268">
        <f t="shared" si="315"/>
        <v>0</v>
      </c>
      <c r="AV185" s="2177">
        <f t="shared" si="350"/>
        <v>0</v>
      </c>
      <c r="AW185" s="123">
        <f t="shared" si="316"/>
        <v>0</v>
      </c>
      <c r="AX185" s="123">
        <f t="shared" si="351"/>
        <v>0</v>
      </c>
      <c r="AY185" s="123">
        <f>IF(BC184&lt;0.01,0,IF(Adm!$S$4=Adm!$S$8,BC184*$BC$16,BC184*Adm!$V$4))</f>
        <v>0</v>
      </c>
      <c r="AZ185" s="123"/>
      <c r="BA185" s="123">
        <f>IF(BC184&lt;0.01,0,Adm!$Q$6)</f>
        <v>0</v>
      </c>
      <c r="BB185" s="123">
        <f t="shared" si="317"/>
        <v>0</v>
      </c>
      <c r="BC185" s="297">
        <f t="shared" si="352"/>
        <v>0</v>
      </c>
      <c r="BE185" s="425">
        <f t="shared" si="318"/>
        <v>0</v>
      </c>
      <c r="BH185" s="90">
        <f t="shared" si="353"/>
        <v>5</v>
      </c>
      <c r="BI185" s="121">
        <f>IF(BH185=1,Cal!$AD$127,0)</f>
        <v>0</v>
      </c>
      <c r="BM185" s="221"/>
      <c r="BO185" s="295">
        <f t="shared" ca="1" si="319"/>
        <v>8</v>
      </c>
      <c r="BP185" s="268">
        <f t="shared" si="320"/>
        <v>0</v>
      </c>
      <c r="BQ185" s="123">
        <f t="shared" si="354"/>
        <v>0</v>
      </c>
      <c r="BR185" s="123">
        <f t="shared" si="434"/>
        <v>0</v>
      </c>
      <c r="BS185" s="123">
        <f t="shared" si="444"/>
        <v>0</v>
      </c>
      <c r="BT185" s="123">
        <f>IF(BZ184&lt;0.01,0,IF(Plus!$F$22=Plus!$AN$4,BZ184*$BZ$15,IF(Plus!$F$22=Plus!$AN$3,BZ184*Plus!$F$23/1000,BZ184*VLOOKUP(Plus!$G$21,Plus!$AP$2:'Plus'!$AQ$5,2,0))))</f>
        <v>0</v>
      </c>
      <c r="BU185" s="123">
        <f>IF(BZ184&lt;0.01,0,IF(Plus!$F$24=Plus!$AO$3,Plus!$G$13*Plus!$AR$2/1.16,IF(Plus!$F$10=Plus!$AK$7,0,Plus!$G$13*Plus!$AR$2/1.16)))</f>
        <v>0</v>
      </c>
      <c r="BV185" s="123">
        <f>IF(BZ184&lt;0.01,0,Plus!$BD$2)</f>
        <v>0</v>
      </c>
      <c r="BW185" s="123"/>
      <c r="BX185" s="123">
        <f t="shared" si="321"/>
        <v>0</v>
      </c>
      <c r="BY185" s="123">
        <f>IF(Plus!$F$10=Plus!$AK$3,MIN(BZ184+BQ185+BT185+BU185+BV185-BX185,CJ185),0)</f>
        <v>0</v>
      </c>
      <c r="BZ185" s="297">
        <f t="shared" si="428"/>
        <v>0</v>
      </c>
      <c r="CA185" s="74"/>
      <c r="CB185" s="74"/>
      <c r="CC185" s="413">
        <f t="shared" si="355"/>
        <v>0</v>
      </c>
      <c r="CF185" s="90">
        <f t="shared" si="356"/>
        <v>5</v>
      </c>
      <c r="CG185" s="121">
        <f t="shared" si="409"/>
        <v>0</v>
      </c>
      <c r="CI185" s="70">
        <f t="shared" si="410"/>
        <v>0</v>
      </c>
      <c r="CJ185" s="2178">
        <f t="shared" ca="1" si="357"/>
        <v>0</v>
      </c>
      <c r="CL185" s="161"/>
      <c r="CN185" s="308">
        <f t="shared" ca="1" si="322"/>
        <v>8</v>
      </c>
      <c r="CO185" s="309">
        <f t="shared" si="358"/>
        <v>0</v>
      </c>
      <c r="CP185" s="268">
        <f t="shared" si="323"/>
        <v>0</v>
      </c>
      <c r="CQ185" s="123">
        <f t="shared" si="359"/>
        <v>0</v>
      </c>
      <c r="CR185" s="123">
        <f t="shared" si="435"/>
        <v>0</v>
      </c>
      <c r="CS185" s="123">
        <f t="shared" si="436"/>
        <v>0</v>
      </c>
      <c r="CT185" s="33">
        <f>IF(CZ184&lt;0.01,0,IF(Plus!$F$22=Plus!$AN$4,0,IF(Plus!$F$22=Plus!$AN$3,CZ184*Plus!$F$23/1000,CZ184*VLOOKUP(Plus!$G$21,Plus!$AP$2:'Plus'!$AQ$5,2,0))))</f>
        <v>0</v>
      </c>
      <c r="CU185" s="123">
        <f>IF(CZ184&lt;0.01,0,IF(Plus!$F$24=Plus!$AO$3,0,IF(OR(Plus!$F$10=Plus!$AK$7,Plus!$F$10=Plus!$AK$13),0,Plus!$G$13*Plus!$AR$2)))</f>
        <v>0</v>
      </c>
      <c r="CV185" s="123">
        <f>IF(CZ184&lt;0.01,0,IF(OR(Plus!$F$10=Plus!$AK$7,Plus!$F$10=Plus!$AK$13),0,Plus!$BD$2*1.16))</f>
        <v>0</v>
      </c>
      <c r="CW185" s="123">
        <f>IF(CZ184&lt;0.01,0,IF(Plus!$AS$2&gt;0,CQ185*Plus!$AS$3,0))</f>
        <v>0</v>
      </c>
      <c r="CX185" s="123">
        <f t="shared" si="360"/>
        <v>0</v>
      </c>
      <c r="CY185" s="123">
        <f>IF(Plus!$F$10=Plus!$AK$3,MIN(CZ184+CQ185+CT185+CU185+CV185-CX185,DK185),0)</f>
        <v>0</v>
      </c>
      <c r="CZ185" s="297">
        <f t="shared" si="440"/>
        <v>0</v>
      </c>
      <c r="DA185" s="306">
        <f>Plus!O226</f>
        <v>0</v>
      </c>
      <c r="DB185" s="74"/>
      <c r="DC185" s="74"/>
      <c r="DD185" s="407">
        <f t="shared" si="361"/>
        <v>0</v>
      </c>
      <c r="DG185" s="90">
        <f t="shared" si="362"/>
        <v>5</v>
      </c>
      <c r="DH185" s="121">
        <f t="shared" si="411"/>
        <v>0</v>
      </c>
      <c r="DJ185" s="149">
        <f t="shared" si="412"/>
        <v>0</v>
      </c>
      <c r="DK185" s="2179">
        <f t="shared" ca="1" si="363"/>
        <v>0</v>
      </c>
      <c r="DN185" s="120">
        <f t="shared" si="413"/>
        <v>0</v>
      </c>
      <c r="DO185" s="110">
        <f t="shared" si="364"/>
        <v>0</v>
      </c>
      <c r="DP185" s="110">
        <f t="shared" si="422"/>
        <v>0</v>
      </c>
      <c r="DQ185" s="109">
        <f t="shared" si="365"/>
        <v>0</v>
      </c>
      <c r="DR185" s="109">
        <f t="shared" si="366"/>
        <v>0</v>
      </c>
      <c r="DS185" s="113">
        <f t="shared" si="367"/>
        <v>0</v>
      </c>
      <c r="DU185" s="102">
        <f t="shared" si="368"/>
        <v>0</v>
      </c>
      <c r="DV185" s="211">
        <f t="shared" si="423"/>
        <v>161</v>
      </c>
      <c r="DW185" s="212">
        <f t="shared" si="369"/>
        <v>0</v>
      </c>
      <c r="DX185" s="212">
        <f t="shared" si="324"/>
        <v>0</v>
      </c>
      <c r="DY185" s="212">
        <f t="shared" si="414"/>
        <v>0</v>
      </c>
      <c r="DZ185" s="213">
        <f t="shared" si="325"/>
        <v>1000000</v>
      </c>
      <c r="ED185" s="182"/>
      <c r="EF185" s="308">
        <f t="shared" ca="1" si="326"/>
        <v>8</v>
      </c>
      <c r="EG185" s="309">
        <f t="shared" si="370"/>
        <v>0</v>
      </c>
      <c r="EH185" s="268">
        <f t="shared" si="327"/>
        <v>0</v>
      </c>
      <c r="EI185" s="33">
        <f t="shared" si="371"/>
        <v>0</v>
      </c>
      <c r="EJ185" s="33">
        <f t="shared" si="437"/>
        <v>0</v>
      </c>
      <c r="EK185" s="33">
        <f t="shared" si="445"/>
        <v>0</v>
      </c>
      <c r="EL185" s="33">
        <f>IF(ER184&lt;0.01,0,IF(Plus!$F$22=Plus!$AN$4,0,IF(Plus!$F$22=Plus!$AN$3,ER184*Plus!$F$23/1000,ER184*VLOOKUP(Plus!$G$21,Plus!$AP$2:'Plus'!$AQ$5,2,0))))</f>
        <v>0</v>
      </c>
      <c r="EM185" s="33">
        <f>IF(ER184&lt;0.01,0,IF(Plus!$F$24=Plus!$AO$3,0,IF(OR(Plus!$F$10=Plus!$AK$7,Plus!$F$10=Plus!$AK$13),0,Plus!$G$13*Plus!$AR$2)))</f>
        <v>0</v>
      </c>
      <c r="EN185" s="33">
        <f>IF(ER184&lt;0.01,0,IF(OR(Plus!$F$10=Plus!$AK$7,Plus!$F$10=Plus!$AK$13),0,Plus!$BD$2*1.16))</f>
        <v>0</v>
      </c>
      <c r="EO185" s="33">
        <f>IF(ER184&lt;0.01,0,IF(Plus!$AS$2&gt;0,EI185*Plus!$AS$3,0))</f>
        <v>0</v>
      </c>
      <c r="EP185" s="33">
        <f t="shared" si="372"/>
        <v>0</v>
      </c>
      <c r="EQ185" s="33">
        <f>IF(Plus!$F$10=Plus!$AK$3,MIN(ER184+EI185+EL185+EM185+EN185-EP185,FC185),0)</f>
        <v>0</v>
      </c>
      <c r="ER185" s="311">
        <f t="shared" si="431"/>
        <v>0</v>
      </c>
      <c r="ES185" s="340">
        <f>Plus!O226</f>
        <v>0</v>
      </c>
      <c r="ET185" s="74"/>
      <c r="EU185" s="74"/>
      <c r="EV185" s="416">
        <f t="shared" si="429"/>
        <v>0</v>
      </c>
      <c r="EY185" s="90">
        <f t="shared" si="373"/>
        <v>5</v>
      </c>
      <c r="EZ185" s="121">
        <f t="shared" si="415"/>
        <v>0</v>
      </c>
      <c r="FB185" s="149">
        <f t="shared" si="416"/>
        <v>0</v>
      </c>
      <c r="FC185" s="2179">
        <f t="shared" ca="1" si="374"/>
        <v>0</v>
      </c>
      <c r="FE185" s="120">
        <f t="shared" si="417"/>
        <v>0</v>
      </c>
      <c r="FF185" s="110">
        <f t="shared" si="375"/>
        <v>0</v>
      </c>
      <c r="FG185" s="110">
        <f t="shared" si="376"/>
        <v>0</v>
      </c>
      <c r="FH185" s="109">
        <f t="shared" si="377"/>
        <v>0</v>
      </c>
      <c r="FI185" s="109">
        <f t="shared" si="328"/>
        <v>0</v>
      </c>
      <c r="FJ185" s="113">
        <f t="shared" si="378"/>
        <v>0</v>
      </c>
      <c r="FL185" s="102">
        <f t="shared" si="379"/>
        <v>0</v>
      </c>
      <c r="FM185" s="211">
        <f t="shared" si="424"/>
        <v>161</v>
      </c>
      <c r="FN185" s="212">
        <f t="shared" si="380"/>
        <v>0</v>
      </c>
      <c r="FO185" s="212">
        <f t="shared" si="329"/>
        <v>0</v>
      </c>
      <c r="FP185" s="212">
        <f t="shared" si="446"/>
        <v>0</v>
      </c>
      <c r="FQ185" s="213">
        <f t="shared" si="330"/>
        <v>1000000</v>
      </c>
      <c r="FV185" s="359"/>
      <c r="FX185" s="308">
        <f t="shared" ca="1" si="331"/>
        <v>8</v>
      </c>
      <c r="FY185" s="309">
        <f t="shared" si="381"/>
        <v>0</v>
      </c>
      <c r="FZ185" s="268">
        <f t="shared" si="332"/>
        <v>0</v>
      </c>
      <c r="GA185" s="33">
        <f t="shared" si="382"/>
        <v>0</v>
      </c>
      <c r="GB185" s="33">
        <f t="shared" si="438"/>
        <v>0</v>
      </c>
      <c r="GC185" s="33">
        <f t="shared" si="439"/>
        <v>0</v>
      </c>
      <c r="GD185" s="33">
        <f>IF(GJ184&lt;0.01,0,IF(Plus!$F$22=Plus!$AN$4,0,IF(Plus!$F$22=Plus!$AN$3,GJ184*Plus!$F$23/1000,GJ184*VLOOKUP(Plus!$G$21,Plus!$AP$2:$AQ$5,2,0))))</f>
        <v>0</v>
      </c>
      <c r="GE185" s="33">
        <f>IF(GJ184&lt;0.01,0,IF(Plus!$F$24=Plus!$AO$3,0,IF(OR(Plus!$F$10=Plus!$AK$7,Plus!$F$10=Plus!$AK$13,Plus!$F$10=Plus!$AK$14),0,IF(OR(Plus!$F$10=Plus!$AK$10,Plus!$F$10=Plus!$AK$11),Plus!$G$13*Adm!$W$7,Plus!$G$13*Adm!$X$4))))</f>
        <v>0</v>
      </c>
      <c r="GF185" s="33">
        <f>IF(GJ184&lt;0.01,0,IF(OR(Plus!$F$10=Plus!$AK$7,Plus!$F$10=Plus!$AK$13),0,Plus!$BD$2*1.16))</f>
        <v>0</v>
      </c>
      <c r="GG185" s="33">
        <f>IF(GJ184&lt;0.01,0,IF(Plus!$AS$2&gt;0,GA185*Plus!$AS$3,0))</f>
        <v>0</v>
      </c>
      <c r="GH185" s="33">
        <f t="shared" si="383"/>
        <v>0</v>
      </c>
      <c r="GI185" s="33">
        <f>IF(Plus!$F$10=Plus!$AK$3,MIN(GJ184+GA185+GD185+GE185+GF185-GH185,GU185),0)</f>
        <v>0</v>
      </c>
      <c r="GJ185" s="311">
        <f t="shared" si="432"/>
        <v>0</v>
      </c>
      <c r="GK185" s="340">
        <f>Plus!O226</f>
        <v>0</v>
      </c>
      <c r="GL185" s="74"/>
      <c r="GM185" s="74"/>
      <c r="GN185" s="419">
        <f t="shared" si="430"/>
        <v>0</v>
      </c>
      <c r="GQ185" s="90">
        <f t="shared" si="384"/>
        <v>5</v>
      </c>
      <c r="GR185" s="121">
        <f t="shared" si="418"/>
        <v>0</v>
      </c>
      <c r="GT185" s="149">
        <f t="shared" si="419"/>
        <v>0</v>
      </c>
      <c r="GU185" s="2179">
        <f t="shared" ca="1" si="385"/>
        <v>0</v>
      </c>
      <c r="GW185" s="120">
        <f t="shared" si="420"/>
        <v>0</v>
      </c>
      <c r="GX185" s="110">
        <f t="shared" si="386"/>
        <v>0</v>
      </c>
      <c r="GY185" s="110">
        <f t="shared" si="387"/>
        <v>0</v>
      </c>
      <c r="GZ185" s="109">
        <f t="shared" si="388"/>
        <v>0</v>
      </c>
      <c r="HA185" s="109">
        <f t="shared" si="333"/>
        <v>0</v>
      </c>
      <c r="HB185" s="113">
        <f t="shared" si="389"/>
        <v>0</v>
      </c>
      <c r="HD185" s="102">
        <f t="shared" si="390"/>
        <v>0</v>
      </c>
      <c r="HE185" s="211">
        <f t="shared" si="425"/>
        <v>161</v>
      </c>
      <c r="HF185" s="212">
        <f t="shared" si="391"/>
        <v>0</v>
      </c>
      <c r="HG185" s="212">
        <f t="shared" si="334"/>
        <v>0</v>
      </c>
      <c r="HH185" s="212">
        <f t="shared" si="447"/>
        <v>0</v>
      </c>
      <c r="HI185" s="213">
        <f t="shared" si="335"/>
        <v>1000000</v>
      </c>
      <c r="HL185" s="182"/>
      <c r="HM185" s="26">
        <f t="shared" ca="1" si="336"/>
        <v>8</v>
      </c>
      <c r="HO185" s="268">
        <f t="shared" si="337"/>
        <v>0</v>
      </c>
      <c r="HP185" s="151">
        <f t="shared" si="302"/>
        <v>0</v>
      </c>
      <c r="HQ185" s="123">
        <f t="shared" si="392"/>
        <v>0</v>
      </c>
      <c r="HR185" s="123">
        <f t="shared" si="393"/>
        <v>0</v>
      </c>
      <c r="HS185" s="123">
        <f t="shared" si="394"/>
        <v>0</v>
      </c>
      <c r="HT185" s="123">
        <f>IF(HY184&lt;0.01,0,IF(Adm!$GS$4=Adm!$GS$8,HY184*$HY$15,IF(Adm!$GS$12=Adm!$GS$13,0,HY184*Adm!$GV$4)))</f>
        <v>0</v>
      </c>
      <c r="HU185" s="123">
        <f>IF(HY184&lt;0.01,0,IF(Adm!$GS$5=Adm!$GS$8,Cal!$BO$108*$HY$16/1.16,IF(Adm!$GS$12=Adm!$GS$13,0,Cal!$BO$108*Adm!$GW$4/1.16)))</f>
        <v>0</v>
      </c>
      <c r="HV185" s="123">
        <f t="shared" si="395"/>
        <v>0</v>
      </c>
      <c r="HW185" s="123">
        <f t="shared" si="338"/>
        <v>0</v>
      </c>
      <c r="HX185" s="123">
        <f>IF(Adm!$GH$6="si",MIN(HY184+HQ185+HT185+HU185+HV185-HW185,IH185),0)</f>
        <v>0</v>
      </c>
      <c r="HY185" s="297">
        <f t="shared" si="396"/>
        <v>0</v>
      </c>
      <c r="HZ185" s="74"/>
      <c r="IA185" s="407">
        <f t="shared" si="397"/>
        <v>0</v>
      </c>
      <c r="IC185" s="90">
        <f t="shared" si="398"/>
        <v>5</v>
      </c>
      <c r="ID185" s="124">
        <f>IF(IC185=1,Cal!$BO$127,0)</f>
        <v>0</v>
      </c>
      <c r="IE185" s="178">
        <f>IF(IC185=1,Adm!$HI$4,0)</f>
        <v>0</v>
      </c>
      <c r="IG185" s="70">
        <f t="shared" si="421"/>
        <v>0</v>
      </c>
      <c r="IH185" s="2178">
        <f t="shared" ca="1" si="399"/>
        <v>0</v>
      </c>
      <c r="IK185" s="217"/>
      <c r="IL185" s="26">
        <f t="shared" ca="1" si="339"/>
        <v>8</v>
      </c>
      <c r="IN185" s="268">
        <f t="shared" si="340"/>
        <v>0</v>
      </c>
      <c r="IO185" s="151">
        <f t="shared" si="303"/>
        <v>0</v>
      </c>
      <c r="IP185" s="123">
        <f t="shared" si="400"/>
        <v>0</v>
      </c>
      <c r="IQ185" s="123">
        <f t="shared" si="401"/>
        <v>0</v>
      </c>
      <c r="IR185" s="123">
        <f t="shared" si="402"/>
        <v>0</v>
      </c>
      <c r="IS185" s="123">
        <f>IF(IX184&lt;0.01,0,IF(Adm!$GS$4=Adm!$GS$8,IX184*$IX$15,IF(Adm!$GS$12=Adm!$GS$13,0,IX184*Adm!$GV$4)))</f>
        <v>0</v>
      </c>
      <c r="IT185" s="123"/>
      <c r="IU185" s="123">
        <f t="shared" si="403"/>
        <v>0</v>
      </c>
      <c r="IV185" s="123">
        <f t="shared" si="404"/>
        <v>0</v>
      </c>
      <c r="IW185" s="123"/>
      <c r="IX185" s="297">
        <f t="shared" si="405"/>
        <v>0</v>
      </c>
      <c r="IY185" s="74"/>
      <c r="IZ185" s="416">
        <f t="shared" si="406"/>
        <v>0</v>
      </c>
      <c r="JB185" s="90">
        <f t="shared" si="407"/>
        <v>5</v>
      </c>
      <c r="JC185" s="124">
        <f>IF(JB185=1,Cal!$BP$127,0)</f>
        <v>0</v>
      </c>
      <c r="JD185" s="178">
        <f>IF(JB185=1,Adm!$HI$4,0)</f>
        <v>0</v>
      </c>
    </row>
    <row r="186" spans="1:264">
      <c r="A186" s="26">
        <f t="shared" ca="1" si="308"/>
        <v>9</v>
      </c>
      <c r="C186" s="33">
        <f t="shared" si="309"/>
        <v>0</v>
      </c>
      <c r="D186" s="123">
        <f t="shared" si="341"/>
        <v>0</v>
      </c>
      <c r="E186" s="123">
        <f t="shared" si="433"/>
        <v>0</v>
      </c>
      <c r="F186" s="123">
        <f t="shared" si="443"/>
        <v>0</v>
      </c>
      <c r="G186" s="123">
        <f>IF(L185&lt;0.01,0,IF(Adm!$S$4=Adm!$S$8,L185*$L$15,L185*Adm!$V$4))</f>
        <v>0</v>
      </c>
      <c r="H186" s="123">
        <f>IF(L185&lt;0.01,0,IF(Adm!$S$5=Adm!$S$8,Adm!$AA$11*$L$16/1.16,IF(Adm!$B$4=Adm!$A$119,0,Adm!$AA$11*Adm!$X$4/1.16)))</f>
        <v>0</v>
      </c>
      <c r="I186" s="123">
        <f>IF(L185&lt;0.01,0,Cal!$AB$126/1.16)</f>
        <v>0</v>
      </c>
      <c r="J186" s="123">
        <f t="shared" si="310"/>
        <v>0</v>
      </c>
      <c r="K186" s="123">
        <f>IF(Adm!$G$4="si",MIN(L185+D186+G186+H186+I186-J186,V186),0)</f>
        <v>0</v>
      </c>
      <c r="L186" s="123">
        <f t="shared" si="342"/>
        <v>0</v>
      </c>
      <c r="M186" s="74"/>
      <c r="N186" s="74"/>
      <c r="O186" s="407">
        <f t="shared" si="343"/>
        <v>0</v>
      </c>
      <c r="R186" s="90">
        <f t="shared" si="344"/>
        <v>6</v>
      </c>
      <c r="S186" s="121">
        <f>IF(R186=1,Cal!$AB$127,0)</f>
        <v>0</v>
      </c>
      <c r="U186" s="70">
        <f t="shared" si="408"/>
        <v>0</v>
      </c>
      <c r="V186" s="2178">
        <f t="shared" ca="1" si="345"/>
        <v>0</v>
      </c>
      <c r="X186" s="398"/>
      <c r="Z186" s="268">
        <f t="shared" si="311"/>
        <v>0</v>
      </c>
      <c r="AA186" s="2176">
        <f t="shared" si="346"/>
        <v>0</v>
      </c>
      <c r="AB186" s="33">
        <f t="shared" si="347"/>
        <v>0</v>
      </c>
      <c r="AC186" s="33">
        <f t="shared" si="348"/>
        <v>0</v>
      </c>
      <c r="AD186" s="33">
        <f>IF(AI185&lt;0.01,0,IF(Adm!$S$4=Adm!$S$8,AI185*$AI$15,AI185*Adm!$V$4))</f>
        <v>0</v>
      </c>
      <c r="AE186" s="33"/>
      <c r="AF186" s="33"/>
      <c r="AG186" s="33">
        <f t="shared" si="312"/>
        <v>0</v>
      </c>
      <c r="AH186" s="33"/>
      <c r="AI186" s="401">
        <f t="shared" si="313"/>
        <v>0</v>
      </c>
      <c r="AK186" s="410">
        <f t="shared" si="314"/>
        <v>0</v>
      </c>
      <c r="AN186" s="90">
        <f t="shared" si="349"/>
        <v>6</v>
      </c>
      <c r="AO186" s="121">
        <f>IF(AN186=1,Cal!$AC$127,0)</f>
        <v>0</v>
      </c>
      <c r="AS186" s="200"/>
      <c r="AU186" s="268">
        <f t="shared" si="315"/>
        <v>0</v>
      </c>
      <c r="AV186" s="2177">
        <f t="shared" si="350"/>
        <v>0</v>
      </c>
      <c r="AW186" s="123">
        <f t="shared" si="316"/>
        <v>0</v>
      </c>
      <c r="AX186" s="123">
        <f t="shared" si="351"/>
        <v>0</v>
      </c>
      <c r="AY186" s="123">
        <f>IF(BC185&lt;0.01,0,IF(Adm!$S$4=Adm!$S$8,BC185*$BC$16,BC185*Adm!$V$4))</f>
        <v>0</v>
      </c>
      <c r="AZ186" s="123"/>
      <c r="BA186" s="123">
        <f>IF(BC185&lt;0.01,0,Adm!$Q$6)</f>
        <v>0</v>
      </c>
      <c r="BB186" s="123">
        <f t="shared" si="317"/>
        <v>0</v>
      </c>
      <c r="BC186" s="297">
        <f t="shared" si="352"/>
        <v>0</v>
      </c>
      <c r="BE186" s="425">
        <f t="shared" si="318"/>
        <v>0</v>
      </c>
      <c r="BH186" s="90">
        <f t="shared" si="353"/>
        <v>6</v>
      </c>
      <c r="BI186" s="121">
        <f>IF(BH186=1,Cal!$AD$127,0)</f>
        <v>0</v>
      </c>
      <c r="BM186" s="221"/>
      <c r="BO186" s="295">
        <f t="shared" ca="1" si="319"/>
        <v>9</v>
      </c>
      <c r="BP186" s="268">
        <f t="shared" si="320"/>
        <v>0</v>
      </c>
      <c r="BQ186" s="123">
        <f t="shared" si="354"/>
        <v>0</v>
      </c>
      <c r="BR186" s="123">
        <f t="shared" si="434"/>
        <v>0</v>
      </c>
      <c r="BS186" s="123">
        <f t="shared" si="444"/>
        <v>0</v>
      </c>
      <c r="BT186" s="123">
        <f>IF(BZ185&lt;0.01,0,IF(Plus!$F$22=Plus!$AN$4,BZ185*$BZ$15,IF(Plus!$F$22=Plus!$AN$3,BZ185*Plus!$F$23/1000,BZ185*VLOOKUP(Plus!$G$21,Plus!$AP$2:'Plus'!$AQ$5,2,0))))</f>
        <v>0</v>
      </c>
      <c r="BU186" s="123">
        <f>IF(BZ185&lt;0.01,0,IF(Plus!$F$24=Plus!$AO$3,Plus!$G$13*Plus!$AR$2/1.16,IF(Plus!$F$10=Plus!$AK$7,0,Plus!$G$13*Plus!$AR$2/1.16)))</f>
        <v>0</v>
      </c>
      <c r="BV186" s="123">
        <f>IF(BZ185&lt;0.01,0,Plus!$BD$2)</f>
        <v>0</v>
      </c>
      <c r="BW186" s="123"/>
      <c r="BX186" s="123">
        <f t="shared" si="321"/>
        <v>0</v>
      </c>
      <c r="BY186" s="123">
        <f>IF(Plus!$F$10=Plus!$AK$3,MIN(BZ185+BQ186+BT186+BU186+BV186-BX186,CJ186),0)</f>
        <v>0</v>
      </c>
      <c r="BZ186" s="297">
        <f t="shared" si="428"/>
        <v>0</v>
      </c>
      <c r="CA186" s="74"/>
      <c r="CB186" s="74"/>
      <c r="CC186" s="413">
        <f t="shared" si="355"/>
        <v>0</v>
      </c>
      <c r="CF186" s="90">
        <f t="shared" si="356"/>
        <v>6</v>
      </c>
      <c r="CG186" s="121">
        <f t="shared" si="409"/>
        <v>0</v>
      </c>
      <c r="CI186" s="70">
        <f t="shared" si="410"/>
        <v>0</v>
      </c>
      <c r="CJ186" s="2178">
        <f t="shared" ca="1" si="357"/>
        <v>0</v>
      </c>
      <c r="CL186" s="161"/>
      <c r="CN186" s="308">
        <f t="shared" ca="1" si="322"/>
        <v>9</v>
      </c>
      <c r="CO186" s="309">
        <f t="shared" si="358"/>
        <v>0</v>
      </c>
      <c r="CP186" s="268">
        <f t="shared" si="323"/>
        <v>0</v>
      </c>
      <c r="CQ186" s="123">
        <f t="shared" si="359"/>
        <v>0</v>
      </c>
      <c r="CR186" s="123">
        <f t="shared" si="435"/>
        <v>0</v>
      </c>
      <c r="CS186" s="123">
        <f t="shared" si="436"/>
        <v>0</v>
      </c>
      <c r="CT186" s="33">
        <f>IF(CZ185&lt;0.01,0,IF(Plus!$F$22=Plus!$AN$4,0,IF(Plus!$F$22=Plus!$AN$3,CZ185*Plus!$F$23/1000,CZ185*VLOOKUP(Plus!$G$21,Plus!$AP$2:'Plus'!$AQ$5,2,0))))</f>
        <v>0</v>
      </c>
      <c r="CU186" s="123">
        <f>IF(CZ185&lt;0.01,0,IF(Plus!$F$24=Plus!$AO$3,0,IF(OR(Plus!$F$10=Plus!$AK$7,Plus!$F$10=Plus!$AK$13),0,Plus!$G$13*Plus!$AR$2)))</f>
        <v>0</v>
      </c>
      <c r="CV186" s="123">
        <f>IF(CZ185&lt;0.01,0,IF(OR(Plus!$F$10=Plus!$AK$7,Plus!$F$10=Plus!$AK$13),0,Plus!$BD$2*1.16))</f>
        <v>0</v>
      </c>
      <c r="CW186" s="123">
        <f>IF(CZ185&lt;0.01,0,IF(Plus!$AS$2&gt;0,CQ186*Plus!$AS$3,0))</f>
        <v>0</v>
      </c>
      <c r="CX186" s="123">
        <f t="shared" si="360"/>
        <v>0</v>
      </c>
      <c r="CY186" s="123">
        <f>IF(Plus!$F$10=Plus!$AK$3,MIN(CZ185+CQ186+CT186+CU186+CV186-CX186,DK186),0)</f>
        <v>0</v>
      </c>
      <c r="CZ186" s="297">
        <f t="shared" si="440"/>
        <v>0</v>
      </c>
      <c r="DA186" s="306">
        <f>Plus!O227</f>
        <v>0</v>
      </c>
      <c r="DB186" s="74"/>
      <c r="DC186" s="74"/>
      <c r="DD186" s="407">
        <f t="shared" si="361"/>
        <v>0</v>
      </c>
      <c r="DG186" s="90">
        <f t="shared" si="362"/>
        <v>6</v>
      </c>
      <c r="DH186" s="121">
        <f t="shared" si="411"/>
        <v>0</v>
      </c>
      <c r="DJ186" s="149">
        <f t="shared" si="412"/>
        <v>0</v>
      </c>
      <c r="DK186" s="2179">
        <f t="shared" ca="1" si="363"/>
        <v>0</v>
      </c>
      <c r="DN186" s="120">
        <f t="shared" si="413"/>
        <v>0</v>
      </c>
      <c r="DO186" s="110">
        <f t="shared" si="364"/>
        <v>0</v>
      </c>
      <c r="DP186" s="110">
        <f t="shared" si="422"/>
        <v>0</v>
      </c>
      <c r="DQ186" s="109">
        <f t="shared" si="365"/>
        <v>0</v>
      </c>
      <c r="DR186" s="109">
        <f t="shared" si="366"/>
        <v>0</v>
      </c>
      <c r="DS186" s="113">
        <f t="shared" si="367"/>
        <v>0</v>
      </c>
      <c r="DU186" s="102">
        <f t="shared" si="368"/>
        <v>0</v>
      </c>
      <c r="DV186" s="211">
        <f t="shared" si="423"/>
        <v>162</v>
      </c>
      <c r="DW186" s="212">
        <f t="shared" si="369"/>
        <v>0</v>
      </c>
      <c r="DX186" s="212">
        <f t="shared" si="324"/>
        <v>0</v>
      </c>
      <c r="DY186" s="212">
        <f t="shared" si="414"/>
        <v>0</v>
      </c>
      <c r="DZ186" s="213">
        <f t="shared" si="325"/>
        <v>1000000</v>
      </c>
      <c r="ED186" s="182"/>
      <c r="EF186" s="308">
        <f t="shared" ca="1" si="326"/>
        <v>9</v>
      </c>
      <c r="EG186" s="309">
        <f t="shared" si="370"/>
        <v>0</v>
      </c>
      <c r="EH186" s="268">
        <f t="shared" si="327"/>
        <v>0</v>
      </c>
      <c r="EI186" s="33">
        <f t="shared" si="371"/>
        <v>0</v>
      </c>
      <c r="EJ186" s="33">
        <f t="shared" si="437"/>
        <v>0</v>
      </c>
      <c r="EK186" s="33">
        <f t="shared" si="445"/>
        <v>0</v>
      </c>
      <c r="EL186" s="33">
        <f>IF(ER185&lt;0.01,0,IF(Plus!$F$22=Plus!$AN$4,0,IF(Plus!$F$22=Plus!$AN$3,ER185*Plus!$F$23/1000,ER185*VLOOKUP(Plus!$G$21,Plus!$AP$2:'Plus'!$AQ$5,2,0))))</f>
        <v>0</v>
      </c>
      <c r="EM186" s="33">
        <f>IF(ER185&lt;0.01,0,IF(Plus!$F$24=Plus!$AO$3,0,IF(OR(Plus!$F$10=Plus!$AK$7,Plus!$F$10=Plus!$AK$13),0,Plus!$G$13*Plus!$AR$2)))</f>
        <v>0</v>
      </c>
      <c r="EN186" s="33">
        <f>IF(ER185&lt;0.01,0,IF(OR(Plus!$F$10=Plus!$AK$7,Plus!$F$10=Plus!$AK$13),0,Plus!$BD$2*1.16))</f>
        <v>0</v>
      </c>
      <c r="EO186" s="33">
        <f>IF(ER185&lt;0.01,0,IF(Plus!$AS$2&gt;0,EI186*Plus!$AS$3,0))</f>
        <v>0</v>
      </c>
      <c r="EP186" s="33">
        <f t="shared" si="372"/>
        <v>0</v>
      </c>
      <c r="EQ186" s="33">
        <f>IF(Plus!$F$10=Plus!$AK$3,MIN(ER185+EI186+EL186+EM186+EN186-EP186,FC186),0)</f>
        <v>0</v>
      </c>
      <c r="ER186" s="311">
        <f t="shared" si="431"/>
        <v>0</v>
      </c>
      <c r="ES186" s="340">
        <f>Plus!O227</f>
        <v>0</v>
      </c>
      <c r="ET186" s="74"/>
      <c r="EU186" s="74"/>
      <c r="EV186" s="416">
        <f t="shared" si="429"/>
        <v>0</v>
      </c>
      <c r="EY186" s="90">
        <f t="shared" si="373"/>
        <v>6</v>
      </c>
      <c r="EZ186" s="121">
        <f t="shared" si="415"/>
        <v>0</v>
      </c>
      <c r="FB186" s="149">
        <f t="shared" si="416"/>
        <v>0</v>
      </c>
      <c r="FC186" s="2179">
        <f t="shared" ca="1" si="374"/>
        <v>0</v>
      </c>
      <c r="FE186" s="120">
        <f t="shared" si="417"/>
        <v>0</v>
      </c>
      <c r="FF186" s="110">
        <f t="shared" si="375"/>
        <v>0</v>
      </c>
      <c r="FG186" s="110">
        <f t="shared" si="376"/>
        <v>0</v>
      </c>
      <c r="FH186" s="109">
        <f t="shared" si="377"/>
        <v>0</v>
      </c>
      <c r="FI186" s="109">
        <f t="shared" si="328"/>
        <v>0</v>
      </c>
      <c r="FJ186" s="113">
        <f t="shared" si="378"/>
        <v>0</v>
      </c>
      <c r="FL186" s="102">
        <f t="shared" si="379"/>
        <v>0</v>
      </c>
      <c r="FM186" s="211">
        <f t="shared" si="424"/>
        <v>162</v>
      </c>
      <c r="FN186" s="212">
        <f t="shared" si="380"/>
        <v>0</v>
      </c>
      <c r="FO186" s="212">
        <f t="shared" si="329"/>
        <v>0</v>
      </c>
      <c r="FP186" s="212">
        <f t="shared" si="446"/>
        <v>0</v>
      </c>
      <c r="FQ186" s="213">
        <f t="shared" si="330"/>
        <v>1000000</v>
      </c>
      <c r="FV186" s="359"/>
      <c r="FX186" s="308">
        <f t="shared" ca="1" si="331"/>
        <v>9</v>
      </c>
      <c r="FY186" s="309">
        <f t="shared" si="381"/>
        <v>0</v>
      </c>
      <c r="FZ186" s="268">
        <f t="shared" si="332"/>
        <v>0</v>
      </c>
      <c r="GA186" s="33">
        <f t="shared" si="382"/>
        <v>0</v>
      </c>
      <c r="GB186" s="33">
        <f t="shared" si="438"/>
        <v>0</v>
      </c>
      <c r="GC186" s="33">
        <f t="shared" si="439"/>
        <v>0</v>
      </c>
      <c r="GD186" s="33">
        <f>IF(GJ185&lt;0.01,0,IF(Plus!$F$22=Plus!$AN$4,0,IF(Plus!$F$22=Plus!$AN$3,GJ185*Plus!$F$23/1000,GJ185*VLOOKUP(Plus!$G$21,Plus!$AP$2:$AQ$5,2,0))))</f>
        <v>0</v>
      </c>
      <c r="GE186" s="33">
        <f>IF(GJ185&lt;0.01,0,IF(Plus!$F$24=Plus!$AO$3,0,IF(OR(Plus!$F$10=Plus!$AK$7,Plus!$F$10=Plus!$AK$13,Plus!$F$10=Plus!$AK$14),0,IF(OR(Plus!$F$10=Plus!$AK$10,Plus!$F$10=Plus!$AK$11),Plus!$G$13*Adm!$W$7,Plus!$G$13*Adm!$X$4))))</f>
        <v>0</v>
      </c>
      <c r="GF186" s="33">
        <f>IF(GJ185&lt;0.01,0,IF(OR(Plus!$F$10=Plus!$AK$7,Plus!$F$10=Plus!$AK$13),0,Plus!$BD$2*1.16))</f>
        <v>0</v>
      </c>
      <c r="GG186" s="33">
        <f>IF(GJ185&lt;0.01,0,IF(Plus!$AS$2&gt;0,GA186*Plus!$AS$3,0))</f>
        <v>0</v>
      </c>
      <c r="GH186" s="33">
        <f t="shared" si="383"/>
        <v>0</v>
      </c>
      <c r="GI186" s="33">
        <f>IF(Plus!$F$10=Plus!$AK$3,MIN(GJ185+GA186+GD186+GE186+GF186-GH186,GU186),0)</f>
        <v>0</v>
      </c>
      <c r="GJ186" s="311">
        <f t="shared" si="432"/>
        <v>0</v>
      </c>
      <c r="GK186" s="340">
        <f>Plus!O227</f>
        <v>0</v>
      </c>
      <c r="GL186" s="74"/>
      <c r="GM186" s="74"/>
      <c r="GN186" s="419">
        <f t="shared" si="430"/>
        <v>0</v>
      </c>
      <c r="GQ186" s="90">
        <f t="shared" si="384"/>
        <v>6</v>
      </c>
      <c r="GR186" s="121">
        <f t="shared" si="418"/>
        <v>0</v>
      </c>
      <c r="GT186" s="149">
        <f t="shared" si="419"/>
        <v>0</v>
      </c>
      <c r="GU186" s="2179">
        <f t="shared" ca="1" si="385"/>
        <v>0</v>
      </c>
      <c r="GW186" s="120">
        <f t="shared" si="420"/>
        <v>0</v>
      </c>
      <c r="GX186" s="110">
        <f t="shared" si="386"/>
        <v>0</v>
      </c>
      <c r="GY186" s="110">
        <f t="shared" si="387"/>
        <v>0</v>
      </c>
      <c r="GZ186" s="109">
        <f t="shared" si="388"/>
        <v>0</v>
      </c>
      <c r="HA186" s="109">
        <f t="shared" si="333"/>
        <v>0</v>
      </c>
      <c r="HB186" s="113">
        <f t="shared" si="389"/>
        <v>0</v>
      </c>
      <c r="HD186" s="102">
        <f t="shared" si="390"/>
        <v>0</v>
      </c>
      <c r="HE186" s="211">
        <f t="shared" si="425"/>
        <v>162</v>
      </c>
      <c r="HF186" s="212">
        <f t="shared" si="391"/>
        <v>0</v>
      </c>
      <c r="HG186" s="212">
        <f t="shared" si="334"/>
        <v>0</v>
      </c>
      <c r="HH186" s="212">
        <f t="shared" si="447"/>
        <v>0</v>
      </c>
      <c r="HI186" s="213">
        <f t="shared" si="335"/>
        <v>1000000</v>
      </c>
      <c r="HL186" s="182"/>
      <c r="HM186" s="26">
        <f t="shared" ca="1" si="336"/>
        <v>9</v>
      </c>
      <c r="HO186" s="268">
        <f t="shared" si="337"/>
        <v>0</v>
      </c>
      <c r="HP186" s="151">
        <f t="shared" si="302"/>
        <v>0</v>
      </c>
      <c r="HQ186" s="123">
        <f t="shared" si="392"/>
        <v>0</v>
      </c>
      <c r="HR186" s="123">
        <f t="shared" si="393"/>
        <v>0</v>
      </c>
      <c r="HS186" s="123">
        <f t="shared" si="394"/>
        <v>0</v>
      </c>
      <c r="HT186" s="123">
        <f>IF(HY185&lt;0.01,0,IF(Adm!$GS$4=Adm!$GS$8,HY185*$HY$15,IF(Adm!$GS$12=Adm!$GS$13,0,HY185*Adm!$GV$4)))</f>
        <v>0</v>
      </c>
      <c r="HU186" s="123">
        <f>IF(HY185&lt;0.01,0,IF(Adm!$GS$5=Adm!$GS$8,Cal!$BO$108*$HY$16/1.16,IF(Adm!$GS$12=Adm!$GS$13,0,Cal!$BO$108*Adm!$GW$4/1.16)))</f>
        <v>0</v>
      </c>
      <c r="HV186" s="123">
        <f t="shared" si="395"/>
        <v>0</v>
      </c>
      <c r="HW186" s="123">
        <f t="shared" si="338"/>
        <v>0</v>
      </c>
      <c r="HX186" s="123">
        <f>IF(Adm!$GH$6="si",MIN(HY185+HQ186+HT186+HU186+HV186-HW186,IH186),0)</f>
        <v>0</v>
      </c>
      <c r="HY186" s="297">
        <f t="shared" si="396"/>
        <v>0</v>
      </c>
      <c r="HZ186" s="74"/>
      <c r="IA186" s="407">
        <f t="shared" si="397"/>
        <v>0</v>
      </c>
      <c r="IC186" s="90">
        <f t="shared" si="398"/>
        <v>6</v>
      </c>
      <c r="ID186" s="124">
        <f>IF(IC186=1,Cal!$BO$127,0)</f>
        <v>0</v>
      </c>
      <c r="IE186" s="178">
        <f>IF(IC186=1,Adm!$HI$4,0)</f>
        <v>0</v>
      </c>
      <c r="IG186" s="70">
        <f t="shared" si="421"/>
        <v>0</v>
      </c>
      <c r="IH186" s="2178">
        <f t="shared" ca="1" si="399"/>
        <v>0</v>
      </c>
      <c r="IK186" s="217"/>
      <c r="IL186" s="26">
        <f t="shared" ca="1" si="339"/>
        <v>9</v>
      </c>
      <c r="IN186" s="268">
        <f t="shared" si="340"/>
        <v>0</v>
      </c>
      <c r="IO186" s="151">
        <f t="shared" si="303"/>
        <v>0</v>
      </c>
      <c r="IP186" s="123">
        <f t="shared" si="400"/>
        <v>0</v>
      </c>
      <c r="IQ186" s="123">
        <f t="shared" si="401"/>
        <v>0</v>
      </c>
      <c r="IR186" s="123">
        <f t="shared" si="402"/>
        <v>0</v>
      </c>
      <c r="IS186" s="123">
        <f>IF(IX185&lt;0.01,0,IF(Adm!$GS$4=Adm!$GS$8,IX185*$IX$15,IF(Adm!$GS$12=Adm!$GS$13,0,IX185*Adm!$GV$4)))</f>
        <v>0</v>
      </c>
      <c r="IT186" s="123"/>
      <c r="IU186" s="123">
        <f t="shared" si="403"/>
        <v>0</v>
      </c>
      <c r="IV186" s="123">
        <f t="shared" si="404"/>
        <v>0</v>
      </c>
      <c r="IW186" s="123"/>
      <c r="IX186" s="297">
        <f t="shared" si="405"/>
        <v>0</v>
      </c>
      <c r="IY186" s="74"/>
      <c r="IZ186" s="416">
        <f t="shared" si="406"/>
        <v>0</v>
      </c>
      <c r="JB186" s="90">
        <f t="shared" si="407"/>
        <v>6</v>
      </c>
      <c r="JC186" s="124">
        <f>IF(JB186=1,Cal!$BP$127,0)</f>
        <v>0</v>
      </c>
      <c r="JD186" s="178">
        <f>IF(JB186=1,Adm!$HI$4,0)</f>
        <v>0</v>
      </c>
    </row>
    <row r="187" spans="1:264">
      <c r="A187" s="26">
        <f t="shared" ca="1" si="308"/>
        <v>10</v>
      </c>
      <c r="C187" s="33">
        <f t="shared" si="309"/>
        <v>0</v>
      </c>
      <c r="D187" s="123">
        <f t="shared" si="341"/>
        <v>0</v>
      </c>
      <c r="E187" s="123">
        <f t="shared" si="433"/>
        <v>0</v>
      </c>
      <c r="F187" s="123">
        <f t="shared" si="443"/>
        <v>0</v>
      </c>
      <c r="G187" s="123">
        <f>IF(L186&lt;0.01,0,IF(Adm!$S$4=Adm!$S$8,L186*$L$15,L186*Adm!$V$4))</f>
        <v>0</v>
      </c>
      <c r="H187" s="123">
        <f>IF(L186&lt;0.01,0,IF(Adm!$S$5=Adm!$S$8,Adm!$AA$11*$L$16/1.16,IF(Adm!$B$4=Adm!$A$119,0,Adm!$AA$11*Adm!$X$4/1.16)))</f>
        <v>0</v>
      </c>
      <c r="I187" s="123">
        <f>IF(L186&lt;0.01,0,Cal!$AB$126/1.16)</f>
        <v>0</v>
      </c>
      <c r="J187" s="123">
        <f t="shared" si="310"/>
        <v>0</v>
      </c>
      <c r="K187" s="123">
        <f>IF(Adm!$G$4="si",MIN(L186+D187+G187+H187+I187-J187,V187),0)</f>
        <v>0</v>
      </c>
      <c r="L187" s="123">
        <f t="shared" si="342"/>
        <v>0</v>
      </c>
      <c r="M187" s="74"/>
      <c r="N187" s="74"/>
      <c r="O187" s="407">
        <f t="shared" si="343"/>
        <v>0</v>
      </c>
      <c r="R187" s="90">
        <f t="shared" si="344"/>
        <v>7</v>
      </c>
      <c r="S187" s="121">
        <f>IF(R187=1,Cal!$AB$127,0)</f>
        <v>0</v>
      </c>
      <c r="U187" s="70">
        <f t="shared" si="408"/>
        <v>0</v>
      </c>
      <c r="V187" s="2178">
        <f t="shared" ca="1" si="345"/>
        <v>0</v>
      </c>
      <c r="X187" s="398"/>
      <c r="Z187" s="268">
        <f t="shared" si="311"/>
        <v>0</v>
      </c>
      <c r="AA187" s="2176">
        <f t="shared" si="346"/>
        <v>0</v>
      </c>
      <c r="AB187" s="33">
        <f t="shared" si="347"/>
        <v>0</v>
      </c>
      <c r="AC187" s="33">
        <f t="shared" si="348"/>
        <v>0</v>
      </c>
      <c r="AD187" s="33">
        <f>IF(AI186&lt;0.01,0,IF(Adm!$S$4=Adm!$S$8,AI186*$AI$15,AI186*Adm!$V$4))</f>
        <v>0</v>
      </c>
      <c r="AE187" s="33"/>
      <c r="AF187" s="33"/>
      <c r="AG187" s="33">
        <f t="shared" si="312"/>
        <v>0</v>
      </c>
      <c r="AH187" s="33"/>
      <c r="AI187" s="401">
        <f t="shared" si="313"/>
        <v>0</v>
      </c>
      <c r="AK187" s="410">
        <f t="shared" si="314"/>
        <v>0</v>
      </c>
      <c r="AN187" s="90">
        <f t="shared" si="349"/>
        <v>7</v>
      </c>
      <c r="AO187" s="121">
        <f>IF(AN187=1,Cal!$AC$127,0)</f>
        <v>0</v>
      </c>
      <c r="AS187" s="200"/>
      <c r="AU187" s="268">
        <f t="shared" si="315"/>
        <v>0</v>
      </c>
      <c r="AV187" s="2177">
        <f t="shared" si="350"/>
        <v>0</v>
      </c>
      <c r="AW187" s="123">
        <f t="shared" si="316"/>
        <v>0</v>
      </c>
      <c r="AX187" s="123">
        <f t="shared" si="351"/>
        <v>0</v>
      </c>
      <c r="AY187" s="123">
        <f>IF(BC186&lt;0.01,0,IF(Adm!$S$4=Adm!$S$8,BC186*$BC$16,BC186*Adm!$V$4))</f>
        <v>0</v>
      </c>
      <c r="AZ187" s="123"/>
      <c r="BA187" s="123">
        <f>IF(BC186&lt;0.01,0,Adm!$Q$6)</f>
        <v>0</v>
      </c>
      <c r="BB187" s="123">
        <f t="shared" si="317"/>
        <v>0</v>
      </c>
      <c r="BC187" s="297">
        <f t="shared" si="352"/>
        <v>0</v>
      </c>
      <c r="BE187" s="425">
        <f t="shared" si="318"/>
        <v>0</v>
      </c>
      <c r="BH187" s="90">
        <f t="shared" si="353"/>
        <v>7</v>
      </c>
      <c r="BI187" s="121">
        <f>IF(BH187=1,Cal!$AD$127,0)</f>
        <v>0</v>
      </c>
      <c r="BM187" s="221"/>
      <c r="BO187" s="295">
        <f t="shared" ca="1" si="319"/>
        <v>10</v>
      </c>
      <c r="BP187" s="268">
        <f t="shared" si="320"/>
        <v>0</v>
      </c>
      <c r="BQ187" s="123">
        <f t="shared" si="354"/>
        <v>0</v>
      </c>
      <c r="BR187" s="123">
        <f t="shared" si="434"/>
        <v>0</v>
      </c>
      <c r="BS187" s="123">
        <f t="shared" si="444"/>
        <v>0</v>
      </c>
      <c r="BT187" s="123">
        <f>IF(BZ186&lt;0.01,0,IF(Plus!$F$22=Plus!$AN$4,BZ186*$BZ$15,IF(Plus!$F$22=Plus!$AN$3,BZ186*Plus!$F$23/1000,BZ186*VLOOKUP(Plus!$G$21,Plus!$AP$2:'Plus'!$AQ$5,2,0))))</f>
        <v>0</v>
      </c>
      <c r="BU187" s="123">
        <f>IF(BZ186&lt;0.01,0,IF(Plus!$F$24=Plus!$AO$3,Plus!$G$13*Plus!$AR$2/1.16,IF(Plus!$F$10=Plus!$AK$7,0,Plus!$G$13*Plus!$AR$2/1.16)))</f>
        <v>0</v>
      </c>
      <c r="BV187" s="123">
        <f>IF(BZ186&lt;0.01,0,Plus!$BD$2)</f>
        <v>0</v>
      </c>
      <c r="BW187" s="123"/>
      <c r="BX187" s="123">
        <f t="shared" si="321"/>
        <v>0</v>
      </c>
      <c r="BY187" s="123">
        <f>IF(Plus!$F$10=Plus!$AK$3,MIN(BZ186+BQ187+BT187+BU187+BV187-BX187,CJ187),0)</f>
        <v>0</v>
      </c>
      <c r="BZ187" s="297">
        <f t="shared" si="428"/>
        <v>0</v>
      </c>
      <c r="CA187" s="74"/>
      <c r="CB187" s="74"/>
      <c r="CC187" s="413">
        <f t="shared" si="355"/>
        <v>0</v>
      </c>
      <c r="CF187" s="90">
        <f t="shared" si="356"/>
        <v>7</v>
      </c>
      <c r="CG187" s="121">
        <f t="shared" si="409"/>
        <v>0</v>
      </c>
      <c r="CI187" s="70">
        <f t="shared" si="410"/>
        <v>0</v>
      </c>
      <c r="CJ187" s="2178">
        <f t="shared" ca="1" si="357"/>
        <v>0</v>
      </c>
      <c r="CL187" s="161"/>
      <c r="CN187" s="308">
        <f t="shared" ca="1" si="322"/>
        <v>10</v>
      </c>
      <c r="CO187" s="309">
        <f t="shared" si="358"/>
        <v>0</v>
      </c>
      <c r="CP187" s="268">
        <f t="shared" si="323"/>
        <v>0</v>
      </c>
      <c r="CQ187" s="123">
        <f t="shared" si="359"/>
        <v>0</v>
      </c>
      <c r="CR187" s="123">
        <f t="shared" si="435"/>
        <v>0</v>
      </c>
      <c r="CS187" s="123">
        <f t="shared" si="436"/>
        <v>0</v>
      </c>
      <c r="CT187" s="33">
        <f>IF(CZ186&lt;0.01,0,IF(Plus!$F$22=Plus!$AN$4,0,IF(Plus!$F$22=Plus!$AN$3,CZ186*Plus!$F$23/1000,CZ186*VLOOKUP(Plus!$G$21,Plus!$AP$2:'Plus'!$AQ$5,2,0))))</f>
        <v>0</v>
      </c>
      <c r="CU187" s="123">
        <f>IF(CZ186&lt;0.01,0,IF(Plus!$F$24=Plus!$AO$3,0,IF(OR(Plus!$F$10=Plus!$AK$7,Plus!$F$10=Plus!$AK$13),0,Plus!$G$13*Plus!$AR$2)))</f>
        <v>0</v>
      </c>
      <c r="CV187" s="123">
        <f>IF(CZ186&lt;0.01,0,IF(OR(Plus!$F$10=Plus!$AK$7,Plus!$F$10=Plus!$AK$13),0,Plus!$BD$2*1.16))</f>
        <v>0</v>
      </c>
      <c r="CW187" s="123">
        <f>IF(CZ186&lt;0.01,0,IF(Plus!$AS$2&gt;0,CQ187*Plus!$AS$3,0))</f>
        <v>0</v>
      </c>
      <c r="CX187" s="123">
        <f t="shared" si="360"/>
        <v>0</v>
      </c>
      <c r="CY187" s="123">
        <f>IF(Plus!$F$10=Plus!$AK$3,MIN(CZ186+CQ187+CT187+CU187+CV187-CX187,DK187),0)</f>
        <v>0</v>
      </c>
      <c r="CZ187" s="297">
        <f t="shared" si="440"/>
        <v>0</v>
      </c>
      <c r="DA187" s="306">
        <f>Plus!O228</f>
        <v>0</v>
      </c>
      <c r="DB187" s="74"/>
      <c r="DC187" s="74"/>
      <c r="DD187" s="407">
        <f t="shared" si="361"/>
        <v>0</v>
      </c>
      <c r="DG187" s="90">
        <f t="shared" si="362"/>
        <v>7</v>
      </c>
      <c r="DH187" s="121">
        <f t="shared" si="411"/>
        <v>0</v>
      </c>
      <c r="DJ187" s="149">
        <f t="shared" si="412"/>
        <v>0</v>
      </c>
      <c r="DK187" s="2179">
        <f t="shared" ca="1" si="363"/>
        <v>0</v>
      </c>
      <c r="DN187" s="120">
        <f t="shared" si="413"/>
        <v>0</v>
      </c>
      <c r="DO187" s="110">
        <f t="shared" si="364"/>
        <v>0</v>
      </c>
      <c r="DP187" s="110">
        <f t="shared" si="422"/>
        <v>0</v>
      </c>
      <c r="DQ187" s="109">
        <f t="shared" si="365"/>
        <v>0</v>
      </c>
      <c r="DR187" s="109">
        <f t="shared" si="366"/>
        <v>0</v>
      </c>
      <c r="DS187" s="113">
        <f t="shared" si="367"/>
        <v>0</v>
      </c>
      <c r="DU187" s="102">
        <f t="shared" si="368"/>
        <v>0</v>
      </c>
      <c r="DV187" s="211">
        <f t="shared" si="423"/>
        <v>163</v>
      </c>
      <c r="DW187" s="212">
        <f t="shared" si="369"/>
        <v>0</v>
      </c>
      <c r="DX187" s="212">
        <f t="shared" si="324"/>
        <v>0</v>
      </c>
      <c r="DY187" s="212">
        <f t="shared" si="414"/>
        <v>0</v>
      </c>
      <c r="DZ187" s="213">
        <f t="shared" si="325"/>
        <v>1000000</v>
      </c>
      <c r="ED187" s="182"/>
      <c r="EF187" s="308">
        <f t="shared" ca="1" si="326"/>
        <v>10</v>
      </c>
      <c r="EG187" s="309">
        <f t="shared" si="370"/>
        <v>0</v>
      </c>
      <c r="EH187" s="268">
        <f t="shared" si="327"/>
        <v>0</v>
      </c>
      <c r="EI187" s="33">
        <f t="shared" si="371"/>
        <v>0</v>
      </c>
      <c r="EJ187" s="33">
        <f t="shared" si="437"/>
        <v>0</v>
      </c>
      <c r="EK187" s="33">
        <f t="shared" si="445"/>
        <v>0</v>
      </c>
      <c r="EL187" s="33">
        <f>IF(ER186&lt;0.01,0,IF(Plus!$F$22=Plus!$AN$4,0,IF(Plus!$F$22=Plus!$AN$3,ER186*Plus!$F$23/1000,ER186*VLOOKUP(Plus!$G$21,Plus!$AP$2:'Plus'!$AQ$5,2,0))))</f>
        <v>0</v>
      </c>
      <c r="EM187" s="33">
        <f>IF(ER186&lt;0.01,0,IF(Plus!$F$24=Plus!$AO$3,0,IF(OR(Plus!$F$10=Plus!$AK$7,Plus!$F$10=Plus!$AK$13),0,Plus!$G$13*Plus!$AR$2)))</f>
        <v>0</v>
      </c>
      <c r="EN187" s="33">
        <f>IF(ER186&lt;0.01,0,IF(OR(Plus!$F$10=Plus!$AK$7,Plus!$F$10=Plus!$AK$13),0,Plus!$BD$2*1.16))</f>
        <v>0</v>
      </c>
      <c r="EO187" s="33">
        <f>IF(ER186&lt;0.01,0,IF(Plus!$AS$2&gt;0,EI187*Plus!$AS$3,0))</f>
        <v>0</v>
      </c>
      <c r="EP187" s="33">
        <f t="shared" si="372"/>
        <v>0</v>
      </c>
      <c r="EQ187" s="33">
        <f>IF(Plus!$F$10=Plus!$AK$3,MIN(ER186+EI187+EL187+EM187+EN187-EP187,FC187),0)</f>
        <v>0</v>
      </c>
      <c r="ER187" s="311">
        <f t="shared" si="431"/>
        <v>0</v>
      </c>
      <c r="ES187" s="340">
        <f>Plus!O228</f>
        <v>0</v>
      </c>
      <c r="ET187" s="74"/>
      <c r="EU187" s="74"/>
      <c r="EV187" s="416">
        <f t="shared" si="429"/>
        <v>0</v>
      </c>
      <c r="EY187" s="90">
        <f t="shared" si="373"/>
        <v>7</v>
      </c>
      <c r="EZ187" s="121">
        <f t="shared" si="415"/>
        <v>0</v>
      </c>
      <c r="FB187" s="149">
        <f t="shared" si="416"/>
        <v>0</v>
      </c>
      <c r="FC187" s="2179">
        <f t="shared" ca="1" si="374"/>
        <v>0</v>
      </c>
      <c r="FE187" s="120">
        <f t="shared" si="417"/>
        <v>0</v>
      </c>
      <c r="FF187" s="110">
        <f t="shared" si="375"/>
        <v>0</v>
      </c>
      <c r="FG187" s="110">
        <f t="shared" si="376"/>
        <v>0</v>
      </c>
      <c r="FH187" s="109">
        <f t="shared" si="377"/>
        <v>0</v>
      </c>
      <c r="FI187" s="109">
        <f t="shared" si="328"/>
        <v>0</v>
      </c>
      <c r="FJ187" s="113">
        <f t="shared" si="378"/>
        <v>0</v>
      </c>
      <c r="FL187" s="102">
        <f t="shared" si="379"/>
        <v>0</v>
      </c>
      <c r="FM187" s="211">
        <f t="shared" si="424"/>
        <v>163</v>
      </c>
      <c r="FN187" s="212">
        <f t="shared" si="380"/>
        <v>0</v>
      </c>
      <c r="FO187" s="212">
        <f t="shared" si="329"/>
        <v>0</v>
      </c>
      <c r="FP187" s="212">
        <f t="shared" si="446"/>
        <v>0</v>
      </c>
      <c r="FQ187" s="213">
        <f t="shared" si="330"/>
        <v>1000000</v>
      </c>
      <c r="FV187" s="359"/>
      <c r="FX187" s="308">
        <f t="shared" ca="1" si="331"/>
        <v>10</v>
      </c>
      <c r="FY187" s="309">
        <f t="shared" si="381"/>
        <v>0</v>
      </c>
      <c r="FZ187" s="268">
        <f t="shared" si="332"/>
        <v>0</v>
      </c>
      <c r="GA187" s="33">
        <f t="shared" si="382"/>
        <v>0</v>
      </c>
      <c r="GB187" s="33">
        <f t="shared" si="438"/>
        <v>0</v>
      </c>
      <c r="GC187" s="33">
        <f t="shared" si="439"/>
        <v>0</v>
      </c>
      <c r="GD187" s="33">
        <f>IF(GJ186&lt;0.01,0,IF(Plus!$F$22=Plus!$AN$4,0,IF(Plus!$F$22=Plus!$AN$3,GJ186*Plus!$F$23/1000,GJ186*VLOOKUP(Plus!$G$21,Plus!$AP$2:$AQ$5,2,0))))</f>
        <v>0</v>
      </c>
      <c r="GE187" s="33">
        <f>IF(GJ186&lt;0.01,0,IF(Plus!$F$24=Plus!$AO$3,0,IF(OR(Plus!$F$10=Plus!$AK$7,Plus!$F$10=Plus!$AK$13,Plus!$F$10=Plus!$AK$14),0,IF(OR(Plus!$F$10=Plus!$AK$10,Plus!$F$10=Plus!$AK$11),Plus!$G$13*Adm!$W$7,Plus!$G$13*Adm!$X$4))))</f>
        <v>0</v>
      </c>
      <c r="GF187" s="33">
        <f>IF(GJ186&lt;0.01,0,IF(OR(Plus!$F$10=Plus!$AK$7,Plus!$F$10=Plus!$AK$13),0,Plus!$BD$2*1.16))</f>
        <v>0</v>
      </c>
      <c r="GG187" s="33">
        <f>IF(GJ186&lt;0.01,0,IF(Plus!$AS$2&gt;0,GA187*Plus!$AS$3,0))</f>
        <v>0</v>
      </c>
      <c r="GH187" s="33">
        <f t="shared" si="383"/>
        <v>0</v>
      </c>
      <c r="GI187" s="33">
        <f>IF(Plus!$F$10=Plus!$AK$3,MIN(GJ186+GA187+GD187+GE187+GF187-GH187,GU187),0)</f>
        <v>0</v>
      </c>
      <c r="GJ187" s="311">
        <f t="shared" si="432"/>
        <v>0</v>
      </c>
      <c r="GK187" s="340">
        <f>Plus!O228</f>
        <v>0</v>
      </c>
      <c r="GL187" s="74"/>
      <c r="GM187" s="74"/>
      <c r="GN187" s="419">
        <f t="shared" si="430"/>
        <v>0</v>
      </c>
      <c r="GQ187" s="90">
        <f t="shared" si="384"/>
        <v>7</v>
      </c>
      <c r="GR187" s="121">
        <f t="shared" si="418"/>
        <v>0</v>
      </c>
      <c r="GT187" s="149">
        <f t="shared" si="419"/>
        <v>0</v>
      </c>
      <c r="GU187" s="2179">
        <f t="shared" ca="1" si="385"/>
        <v>0</v>
      </c>
      <c r="GW187" s="120">
        <f t="shared" si="420"/>
        <v>0</v>
      </c>
      <c r="GX187" s="110">
        <f t="shared" si="386"/>
        <v>0</v>
      </c>
      <c r="GY187" s="110">
        <f t="shared" si="387"/>
        <v>0</v>
      </c>
      <c r="GZ187" s="109">
        <f t="shared" si="388"/>
        <v>0</v>
      </c>
      <c r="HA187" s="109">
        <f t="shared" si="333"/>
        <v>0</v>
      </c>
      <c r="HB187" s="113">
        <f t="shared" si="389"/>
        <v>0</v>
      </c>
      <c r="HD187" s="102">
        <f t="shared" si="390"/>
        <v>0</v>
      </c>
      <c r="HE187" s="211">
        <f t="shared" si="425"/>
        <v>163</v>
      </c>
      <c r="HF187" s="212">
        <f t="shared" si="391"/>
        <v>0</v>
      </c>
      <c r="HG187" s="212">
        <f t="shared" si="334"/>
        <v>0</v>
      </c>
      <c r="HH187" s="212">
        <f t="shared" si="447"/>
        <v>0</v>
      </c>
      <c r="HI187" s="213">
        <f t="shared" si="335"/>
        <v>1000000</v>
      </c>
      <c r="HL187" s="182"/>
      <c r="HM187" s="26">
        <f t="shared" ca="1" si="336"/>
        <v>10</v>
      </c>
      <c r="HO187" s="268">
        <f t="shared" si="337"/>
        <v>0</v>
      </c>
      <c r="HP187" s="151">
        <f t="shared" si="302"/>
        <v>0</v>
      </c>
      <c r="HQ187" s="123">
        <f t="shared" si="392"/>
        <v>0</v>
      </c>
      <c r="HR187" s="123">
        <f t="shared" si="393"/>
        <v>0</v>
      </c>
      <c r="HS187" s="123">
        <f t="shared" si="394"/>
        <v>0</v>
      </c>
      <c r="HT187" s="123">
        <f>IF(HY186&lt;0.01,0,IF(Adm!$GS$4=Adm!$GS$8,HY186*$HY$15,IF(Adm!$GS$12=Adm!$GS$13,0,HY186*Adm!$GV$4)))</f>
        <v>0</v>
      </c>
      <c r="HU187" s="123">
        <f>IF(HY186&lt;0.01,0,IF(Adm!$GS$5=Adm!$GS$8,Cal!$BO$108*$HY$16/1.16,IF(Adm!$GS$12=Adm!$GS$13,0,Cal!$BO$108*Adm!$GW$4/1.16)))</f>
        <v>0</v>
      </c>
      <c r="HV187" s="123">
        <f t="shared" si="395"/>
        <v>0</v>
      </c>
      <c r="HW187" s="123">
        <f t="shared" si="338"/>
        <v>0</v>
      </c>
      <c r="HX187" s="123">
        <f>IF(Adm!$GH$6="si",MIN(HY186+HQ187+HT187+HU187+HV187-HW187,IH187),0)</f>
        <v>0</v>
      </c>
      <c r="HY187" s="297">
        <f t="shared" si="396"/>
        <v>0</v>
      </c>
      <c r="HZ187" s="74"/>
      <c r="IA187" s="407">
        <f t="shared" si="397"/>
        <v>0</v>
      </c>
      <c r="IC187" s="90">
        <f t="shared" si="398"/>
        <v>7</v>
      </c>
      <c r="ID187" s="124">
        <f>IF(IC187=1,Cal!$BO$127,0)</f>
        <v>0</v>
      </c>
      <c r="IE187" s="178">
        <f>IF(IC187=1,Adm!$HI$4,0)</f>
        <v>0</v>
      </c>
      <c r="IG187" s="70">
        <f t="shared" si="421"/>
        <v>0</v>
      </c>
      <c r="IH187" s="2178">
        <f t="shared" ca="1" si="399"/>
        <v>0</v>
      </c>
      <c r="IK187" s="217"/>
      <c r="IL187" s="26">
        <f t="shared" ca="1" si="339"/>
        <v>10</v>
      </c>
      <c r="IN187" s="268">
        <f t="shared" si="340"/>
        <v>0</v>
      </c>
      <c r="IO187" s="151">
        <f t="shared" si="303"/>
        <v>0</v>
      </c>
      <c r="IP187" s="123">
        <f t="shared" si="400"/>
        <v>0</v>
      </c>
      <c r="IQ187" s="123">
        <f t="shared" si="401"/>
        <v>0</v>
      </c>
      <c r="IR187" s="123">
        <f t="shared" si="402"/>
        <v>0</v>
      </c>
      <c r="IS187" s="123">
        <f>IF(IX186&lt;0.01,0,IF(Adm!$GS$4=Adm!$GS$8,IX186*$IX$15,IF(Adm!$GS$12=Adm!$GS$13,0,IX186*Adm!$GV$4)))</f>
        <v>0</v>
      </c>
      <c r="IT187" s="123"/>
      <c r="IU187" s="123">
        <f t="shared" si="403"/>
        <v>0</v>
      </c>
      <c r="IV187" s="123">
        <f t="shared" si="404"/>
        <v>0</v>
      </c>
      <c r="IW187" s="123"/>
      <c r="IX187" s="297">
        <f t="shared" si="405"/>
        <v>0</v>
      </c>
      <c r="IY187" s="74"/>
      <c r="IZ187" s="416">
        <f t="shared" si="406"/>
        <v>0</v>
      </c>
      <c r="JB187" s="90">
        <f t="shared" si="407"/>
        <v>7</v>
      </c>
      <c r="JC187" s="124">
        <f>IF(JB187=1,Cal!$BP$127,0)</f>
        <v>0</v>
      </c>
      <c r="JD187" s="178">
        <f>IF(JB187=1,Adm!$HI$4,0)</f>
        <v>0</v>
      </c>
    </row>
    <row r="188" spans="1:264">
      <c r="A188" s="26">
        <f t="shared" ca="1" si="308"/>
        <v>11</v>
      </c>
      <c r="C188" s="33">
        <f t="shared" si="309"/>
        <v>0</v>
      </c>
      <c r="D188" s="123">
        <f t="shared" si="341"/>
        <v>0</v>
      </c>
      <c r="E188" s="123">
        <f t="shared" si="433"/>
        <v>0</v>
      </c>
      <c r="F188" s="123">
        <f t="shared" si="443"/>
        <v>0</v>
      </c>
      <c r="G188" s="123">
        <f>IF(L187&lt;0.01,0,IF(Adm!$S$4=Adm!$S$8,L187*$L$15,L187*Adm!$V$4))</f>
        <v>0</v>
      </c>
      <c r="H188" s="123">
        <f>IF(L187&lt;0.01,0,IF(Adm!$S$5=Adm!$S$8,Adm!$AA$11*$L$16/1.16,IF(Adm!$B$4=Adm!$A$119,0,Adm!$AA$11*Adm!$X$4/1.16)))</f>
        <v>0</v>
      </c>
      <c r="I188" s="123">
        <f>IF(L187&lt;0.01,0,Cal!$AB$126/1.16)</f>
        <v>0</v>
      </c>
      <c r="J188" s="123">
        <f t="shared" si="310"/>
        <v>0</v>
      </c>
      <c r="K188" s="123">
        <f>IF(Adm!$G$4="si",MIN(L187+D188+G188+H188+I188-J188,V188),0)</f>
        <v>0</v>
      </c>
      <c r="L188" s="123">
        <f t="shared" si="342"/>
        <v>0</v>
      </c>
      <c r="M188" s="74"/>
      <c r="N188" s="74"/>
      <c r="O188" s="407">
        <f t="shared" si="343"/>
        <v>0</v>
      </c>
      <c r="R188" s="90">
        <f t="shared" si="344"/>
        <v>8</v>
      </c>
      <c r="S188" s="121">
        <f>IF(R188=1,Cal!$AB$127,0)</f>
        <v>0</v>
      </c>
      <c r="U188" s="70">
        <f t="shared" si="408"/>
        <v>0</v>
      </c>
      <c r="V188" s="2178">
        <f t="shared" ca="1" si="345"/>
        <v>0</v>
      </c>
      <c r="X188" s="398"/>
      <c r="Z188" s="268">
        <f t="shared" si="311"/>
        <v>0</v>
      </c>
      <c r="AA188" s="2176">
        <f t="shared" si="346"/>
        <v>0</v>
      </c>
      <c r="AB188" s="33">
        <f t="shared" si="347"/>
        <v>0</v>
      </c>
      <c r="AC188" s="33">
        <f t="shared" si="348"/>
        <v>0</v>
      </c>
      <c r="AD188" s="33">
        <f>IF(AI187&lt;0.01,0,IF(Adm!$S$4=Adm!$S$8,AI187*$AI$15,AI187*Adm!$V$4))</f>
        <v>0</v>
      </c>
      <c r="AE188" s="33"/>
      <c r="AF188" s="33"/>
      <c r="AG188" s="33">
        <f t="shared" si="312"/>
        <v>0</v>
      </c>
      <c r="AH188" s="33"/>
      <c r="AI188" s="401">
        <f t="shared" si="313"/>
        <v>0</v>
      </c>
      <c r="AK188" s="410">
        <f t="shared" si="314"/>
        <v>0</v>
      </c>
      <c r="AN188" s="90">
        <f t="shared" si="349"/>
        <v>8</v>
      </c>
      <c r="AO188" s="121">
        <f>IF(AN188=1,Cal!$AC$127,0)</f>
        <v>0</v>
      </c>
      <c r="AS188" s="200"/>
      <c r="AU188" s="268">
        <f t="shared" si="315"/>
        <v>0</v>
      </c>
      <c r="AV188" s="2177">
        <f t="shared" si="350"/>
        <v>0</v>
      </c>
      <c r="AW188" s="123">
        <f t="shared" si="316"/>
        <v>0</v>
      </c>
      <c r="AX188" s="123">
        <f t="shared" si="351"/>
        <v>0</v>
      </c>
      <c r="AY188" s="123">
        <f>IF(BC187&lt;0.01,0,IF(Adm!$S$4=Adm!$S$8,BC187*$BC$16,BC187*Adm!$V$4))</f>
        <v>0</v>
      </c>
      <c r="AZ188" s="123"/>
      <c r="BA188" s="123">
        <f>IF(BC187&lt;0.01,0,Adm!$Q$6)</f>
        <v>0</v>
      </c>
      <c r="BB188" s="123">
        <f t="shared" si="317"/>
        <v>0</v>
      </c>
      <c r="BC188" s="297">
        <f t="shared" si="352"/>
        <v>0</v>
      </c>
      <c r="BE188" s="425">
        <f t="shared" si="318"/>
        <v>0</v>
      </c>
      <c r="BH188" s="90">
        <f t="shared" si="353"/>
        <v>8</v>
      </c>
      <c r="BI188" s="121">
        <f>IF(BH188=1,Cal!$AD$127,0)</f>
        <v>0</v>
      </c>
      <c r="BM188" s="221"/>
      <c r="BO188" s="295">
        <f t="shared" ca="1" si="319"/>
        <v>11</v>
      </c>
      <c r="BP188" s="268">
        <f t="shared" si="320"/>
        <v>0</v>
      </c>
      <c r="BQ188" s="123">
        <f t="shared" si="354"/>
        <v>0</v>
      </c>
      <c r="BR188" s="123">
        <f t="shared" si="434"/>
        <v>0</v>
      </c>
      <c r="BS188" s="123">
        <f t="shared" si="444"/>
        <v>0</v>
      </c>
      <c r="BT188" s="123">
        <f>IF(BZ187&lt;0.01,0,IF(Plus!$F$22=Plus!$AN$4,BZ187*$BZ$15,IF(Plus!$F$22=Plus!$AN$3,BZ187*Plus!$F$23/1000,BZ187*VLOOKUP(Plus!$G$21,Plus!$AP$2:'Plus'!$AQ$5,2,0))))</f>
        <v>0</v>
      </c>
      <c r="BU188" s="123">
        <f>IF(BZ187&lt;0.01,0,IF(Plus!$F$24=Plus!$AO$3,Plus!$G$13*Plus!$AR$2/1.16,IF(Plus!$F$10=Plus!$AK$7,0,Plus!$G$13*Plus!$AR$2/1.16)))</f>
        <v>0</v>
      </c>
      <c r="BV188" s="123">
        <f>IF(BZ187&lt;0.01,0,Plus!$BD$2)</f>
        <v>0</v>
      </c>
      <c r="BW188" s="123"/>
      <c r="BX188" s="123">
        <f t="shared" si="321"/>
        <v>0</v>
      </c>
      <c r="BY188" s="123">
        <f>IF(Plus!$F$10=Plus!$AK$3,MIN(BZ187+BQ188+BT188+BU188+BV188-BX188,CJ188),0)</f>
        <v>0</v>
      </c>
      <c r="BZ188" s="297">
        <f t="shared" si="428"/>
        <v>0</v>
      </c>
      <c r="CA188" s="74"/>
      <c r="CB188" s="74"/>
      <c r="CC188" s="413">
        <f t="shared" si="355"/>
        <v>0</v>
      </c>
      <c r="CF188" s="90">
        <f t="shared" si="356"/>
        <v>8</v>
      </c>
      <c r="CG188" s="121">
        <f t="shared" si="409"/>
        <v>0</v>
      </c>
      <c r="CI188" s="70">
        <f t="shared" si="410"/>
        <v>0</v>
      </c>
      <c r="CJ188" s="2178">
        <f t="shared" ca="1" si="357"/>
        <v>0</v>
      </c>
      <c r="CL188" s="161"/>
      <c r="CN188" s="308">
        <f t="shared" ca="1" si="322"/>
        <v>11</v>
      </c>
      <c r="CO188" s="309">
        <f t="shared" si="358"/>
        <v>0</v>
      </c>
      <c r="CP188" s="268">
        <f t="shared" si="323"/>
        <v>0</v>
      </c>
      <c r="CQ188" s="123">
        <f t="shared" si="359"/>
        <v>0</v>
      </c>
      <c r="CR188" s="123">
        <f t="shared" si="435"/>
        <v>0</v>
      </c>
      <c r="CS188" s="123">
        <f t="shared" si="436"/>
        <v>0</v>
      </c>
      <c r="CT188" s="33">
        <f>IF(CZ187&lt;0.01,0,IF(Plus!$F$22=Plus!$AN$4,0,IF(Plus!$F$22=Plus!$AN$3,CZ187*Plus!$F$23/1000,CZ187*VLOOKUP(Plus!$G$21,Plus!$AP$2:'Plus'!$AQ$5,2,0))))</f>
        <v>0</v>
      </c>
      <c r="CU188" s="123">
        <f>IF(CZ187&lt;0.01,0,IF(Plus!$F$24=Plus!$AO$3,0,IF(OR(Plus!$F$10=Plus!$AK$7,Plus!$F$10=Plus!$AK$13),0,Plus!$G$13*Plus!$AR$2)))</f>
        <v>0</v>
      </c>
      <c r="CV188" s="123">
        <f>IF(CZ187&lt;0.01,0,IF(OR(Plus!$F$10=Plus!$AK$7,Plus!$F$10=Plus!$AK$13),0,Plus!$BD$2*1.16))</f>
        <v>0</v>
      </c>
      <c r="CW188" s="123">
        <f>IF(CZ187&lt;0.01,0,IF(Plus!$AS$2&gt;0,CQ188*Plus!$AS$3,0))</f>
        <v>0</v>
      </c>
      <c r="CX188" s="123">
        <f t="shared" si="360"/>
        <v>0</v>
      </c>
      <c r="CY188" s="123">
        <f>IF(Plus!$F$10=Plus!$AK$3,MIN(CZ187+CQ188+CT188+CU188+CV188-CX188,DK188),0)</f>
        <v>0</v>
      </c>
      <c r="CZ188" s="297">
        <f t="shared" si="440"/>
        <v>0</v>
      </c>
      <c r="DA188" s="306">
        <f>Plus!O229</f>
        <v>0</v>
      </c>
      <c r="DB188" s="74"/>
      <c r="DC188" s="74"/>
      <c r="DD188" s="407">
        <f t="shared" si="361"/>
        <v>0</v>
      </c>
      <c r="DG188" s="90">
        <f t="shared" si="362"/>
        <v>8</v>
      </c>
      <c r="DH188" s="121">
        <f t="shared" si="411"/>
        <v>0</v>
      </c>
      <c r="DJ188" s="149">
        <f t="shared" si="412"/>
        <v>0</v>
      </c>
      <c r="DK188" s="2179">
        <f t="shared" ca="1" si="363"/>
        <v>0</v>
      </c>
      <c r="DN188" s="120">
        <f t="shared" si="413"/>
        <v>0</v>
      </c>
      <c r="DO188" s="110">
        <f t="shared" si="364"/>
        <v>0</v>
      </c>
      <c r="DP188" s="110">
        <f t="shared" si="422"/>
        <v>0</v>
      </c>
      <c r="DQ188" s="109">
        <f t="shared" si="365"/>
        <v>0</v>
      </c>
      <c r="DR188" s="109">
        <f t="shared" si="366"/>
        <v>0</v>
      </c>
      <c r="DS188" s="113">
        <f t="shared" si="367"/>
        <v>0</v>
      </c>
      <c r="DU188" s="102">
        <f t="shared" si="368"/>
        <v>0</v>
      </c>
      <c r="DV188" s="211">
        <f t="shared" si="423"/>
        <v>164</v>
      </c>
      <c r="DW188" s="212">
        <f t="shared" si="369"/>
        <v>0</v>
      </c>
      <c r="DX188" s="212">
        <f t="shared" si="324"/>
        <v>0</v>
      </c>
      <c r="DY188" s="212">
        <f t="shared" si="414"/>
        <v>0</v>
      </c>
      <c r="DZ188" s="213">
        <f t="shared" si="325"/>
        <v>1000000</v>
      </c>
      <c r="ED188" s="182"/>
      <c r="EF188" s="308">
        <f t="shared" ca="1" si="326"/>
        <v>11</v>
      </c>
      <c r="EG188" s="309">
        <f t="shared" si="370"/>
        <v>0</v>
      </c>
      <c r="EH188" s="268">
        <f t="shared" si="327"/>
        <v>0</v>
      </c>
      <c r="EI188" s="33">
        <f t="shared" si="371"/>
        <v>0</v>
      </c>
      <c r="EJ188" s="33">
        <f t="shared" si="437"/>
        <v>0</v>
      </c>
      <c r="EK188" s="33">
        <f t="shared" si="445"/>
        <v>0</v>
      </c>
      <c r="EL188" s="33">
        <f>IF(ER187&lt;0.01,0,IF(Plus!$F$22=Plus!$AN$4,0,IF(Plus!$F$22=Plus!$AN$3,ER187*Plus!$F$23/1000,ER187*VLOOKUP(Plus!$G$21,Plus!$AP$2:'Plus'!$AQ$5,2,0))))</f>
        <v>0</v>
      </c>
      <c r="EM188" s="33">
        <f>IF(ER187&lt;0.01,0,IF(Plus!$F$24=Plus!$AO$3,0,IF(OR(Plus!$F$10=Plus!$AK$7,Plus!$F$10=Plus!$AK$13),0,Plus!$G$13*Plus!$AR$2)))</f>
        <v>0</v>
      </c>
      <c r="EN188" s="33">
        <f>IF(ER187&lt;0.01,0,IF(OR(Plus!$F$10=Plus!$AK$7,Plus!$F$10=Plus!$AK$13),0,Plus!$BD$2*1.16))</f>
        <v>0</v>
      </c>
      <c r="EO188" s="33">
        <f>IF(ER187&lt;0.01,0,IF(Plus!$AS$2&gt;0,EI188*Plus!$AS$3,0))</f>
        <v>0</v>
      </c>
      <c r="EP188" s="33">
        <f t="shared" si="372"/>
        <v>0</v>
      </c>
      <c r="EQ188" s="33">
        <f>IF(Plus!$F$10=Plus!$AK$3,MIN(ER187+EI188+EL188+EM188+EN188-EP188,FC188),0)</f>
        <v>0</v>
      </c>
      <c r="ER188" s="311">
        <f t="shared" si="431"/>
        <v>0</v>
      </c>
      <c r="ES188" s="340">
        <f>Plus!O229</f>
        <v>0</v>
      </c>
      <c r="ET188" s="74"/>
      <c r="EU188" s="74"/>
      <c r="EV188" s="416">
        <f t="shared" si="429"/>
        <v>0</v>
      </c>
      <c r="EY188" s="90">
        <f t="shared" si="373"/>
        <v>8</v>
      </c>
      <c r="EZ188" s="121">
        <f t="shared" si="415"/>
        <v>0</v>
      </c>
      <c r="FB188" s="149">
        <f t="shared" si="416"/>
        <v>0</v>
      </c>
      <c r="FC188" s="2179">
        <f t="shared" ca="1" si="374"/>
        <v>0</v>
      </c>
      <c r="FE188" s="120">
        <f t="shared" si="417"/>
        <v>0</v>
      </c>
      <c r="FF188" s="110">
        <f t="shared" si="375"/>
        <v>0</v>
      </c>
      <c r="FG188" s="110">
        <f t="shared" si="376"/>
        <v>0</v>
      </c>
      <c r="FH188" s="109">
        <f t="shared" si="377"/>
        <v>0</v>
      </c>
      <c r="FI188" s="109">
        <f t="shared" si="328"/>
        <v>0</v>
      </c>
      <c r="FJ188" s="113">
        <f t="shared" si="378"/>
        <v>0</v>
      </c>
      <c r="FL188" s="102">
        <f t="shared" si="379"/>
        <v>0</v>
      </c>
      <c r="FM188" s="211">
        <f t="shared" si="424"/>
        <v>164</v>
      </c>
      <c r="FN188" s="212">
        <f t="shared" si="380"/>
        <v>0</v>
      </c>
      <c r="FO188" s="212">
        <f t="shared" si="329"/>
        <v>0</v>
      </c>
      <c r="FP188" s="212">
        <f t="shared" si="446"/>
        <v>0</v>
      </c>
      <c r="FQ188" s="213">
        <f t="shared" si="330"/>
        <v>1000000</v>
      </c>
      <c r="FV188" s="359"/>
      <c r="FX188" s="308">
        <f t="shared" ca="1" si="331"/>
        <v>11</v>
      </c>
      <c r="FY188" s="309">
        <f t="shared" si="381"/>
        <v>0</v>
      </c>
      <c r="FZ188" s="268">
        <f t="shared" si="332"/>
        <v>0</v>
      </c>
      <c r="GA188" s="33">
        <f t="shared" si="382"/>
        <v>0</v>
      </c>
      <c r="GB188" s="33">
        <f t="shared" si="438"/>
        <v>0</v>
      </c>
      <c r="GC188" s="33">
        <f t="shared" si="439"/>
        <v>0</v>
      </c>
      <c r="GD188" s="33">
        <f>IF(GJ187&lt;0.01,0,IF(Plus!$F$22=Plus!$AN$4,0,IF(Plus!$F$22=Plus!$AN$3,GJ187*Plus!$F$23/1000,GJ187*VLOOKUP(Plus!$G$21,Plus!$AP$2:$AQ$5,2,0))))</f>
        <v>0</v>
      </c>
      <c r="GE188" s="33">
        <f>IF(GJ187&lt;0.01,0,IF(Plus!$F$24=Plus!$AO$3,0,IF(OR(Plus!$F$10=Plus!$AK$7,Plus!$F$10=Plus!$AK$13,Plus!$F$10=Plus!$AK$14),0,IF(OR(Plus!$F$10=Plus!$AK$10,Plus!$F$10=Plus!$AK$11),Plus!$G$13*Adm!$W$7,Plus!$G$13*Adm!$X$4))))</f>
        <v>0</v>
      </c>
      <c r="GF188" s="33">
        <f>IF(GJ187&lt;0.01,0,IF(OR(Plus!$F$10=Plus!$AK$7,Plus!$F$10=Plus!$AK$13),0,Plus!$BD$2*1.16))</f>
        <v>0</v>
      </c>
      <c r="GG188" s="33">
        <f>IF(GJ187&lt;0.01,0,IF(Plus!$AS$2&gt;0,GA188*Plus!$AS$3,0))</f>
        <v>0</v>
      </c>
      <c r="GH188" s="33">
        <f t="shared" si="383"/>
        <v>0</v>
      </c>
      <c r="GI188" s="33">
        <f>IF(Plus!$F$10=Plus!$AK$3,MIN(GJ187+GA188+GD188+GE188+GF188-GH188,GU188),0)</f>
        <v>0</v>
      </c>
      <c r="GJ188" s="311">
        <f t="shared" si="432"/>
        <v>0</v>
      </c>
      <c r="GK188" s="340">
        <f>Plus!O229</f>
        <v>0</v>
      </c>
      <c r="GL188" s="74"/>
      <c r="GM188" s="74"/>
      <c r="GN188" s="419">
        <f t="shared" si="430"/>
        <v>0</v>
      </c>
      <c r="GQ188" s="90">
        <f t="shared" si="384"/>
        <v>8</v>
      </c>
      <c r="GR188" s="121">
        <f t="shared" si="418"/>
        <v>0</v>
      </c>
      <c r="GT188" s="149">
        <f t="shared" si="419"/>
        <v>0</v>
      </c>
      <c r="GU188" s="2179">
        <f t="shared" ca="1" si="385"/>
        <v>0</v>
      </c>
      <c r="GW188" s="120">
        <f t="shared" si="420"/>
        <v>0</v>
      </c>
      <c r="GX188" s="110">
        <f t="shared" si="386"/>
        <v>0</v>
      </c>
      <c r="GY188" s="110">
        <f t="shared" si="387"/>
        <v>0</v>
      </c>
      <c r="GZ188" s="109">
        <f t="shared" si="388"/>
        <v>0</v>
      </c>
      <c r="HA188" s="109">
        <f t="shared" si="333"/>
        <v>0</v>
      </c>
      <c r="HB188" s="113">
        <f t="shared" si="389"/>
        <v>0</v>
      </c>
      <c r="HD188" s="102">
        <f t="shared" si="390"/>
        <v>0</v>
      </c>
      <c r="HE188" s="211">
        <f t="shared" si="425"/>
        <v>164</v>
      </c>
      <c r="HF188" s="212">
        <f t="shared" si="391"/>
        <v>0</v>
      </c>
      <c r="HG188" s="212">
        <f t="shared" si="334"/>
        <v>0</v>
      </c>
      <c r="HH188" s="212">
        <f t="shared" si="447"/>
        <v>0</v>
      </c>
      <c r="HI188" s="213">
        <f t="shared" si="335"/>
        <v>1000000</v>
      </c>
      <c r="HL188" s="182"/>
      <c r="HM188" s="26">
        <f t="shared" ca="1" si="336"/>
        <v>11</v>
      </c>
      <c r="HO188" s="268">
        <f t="shared" si="337"/>
        <v>0</v>
      </c>
      <c r="HP188" s="151">
        <f t="shared" si="302"/>
        <v>0</v>
      </c>
      <c r="HQ188" s="123">
        <f t="shared" si="392"/>
        <v>0</v>
      </c>
      <c r="HR188" s="123">
        <f t="shared" si="393"/>
        <v>0</v>
      </c>
      <c r="HS188" s="123">
        <f t="shared" si="394"/>
        <v>0</v>
      </c>
      <c r="HT188" s="123">
        <f>IF(HY187&lt;0.01,0,IF(Adm!$GS$4=Adm!$GS$8,HY187*$HY$15,IF(Adm!$GS$12=Adm!$GS$13,0,HY187*Adm!$GV$4)))</f>
        <v>0</v>
      </c>
      <c r="HU188" s="123">
        <f>IF(HY187&lt;0.01,0,IF(Adm!$GS$5=Adm!$GS$8,Cal!$BO$108*$HY$16/1.16,IF(Adm!$GS$12=Adm!$GS$13,0,Cal!$BO$108*Adm!$GW$4/1.16)))</f>
        <v>0</v>
      </c>
      <c r="HV188" s="123">
        <f t="shared" si="395"/>
        <v>0</v>
      </c>
      <c r="HW188" s="123">
        <f t="shared" si="338"/>
        <v>0</v>
      </c>
      <c r="HX188" s="123">
        <f>IF(Adm!$GH$6="si",MIN(HY187+HQ188+HT188+HU188+HV188-HW188,IH188),0)</f>
        <v>0</v>
      </c>
      <c r="HY188" s="297">
        <f t="shared" si="396"/>
        <v>0</v>
      </c>
      <c r="HZ188" s="74"/>
      <c r="IA188" s="407">
        <f t="shared" si="397"/>
        <v>0</v>
      </c>
      <c r="IC188" s="90">
        <f t="shared" si="398"/>
        <v>8</v>
      </c>
      <c r="ID188" s="124">
        <f>IF(IC188=1,Cal!$BO$127,0)</f>
        <v>0</v>
      </c>
      <c r="IE188" s="178">
        <f>IF(IC188=1,Adm!$HI$4,0)</f>
        <v>0</v>
      </c>
      <c r="IG188" s="70">
        <f t="shared" si="421"/>
        <v>0</v>
      </c>
      <c r="IH188" s="2178">
        <f t="shared" ca="1" si="399"/>
        <v>0</v>
      </c>
      <c r="IK188" s="217"/>
      <c r="IL188" s="26">
        <f t="shared" ca="1" si="339"/>
        <v>11</v>
      </c>
      <c r="IN188" s="268">
        <f t="shared" si="340"/>
        <v>0</v>
      </c>
      <c r="IO188" s="151">
        <f t="shared" si="303"/>
        <v>0</v>
      </c>
      <c r="IP188" s="123">
        <f t="shared" si="400"/>
        <v>0</v>
      </c>
      <c r="IQ188" s="123">
        <f t="shared" si="401"/>
        <v>0</v>
      </c>
      <c r="IR188" s="123">
        <f t="shared" si="402"/>
        <v>0</v>
      </c>
      <c r="IS188" s="123">
        <f>IF(IX187&lt;0.01,0,IF(Adm!$GS$4=Adm!$GS$8,IX187*$IX$15,IF(Adm!$GS$12=Adm!$GS$13,0,IX187*Adm!$GV$4)))</f>
        <v>0</v>
      </c>
      <c r="IT188" s="123"/>
      <c r="IU188" s="123">
        <f t="shared" si="403"/>
        <v>0</v>
      </c>
      <c r="IV188" s="123">
        <f t="shared" si="404"/>
        <v>0</v>
      </c>
      <c r="IW188" s="123"/>
      <c r="IX188" s="297">
        <f t="shared" si="405"/>
        <v>0</v>
      </c>
      <c r="IY188" s="74"/>
      <c r="IZ188" s="416">
        <f t="shared" si="406"/>
        <v>0</v>
      </c>
      <c r="JB188" s="90">
        <f t="shared" si="407"/>
        <v>8</v>
      </c>
      <c r="JC188" s="124">
        <f>IF(JB188=1,Cal!$BP$127,0)</f>
        <v>0</v>
      </c>
      <c r="JD188" s="178">
        <f>IF(JB188=1,Adm!$HI$4,0)</f>
        <v>0</v>
      </c>
    </row>
    <row r="189" spans="1:264">
      <c r="A189" s="26">
        <f t="shared" ca="1" si="308"/>
        <v>12</v>
      </c>
      <c r="C189" s="33">
        <f t="shared" si="309"/>
        <v>0</v>
      </c>
      <c r="D189" s="123">
        <f t="shared" si="341"/>
        <v>0</v>
      </c>
      <c r="E189" s="123">
        <f t="shared" si="433"/>
        <v>0</v>
      </c>
      <c r="F189" s="123">
        <f t="shared" si="443"/>
        <v>0</v>
      </c>
      <c r="G189" s="123">
        <f>IF(L188&lt;0.01,0,IF(Adm!$S$4=Adm!$S$8,L188*$L$15,L188*Adm!$V$4))</f>
        <v>0</v>
      </c>
      <c r="H189" s="123">
        <f>IF(L188&lt;0.01,0,IF(Adm!$S$5=Adm!$S$8,Adm!$AA$11*$L$16/1.16,IF(Adm!$B$4=Adm!$A$119,0,Adm!$AA$11*Adm!$X$4/1.16)))</f>
        <v>0</v>
      </c>
      <c r="I189" s="123">
        <f>IF(L188&lt;0.01,0,Cal!$AB$126/1.16)</f>
        <v>0</v>
      </c>
      <c r="J189" s="123">
        <f t="shared" si="310"/>
        <v>0</v>
      </c>
      <c r="K189" s="123">
        <f>IF(Adm!$G$4="si",MIN(L188+D189+G189+H189+I189-J189,V189),0)</f>
        <v>0</v>
      </c>
      <c r="L189" s="123">
        <f t="shared" si="342"/>
        <v>0</v>
      </c>
      <c r="M189" s="74"/>
      <c r="N189" s="74"/>
      <c r="O189" s="407">
        <f t="shared" si="343"/>
        <v>0</v>
      </c>
      <c r="R189" s="90">
        <f t="shared" si="344"/>
        <v>9</v>
      </c>
      <c r="S189" s="121">
        <f>IF(R189=1,Cal!$AB$127,0)</f>
        <v>0</v>
      </c>
      <c r="U189" s="70">
        <f t="shared" si="408"/>
        <v>0</v>
      </c>
      <c r="V189" s="2178">
        <f t="shared" ca="1" si="345"/>
        <v>0</v>
      </c>
      <c r="X189" s="398"/>
      <c r="Z189" s="268">
        <f t="shared" si="311"/>
        <v>0</v>
      </c>
      <c r="AA189" s="2176">
        <f t="shared" si="346"/>
        <v>0</v>
      </c>
      <c r="AB189" s="33">
        <f t="shared" si="347"/>
        <v>0</v>
      </c>
      <c r="AC189" s="33">
        <f t="shared" si="348"/>
        <v>0</v>
      </c>
      <c r="AD189" s="33">
        <f>IF(AI188&lt;0.01,0,IF(Adm!$S$4=Adm!$S$8,AI188*$AI$15,AI188*Adm!$V$4))</f>
        <v>0</v>
      </c>
      <c r="AE189" s="33"/>
      <c r="AF189" s="33"/>
      <c r="AG189" s="33">
        <f t="shared" si="312"/>
        <v>0</v>
      </c>
      <c r="AH189" s="33"/>
      <c r="AI189" s="401">
        <f t="shared" si="313"/>
        <v>0</v>
      </c>
      <c r="AK189" s="410">
        <f t="shared" si="314"/>
        <v>0</v>
      </c>
      <c r="AN189" s="90">
        <f t="shared" si="349"/>
        <v>9</v>
      </c>
      <c r="AO189" s="121">
        <f>IF(AN189=1,Cal!$AC$127,0)</f>
        <v>0</v>
      </c>
      <c r="AS189" s="200"/>
      <c r="AU189" s="268">
        <f t="shared" si="315"/>
        <v>0</v>
      </c>
      <c r="AV189" s="2177">
        <f t="shared" si="350"/>
        <v>0</v>
      </c>
      <c r="AW189" s="123">
        <f t="shared" si="316"/>
        <v>0</v>
      </c>
      <c r="AX189" s="123">
        <f t="shared" si="351"/>
        <v>0</v>
      </c>
      <c r="AY189" s="123">
        <f>IF(BC188&lt;0.01,0,IF(Adm!$S$4=Adm!$S$8,BC188*$BC$16,BC188*Adm!$V$4))</f>
        <v>0</v>
      </c>
      <c r="AZ189" s="123"/>
      <c r="BA189" s="123">
        <f>IF(BC188&lt;0.01,0,Adm!$Q$6)</f>
        <v>0</v>
      </c>
      <c r="BB189" s="123">
        <f t="shared" si="317"/>
        <v>0</v>
      </c>
      <c r="BC189" s="297">
        <f t="shared" si="352"/>
        <v>0</v>
      </c>
      <c r="BE189" s="425">
        <f t="shared" si="318"/>
        <v>0</v>
      </c>
      <c r="BH189" s="90">
        <f t="shared" si="353"/>
        <v>9</v>
      </c>
      <c r="BI189" s="121">
        <f>IF(BH189=1,Cal!$AD$127,0)</f>
        <v>0</v>
      </c>
      <c r="BM189" s="221"/>
      <c r="BO189" s="295">
        <f t="shared" ca="1" si="319"/>
        <v>12</v>
      </c>
      <c r="BP189" s="268">
        <f t="shared" si="320"/>
        <v>0</v>
      </c>
      <c r="BQ189" s="123">
        <f t="shared" si="354"/>
        <v>0</v>
      </c>
      <c r="BR189" s="123">
        <f t="shared" si="434"/>
        <v>0</v>
      </c>
      <c r="BS189" s="123">
        <f t="shared" si="444"/>
        <v>0</v>
      </c>
      <c r="BT189" s="123">
        <f>IF(BZ188&lt;0.01,0,IF(Plus!$F$22=Plus!$AN$4,BZ188*$BZ$15,IF(Plus!$F$22=Plus!$AN$3,BZ188*Plus!$F$23/1000,BZ188*VLOOKUP(Plus!$G$21,Plus!$AP$2:'Plus'!$AQ$5,2,0))))</f>
        <v>0</v>
      </c>
      <c r="BU189" s="123">
        <f>IF(BZ188&lt;0.01,0,IF(Plus!$F$24=Plus!$AO$3,Plus!$G$13*Plus!$AR$2/1.16,IF(Plus!$F$10=Plus!$AK$7,0,Plus!$G$13*Plus!$AR$2/1.16)))</f>
        <v>0</v>
      </c>
      <c r="BV189" s="123">
        <f>IF(BZ188&lt;0.01,0,Plus!$BD$2)</f>
        <v>0</v>
      </c>
      <c r="BW189" s="123"/>
      <c r="BX189" s="123">
        <f t="shared" si="321"/>
        <v>0</v>
      </c>
      <c r="BY189" s="123">
        <f>IF(Plus!$F$10=Plus!$AK$3,MIN(BZ188+BQ189+BT189+BU189+BV189-BX189,CJ189),0)</f>
        <v>0</v>
      </c>
      <c r="BZ189" s="297">
        <f t="shared" si="428"/>
        <v>0</v>
      </c>
      <c r="CA189" s="74"/>
      <c r="CB189" s="74"/>
      <c r="CC189" s="413">
        <f t="shared" si="355"/>
        <v>0</v>
      </c>
      <c r="CF189" s="90">
        <f t="shared" si="356"/>
        <v>9</v>
      </c>
      <c r="CG189" s="121">
        <f t="shared" si="409"/>
        <v>0</v>
      </c>
      <c r="CI189" s="70">
        <f t="shared" si="410"/>
        <v>0</v>
      </c>
      <c r="CJ189" s="2178">
        <f t="shared" ca="1" si="357"/>
        <v>0</v>
      </c>
      <c r="CL189" s="161"/>
      <c r="CN189" s="308">
        <f t="shared" ca="1" si="322"/>
        <v>12</v>
      </c>
      <c r="CO189" s="309">
        <f t="shared" si="358"/>
        <v>0</v>
      </c>
      <c r="CP189" s="268">
        <f t="shared" si="323"/>
        <v>0</v>
      </c>
      <c r="CQ189" s="123">
        <f t="shared" si="359"/>
        <v>0</v>
      </c>
      <c r="CR189" s="123">
        <f t="shared" si="435"/>
        <v>0</v>
      </c>
      <c r="CS189" s="123">
        <f t="shared" si="436"/>
        <v>0</v>
      </c>
      <c r="CT189" s="33">
        <f>IF(CZ188&lt;0.01,0,IF(Plus!$F$22=Plus!$AN$4,0,IF(Plus!$F$22=Plus!$AN$3,CZ188*Plus!$F$23/1000,CZ188*VLOOKUP(Plus!$G$21,Plus!$AP$2:'Plus'!$AQ$5,2,0))))</f>
        <v>0</v>
      </c>
      <c r="CU189" s="123">
        <f>IF(CZ188&lt;0.01,0,IF(Plus!$F$24=Plus!$AO$3,0,IF(OR(Plus!$F$10=Plus!$AK$7,Plus!$F$10=Plus!$AK$13),0,Plus!$G$13*Plus!$AR$2)))</f>
        <v>0</v>
      </c>
      <c r="CV189" s="123">
        <f>IF(CZ188&lt;0.01,0,IF(OR(Plus!$F$10=Plus!$AK$7,Plus!$F$10=Plus!$AK$13),0,Plus!$BD$2*1.16))</f>
        <v>0</v>
      </c>
      <c r="CW189" s="123">
        <f>IF(CZ188&lt;0.01,0,IF(Plus!$AS$2&gt;0,CQ189*Plus!$AS$3,0))</f>
        <v>0</v>
      </c>
      <c r="CX189" s="123">
        <f t="shared" si="360"/>
        <v>0</v>
      </c>
      <c r="CY189" s="123">
        <f>IF(Plus!$F$10=Plus!$AK$3,MIN(CZ188+CQ189+CT189+CU189+CV189-CX189,DK189),0)</f>
        <v>0</v>
      </c>
      <c r="CZ189" s="297">
        <f t="shared" si="440"/>
        <v>0</v>
      </c>
      <c r="DA189" s="306">
        <f>Plus!O230</f>
        <v>0</v>
      </c>
      <c r="DB189" s="74"/>
      <c r="DC189" s="74"/>
      <c r="DD189" s="407">
        <f t="shared" si="361"/>
        <v>0</v>
      </c>
      <c r="DG189" s="90">
        <f t="shared" si="362"/>
        <v>9</v>
      </c>
      <c r="DH189" s="121">
        <f t="shared" si="411"/>
        <v>0</v>
      </c>
      <c r="DJ189" s="149">
        <f t="shared" si="412"/>
        <v>0</v>
      </c>
      <c r="DK189" s="2179">
        <f t="shared" ca="1" si="363"/>
        <v>0</v>
      </c>
      <c r="DN189" s="120">
        <f t="shared" si="413"/>
        <v>0</v>
      </c>
      <c r="DO189" s="110">
        <f t="shared" si="364"/>
        <v>0</v>
      </c>
      <c r="DP189" s="110">
        <f t="shared" si="422"/>
        <v>0</v>
      </c>
      <c r="DQ189" s="109">
        <f t="shared" si="365"/>
        <v>0</v>
      </c>
      <c r="DR189" s="109">
        <f t="shared" si="366"/>
        <v>0</v>
      </c>
      <c r="DS189" s="113">
        <f t="shared" si="367"/>
        <v>0</v>
      </c>
      <c r="DU189" s="102">
        <f t="shared" si="368"/>
        <v>0</v>
      </c>
      <c r="DV189" s="211">
        <f t="shared" si="423"/>
        <v>165</v>
      </c>
      <c r="DW189" s="212">
        <f t="shared" si="369"/>
        <v>0</v>
      </c>
      <c r="DX189" s="212">
        <f t="shared" si="324"/>
        <v>0</v>
      </c>
      <c r="DY189" s="212">
        <f t="shared" si="414"/>
        <v>0</v>
      </c>
      <c r="DZ189" s="213">
        <f t="shared" si="325"/>
        <v>1000000</v>
      </c>
      <c r="ED189" s="182"/>
      <c r="EF189" s="308">
        <f t="shared" ca="1" si="326"/>
        <v>12</v>
      </c>
      <c r="EG189" s="309">
        <f t="shared" si="370"/>
        <v>0</v>
      </c>
      <c r="EH189" s="268">
        <f t="shared" si="327"/>
        <v>0</v>
      </c>
      <c r="EI189" s="33">
        <f t="shared" si="371"/>
        <v>0</v>
      </c>
      <c r="EJ189" s="33">
        <f t="shared" si="437"/>
        <v>0</v>
      </c>
      <c r="EK189" s="33">
        <f t="shared" si="445"/>
        <v>0</v>
      </c>
      <c r="EL189" s="33">
        <f>IF(ER188&lt;0.01,0,IF(Plus!$F$22=Plus!$AN$4,0,IF(Plus!$F$22=Plus!$AN$3,ER188*Plus!$F$23/1000,ER188*VLOOKUP(Plus!$G$21,Plus!$AP$2:'Plus'!$AQ$5,2,0))))</f>
        <v>0</v>
      </c>
      <c r="EM189" s="33">
        <f>IF(ER188&lt;0.01,0,IF(Plus!$F$24=Plus!$AO$3,0,IF(OR(Plus!$F$10=Plus!$AK$7,Plus!$F$10=Plus!$AK$13),0,Plus!$G$13*Plus!$AR$2)))</f>
        <v>0</v>
      </c>
      <c r="EN189" s="33">
        <f>IF(ER188&lt;0.01,0,IF(OR(Plus!$F$10=Plus!$AK$7,Plus!$F$10=Plus!$AK$13),0,Plus!$BD$2*1.16))</f>
        <v>0</v>
      </c>
      <c r="EO189" s="33">
        <f>IF(ER188&lt;0.01,0,IF(Plus!$AS$2&gt;0,EI189*Plus!$AS$3,0))</f>
        <v>0</v>
      </c>
      <c r="EP189" s="33">
        <f t="shared" si="372"/>
        <v>0</v>
      </c>
      <c r="EQ189" s="33">
        <f>IF(Plus!$F$10=Plus!$AK$3,MIN(ER188+EI189+EL189+EM189+EN189-EP189,FC189),0)</f>
        <v>0</v>
      </c>
      <c r="ER189" s="311">
        <f t="shared" si="431"/>
        <v>0</v>
      </c>
      <c r="ES189" s="340">
        <f>Plus!O230</f>
        <v>0</v>
      </c>
      <c r="ET189" s="74"/>
      <c r="EU189" s="74"/>
      <c r="EV189" s="416">
        <f t="shared" si="429"/>
        <v>0</v>
      </c>
      <c r="EY189" s="90">
        <f t="shared" si="373"/>
        <v>9</v>
      </c>
      <c r="EZ189" s="121">
        <f t="shared" si="415"/>
        <v>0</v>
      </c>
      <c r="FB189" s="149">
        <f t="shared" si="416"/>
        <v>0</v>
      </c>
      <c r="FC189" s="2179">
        <f t="shared" ca="1" si="374"/>
        <v>0</v>
      </c>
      <c r="FE189" s="120">
        <f t="shared" si="417"/>
        <v>0</v>
      </c>
      <c r="FF189" s="110">
        <f t="shared" si="375"/>
        <v>0</v>
      </c>
      <c r="FG189" s="110">
        <f t="shared" si="376"/>
        <v>0</v>
      </c>
      <c r="FH189" s="109">
        <f t="shared" si="377"/>
        <v>0</v>
      </c>
      <c r="FI189" s="109">
        <f t="shared" si="328"/>
        <v>0</v>
      </c>
      <c r="FJ189" s="113">
        <f t="shared" si="378"/>
        <v>0</v>
      </c>
      <c r="FL189" s="102">
        <f t="shared" si="379"/>
        <v>0</v>
      </c>
      <c r="FM189" s="211">
        <f t="shared" si="424"/>
        <v>165</v>
      </c>
      <c r="FN189" s="212">
        <f t="shared" si="380"/>
        <v>0</v>
      </c>
      <c r="FO189" s="212">
        <f t="shared" si="329"/>
        <v>0</v>
      </c>
      <c r="FP189" s="212">
        <f t="shared" si="446"/>
        <v>0</v>
      </c>
      <c r="FQ189" s="213">
        <f t="shared" si="330"/>
        <v>1000000</v>
      </c>
      <c r="FV189" s="359"/>
      <c r="FX189" s="308">
        <f t="shared" ca="1" si="331"/>
        <v>12</v>
      </c>
      <c r="FY189" s="309">
        <f t="shared" si="381"/>
        <v>0</v>
      </c>
      <c r="FZ189" s="268">
        <f t="shared" si="332"/>
        <v>0</v>
      </c>
      <c r="GA189" s="33">
        <f t="shared" si="382"/>
        <v>0</v>
      </c>
      <c r="GB189" s="33">
        <f t="shared" si="438"/>
        <v>0</v>
      </c>
      <c r="GC189" s="33">
        <f t="shared" si="439"/>
        <v>0</v>
      </c>
      <c r="GD189" s="33">
        <f>IF(GJ188&lt;0.01,0,IF(Plus!$F$22=Plus!$AN$4,0,IF(Plus!$F$22=Plus!$AN$3,GJ188*Plus!$F$23/1000,GJ188*VLOOKUP(Plus!$G$21,Plus!$AP$2:$AQ$5,2,0))))</f>
        <v>0</v>
      </c>
      <c r="GE189" s="33">
        <f>IF(GJ188&lt;0.01,0,IF(Plus!$F$24=Plus!$AO$3,0,IF(OR(Plus!$F$10=Plus!$AK$7,Plus!$F$10=Plus!$AK$13,Plus!$F$10=Plus!$AK$14),0,IF(OR(Plus!$F$10=Plus!$AK$10,Plus!$F$10=Plus!$AK$11),Plus!$G$13*Adm!$W$7,Plus!$G$13*Adm!$X$4))))</f>
        <v>0</v>
      </c>
      <c r="GF189" s="33">
        <f>IF(GJ188&lt;0.01,0,IF(OR(Plus!$F$10=Plus!$AK$7,Plus!$F$10=Plus!$AK$13),0,Plus!$BD$2*1.16))</f>
        <v>0</v>
      </c>
      <c r="GG189" s="33">
        <f>IF(GJ188&lt;0.01,0,IF(Plus!$AS$2&gt;0,GA189*Plus!$AS$3,0))</f>
        <v>0</v>
      </c>
      <c r="GH189" s="33">
        <f t="shared" si="383"/>
        <v>0</v>
      </c>
      <c r="GI189" s="33">
        <f>IF(Plus!$F$10=Plus!$AK$3,MIN(GJ188+GA189+GD189+GE189+GF189-GH189,GU189),0)</f>
        <v>0</v>
      </c>
      <c r="GJ189" s="311">
        <f t="shared" si="432"/>
        <v>0</v>
      </c>
      <c r="GK189" s="340">
        <f>Plus!O230</f>
        <v>0</v>
      </c>
      <c r="GL189" s="74"/>
      <c r="GM189" s="74"/>
      <c r="GN189" s="419">
        <f t="shared" si="430"/>
        <v>0</v>
      </c>
      <c r="GQ189" s="90">
        <f t="shared" si="384"/>
        <v>9</v>
      </c>
      <c r="GR189" s="121">
        <f t="shared" si="418"/>
        <v>0</v>
      </c>
      <c r="GT189" s="149">
        <f t="shared" si="419"/>
        <v>0</v>
      </c>
      <c r="GU189" s="2179">
        <f t="shared" ca="1" si="385"/>
        <v>0</v>
      </c>
      <c r="GW189" s="120">
        <f t="shared" si="420"/>
        <v>0</v>
      </c>
      <c r="GX189" s="110">
        <f t="shared" si="386"/>
        <v>0</v>
      </c>
      <c r="GY189" s="110">
        <f t="shared" si="387"/>
        <v>0</v>
      </c>
      <c r="GZ189" s="109">
        <f t="shared" si="388"/>
        <v>0</v>
      </c>
      <c r="HA189" s="109">
        <f t="shared" si="333"/>
        <v>0</v>
      </c>
      <c r="HB189" s="113">
        <f t="shared" si="389"/>
        <v>0</v>
      </c>
      <c r="HD189" s="102">
        <f t="shared" si="390"/>
        <v>0</v>
      </c>
      <c r="HE189" s="211">
        <f t="shared" si="425"/>
        <v>165</v>
      </c>
      <c r="HF189" s="212">
        <f t="shared" si="391"/>
        <v>0</v>
      </c>
      <c r="HG189" s="212">
        <f t="shared" si="334"/>
        <v>0</v>
      </c>
      <c r="HH189" s="212">
        <f t="shared" si="447"/>
        <v>0</v>
      </c>
      <c r="HI189" s="213">
        <f t="shared" si="335"/>
        <v>1000000</v>
      </c>
      <c r="HL189" s="182"/>
      <c r="HM189" s="26">
        <f t="shared" ca="1" si="336"/>
        <v>12</v>
      </c>
      <c r="HO189" s="268">
        <f t="shared" si="337"/>
        <v>0</v>
      </c>
      <c r="HP189" s="151">
        <f t="shared" ref="HP189:HP252" si="448">IF(HY188&lt;0.01,0,IF(HP188=$HT$10,HP188,IF(HP188-IE189&lt;=$HT$10,HP188-IE189,HP188-IE189)))</f>
        <v>0</v>
      </c>
      <c r="HQ189" s="123">
        <f t="shared" si="392"/>
        <v>0</v>
      </c>
      <c r="HR189" s="123">
        <f t="shared" si="393"/>
        <v>0</v>
      </c>
      <c r="HS189" s="123">
        <f t="shared" si="394"/>
        <v>0</v>
      </c>
      <c r="HT189" s="123">
        <f>IF(HY188&lt;0.01,0,IF(Adm!$GS$4=Adm!$GS$8,HY188*$HY$15,IF(Adm!$GS$12=Adm!$GS$13,0,HY188*Adm!$GV$4)))</f>
        <v>0</v>
      </c>
      <c r="HU189" s="123">
        <f>IF(HY188&lt;0.01,0,IF(Adm!$GS$5=Adm!$GS$8,Cal!$BO$108*$HY$16/1.16,IF(Adm!$GS$12=Adm!$GS$13,0,Cal!$BO$108*Adm!$GW$4/1.16)))</f>
        <v>0</v>
      </c>
      <c r="HV189" s="123">
        <f t="shared" si="395"/>
        <v>0</v>
      </c>
      <c r="HW189" s="123">
        <f t="shared" si="338"/>
        <v>0</v>
      </c>
      <c r="HX189" s="123">
        <f>IF(Adm!$GH$6="si",MIN(HY188+HQ189+HT189+HU189+HV189-HW189,IH189),0)</f>
        <v>0</v>
      </c>
      <c r="HY189" s="297">
        <f t="shared" si="396"/>
        <v>0</v>
      </c>
      <c r="HZ189" s="74"/>
      <c r="IA189" s="407">
        <f t="shared" si="397"/>
        <v>0</v>
      </c>
      <c r="IC189" s="90">
        <f t="shared" si="398"/>
        <v>9</v>
      </c>
      <c r="ID189" s="124">
        <f>IF(IC189=1,Cal!$BO$127,0)</f>
        <v>0</v>
      </c>
      <c r="IE189" s="178">
        <f>IF(IC189=1,Adm!$HI$4,0)</f>
        <v>0</v>
      </c>
      <c r="IG189" s="70">
        <f t="shared" si="421"/>
        <v>0</v>
      </c>
      <c r="IH189" s="2178">
        <f t="shared" ca="1" si="399"/>
        <v>0</v>
      </c>
      <c r="IK189" s="217"/>
      <c r="IL189" s="26">
        <f t="shared" ca="1" si="339"/>
        <v>12</v>
      </c>
      <c r="IN189" s="268">
        <f t="shared" si="340"/>
        <v>0</v>
      </c>
      <c r="IO189" s="151">
        <f t="shared" ref="IO189:IO252" si="449">IF(IX188&lt;0.01,0,IF(IO188=$HT$10,IO188,IF(IO188-JD189&lt;=$HT$10,IO188-JD189,IO188-JD189)))</f>
        <v>0</v>
      </c>
      <c r="IP189" s="123">
        <f t="shared" si="400"/>
        <v>0</v>
      </c>
      <c r="IQ189" s="123">
        <f t="shared" si="401"/>
        <v>0</v>
      </c>
      <c r="IR189" s="123">
        <f t="shared" si="402"/>
        <v>0</v>
      </c>
      <c r="IS189" s="123">
        <f>IF(IX188&lt;0.01,0,IF(Adm!$GS$4=Adm!$GS$8,IX188*$IX$15,IF(Adm!$GS$12=Adm!$GS$13,0,IX188*Adm!$GV$4)))</f>
        <v>0</v>
      </c>
      <c r="IT189" s="123"/>
      <c r="IU189" s="123">
        <f t="shared" si="403"/>
        <v>0</v>
      </c>
      <c r="IV189" s="123">
        <f t="shared" si="404"/>
        <v>0</v>
      </c>
      <c r="IW189" s="123"/>
      <c r="IX189" s="297">
        <f t="shared" si="405"/>
        <v>0</v>
      </c>
      <c r="IY189" s="74"/>
      <c r="IZ189" s="416">
        <f t="shared" si="406"/>
        <v>0</v>
      </c>
      <c r="JB189" s="90">
        <f t="shared" si="407"/>
        <v>9</v>
      </c>
      <c r="JC189" s="124">
        <f>IF(JB189=1,Cal!$BP$127,0)</f>
        <v>0</v>
      </c>
      <c r="JD189" s="178">
        <f>IF(JB189=1,Adm!$HI$4,0)</f>
        <v>0</v>
      </c>
    </row>
    <row r="190" spans="1:264">
      <c r="A190" s="26">
        <f t="shared" ca="1" si="308"/>
        <v>1</v>
      </c>
      <c r="C190" s="33">
        <f t="shared" si="309"/>
        <v>0</v>
      </c>
      <c r="D190" s="123">
        <f t="shared" si="341"/>
        <v>0</v>
      </c>
      <c r="E190" s="123">
        <f t="shared" si="433"/>
        <v>0</v>
      </c>
      <c r="F190" s="123">
        <f t="shared" si="443"/>
        <v>0</v>
      </c>
      <c r="G190" s="123">
        <f>IF(L189&lt;0.01,0,IF(Adm!$S$4=Adm!$S$8,L189*$L$15,L189*Adm!$V$4))</f>
        <v>0</v>
      </c>
      <c r="H190" s="123">
        <f>IF(L189&lt;0.01,0,IF(Adm!$S$5=Adm!$S$8,Adm!$AA$11*$L$16/1.16,IF(Adm!$B$4=Adm!$A$119,0,Adm!$AA$11*Adm!$X$4/1.16)))</f>
        <v>0</v>
      </c>
      <c r="I190" s="123">
        <f>IF(L189&lt;0.01,0,Cal!$AB$126/1.16)</f>
        <v>0</v>
      </c>
      <c r="J190" s="123">
        <f t="shared" si="310"/>
        <v>0</v>
      </c>
      <c r="K190" s="123">
        <f>IF(Adm!$G$4="si",MIN(L189+D190+G190+H190+I190-J190,V190),0)</f>
        <v>0</v>
      </c>
      <c r="L190" s="123">
        <f t="shared" si="342"/>
        <v>0</v>
      </c>
      <c r="M190" s="74"/>
      <c r="N190" s="74"/>
      <c r="O190" s="407">
        <f t="shared" si="343"/>
        <v>0</v>
      </c>
      <c r="R190" s="90">
        <f t="shared" si="344"/>
        <v>10</v>
      </c>
      <c r="S190" s="121">
        <f>IF(R190=1,Cal!$AB$127,0)</f>
        <v>0</v>
      </c>
      <c r="U190" s="70">
        <f t="shared" si="408"/>
        <v>0</v>
      </c>
      <c r="V190" s="2178">
        <f t="shared" ca="1" si="345"/>
        <v>0</v>
      </c>
      <c r="X190" s="398"/>
      <c r="Z190" s="268">
        <f t="shared" si="311"/>
        <v>0</v>
      </c>
      <c r="AA190" s="2176">
        <f t="shared" si="346"/>
        <v>0</v>
      </c>
      <c r="AB190" s="33">
        <f t="shared" si="347"/>
        <v>0</v>
      </c>
      <c r="AC190" s="33">
        <f t="shared" si="348"/>
        <v>0</v>
      </c>
      <c r="AD190" s="33">
        <f>IF(AI189&lt;0.01,0,IF(Adm!$S$4=Adm!$S$8,AI189*$AI$15,AI189*Adm!$V$4))</f>
        <v>0</v>
      </c>
      <c r="AE190" s="33"/>
      <c r="AF190" s="33"/>
      <c r="AG190" s="33">
        <f t="shared" si="312"/>
        <v>0</v>
      </c>
      <c r="AH190" s="33"/>
      <c r="AI190" s="401">
        <f t="shared" si="313"/>
        <v>0</v>
      </c>
      <c r="AK190" s="410">
        <f t="shared" si="314"/>
        <v>0</v>
      </c>
      <c r="AN190" s="90">
        <f t="shared" si="349"/>
        <v>10</v>
      </c>
      <c r="AO190" s="121">
        <f>IF(AN190=1,Cal!$AC$127,0)</f>
        <v>0</v>
      </c>
      <c r="AS190" s="200"/>
      <c r="AU190" s="268">
        <f t="shared" si="315"/>
        <v>0</v>
      </c>
      <c r="AV190" s="2177">
        <f t="shared" si="350"/>
        <v>0</v>
      </c>
      <c r="AW190" s="123">
        <f t="shared" si="316"/>
        <v>0</v>
      </c>
      <c r="AX190" s="123">
        <f t="shared" si="351"/>
        <v>0</v>
      </c>
      <c r="AY190" s="123">
        <f>IF(BC189&lt;0.01,0,IF(Adm!$S$4=Adm!$S$8,BC189*$BC$16,BC189*Adm!$V$4))</f>
        <v>0</v>
      </c>
      <c r="AZ190" s="123"/>
      <c r="BA190" s="123">
        <f>IF(BC189&lt;0.01,0,Adm!$Q$6)</f>
        <v>0</v>
      </c>
      <c r="BB190" s="123">
        <f t="shared" si="317"/>
        <v>0</v>
      </c>
      <c r="BC190" s="297">
        <f t="shared" si="352"/>
        <v>0</v>
      </c>
      <c r="BE190" s="425">
        <f t="shared" si="318"/>
        <v>0</v>
      </c>
      <c r="BH190" s="90">
        <f t="shared" si="353"/>
        <v>10</v>
      </c>
      <c r="BI190" s="121">
        <f>IF(BH190=1,Cal!$AD$127,0)</f>
        <v>0</v>
      </c>
      <c r="BM190" s="221"/>
      <c r="BO190" s="295">
        <f t="shared" ca="1" si="319"/>
        <v>1</v>
      </c>
      <c r="BP190" s="268">
        <f t="shared" si="320"/>
        <v>0</v>
      </c>
      <c r="BQ190" s="123">
        <f t="shared" si="354"/>
        <v>0</v>
      </c>
      <c r="BR190" s="123">
        <f t="shared" si="434"/>
        <v>0</v>
      </c>
      <c r="BS190" s="123">
        <f t="shared" si="444"/>
        <v>0</v>
      </c>
      <c r="BT190" s="123">
        <f>IF(BZ189&lt;0.01,0,IF(Plus!$F$22=Plus!$AN$4,BZ189*$BZ$15,IF(Plus!$F$22=Plus!$AN$3,BZ189*Plus!$F$23/1000,BZ189*VLOOKUP(Plus!$G$21,Plus!$AP$2:'Plus'!$AQ$5,2,0))))</f>
        <v>0</v>
      </c>
      <c r="BU190" s="123">
        <f>IF(BZ189&lt;0.01,0,IF(Plus!$F$24=Plus!$AO$3,Plus!$G$13*Plus!$AR$2/1.16,IF(Plus!$F$10=Plus!$AK$7,0,Plus!$G$13*Plus!$AR$2/1.16)))</f>
        <v>0</v>
      </c>
      <c r="BV190" s="123">
        <f>IF(BZ189&lt;0.01,0,Plus!$BD$2)</f>
        <v>0</v>
      </c>
      <c r="BW190" s="123"/>
      <c r="BX190" s="123">
        <f t="shared" si="321"/>
        <v>0</v>
      </c>
      <c r="BY190" s="123">
        <f>IF(Plus!$F$10=Plus!$AK$3,MIN(BZ189+BQ190+BT190+BU190+BV190-BX190,CJ190),0)</f>
        <v>0</v>
      </c>
      <c r="BZ190" s="297">
        <f t="shared" si="428"/>
        <v>0</v>
      </c>
      <c r="CA190" s="74"/>
      <c r="CB190" s="74"/>
      <c r="CC190" s="413">
        <f t="shared" si="355"/>
        <v>0</v>
      </c>
      <c r="CF190" s="90">
        <f t="shared" si="356"/>
        <v>10</v>
      </c>
      <c r="CG190" s="121">
        <f t="shared" si="409"/>
        <v>0</v>
      </c>
      <c r="CI190" s="70">
        <f t="shared" si="410"/>
        <v>0</v>
      </c>
      <c r="CJ190" s="2178">
        <f t="shared" ca="1" si="357"/>
        <v>0</v>
      </c>
      <c r="CL190" s="161"/>
      <c r="CN190" s="308">
        <f t="shared" ca="1" si="322"/>
        <v>1</v>
      </c>
      <c r="CO190" s="309">
        <f t="shared" si="358"/>
        <v>0</v>
      </c>
      <c r="CP190" s="268">
        <f t="shared" si="323"/>
        <v>0</v>
      </c>
      <c r="CQ190" s="123">
        <f t="shared" si="359"/>
        <v>0</v>
      </c>
      <c r="CR190" s="123">
        <f t="shared" si="435"/>
        <v>0</v>
      </c>
      <c r="CS190" s="123">
        <f t="shared" si="436"/>
        <v>0</v>
      </c>
      <c r="CT190" s="33">
        <f>IF(CZ189&lt;0.01,0,IF(Plus!$F$22=Plus!$AN$4,0,IF(Plus!$F$22=Plus!$AN$3,CZ189*Plus!$F$23/1000,CZ189*VLOOKUP(Plus!$G$21,Plus!$AP$2:'Plus'!$AQ$5,2,0))))</f>
        <v>0</v>
      </c>
      <c r="CU190" s="123">
        <f>IF(CZ189&lt;0.01,0,IF(Plus!$F$24=Plus!$AO$3,0,IF(OR(Plus!$F$10=Plus!$AK$7,Plus!$F$10=Plus!$AK$13),0,Plus!$G$13*Plus!$AR$2)))</f>
        <v>0</v>
      </c>
      <c r="CV190" s="123">
        <f>IF(CZ189&lt;0.01,0,IF(OR(Plus!$F$10=Plus!$AK$7,Plus!$F$10=Plus!$AK$13),0,Plus!$BD$2*1.16))</f>
        <v>0</v>
      </c>
      <c r="CW190" s="123">
        <f>IF(CZ189&lt;0.01,0,IF(Plus!$AS$2&gt;0,CQ190*Plus!$AS$3,0))</f>
        <v>0</v>
      </c>
      <c r="CX190" s="123">
        <f t="shared" si="360"/>
        <v>0</v>
      </c>
      <c r="CY190" s="123">
        <f>IF(Plus!$F$10=Plus!$AK$3,MIN(CZ189+CQ190+CT190+CU190+CV190-CX190,DK190),0)</f>
        <v>0</v>
      </c>
      <c r="CZ190" s="297">
        <f t="shared" si="440"/>
        <v>0</v>
      </c>
      <c r="DA190" s="306">
        <f>Plus!O231</f>
        <v>0</v>
      </c>
      <c r="DB190" s="74"/>
      <c r="DC190" s="74"/>
      <c r="DD190" s="407">
        <f t="shared" si="361"/>
        <v>0</v>
      </c>
      <c r="DG190" s="90">
        <f t="shared" si="362"/>
        <v>10</v>
      </c>
      <c r="DH190" s="121">
        <f t="shared" si="411"/>
        <v>0</v>
      </c>
      <c r="DJ190" s="149">
        <f t="shared" si="412"/>
        <v>0</v>
      </c>
      <c r="DK190" s="2179">
        <f t="shared" ca="1" si="363"/>
        <v>0</v>
      </c>
      <c r="DN190" s="120">
        <f t="shared" si="413"/>
        <v>0</v>
      </c>
      <c r="DO190" s="110">
        <f t="shared" si="364"/>
        <v>0</v>
      </c>
      <c r="DP190" s="110">
        <f t="shared" si="422"/>
        <v>0</v>
      </c>
      <c r="DQ190" s="109">
        <f t="shared" si="365"/>
        <v>0</v>
      </c>
      <c r="DR190" s="109">
        <f t="shared" si="366"/>
        <v>0</v>
      </c>
      <c r="DS190" s="113">
        <f t="shared" si="367"/>
        <v>0</v>
      </c>
      <c r="DU190" s="102">
        <f t="shared" si="368"/>
        <v>0</v>
      </c>
      <c r="DV190" s="211">
        <f t="shared" si="423"/>
        <v>166</v>
      </c>
      <c r="DW190" s="212">
        <f t="shared" si="369"/>
        <v>0</v>
      </c>
      <c r="DX190" s="212">
        <f t="shared" si="324"/>
        <v>0</v>
      </c>
      <c r="DY190" s="212">
        <f t="shared" si="414"/>
        <v>0</v>
      </c>
      <c r="DZ190" s="213">
        <f t="shared" si="325"/>
        <v>1000000</v>
      </c>
      <c r="ED190" s="182"/>
      <c r="EF190" s="308">
        <f t="shared" ca="1" si="326"/>
        <v>1</v>
      </c>
      <c r="EG190" s="309">
        <f t="shared" si="370"/>
        <v>0</v>
      </c>
      <c r="EH190" s="268">
        <f t="shared" si="327"/>
        <v>0</v>
      </c>
      <c r="EI190" s="33">
        <f t="shared" si="371"/>
        <v>0</v>
      </c>
      <c r="EJ190" s="33">
        <f t="shared" si="437"/>
        <v>0</v>
      </c>
      <c r="EK190" s="33">
        <f t="shared" si="445"/>
        <v>0</v>
      </c>
      <c r="EL190" s="33">
        <f>IF(ER189&lt;0.01,0,IF(Plus!$F$22=Plus!$AN$4,0,IF(Plus!$F$22=Plus!$AN$3,ER189*Plus!$F$23/1000,ER189*VLOOKUP(Plus!$G$21,Plus!$AP$2:'Plus'!$AQ$5,2,0))))</f>
        <v>0</v>
      </c>
      <c r="EM190" s="33">
        <f>IF(ER189&lt;0.01,0,IF(Plus!$F$24=Plus!$AO$3,0,IF(OR(Plus!$F$10=Plus!$AK$7,Plus!$F$10=Plus!$AK$13),0,Plus!$G$13*Plus!$AR$2)))</f>
        <v>0</v>
      </c>
      <c r="EN190" s="33">
        <f>IF(ER189&lt;0.01,0,IF(OR(Plus!$F$10=Plus!$AK$7,Plus!$F$10=Plus!$AK$13),0,Plus!$BD$2*1.16))</f>
        <v>0</v>
      </c>
      <c r="EO190" s="33">
        <f>IF(ER189&lt;0.01,0,IF(Plus!$AS$2&gt;0,EI190*Plus!$AS$3,0))</f>
        <v>0</v>
      </c>
      <c r="EP190" s="33">
        <f t="shared" si="372"/>
        <v>0</v>
      </c>
      <c r="EQ190" s="33">
        <f>IF(Plus!$F$10=Plus!$AK$3,MIN(ER189+EI190+EL190+EM190+EN190-EP190,FC190),0)</f>
        <v>0</v>
      </c>
      <c r="ER190" s="311">
        <f t="shared" si="431"/>
        <v>0</v>
      </c>
      <c r="ES190" s="340">
        <f>Plus!O231</f>
        <v>0</v>
      </c>
      <c r="ET190" s="74"/>
      <c r="EU190" s="74"/>
      <c r="EV190" s="416">
        <f t="shared" si="429"/>
        <v>0</v>
      </c>
      <c r="EY190" s="90">
        <f t="shared" si="373"/>
        <v>10</v>
      </c>
      <c r="EZ190" s="121">
        <f t="shared" si="415"/>
        <v>0</v>
      </c>
      <c r="FB190" s="149">
        <f t="shared" si="416"/>
        <v>0</v>
      </c>
      <c r="FC190" s="2179">
        <f t="shared" ca="1" si="374"/>
        <v>0</v>
      </c>
      <c r="FE190" s="120">
        <f t="shared" si="417"/>
        <v>0</v>
      </c>
      <c r="FF190" s="110">
        <f t="shared" si="375"/>
        <v>0</v>
      </c>
      <c r="FG190" s="110">
        <f t="shared" si="376"/>
        <v>0</v>
      </c>
      <c r="FH190" s="109">
        <f t="shared" si="377"/>
        <v>0</v>
      </c>
      <c r="FI190" s="109">
        <f t="shared" si="328"/>
        <v>0</v>
      </c>
      <c r="FJ190" s="113">
        <f t="shared" si="378"/>
        <v>0</v>
      </c>
      <c r="FL190" s="102">
        <f t="shared" si="379"/>
        <v>0</v>
      </c>
      <c r="FM190" s="211">
        <f t="shared" si="424"/>
        <v>166</v>
      </c>
      <c r="FN190" s="212">
        <f t="shared" si="380"/>
        <v>0</v>
      </c>
      <c r="FO190" s="212">
        <f t="shared" si="329"/>
        <v>0</v>
      </c>
      <c r="FP190" s="212">
        <f t="shared" si="446"/>
        <v>0</v>
      </c>
      <c r="FQ190" s="213">
        <f t="shared" si="330"/>
        <v>1000000</v>
      </c>
      <c r="FV190" s="359"/>
      <c r="FX190" s="308">
        <f t="shared" ca="1" si="331"/>
        <v>1</v>
      </c>
      <c r="FY190" s="309">
        <f t="shared" si="381"/>
        <v>0</v>
      </c>
      <c r="FZ190" s="268">
        <f t="shared" si="332"/>
        <v>0</v>
      </c>
      <c r="GA190" s="33">
        <f t="shared" si="382"/>
        <v>0</v>
      </c>
      <c r="GB190" s="33">
        <f t="shared" si="438"/>
        <v>0</v>
      </c>
      <c r="GC190" s="33">
        <f t="shared" si="439"/>
        <v>0</v>
      </c>
      <c r="GD190" s="33">
        <f>IF(GJ189&lt;0.01,0,IF(Plus!$F$22=Plus!$AN$4,0,IF(Plus!$F$22=Plus!$AN$3,GJ189*Plus!$F$23/1000,GJ189*VLOOKUP(Plus!$G$21,Plus!$AP$2:$AQ$5,2,0))))</f>
        <v>0</v>
      </c>
      <c r="GE190" s="33">
        <f>IF(GJ189&lt;0.01,0,IF(Plus!$F$24=Plus!$AO$3,0,IF(OR(Plus!$F$10=Plus!$AK$7,Plus!$F$10=Plus!$AK$13,Plus!$F$10=Plus!$AK$14),0,IF(OR(Plus!$F$10=Plus!$AK$10,Plus!$F$10=Plus!$AK$11),Plus!$G$13*Adm!$W$7,Plus!$G$13*Adm!$X$4))))</f>
        <v>0</v>
      </c>
      <c r="GF190" s="33">
        <f>IF(GJ189&lt;0.01,0,IF(OR(Plus!$F$10=Plus!$AK$7,Plus!$F$10=Plus!$AK$13),0,Plus!$BD$2*1.16))</f>
        <v>0</v>
      </c>
      <c r="GG190" s="33">
        <f>IF(GJ189&lt;0.01,0,IF(Plus!$AS$2&gt;0,GA190*Plus!$AS$3,0))</f>
        <v>0</v>
      </c>
      <c r="GH190" s="33">
        <f t="shared" si="383"/>
        <v>0</v>
      </c>
      <c r="GI190" s="33">
        <f>IF(Plus!$F$10=Plus!$AK$3,MIN(GJ189+GA190+GD190+GE190+GF190-GH190,GU190),0)</f>
        <v>0</v>
      </c>
      <c r="GJ190" s="311">
        <f t="shared" si="432"/>
        <v>0</v>
      </c>
      <c r="GK190" s="340">
        <f>Plus!O231</f>
        <v>0</v>
      </c>
      <c r="GL190" s="74"/>
      <c r="GM190" s="74"/>
      <c r="GN190" s="419">
        <f t="shared" si="430"/>
        <v>0</v>
      </c>
      <c r="GQ190" s="90">
        <f t="shared" si="384"/>
        <v>10</v>
      </c>
      <c r="GR190" s="121">
        <f t="shared" si="418"/>
        <v>0</v>
      </c>
      <c r="GT190" s="149">
        <f t="shared" si="419"/>
        <v>0</v>
      </c>
      <c r="GU190" s="2179">
        <f t="shared" ca="1" si="385"/>
        <v>0</v>
      </c>
      <c r="GW190" s="120">
        <f t="shared" si="420"/>
        <v>0</v>
      </c>
      <c r="GX190" s="110">
        <f t="shared" si="386"/>
        <v>0</v>
      </c>
      <c r="GY190" s="110">
        <f t="shared" si="387"/>
        <v>0</v>
      </c>
      <c r="GZ190" s="109">
        <f t="shared" si="388"/>
        <v>0</v>
      </c>
      <c r="HA190" s="109">
        <f t="shared" si="333"/>
        <v>0</v>
      </c>
      <c r="HB190" s="113">
        <f t="shared" si="389"/>
        <v>0</v>
      </c>
      <c r="HD190" s="102">
        <f t="shared" si="390"/>
        <v>0</v>
      </c>
      <c r="HE190" s="211">
        <f t="shared" si="425"/>
        <v>166</v>
      </c>
      <c r="HF190" s="212">
        <f t="shared" si="391"/>
        <v>0</v>
      </c>
      <c r="HG190" s="212">
        <f t="shared" si="334"/>
        <v>0</v>
      </c>
      <c r="HH190" s="212">
        <f t="shared" si="447"/>
        <v>0</v>
      </c>
      <c r="HI190" s="213">
        <f t="shared" si="335"/>
        <v>1000000</v>
      </c>
      <c r="HL190" s="182"/>
      <c r="HM190" s="26">
        <f t="shared" ca="1" si="336"/>
        <v>1</v>
      </c>
      <c r="HO190" s="268">
        <f t="shared" si="337"/>
        <v>0</v>
      </c>
      <c r="HP190" s="151">
        <f t="shared" si="448"/>
        <v>0</v>
      </c>
      <c r="HQ190" s="123">
        <f t="shared" si="392"/>
        <v>0</v>
      </c>
      <c r="HR190" s="123">
        <f t="shared" si="393"/>
        <v>0</v>
      </c>
      <c r="HS190" s="123">
        <f t="shared" si="394"/>
        <v>0</v>
      </c>
      <c r="HT190" s="123">
        <f>IF(HY189&lt;0.01,0,IF(Adm!$GS$4=Adm!$GS$8,HY189*$HY$15,IF(Adm!$GS$12=Adm!$GS$13,0,HY189*Adm!$GV$4)))</f>
        <v>0</v>
      </c>
      <c r="HU190" s="123">
        <f>IF(HY189&lt;0.01,0,IF(Adm!$GS$5=Adm!$GS$8,Cal!$BO$108*$HY$16/1.16,IF(Adm!$GS$12=Adm!$GS$13,0,Cal!$BO$108*Adm!$GW$4/1.16)))</f>
        <v>0</v>
      </c>
      <c r="HV190" s="123">
        <f t="shared" si="395"/>
        <v>0</v>
      </c>
      <c r="HW190" s="123">
        <f t="shared" si="338"/>
        <v>0</v>
      </c>
      <c r="HX190" s="123">
        <f>IF(Adm!$GH$6="si",MIN(HY189+HQ190+HT190+HU190+HV190-HW190,IH190),0)</f>
        <v>0</v>
      </c>
      <c r="HY190" s="297">
        <f t="shared" si="396"/>
        <v>0</v>
      </c>
      <c r="HZ190" s="74"/>
      <c r="IA190" s="407">
        <f t="shared" si="397"/>
        <v>0</v>
      </c>
      <c r="IC190" s="90">
        <f t="shared" si="398"/>
        <v>10</v>
      </c>
      <c r="ID190" s="124">
        <f>IF(IC190=1,Cal!$BO$127,0)</f>
        <v>0</v>
      </c>
      <c r="IE190" s="178">
        <f>IF(IC190=1,Adm!$HI$4,0)</f>
        <v>0</v>
      </c>
      <c r="IG190" s="70">
        <f t="shared" si="421"/>
        <v>0</v>
      </c>
      <c r="IH190" s="2178">
        <f t="shared" ca="1" si="399"/>
        <v>0</v>
      </c>
      <c r="IK190" s="217"/>
      <c r="IL190" s="26">
        <f t="shared" ca="1" si="339"/>
        <v>1</v>
      </c>
      <c r="IN190" s="268">
        <f t="shared" si="340"/>
        <v>0</v>
      </c>
      <c r="IO190" s="151">
        <f t="shared" si="449"/>
        <v>0</v>
      </c>
      <c r="IP190" s="123">
        <f t="shared" si="400"/>
        <v>0</v>
      </c>
      <c r="IQ190" s="123">
        <f t="shared" si="401"/>
        <v>0</v>
      </c>
      <c r="IR190" s="123">
        <f t="shared" si="402"/>
        <v>0</v>
      </c>
      <c r="IS190" s="123">
        <f>IF(IX189&lt;0.01,0,IF(Adm!$GS$4=Adm!$GS$8,IX189*$IX$15,IF(Adm!$GS$12=Adm!$GS$13,0,IX189*Adm!$GV$4)))</f>
        <v>0</v>
      </c>
      <c r="IT190" s="123"/>
      <c r="IU190" s="123">
        <f t="shared" si="403"/>
        <v>0</v>
      </c>
      <c r="IV190" s="123">
        <f t="shared" si="404"/>
        <v>0</v>
      </c>
      <c r="IW190" s="123"/>
      <c r="IX190" s="297">
        <f t="shared" si="405"/>
        <v>0</v>
      </c>
      <c r="IY190" s="74"/>
      <c r="IZ190" s="416">
        <f t="shared" si="406"/>
        <v>0</v>
      </c>
      <c r="JB190" s="90">
        <f t="shared" si="407"/>
        <v>10</v>
      </c>
      <c r="JC190" s="124">
        <f>IF(JB190=1,Cal!$BP$127,0)</f>
        <v>0</v>
      </c>
      <c r="JD190" s="178">
        <f>IF(JB190=1,Adm!$HI$4,0)</f>
        <v>0</v>
      </c>
    </row>
    <row r="191" spans="1:264">
      <c r="A191" s="26">
        <f t="shared" ca="1" si="308"/>
        <v>2</v>
      </c>
      <c r="C191" s="33">
        <f t="shared" si="309"/>
        <v>0</v>
      </c>
      <c r="D191" s="123">
        <f t="shared" si="341"/>
        <v>0</v>
      </c>
      <c r="E191" s="123">
        <f t="shared" si="433"/>
        <v>0</v>
      </c>
      <c r="F191" s="123">
        <f t="shared" si="443"/>
        <v>0</v>
      </c>
      <c r="G191" s="123">
        <f>IF(L190&lt;0.01,0,IF(Adm!$S$4=Adm!$S$8,L190*$L$15,L190*Adm!$V$4))</f>
        <v>0</v>
      </c>
      <c r="H191" s="123">
        <f>IF(L190&lt;0.01,0,IF(Adm!$S$5=Adm!$S$8,Adm!$AA$11*$L$16/1.16,IF(Adm!$B$4=Adm!$A$119,0,Adm!$AA$11*Adm!$X$4/1.16)))</f>
        <v>0</v>
      </c>
      <c r="I191" s="123">
        <f>IF(L190&lt;0.01,0,Cal!$AB$126/1.16)</f>
        <v>0</v>
      </c>
      <c r="J191" s="123">
        <f t="shared" si="310"/>
        <v>0</v>
      </c>
      <c r="K191" s="123">
        <f>IF(Adm!$G$4="si",MIN(L190+D191+G191+H191+I191-J191,V191),0)</f>
        <v>0</v>
      </c>
      <c r="L191" s="123">
        <f t="shared" si="342"/>
        <v>0</v>
      </c>
      <c r="M191" s="74"/>
      <c r="N191" s="74"/>
      <c r="O191" s="407">
        <f t="shared" si="343"/>
        <v>0</v>
      </c>
      <c r="R191" s="90">
        <f t="shared" si="344"/>
        <v>11</v>
      </c>
      <c r="S191" s="121">
        <f>IF(R191=1,Cal!$AB$127,0)</f>
        <v>0</v>
      </c>
      <c r="U191" s="70">
        <f t="shared" si="408"/>
        <v>0</v>
      </c>
      <c r="V191" s="2178">
        <f t="shared" ca="1" si="345"/>
        <v>0</v>
      </c>
      <c r="X191" s="398"/>
      <c r="Z191" s="268">
        <f t="shared" si="311"/>
        <v>0</v>
      </c>
      <c r="AA191" s="2176">
        <f t="shared" si="346"/>
        <v>0</v>
      </c>
      <c r="AB191" s="33">
        <f t="shared" si="347"/>
        <v>0</v>
      </c>
      <c r="AC191" s="33">
        <f t="shared" si="348"/>
        <v>0</v>
      </c>
      <c r="AD191" s="33">
        <f>IF(AI190&lt;0.01,0,IF(Adm!$S$4=Adm!$S$8,AI190*$AI$15,AI190*Adm!$V$4))</f>
        <v>0</v>
      </c>
      <c r="AE191" s="33"/>
      <c r="AF191" s="33"/>
      <c r="AG191" s="33">
        <f t="shared" si="312"/>
        <v>0</v>
      </c>
      <c r="AH191" s="33"/>
      <c r="AI191" s="401">
        <f t="shared" si="313"/>
        <v>0</v>
      </c>
      <c r="AK191" s="410">
        <f t="shared" si="314"/>
        <v>0</v>
      </c>
      <c r="AN191" s="90">
        <f t="shared" si="349"/>
        <v>11</v>
      </c>
      <c r="AO191" s="121">
        <f>IF(AN191=1,Cal!$AC$127,0)</f>
        <v>0</v>
      </c>
      <c r="AS191" s="200"/>
      <c r="AU191" s="268">
        <f t="shared" si="315"/>
        <v>0</v>
      </c>
      <c r="AV191" s="2177">
        <f t="shared" si="350"/>
        <v>0</v>
      </c>
      <c r="AW191" s="123">
        <f t="shared" si="316"/>
        <v>0</v>
      </c>
      <c r="AX191" s="123">
        <f t="shared" si="351"/>
        <v>0</v>
      </c>
      <c r="AY191" s="123">
        <f>IF(BC190&lt;0.01,0,IF(Adm!$S$4=Adm!$S$8,BC190*$BC$16,BC190*Adm!$V$4))</f>
        <v>0</v>
      </c>
      <c r="AZ191" s="123"/>
      <c r="BA191" s="123">
        <f>IF(BC190&lt;0.01,0,Adm!$Q$6)</f>
        <v>0</v>
      </c>
      <c r="BB191" s="123">
        <f t="shared" si="317"/>
        <v>0</v>
      </c>
      <c r="BC191" s="297">
        <f t="shared" si="352"/>
        <v>0</v>
      </c>
      <c r="BE191" s="425">
        <f t="shared" si="318"/>
        <v>0</v>
      </c>
      <c r="BH191" s="90">
        <f t="shared" si="353"/>
        <v>11</v>
      </c>
      <c r="BI191" s="121">
        <f>IF(BH191=1,Cal!$AD$127,0)</f>
        <v>0</v>
      </c>
      <c r="BM191" s="221"/>
      <c r="BO191" s="295">
        <f t="shared" ca="1" si="319"/>
        <v>2</v>
      </c>
      <c r="BP191" s="268">
        <f t="shared" si="320"/>
        <v>0</v>
      </c>
      <c r="BQ191" s="123">
        <f t="shared" si="354"/>
        <v>0</v>
      </c>
      <c r="BR191" s="123">
        <f t="shared" si="434"/>
        <v>0</v>
      </c>
      <c r="BS191" s="123">
        <f t="shared" si="444"/>
        <v>0</v>
      </c>
      <c r="BT191" s="123">
        <f>IF(BZ190&lt;0.01,0,IF(Plus!$F$22=Plus!$AN$4,BZ190*$BZ$15,IF(Plus!$F$22=Plus!$AN$3,BZ190*Plus!$F$23/1000,BZ190*VLOOKUP(Plus!$G$21,Plus!$AP$2:'Plus'!$AQ$5,2,0))))</f>
        <v>0</v>
      </c>
      <c r="BU191" s="123">
        <f>IF(BZ190&lt;0.01,0,IF(Plus!$F$24=Plus!$AO$3,Plus!$G$13*Plus!$AR$2/1.16,IF(Plus!$F$10=Plus!$AK$7,0,Plus!$G$13*Plus!$AR$2/1.16)))</f>
        <v>0</v>
      </c>
      <c r="BV191" s="123">
        <f>IF(BZ190&lt;0.01,0,Plus!$BD$2)</f>
        <v>0</v>
      </c>
      <c r="BW191" s="123"/>
      <c r="BX191" s="123">
        <f t="shared" si="321"/>
        <v>0</v>
      </c>
      <c r="BY191" s="123">
        <f>IF(Plus!$F$10=Plus!$AK$3,MIN(BZ190+BQ191+BT191+BU191+BV191-BX191,CJ191),0)</f>
        <v>0</v>
      </c>
      <c r="BZ191" s="297">
        <f t="shared" si="428"/>
        <v>0</v>
      </c>
      <c r="CA191" s="74"/>
      <c r="CB191" s="74"/>
      <c r="CC191" s="413">
        <f t="shared" si="355"/>
        <v>0</v>
      </c>
      <c r="CF191" s="90">
        <f t="shared" si="356"/>
        <v>11</v>
      </c>
      <c r="CG191" s="121">
        <f t="shared" si="409"/>
        <v>0</v>
      </c>
      <c r="CI191" s="70">
        <f t="shared" si="410"/>
        <v>0</v>
      </c>
      <c r="CJ191" s="2178">
        <f t="shared" ca="1" si="357"/>
        <v>0</v>
      </c>
      <c r="CL191" s="161"/>
      <c r="CN191" s="308">
        <f t="shared" ca="1" si="322"/>
        <v>2</v>
      </c>
      <c r="CO191" s="309">
        <f t="shared" si="358"/>
        <v>0</v>
      </c>
      <c r="CP191" s="268">
        <f t="shared" si="323"/>
        <v>0</v>
      </c>
      <c r="CQ191" s="123">
        <f t="shared" si="359"/>
        <v>0</v>
      </c>
      <c r="CR191" s="123">
        <f t="shared" si="435"/>
        <v>0</v>
      </c>
      <c r="CS191" s="123">
        <f t="shared" si="436"/>
        <v>0</v>
      </c>
      <c r="CT191" s="33">
        <f>IF(CZ190&lt;0.01,0,IF(Plus!$F$22=Plus!$AN$4,0,IF(Plus!$F$22=Plus!$AN$3,CZ190*Plus!$F$23/1000,CZ190*VLOOKUP(Plus!$G$21,Plus!$AP$2:'Plus'!$AQ$5,2,0))))</f>
        <v>0</v>
      </c>
      <c r="CU191" s="123">
        <f>IF(CZ190&lt;0.01,0,IF(Plus!$F$24=Plus!$AO$3,0,IF(OR(Plus!$F$10=Plus!$AK$7,Plus!$F$10=Plus!$AK$13),0,Plus!$G$13*Plus!$AR$2)))</f>
        <v>0</v>
      </c>
      <c r="CV191" s="123">
        <f>IF(CZ190&lt;0.01,0,IF(OR(Plus!$F$10=Plus!$AK$7,Plus!$F$10=Plus!$AK$13),0,Plus!$BD$2*1.16))</f>
        <v>0</v>
      </c>
      <c r="CW191" s="123">
        <f>IF(CZ190&lt;0.01,0,IF(Plus!$AS$2&gt;0,CQ191*Plus!$AS$3,0))</f>
        <v>0</v>
      </c>
      <c r="CX191" s="123">
        <f t="shared" si="360"/>
        <v>0</v>
      </c>
      <c r="CY191" s="123">
        <f>IF(Plus!$F$10=Plus!$AK$3,MIN(CZ190+CQ191+CT191+CU191+CV191-CX191,DK191),0)</f>
        <v>0</v>
      </c>
      <c r="CZ191" s="297">
        <f t="shared" si="440"/>
        <v>0</v>
      </c>
      <c r="DA191" s="306">
        <f>Plus!O232</f>
        <v>0</v>
      </c>
      <c r="DB191" s="74"/>
      <c r="DC191" s="74"/>
      <c r="DD191" s="407">
        <f t="shared" si="361"/>
        <v>0</v>
      </c>
      <c r="DG191" s="90">
        <f t="shared" si="362"/>
        <v>11</v>
      </c>
      <c r="DH191" s="121">
        <f t="shared" si="411"/>
        <v>0</v>
      </c>
      <c r="DJ191" s="149">
        <f t="shared" si="412"/>
        <v>0</v>
      </c>
      <c r="DK191" s="2179">
        <f t="shared" ca="1" si="363"/>
        <v>0</v>
      </c>
      <c r="DN191" s="120">
        <f t="shared" si="413"/>
        <v>0</v>
      </c>
      <c r="DO191" s="110">
        <f t="shared" si="364"/>
        <v>0</v>
      </c>
      <c r="DP191" s="110">
        <f t="shared" si="422"/>
        <v>0</v>
      </c>
      <c r="DQ191" s="109">
        <f t="shared" si="365"/>
        <v>0</v>
      </c>
      <c r="DR191" s="109">
        <f t="shared" si="366"/>
        <v>0</v>
      </c>
      <c r="DS191" s="113">
        <f t="shared" si="367"/>
        <v>0</v>
      </c>
      <c r="DU191" s="102">
        <f t="shared" si="368"/>
        <v>0</v>
      </c>
      <c r="DV191" s="211">
        <f t="shared" si="423"/>
        <v>167</v>
      </c>
      <c r="DW191" s="212">
        <f t="shared" si="369"/>
        <v>0</v>
      </c>
      <c r="DX191" s="212">
        <f t="shared" si="324"/>
        <v>0</v>
      </c>
      <c r="DY191" s="212">
        <f t="shared" si="414"/>
        <v>0</v>
      </c>
      <c r="DZ191" s="213">
        <f t="shared" si="325"/>
        <v>1000000</v>
      </c>
      <c r="ED191" s="182"/>
      <c r="EF191" s="308">
        <f t="shared" ca="1" si="326"/>
        <v>2</v>
      </c>
      <c r="EG191" s="309">
        <f t="shared" si="370"/>
        <v>0</v>
      </c>
      <c r="EH191" s="268">
        <f t="shared" si="327"/>
        <v>0</v>
      </c>
      <c r="EI191" s="33">
        <f t="shared" si="371"/>
        <v>0</v>
      </c>
      <c r="EJ191" s="33">
        <f t="shared" si="437"/>
        <v>0</v>
      </c>
      <c r="EK191" s="33">
        <f t="shared" si="445"/>
        <v>0</v>
      </c>
      <c r="EL191" s="33">
        <f>IF(ER190&lt;0.01,0,IF(Plus!$F$22=Plus!$AN$4,0,IF(Plus!$F$22=Plus!$AN$3,ER190*Plus!$F$23/1000,ER190*VLOOKUP(Plus!$G$21,Plus!$AP$2:'Plus'!$AQ$5,2,0))))</f>
        <v>0</v>
      </c>
      <c r="EM191" s="33">
        <f>IF(ER190&lt;0.01,0,IF(Plus!$F$24=Plus!$AO$3,0,IF(OR(Plus!$F$10=Plus!$AK$7,Plus!$F$10=Plus!$AK$13),0,Plus!$G$13*Plus!$AR$2)))</f>
        <v>0</v>
      </c>
      <c r="EN191" s="33">
        <f>IF(ER190&lt;0.01,0,IF(OR(Plus!$F$10=Plus!$AK$7,Plus!$F$10=Plus!$AK$13),0,Plus!$BD$2*1.16))</f>
        <v>0</v>
      </c>
      <c r="EO191" s="33">
        <f>IF(ER190&lt;0.01,0,IF(Plus!$AS$2&gt;0,EI191*Plus!$AS$3,0))</f>
        <v>0</v>
      </c>
      <c r="EP191" s="33">
        <f t="shared" si="372"/>
        <v>0</v>
      </c>
      <c r="EQ191" s="33">
        <f>IF(Plus!$F$10=Plus!$AK$3,MIN(ER190+EI191+EL191+EM191+EN191-EP191,FC191),0)</f>
        <v>0</v>
      </c>
      <c r="ER191" s="311">
        <f t="shared" si="431"/>
        <v>0</v>
      </c>
      <c r="ES191" s="340">
        <f>Plus!O232</f>
        <v>0</v>
      </c>
      <c r="ET191" s="74"/>
      <c r="EU191" s="74"/>
      <c r="EV191" s="416">
        <f t="shared" si="429"/>
        <v>0</v>
      </c>
      <c r="EY191" s="90">
        <f t="shared" si="373"/>
        <v>11</v>
      </c>
      <c r="EZ191" s="121">
        <f t="shared" si="415"/>
        <v>0</v>
      </c>
      <c r="FB191" s="149">
        <f t="shared" si="416"/>
        <v>0</v>
      </c>
      <c r="FC191" s="2179">
        <f t="shared" ca="1" si="374"/>
        <v>0</v>
      </c>
      <c r="FE191" s="120">
        <f t="shared" si="417"/>
        <v>0</v>
      </c>
      <c r="FF191" s="110">
        <f t="shared" si="375"/>
        <v>0</v>
      </c>
      <c r="FG191" s="110">
        <f t="shared" si="376"/>
        <v>0</v>
      </c>
      <c r="FH191" s="109">
        <f t="shared" si="377"/>
        <v>0</v>
      </c>
      <c r="FI191" s="109">
        <f t="shared" si="328"/>
        <v>0</v>
      </c>
      <c r="FJ191" s="113">
        <f t="shared" si="378"/>
        <v>0</v>
      </c>
      <c r="FL191" s="102">
        <f t="shared" si="379"/>
        <v>0</v>
      </c>
      <c r="FM191" s="211">
        <f t="shared" si="424"/>
        <v>167</v>
      </c>
      <c r="FN191" s="212">
        <f t="shared" si="380"/>
        <v>0</v>
      </c>
      <c r="FO191" s="212">
        <f t="shared" si="329"/>
        <v>0</v>
      </c>
      <c r="FP191" s="212">
        <f t="shared" si="446"/>
        <v>0</v>
      </c>
      <c r="FQ191" s="213">
        <f t="shared" si="330"/>
        <v>1000000</v>
      </c>
      <c r="FV191" s="359"/>
      <c r="FX191" s="308">
        <f t="shared" ca="1" si="331"/>
        <v>2</v>
      </c>
      <c r="FY191" s="309">
        <f t="shared" si="381"/>
        <v>0</v>
      </c>
      <c r="FZ191" s="268">
        <f t="shared" si="332"/>
        <v>0</v>
      </c>
      <c r="GA191" s="33">
        <f t="shared" si="382"/>
        <v>0</v>
      </c>
      <c r="GB191" s="33">
        <f t="shared" si="438"/>
        <v>0</v>
      </c>
      <c r="GC191" s="33">
        <f t="shared" si="439"/>
        <v>0</v>
      </c>
      <c r="GD191" s="33">
        <f>IF(GJ190&lt;0.01,0,IF(Plus!$F$22=Plus!$AN$4,0,IF(Plus!$F$22=Plus!$AN$3,GJ190*Plus!$F$23/1000,GJ190*VLOOKUP(Plus!$G$21,Plus!$AP$2:$AQ$5,2,0))))</f>
        <v>0</v>
      </c>
      <c r="GE191" s="33">
        <f>IF(GJ190&lt;0.01,0,IF(Plus!$F$24=Plus!$AO$3,0,IF(OR(Plus!$F$10=Plus!$AK$7,Plus!$F$10=Plus!$AK$13,Plus!$F$10=Plus!$AK$14),0,IF(OR(Plus!$F$10=Plus!$AK$10,Plus!$F$10=Plus!$AK$11),Plus!$G$13*Adm!$W$7,Plus!$G$13*Adm!$X$4))))</f>
        <v>0</v>
      </c>
      <c r="GF191" s="33">
        <f>IF(GJ190&lt;0.01,0,IF(OR(Plus!$F$10=Plus!$AK$7,Plus!$F$10=Plus!$AK$13),0,Plus!$BD$2*1.16))</f>
        <v>0</v>
      </c>
      <c r="GG191" s="33">
        <f>IF(GJ190&lt;0.01,0,IF(Plus!$AS$2&gt;0,GA191*Plus!$AS$3,0))</f>
        <v>0</v>
      </c>
      <c r="GH191" s="33">
        <f t="shared" si="383"/>
        <v>0</v>
      </c>
      <c r="GI191" s="33">
        <f>IF(Plus!$F$10=Plus!$AK$3,MIN(GJ190+GA191+GD191+GE191+GF191-GH191,GU191),0)</f>
        <v>0</v>
      </c>
      <c r="GJ191" s="311">
        <f t="shared" si="432"/>
        <v>0</v>
      </c>
      <c r="GK191" s="340">
        <f>Plus!O232</f>
        <v>0</v>
      </c>
      <c r="GL191" s="74"/>
      <c r="GM191" s="74"/>
      <c r="GN191" s="419">
        <f t="shared" si="430"/>
        <v>0</v>
      </c>
      <c r="GQ191" s="90">
        <f t="shared" si="384"/>
        <v>11</v>
      </c>
      <c r="GR191" s="121">
        <f t="shared" si="418"/>
        <v>0</v>
      </c>
      <c r="GT191" s="149">
        <f t="shared" si="419"/>
        <v>0</v>
      </c>
      <c r="GU191" s="2179">
        <f t="shared" ca="1" si="385"/>
        <v>0</v>
      </c>
      <c r="GW191" s="120">
        <f t="shared" si="420"/>
        <v>0</v>
      </c>
      <c r="GX191" s="110">
        <f t="shared" si="386"/>
        <v>0</v>
      </c>
      <c r="GY191" s="110">
        <f t="shared" si="387"/>
        <v>0</v>
      </c>
      <c r="GZ191" s="109">
        <f t="shared" si="388"/>
        <v>0</v>
      </c>
      <c r="HA191" s="109">
        <f t="shared" si="333"/>
        <v>0</v>
      </c>
      <c r="HB191" s="113">
        <f t="shared" si="389"/>
        <v>0</v>
      </c>
      <c r="HD191" s="102">
        <f t="shared" si="390"/>
        <v>0</v>
      </c>
      <c r="HE191" s="211">
        <f t="shared" si="425"/>
        <v>167</v>
      </c>
      <c r="HF191" s="212">
        <f t="shared" si="391"/>
        <v>0</v>
      </c>
      <c r="HG191" s="212">
        <f t="shared" si="334"/>
        <v>0</v>
      </c>
      <c r="HH191" s="212">
        <f t="shared" si="447"/>
        <v>0</v>
      </c>
      <c r="HI191" s="213">
        <f t="shared" si="335"/>
        <v>1000000</v>
      </c>
      <c r="HL191" s="182"/>
      <c r="HM191" s="26">
        <f t="shared" ca="1" si="336"/>
        <v>2</v>
      </c>
      <c r="HO191" s="268">
        <f t="shared" si="337"/>
        <v>0</v>
      </c>
      <c r="HP191" s="151">
        <f t="shared" si="448"/>
        <v>0</v>
      </c>
      <c r="HQ191" s="123">
        <f t="shared" si="392"/>
        <v>0</v>
      </c>
      <c r="HR191" s="123">
        <f t="shared" si="393"/>
        <v>0</v>
      </c>
      <c r="HS191" s="123">
        <f t="shared" si="394"/>
        <v>0</v>
      </c>
      <c r="HT191" s="123">
        <f>IF(HY190&lt;0.01,0,IF(Adm!$GS$4=Adm!$GS$8,HY190*$HY$15,IF(Adm!$GS$12=Adm!$GS$13,0,HY190*Adm!$GV$4)))</f>
        <v>0</v>
      </c>
      <c r="HU191" s="123">
        <f>IF(HY190&lt;0.01,0,IF(Adm!$GS$5=Adm!$GS$8,Cal!$BO$108*$HY$16/1.16,IF(Adm!$GS$12=Adm!$GS$13,0,Cal!$BO$108*Adm!$GW$4/1.16)))</f>
        <v>0</v>
      </c>
      <c r="HV191" s="123">
        <f t="shared" si="395"/>
        <v>0</v>
      </c>
      <c r="HW191" s="123">
        <f t="shared" si="338"/>
        <v>0</v>
      </c>
      <c r="HX191" s="123">
        <f>IF(Adm!$GH$6="si",MIN(HY190+HQ191+HT191+HU191+HV191-HW191,IH191),0)</f>
        <v>0</v>
      </c>
      <c r="HY191" s="297">
        <f t="shared" si="396"/>
        <v>0</v>
      </c>
      <c r="HZ191" s="74"/>
      <c r="IA191" s="407">
        <f t="shared" si="397"/>
        <v>0</v>
      </c>
      <c r="IC191" s="90">
        <f t="shared" si="398"/>
        <v>11</v>
      </c>
      <c r="ID191" s="124">
        <f>IF(IC191=1,Cal!$BO$127,0)</f>
        <v>0</v>
      </c>
      <c r="IE191" s="178">
        <f>IF(IC191=1,Adm!$HI$4,0)</f>
        <v>0</v>
      </c>
      <c r="IG191" s="70">
        <f t="shared" si="421"/>
        <v>0</v>
      </c>
      <c r="IH191" s="2178">
        <f t="shared" ca="1" si="399"/>
        <v>0</v>
      </c>
      <c r="IK191" s="217"/>
      <c r="IL191" s="26">
        <f t="shared" ca="1" si="339"/>
        <v>2</v>
      </c>
      <c r="IN191" s="268">
        <f t="shared" si="340"/>
        <v>0</v>
      </c>
      <c r="IO191" s="151">
        <f t="shared" si="449"/>
        <v>0</v>
      </c>
      <c r="IP191" s="123">
        <f t="shared" si="400"/>
        <v>0</v>
      </c>
      <c r="IQ191" s="123">
        <f t="shared" si="401"/>
        <v>0</v>
      </c>
      <c r="IR191" s="123">
        <f t="shared" si="402"/>
        <v>0</v>
      </c>
      <c r="IS191" s="123">
        <f>IF(IX190&lt;0.01,0,IF(Adm!$GS$4=Adm!$GS$8,IX190*$IX$15,IF(Adm!$GS$12=Adm!$GS$13,0,IX190*Adm!$GV$4)))</f>
        <v>0</v>
      </c>
      <c r="IT191" s="123"/>
      <c r="IU191" s="123">
        <f t="shared" si="403"/>
        <v>0</v>
      </c>
      <c r="IV191" s="123">
        <f t="shared" si="404"/>
        <v>0</v>
      </c>
      <c r="IW191" s="123"/>
      <c r="IX191" s="297">
        <f t="shared" si="405"/>
        <v>0</v>
      </c>
      <c r="IY191" s="74"/>
      <c r="IZ191" s="416">
        <f t="shared" si="406"/>
        <v>0</v>
      </c>
      <c r="JB191" s="90">
        <f t="shared" si="407"/>
        <v>11</v>
      </c>
      <c r="JC191" s="124">
        <f>IF(JB191=1,Cal!$BP$127,0)</f>
        <v>0</v>
      </c>
      <c r="JD191" s="178">
        <f>IF(JB191=1,Adm!$HI$4,0)</f>
        <v>0</v>
      </c>
    </row>
    <row r="192" spans="1:264">
      <c r="A192" s="26">
        <f t="shared" ca="1" si="308"/>
        <v>3</v>
      </c>
      <c r="C192" s="33">
        <f t="shared" si="309"/>
        <v>0</v>
      </c>
      <c r="D192" s="123">
        <f t="shared" si="341"/>
        <v>0</v>
      </c>
      <c r="E192" s="123">
        <f t="shared" si="433"/>
        <v>0</v>
      </c>
      <c r="F192" s="123">
        <f t="shared" si="443"/>
        <v>0</v>
      </c>
      <c r="G192" s="123">
        <f>IF(L191&lt;0.01,0,IF(Adm!$S$4=Adm!$S$8,L191*$L$15,L191*Adm!$V$4))</f>
        <v>0</v>
      </c>
      <c r="H192" s="123">
        <f>IF(L191&lt;0.01,0,IF(Adm!$S$5=Adm!$S$8,Adm!$AA$11*$L$16/1.16,IF(Adm!$B$4=Adm!$A$119,0,Adm!$AA$11*Adm!$X$4/1.16)))</f>
        <v>0</v>
      </c>
      <c r="I192" s="123">
        <f>IF(L191&lt;0.01,0,Cal!$AB$126/1.16)</f>
        <v>0</v>
      </c>
      <c r="J192" s="123">
        <f t="shared" si="310"/>
        <v>0</v>
      </c>
      <c r="K192" s="123">
        <f>IF(Adm!$G$4="si",MIN(L191+D192+G192+H192+I192-J192,V192),0)</f>
        <v>0</v>
      </c>
      <c r="L192" s="123">
        <f t="shared" si="342"/>
        <v>0</v>
      </c>
      <c r="M192" s="74"/>
      <c r="N192" s="74"/>
      <c r="O192" s="407">
        <f t="shared" si="343"/>
        <v>0</v>
      </c>
      <c r="R192" s="90">
        <f t="shared" si="344"/>
        <v>12</v>
      </c>
      <c r="S192" s="121">
        <f>IF(R192=1,Cal!$AB$127,0)</f>
        <v>0</v>
      </c>
      <c r="U192" s="70">
        <f t="shared" si="408"/>
        <v>0</v>
      </c>
      <c r="V192" s="2178">
        <f t="shared" ca="1" si="345"/>
        <v>0</v>
      </c>
      <c r="X192" s="398"/>
      <c r="Z192" s="268">
        <f t="shared" si="311"/>
        <v>0</v>
      </c>
      <c r="AA192" s="2176">
        <f t="shared" si="346"/>
        <v>0</v>
      </c>
      <c r="AB192" s="33">
        <f t="shared" si="347"/>
        <v>0</v>
      </c>
      <c r="AC192" s="33">
        <f t="shared" si="348"/>
        <v>0</v>
      </c>
      <c r="AD192" s="33">
        <f>IF(AI191&lt;0.01,0,IF(Adm!$S$4=Adm!$S$8,AI191*$AI$15,AI191*Adm!$V$4))</f>
        <v>0</v>
      </c>
      <c r="AE192" s="33"/>
      <c r="AF192" s="33"/>
      <c r="AG192" s="33">
        <f t="shared" si="312"/>
        <v>0</v>
      </c>
      <c r="AH192" s="33"/>
      <c r="AI192" s="401">
        <f t="shared" si="313"/>
        <v>0</v>
      </c>
      <c r="AK192" s="410">
        <f t="shared" si="314"/>
        <v>0</v>
      </c>
      <c r="AN192" s="90">
        <f t="shared" si="349"/>
        <v>12</v>
      </c>
      <c r="AO192" s="121">
        <f>IF(AN192=1,Cal!$AC$127,0)</f>
        <v>0</v>
      </c>
      <c r="AS192" s="200"/>
      <c r="AU192" s="268">
        <f t="shared" si="315"/>
        <v>0</v>
      </c>
      <c r="AV192" s="2177">
        <f t="shared" si="350"/>
        <v>0</v>
      </c>
      <c r="AW192" s="123">
        <f t="shared" si="316"/>
        <v>0</v>
      </c>
      <c r="AX192" s="123">
        <f t="shared" si="351"/>
        <v>0</v>
      </c>
      <c r="AY192" s="123">
        <f>IF(BC191&lt;0.01,0,IF(Adm!$S$4=Adm!$S$8,BC191*$BC$16,BC191*Adm!$V$4))</f>
        <v>0</v>
      </c>
      <c r="AZ192" s="123"/>
      <c r="BA192" s="123">
        <f>IF(BC191&lt;0.01,0,Adm!$Q$6)</f>
        <v>0</v>
      </c>
      <c r="BB192" s="123">
        <f t="shared" si="317"/>
        <v>0</v>
      </c>
      <c r="BC192" s="297">
        <f t="shared" si="352"/>
        <v>0</v>
      </c>
      <c r="BE192" s="425">
        <f t="shared" si="318"/>
        <v>0</v>
      </c>
      <c r="BH192" s="90">
        <f t="shared" si="353"/>
        <v>12</v>
      </c>
      <c r="BI192" s="121">
        <f>IF(BH192=1,Cal!$AD$127,0)</f>
        <v>0</v>
      </c>
      <c r="BM192" s="221"/>
      <c r="BO192" s="295">
        <f t="shared" ca="1" si="319"/>
        <v>3</v>
      </c>
      <c r="BP192" s="268">
        <f t="shared" si="320"/>
        <v>0</v>
      </c>
      <c r="BQ192" s="123">
        <f t="shared" si="354"/>
        <v>0</v>
      </c>
      <c r="BR192" s="123">
        <f t="shared" si="434"/>
        <v>0</v>
      </c>
      <c r="BS192" s="123">
        <f t="shared" si="444"/>
        <v>0</v>
      </c>
      <c r="BT192" s="123">
        <f>IF(BZ191&lt;0.01,0,IF(Plus!$F$22=Plus!$AN$4,BZ191*$BZ$15,IF(Plus!$F$22=Plus!$AN$3,BZ191*Plus!$F$23/1000,BZ191*VLOOKUP(Plus!$G$21,Plus!$AP$2:'Plus'!$AQ$5,2,0))))</f>
        <v>0</v>
      </c>
      <c r="BU192" s="123">
        <f>IF(BZ191&lt;0.01,0,IF(Plus!$F$24=Plus!$AO$3,Plus!$G$13*Plus!$AR$2/1.16,IF(Plus!$F$10=Plus!$AK$7,0,Plus!$G$13*Plus!$AR$2/1.16)))</f>
        <v>0</v>
      </c>
      <c r="BV192" s="123">
        <f>IF(BZ191&lt;0.01,0,Plus!$BD$2)</f>
        <v>0</v>
      </c>
      <c r="BW192" s="123"/>
      <c r="BX192" s="123">
        <f t="shared" si="321"/>
        <v>0</v>
      </c>
      <c r="BY192" s="123">
        <f>IF(Plus!$F$10=Plus!$AK$3,MIN(BZ191+BQ192+BT192+BU192+BV192-BX192,CJ192),0)</f>
        <v>0</v>
      </c>
      <c r="BZ192" s="297">
        <f t="shared" si="428"/>
        <v>0</v>
      </c>
      <c r="CA192" s="74"/>
      <c r="CB192" s="74"/>
      <c r="CC192" s="413">
        <f t="shared" si="355"/>
        <v>0</v>
      </c>
      <c r="CF192" s="90">
        <f t="shared" si="356"/>
        <v>12</v>
      </c>
      <c r="CG192" s="121">
        <f t="shared" si="409"/>
        <v>0</v>
      </c>
      <c r="CI192" s="70">
        <f t="shared" si="410"/>
        <v>0</v>
      </c>
      <c r="CJ192" s="2178">
        <f t="shared" ca="1" si="357"/>
        <v>0</v>
      </c>
      <c r="CL192" s="161"/>
      <c r="CN192" s="308">
        <f t="shared" ca="1" si="322"/>
        <v>3</v>
      </c>
      <c r="CO192" s="309">
        <f t="shared" si="358"/>
        <v>0</v>
      </c>
      <c r="CP192" s="268">
        <f t="shared" si="323"/>
        <v>0</v>
      </c>
      <c r="CQ192" s="123">
        <f t="shared" si="359"/>
        <v>0</v>
      </c>
      <c r="CR192" s="123">
        <f t="shared" si="435"/>
        <v>0</v>
      </c>
      <c r="CS192" s="123">
        <f t="shared" si="436"/>
        <v>0</v>
      </c>
      <c r="CT192" s="33">
        <f>IF(CZ191&lt;0.01,0,IF(Plus!$F$22=Plus!$AN$4,0,IF(Plus!$F$22=Plus!$AN$3,CZ191*Plus!$F$23/1000,CZ191*VLOOKUP(Plus!$G$21,Plus!$AP$2:'Plus'!$AQ$5,2,0))))</f>
        <v>0</v>
      </c>
      <c r="CU192" s="123">
        <f>IF(CZ191&lt;0.01,0,IF(Plus!$F$24=Plus!$AO$3,0,IF(OR(Plus!$F$10=Plus!$AK$7,Plus!$F$10=Plus!$AK$13),0,Plus!$G$13*Plus!$AR$2)))</f>
        <v>0</v>
      </c>
      <c r="CV192" s="123">
        <f>IF(CZ191&lt;0.01,0,IF(OR(Plus!$F$10=Plus!$AK$7,Plus!$F$10=Plus!$AK$13),0,Plus!$BD$2*1.16))</f>
        <v>0</v>
      </c>
      <c r="CW192" s="123">
        <f>IF(CZ191&lt;0.01,0,IF(Plus!$AS$2&gt;0,CQ192*Plus!$AS$3,0))</f>
        <v>0</v>
      </c>
      <c r="CX192" s="123">
        <f t="shared" si="360"/>
        <v>0</v>
      </c>
      <c r="CY192" s="123">
        <f>IF(Plus!$F$10=Plus!$AK$3,MIN(CZ191+CQ192+CT192+CU192+CV192-CX192,DK192),0)</f>
        <v>0</v>
      </c>
      <c r="CZ192" s="297">
        <f t="shared" si="440"/>
        <v>0</v>
      </c>
      <c r="DA192" s="306">
        <f>Plus!O233</f>
        <v>0</v>
      </c>
      <c r="DB192" s="74"/>
      <c r="DC192" s="74"/>
      <c r="DD192" s="407">
        <f t="shared" si="361"/>
        <v>0</v>
      </c>
      <c r="DG192" s="90">
        <f t="shared" si="362"/>
        <v>12</v>
      </c>
      <c r="DH192" s="121">
        <f t="shared" si="411"/>
        <v>0</v>
      </c>
      <c r="DJ192" s="149">
        <f t="shared" si="412"/>
        <v>0</v>
      </c>
      <c r="DK192" s="2179">
        <f t="shared" ca="1" si="363"/>
        <v>0</v>
      </c>
      <c r="DN192" s="120">
        <f t="shared" si="413"/>
        <v>0</v>
      </c>
      <c r="DO192" s="110">
        <f t="shared" si="364"/>
        <v>0</v>
      </c>
      <c r="DP192" s="110">
        <f t="shared" si="422"/>
        <v>0</v>
      </c>
      <c r="DQ192" s="109">
        <f t="shared" si="365"/>
        <v>0</v>
      </c>
      <c r="DR192" s="109">
        <f t="shared" si="366"/>
        <v>0</v>
      </c>
      <c r="DS192" s="113">
        <f t="shared" si="367"/>
        <v>0</v>
      </c>
      <c r="DU192" s="102">
        <f t="shared" si="368"/>
        <v>0</v>
      </c>
      <c r="DV192" s="211">
        <f t="shared" si="423"/>
        <v>168</v>
      </c>
      <c r="DW192" s="212">
        <f t="shared" si="369"/>
        <v>0</v>
      </c>
      <c r="DX192" s="212">
        <f t="shared" si="324"/>
        <v>0</v>
      </c>
      <c r="DY192" s="212">
        <f t="shared" si="414"/>
        <v>0</v>
      </c>
      <c r="DZ192" s="213">
        <f t="shared" si="325"/>
        <v>1000000</v>
      </c>
      <c r="ED192" s="182"/>
      <c r="EF192" s="308">
        <f t="shared" ca="1" si="326"/>
        <v>3</v>
      </c>
      <c r="EG192" s="309">
        <f t="shared" si="370"/>
        <v>0</v>
      </c>
      <c r="EH192" s="268">
        <f t="shared" si="327"/>
        <v>0</v>
      </c>
      <c r="EI192" s="33">
        <f t="shared" si="371"/>
        <v>0</v>
      </c>
      <c r="EJ192" s="33">
        <f t="shared" si="437"/>
        <v>0</v>
      </c>
      <c r="EK192" s="33">
        <f t="shared" si="445"/>
        <v>0</v>
      </c>
      <c r="EL192" s="33">
        <f>IF(ER191&lt;0.01,0,IF(Plus!$F$22=Plus!$AN$4,0,IF(Plus!$F$22=Plus!$AN$3,ER191*Plus!$F$23/1000,ER191*VLOOKUP(Plus!$G$21,Plus!$AP$2:'Plus'!$AQ$5,2,0))))</f>
        <v>0</v>
      </c>
      <c r="EM192" s="33">
        <f>IF(ER191&lt;0.01,0,IF(Plus!$F$24=Plus!$AO$3,0,IF(OR(Plus!$F$10=Plus!$AK$7,Plus!$F$10=Plus!$AK$13),0,Plus!$G$13*Plus!$AR$2)))</f>
        <v>0</v>
      </c>
      <c r="EN192" s="33">
        <f>IF(ER191&lt;0.01,0,IF(OR(Plus!$F$10=Plus!$AK$7,Plus!$F$10=Plus!$AK$13),0,Plus!$BD$2*1.16))</f>
        <v>0</v>
      </c>
      <c r="EO192" s="33">
        <f>IF(ER191&lt;0.01,0,IF(Plus!$AS$2&gt;0,EI192*Plus!$AS$3,0))</f>
        <v>0</v>
      </c>
      <c r="EP192" s="33">
        <f t="shared" si="372"/>
        <v>0</v>
      </c>
      <c r="EQ192" s="33">
        <f>IF(Plus!$F$10=Plus!$AK$3,MIN(ER191+EI192+EL192+EM192+EN192-EP192,FC192),0)</f>
        <v>0</v>
      </c>
      <c r="ER192" s="311">
        <f t="shared" si="431"/>
        <v>0</v>
      </c>
      <c r="ES192" s="340">
        <f>Plus!O233</f>
        <v>0</v>
      </c>
      <c r="ET192" s="74"/>
      <c r="EU192" s="74"/>
      <c r="EV192" s="416">
        <f t="shared" si="429"/>
        <v>0</v>
      </c>
      <c r="EY192" s="90">
        <f t="shared" si="373"/>
        <v>12</v>
      </c>
      <c r="EZ192" s="121">
        <f t="shared" si="415"/>
        <v>0</v>
      </c>
      <c r="FB192" s="149">
        <f t="shared" si="416"/>
        <v>0</v>
      </c>
      <c r="FC192" s="2179">
        <f t="shared" ca="1" si="374"/>
        <v>0</v>
      </c>
      <c r="FE192" s="120">
        <f t="shared" si="417"/>
        <v>0</v>
      </c>
      <c r="FF192" s="110">
        <f t="shared" si="375"/>
        <v>0</v>
      </c>
      <c r="FG192" s="110">
        <f t="shared" si="376"/>
        <v>0</v>
      </c>
      <c r="FH192" s="109">
        <f t="shared" si="377"/>
        <v>0</v>
      </c>
      <c r="FI192" s="109">
        <f t="shared" si="328"/>
        <v>0</v>
      </c>
      <c r="FJ192" s="113">
        <f t="shared" si="378"/>
        <v>0</v>
      </c>
      <c r="FL192" s="102">
        <f t="shared" si="379"/>
        <v>0</v>
      </c>
      <c r="FM192" s="211">
        <f t="shared" si="424"/>
        <v>168</v>
      </c>
      <c r="FN192" s="212">
        <f t="shared" si="380"/>
        <v>0</v>
      </c>
      <c r="FO192" s="212">
        <f t="shared" si="329"/>
        <v>0</v>
      </c>
      <c r="FP192" s="212">
        <f t="shared" si="446"/>
        <v>0</v>
      </c>
      <c r="FQ192" s="213">
        <f t="shared" si="330"/>
        <v>1000000</v>
      </c>
      <c r="FV192" s="359"/>
      <c r="FX192" s="308">
        <f t="shared" ca="1" si="331"/>
        <v>3</v>
      </c>
      <c r="FY192" s="309">
        <f t="shared" si="381"/>
        <v>0</v>
      </c>
      <c r="FZ192" s="268">
        <f t="shared" si="332"/>
        <v>0</v>
      </c>
      <c r="GA192" s="33">
        <f t="shared" si="382"/>
        <v>0</v>
      </c>
      <c r="GB192" s="33">
        <f t="shared" si="438"/>
        <v>0</v>
      </c>
      <c r="GC192" s="33">
        <f t="shared" si="439"/>
        <v>0</v>
      </c>
      <c r="GD192" s="33">
        <f>IF(GJ191&lt;0.01,0,IF(Plus!$F$22=Plus!$AN$4,0,IF(Plus!$F$22=Plus!$AN$3,GJ191*Plus!$F$23/1000,GJ191*VLOOKUP(Plus!$G$21,Plus!$AP$2:$AQ$5,2,0))))</f>
        <v>0</v>
      </c>
      <c r="GE192" s="33">
        <f>IF(GJ191&lt;0.01,0,IF(Plus!$F$24=Plus!$AO$3,0,IF(OR(Plus!$F$10=Plus!$AK$7,Plus!$F$10=Plus!$AK$13,Plus!$F$10=Plus!$AK$14),0,IF(OR(Plus!$F$10=Plus!$AK$10,Plus!$F$10=Plus!$AK$11),Plus!$G$13*Adm!$W$7,Plus!$G$13*Adm!$X$4))))</f>
        <v>0</v>
      </c>
      <c r="GF192" s="33">
        <f>IF(GJ191&lt;0.01,0,IF(OR(Plus!$F$10=Plus!$AK$7,Plus!$F$10=Plus!$AK$13),0,Plus!$BD$2*1.16))</f>
        <v>0</v>
      </c>
      <c r="GG192" s="33">
        <f>IF(GJ191&lt;0.01,0,IF(Plus!$AS$2&gt;0,GA192*Plus!$AS$3,0))</f>
        <v>0</v>
      </c>
      <c r="GH192" s="33">
        <f t="shared" si="383"/>
        <v>0</v>
      </c>
      <c r="GI192" s="33">
        <f>IF(Plus!$F$10=Plus!$AK$3,MIN(GJ191+GA192+GD192+GE192+GF192-GH192,GU192),0)</f>
        <v>0</v>
      </c>
      <c r="GJ192" s="311">
        <f t="shared" si="432"/>
        <v>0</v>
      </c>
      <c r="GK192" s="340">
        <f>Plus!O233</f>
        <v>0</v>
      </c>
      <c r="GL192" s="74"/>
      <c r="GM192" s="74"/>
      <c r="GN192" s="419">
        <f t="shared" si="430"/>
        <v>0</v>
      </c>
      <c r="GQ192" s="90">
        <f t="shared" si="384"/>
        <v>12</v>
      </c>
      <c r="GR192" s="121">
        <f t="shared" si="418"/>
        <v>0</v>
      </c>
      <c r="GT192" s="149">
        <f t="shared" si="419"/>
        <v>0</v>
      </c>
      <c r="GU192" s="2179">
        <f t="shared" ca="1" si="385"/>
        <v>0</v>
      </c>
      <c r="GW192" s="120">
        <f t="shared" si="420"/>
        <v>0</v>
      </c>
      <c r="GX192" s="110">
        <f t="shared" si="386"/>
        <v>0</v>
      </c>
      <c r="GY192" s="110">
        <f t="shared" si="387"/>
        <v>0</v>
      </c>
      <c r="GZ192" s="109">
        <f t="shared" si="388"/>
        <v>0</v>
      </c>
      <c r="HA192" s="109">
        <f t="shared" si="333"/>
        <v>0</v>
      </c>
      <c r="HB192" s="113">
        <f t="shared" si="389"/>
        <v>0</v>
      </c>
      <c r="HD192" s="102">
        <f t="shared" si="390"/>
        <v>0</v>
      </c>
      <c r="HE192" s="211">
        <f t="shared" si="425"/>
        <v>168</v>
      </c>
      <c r="HF192" s="212">
        <f t="shared" si="391"/>
        <v>0</v>
      </c>
      <c r="HG192" s="212">
        <f t="shared" si="334"/>
        <v>0</v>
      </c>
      <c r="HH192" s="212">
        <f t="shared" si="447"/>
        <v>0</v>
      </c>
      <c r="HI192" s="213">
        <f t="shared" si="335"/>
        <v>1000000</v>
      </c>
      <c r="HL192" s="182"/>
      <c r="HM192" s="26">
        <f t="shared" ca="1" si="336"/>
        <v>3</v>
      </c>
      <c r="HO192" s="268">
        <f t="shared" si="337"/>
        <v>0</v>
      </c>
      <c r="HP192" s="151">
        <f t="shared" si="448"/>
        <v>0</v>
      </c>
      <c r="HQ192" s="123">
        <f t="shared" si="392"/>
        <v>0</v>
      </c>
      <c r="HR192" s="123">
        <f t="shared" si="393"/>
        <v>0</v>
      </c>
      <c r="HS192" s="123">
        <f t="shared" si="394"/>
        <v>0</v>
      </c>
      <c r="HT192" s="123">
        <f>IF(HY191&lt;0.01,0,IF(Adm!$GS$4=Adm!$GS$8,HY191*$HY$15,IF(Adm!$GS$12=Adm!$GS$13,0,HY191*Adm!$GV$4)))</f>
        <v>0</v>
      </c>
      <c r="HU192" s="123">
        <f>IF(HY191&lt;0.01,0,IF(Adm!$GS$5=Adm!$GS$8,Cal!$BO$108*$HY$16/1.16,IF(Adm!$GS$12=Adm!$GS$13,0,Cal!$BO$108*Adm!$GW$4/1.16)))</f>
        <v>0</v>
      </c>
      <c r="HV192" s="123">
        <f t="shared" si="395"/>
        <v>0</v>
      </c>
      <c r="HW192" s="123">
        <f t="shared" si="338"/>
        <v>0</v>
      </c>
      <c r="HX192" s="123">
        <f>IF(Adm!$GH$6="si",MIN(HY191+HQ192+HT192+HU192+HV192-HW192,IH192),0)</f>
        <v>0</v>
      </c>
      <c r="HY192" s="297">
        <f t="shared" si="396"/>
        <v>0</v>
      </c>
      <c r="HZ192" s="74"/>
      <c r="IA192" s="407">
        <f t="shared" si="397"/>
        <v>0</v>
      </c>
      <c r="IC192" s="90">
        <f t="shared" si="398"/>
        <v>12</v>
      </c>
      <c r="ID192" s="124">
        <f>IF(IC192=1,Cal!$BO$127,0)</f>
        <v>0</v>
      </c>
      <c r="IE192" s="178">
        <f>IF(IC192=1,Adm!$HI$4,0)</f>
        <v>0</v>
      </c>
      <c r="IG192" s="70">
        <f t="shared" si="421"/>
        <v>0</v>
      </c>
      <c r="IH192" s="2178">
        <f t="shared" ca="1" si="399"/>
        <v>0</v>
      </c>
      <c r="IK192" s="217"/>
      <c r="IL192" s="26">
        <f t="shared" ca="1" si="339"/>
        <v>3</v>
      </c>
      <c r="IN192" s="268">
        <f t="shared" si="340"/>
        <v>0</v>
      </c>
      <c r="IO192" s="151">
        <f t="shared" si="449"/>
        <v>0</v>
      </c>
      <c r="IP192" s="123">
        <f t="shared" si="400"/>
        <v>0</v>
      </c>
      <c r="IQ192" s="123">
        <f t="shared" si="401"/>
        <v>0</v>
      </c>
      <c r="IR192" s="123">
        <f t="shared" si="402"/>
        <v>0</v>
      </c>
      <c r="IS192" s="123">
        <f>IF(IX191&lt;0.01,0,IF(Adm!$GS$4=Adm!$GS$8,IX191*$IX$15,IF(Adm!$GS$12=Adm!$GS$13,0,IX191*Adm!$GV$4)))</f>
        <v>0</v>
      </c>
      <c r="IT192" s="123"/>
      <c r="IU192" s="123">
        <f t="shared" si="403"/>
        <v>0</v>
      </c>
      <c r="IV192" s="123">
        <f t="shared" si="404"/>
        <v>0</v>
      </c>
      <c r="IW192" s="123"/>
      <c r="IX192" s="297">
        <f t="shared" si="405"/>
        <v>0</v>
      </c>
      <c r="IY192" s="74"/>
      <c r="IZ192" s="416">
        <f t="shared" si="406"/>
        <v>0</v>
      </c>
      <c r="JB192" s="90">
        <f t="shared" si="407"/>
        <v>12</v>
      </c>
      <c r="JC192" s="124">
        <f>IF(JB192=1,Cal!$BP$127,0)</f>
        <v>0</v>
      </c>
      <c r="JD192" s="178">
        <f>IF(JB192=1,Adm!$HI$4,0)</f>
        <v>0</v>
      </c>
    </row>
    <row r="193" spans="1:264">
      <c r="A193" s="26">
        <f t="shared" ca="1" si="308"/>
        <v>4</v>
      </c>
      <c r="C193" s="33">
        <f t="shared" si="309"/>
        <v>0</v>
      </c>
      <c r="D193" s="123">
        <f t="shared" si="341"/>
        <v>0</v>
      </c>
      <c r="E193" s="123">
        <f t="shared" si="433"/>
        <v>0</v>
      </c>
      <c r="F193" s="123">
        <f t="shared" si="443"/>
        <v>0</v>
      </c>
      <c r="G193" s="123">
        <f>IF(L192&lt;0.01,0,IF(Adm!$S$4=Adm!$S$8,L192*$L$15,L192*Adm!$V$4))</f>
        <v>0</v>
      </c>
      <c r="H193" s="123">
        <f>IF(L192&lt;0.01,0,IF(Adm!$S$5=Adm!$S$8,Adm!$AA$11*$L$16/1.16,IF(Adm!$B$4=Adm!$A$119,0,Adm!$AA$11*Adm!$X$4/1.16)))</f>
        <v>0</v>
      </c>
      <c r="I193" s="123">
        <f>IF(L192&lt;0.01,0,Cal!$AB$126/1.16)</f>
        <v>0</v>
      </c>
      <c r="J193" s="123">
        <f t="shared" si="310"/>
        <v>0</v>
      </c>
      <c r="K193" s="123">
        <f>IF(Adm!$G$4="si",MIN(L192+D193+G193+H193+I193-J193,V193),0)</f>
        <v>0</v>
      </c>
      <c r="L193" s="123">
        <f t="shared" si="342"/>
        <v>0</v>
      </c>
      <c r="M193" s="74"/>
      <c r="N193" s="74"/>
      <c r="O193" s="407">
        <f t="shared" si="343"/>
        <v>0</v>
      </c>
      <c r="R193" s="90">
        <f t="shared" si="344"/>
        <v>1</v>
      </c>
      <c r="S193" s="121">
        <f>IF(R193=1,Cal!$AB$127,0)</f>
        <v>0</v>
      </c>
      <c r="U193" s="70">
        <f t="shared" si="408"/>
        <v>0</v>
      </c>
      <c r="V193" s="2178">
        <f t="shared" ca="1" si="345"/>
        <v>0</v>
      </c>
      <c r="X193" s="398"/>
      <c r="Z193" s="268">
        <f t="shared" si="311"/>
        <v>0</v>
      </c>
      <c r="AA193" s="2176">
        <f t="shared" si="346"/>
        <v>0</v>
      </c>
      <c r="AB193" s="33">
        <f t="shared" si="347"/>
        <v>0</v>
      </c>
      <c r="AC193" s="33">
        <f t="shared" si="348"/>
        <v>0</v>
      </c>
      <c r="AD193" s="33">
        <f>IF(AI192&lt;0.01,0,IF(Adm!$S$4=Adm!$S$8,AI192*$AI$15,AI192*Adm!$V$4))</f>
        <v>0</v>
      </c>
      <c r="AE193" s="33"/>
      <c r="AF193" s="33"/>
      <c r="AG193" s="33">
        <f t="shared" si="312"/>
        <v>0</v>
      </c>
      <c r="AH193" s="33"/>
      <c r="AI193" s="401">
        <f t="shared" si="313"/>
        <v>0</v>
      </c>
      <c r="AK193" s="410">
        <f t="shared" si="314"/>
        <v>0</v>
      </c>
      <c r="AN193" s="90">
        <f t="shared" si="349"/>
        <v>1</v>
      </c>
      <c r="AO193" s="121">
        <f>IF(AN193=1,Cal!$AC$127,0)</f>
        <v>0</v>
      </c>
      <c r="AS193" s="200"/>
      <c r="AU193" s="268">
        <f t="shared" si="315"/>
        <v>0</v>
      </c>
      <c r="AV193" s="2177">
        <f t="shared" si="350"/>
        <v>0</v>
      </c>
      <c r="AW193" s="123">
        <f t="shared" si="316"/>
        <v>0</v>
      </c>
      <c r="AX193" s="123">
        <f t="shared" si="351"/>
        <v>0</v>
      </c>
      <c r="AY193" s="123">
        <f>IF(BC192&lt;0.01,0,IF(Adm!$S$4=Adm!$S$8,BC192*$BC$16,BC192*Adm!$V$4))</f>
        <v>0</v>
      </c>
      <c r="AZ193" s="123"/>
      <c r="BA193" s="123">
        <f>IF(BC192&lt;0.01,0,Adm!$Q$6)</f>
        <v>0</v>
      </c>
      <c r="BB193" s="123">
        <f t="shared" si="317"/>
        <v>0</v>
      </c>
      <c r="BC193" s="297">
        <f t="shared" si="352"/>
        <v>0</v>
      </c>
      <c r="BE193" s="425">
        <f t="shared" si="318"/>
        <v>0</v>
      </c>
      <c r="BH193" s="90">
        <f t="shared" si="353"/>
        <v>1</v>
      </c>
      <c r="BI193" s="121">
        <f>IF(BH193=1,Cal!$AD$127,0)</f>
        <v>0</v>
      </c>
      <c r="BM193" s="221"/>
      <c r="BO193" s="295">
        <f t="shared" ca="1" si="319"/>
        <v>4</v>
      </c>
      <c r="BP193" s="268">
        <f t="shared" si="320"/>
        <v>0</v>
      </c>
      <c r="BQ193" s="123">
        <f t="shared" si="354"/>
        <v>0</v>
      </c>
      <c r="BR193" s="123">
        <f t="shared" si="434"/>
        <v>0</v>
      </c>
      <c r="BS193" s="123">
        <f t="shared" si="444"/>
        <v>0</v>
      </c>
      <c r="BT193" s="123">
        <f>IF(BZ192&lt;0.01,0,IF(Plus!$F$22=Plus!$AN$4,BZ192*$BZ$15,IF(Plus!$F$22=Plus!$AN$3,BZ192*Plus!$F$23/1000,BZ192*VLOOKUP(Plus!$G$21,Plus!$AP$2:'Plus'!$AQ$5,2,0))))</f>
        <v>0</v>
      </c>
      <c r="BU193" s="123">
        <f>IF(BZ192&lt;0.01,0,IF(Plus!$F$24=Plus!$AO$3,Plus!$G$13*Plus!$AR$2/1.16,IF(Plus!$F$10=Plus!$AK$7,0,Plus!$G$13*Plus!$AR$2/1.16)))</f>
        <v>0</v>
      </c>
      <c r="BV193" s="123">
        <f>IF(BZ192&lt;0.01,0,Plus!$BD$2)</f>
        <v>0</v>
      </c>
      <c r="BW193" s="123"/>
      <c r="BX193" s="123">
        <f t="shared" si="321"/>
        <v>0</v>
      </c>
      <c r="BY193" s="123">
        <f>IF(Plus!$F$10=Plus!$AK$3,MIN(BZ192+BQ193+BT193+BU193+BV193-BX193,CJ193),0)</f>
        <v>0</v>
      </c>
      <c r="BZ193" s="297">
        <f t="shared" si="428"/>
        <v>0</v>
      </c>
      <c r="CA193" s="74"/>
      <c r="CB193" s="74"/>
      <c r="CC193" s="413">
        <f t="shared" si="355"/>
        <v>0</v>
      </c>
      <c r="CF193" s="90">
        <f t="shared" si="356"/>
        <v>1</v>
      </c>
      <c r="CG193" s="121">
        <f t="shared" si="409"/>
        <v>0</v>
      </c>
      <c r="CI193" s="70">
        <f t="shared" si="410"/>
        <v>0</v>
      </c>
      <c r="CJ193" s="2178">
        <f t="shared" ca="1" si="357"/>
        <v>0</v>
      </c>
      <c r="CL193" s="161"/>
      <c r="CN193" s="308">
        <f t="shared" ca="1" si="322"/>
        <v>4</v>
      </c>
      <c r="CO193" s="309">
        <f t="shared" si="358"/>
        <v>0</v>
      </c>
      <c r="CP193" s="268">
        <f t="shared" si="323"/>
        <v>0</v>
      </c>
      <c r="CQ193" s="123">
        <f t="shared" si="359"/>
        <v>0</v>
      </c>
      <c r="CR193" s="123">
        <f t="shared" si="435"/>
        <v>0</v>
      </c>
      <c r="CS193" s="123">
        <f t="shared" si="436"/>
        <v>0</v>
      </c>
      <c r="CT193" s="33">
        <f>IF(CZ192&lt;0.01,0,IF(Plus!$F$22=Plus!$AN$4,0,IF(Plus!$F$22=Plus!$AN$3,CZ192*Plus!$F$23/1000,CZ192*VLOOKUP(Plus!$G$21,Plus!$AP$2:'Plus'!$AQ$5,2,0))))</f>
        <v>0</v>
      </c>
      <c r="CU193" s="123">
        <f>IF(CZ192&lt;0.01,0,IF(Plus!$F$24=Plus!$AO$3,0,IF(OR(Plus!$F$10=Plus!$AK$7,Plus!$F$10=Plus!$AK$13),0,Plus!$G$13*Plus!$AR$2)))</f>
        <v>0</v>
      </c>
      <c r="CV193" s="123">
        <f>IF(CZ192&lt;0.01,0,IF(OR(Plus!$F$10=Plus!$AK$7,Plus!$F$10=Plus!$AK$13),0,Plus!$BD$2*1.16))</f>
        <v>0</v>
      </c>
      <c r="CW193" s="123">
        <f>IF(CZ192&lt;0.01,0,IF(Plus!$AS$2&gt;0,CQ193*Plus!$AS$3,0))</f>
        <v>0</v>
      </c>
      <c r="CX193" s="123">
        <f t="shared" si="360"/>
        <v>0</v>
      </c>
      <c r="CY193" s="123">
        <f>IF(Plus!$F$10=Plus!$AK$3,MIN(CZ192+CQ193+CT193+CU193+CV193-CX193,DK193),0)</f>
        <v>0</v>
      </c>
      <c r="CZ193" s="297">
        <f t="shared" si="440"/>
        <v>0</v>
      </c>
      <c r="DA193" s="306">
        <f>Plus!O234</f>
        <v>0</v>
      </c>
      <c r="DB193" s="74"/>
      <c r="DC193" s="74"/>
      <c r="DD193" s="407">
        <f t="shared" si="361"/>
        <v>0</v>
      </c>
      <c r="DG193" s="90">
        <f t="shared" si="362"/>
        <v>1</v>
      </c>
      <c r="DH193" s="121">
        <f t="shared" si="411"/>
        <v>0</v>
      </c>
      <c r="DJ193" s="149">
        <f t="shared" si="412"/>
        <v>0</v>
      </c>
      <c r="DK193" s="2179">
        <f t="shared" ca="1" si="363"/>
        <v>0</v>
      </c>
      <c r="DN193" s="120">
        <f t="shared" si="413"/>
        <v>0</v>
      </c>
      <c r="DO193" s="110">
        <f t="shared" si="364"/>
        <v>0</v>
      </c>
      <c r="DP193" s="110">
        <f t="shared" si="422"/>
        <v>0</v>
      </c>
      <c r="DQ193" s="109">
        <f t="shared" si="365"/>
        <v>0</v>
      </c>
      <c r="DR193" s="109">
        <f t="shared" si="366"/>
        <v>0</v>
      </c>
      <c r="DS193" s="113">
        <f t="shared" si="367"/>
        <v>0</v>
      </c>
      <c r="DU193" s="102">
        <f t="shared" si="368"/>
        <v>0</v>
      </c>
      <c r="DV193" s="333">
        <f t="shared" si="423"/>
        <v>169</v>
      </c>
      <c r="DW193" s="334">
        <f t="shared" si="369"/>
        <v>0</v>
      </c>
      <c r="DX193" s="334">
        <f t="shared" si="324"/>
        <v>0</v>
      </c>
      <c r="DY193" s="334">
        <f>MIN(DZ192+DW193,DY192*(1+$DW$20))</f>
        <v>0</v>
      </c>
      <c r="DZ193" s="213">
        <f t="shared" si="325"/>
        <v>1000000</v>
      </c>
      <c r="ED193" s="182"/>
      <c r="EF193" s="308">
        <f t="shared" ca="1" si="326"/>
        <v>4</v>
      </c>
      <c r="EG193" s="309">
        <f t="shared" si="370"/>
        <v>0</v>
      </c>
      <c r="EH193" s="268">
        <f t="shared" si="327"/>
        <v>0</v>
      </c>
      <c r="EI193" s="33">
        <f t="shared" si="371"/>
        <v>0</v>
      </c>
      <c r="EJ193" s="33">
        <f t="shared" si="437"/>
        <v>0</v>
      </c>
      <c r="EK193" s="33">
        <f t="shared" si="445"/>
        <v>0</v>
      </c>
      <c r="EL193" s="33">
        <f>IF(ER192&lt;0.01,0,IF(Plus!$F$22=Plus!$AN$4,0,IF(Plus!$F$22=Plus!$AN$3,ER192*Plus!$F$23/1000,ER192*VLOOKUP(Plus!$G$21,Plus!$AP$2:'Plus'!$AQ$5,2,0))))</f>
        <v>0</v>
      </c>
      <c r="EM193" s="33">
        <f>IF(ER192&lt;0.01,0,IF(Plus!$F$24=Plus!$AO$3,0,IF(OR(Plus!$F$10=Plus!$AK$7,Plus!$F$10=Plus!$AK$13),0,Plus!$G$13*Plus!$AR$2)))</f>
        <v>0</v>
      </c>
      <c r="EN193" s="33">
        <f>IF(ER192&lt;0.01,0,IF(OR(Plus!$F$10=Plus!$AK$7,Plus!$F$10=Plus!$AK$13),0,Plus!$BD$2*1.16))</f>
        <v>0</v>
      </c>
      <c r="EO193" s="33">
        <f>IF(ER192&lt;0.01,0,IF(Plus!$AS$2&gt;0,EI193*Plus!$AS$3,0))</f>
        <v>0</v>
      </c>
      <c r="EP193" s="33">
        <f t="shared" si="372"/>
        <v>0</v>
      </c>
      <c r="EQ193" s="33">
        <f>IF(Plus!$F$10=Plus!$AK$3,MIN(ER192+EI193+EL193+EM193+EN193-EP193,FC193),0)</f>
        <v>0</v>
      </c>
      <c r="ER193" s="311">
        <f t="shared" si="431"/>
        <v>0</v>
      </c>
      <c r="ES193" s="340">
        <f>Plus!O234</f>
        <v>0</v>
      </c>
      <c r="ET193" s="74"/>
      <c r="EU193" s="74"/>
      <c r="EV193" s="416">
        <f t="shared" si="429"/>
        <v>0</v>
      </c>
      <c r="EY193" s="90">
        <f t="shared" si="373"/>
        <v>1</v>
      </c>
      <c r="EZ193" s="121">
        <f t="shared" si="415"/>
        <v>0</v>
      </c>
      <c r="FB193" s="149">
        <f t="shared" si="416"/>
        <v>0</v>
      </c>
      <c r="FC193" s="2179">
        <f t="shared" ca="1" si="374"/>
        <v>0</v>
      </c>
      <c r="FE193" s="120">
        <f t="shared" si="417"/>
        <v>0</v>
      </c>
      <c r="FF193" s="110">
        <f t="shared" si="375"/>
        <v>0</v>
      </c>
      <c r="FG193" s="110">
        <f t="shared" si="376"/>
        <v>0</v>
      </c>
      <c r="FH193" s="109">
        <f t="shared" si="377"/>
        <v>0</v>
      </c>
      <c r="FI193" s="109">
        <f t="shared" si="328"/>
        <v>0</v>
      </c>
      <c r="FJ193" s="113">
        <f t="shared" si="378"/>
        <v>0</v>
      </c>
      <c r="FL193" s="102">
        <f t="shared" si="379"/>
        <v>0</v>
      </c>
      <c r="FM193" s="326">
        <f t="shared" si="424"/>
        <v>169</v>
      </c>
      <c r="FN193" s="327">
        <f t="shared" si="380"/>
        <v>0</v>
      </c>
      <c r="FO193" s="327">
        <f t="shared" si="329"/>
        <v>0</v>
      </c>
      <c r="FP193" s="327">
        <f>MIN(FQ192+FN193,FP192*(1+$FN$20))</f>
        <v>0</v>
      </c>
      <c r="FQ193" s="213">
        <f t="shared" si="330"/>
        <v>1000000</v>
      </c>
      <c r="FV193" s="359"/>
      <c r="FX193" s="308">
        <f t="shared" ca="1" si="331"/>
        <v>4</v>
      </c>
      <c r="FY193" s="309">
        <f t="shared" si="381"/>
        <v>0</v>
      </c>
      <c r="FZ193" s="268">
        <f t="shared" si="332"/>
        <v>0</v>
      </c>
      <c r="GA193" s="33">
        <f t="shared" si="382"/>
        <v>0</v>
      </c>
      <c r="GB193" s="33">
        <f t="shared" si="438"/>
        <v>0</v>
      </c>
      <c r="GC193" s="33">
        <f t="shared" si="439"/>
        <v>0</v>
      </c>
      <c r="GD193" s="33">
        <f>IF(GJ192&lt;0.01,0,IF(Plus!$F$22=Plus!$AN$4,0,IF(Plus!$F$22=Plus!$AN$3,GJ192*Plus!$F$23/1000,GJ192*VLOOKUP(Plus!$G$21,Plus!$AP$2:$AQ$5,2,0))))</f>
        <v>0</v>
      </c>
      <c r="GE193" s="33">
        <f>IF(GJ192&lt;0.01,0,IF(Plus!$F$24=Plus!$AO$3,0,IF(OR(Plus!$F$10=Plus!$AK$7,Plus!$F$10=Plus!$AK$13,Plus!$F$10=Plus!$AK$14),0,IF(OR(Plus!$F$10=Plus!$AK$10,Plus!$F$10=Plus!$AK$11),Plus!$G$13*Adm!$W$7,Plus!$G$13*Adm!$X$4))))</f>
        <v>0</v>
      </c>
      <c r="GF193" s="33">
        <f>IF(GJ192&lt;0.01,0,IF(OR(Plus!$F$10=Plus!$AK$7,Plus!$F$10=Plus!$AK$13),0,Plus!$BD$2*1.16))</f>
        <v>0</v>
      </c>
      <c r="GG193" s="33">
        <f>IF(GJ192&lt;0.01,0,IF(Plus!$AS$2&gt;0,GA193*Plus!$AS$3,0))</f>
        <v>0</v>
      </c>
      <c r="GH193" s="33">
        <f t="shared" si="383"/>
        <v>0</v>
      </c>
      <c r="GI193" s="33">
        <f>IF(Plus!$F$10=Plus!$AK$3,MIN(GJ192+GA193+GD193+GE193+GF193-GH193,GU193),0)</f>
        <v>0</v>
      </c>
      <c r="GJ193" s="311">
        <f t="shared" si="432"/>
        <v>0</v>
      </c>
      <c r="GK193" s="340">
        <f>Plus!O234</f>
        <v>0</v>
      </c>
      <c r="GL193" s="74"/>
      <c r="GM193" s="74"/>
      <c r="GN193" s="419">
        <f t="shared" si="430"/>
        <v>0</v>
      </c>
      <c r="GQ193" s="90">
        <f t="shared" si="384"/>
        <v>1</v>
      </c>
      <c r="GR193" s="121">
        <f t="shared" si="418"/>
        <v>0</v>
      </c>
      <c r="GT193" s="149">
        <f t="shared" si="419"/>
        <v>0</v>
      </c>
      <c r="GU193" s="2179">
        <f t="shared" ca="1" si="385"/>
        <v>0</v>
      </c>
      <c r="GW193" s="120">
        <f t="shared" si="420"/>
        <v>0</v>
      </c>
      <c r="GX193" s="110">
        <f t="shared" si="386"/>
        <v>0</v>
      </c>
      <c r="GY193" s="110">
        <f t="shared" si="387"/>
        <v>0</v>
      </c>
      <c r="GZ193" s="109">
        <f t="shared" si="388"/>
        <v>0</v>
      </c>
      <c r="HA193" s="109">
        <f t="shared" si="333"/>
        <v>0</v>
      </c>
      <c r="HB193" s="113">
        <f t="shared" si="389"/>
        <v>0</v>
      </c>
      <c r="HD193" s="102">
        <f t="shared" si="390"/>
        <v>0</v>
      </c>
      <c r="HE193" s="326">
        <f t="shared" si="425"/>
        <v>169</v>
      </c>
      <c r="HF193" s="327">
        <f t="shared" si="391"/>
        <v>0</v>
      </c>
      <c r="HG193" s="327">
        <f t="shared" si="334"/>
        <v>0</v>
      </c>
      <c r="HH193" s="327">
        <f>MIN(HI192+HF193,HH192*(1+$FN$20))</f>
        <v>0</v>
      </c>
      <c r="HI193" s="213">
        <f t="shared" si="335"/>
        <v>1000000</v>
      </c>
      <c r="HL193" s="182"/>
      <c r="HM193" s="26">
        <f t="shared" ca="1" si="336"/>
        <v>4</v>
      </c>
      <c r="HO193" s="268">
        <f t="shared" si="337"/>
        <v>0</v>
      </c>
      <c r="HP193" s="151">
        <f t="shared" si="448"/>
        <v>0</v>
      </c>
      <c r="HQ193" s="123">
        <f t="shared" si="392"/>
        <v>0</v>
      </c>
      <c r="HR193" s="123">
        <f t="shared" si="393"/>
        <v>0</v>
      </c>
      <c r="HS193" s="123">
        <f t="shared" si="394"/>
        <v>0</v>
      </c>
      <c r="HT193" s="123">
        <f>IF(HY192&lt;0.01,0,IF(Adm!$GS$4=Adm!$GS$8,HY192*$HY$15,IF(Adm!$GS$12=Adm!$GS$13,0,HY192*Adm!$GV$4)))</f>
        <v>0</v>
      </c>
      <c r="HU193" s="123">
        <f>IF(HY192&lt;0.01,0,IF(Adm!$GS$5=Adm!$GS$8,Cal!$BO$108*$HY$16/1.16,IF(Adm!$GS$12=Adm!$GS$13,0,Cal!$BO$108*Adm!$GW$4/1.16)))</f>
        <v>0</v>
      </c>
      <c r="HV193" s="123">
        <f t="shared" si="395"/>
        <v>0</v>
      </c>
      <c r="HW193" s="123">
        <f t="shared" si="338"/>
        <v>0</v>
      </c>
      <c r="HX193" s="123">
        <f>IF(Adm!$GH$6="si",MIN(HY192+HQ193+HT193+HU193+HV193-HW193,IH193),0)</f>
        <v>0</v>
      </c>
      <c r="HY193" s="297">
        <f t="shared" si="396"/>
        <v>0</v>
      </c>
      <c r="HZ193" s="74"/>
      <c r="IA193" s="407">
        <f t="shared" si="397"/>
        <v>0</v>
      </c>
      <c r="IC193" s="90">
        <f t="shared" si="398"/>
        <v>1</v>
      </c>
      <c r="ID193" s="124">
        <f>IF(IC193=1,Cal!$BO$127,0)</f>
        <v>0</v>
      </c>
      <c r="IE193" s="178">
        <f>IF(IC193=1,Adm!$HI$4,0)</f>
        <v>2.5000000000000001E-3</v>
      </c>
      <c r="IG193" s="70">
        <f t="shared" si="421"/>
        <v>0</v>
      </c>
      <c r="IH193" s="2178">
        <f t="shared" ca="1" si="399"/>
        <v>0</v>
      </c>
      <c r="IK193" s="217"/>
      <c r="IL193" s="26">
        <f t="shared" ca="1" si="339"/>
        <v>4</v>
      </c>
      <c r="IN193" s="268">
        <f t="shared" si="340"/>
        <v>0</v>
      </c>
      <c r="IO193" s="151">
        <f t="shared" si="449"/>
        <v>0</v>
      </c>
      <c r="IP193" s="123">
        <f t="shared" si="400"/>
        <v>0</v>
      </c>
      <c r="IQ193" s="123">
        <f t="shared" si="401"/>
        <v>0</v>
      </c>
      <c r="IR193" s="123">
        <f t="shared" si="402"/>
        <v>0</v>
      </c>
      <c r="IS193" s="123">
        <f>IF(IX192&lt;0.01,0,IF(Adm!$GS$4=Adm!$GS$8,IX192*$IX$15,IF(Adm!$GS$12=Adm!$GS$13,0,IX192*Adm!$GV$4)))</f>
        <v>0</v>
      </c>
      <c r="IT193" s="123"/>
      <c r="IU193" s="123">
        <f t="shared" si="403"/>
        <v>0</v>
      </c>
      <c r="IV193" s="123">
        <f t="shared" si="404"/>
        <v>0</v>
      </c>
      <c r="IW193" s="123"/>
      <c r="IX193" s="297">
        <f t="shared" si="405"/>
        <v>0</v>
      </c>
      <c r="IY193" s="74"/>
      <c r="IZ193" s="416">
        <f t="shared" si="406"/>
        <v>0</v>
      </c>
      <c r="JB193" s="90">
        <f t="shared" si="407"/>
        <v>1</v>
      </c>
      <c r="JC193" s="124">
        <f>IF(JB193=1,Cal!$BP$127,0)</f>
        <v>0</v>
      </c>
      <c r="JD193" s="178">
        <f>IF(JB193=1,Adm!$HI$4,0)</f>
        <v>2.5000000000000001E-3</v>
      </c>
    </row>
    <row r="194" spans="1:264">
      <c r="A194" s="26">
        <f t="shared" ca="1" si="308"/>
        <v>5</v>
      </c>
      <c r="C194" s="33">
        <f t="shared" si="309"/>
        <v>0</v>
      </c>
      <c r="D194" s="123">
        <f t="shared" si="341"/>
        <v>0</v>
      </c>
      <c r="E194" s="123">
        <f t="shared" si="433"/>
        <v>0</v>
      </c>
      <c r="F194" s="123">
        <f t="shared" si="443"/>
        <v>0</v>
      </c>
      <c r="G194" s="123">
        <f>IF(L193&lt;0.01,0,IF(Adm!$S$4=Adm!$S$8,L193*$L$15,L193*Adm!$V$4))</f>
        <v>0</v>
      </c>
      <c r="H194" s="123">
        <f>IF(L193&lt;0.01,0,IF(Adm!$S$5=Adm!$S$8,Adm!$AA$11*$L$16/1.16,IF(Adm!$B$4=Adm!$A$119,0,Adm!$AA$11*Adm!$X$4/1.16)))</f>
        <v>0</v>
      </c>
      <c r="I194" s="123">
        <f>IF(L193&lt;0.01,0,Cal!$AB$126/1.16)</f>
        <v>0</v>
      </c>
      <c r="J194" s="123">
        <f t="shared" si="310"/>
        <v>0</v>
      </c>
      <c r="K194" s="123">
        <f>IF(Adm!$G$4="si",MIN(L193+D194+G194+H194+I194-J194,V194),0)</f>
        <v>0</v>
      </c>
      <c r="L194" s="123">
        <f t="shared" si="342"/>
        <v>0</v>
      </c>
      <c r="M194" s="74"/>
      <c r="N194" s="74"/>
      <c r="O194" s="407">
        <f t="shared" si="343"/>
        <v>0</v>
      </c>
      <c r="R194" s="90">
        <f t="shared" si="344"/>
        <v>2</v>
      </c>
      <c r="S194" s="121">
        <f>IF(R194=1,Cal!$AB$127,0)</f>
        <v>0</v>
      </c>
      <c r="U194" s="70">
        <f t="shared" si="408"/>
        <v>0</v>
      </c>
      <c r="V194" s="2178">
        <f t="shared" ca="1" si="345"/>
        <v>0</v>
      </c>
      <c r="X194" s="398"/>
      <c r="Z194" s="268">
        <f t="shared" si="311"/>
        <v>0</v>
      </c>
      <c r="AA194" s="2176">
        <f t="shared" si="346"/>
        <v>0</v>
      </c>
      <c r="AB194" s="33">
        <f t="shared" si="347"/>
        <v>0</v>
      </c>
      <c r="AC194" s="33">
        <f t="shared" si="348"/>
        <v>0</v>
      </c>
      <c r="AD194" s="33">
        <f>IF(AI193&lt;0.01,0,IF(Adm!$S$4=Adm!$S$8,AI193*$AI$15,AI193*Adm!$V$4))</f>
        <v>0</v>
      </c>
      <c r="AE194" s="33"/>
      <c r="AF194" s="33"/>
      <c r="AG194" s="33">
        <f t="shared" si="312"/>
        <v>0</v>
      </c>
      <c r="AH194" s="33"/>
      <c r="AI194" s="401">
        <f t="shared" si="313"/>
        <v>0</v>
      </c>
      <c r="AK194" s="410">
        <f t="shared" si="314"/>
        <v>0</v>
      </c>
      <c r="AN194" s="90">
        <f t="shared" si="349"/>
        <v>2</v>
      </c>
      <c r="AO194" s="121">
        <f>IF(AN194=1,Cal!$AC$127,0)</f>
        <v>0</v>
      </c>
      <c r="AS194" s="200"/>
      <c r="AU194" s="268">
        <f t="shared" si="315"/>
        <v>0</v>
      </c>
      <c r="AV194" s="2177">
        <f t="shared" si="350"/>
        <v>0</v>
      </c>
      <c r="AW194" s="123">
        <f t="shared" si="316"/>
        <v>0</v>
      </c>
      <c r="AX194" s="123">
        <f t="shared" si="351"/>
        <v>0</v>
      </c>
      <c r="AY194" s="123">
        <f>IF(BC193&lt;0.01,0,IF(Adm!$S$4=Adm!$S$8,BC193*$BC$16,BC193*Adm!$V$4))</f>
        <v>0</v>
      </c>
      <c r="AZ194" s="123"/>
      <c r="BA194" s="123">
        <f>IF(BC193&lt;0.01,0,Adm!$Q$6)</f>
        <v>0</v>
      </c>
      <c r="BB194" s="123">
        <f t="shared" si="317"/>
        <v>0</v>
      </c>
      <c r="BC194" s="297">
        <f t="shared" si="352"/>
        <v>0</v>
      </c>
      <c r="BE194" s="425">
        <f t="shared" si="318"/>
        <v>0</v>
      </c>
      <c r="BH194" s="90">
        <f t="shared" si="353"/>
        <v>2</v>
      </c>
      <c r="BI194" s="121">
        <f>IF(BH194=1,Cal!$AD$127,0)</f>
        <v>0</v>
      </c>
      <c r="BM194" s="221"/>
      <c r="BO194" s="295">
        <f t="shared" ca="1" si="319"/>
        <v>5</v>
      </c>
      <c r="BP194" s="268">
        <f t="shared" si="320"/>
        <v>0</v>
      </c>
      <c r="BQ194" s="123">
        <f t="shared" si="354"/>
        <v>0</v>
      </c>
      <c r="BR194" s="123">
        <f t="shared" si="434"/>
        <v>0</v>
      </c>
      <c r="BS194" s="123">
        <f t="shared" si="444"/>
        <v>0</v>
      </c>
      <c r="BT194" s="123">
        <f>IF(BZ193&lt;0.01,0,IF(Plus!$F$22=Plus!$AN$4,BZ193*$BZ$15,IF(Plus!$F$22=Plus!$AN$3,BZ193*Plus!$F$23/1000,BZ193*VLOOKUP(Plus!$G$21,Plus!$AP$2:'Plus'!$AQ$5,2,0))))</f>
        <v>0</v>
      </c>
      <c r="BU194" s="123">
        <f>IF(BZ193&lt;0.01,0,IF(Plus!$F$24=Plus!$AO$3,Plus!$G$13*Plus!$AR$2/1.16,IF(Plus!$F$10=Plus!$AK$7,0,Plus!$G$13*Plus!$AR$2/1.16)))</f>
        <v>0</v>
      </c>
      <c r="BV194" s="123">
        <f>IF(BZ193&lt;0.01,0,Plus!$BD$2)</f>
        <v>0</v>
      </c>
      <c r="BW194" s="123"/>
      <c r="BX194" s="123">
        <f t="shared" si="321"/>
        <v>0</v>
      </c>
      <c r="BY194" s="123">
        <f>IF(Plus!$F$10=Plus!$AK$3,MIN(BZ193+BQ194+BT194+BU194+BV194-BX194,CJ194),0)</f>
        <v>0</v>
      </c>
      <c r="BZ194" s="297">
        <f t="shared" si="428"/>
        <v>0</v>
      </c>
      <c r="CA194" s="74"/>
      <c r="CB194" s="74"/>
      <c r="CC194" s="413">
        <f t="shared" si="355"/>
        <v>0</v>
      </c>
      <c r="CF194" s="90">
        <f t="shared" si="356"/>
        <v>2</v>
      </c>
      <c r="CG194" s="121">
        <f t="shared" si="409"/>
        <v>0</v>
      </c>
      <c r="CI194" s="70">
        <f t="shared" si="410"/>
        <v>0</v>
      </c>
      <c r="CJ194" s="2178">
        <f t="shared" ca="1" si="357"/>
        <v>0</v>
      </c>
      <c r="CL194" s="161"/>
      <c r="CN194" s="308">
        <f t="shared" ca="1" si="322"/>
        <v>5</v>
      </c>
      <c r="CO194" s="309">
        <f t="shared" si="358"/>
        <v>0</v>
      </c>
      <c r="CP194" s="268">
        <f t="shared" si="323"/>
        <v>0</v>
      </c>
      <c r="CQ194" s="123">
        <f t="shared" si="359"/>
        <v>0</v>
      </c>
      <c r="CR194" s="123">
        <f t="shared" si="435"/>
        <v>0</v>
      </c>
      <c r="CS194" s="123">
        <f t="shared" si="436"/>
        <v>0</v>
      </c>
      <c r="CT194" s="33">
        <f>IF(CZ193&lt;0.01,0,IF(Plus!$F$22=Plus!$AN$4,0,IF(Plus!$F$22=Plus!$AN$3,CZ193*Plus!$F$23/1000,CZ193*VLOOKUP(Plus!$G$21,Plus!$AP$2:'Plus'!$AQ$5,2,0))))</f>
        <v>0</v>
      </c>
      <c r="CU194" s="123">
        <f>IF(CZ193&lt;0.01,0,IF(Plus!$F$24=Plus!$AO$3,0,IF(OR(Plus!$F$10=Plus!$AK$7,Plus!$F$10=Plus!$AK$13),0,Plus!$G$13*Plus!$AR$2)))</f>
        <v>0</v>
      </c>
      <c r="CV194" s="123">
        <f>IF(CZ193&lt;0.01,0,IF(OR(Plus!$F$10=Plus!$AK$7,Plus!$F$10=Plus!$AK$13),0,Plus!$BD$2*1.16))</f>
        <v>0</v>
      </c>
      <c r="CW194" s="123">
        <f>IF(CZ193&lt;0.01,0,IF(Plus!$AS$2&gt;0,CQ194*Plus!$AS$3,0))</f>
        <v>0</v>
      </c>
      <c r="CX194" s="123">
        <f t="shared" si="360"/>
        <v>0</v>
      </c>
      <c r="CY194" s="123">
        <f>IF(Plus!$F$10=Plus!$AK$3,MIN(CZ193+CQ194+CT194+CU194+CV194-CX194,DK194),0)</f>
        <v>0</v>
      </c>
      <c r="CZ194" s="297">
        <f t="shared" si="440"/>
        <v>0</v>
      </c>
      <c r="DA194" s="306">
        <f>Plus!O235</f>
        <v>0</v>
      </c>
      <c r="DB194" s="74"/>
      <c r="DC194" s="74"/>
      <c r="DD194" s="407">
        <f t="shared" si="361"/>
        <v>0</v>
      </c>
      <c r="DG194" s="90">
        <f t="shared" si="362"/>
        <v>2</v>
      </c>
      <c r="DH194" s="121">
        <f t="shared" si="411"/>
        <v>0</v>
      </c>
      <c r="DJ194" s="149">
        <f t="shared" si="412"/>
        <v>0</v>
      </c>
      <c r="DK194" s="2179">
        <f t="shared" ca="1" si="363"/>
        <v>0</v>
      </c>
      <c r="DN194" s="120">
        <f t="shared" si="413"/>
        <v>0</v>
      </c>
      <c r="DO194" s="110">
        <f t="shared" si="364"/>
        <v>0</v>
      </c>
      <c r="DP194" s="110">
        <f t="shared" si="422"/>
        <v>0</v>
      </c>
      <c r="DQ194" s="109">
        <f t="shared" si="365"/>
        <v>0</v>
      </c>
      <c r="DR194" s="109">
        <f t="shared" si="366"/>
        <v>0</v>
      </c>
      <c r="DS194" s="113">
        <f t="shared" si="367"/>
        <v>0</v>
      </c>
      <c r="DU194" s="102">
        <f t="shared" si="368"/>
        <v>0</v>
      </c>
      <c r="DV194" s="211">
        <f t="shared" si="423"/>
        <v>170</v>
      </c>
      <c r="DW194" s="212">
        <f t="shared" si="369"/>
        <v>0</v>
      </c>
      <c r="DX194" s="212">
        <f t="shared" si="324"/>
        <v>0</v>
      </c>
      <c r="DY194" s="212">
        <f t="shared" si="414"/>
        <v>0</v>
      </c>
      <c r="DZ194" s="213">
        <f t="shared" si="325"/>
        <v>1000000</v>
      </c>
      <c r="ED194" s="182"/>
      <c r="EF194" s="308">
        <f t="shared" ca="1" si="326"/>
        <v>5</v>
      </c>
      <c r="EG194" s="309">
        <f t="shared" si="370"/>
        <v>0</v>
      </c>
      <c r="EH194" s="268">
        <f t="shared" si="327"/>
        <v>0</v>
      </c>
      <c r="EI194" s="33">
        <f t="shared" si="371"/>
        <v>0</v>
      </c>
      <c r="EJ194" s="33">
        <f t="shared" si="437"/>
        <v>0</v>
      </c>
      <c r="EK194" s="33">
        <f t="shared" si="445"/>
        <v>0</v>
      </c>
      <c r="EL194" s="33">
        <f>IF(ER193&lt;0.01,0,IF(Plus!$F$22=Plus!$AN$4,0,IF(Plus!$F$22=Plus!$AN$3,ER193*Plus!$F$23/1000,ER193*VLOOKUP(Plus!$G$21,Plus!$AP$2:'Plus'!$AQ$5,2,0))))</f>
        <v>0</v>
      </c>
      <c r="EM194" s="33">
        <f>IF(ER193&lt;0.01,0,IF(Plus!$F$24=Plus!$AO$3,0,IF(OR(Plus!$F$10=Plus!$AK$7,Plus!$F$10=Plus!$AK$13),0,Plus!$G$13*Plus!$AR$2)))</f>
        <v>0</v>
      </c>
      <c r="EN194" s="33">
        <f>IF(ER193&lt;0.01,0,IF(OR(Plus!$F$10=Plus!$AK$7,Plus!$F$10=Plus!$AK$13),0,Plus!$BD$2*1.16))</f>
        <v>0</v>
      </c>
      <c r="EO194" s="33">
        <f>IF(ER193&lt;0.01,0,IF(Plus!$AS$2&gt;0,EI194*Plus!$AS$3,0))</f>
        <v>0</v>
      </c>
      <c r="EP194" s="33">
        <f t="shared" si="372"/>
        <v>0</v>
      </c>
      <c r="EQ194" s="33">
        <f>IF(Plus!$F$10=Plus!$AK$3,MIN(ER193+EI194+EL194+EM194+EN194-EP194,FC194),0)</f>
        <v>0</v>
      </c>
      <c r="ER194" s="311">
        <f t="shared" si="431"/>
        <v>0</v>
      </c>
      <c r="ES194" s="340">
        <f>Plus!O235</f>
        <v>0</v>
      </c>
      <c r="ET194" s="74"/>
      <c r="EU194" s="74"/>
      <c r="EV194" s="416">
        <f t="shared" si="429"/>
        <v>0</v>
      </c>
      <c r="EY194" s="90">
        <f t="shared" si="373"/>
        <v>2</v>
      </c>
      <c r="EZ194" s="121">
        <f t="shared" si="415"/>
        <v>0</v>
      </c>
      <c r="FB194" s="149">
        <f t="shared" si="416"/>
        <v>0</v>
      </c>
      <c r="FC194" s="2179">
        <f t="shared" ca="1" si="374"/>
        <v>0</v>
      </c>
      <c r="FE194" s="120">
        <f t="shared" si="417"/>
        <v>0</v>
      </c>
      <c r="FF194" s="110">
        <f t="shared" si="375"/>
        <v>0</v>
      </c>
      <c r="FG194" s="110">
        <f t="shared" si="376"/>
        <v>0</v>
      </c>
      <c r="FH194" s="109">
        <f t="shared" si="377"/>
        <v>0</v>
      </c>
      <c r="FI194" s="109">
        <f t="shared" si="328"/>
        <v>0</v>
      </c>
      <c r="FJ194" s="113">
        <f t="shared" si="378"/>
        <v>0</v>
      </c>
      <c r="FL194" s="102">
        <f t="shared" si="379"/>
        <v>0</v>
      </c>
      <c r="FM194" s="211">
        <f t="shared" si="424"/>
        <v>170</v>
      </c>
      <c r="FN194" s="212">
        <f t="shared" si="380"/>
        <v>0</v>
      </c>
      <c r="FO194" s="212">
        <f t="shared" si="329"/>
        <v>0</v>
      </c>
      <c r="FP194" s="212">
        <f t="shared" ref="FP194:FP204" si="450">MIN(FQ193+FN194,FP193)</f>
        <v>0</v>
      </c>
      <c r="FQ194" s="213">
        <f t="shared" si="330"/>
        <v>1000000</v>
      </c>
      <c r="FV194" s="359"/>
      <c r="FX194" s="308">
        <f t="shared" ca="1" si="331"/>
        <v>5</v>
      </c>
      <c r="FY194" s="309">
        <f t="shared" si="381"/>
        <v>0</v>
      </c>
      <c r="FZ194" s="268">
        <f t="shared" si="332"/>
        <v>0</v>
      </c>
      <c r="GA194" s="33">
        <f t="shared" si="382"/>
        <v>0</v>
      </c>
      <c r="GB194" s="33">
        <f t="shared" si="438"/>
        <v>0</v>
      </c>
      <c r="GC194" s="33">
        <f t="shared" si="439"/>
        <v>0</v>
      </c>
      <c r="GD194" s="33">
        <f>IF(GJ193&lt;0.01,0,IF(Plus!$F$22=Plus!$AN$4,0,IF(Plus!$F$22=Plus!$AN$3,GJ193*Plus!$F$23/1000,GJ193*VLOOKUP(Plus!$G$21,Plus!$AP$2:$AQ$5,2,0))))</f>
        <v>0</v>
      </c>
      <c r="GE194" s="33">
        <f>IF(GJ193&lt;0.01,0,IF(Plus!$F$24=Plus!$AO$3,0,IF(OR(Plus!$F$10=Plus!$AK$7,Plus!$F$10=Plus!$AK$13,Plus!$F$10=Plus!$AK$14),0,IF(OR(Plus!$F$10=Plus!$AK$10,Plus!$F$10=Plus!$AK$11),Plus!$G$13*Adm!$W$7,Plus!$G$13*Adm!$X$4))))</f>
        <v>0</v>
      </c>
      <c r="GF194" s="33">
        <f>IF(GJ193&lt;0.01,0,IF(OR(Plus!$F$10=Plus!$AK$7,Plus!$F$10=Plus!$AK$13),0,Plus!$BD$2*1.16))</f>
        <v>0</v>
      </c>
      <c r="GG194" s="33">
        <f>IF(GJ193&lt;0.01,0,IF(Plus!$AS$2&gt;0,GA194*Plus!$AS$3,0))</f>
        <v>0</v>
      </c>
      <c r="GH194" s="33">
        <f t="shared" si="383"/>
        <v>0</v>
      </c>
      <c r="GI194" s="33">
        <f>IF(Plus!$F$10=Plus!$AK$3,MIN(GJ193+GA194+GD194+GE194+GF194-GH194,GU194),0)</f>
        <v>0</v>
      </c>
      <c r="GJ194" s="311">
        <f t="shared" si="432"/>
        <v>0</v>
      </c>
      <c r="GK194" s="340">
        <f>Plus!O235</f>
        <v>0</v>
      </c>
      <c r="GL194" s="74"/>
      <c r="GM194" s="74"/>
      <c r="GN194" s="419">
        <f t="shared" si="430"/>
        <v>0</v>
      </c>
      <c r="GQ194" s="90">
        <f t="shared" si="384"/>
        <v>2</v>
      </c>
      <c r="GR194" s="121">
        <f t="shared" si="418"/>
        <v>0</v>
      </c>
      <c r="GT194" s="149">
        <f t="shared" si="419"/>
        <v>0</v>
      </c>
      <c r="GU194" s="2179">
        <f t="shared" ca="1" si="385"/>
        <v>0</v>
      </c>
      <c r="GW194" s="120">
        <f t="shared" si="420"/>
        <v>0</v>
      </c>
      <c r="GX194" s="110">
        <f t="shared" si="386"/>
        <v>0</v>
      </c>
      <c r="GY194" s="110">
        <f t="shared" si="387"/>
        <v>0</v>
      </c>
      <c r="GZ194" s="109">
        <f t="shared" si="388"/>
        <v>0</v>
      </c>
      <c r="HA194" s="109">
        <f t="shared" si="333"/>
        <v>0</v>
      </c>
      <c r="HB194" s="113">
        <f t="shared" si="389"/>
        <v>0</v>
      </c>
      <c r="HD194" s="102">
        <f t="shared" si="390"/>
        <v>0</v>
      </c>
      <c r="HE194" s="211">
        <f t="shared" si="425"/>
        <v>170</v>
      </c>
      <c r="HF194" s="212">
        <f t="shared" si="391"/>
        <v>0</v>
      </c>
      <c r="HG194" s="212">
        <f t="shared" si="334"/>
        <v>0</v>
      </c>
      <c r="HH194" s="212">
        <f t="shared" ref="HH194:HH204" si="451">MIN(HI193+HF194,HH193)</f>
        <v>0</v>
      </c>
      <c r="HI194" s="213">
        <f t="shared" si="335"/>
        <v>1000000</v>
      </c>
      <c r="HL194" s="182"/>
      <c r="HM194" s="26">
        <f t="shared" ca="1" si="336"/>
        <v>5</v>
      </c>
      <c r="HO194" s="268">
        <f t="shared" si="337"/>
        <v>0</v>
      </c>
      <c r="HP194" s="151">
        <f t="shared" si="448"/>
        <v>0</v>
      </c>
      <c r="HQ194" s="123">
        <f t="shared" si="392"/>
        <v>0</v>
      </c>
      <c r="HR194" s="123">
        <f t="shared" si="393"/>
        <v>0</v>
      </c>
      <c r="HS194" s="123">
        <f t="shared" si="394"/>
        <v>0</v>
      </c>
      <c r="HT194" s="123">
        <f>IF(HY193&lt;0.01,0,IF(Adm!$GS$4=Adm!$GS$8,HY193*$HY$15,IF(Adm!$GS$12=Adm!$GS$13,0,HY193*Adm!$GV$4)))</f>
        <v>0</v>
      </c>
      <c r="HU194" s="123">
        <f>IF(HY193&lt;0.01,0,IF(Adm!$GS$5=Adm!$GS$8,Cal!$BO$108*$HY$16/1.16,IF(Adm!$GS$12=Adm!$GS$13,0,Cal!$BO$108*Adm!$GW$4/1.16)))</f>
        <v>0</v>
      </c>
      <c r="HV194" s="123">
        <f t="shared" si="395"/>
        <v>0</v>
      </c>
      <c r="HW194" s="123">
        <f t="shared" si="338"/>
        <v>0</v>
      </c>
      <c r="HX194" s="123">
        <f>IF(Adm!$GH$6="si",MIN(HY193+HQ194+HT194+HU194+HV194-HW194,IH194),0)</f>
        <v>0</v>
      </c>
      <c r="HY194" s="297">
        <f t="shared" si="396"/>
        <v>0</v>
      </c>
      <c r="HZ194" s="74"/>
      <c r="IA194" s="407">
        <f t="shared" si="397"/>
        <v>0</v>
      </c>
      <c r="IC194" s="90">
        <f t="shared" si="398"/>
        <v>2</v>
      </c>
      <c r="ID194" s="124">
        <f>IF(IC194=1,Cal!$BO$127,0)</f>
        <v>0</v>
      </c>
      <c r="IE194" s="178">
        <f>IF(IC194=1,Adm!$HI$4,0)</f>
        <v>0</v>
      </c>
      <c r="IG194" s="70">
        <f t="shared" si="421"/>
        <v>0</v>
      </c>
      <c r="IH194" s="2178">
        <f t="shared" ca="1" si="399"/>
        <v>0</v>
      </c>
      <c r="IK194" s="217"/>
      <c r="IL194" s="26">
        <f t="shared" ca="1" si="339"/>
        <v>5</v>
      </c>
      <c r="IN194" s="268">
        <f t="shared" si="340"/>
        <v>0</v>
      </c>
      <c r="IO194" s="151">
        <f t="shared" si="449"/>
        <v>0</v>
      </c>
      <c r="IP194" s="123">
        <f t="shared" si="400"/>
        <v>0</v>
      </c>
      <c r="IQ194" s="123">
        <f t="shared" si="401"/>
        <v>0</v>
      </c>
      <c r="IR194" s="123">
        <f t="shared" si="402"/>
        <v>0</v>
      </c>
      <c r="IS194" s="123">
        <f>IF(IX193&lt;0.01,0,IF(Adm!$GS$4=Adm!$GS$8,IX193*$IX$15,IF(Adm!$GS$12=Adm!$GS$13,0,IX193*Adm!$GV$4)))</f>
        <v>0</v>
      </c>
      <c r="IT194" s="123"/>
      <c r="IU194" s="123">
        <f t="shared" si="403"/>
        <v>0</v>
      </c>
      <c r="IV194" s="123">
        <f t="shared" si="404"/>
        <v>0</v>
      </c>
      <c r="IW194" s="123"/>
      <c r="IX194" s="297">
        <f t="shared" si="405"/>
        <v>0</v>
      </c>
      <c r="IY194" s="74"/>
      <c r="IZ194" s="416">
        <f t="shared" si="406"/>
        <v>0</v>
      </c>
      <c r="JB194" s="90">
        <f t="shared" si="407"/>
        <v>2</v>
      </c>
      <c r="JC194" s="124">
        <f>IF(JB194=1,Cal!$BP$127,0)</f>
        <v>0</v>
      </c>
      <c r="JD194" s="178">
        <f>IF(JB194=1,Adm!$HI$4,0)</f>
        <v>0</v>
      </c>
    </row>
    <row r="195" spans="1:264">
      <c r="A195" s="26">
        <f t="shared" ca="1" si="308"/>
        <v>6</v>
      </c>
      <c r="C195" s="33">
        <f t="shared" si="309"/>
        <v>0</v>
      </c>
      <c r="D195" s="123">
        <f t="shared" si="341"/>
        <v>0</v>
      </c>
      <c r="E195" s="123">
        <f t="shared" si="433"/>
        <v>0</v>
      </c>
      <c r="F195" s="123">
        <f t="shared" si="443"/>
        <v>0</v>
      </c>
      <c r="G195" s="123">
        <f>IF(L194&lt;0.01,0,IF(Adm!$S$4=Adm!$S$8,L194*$L$15,L194*Adm!$V$4))</f>
        <v>0</v>
      </c>
      <c r="H195" s="123">
        <f>IF(L194&lt;0.01,0,IF(Adm!$S$5=Adm!$S$8,Adm!$AA$11*$L$16/1.16,IF(Adm!$B$4=Adm!$A$119,0,Adm!$AA$11*Adm!$X$4/1.16)))</f>
        <v>0</v>
      </c>
      <c r="I195" s="123">
        <f>IF(L194&lt;0.01,0,Cal!$AB$126/1.16)</f>
        <v>0</v>
      </c>
      <c r="J195" s="123">
        <f t="shared" si="310"/>
        <v>0</v>
      </c>
      <c r="K195" s="123">
        <f>IF(Adm!$G$4="si",MIN(L194+D195+G195+H195+I195-J195,V195),0)</f>
        <v>0</v>
      </c>
      <c r="L195" s="123">
        <f t="shared" si="342"/>
        <v>0</v>
      </c>
      <c r="M195" s="74"/>
      <c r="N195" s="74"/>
      <c r="O195" s="407">
        <f t="shared" si="343"/>
        <v>0</v>
      </c>
      <c r="R195" s="90">
        <f t="shared" si="344"/>
        <v>3</v>
      </c>
      <c r="S195" s="121">
        <f>IF(R195=1,Cal!$AB$127,0)</f>
        <v>0</v>
      </c>
      <c r="U195" s="70">
        <f t="shared" si="408"/>
        <v>0</v>
      </c>
      <c r="V195" s="2178">
        <f t="shared" ca="1" si="345"/>
        <v>0</v>
      </c>
      <c r="X195" s="398"/>
      <c r="Z195" s="268">
        <f t="shared" si="311"/>
        <v>0</v>
      </c>
      <c r="AA195" s="2176">
        <f t="shared" si="346"/>
        <v>0</v>
      </c>
      <c r="AB195" s="33">
        <f t="shared" si="347"/>
        <v>0</v>
      </c>
      <c r="AC195" s="33">
        <f t="shared" si="348"/>
        <v>0</v>
      </c>
      <c r="AD195" s="33">
        <f>IF(AI194&lt;0.01,0,IF(Adm!$S$4=Adm!$S$8,AI194*$AI$15,AI194*Adm!$V$4))</f>
        <v>0</v>
      </c>
      <c r="AE195" s="33"/>
      <c r="AF195" s="33"/>
      <c r="AG195" s="33">
        <f t="shared" si="312"/>
        <v>0</v>
      </c>
      <c r="AH195" s="33"/>
      <c r="AI195" s="401">
        <f t="shared" si="313"/>
        <v>0</v>
      </c>
      <c r="AK195" s="410">
        <f t="shared" si="314"/>
        <v>0</v>
      </c>
      <c r="AN195" s="90">
        <f t="shared" si="349"/>
        <v>3</v>
      </c>
      <c r="AO195" s="121">
        <f>IF(AN195=1,Cal!$AC$127,0)</f>
        <v>0</v>
      </c>
      <c r="AS195" s="200"/>
      <c r="AU195" s="268">
        <f t="shared" si="315"/>
        <v>0</v>
      </c>
      <c r="AV195" s="2177">
        <f t="shared" si="350"/>
        <v>0</v>
      </c>
      <c r="AW195" s="123">
        <f t="shared" si="316"/>
        <v>0</v>
      </c>
      <c r="AX195" s="123">
        <f t="shared" si="351"/>
        <v>0</v>
      </c>
      <c r="AY195" s="123">
        <f>IF(BC194&lt;0.01,0,IF(Adm!$S$4=Adm!$S$8,BC194*$BC$16,BC194*Adm!$V$4))</f>
        <v>0</v>
      </c>
      <c r="AZ195" s="123"/>
      <c r="BA195" s="123">
        <f>IF(BC194&lt;0.01,0,Adm!$Q$6)</f>
        <v>0</v>
      </c>
      <c r="BB195" s="123">
        <f t="shared" si="317"/>
        <v>0</v>
      </c>
      <c r="BC195" s="297">
        <f t="shared" si="352"/>
        <v>0</v>
      </c>
      <c r="BE195" s="425">
        <f t="shared" si="318"/>
        <v>0</v>
      </c>
      <c r="BH195" s="90">
        <f t="shared" si="353"/>
        <v>3</v>
      </c>
      <c r="BI195" s="121">
        <f>IF(BH195=1,Cal!$AD$127,0)</f>
        <v>0</v>
      </c>
      <c r="BM195" s="221"/>
      <c r="BO195" s="295">
        <f t="shared" ca="1" si="319"/>
        <v>6</v>
      </c>
      <c r="BP195" s="268">
        <f t="shared" si="320"/>
        <v>0</v>
      </c>
      <c r="BQ195" s="123">
        <f t="shared" si="354"/>
        <v>0</v>
      </c>
      <c r="BR195" s="123">
        <f t="shared" si="434"/>
        <v>0</v>
      </c>
      <c r="BS195" s="123">
        <f t="shared" si="444"/>
        <v>0</v>
      </c>
      <c r="BT195" s="123">
        <f>IF(BZ194&lt;0.01,0,IF(Plus!$F$22=Plus!$AN$4,BZ194*$BZ$15,IF(Plus!$F$22=Plus!$AN$3,BZ194*Plus!$F$23/1000,BZ194*VLOOKUP(Plus!$G$21,Plus!$AP$2:'Plus'!$AQ$5,2,0))))</f>
        <v>0</v>
      </c>
      <c r="BU195" s="123">
        <f>IF(BZ194&lt;0.01,0,IF(Plus!$F$24=Plus!$AO$3,Plus!$G$13*Plus!$AR$2/1.16,IF(Plus!$F$10=Plus!$AK$7,0,Plus!$G$13*Plus!$AR$2/1.16)))</f>
        <v>0</v>
      </c>
      <c r="BV195" s="123">
        <f>IF(BZ194&lt;0.01,0,Plus!$BD$2)</f>
        <v>0</v>
      </c>
      <c r="BW195" s="123"/>
      <c r="BX195" s="123">
        <f t="shared" si="321"/>
        <v>0</v>
      </c>
      <c r="BY195" s="123">
        <f>IF(Plus!$F$10=Plus!$AK$3,MIN(BZ194+BQ195+BT195+BU195+BV195-BX195,CJ195),0)</f>
        <v>0</v>
      </c>
      <c r="BZ195" s="297">
        <f t="shared" si="428"/>
        <v>0</v>
      </c>
      <c r="CA195" s="74"/>
      <c r="CB195" s="74"/>
      <c r="CC195" s="413">
        <f t="shared" si="355"/>
        <v>0</v>
      </c>
      <c r="CF195" s="90">
        <f t="shared" si="356"/>
        <v>3</v>
      </c>
      <c r="CG195" s="121">
        <f t="shared" si="409"/>
        <v>0</v>
      </c>
      <c r="CI195" s="70">
        <f t="shared" si="410"/>
        <v>0</v>
      </c>
      <c r="CJ195" s="2178">
        <f t="shared" ca="1" si="357"/>
        <v>0</v>
      </c>
      <c r="CL195" s="161"/>
      <c r="CN195" s="308">
        <f t="shared" ca="1" si="322"/>
        <v>6</v>
      </c>
      <c r="CO195" s="309">
        <f t="shared" si="358"/>
        <v>0</v>
      </c>
      <c r="CP195" s="268">
        <f t="shared" si="323"/>
        <v>0</v>
      </c>
      <c r="CQ195" s="123">
        <f t="shared" si="359"/>
        <v>0</v>
      </c>
      <c r="CR195" s="123">
        <f t="shared" si="435"/>
        <v>0</v>
      </c>
      <c r="CS195" s="123">
        <f t="shared" si="436"/>
        <v>0</v>
      </c>
      <c r="CT195" s="33">
        <f>IF(CZ194&lt;0.01,0,IF(Plus!$F$22=Plus!$AN$4,0,IF(Plus!$F$22=Plus!$AN$3,CZ194*Plus!$F$23/1000,CZ194*VLOOKUP(Plus!$G$21,Plus!$AP$2:'Plus'!$AQ$5,2,0))))</f>
        <v>0</v>
      </c>
      <c r="CU195" s="123">
        <f>IF(CZ194&lt;0.01,0,IF(Plus!$F$24=Plus!$AO$3,0,IF(OR(Plus!$F$10=Plus!$AK$7,Plus!$F$10=Plus!$AK$13),0,Plus!$G$13*Plus!$AR$2)))</f>
        <v>0</v>
      </c>
      <c r="CV195" s="123">
        <f>IF(CZ194&lt;0.01,0,IF(OR(Plus!$F$10=Plus!$AK$7,Plus!$F$10=Plus!$AK$13),0,Plus!$BD$2*1.16))</f>
        <v>0</v>
      </c>
      <c r="CW195" s="123">
        <f>IF(CZ194&lt;0.01,0,IF(Plus!$AS$2&gt;0,CQ195*Plus!$AS$3,0))</f>
        <v>0</v>
      </c>
      <c r="CX195" s="123">
        <f t="shared" si="360"/>
        <v>0</v>
      </c>
      <c r="CY195" s="123">
        <f>IF(Plus!$F$10=Plus!$AK$3,MIN(CZ194+CQ195+CT195+CU195+CV195-CX195,DK195),0)</f>
        <v>0</v>
      </c>
      <c r="CZ195" s="297">
        <f t="shared" si="440"/>
        <v>0</v>
      </c>
      <c r="DA195" s="306">
        <f>Plus!O236</f>
        <v>0</v>
      </c>
      <c r="DB195" s="74"/>
      <c r="DC195" s="74"/>
      <c r="DD195" s="407">
        <f t="shared" si="361"/>
        <v>0</v>
      </c>
      <c r="DG195" s="90">
        <f t="shared" si="362"/>
        <v>3</v>
      </c>
      <c r="DH195" s="121">
        <f t="shared" si="411"/>
        <v>0</v>
      </c>
      <c r="DJ195" s="149">
        <f t="shared" si="412"/>
        <v>0</v>
      </c>
      <c r="DK195" s="2179">
        <f t="shared" ca="1" si="363"/>
        <v>0</v>
      </c>
      <c r="DN195" s="120">
        <f t="shared" si="413"/>
        <v>0</v>
      </c>
      <c r="DO195" s="110">
        <f t="shared" si="364"/>
        <v>0</v>
      </c>
      <c r="DP195" s="110">
        <f t="shared" si="422"/>
        <v>0</v>
      </c>
      <c r="DQ195" s="109">
        <f t="shared" si="365"/>
        <v>0</v>
      </c>
      <c r="DR195" s="109">
        <f t="shared" si="366"/>
        <v>0</v>
      </c>
      <c r="DS195" s="113">
        <f t="shared" si="367"/>
        <v>0</v>
      </c>
      <c r="DU195" s="102">
        <f t="shared" si="368"/>
        <v>0</v>
      </c>
      <c r="DV195" s="211">
        <f t="shared" si="423"/>
        <v>171</v>
      </c>
      <c r="DW195" s="212">
        <f t="shared" si="369"/>
        <v>0</v>
      </c>
      <c r="DX195" s="212">
        <f t="shared" si="324"/>
        <v>0</v>
      </c>
      <c r="DY195" s="212">
        <f t="shared" si="414"/>
        <v>0</v>
      </c>
      <c r="DZ195" s="213">
        <f t="shared" si="325"/>
        <v>1000000</v>
      </c>
      <c r="ED195" s="182"/>
      <c r="EF195" s="308">
        <f t="shared" ca="1" si="326"/>
        <v>6</v>
      </c>
      <c r="EG195" s="309">
        <f t="shared" si="370"/>
        <v>0</v>
      </c>
      <c r="EH195" s="268">
        <f t="shared" si="327"/>
        <v>0</v>
      </c>
      <c r="EI195" s="33">
        <f t="shared" si="371"/>
        <v>0</v>
      </c>
      <c r="EJ195" s="33">
        <f t="shared" si="437"/>
        <v>0</v>
      </c>
      <c r="EK195" s="33">
        <f t="shared" si="445"/>
        <v>0</v>
      </c>
      <c r="EL195" s="33">
        <f>IF(ER194&lt;0.01,0,IF(Plus!$F$22=Plus!$AN$4,0,IF(Plus!$F$22=Plus!$AN$3,ER194*Plus!$F$23/1000,ER194*VLOOKUP(Plus!$G$21,Plus!$AP$2:'Plus'!$AQ$5,2,0))))</f>
        <v>0</v>
      </c>
      <c r="EM195" s="33">
        <f>IF(ER194&lt;0.01,0,IF(Plus!$F$24=Plus!$AO$3,0,IF(OR(Plus!$F$10=Plus!$AK$7,Plus!$F$10=Plus!$AK$13),0,Plus!$G$13*Plus!$AR$2)))</f>
        <v>0</v>
      </c>
      <c r="EN195" s="33">
        <f>IF(ER194&lt;0.01,0,IF(OR(Plus!$F$10=Plus!$AK$7,Plus!$F$10=Plus!$AK$13),0,Plus!$BD$2*1.16))</f>
        <v>0</v>
      </c>
      <c r="EO195" s="33">
        <f>IF(ER194&lt;0.01,0,IF(Plus!$AS$2&gt;0,EI195*Plus!$AS$3,0))</f>
        <v>0</v>
      </c>
      <c r="EP195" s="33">
        <f t="shared" si="372"/>
        <v>0</v>
      </c>
      <c r="EQ195" s="33">
        <f>IF(Plus!$F$10=Plus!$AK$3,MIN(ER194+EI195+EL195+EM195+EN195-EP195,FC195),0)</f>
        <v>0</v>
      </c>
      <c r="ER195" s="311">
        <f t="shared" si="431"/>
        <v>0</v>
      </c>
      <c r="ES195" s="340">
        <f>Plus!O236</f>
        <v>0</v>
      </c>
      <c r="ET195" s="74"/>
      <c r="EU195" s="74"/>
      <c r="EV195" s="416">
        <f t="shared" si="429"/>
        <v>0</v>
      </c>
      <c r="EY195" s="90">
        <f t="shared" si="373"/>
        <v>3</v>
      </c>
      <c r="EZ195" s="121">
        <f t="shared" si="415"/>
        <v>0</v>
      </c>
      <c r="FB195" s="149">
        <f t="shared" si="416"/>
        <v>0</v>
      </c>
      <c r="FC195" s="2179">
        <f t="shared" ca="1" si="374"/>
        <v>0</v>
      </c>
      <c r="FE195" s="120">
        <f t="shared" si="417"/>
        <v>0</v>
      </c>
      <c r="FF195" s="110">
        <f t="shared" si="375"/>
        <v>0</v>
      </c>
      <c r="FG195" s="110">
        <f t="shared" si="376"/>
        <v>0</v>
      </c>
      <c r="FH195" s="109">
        <f t="shared" si="377"/>
        <v>0</v>
      </c>
      <c r="FI195" s="109">
        <f t="shared" si="328"/>
        <v>0</v>
      </c>
      <c r="FJ195" s="113">
        <f t="shared" si="378"/>
        <v>0</v>
      </c>
      <c r="FL195" s="102">
        <f t="shared" si="379"/>
        <v>0</v>
      </c>
      <c r="FM195" s="211">
        <f t="shared" si="424"/>
        <v>171</v>
      </c>
      <c r="FN195" s="212">
        <f t="shared" si="380"/>
        <v>0</v>
      </c>
      <c r="FO195" s="212">
        <f t="shared" si="329"/>
        <v>0</v>
      </c>
      <c r="FP195" s="212">
        <f t="shared" si="450"/>
        <v>0</v>
      </c>
      <c r="FQ195" s="213">
        <f t="shared" si="330"/>
        <v>1000000</v>
      </c>
      <c r="FV195" s="359"/>
      <c r="FX195" s="308">
        <f t="shared" ca="1" si="331"/>
        <v>6</v>
      </c>
      <c r="FY195" s="309">
        <f t="shared" si="381"/>
        <v>0</v>
      </c>
      <c r="FZ195" s="268">
        <f t="shared" si="332"/>
        <v>0</v>
      </c>
      <c r="GA195" s="33">
        <f t="shared" si="382"/>
        <v>0</v>
      </c>
      <c r="GB195" s="33">
        <f t="shared" si="438"/>
        <v>0</v>
      </c>
      <c r="GC195" s="33">
        <f t="shared" si="439"/>
        <v>0</v>
      </c>
      <c r="GD195" s="33">
        <f>IF(GJ194&lt;0.01,0,IF(Plus!$F$22=Plus!$AN$4,0,IF(Plus!$F$22=Plus!$AN$3,GJ194*Plus!$F$23/1000,GJ194*VLOOKUP(Plus!$G$21,Plus!$AP$2:$AQ$5,2,0))))</f>
        <v>0</v>
      </c>
      <c r="GE195" s="33">
        <f>IF(GJ194&lt;0.01,0,IF(Plus!$F$24=Plus!$AO$3,0,IF(OR(Plus!$F$10=Plus!$AK$7,Plus!$F$10=Plus!$AK$13,Plus!$F$10=Plus!$AK$14),0,IF(OR(Plus!$F$10=Plus!$AK$10,Plus!$F$10=Plus!$AK$11),Plus!$G$13*Adm!$W$7,Plus!$G$13*Adm!$X$4))))</f>
        <v>0</v>
      </c>
      <c r="GF195" s="33">
        <f>IF(GJ194&lt;0.01,0,IF(OR(Plus!$F$10=Plus!$AK$7,Plus!$F$10=Plus!$AK$13),0,Plus!$BD$2*1.16))</f>
        <v>0</v>
      </c>
      <c r="GG195" s="33">
        <f>IF(GJ194&lt;0.01,0,IF(Plus!$AS$2&gt;0,GA195*Plus!$AS$3,0))</f>
        <v>0</v>
      </c>
      <c r="GH195" s="33">
        <f t="shared" si="383"/>
        <v>0</v>
      </c>
      <c r="GI195" s="33">
        <f>IF(Plus!$F$10=Plus!$AK$3,MIN(GJ194+GA195+GD195+GE195+GF195-GH195,GU195),0)</f>
        <v>0</v>
      </c>
      <c r="GJ195" s="311">
        <f t="shared" si="432"/>
        <v>0</v>
      </c>
      <c r="GK195" s="340">
        <f>Plus!O236</f>
        <v>0</v>
      </c>
      <c r="GL195" s="74"/>
      <c r="GM195" s="74"/>
      <c r="GN195" s="419">
        <f t="shared" si="430"/>
        <v>0</v>
      </c>
      <c r="GQ195" s="90">
        <f t="shared" si="384"/>
        <v>3</v>
      </c>
      <c r="GR195" s="121">
        <f t="shared" si="418"/>
        <v>0</v>
      </c>
      <c r="GT195" s="149">
        <f t="shared" si="419"/>
        <v>0</v>
      </c>
      <c r="GU195" s="2179">
        <f t="shared" ca="1" si="385"/>
        <v>0</v>
      </c>
      <c r="GW195" s="120">
        <f t="shared" si="420"/>
        <v>0</v>
      </c>
      <c r="GX195" s="110">
        <f t="shared" si="386"/>
        <v>0</v>
      </c>
      <c r="GY195" s="110">
        <f t="shared" si="387"/>
        <v>0</v>
      </c>
      <c r="GZ195" s="109">
        <f t="shared" si="388"/>
        <v>0</v>
      </c>
      <c r="HA195" s="109">
        <f t="shared" si="333"/>
        <v>0</v>
      </c>
      <c r="HB195" s="113">
        <f t="shared" si="389"/>
        <v>0</v>
      </c>
      <c r="HD195" s="102">
        <f t="shared" si="390"/>
        <v>0</v>
      </c>
      <c r="HE195" s="211">
        <f t="shared" si="425"/>
        <v>171</v>
      </c>
      <c r="HF195" s="212">
        <f t="shared" si="391"/>
        <v>0</v>
      </c>
      <c r="HG195" s="212">
        <f t="shared" si="334"/>
        <v>0</v>
      </c>
      <c r="HH195" s="212">
        <f t="shared" si="451"/>
        <v>0</v>
      </c>
      <c r="HI195" s="213">
        <f t="shared" si="335"/>
        <v>1000000</v>
      </c>
      <c r="HL195" s="182"/>
      <c r="HM195" s="26">
        <f t="shared" ca="1" si="336"/>
        <v>6</v>
      </c>
      <c r="HO195" s="268">
        <f t="shared" si="337"/>
        <v>0</v>
      </c>
      <c r="HP195" s="151">
        <f t="shared" si="448"/>
        <v>0</v>
      </c>
      <c r="HQ195" s="123">
        <f t="shared" si="392"/>
        <v>0</v>
      </c>
      <c r="HR195" s="123">
        <f t="shared" si="393"/>
        <v>0</v>
      </c>
      <c r="HS195" s="123">
        <f t="shared" si="394"/>
        <v>0</v>
      </c>
      <c r="HT195" s="123">
        <f>IF(HY194&lt;0.01,0,IF(Adm!$GS$4=Adm!$GS$8,HY194*$HY$15,IF(Adm!$GS$12=Adm!$GS$13,0,HY194*Adm!$GV$4)))</f>
        <v>0</v>
      </c>
      <c r="HU195" s="123">
        <f>IF(HY194&lt;0.01,0,IF(Adm!$GS$5=Adm!$GS$8,Cal!$BO$108*$HY$16/1.16,IF(Adm!$GS$12=Adm!$GS$13,0,Cal!$BO$108*Adm!$GW$4/1.16)))</f>
        <v>0</v>
      </c>
      <c r="HV195" s="123">
        <f t="shared" si="395"/>
        <v>0</v>
      </c>
      <c r="HW195" s="123">
        <f t="shared" si="338"/>
        <v>0</v>
      </c>
      <c r="HX195" s="123">
        <f>IF(Adm!$GH$6="si",MIN(HY194+HQ195+HT195+HU195+HV195-HW195,IH195),0)</f>
        <v>0</v>
      </c>
      <c r="HY195" s="297">
        <f t="shared" si="396"/>
        <v>0</v>
      </c>
      <c r="HZ195" s="74"/>
      <c r="IA195" s="407">
        <f t="shared" si="397"/>
        <v>0</v>
      </c>
      <c r="IC195" s="90">
        <f t="shared" si="398"/>
        <v>3</v>
      </c>
      <c r="ID195" s="124">
        <f>IF(IC195=1,Cal!$BO$127,0)</f>
        <v>0</v>
      </c>
      <c r="IE195" s="178">
        <f>IF(IC195=1,Adm!$HI$4,0)</f>
        <v>0</v>
      </c>
      <c r="IG195" s="70">
        <f t="shared" si="421"/>
        <v>0</v>
      </c>
      <c r="IH195" s="2178">
        <f t="shared" ca="1" si="399"/>
        <v>0</v>
      </c>
      <c r="IK195" s="217"/>
      <c r="IL195" s="26">
        <f t="shared" ca="1" si="339"/>
        <v>6</v>
      </c>
      <c r="IN195" s="268">
        <f t="shared" si="340"/>
        <v>0</v>
      </c>
      <c r="IO195" s="151">
        <f t="shared" si="449"/>
        <v>0</v>
      </c>
      <c r="IP195" s="123">
        <f t="shared" si="400"/>
        <v>0</v>
      </c>
      <c r="IQ195" s="123">
        <f t="shared" si="401"/>
        <v>0</v>
      </c>
      <c r="IR195" s="123">
        <f t="shared" si="402"/>
        <v>0</v>
      </c>
      <c r="IS195" s="123">
        <f>IF(IX194&lt;0.01,0,IF(Adm!$GS$4=Adm!$GS$8,IX194*$IX$15,IF(Adm!$GS$12=Adm!$GS$13,0,IX194*Adm!$GV$4)))</f>
        <v>0</v>
      </c>
      <c r="IT195" s="123"/>
      <c r="IU195" s="123">
        <f t="shared" si="403"/>
        <v>0</v>
      </c>
      <c r="IV195" s="123">
        <f t="shared" si="404"/>
        <v>0</v>
      </c>
      <c r="IW195" s="123"/>
      <c r="IX195" s="297">
        <f t="shared" si="405"/>
        <v>0</v>
      </c>
      <c r="IY195" s="74"/>
      <c r="IZ195" s="416">
        <f t="shared" si="406"/>
        <v>0</v>
      </c>
      <c r="JB195" s="90">
        <f t="shared" si="407"/>
        <v>3</v>
      </c>
      <c r="JC195" s="124">
        <f>IF(JB195=1,Cal!$BP$127,0)</f>
        <v>0</v>
      </c>
      <c r="JD195" s="178">
        <f>IF(JB195=1,Adm!$HI$4,0)</f>
        <v>0</v>
      </c>
    </row>
    <row r="196" spans="1:264">
      <c r="A196" s="26">
        <f t="shared" ca="1" si="308"/>
        <v>7</v>
      </c>
      <c r="C196" s="33">
        <f t="shared" si="309"/>
        <v>0</v>
      </c>
      <c r="D196" s="123">
        <f t="shared" si="341"/>
        <v>0</v>
      </c>
      <c r="E196" s="123">
        <f t="shared" si="433"/>
        <v>0</v>
      </c>
      <c r="F196" s="123">
        <f t="shared" si="443"/>
        <v>0</v>
      </c>
      <c r="G196" s="123">
        <f>IF(L195&lt;0.01,0,IF(Adm!$S$4=Adm!$S$8,L195*$L$15,L195*Adm!$V$4))</f>
        <v>0</v>
      </c>
      <c r="H196" s="123">
        <f>IF(L195&lt;0.01,0,IF(Adm!$S$5=Adm!$S$8,Adm!$AA$11*$L$16/1.16,IF(Adm!$B$4=Adm!$A$119,0,Adm!$AA$11*Adm!$X$4/1.16)))</f>
        <v>0</v>
      </c>
      <c r="I196" s="123">
        <f>IF(L195&lt;0.01,0,Cal!$AB$126/1.16)</f>
        <v>0</v>
      </c>
      <c r="J196" s="123">
        <f t="shared" si="310"/>
        <v>0</v>
      </c>
      <c r="K196" s="123">
        <f>IF(Adm!$G$4="si",MIN(L195+D196+G196+H196+I196-J196,V196),0)</f>
        <v>0</v>
      </c>
      <c r="L196" s="123">
        <f t="shared" si="342"/>
        <v>0</v>
      </c>
      <c r="M196" s="74"/>
      <c r="N196" s="74"/>
      <c r="O196" s="407">
        <f t="shared" si="343"/>
        <v>0</v>
      </c>
      <c r="R196" s="90">
        <f t="shared" si="344"/>
        <v>4</v>
      </c>
      <c r="S196" s="121">
        <f>IF(R196=1,Cal!$AB$127,0)</f>
        <v>0</v>
      </c>
      <c r="U196" s="70">
        <f t="shared" si="408"/>
        <v>0</v>
      </c>
      <c r="V196" s="2178">
        <f t="shared" ca="1" si="345"/>
        <v>0</v>
      </c>
      <c r="X196" s="398"/>
      <c r="Z196" s="268">
        <f t="shared" si="311"/>
        <v>0</v>
      </c>
      <c r="AA196" s="2176">
        <f t="shared" si="346"/>
        <v>0</v>
      </c>
      <c r="AB196" s="33">
        <f t="shared" si="347"/>
        <v>0</v>
      </c>
      <c r="AC196" s="33">
        <f t="shared" si="348"/>
        <v>0</v>
      </c>
      <c r="AD196" s="33">
        <f>IF(AI195&lt;0.01,0,IF(Adm!$S$4=Adm!$S$8,AI195*$AI$15,AI195*Adm!$V$4))</f>
        <v>0</v>
      </c>
      <c r="AE196" s="33"/>
      <c r="AF196" s="33"/>
      <c r="AG196" s="33">
        <f t="shared" si="312"/>
        <v>0</v>
      </c>
      <c r="AH196" s="33"/>
      <c r="AI196" s="401">
        <f t="shared" si="313"/>
        <v>0</v>
      </c>
      <c r="AK196" s="410">
        <f t="shared" si="314"/>
        <v>0</v>
      </c>
      <c r="AN196" s="90">
        <f t="shared" si="349"/>
        <v>4</v>
      </c>
      <c r="AO196" s="121">
        <f>IF(AN196=1,Cal!$AC$127,0)</f>
        <v>0</v>
      </c>
      <c r="AS196" s="200"/>
      <c r="AU196" s="268">
        <f t="shared" si="315"/>
        <v>0</v>
      </c>
      <c r="AV196" s="2177">
        <f t="shared" si="350"/>
        <v>0</v>
      </c>
      <c r="AW196" s="123">
        <f t="shared" si="316"/>
        <v>0</v>
      </c>
      <c r="AX196" s="123">
        <f t="shared" si="351"/>
        <v>0</v>
      </c>
      <c r="AY196" s="123">
        <f>IF(BC195&lt;0.01,0,IF(Adm!$S$4=Adm!$S$8,BC195*$BC$16,BC195*Adm!$V$4))</f>
        <v>0</v>
      </c>
      <c r="AZ196" s="123"/>
      <c r="BA196" s="123">
        <f>IF(BC195&lt;0.01,0,Adm!$Q$6)</f>
        <v>0</v>
      </c>
      <c r="BB196" s="123">
        <f t="shared" si="317"/>
        <v>0</v>
      </c>
      <c r="BC196" s="297">
        <f t="shared" si="352"/>
        <v>0</v>
      </c>
      <c r="BE196" s="425">
        <f t="shared" si="318"/>
        <v>0</v>
      </c>
      <c r="BH196" s="90">
        <f t="shared" si="353"/>
        <v>4</v>
      </c>
      <c r="BI196" s="121">
        <f>IF(BH196=1,Cal!$AD$127,0)</f>
        <v>0</v>
      </c>
      <c r="BM196" s="221"/>
      <c r="BO196" s="295">
        <f t="shared" ca="1" si="319"/>
        <v>7</v>
      </c>
      <c r="BP196" s="268">
        <f t="shared" si="320"/>
        <v>0</v>
      </c>
      <c r="BQ196" s="123">
        <f t="shared" si="354"/>
        <v>0</v>
      </c>
      <c r="BR196" s="123">
        <f t="shared" si="434"/>
        <v>0</v>
      </c>
      <c r="BS196" s="123">
        <f t="shared" si="444"/>
        <v>0</v>
      </c>
      <c r="BT196" s="123">
        <f>IF(BZ195&lt;0.01,0,IF(Plus!$F$22=Plus!$AN$4,BZ195*$BZ$15,IF(Plus!$F$22=Plus!$AN$3,BZ195*Plus!$F$23/1000,BZ195*VLOOKUP(Plus!$G$21,Plus!$AP$2:'Plus'!$AQ$5,2,0))))</f>
        <v>0</v>
      </c>
      <c r="BU196" s="123">
        <f>IF(BZ195&lt;0.01,0,IF(Plus!$F$24=Plus!$AO$3,Plus!$G$13*Plus!$AR$2/1.16,IF(Plus!$F$10=Plus!$AK$7,0,Plus!$G$13*Plus!$AR$2/1.16)))</f>
        <v>0</v>
      </c>
      <c r="BV196" s="123">
        <f>IF(BZ195&lt;0.01,0,Plus!$BD$2)</f>
        <v>0</v>
      </c>
      <c r="BW196" s="123"/>
      <c r="BX196" s="123">
        <f t="shared" si="321"/>
        <v>0</v>
      </c>
      <c r="BY196" s="123">
        <f>IF(Plus!$F$10=Plus!$AK$3,MIN(BZ195+BQ196+BT196+BU196+BV196-BX196,CJ196),0)</f>
        <v>0</v>
      </c>
      <c r="BZ196" s="297">
        <f t="shared" si="428"/>
        <v>0</v>
      </c>
      <c r="CA196" s="74"/>
      <c r="CB196" s="74"/>
      <c r="CC196" s="413">
        <f t="shared" si="355"/>
        <v>0</v>
      </c>
      <c r="CF196" s="90">
        <f t="shared" si="356"/>
        <v>4</v>
      </c>
      <c r="CG196" s="121">
        <f t="shared" si="409"/>
        <v>0</v>
      </c>
      <c r="CI196" s="70">
        <f t="shared" si="410"/>
        <v>0</v>
      </c>
      <c r="CJ196" s="2178">
        <f t="shared" ca="1" si="357"/>
        <v>0</v>
      </c>
      <c r="CL196" s="161"/>
      <c r="CN196" s="308">
        <f t="shared" ca="1" si="322"/>
        <v>7</v>
      </c>
      <c r="CO196" s="309">
        <f t="shared" si="358"/>
        <v>0</v>
      </c>
      <c r="CP196" s="268">
        <f t="shared" si="323"/>
        <v>0</v>
      </c>
      <c r="CQ196" s="123">
        <f t="shared" si="359"/>
        <v>0</v>
      </c>
      <c r="CR196" s="123">
        <f t="shared" si="435"/>
        <v>0</v>
      </c>
      <c r="CS196" s="123">
        <f t="shared" si="436"/>
        <v>0</v>
      </c>
      <c r="CT196" s="33">
        <f>IF(CZ195&lt;0.01,0,IF(Plus!$F$22=Plus!$AN$4,0,IF(Plus!$F$22=Plus!$AN$3,CZ195*Plus!$F$23/1000,CZ195*VLOOKUP(Plus!$G$21,Plus!$AP$2:'Plus'!$AQ$5,2,0))))</f>
        <v>0</v>
      </c>
      <c r="CU196" s="123">
        <f>IF(CZ195&lt;0.01,0,IF(Plus!$F$24=Plus!$AO$3,0,IF(OR(Plus!$F$10=Plus!$AK$7,Plus!$F$10=Plus!$AK$13),0,Plus!$G$13*Plus!$AR$2)))</f>
        <v>0</v>
      </c>
      <c r="CV196" s="123">
        <f>IF(CZ195&lt;0.01,0,IF(OR(Plus!$F$10=Plus!$AK$7,Plus!$F$10=Plus!$AK$13),0,Plus!$BD$2*1.16))</f>
        <v>0</v>
      </c>
      <c r="CW196" s="123">
        <f>IF(CZ195&lt;0.01,0,IF(Plus!$AS$2&gt;0,CQ196*Plus!$AS$3,0))</f>
        <v>0</v>
      </c>
      <c r="CX196" s="123">
        <f t="shared" si="360"/>
        <v>0</v>
      </c>
      <c r="CY196" s="123">
        <f>IF(Plus!$F$10=Plus!$AK$3,MIN(CZ195+CQ196+CT196+CU196+CV196-CX196,DK196),0)</f>
        <v>0</v>
      </c>
      <c r="CZ196" s="297">
        <f t="shared" si="440"/>
        <v>0</v>
      </c>
      <c r="DA196" s="306">
        <f>Plus!O237</f>
        <v>0</v>
      </c>
      <c r="DB196" s="74"/>
      <c r="DC196" s="74"/>
      <c r="DD196" s="407">
        <f t="shared" si="361"/>
        <v>0</v>
      </c>
      <c r="DG196" s="90">
        <f t="shared" si="362"/>
        <v>4</v>
      </c>
      <c r="DH196" s="121">
        <f t="shared" si="411"/>
        <v>0</v>
      </c>
      <c r="DJ196" s="149">
        <f t="shared" si="412"/>
        <v>0</v>
      </c>
      <c r="DK196" s="2179">
        <f t="shared" ca="1" si="363"/>
        <v>0</v>
      </c>
      <c r="DN196" s="120">
        <f t="shared" si="413"/>
        <v>0</v>
      </c>
      <c r="DO196" s="110">
        <f t="shared" si="364"/>
        <v>0</v>
      </c>
      <c r="DP196" s="110">
        <f t="shared" si="422"/>
        <v>0</v>
      </c>
      <c r="DQ196" s="109">
        <f t="shared" si="365"/>
        <v>0</v>
      </c>
      <c r="DR196" s="109">
        <f t="shared" si="366"/>
        <v>0</v>
      </c>
      <c r="DS196" s="113">
        <f t="shared" si="367"/>
        <v>0</v>
      </c>
      <c r="DU196" s="102">
        <f t="shared" si="368"/>
        <v>0</v>
      </c>
      <c r="DV196" s="211">
        <f t="shared" si="423"/>
        <v>172</v>
      </c>
      <c r="DW196" s="212">
        <f t="shared" si="369"/>
        <v>0</v>
      </c>
      <c r="DX196" s="212">
        <f t="shared" si="324"/>
        <v>0</v>
      </c>
      <c r="DY196" s="212">
        <f t="shared" si="414"/>
        <v>0</v>
      </c>
      <c r="DZ196" s="213">
        <f t="shared" si="325"/>
        <v>1000000</v>
      </c>
      <c r="ED196" s="182"/>
      <c r="EF196" s="308">
        <f t="shared" ca="1" si="326"/>
        <v>7</v>
      </c>
      <c r="EG196" s="309">
        <f t="shared" si="370"/>
        <v>0</v>
      </c>
      <c r="EH196" s="268">
        <f t="shared" si="327"/>
        <v>0</v>
      </c>
      <c r="EI196" s="33">
        <f t="shared" si="371"/>
        <v>0</v>
      </c>
      <c r="EJ196" s="33">
        <f t="shared" si="437"/>
        <v>0</v>
      </c>
      <c r="EK196" s="33">
        <f t="shared" si="445"/>
        <v>0</v>
      </c>
      <c r="EL196" s="33">
        <f>IF(ER195&lt;0.01,0,IF(Plus!$F$22=Plus!$AN$4,0,IF(Plus!$F$22=Plus!$AN$3,ER195*Plus!$F$23/1000,ER195*VLOOKUP(Plus!$G$21,Plus!$AP$2:'Plus'!$AQ$5,2,0))))</f>
        <v>0</v>
      </c>
      <c r="EM196" s="33">
        <f>IF(ER195&lt;0.01,0,IF(Plus!$F$24=Plus!$AO$3,0,IF(OR(Plus!$F$10=Plus!$AK$7,Plus!$F$10=Plus!$AK$13),0,Plus!$G$13*Plus!$AR$2)))</f>
        <v>0</v>
      </c>
      <c r="EN196" s="33">
        <f>IF(ER195&lt;0.01,0,IF(OR(Plus!$F$10=Plus!$AK$7,Plus!$F$10=Plus!$AK$13),0,Plus!$BD$2*1.16))</f>
        <v>0</v>
      </c>
      <c r="EO196" s="33">
        <f>IF(ER195&lt;0.01,0,IF(Plus!$AS$2&gt;0,EI196*Plus!$AS$3,0))</f>
        <v>0</v>
      </c>
      <c r="EP196" s="33">
        <f t="shared" si="372"/>
        <v>0</v>
      </c>
      <c r="EQ196" s="33">
        <f>IF(Plus!$F$10=Plus!$AK$3,MIN(ER195+EI196+EL196+EM196+EN196-EP196,FC196),0)</f>
        <v>0</v>
      </c>
      <c r="ER196" s="311">
        <f t="shared" si="431"/>
        <v>0</v>
      </c>
      <c r="ES196" s="340">
        <f>Plus!O237</f>
        <v>0</v>
      </c>
      <c r="ET196" s="74"/>
      <c r="EU196" s="74"/>
      <c r="EV196" s="416">
        <f t="shared" si="429"/>
        <v>0</v>
      </c>
      <c r="EY196" s="90">
        <f t="shared" si="373"/>
        <v>4</v>
      </c>
      <c r="EZ196" s="121">
        <f t="shared" si="415"/>
        <v>0</v>
      </c>
      <c r="FB196" s="149">
        <f t="shared" si="416"/>
        <v>0</v>
      </c>
      <c r="FC196" s="2179">
        <f t="shared" ca="1" si="374"/>
        <v>0</v>
      </c>
      <c r="FE196" s="120">
        <f t="shared" si="417"/>
        <v>0</v>
      </c>
      <c r="FF196" s="110">
        <f t="shared" si="375"/>
        <v>0</v>
      </c>
      <c r="FG196" s="110">
        <f t="shared" si="376"/>
        <v>0</v>
      </c>
      <c r="FH196" s="109">
        <f t="shared" si="377"/>
        <v>0</v>
      </c>
      <c r="FI196" s="109">
        <f t="shared" si="328"/>
        <v>0</v>
      </c>
      <c r="FJ196" s="113">
        <f t="shared" si="378"/>
        <v>0</v>
      </c>
      <c r="FL196" s="102">
        <f t="shared" si="379"/>
        <v>0</v>
      </c>
      <c r="FM196" s="211">
        <f t="shared" si="424"/>
        <v>172</v>
      </c>
      <c r="FN196" s="212">
        <f t="shared" si="380"/>
        <v>0</v>
      </c>
      <c r="FO196" s="212">
        <f t="shared" si="329"/>
        <v>0</v>
      </c>
      <c r="FP196" s="212">
        <f t="shared" si="450"/>
        <v>0</v>
      </c>
      <c r="FQ196" s="213">
        <f t="shared" si="330"/>
        <v>1000000</v>
      </c>
      <c r="FV196" s="359"/>
      <c r="FX196" s="308">
        <f t="shared" ca="1" si="331"/>
        <v>7</v>
      </c>
      <c r="FY196" s="309">
        <f t="shared" si="381"/>
        <v>0</v>
      </c>
      <c r="FZ196" s="268">
        <f t="shared" si="332"/>
        <v>0</v>
      </c>
      <c r="GA196" s="33">
        <f t="shared" si="382"/>
        <v>0</v>
      </c>
      <c r="GB196" s="33">
        <f t="shared" si="438"/>
        <v>0</v>
      </c>
      <c r="GC196" s="33">
        <f t="shared" si="439"/>
        <v>0</v>
      </c>
      <c r="GD196" s="33">
        <f>IF(GJ195&lt;0.01,0,IF(Plus!$F$22=Plus!$AN$4,0,IF(Plus!$F$22=Plus!$AN$3,GJ195*Plus!$F$23/1000,GJ195*VLOOKUP(Plus!$G$21,Plus!$AP$2:$AQ$5,2,0))))</f>
        <v>0</v>
      </c>
      <c r="GE196" s="33">
        <f>IF(GJ195&lt;0.01,0,IF(Plus!$F$24=Plus!$AO$3,0,IF(OR(Plus!$F$10=Plus!$AK$7,Plus!$F$10=Plus!$AK$13,Plus!$F$10=Plus!$AK$14),0,IF(OR(Plus!$F$10=Plus!$AK$10,Plus!$F$10=Plus!$AK$11),Plus!$G$13*Adm!$W$7,Plus!$G$13*Adm!$X$4))))</f>
        <v>0</v>
      </c>
      <c r="GF196" s="33">
        <f>IF(GJ195&lt;0.01,0,IF(OR(Plus!$F$10=Plus!$AK$7,Plus!$F$10=Plus!$AK$13),0,Plus!$BD$2*1.16))</f>
        <v>0</v>
      </c>
      <c r="GG196" s="33">
        <f>IF(GJ195&lt;0.01,0,IF(Plus!$AS$2&gt;0,GA196*Plus!$AS$3,0))</f>
        <v>0</v>
      </c>
      <c r="GH196" s="33">
        <f t="shared" si="383"/>
        <v>0</v>
      </c>
      <c r="GI196" s="33">
        <f>IF(Plus!$F$10=Plus!$AK$3,MIN(GJ195+GA196+GD196+GE196+GF196-GH196,GU196),0)</f>
        <v>0</v>
      </c>
      <c r="GJ196" s="311">
        <f t="shared" si="432"/>
        <v>0</v>
      </c>
      <c r="GK196" s="340">
        <f>Plus!O237</f>
        <v>0</v>
      </c>
      <c r="GL196" s="74"/>
      <c r="GM196" s="74"/>
      <c r="GN196" s="419">
        <f t="shared" si="430"/>
        <v>0</v>
      </c>
      <c r="GQ196" s="90">
        <f t="shared" si="384"/>
        <v>4</v>
      </c>
      <c r="GR196" s="121">
        <f t="shared" si="418"/>
        <v>0</v>
      </c>
      <c r="GT196" s="149">
        <f t="shared" si="419"/>
        <v>0</v>
      </c>
      <c r="GU196" s="2179">
        <f t="shared" ca="1" si="385"/>
        <v>0</v>
      </c>
      <c r="GW196" s="120">
        <f t="shared" si="420"/>
        <v>0</v>
      </c>
      <c r="GX196" s="110">
        <f t="shared" si="386"/>
        <v>0</v>
      </c>
      <c r="GY196" s="110">
        <f t="shared" si="387"/>
        <v>0</v>
      </c>
      <c r="GZ196" s="109">
        <f t="shared" si="388"/>
        <v>0</v>
      </c>
      <c r="HA196" s="109">
        <f t="shared" si="333"/>
        <v>0</v>
      </c>
      <c r="HB196" s="113">
        <f t="shared" si="389"/>
        <v>0</v>
      </c>
      <c r="HD196" s="102">
        <f t="shared" si="390"/>
        <v>0</v>
      </c>
      <c r="HE196" s="211">
        <f t="shared" si="425"/>
        <v>172</v>
      </c>
      <c r="HF196" s="212">
        <f t="shared" si="391"/>
        <v>0</v>
      </c>
      <c r="HG196" s="212">
        <f t="shared" si="334"/>
        <v>0</v>
      </c>
      <c r="HH196" s="212">
        <f t="shared" si="451"/>
        <v>0</v>
      </c>
      <c r="HI196" s="213">
        <f t="shared" si="335"/>
        <v>1000000</v>
      </c>
      <c r="HL196" s="182"/>
      <c r="HM196" s="26">
        <f t="shared" ca="1" si="336"/>
        <v>7</v>
      </c>
      <c r="HO196" s="268">
        <f t="shared" si="337"/>
        <v>0</v>
      </c>
      <c r="HP196" s="151">
        <f t="shared" si="448"/>
        <v>0</v>
      </c>
      <c r="HQ196" s="123">
        <f t="shared" si="392"/>
        <v>0</v>
      </c>
      <c r="HR196" s="123">
        <f t="shared" si="393"/>
        <v>0</v>
      </c>
      <c r="HS196" s="123">
        <f t="shared" si="394"/>
        <v>0</v>
      </c>
      <c r="HT196" s="123">
        <f>IF(HY195&lt;0.01,0,IF(Adm!$GS$4=Adm!$GS$8,HY195*$HY$15,IF(Adm!$GS$12=Adm!$GS$13,0,HY195*Adm!$GV$4)))</f>
        <v>0</v>
      </c>
      <c r="HU196" s="123">
        <f>IF(HY195&lt;0.01,0,IF(Adm!$GS$5=Adm!$GS$8,Cal!$BO$108*$HY$16/1.16,IF(Adm!$GS$12=Adm!$GS$13,0,Cal!$BO$108*Adm!$GW$4/1.16)))</f>
        <v>0</v>
      </c>
      <c r="HV196" s="123">
        <f t="shared" si="395"/>
        <v>0</v>
      </c>
      <c r="HW196" s="123">
        <f t="shared" si="338"/>
        <v>0</v>
      </c>
      <c r="HX196" s="123">
        <f>IF(Adm!$GH$6="si",MIN(HY195+HQ196+HT196+HU196+HV196-HW196,IH196),0)</f>
        <v>0</v>
      </c>
      <c r="HY196" s="297">
        <f t="shared" si="396"/>
        <v>0</v>
      </c>
      <c r="HZ196" s="74"/>
      <c r="IA196" s="407">
        <f t="shared" si="397"/>
        <v>0</v>
      </c>
      <c r="IC196" s="90">
        <f t="shared" si="398"/>
        <v>4</v>
      </c>
      <c r="ID196" s="124">
        <f>IF(IC196=1,Cal!$BO$127,0)</f>
        <v>0</v>
      </c>
      <c r="IE196" s="178">
        <f>IF(IC196=1,Adm!$HI$4,0)</f>
        <v>0</v>
      </c>
      <c r="IG196" s="70">
        <f t="shared" si="421"/>
        <v>0</v>
      </c>
      <c r="IH196" s="2178">
        <f t="shared" ca="1" si="399"/>
        <v>0</v>
      </c>
      <c r="IK196" s="217"/>
      <c r="IL196" s="26">
        <f t="shared" ca="1" si="339"/>
        <v>7</v>
      </c>
      <c r="IN196" s="268">
        <f t="shared" si="340"/>
        <v>0</v>
      </c>
      <c r="IO196" s="151">
        <f t="shared" si="449"/>
        <v>0</v>
      </c>
      <c r="IP196" s="123">
        <f t="shared" si="400"/>
        <v>0</v>
      </c>
      <c r="IQ196" s="123">
        <f t="shared" si="401"/>
        <v>0</v>
      </c>
      <c r="IR196" s="123">
        <f t="shared" si="402"/>
        <v>0</v>
      </c>
      <c r="IS196" s="123">
        <f>IF(IX195&lt;0.01,0,IF(Adm!$GS$4=Adm!$GS$8,IX195*$IX$15,IF(Adm!$GS$12=Adm!$GS$13,0,IX195*Adm!$GV$4)))</f>
        <v>0</v>
      </c>
      <c r="IT196" s="123"/>
      <c r="IU196" s="123">
        <f t="shared" si="403"/>
        <v>0</v>
      </c>
      <c r="IV196" s="123">
        <f t="shared" si="404"/>
        <v>0</v>
      </c>
      <c r="IW196" s="123"/>
      <c r="IX196" s="297">
        <f t="shared" si="405"/>
        <v>0</v>
      </c>
      <c r="IY196" s="74"/>
      <c r="IZ196" s="416">
        <f t="shared" si="406"/>
        <v>0</v>
      </c>
      <c r="JB196" s="90">
        <f t="shared" si="407"/>
        <v>4</v>
      </c>
      <c r="JC196" s="124">
        <f>IF(JB196=1,Cal!$BP$127,0)</f>
        <v>0</v>
      </c>
      <c r="JD196" s="178">
        <f>IF(JB196=1,Adm!$HI$4,0)</f>
        <v>0</v>
      </c>
    </row>
    <row r="197" spans="1:264">
      <c r="A197" s="26">
        <f t="shared" ca="1" si="308"/>
        <v>8</v>
      </c>
      <c r="C197" s="33">
        <f t="shared" si="309"/>
        <v>0</v>
      </c>
      <c r="D197" s="123">
        <f t="shared" si="341"/>
        <v>0</v>
      </c>
      <c r="E197" s="123">
        <f t="shared" si="433"/>
        <v>0</v>
      </c>
      <c r="F197" s="123">
        <f t="shared" si="443"/>
        <v>0</v>
      </c>
      <c r="G197" s="123">
        <f>IF(L196&lt;0.01,0,IF(Adm!$S$4=Adm!$S$8,L196*$L$15,L196*Adm!$V$4))</f>
        <v>0</v>
      </c>
      <c r="H197" s="123">
        <f>IF(L196&lt;0.01,0,IF(Adm!$S$5=Adm!$S$8,Adm!$AA$11*$L$16/1.16,IF(Adm!$B$4=Adm!$A$119,0,Adm!$AA$11*Adm!$X$4/1.16)))</f>
        <v>0</v>
      </c>
      <c r="I197" s="123">
        <f>IF(L196&lt;0.01,0,Cal!$AB$126/1.16)</f>
        <v>0</v>
      </c>
      <c r="J197" s="123">
        <f t="shared" si="310"/>
        <v>0</v>
      </c>
      <c r="K197" s="123">
        <f>IF(Adm!$G$4="si",MIN(L196+D197+G197+H197+I197-J197,V197),0)</f>
        <v>0</v>
      </c>
      <c r="L197" s="123">
        <f t="shared" si="342"/>
        <v>0</v>
      </c>
      <c r="M197" s="74"/>
      <c r="N197" s="74"/>
      <c r="O197" s="407">
        <f t="shared" si="343"/>
        <v>0</v>
      </c>
      <c r="R197" s="90">
        <f t="shared" si="344"/>
        <v>5</v>
      </c>
      <c r="S197" s="121">
        <f>IF(R197=1,Cal!$AB$127,0)</f>
        <v>0</v>
      </c>
      <c r="U197" s="70">
        <f t="shared" si="408"/>
        <v>0</v>
      </c>
      <c r="V197" s="2178">
        <f t="shared" ca="1" si="345"/>
        <v>0</v>
      </c>
      <c r="X197" s="398"/>
      <c r="Z197" s="268">
        <f t="shared" si="311"/>
        <v>0</v>
      </c>
      <c r="AA197" s="2176">
        <f t="shared" si="346"/>
        <v>0</v>
      </c>
      <c r="AB197" s="33">
        <f t="shared" si="347"/>
        <v>0</v>
      </c>
      <c r="AC197" s="33">
        <f t="shared" si="348"/>
        <v>0</v>
      </c>
      <c r="AD197" s="33">
        <f>IF(AI196&lt;0.01,0,IF(Adm!$S$4=Adm!$S$8,AI196*$AI$15,AI196*Adm!$V$4))</f>
        <v>0</v>
      </c>
      <c r="AE197" s="33"/>
      <c r="AF197" s="33"/>
      <c r="AG197" s="33">
        <f t="shared" si="312"/>
        <v>0</v>
      </c>
      <c r="AH197" s="33"/>
      <c r="AI197" s="401">
        <f t="shared" si="313"/>
        <v>0</v>
      </c>
      <c r="AK197" s="410">
        <f t="shared" si="314"/>
        <v>0</v>
      </c>
      <c r="AN197" s="90">
        <f t="shared" si="349"/>
        <v>5</v>
      </c>
      <c r="AO197" s="121">
        <f>IF(AN197=1,Cal!$AC$127,0)</f>
        <v>0</v>
      </c>
      <c r="AS197" s="200"/>
      <c r="AU197" s="268">
        <f t="shared" si="315"/>
        <v>0</v>
      </c>
      <c r="AV197" s="2177">
        <f t="shared" si="350"/>
        <v>0</v>
      </c>
      <c r="AW197" s="123">
        <f t="shared" si="316"/>
        <v>0</v>
      </c>
      <c r="AX197" s="123">
        <f t="shared" si="351"/>
        <v>0</v>
      </c>
      <c r="AY197" s="123">
        <f>IF(BC196&lt;0.01,0,IF(Adm!$S$4=Adm!$S$8,BC196*$BC$16,BC196*Adm!$V$4))</f>
        <v>0</v>
      </c>
      <c r="AZ197" s="123"/>
      <c r="BA197" s="123">
        <f>IF(BC196&lt;0.01,0,Adm!$Q$6)</f>
        <v>0</v>
      </c>
      <c r="BB197" s="123">
        <f t="shared" si="317"/>
        <v>0</v>
      </c>
      <c r="BC197" s="297">
        <f t="shared" si="352"/>
        <v>0</v>
      </c>
      <c r="BE197" s="425">
        <f t="shared" si="318"/>
        <v>0</v>
      </c>
      <c r="BH197" s="90">
        <f t="shared" si="353"/>
        <v>5</v>
      </c>
      <c r="BI197" s="121">
        <f>IF(BH197=1,Cal!$AD$127,0)</f>
        <v>0</v>
      </c>
      <c r="BM197" s="221"/>
      <c r="BO197" s="295">
        <f t="shared" ca="1" si="319"/>
        <v>8</v>
      </c>
      <c r="BP197" s="268">
        <f t="shared" si="320"/>
        <v>0</v>
      </c>
      <c r="BQ197" s="123">
        <f t="shared" si="354"/>
        <v>0</v>
      </c>
      <c r="BR197" s="123">
        <f t="shared" si="434"/>
        <v>0</v>
      </c>
      <c r="BS197" s="123">
        <f t="shared" si="444"/>
        <v>0</v>
      </c>
      <c r="BT197" s="123">
        <f>IF(BZ196&lt;0.01,0,IF(Plus!$F$22=Plus!$AN$4,BZ196*$BZ$15,IF(Plus!$F$22=Plus!$AN$3,BZ196*Plus!$F$23/1000,BZ196*VLOOKUP(Plus!$G$21,Plus!$AP$2:'Plus'!$AQ$5,2,0))))</f>
        <v>0</v>
      </c>
      <c r="BU197" s="123">
        <f>IF(BZ196&lt;0.01,0,IF(Plus!$F$24=Plus!$AO$3,Plus!$G$13*Plus!$AR$2/1.16,IF(Plus!$F$10=Plus!$AK$7,0,Plus!$G$13*Plus!$AR$2/1.16)))</f>
        <v>0</v>
      </c>
      <c r="BV197" s="123">
        <f>IF(BZ196&lt;0.01,0,Plus!$BD$2)</f>
        <v>0</v>
      </c>
      <c r="BW197" s="123"/>
      <c r="BX197" s="123">
        <f t="shared" si="321"/>
        <v>0</v>
      </c>
      <c r="BY197" s="123">
        <f>IF(Plus!$F$10=Plus!$AK$3,MIN(BZ196+BQ197+BT197+BU197+BV197-BX197,CJ197),0)</f>
        <v>0</v>
      </c>
      <c r="BZ197" s="297">
        <f t="shared" si="428"/>
        <v>0</v>
      </c>
      <c r="CA197" s="74"/>
      <c r="CB197" s="74"/>
      <c r="CC197" s="413">
        <f t="shared" si="355"/>
        <v>0</v>
      </c>
      <c r="CF197" s="90">
        <f t="shared" si="356"/>
        <v>5</v>
      </c>
      <c r="CG197" s="121">
        <f t="shared" si="409"/>
        <v>0</v>
      </c>
      <c r="CI197" s="70">
        <f t="shared" si="410"/>
        <v>0</v>
      </c>
      <c r="CJ197" s="2178">
        <f t="shared" ca="1" si="357"/>
        <v>0</v>
      </c>
      <c r="CL197" s="161"/>
      <c r="CN197" s="308">
        <f t="shared" ca="1" si="322"/>
        <v>8</v>
      </c>
      <c r="CO197" s="309">
        <f t="shared" si="358"/>
        <v>0</v>
      </c>
      <c r="CP197" s="268">
        <f t="shared" si="323"/>
        <v>0</v>
      </c>
      <c r="CQ197" s="123">
        <f t="shared" si="359"/>
        <v>0</v>
      </c>
      <c r="CR197" s="123">
        <f t="shared" si="435"/>
        <v>0</v>
      </c>
      <c r="CS197" s="123">
        <f t="shared" si="436"/>
        <v>0</v>
      </c>
      <c r="CT197" s="33">
        <f>IF(CZ196&lt;0.01,0,IF(Plus!$F$22=Plus!$AN$4,0,IF(Plus!$F$22=Plus!$AN$3,CZ196*Plus!$F$23/1000,CZ196*VLOOKUP(Plus!$G$21,Plus!$AP$2:'Plus'!$AQ$5,2,0))))</f>
        <v>0</v>
      </c>
      <c r="CU197" s="123">
        <f>IF(CZ196&lt;0.01,0,IF(Plus!$F$24=Plus!$AO$3,0,IF(OR(Plus!$F$10=Plus!$AK$7,Plus!$F$10=Plus!$AK$13),0,Plus!$G$13*Plus!$AR$2)))</f>
        <v>0</v>
      </c>
      <c r="CV197" s="123">
        <f>IF(CZ196&lt;0.01,0,IF(OR(Plus!$F$10=Plus!$AK$7,Plus!$F$10=Plus!$AK$13),0,Plus!$BD$2*1.16))</f>
        <v>0</v>
      </c>
      <c r="CW197" s="123">
        <f>IF(CZ196&lt;0.01,0,IF(Plus!$AS$2&gt;0,CQ197*Plus!$AS$3,0))</f>
        <v>0</v>
      </c>
      <c r="CX197" s="123">
        <f t="shared" si="360"/>
        <v>0</v>
      </c>
      <c r="CY197" s="123">
        <f>IF(Plus!$F$10=Plus!$AK$3,MIN(CZ196+CQ197+CT197+CU197+CV197-CX197,DK197),0)</f>
        <v>0</v>
      </c>
      <c r="CZ197" s="297">
        <f t="shared" si="440"/>
        <v>0</v>
      </c>
      <c r="DA197" s="306">
        <f>Plus!O238</f>
        <v>0</v>
      </c>
      <c r="DB197" s="74"/>
      <c r="DC197" s="74"/>
      <c r="DD197" s="407">
        <f t="shared" si="361"/>
        <v>0</v>
      </c>
      <c r="DG197" s="90">
        <f t="shared" si="362"/>
        <v>5</v>
      </c>
      <c r="DH197" s="121">
        <f t="shared" si="411"/>
        <v>0</v>
      </c>
      <c r="DJ197" s="149">
        <f t="shared" si="412"/>
        <v>0</v>
      </c>
      <c r="DK197" s="2179">
        <f t="shared" ca="1" si="363"/>
        <v>0</v>
      </c>
      <c r="DN197" s="120">
        <f t="shared" si="413"/>
        <v>0</v>
      </c>
      <c r="DO197" s="110">
        <f t="shared" si="364"/>
        <v>0</v>
      </c>
      <c r="DP197" s="110">
        <f t="shared" si="422"/>
        <v>0</v>
      </c>
      <c r="DQ197" s="109">
        <f t="shared" si="365"/>
        <v>0</v>
      </c>
      <c r="DR197" s="109">
        <f t="shared" si="366"/>
        <v>0</v>
      </c>
      <c r="DS197" s="113">
        <f t="shared" si="367"/>
        <v>0</v>
      </c>
      <c r="DU197" s="102">
        <f t="shared" si="368"/>
        <v>0</v>
      </c>
      <c r="DV197" s="211">
        <f t="shared" si="423"/>
        <v>173</v>
      </c>
      <c r="DW197" s="212">
        <f t="shared" si="369"/>
        <v>0</v>
      </c>
      <c r="DX197" s="212">
        <f t="shared" si="324"/>
        <v>0</v>
      </c>
      <c r="DY197" s="212">
        <f t="shared" si="414"/>
        <v>0</v>
      </c>
      <c r="DZ197" s="213">
        <f t="shared" si="325"/>
        <v>1000000</v>
      </c>
      <c r="ED197" s="182"/>
      <c r="EF197" s="308">
        <f t="shared" ca="1" si="326"/>
        <v>8</v>
      </c>
      <c r="EG197" s="309">
        <f t="shared" si="370"/>
        <v>0</v>
      </c>
      <c r="EH197" s="268">
        <f t="shared" si="327"/>
        <v>0</v>
      </c>
      <c r="EI197" s="33">
        <f t="shared" si="371"/>
        <v>0</v>
      </c>
      <c r="EJ197" s="33">
        <f t="shared" si="437"/>
        <v>0</v>
      </c>
      <c r="EK197" s="33">
        <f t="shared" si="445"/>
        <v>0</v>
      </c>
      <c r="EL197" s="33">
        <f>IF(ER196&lt;0.01,0,IF(Plus!$F$22=Plus!$AN$4,0,IF(Plus!$F$22=Plus!$AN$3,ER196*Plus!$F$23/1000,ER196*VLOOKUP(Plus!$G$21,Plus!$AP$2:'Plus'!$AQ$5,2,0))))</f>
        <v>0</v>
      </c>
      <c r="EM197" s="33">
        <f>IF(ER196&lt;0.01,0,IF(Plus!$F$24=Plus!$AO$3,0,IF(OR(Plus!$F$10=Plus!$AK$7,Plus!$F$10=Plus!$AK$13),0,Plus!$G$13*Plus!$AR$2)))</f>
        <v>0</v>
      </c>
      <c r="EN197" s="33">
        <f>IF(ER196&lt;0.01,0,IF(OR(Plus!$F$10=Plus!$AK$7,Plus!$F$10=Plus!$AK$13),0,Plus!$BD$2*1.16))</f>
        <v>0</v>
      </c>
      <c r="EO197" s="33">
        <f>IF(ER196&lt;0.01,0,IF(Plus!$AS$2&gt;0,EI197*Plus!$AS$3,0))</f>
        <v>0</v>
      </c>
      <c r="EP197" s="33">
        <f t="shared" si="372"/>
        <v>0</v>
      </c>
      <c r="EQ197" s="33">
        <f>IF(Plus!$F$10=Plus!$AK$3,MIN(ER196+EI197+EL197+EM197+EN197-EP197,FC197),0)</f>
        <v>0</v>
      </c>
      <c r="ER197" s="311">
        <f t="shared" si="431"/>
        <v>0</v>
      </c>
      <c r="ES197" s="340">
        <f>Plus!O238</f>
        <v>0</v>
      </c>
      <c r="ET197" s="74"/>
      <c r="EU197" s="74"/>
      <c r="EV197" s="416">
        <f t="shared" si="429"/>
        <v>0</v>
      </c>
      <c r="EY197" s="90">
        <f t="shared" si="373"/>
        <v>5</v>
      </c>
      <c r="EZ197" s="121">
        <f t="shared" si="415"/>
        <v>0</v>
      </c>
      <c r="FB197" s="149">
        <f t="shared" si="416"/>
        <v>0</v>
      </c>
      <c r="FC197" s="2179">
        <f t="shared" ca="1" si="374"/>
        <v>0</v>
      </c>
      <c r="FE197" s="120">
        <f t="shared" si="417"/>
        <v>0</v>
      </c>
      <c r="FF197" s="110">
        <f t="shared" si="375"/>
        <v>0</v>
      </c>
      <c r="FG197" s="110">
        <f t="shared" si="376"/>
        <v>0</v>
      </c>
      <c r="FH197" s="109">
        <f t="shared" si="377"/>
        <v>0</v>
      </c>
      <c r="FI197" s="109">
        <f t="shared" si="328"/>
        <v>0</v>
      </c>
      <c r="FJ197" s="113">
        <f t="shared" si="378"/>
        <v>0</v>
      </c>
      <c r="FL197" s="102">
        <f t="shared" si="379"/>
        <v>0</v>
      </c>
      <c r="FM197" s="211">
        <f t="shared" si="424"/>
        <v>173</v>
      </c>
      <c r="FN197" s="212">
        <f t="shared" si="380"/>
        <v>0</v>
      </c>
      <c r="FO197" s="212">
        <f t="shared" si="329"/>
        <v>0</v>
      </c>
      <c r="FP197" s="212">
        <f t="shared" si="450"/>
        <v>0</v>
      </c>
      <c r="FQ197" s="213">
        <f t="shared" si="330"/>
        <v>1000000</v>
      </c>
      <c r="FV197" s="359"/>
      <c r="FX197" s="308">
        <f t="shared" ca="1" si="331"/>
        <v>8</v>
      </c>
      <c r="FY197" s="309">
        <f t="shared" si="381"/>
        <v>0</v>
      </c>
      <c r="FZ197" s="268">
        <f t="shared" si="332"/>
        <v>0</v>
      </c>
      <c r="GA197" s="33">
        <f t="shared" si="382"/>
        <v>0</v>
      </c>
      <c r="GB197" s="33">
        <f t="shared" si="438"/>
        <v>0</v>
      </c>
      <c r="GC197" s="33">
        <f t="shared" si="439"/>
        <v>0</v>
      </c>
      <c r="GD197" s="33">
        <f>IF(GJ196&lt;0.01,0,IF(Plus!$F$22=Plus!$AN$4,0,IF(Plus!$F$22=Plus!$AN$3,GJ196*Plus!$F$23/1000,GJ196*VLOOKUP(Plus!$G$21,Plus!$AP$2:$AQ$5,2,0))))</f>
        <v>0</v>
      </c>
      <c r="GE197" s="33">
        <f>IF(GJ196&lt;0.01,0,IF(Plus!$F$24=Plus!$AO$3,0,IF(OR(Plus!$F$10=Plus!$AK$7,Plus!$F$10=Plus!$AK$13,Plus!$F$10=Plus!$AK$14),0,IF(OR(Plus!$F$10=Plus!$AK$10,Plus!$F$10=Plus!$AK$11),Plus!$G$13*Adm!$W$7,Plus!$G$13*Adm!$X$4))))</f>
        <v>0</v>
      </c>
      <c r="GF197" s="33">
        <f>IF(GJ196&lt;0.01,0,IF(OR(Plus!$F$10=Plus!$AK$7,Plus!$F$10=Plus!$AK$13),0,Plus!$BD$2*1.16))</f>
        <v>0</v>
      </c>
      <c r="GG197" s="33">
        <f>IF(GJ196&lt;0.01,0,IF(Plus!$AS$2&gt;0,GA197*Plus!$AS$3,0))</f>
        <v>0</v>
      </c>
      <c r="GH197" s="33">
        <f t="shared" si="383"/>
        <v>0</v>
      </c>
      <c r="GI197" s="33">
        <f>IF(Plus!$F$10=Plus!$AK$3,MIN(GJ196+GA197+GD197+GE197+GF197-GH197,GU197),0)</f>
        <v>0</v>
      </c>
      <c r="GJ197" s="311">
        <f t="shared" si="432"/>
        <v>0</v>
      </c>
      <c r="GK197" s="340">
        <f>Plus!O238</f>
        <v>0</v>
      </c>
      <c r="GL197" s="74"/>
      <c r="GM197" s="74"/>
      <c r="GN197" s="419">
        <f t="shared" si="430"/>
        <v>0</v>
      </c>
      <c r="GQ197" s="90">
        <f t="shared" si="384"/>
        <v>5</v>
      </c>
      <c r="GR197" s="121">
        <f t="shared" si="418"/>
        <v>0</v>
      </c>
      <c r="GT197" s="149">
        <f t="shared" si="419"/>
        <v>0</v>
      </c>
      <c r="GU197" s="2179">
        <f t="shared" ca="1" si="385"/>
        <v>0</v>
      </c>
      <c r="GW197" s="120">
        <f t="shared" si="420"/>
        <v>0</v>
      </c>
      <c r="GX197" s="110">
        <f t="shared" si="386"/>
        <v>0</v>
      </c>
      <c r="GY197" s="110">
        <f t="shared" si="387"/>
        <v>0</v>
      </c>
      <c r="GZ197" s="109">
        <f t="shared" si="388"/>
        <v>0</v>
      </c>
      <c r="HA197" s="109">
        <f t="shared" si="333"/>
        <v>0</v>
      </c>
      <c r="HB197" s="113">
        <f t="shared" si="389"/>
        <v>0</v>
      </c>
      <c r="HD197" s="102">
        <f t="shared" si="390"/>
        <v>0</v>
      </c>
      <c r="HE197" s="211">
        <f t="shared" si="425"/>
        <v>173</v>
      </c>
      <c r="HF197" s="212">
        <f t="shared" si="391"/>
        <v>0</v>
      </c>
      <c r="HG197" s="212">
        <f t="shared" si="334"/>
        <v>0</v>
      </c>
      <c r="HH197" s="212">
        <f t="shared" si="451"/>
        <v>0</v>
      </c>
      <c r="HI197" s="213">
        <f t="shared" si="335"/>
        <v>1000000</v>
      </c>
      <c r="HL197" s="182"/>
      <c r="HM197" s="26">
        <f t="shared" ca="1" si="336"/>
        <v>8</v>
      </c>
      <c r="HO197" s="268">
        <f t="shared" si="337"/>
        <v>0</v>
      </c>
      <c r="HP197" s="151">
        <f t="shared" si="448"/>
        <v>0</v>
      </c>
      <c r="HQ197" s="123">
        <f t="shared" si="392"/>
        <v>0</v>
      </c>
      <c r="HR197" s="123">
        <f t="shared" si="393"/>
        <v>0</v>
      </c>
      <c r="HS197" s="123">
        <f t="shared" si="394"/>
        <v>0</v>
      </c>
      <c r="HT197" s="123">
        <f>IF(HY196&lt;0.01,0,IF(Adm!$GS$4=Adm!$GS$8,HY196*$HY$15,IF(Adm!$GS$12=Adm!$GS$13,0,HY196*Adm!$GV$4)))</f>
        <v>0</v>
      </c>
      <c r="HU197" s="123">
        <f>IF(HY196&lt;0.01,0,IF(Adm!$GS$5=Adm!$GS$8,Cal!$BO$108*$HY$16/1.16,IF(Adm!$GS$12=Adm!$GS$13,0,Cal!$BO$108*Adm!$GW$4/1.16)))</f>
        <v>0</v>
      </c>
      <c r="HV197" s="123">
        <f t="shared" si="395"/>
        <v>0</v>
      </c>
      <c r="HW197" s="123">
        <f t="shared" si="338"/>
        <v>0</v>
      </c>
      <c r="HX197" s="123">
        <f>IF(Adm!$GH$6="si",MIN(HY196+HQ197+HT197+HU197+HV197-HW197,IH197),0)</f>
        <v>0</v>
      </c>
      <c r="HY197" s="297">
        <f t="shared" si="396"/>
        <v>0</v>
      </c>
      <c r="HZ197" s="74"/>
      <c r="IA197" s="407">
        <f t="shared" si="397"/>
        <v>0</v>
      </c>
      <c r="IC197" s="90">
        <f t="shared" si="398"/>
        <v>5</v>
      </c>
      <c r="ID197" s="124">
        <f>IF(IC197=1,Cal!$BO$127,0)</f>
        <v>0</v>
      </c>
      <c r="IE197" s="178">
        <f>IF(IC197=1,Adm!$HI$4,0)</f>
        <v>0</v>
      </c>
      <c r="IG197" s="70">
        <f t="shared" si="421"/>
        <v>0</v>
      </c>
      <c r="IH197" s="2178">
        <f t="shared" ca="1" si="399"/>
        <v>0</v>
      </c>
      <c r="IK197" s="217"/>
      <c r="IL197" s="26">
        <f t="shared" ca="1" si="339"/>
        <v>8</v>
      </c>
      <c r="IN197" s="268">
        <f t="shared" si="340"/>
        <v>0</v>
      </c>
      <c r="IO197" s="151">
        <f t="shared" si="449"/>
        <v>0</v>
      </c>
      <c r="IP197" s="123">
        <f t="shared" si="400"/>
        <v>0</v>
      </c>
      <c r="IQ197" s="123">
        <f t="shared" si="401"/>
        <v>0</v>
      </c>
      <c r="IR197" s="123">
        <f t="shared" si="402"/>
        <v>0</v>
      </c>
      <c r="IS197" s="123">
        <f>IF(IX196&lt;0.01,0,IF(Adm!$GS$4=Adm!$GS$8,IX196*$IX$15,IF(Adm!$GS$12=Adm!$GS$13,0,IX196*Adm!$GV$4)))</f>
        <v>0</v>
      </c>
      <c r="IT197" s="123"/>
      <c r="IU197" s="123">
        <f t="shared" si="403"/>
        <v>0</v>
      </c>
      <c r="IV197" s="123">
        <f t="shared" si="404"/>
        <v>0</v>
      </c>
      <c r="IW197" s="123"/>
      <c r="IX197" s="297">
        <f t="shared" si="405"/>
        <v>0</v>
      </c>
      <c r="IY197" s="74"/>
      <c r="IZ197" s="416">
        <f t="shared" si="406"/>
        <v>0</v>
      </c>
      <c r="JB197" s="90">
        <f t="shared" si="407"/>
        <v>5</v>
      </c>
      <c r="JC197" s="124">
        <f>IF(JB197=1,Cal!$BP$127,0)</f>
        <v>0</v>
      </c>
      <c r="JD197" s="178">
        <f>IF(JB197=1,Adm!$HI$4,0)</f>
        <v>0</v>
      </c>
    </row>
    <row r="198" spans="1:264">
      <c r="A198" s="26">
        <f t="shared" ca="1" si="308"/>
        <v>9</v>
      </c>
      <c r="C198" s="33">
        <f t="shared" si="309"/>
        <v>0</v>
      </c>
      <c r="D198" s="123">
        <f t="shared" si="341"/>
        <v>0</v>
      </c>
      <c r="E198" s="123">
        <f t="shared" si="433"/>
        <v>0</v>
      </c>
      <c r="F198" s="123">
        <f t="shared" si="443"/>
        <v>0</v>
      </c>
      <c r="G198" s="123">
        <f>IF(L197&lt;0.01,0,IF(Adm!$S$4=Adm!$S$8,L197*$L$15,L197*Adm!$V$4))</f>
        <v>0</v>
      </c>
      <c r="H198" s="123">
        <f>IF(L197&lt;0.01,0,IF(Adm!$S$5=Adm!$S$8,Adm!$AA$11*$L$16/1.16,IF(Adm!$B$4=Adm!$A$119,0,Adm!$AA$11*Adm!$X$4/1.16)))</f>
        <v>0</v>
      </c>
      <c r="I198" s="123">
        <f>IF(L197&lt;0.01,0,Cal!$AB$126/1.16)</f>
        <v>0</v>
      </c>
      <c r="J198" s="123">
        <f t="shared" si="310"/>
        <v>0</v>
      </c>
      <c r="K198" s="123">
        <f>IF(Adm!$G$4="si",MIN(L197+D198+G198+H198+I198-J198,V198),0)</f>
        <v>0</v>
      </c>
      <c r="L198" s="123">
        <f t="shared" si="342"/>
        <v>0</v>
      </c>
      <c r="M198" s="74"/>
      <c r="N198" s="74"/>
      <c r="O198" s="407">
        <f t="shared" si="343"/>
        <v>0</v>
      </c>
      <c r="R198" s="90">
        <f t="shared" si="344"/>
        <v>6</v>
      </c>
      <c r="S198" s="121">
        <f>IF(R198=1,Cal!$AB$127,0)</f>
        <v>0</v>
      </c>
      <c r="U198" s="70">
        <f t="shared" si="408"/>
        <v>0</v>
      </c>
      <c r="V198" s="2178">
        <f t="shared" ca="1" si="345"/>
        <v>0</v>
      </c>
      <c r="X198" s="398"/>
      <c r="Z198" s="268">
        <f t="shared" si="311"/>
        <v>0</v>
      </c>
      <c r="AA198" s="2176">
        <f t="shared" si="346"/>
        <v>0</v>
      </c>
      <c r="AB198" s="33">
        <f t="shared" si="347"/>
        <v>0</v>
      </c>
      <c r="AC198" s="33">
        <f t="shared" si="348"/>
        <v>0</v>
      </c>
      <c r="AD198" s="33">
        <f>IF(AI197&lt;0.01,0,IF(Adm!$S$4=Adm!$S$8,AI197*$AI$15,AI197*Adm!$V$4))</f>
        <v>0</v>
      </c>
      <c r="AE198" s="33"/>
      <c r="AF198" s="33"/>
      <c r="AG198" s="33">
        <f t="shared" si="312"/>
        <v>0</v>
      </c>
      <c r="AH198" s="33"/>
      <c r="AI198" s="401">
        <f t="shared" si="313"/>
        <v>0</v>
      </c>
      <c r="AK198" s="410">
        <f t="shared" si="314"/>
        <v>0</v>
      </c>
      <c r="AN198" s="90">
        <f t="shared" si="349"/>
        <v>6</v>
      </c>
      <c r="AO198" s="121">
        <f>IF(AN198=1,Cal!$AC$127,0)</f>
        <v>0</v>
      </c>
      <c r="AS198" s="200"/>
      <c r="AU198" s="268">
        <f t="shared" si="315"/>
        <v>0</v>
      </c>
      <c r="AV198" s="2177">
        <f t="shared" si="350"/>
        <v>0</v>
      </c>
      <c r="AW198" s="123">
        <f t="shared" si="316"/>
        <v>0</v>
      </c>
      <c r="AX198" s="123">
        <f t="shared" si="351"/>
        <v>0</v>
      </c>
      <c r="AY198" s="123">
        <f>IF(BC197&lt;0.01,0,IF(Adm!$S$4=Adm!$S$8,BC197*$BC$16,BC197*Adm!$V$4))</f>
        <v>0</v>
      </c>
      <c r="AZ198" s="123"/>
      <c r="BA198" s="123">
        <f>IF(BC197&lt;0.01,0,Adm!$Q$6)</f>
        <v>0</v>
      </c>
      <c r="BB198" s="123">
        <f t="shared" si="317"/>
        <v>0</v>
      </c>
      <c r="BC198" s="297">
        <f t="shared" si="352"/>
        <v>0</v>
      </c>
      <c r="BE198" s="425">
        <f t="shared" si="318"/>
        <v>0</v>
      </c>
      <c r="BH198" s="90">
        <f t="shared" si="353"/>
        <v>6</v>
      </c>
      <c r="BI198" s="121">
        <f>IF(BH198=1,Cal!$AD$127,0)</f>
        <v>0</v>
      </c>
      <c r="BM198" s="221"/>
      <c r="BO198" s="295">
        <f t="shared" ca="1" si="319"/>
        <v>9</v>
      </c>
      <c r="BP198" s="268">
        <f t="shared" si="320"/>
        <v>0</v>
      </c>
      <c r="BQ198" s="123">
        <f t="shared" si="354"/>
        <v>0</v>
      </c>
      <c r="BR198" s="123">
        <f t="shared" si="434"/>
        <v>0</v>
      </c>
      <c r="BS198" s="123">
        <f t="shared" si="444"/>
        <v>0</v>
      </c>
      <c r="BT198" s="123">
        <f>IF(BZ197&lt;0.01,0,IF(Plus!$F$22=Plus!$AN$4,BZ197*$BZ$15,IF(Plus!$F$22=Plus!$AN$3,BZ197*Plus!$F$23/1000,BZ197*VLOOKUP(Plus!$G$21,Plus!$AP$2:'Plus'!$AQ$5,2,0))))</f>
        <v>0</v>
      </c>
      <c r="BU198" s="123">
        <f>IF(BZ197&lt;0.01,0,IF(Plus!$F$24=Plus!$AO$3,Plus!$G$13*Plus!$AR$2/1.16,IF(Plus!$F$10=Plus!$AK$7,0,Plus!$G$13*Plus!$AR$2/1.16)))</f>
        <v>0</v>
      </c>
      <c r="BV198" s="123">
        <f>IF(BZ197&lt;0.01,0,Plus!$BD$2)</f>
        <v>0</v>
      </c>
      <c r="BW198" s="123"/>
      <c r="BX198" s="123">
        <f t="shared" si="321"/>
        <v>0</v>
      </c>
      <c r="BY198" s="123">
        <f>IF(Plus!$F$10=Plus!$AK$3,MIN(BZ197+BQ198+BT198+BU198+BV198-BX198,CJ198),0)</f>
        <v>0</v>
      </c>
      <c r="BZ198" s="297">
        <f t="shared" si="428"/>
        <v>0</v>
      </c>
      <c r="CA198" s="74"/>
      <c r="CB198" s="74"/>
      <c r="CC198" s="413">
        <f t="shared" si="355"/>
        <v>0</v>
      </c>
      <c r="CF198" s="90">
        <f t="shared" si="356"/>
        <v>6</v>
      </c>
      <c r="CG198" s="121">
        <f t="shared" si="409"/>
        <v>0</v>
      </c>
      <c r="CI198" s="70">
        <f t="shared" si="410"/>
        <v>0</v>
      </c>
      <c r="CJ198" s="2178">
        <f t="shared" ca="1" si="357"/>
        <v>0</v>
      </c>
      <c r="CL198" s="161"/>
      <c r="CN198" s="308">
        <f t="shared" ca="1" si="322"/>
        <v>9</v>
      </c>
      <c r="CO198" s="309">
        <f t="shared" si="358"/>
        <v>0</v>
      </c>
      <c r="CP198" s="268">
        <f t="shared" si="323"/>
        <v>0</v>
      </c>
      <c r="CQ198" s="123">
        <f t="shared" si="359"/>
        <v>0</v>
      </c>
      <c r="CR198" s="123">
        <f t="shared" si="435"/>
        <v>0</v>
      </c>
      <c r="CS198" s="123">
        <f t="shared" si="436"/>
        <v>0</v>
      </c>
      <c r="CT198" s="33">
        <f>IF(CZ197&lt;0.01,0,IF(Plus!$F$22=Plus!$AN$4,0,IF(Plus!$F$22=Plus!$AN$3,CZ197*Plus!$F$23/1000,CZ197*VLOOKUP(Plus!$G$21,Plus!$AP$2:'Plus'!$AQ$5,2,0))))</f>
        <v>0</v>
      </c>
      <c r="CU198" s="123">
        <f>IF(CZ197&lt;0.01,0,IF(Plus!$F$24=Plus!$AO$3,0,IF(OR(Plus!$F$10=Plus!$AK$7,Plus!$F$10=Plus!$AK$13),0,Plus!$G$13*Plus!$AR$2)))</f>
        <v>0</v>
      </c>
      <c r="CV198" s="123">
        <f>IF(CZ197&lt;0.01,0,IF(OR(Plus!$F$10=Plus!$AK$7,Plus!$F$10=Plus!$AK$13),0,Plus!$BD$2*1.16))</f>
        <v>0</v>
      </c>
      <c r="CW198" s="123">
        <f>IF(CZ197&lt;0.01,0,IF(Plus!$AS$2&gt;0,CQ198*Plus!$AS$3,0))</f>
        <v>0</v>
      </c>
      <c r="CX198" s="123">
        <f t="shared" si="360"/>
        <v>0</v>
      </c>
      <c r="CY198" s="123">
        <f>IF(Plus!$F$10=Plus!$AK$3,MIN(CZ197+CQ198+CT198+CU198+CV198-CX198,DK198),0)</f>
        <v>0</v>
      </c>
      <c r="CZ198" s="297">
        <f t="shared" si="440"/>
        <v>0</v>
      </c>
      <c r="DA198" s="306">
        <f>Plus!O239</f>
        <v>0</v>
      </c>
      <c r="DB198" s="74"/>
      <c r="DC198" s="74"/>
      <c r="DD198" s="407">
        <f t="shared" si="361"/>
        <v>0</v>
      </c>
      <c r="DG198" s="90">
        <f t="shared" si="362"/>
        <v>6</v>
      </c>
      <c r="DH198" s="121">
        <f t="shared" si="411"/>
        <v>0</v>
      </c>
      <c r="DJ198" s="149">
        <f t="shared" si="412"/>
        <v>0</v>
      </c>
      <c r="DK198" s="2179">
        <f t="shared" ca="1" si="363"/>
        <v>0</v>
      </c>
      <c r="DN198" s="120">
        <f t="shared" si="413"/>
        <v>0</v>
      </c>
      <c r="DO198" s="110">
        <f t="shared" si="364"/>
        <v>0</v>
      </c>
      <c r="DP198" s="110">
        <f t="shared" si="422"/>
        <v>0</v>
      </c>
      <c r="DQ198" s="109">
        <f t="shared" si="365"/>
        <v>0</v>
      </c>
      <c r="DR198" s="109">
        <f t="shared" si="366"/>
        <v>0</v>
      </c>
      <c r="DS198" s="113">
        <f t="shared" si="367"/>
        <v>0</v>
      </c>
      <c r="DU198" s="102">
        <f t="shared" si="368"/>
        <v>0</v>
      </c>
      <c r="DV198" s="211">
        <f t="shared" si="423"/>
        <v>174</v>
      </c>
      <c r="DW198" s="212">
        <f t="shared" si="369"/>
        <v>0</v>
      </c>
      <c r="DX198" s="212">
        <f t="shared" si="324"/>
        <v>0</v>
      </c>
      <c r="DY198" s="212">
        <f t="shared" si="414"/>
        <v>0</v>
      </c>
      <c r="DZ198" s="213">
        <f t="shared" si="325"/>
        <v>1000000</v>
      </c>
      <c r="ED198" s="182"/>
      <c r="EF198" s="308">
        <f t="shared" ca="1" si="326"/>
        <v>9</v>
      </c>
      <c r="EG198" s="309">
        <f t="shared" si="370"/>
        <v>0</v>
      </c>
      <c r="EH198" s="268">
        <f t="shared" si="327"/>
        <v>0</v>
      </c>
      <c r="EI198" s="33">
        <f t="shared" si="371"/>
        <v>0</v>
      </c>
      <c r="EJ198" s="33">
        <f t="shared" si="437"/>
        <v>0</v>
      </c>
      <c r="EK198" s="33">
        <f t="shared" si="445"/>
        <v>0</v>
      </c>
      <c r="EL198" s="33">
        <f>IF(ER197&lt;0.01,0,IF(Plus!$F$22=Plus!$AN$4,0,IF(Plus!$F$22=Plus!$AN$3,ER197*Plus!$F$23/1000,ER197*VLOOKUP(Plus!$G$21,Plus!$AP$2:'Plus'!$AQ$5,2,0))))</f>
        <v>0</v>
      </c>
      <c r="EM198" s="33">
        <f>IF(ER197&lt;0.01,0,IF(Plus!$F$24=Plus!$AO$3,0,IF(OR(Plus!$F$10=Plus!$AK$7,Plus!$F$10=Plus!$AK$13),0,Plus!$G$13*Plus!$AR$2)))</f>
        <v>0</v>
      </c>
      <c r="EN198" s="33">
        <f>IF(ER197&lt;0.01,0,IF(OR(Plus!$F$10=Plus!$AK$7,Plus!$F$10=Plus!$AK$13),0,Plus!$BD$2*1.16))</f>
        <v>0</v>
      </c>
      <c r="EO198" s="33">
        <f>IF(ER197&lt;0.01,0,IF(Plus!$AS$2&gt;0,EI198*Plus!$AS$3,0))</f>
        <v>0</v>
      </c>
      <c r="EP198" s="33">
        <f t="shared" si="372"/>
        <v>0</v>
      </c>
      <c r="EQ198" s="33">
        <f>IF(Plus!$F$10=Plus!$AK$3,MIN(ER197+EI198+EL198+EM198+EN198-EP198,FC198),0)</f>
        <v>0</v>
      </c>
      <c r="ER198" s="311">
        <f t="shared" si="431"/>
        <v>0</v>
      </c>
      <c r="ES198" s="340">
        <f>Plus!O239</f>
        <v>0</v>
      </c>
      <c r="ET198" s="74"/>
      <c r="EU198" s="74"/>
      <c r="EV198" s="416">
        <f t="shared" si="429"/>
        <v>0</v>
      </c>
      <c r="EY198" s="90">
        <f t="shared" si="373"/>
        <v>6</v>
      </c>
      <c r="EZ198" s="121">
        <f t="shared" si="415"/>
        <v>0</v>
      </c>
      <c r="FB198" s="149">
        <f t="shared" si="416"/>
        <v>0</v>
      </c>
      <c r="FC198" s="2179">
        <f t="shared" ca="1" si="374"/>
        <v>0</v>
      </c>
      <c r="FE198" s="120">
        <f t="shared" si="417"/>
        <v>0</v>
      </c>
      <c r="FF198" s="110">
        <f t="shared" si="375"/>
        <v>0</v>
      </c>
      <c r="FG198" s="110">
        <f t="shared" si="376"/>
        <v>0</v>
      </c>
      <c r="FH198" s="109">
        <f t="shared" si="377"/>
        <v>0</v>
      </c>
      <c r="FI198" s="109">
        <f t="shared" si="328"/>
        <v>0</v>
      </c>
      <c r="FJ198" s="113">
        <f t="shared" si="378"/>
        <v>0</v>
      </c>
      <c r="FL198" s="102">
        <f t="shared" si="379"/>
        <v>0</v>
      </c>
      <c r="FM198" s="211">
        <f t="shared" si="424"/>
        <v>174</v>
      </c>
      <c r="FN198" s="212">
        <f t="shared" si="380"/>
        <v>0</v>
      </c>
      <c r="FO198" s="212">
        <f t="shared" si="329"/>
        <v>0</v>
      </c>
      <c r="FP198" s="212">
        <f t="shared" si="450"/>
        <v>0</v>
      </c>
      <c r="FQ198" s="213">
        <f t="shared" si="330"/>
        <v>1000000</v>
      </c>
      <c r="FV198" s="359"/>
      <c r="FX198" s="308">
        <f t="shared" ca="1" si="331"/>
        <v>9</v>
      </c>
      <c r="FY198" s="309">
        <f t="shared" si="381"/>
        <v>0</v>
      </c>
      <c r="FZ198" s="268">
        <f t="shared" si="332"/>
        <v>0</v>
      </c>
      <c r="GA198" s="33">
        <f t="shared" si="382"/>
        <v>0</v>
      </c>
      <c r="GB198" s="33">
        <f t="shared" si="438"/>
        <v>0</v>
      </c>
      <c r="GC198" s="33">
        <f t="shared" si="439"/>
        <v>0</v>
      </c>
      <c r="GD198" s="33">
        <f>IF(GJ197&lt;0.01,0,IF(Plus!$F$22=Plus!$AN$4,0,IF(Plus!$F$22=Plus!$AN$3,GJ197*Plus!$F$23/1000,GJ197*VLOOKUP(Plus!$G$21,Plus!$AP$2:$AQ$5,2,0))))</f>
        <v>0</v>
      </c>
      <c r="GE198" s="33">
        <f>IF(GJ197&lt;0.01,0,IF(Plus!$F$24=Plus!$AO$3,0,IF(OR(Plus!$F$10=Plus!$AK$7,Plus!$F$10=Plus!$AK$13,Plus!$F$10=Plus!$AK$14),0,IF(OR(Plus!$F$10=Plus!$AK$10,Plus!$F$10=Plus!$AK$11),Plus!$G$13*Adm!$W$7,Plus!$G$13*Adm!$X$4))))</f>
        <v>0</v>
      </c>
      <c r="GF198" s="33">
        <f>IF(GJ197&lt;0.01,0,IF(OR(Plus!$F$10=Plus!$AK$7,Plus!$F$10=Plus!$AK$13),0,Plus!$BD$2*1.16))</f>
        <v>0</v>
      </c>
      <c r="GG198" s="33">
        <f>IF(GJ197&lt;0.01,0,IF(Plus!$AS$2&gt;0,GA198*Plus!$AS$3,0))</f>
        <v>0</v>
      </c>
      <c r="GH198" s="33">
        <f t="shared" si="383"/>
        <v>0</v>
      </c>
      <c r="GI198" s="33">
        <f>IF(Plus!$F$10=Plus!$AK$3,MIN(GJ197+GA198+GD198+GE198+GF198-GH198,GU198),0)</f>
        <v>0</v>
      </c>
      <c r="GJ198" s="311">
        <f t="shared" si="432"/>
        <v>0</v>
      </c>
      <c r="GK198" s="340">
        <f>Plus!O239</f>
        <v>0</v>
      </c>
      <c r="GL198" s="74"/>
      <c r="GM198" s="74"/>
      <c r="GN198" s="419">
        <f t="shared" si="430"/>
        <v>0</v>
      </c>
      <c r="GQ198" s="90">
        <f t="shared" si="384"/>
        <v>6</v>
      </c>
      <c r="GR198" s="121">
        <f t="shared" si="418"/>
        <v>0</v>
      </c>
      <c r="GT198" s="149">
        <f t="shared" si="419"/>
        <v>0</v>
      </c>
      <c r="GU198" s="2179">
        <f t="shared" ca="1" si="385"/>
        <v>0</v>
      </c>
      <c r="GW198" s="120">
        <f t="shared" si="420"/>
        <v>0</v>
      </c>
      <c r="GX198" s="110">
        <f t="shared" si="386"/>
        <v>0</v>
      </c>
      <c r="GY198" s="110">
        <f t="shared" si="387"/>
        <v>0</v>
      </c>
      <c r="GZ198" s="109">
        <f t="shared" si="388"/>
        <v>0</v>
      </c>
      <c r="HA198" s="109">
        <f t="shared" si="333"/>
        <v>0</v>
      </c>
      <c r="HB198" s="113">
        <f t="shared" si="389"/>
        <v>0</v>
      </c>
      <c r="HD198" s="102">
        <f t="shared" si="390"/>
        <v>0</v>
      </c>
      <c r="HE198" s="211">
        <f t="shared" si="425"/>
        <v>174</v>
      </c>
      <c r="HF198" s="212">
        <f t="shared" si="391"/>
        <v>0</v>
      </c>
      <c r="HG198" s="212">
        <f t="shared" si="334"/>
        <v>0</v>
      </c>
      <c r="HH198" s="212">
        <f t="shared" si="451"/>
        <v>0</v>
      </c>
      <c r="HI198" s="213">
        <f t="shared" si="335"/>
        <v>1000000</v>
      </c>
      <c r="HL198" s="182"/>
      <c r="HM198" s="26">
        <f t="shared" ca="1" si="336"/>
        <v>9</v>
      </c>
      <c r="HO198" s="268">
        <f t="shared" si="337"/>
        <v>0</v>
      </c>
      <c r="HP198" s="151">
        <f t="shared" si="448"/>
        <v>0</v>
      </c>
      <c r="HQ198" s="123">
        <f t="shared" si="392"/>
        <v>0</v>
      </c>
      <c r="HR198" s="123">
        <f t="shared" si="393"/>
        <v>0</v>
      </c>
      <c r="HS198" s="123">
        <f t="shared" si="394"/>
        <v>0</v>
      </c>
      <c r="HT198" s="123">
        <f>IF(HY197&lt;0.01,0,IF(Adm!$GS$4=Adm!$GS$8,HY197*$HY$15,IF(Adm!$GS$12=Adm!$GS$13,0,HY197*Adm!$GV$4)))</f>
        <v>0</v>
      </c>
      <c r="HU198" s="123">
        <f>IF(HY197&lt;0.01,0,IF(Adm!$GS$5=Adm!$GS$8,Cal!$BO$108*$HY$16/1.16,IF(Adm!$GS$12=Adm!$GS$13,0,Cal!$BO$108*Adm!$GW$4/1.16)))</f>
        <v>0</v>
      </c>
      <c r="HV198" s="123">
        <f t="shared" si="395"/>
        <v>0</v>
      </c>
      <c r="HW198" s="123">
        <f t="shared" si="338"/>
        <v>0</v>
      </c>
      <c r="HX198" s="123">
        <f>IF(Adm!$GH$6="si",MIN(HY197+HQ198+HT198+HU198+HV198-HW198,IH198),0)</f>
        <v>0</v>
      </c>
      <c r="HY198" s="297">
        <f t="shared" si="396"/>
        <v>0</v>
      </c>
      <c r="HZ198" s="74"/>
      <c r="IA198" s="407">
        <f t="shared" si="397"/>
        <v>0</v>
      </c>
      <c r="IC198" s="90">
        <f t="shared" si="398"/>
        <v>6</v>
      </c>
      <c r="ID198" s="124">
        <f>IF(IC198=1,Cal!$BO$127,0)</f>
        <v>0</v>
      </c>
      <c r="IE198" s="178">
        <f>IF(IC198=1,Adm!$HI$4,0)</f>
        <v>0</v>
      </c>
      <c r="IG198" s="70">
        <f t="shared" si="421"/>
        <v>0</v>
      </c>
      <c r="IH198" s="2178">
        <f t="shared" ca="1" si="399"/>
        <v>0</v>
      </c>
      <c r="IK198" s="217"/>
      <c r="IL198" s="26">
        <f t="shared" ca="1" si="339"/>
        <v>9</v>
      </c>
      <c r="IN198" s="268">
        <f t="shared" si="340"/>
        <v>0</v>
      </c>
      <c r="IO198" s="151">
        <f t="shared" si="449"/>
        <v>0</v>
      </c>
      <c r="IP198" s="123">
        <f t="shared" si="400"/>
        <v>0</v>
      </c>
      <c r="IQ198" s="123">
        <f t="shared" si="401"/>
        <v>0</v>
      </c>
      <c r="IR198" s="123">
        <f t="shared" si="402"/>
        <v>0</v>
      </c>
      <c r="IS198" s="123">
        <f>IF(IX197&lt;0.01,0,IF(Adm!$GS$4=Adm!$GS$8,IX197*$IX$15,IF(Adm!$GS$12=Adm!$GS$13,0,IX197*Adm!$GV$4)))</f>
        <v>0</v>
      </c>
      <c r="IT198" s="123"/>
      <c r="IU198" s="123">
        <f t="shared" si="403"/>
        <v>0</v>
      </c>
      <c r="IV198" s="123">
        <f t="shared" si="404"/>
        <v>0</v>
      </c>
      <c r="IW198" s="123"/>
      <c r="IX198" s="297">
        <f t="shared" si="405"/>
        <v>0</v>
      </c>
      <c r="IY198" s="74"/>
      <c r="IZ198" s="416">
        <f t="shared" si="406"/>
        <v>0</v>
      </c>
      <c r="JB198" s="90">
        <f t="shared" si="407"/>
        <v>6</v>
      </c>
      <c r="JC198" s="124">
        <f>IF(JB198=1,Cal!$BP$127,0)</f>
        <v>0</v>
      </c>
      <c r="JD198" s="178">
        <f>IF(JB198=1,Adm!$HI$4,0)</f>
        <v>0</v>
      </c>
    </row>
    <row r="199" spans="1:264">
      <c r="A199" s="26">
        <f t="shared" ca="1" si="308"/>
        <v>10</v>
      </c>
      <c r="C199" s="33">
        <f t="shared" si="309"/>
        <v>0</v>
      </c>
      <c r="D199" s="123">
        <f t="shared" si="341"/>
        <v>0</v>
      </c>
      <c r="E199" s="123">
        <f t="shared" si="433"/>
        <v>0</v>
      </c>
      <c r="F199" s="123">
        <f t="shared" si="443"/>
        <v>0</v>
      </c>
      <c r="G199" s="123">
        <f>IF(L198&lt;0.01,0,IF(Adm!$S$4=Adm!$S$8,L198*$L$15,L198*Adm!$V$4))</f>
        <v>0</v>
      </c>
      <c r="H199" s="123">
        <f>IF(L198&lt;0.01,0,IF(Adm!$S$5=Adm!$S$8,Adm!$AA$11*$L$16/1.16,IF(Adm!$B$4=Adm!$A$119,0,Adm!$AA$11*Adm!$X$4/1.16)))</f>
        <v>0</v>
      </c>
      <c r="I199" s="123">
        <f>IF(L198&lt;0.01,0,Cal!$AB$126/1.16)</f>
        <v>0</v>
      </c>
      <c r="J199" s="123">
        <f t="shared" si="310"/>
        <v>0</v>
      </c>
      <c r="K199" s="123">
        <f>IF(Adm!$G$4="si",MIN(L198+D199+G199+H199+I199-J199,V199),0)</f>
        <v>0</v>
      </c>
      <c r="L199" s="123">
        <f t="shared" si="342"/>
        <v>0</v>
      </c>
      <c r="M199" s="74"/>
      <c r="N199" s="74"/>
      <c r="O199" s="407">
        <f t="shared" si="343"/>
        <v>0</v>
      </c>
      <c r="R199" s="90">
        <f t="shared" si="344"/>
        <v>7</v>
      </c>
      <c r="S199" s="121">
        <f>IF(R199=1,Cal!$AB$127,0)</f>
        <v>0</v>
      </c>
      <c r="U199" s="70">
        <f t="shared" si="408"/>
        <v>0</v>
      </c>
      <c r="V199" s="2178">
        <f t="shared" ca="1" si="345"/>
        <v>0</v>
      </c>
      <c r="X199" s="398"/>
      <c r="Z199" s="268">
        <f t="shared" si="311"/>
        <v>0</v>
      </c>
      <c r="AA199" s="2176">
        <f t="shared" si="346"/>
        <v>0</v>
      </c>
      <c r="AB199" s="33">
        <f t="shared" si="347"/>
        <v>0</v>
      </c>
      <c r="AC199" s="33">
        <f t="shared" si="348"/>
        <v>0</v>
      </c>
      <c r="AD199" s="33">
        <f>IF(AI198&lt;0.01,0,IF(Adm!$S$4=Adm!$S$8,AI198*$AI$15,AI198*Adm!$V$4))</f>
        <v>0</v>
      </c>
      <c r="AE199" s="33"/>
      <c r="AF199" s="33"/>
      <c r="AG199" s="33">
        <f t="shared" si="312"/>
        <v>0</v>
      </c>
      <c r="AH199" s="33"/>
      <c r="AI199" s="401">
        <f t="shared" si="313"/>
        <v>0</v>
      </c>
      <c r="AK199" s="410">
        <f t="shared" si="314"/>
        <v>0</v>
      </c>
      <c r="AN199" s="90">
        <f t="shared" si="349"/>
        <v>7</v>
      </c>
      <c r="AO199" s="121">
        <f>IF(AN199=1,Cal!$AC$127,0)</f>
        <v>0</v>
      </c>
      <c r="AS199" s="200"/>
      <c r="AU199" s="268">
        <f t="shared" si="315"/>
        <v>0</v>
      </c>
      <c r="AV199" s="2177">
        <f t="shared" si="350"/>
        <v>0</v>
      </c>
      <c r="AW199" s="123">
        <f t="shared" si="316"/>
        <v>0</v>
      </c>
      <c r="AX199" s="123">
        <f t="shared" si="351"/>
        <v>0</v>
      </c>
      <c r="AY199" s="123">
        <f>IF(BC198&lt;0.01,0,IF(Adm!$S$4=Adm!$S$8,BC198*$BC$16,BC198*Adm!$V$4))</f>
        <v>0</v>
      </c>
      <c r="AZ199" s="123"/>
      <c r="BA199" s="123">
        <f>IF(BC198&lt;0.01,0,Adm!$Q$6)</f>
        <v>0</v>
      </c>
      <c r="BB199" s="123">
        <f t="shared" si="317"/>
        <v>0</v>
      </c>
      <c r="BC199" s="297">
        <f t="shared" si="352"/>
        <v>0</v>
      </c>
      <c r="BE199" s="425">
        <f t="shared" si="318"/>
        <v>0</v>
      </c>
      <c r="BH199" s="90">
        <f t="shared" si="353"/>
        <v>7</v>
      </c>
      <c r="BI199" s="121">
        <f>IF(BH199=1,Cal!$AD$127,0)</f>
        <v>0</v>
      </c>
      <c r="BM199" s="221"/>
      <c r="BO199" s="295">
        <f t="shared" ca="1" si="319"/>
        <v>10</v>
      </c>
      <c r="BP199" s="268">
        <f t="shared" si="320"/>
        <v>0</v>
      </c>
      <c r="BQ199" s="123">
        <f t="shared" si="354"/>
        <v>0</v>
      </c>
      <c r="BR199" s="123">
        <f t="shared" si="434"/>
        <v>0</v>
      </c>
      <c r="BS199" s="123">
        <f t="shared" si="444"/>
        <v>0</v>
      </c>
      <c r="BT199" s="123">
        <f>IF(BZ198&lt;0.01,0,IF(Plus!$F$22=Plus!$AN$4,BZ198*$BZ$15,IF(Plus!$F$22=Plus!$AN$3,BZ198*Plus!$F$23/1000,BZ198*VLOOKUP(Plus!$G$21,Plus!$AP$2:'Plus'!$AQ$5,2,0))))</f>
        <v>0</v>
      </c>
      <c r="BU199" s="123">
        <f>IF(BZ198&lt;0.01,0,IF(Plus!$F$24=Plus!$AO$3,Plus!$G$13*Plus!$AR$2/1.16,IF(Plus!$F$10=Plus!$AK$7,0,Plus!$G$13*Plus!$AR$2/1.16)))</f>
        <v>0</v>
      </c>
      <c r="BV199" s="123">
        <f>IF(BZ198&lt;0.01,0,Plus!$BD$2)</f>
        <v>0</v>
      </c>
      <c r="BW199" s="123"/>
      <c r="BX199" s="123">
        <f t="shared" si="321"/>
        <v>0</v>
      </c>
      <c r="BY199" s="123">
        <f>IF(Plus!$F$10=Plus!$AK$3,MIN(BZ198+BQ199+BT199+BU199+BV199-BX199,CJ199),0)</f>
        <v>0</v>
      </c>
      <c r="BZ199" s="297">
        <f t="shared" si="428"/>
        <v>0</v>
      </c>
      <c r="CA199" s="74"/>
      <c r="CB199" s="74"/>
      <c r="CC199" s="413">
        <f t="shared" si="355"/>
        <v>0</v>
      </c>
      <c r="CF199" s="90">
        <f t="shared" si="356"/>
        <v>7</v>
      </c>
      <c r="CG199" s="121">
        <f t="shared" si="409"/>
        <v>0</v>
      </c>
      <c r="CI199" s="70">
        <f t="shared" si="410"/>
        <v>0</v>
      </c>
      <c r="CJ199" s="2178">
        <f t="shared" ca="1" si="357"/>
        <v>0</v>
      </c>
      <c r="CL199" s="161"/>
      <c r="CN199" s="308">
        <f t="shared" ca="1" si="322"/>
        <v>10</v>
      </c>
      <c r="CO199" s="309">
        <f t="shared" si="358"/>
        <v>0</v>
      </c>
      <c r="CP199" s="268">
        <f t="shared" si="323"/>
        <v>0</v>
      </c>
      <c r="CQ199" s="123">
        <f t="shared" si="359"/>
        <v>0</v>
      </c>
      <c r="CR199" s="123">
        <f t="shared" si="435"/>
        <v>0</v>
      </c>
      <c r="CS199" s="123">
        <f t="shared" si="436"/>
        <v>0</v>
      </c>
      <c r="CT199" s="33">
        <f>IF(CZ198&lt;0.01,0,IF(Plus!$F$22=Plus!$AN$4,0,IF(Plus!$F$22=Plus!$AN$3,CZ198*Plus!$F$23/1000,CZ198*VLOOKUP(Plus!$G$21,Plus!$AP$2:'Plus'!$AQ$5,2,0))))</f>
        <v>0</v>
      </c>
      <c r="CU199" s="123">
        <f>IF(CZ198&lt;0.01,0,IF(Plus!$F$24=Plus!$AO$3,0,IF(OR(Plus!$F$10=Plus!$AK$7,Plus!$F$10=Plus!$AK$13),0,Plus!$G$13*Plus!$AR$2)))</f>
        <v>0</v>
      </c>
      <c r="CV199" s="123">
        <f>IF(CZ198&lt;0.01,0,IF(OR(Plus!$F$10=Plus!$AK$7,Plus!$F$10=Plus!$AK$13),0,Plus!$BD$2*1.16))</f>
        <v>0</v>
      </c>
      <c r="CW199" s="123">
        <f>IF(CZ198&lt;0.01,0,IF(Plus!$AS$2&gt;0,CQ199*Plus!$AS$3,0))</f>
        <v>0</v>
      </c>
      <c r="CX199" s="123">
        <f t="shared" si="360"/>
        <v>0</v>
      </c>
      <c r="CY199" s="123">
        <f>IF(Plus!$F$10=Plus!$AK$3,MIN(CZ198+CQ199+CT199+CU199+CV199-CX199,DK199),0)</f>
        <v>0</v>
      </c>
      <c r="CZ199" s="297">
        <f t="shared" si="440"/>
        <v>0</v>
      </c>
      <c r="DA199" s="306">
        <f>Plus!O240</f>
        <v>0</v>
      </c>
      <c r="DB199" s="74"/>
      <c r="DC199" s="74"/>
      <c r="DD199" s="407">
        <f t="shared" si="361"/>
        <v>0</v>
      </c>
      <c r="DG199" s="90">
        <f t="shared" si="362"/>
        <v>7</v>
      </c>
      <c r="DH199" s="121">
        <f t="shared" si="411"/>
        <v>0</v>
      </c>
      <c r="DJ199" s="149">
        <f t="shared" si="412"/>
        <v>0</v>
      </c>
      <c r="DK199" s="2179">
        <f t="shared" ca="1" si="363"/>
        <v>0</v>
      </c>
      <c r="DN199" s="120">
        <f t="shared" si="413"/>
        <v>0</v>
      </c>
      <c r="DO199" s="110">
        <f t="shared" si="364"/>
        <v>0</v>
      </c>
      <c r="DP199" s="110">
        <f t="shared" si="422"/>
        <v>0</v>
      </c>
      <c r="DQ199" s="109">
        <f t="shared" si="365"/>
        <v>0</v>
      </c>
      <c r="DR199" s="109">
        <f t="shared" si="366"/>
        <v>0</v>
      </c>
      <c r="DS199" s="113">
        <f t="shared" si="367"/>
        <v>0</v>
      </c>
      <c r="DU199" s="102">
        <f t="shared" si="368"/>
        <v>0</v>
      </c>
      <c r="DV199" s="211">
        <f t="shared" si="423"/>
        <v>175</v>
      </c>
      <c r="DW199" s="212">
        <f t="shared" si="369"/>
        <v>0</v>
      </c>
      <c r="DX199" s="212">
        <f t="shared" si="324"/>
        <v>0</v>
      </c>
      <c r="DY199" s="212">
        <f t="shared" si="414"/>
        <v>0</v>
      </c>
      <c r="DZ199" s="213">
        <f t="shared" si="325"/>
        <v>1000000</v>
      </c>
      <c r="ED199" s="182"/>
      <c r="EF199" s="308">
        <f t="shared" ca="1" si="326"/>
        <v>10</v>
      </c>
      <c r="EG199" s="309">
        <f t="shared" si="370"/>
        <v>0</v>
      </c>
      <c r="EH199" s="268">
        <f t="shared" si="327"/>
        <v>0</v>
      </c>
      <c r="EI199" s="33">
        <f t="shared" si="371"/>
        <v>0</v>
      </c>
      <c r="EJ199" s="33">
        <f t="shared" si="437"/>
        <v>0</v>
      </c>
      <c r="EK199" s="33">
        <f t="shared" si="445"/>
        <v>0</v>
      </c>
      <c r="EL199" s="33">
        <f>IF(ER198&lt;0.01,0,IF(Plus!$F$22=Plus!$AN$4,0,IF(Plus!$F$22=Plus!$AN$3,ER198*Plus!$F$23/1000,ER198*VLOOKUP(Plus!$G$21,Plus!$AP$2:'Plus'!$AQ$5,2,0))))</f>
        <v>0</v>
      </c>
      <c r="EM199" s="33">
        <f>IF(ER198&lt;0.01,0,IF(Plus!$F$24=Plus!$AO$3,0,IF(OR(Plus!$F$10=Plus!$AK$7,Plus!$F$10=Plus!$AK$13),0,Plus!$G$13*Plus!$AR$2)))</f>
        <v>0</v>
      </c>
      <c r="EN199" s="33">
        <f>IF(ER198&lt;0.01,0,IF(OR(Plus!$F$10=Plus!$AK$7,Plus!$F$10=Plus!$AK$13),0,Plus!$BD$2*1.16))</f>
        <v>0</v>
      </c>
      <c r="EO199" s="33">
        <f>IF(ER198&lt;0.01,0,IF(Plus!$AS$2&gt;0,EI199*Plus!$AS$3,0))</f>
        <v>0</v>
      </c>
      <c r="EP199" s="33">
        <f t="shared" si="372"/>
        <v>0</v>
      </c>
      <c r="EQ199" s="33">
        <f>IF(Plus!$F$10=Plus!$AK$3,MIN(ER198+EI199+EL199+EM199+EN199-EP199,FC199),0)</f>
        <v>0</v>
      </c>
      <c r="ER199" s="311">
        <f t="shared" si="431"/>
        <v>0</v>
      </c>
      <c r="ES199" s="340">
        <f>Plus!O240</f>
        <v>0</v>
      </c>
      <c r="ET199" s="74"/>
      <c r="EU199" s="74"/>
      <c r="EV199" s="416">
        <f t="shared" si="429"/>
        <v>0</v>
      </c>
      <c r="EY199" s="90">
        <f t="shared" si="373"/>
        <v>7</v>
      </c>
      <c r="EZ199" s="121">
        <f t="shared" si="415"/>
        <v>0</v>
      </c>
      <c r="FB199" s="149">
        <f t="shared" si="416"/>
        <v>0</v>
      </c>
      <c r="FC199" s="2179">
        <f t="shared" ca="1" si="374"/>
        <v>0</v>
      </c>
      <c r="FE199" s="120">
        <f t="shared" si="417"/>
        <v>0</v>
      </c>
      <c r="FF199" s="110">
        <f t="shared" si="375"/>
        <v>0</v>
      </c>
      <c r="FG199" s="110">
        <f t="shared" si="376"/>
        <v>0</v>
      </c>
      <c r="FH199" s="109">
        <f t="shared" si="377"/>
        <v>0</v>
      </c>
      <c r="FI199" s="109">
        <f t="shared" si="328"/>
        <v>0</v>
      </c>
      <c r="FJ199" s="113">
        <f t="shared" si="378"/>
        <v>0</v>
      </c>
      <c r="FL199" s="102">
        <f t="shared" si="379"/>
        <v>0</v>
      </c>
      <c r="FM199" s="211">
        <f t="shared" si="424"/>
        <v>175</v>
      </c>
      <c r="FN199" s="212">
        <f t="shared" si="380"/>
        <v>0</v>
      </c>
      <c r="FO199" s="212">
        <f t="shared" si="329"/>
        <v>0</v>
      </c>
      <c r="FP199" s="212">
        <f t="shared" si="450"/>
        <v>0</v>
      </c>
      <c r="FQ199" s="213">
        <f t="shared" si="330"/>
        <v>1000000</v>
      </c>
      <c r="FV199" s="359"/>
      <c r="FX199" s="308">
        <f t="shared" ca="1" si="331"/>
        <v>10</v>
      </c>
      <c r="FY199" s="309">
        <f t="shared" si="381"/>
        <v>0</v>
      </c>
      <c r="FZ199" s="268">
        <f t="shared" si="332"/>
        <v>0</v>
      </c>
      <c r="GA199" s="33">
        <f t="shared" si="382"/>
        <v>0</v>
      </c>
      <c r="GB199" s="33">
        <f t="shared" si="438"/>
        <v>0</v>
      </c>
      <c r="GC199" s="33">
        <f t="shared" si="439"/>
        <v>0</v>
      </c>
      <c r="GD199" s="33">
        <f>IF(GJ198&lt;0.01,0,IF(Plus!$F$22=Plus!$AN$4,0,IF(Plus!$F$22=Plus!$AN$3,GJ198*Plus!$F$23/1000,GJ198*VLOOKUP(Plus!$G$21,Plus!$AP$2:$AQ$5,2,0))))</f>
        <v>0</v>
      </c>
      <c r="GE199" s="33">
        <f>IF(GJ198&lt;0.01,0,IF(Plus!$F$24=Plus!$AO$3,0,IF(OR(Plus!$F$10=Plus!$AK$7,Plus!$F$10=Plus!$AK$13,Plus!$F$10=Plus!$AK$14),0,IF(OR(Plus!$F$10=Plus!$AK$10,Plus!$F$10=Plus!$AK$11),Plus!$G$13*Adm!$W$7,Plus!$G$13*Adm!$X$4))))</f>
        <v>0</v>
      </c>
      <c r="GF199" s="33">
        <f>IF(GJ198&lt;0.01,0,IF(OR(Plus!$F$10=Plus!$AK$7,Plus!$F$10=Plus!$AK$13),0,Plus!$BD$2*1.16))</f>
        <v>0</v>
      </c>
      <c r="GG199" s="33">
        <f>IF(GJ198&lt;0.01,0,IF(Plus!$AS$2&gt;0,GA199*Plus!$AS$3,0))</f>
        <v>0</v>
      </c>
      <c r="GH199" s="33">
        <f t="shared" si="383"/>
        <v>0</v>
      </c>
      <c r="GI199" s="33">
        <f>IF(Plus!$F$10=Plus!$AK$3,MIN(GJ198+GA199+GD199+GE199+GF199-GH199,GU199),0)</f>
        <v>0</v>
      </c>
      <c r="GJ199" s="311">
        <f t="shared" si="432"/>
        <v>0</v>
      </c>
      <c r="GK199" s="340">
        <f>Plus!O240</f>
        <v>0</v>
      </c>
      <c r="GL199" s="74"/>
      <c r="GM199" s="74"/>
      <c r="GN199" s="419">
        <f t="shared" si="430"/>
        <v>0</v>
      </c>
      <c r="GQ199" s="90">
        <f t="shared" si="384"/>
        <v>7</v>
      </c>
      <c r="GR199" s="121">
        <f t="shared" si="418"/>
        <v>0</v>
      </c>
      <c r="GT199" s="149">
        <f t="shared" si="419"/>
        <v>0</v>
      </c>
      <c r="GU199" s="2179">
        <f t="shared" ca="1" si="385"/>
        <v>0</v>
      </c>
      <c r="GW199" s="120">
        <f t="shared" si="420"/>
        <v>0</v>
      </c>
      <c r="GX199" s="110">
        <f t="shared" si="386"/>
        <v>0</v>
      </c>
      <c r="GY199" s="110">
        <f t="shared" si="387"/>
        <v>0</v>
      </c>
      <c r="GZ199" s="109">
        <f t="shared" si="388"/>
        <v>0</v>
      </c>
      <c r="HA199" s="109">
        <f t="shared" si="333"/>
        <v>0</v>
      </c>
      <c r="HB199" s="113">
        <f t="shared" si="389"/>
        <v>0</v>
      </c>
      <c r="HD199" s="102">
        <f t="shared" si="390"/>
        <v>0</v>
      </c>
      <c r="HE199" s="211">
        <f t="shared" si="425"/>
        <v>175</v>
      </c>
      <c r="HF199" s="212">
        <f t="shared" si="391"/>
        <v>0</v>
      </c>
      <c r="HG199" s="212">
        <f t="shared" si="334"/>
        <v>0</v>
      </c>
      <c r="HH199" s="212">
        <f t="shared" si="451"/>
        <v>0</v>
      </c>
      <c r="HI199" s="213">
        <f t="shared" si="335"/>
        <v>1000000</v>
      </c>
      <c r="HL199" s="182"/>
      <c r="HM199" s="26">
        <f t="shared" ca="1" si="336"/>
        <v>10</v>
      </c>
      <c r="HO199" s="268">
        <f t="shared" si="337"/>
        <v>0</v>
      </c>
      <c r="HP199" s="151">
        <f t="shared" si="448"/>
        <v>0</v>
      </c>
      <c r="HQ199" s="123">
        <f t="shared" si="392"/>
        <v>0</v>
      </c>
      <c r="HR199" s="123">
        <f t="shared" si="393"/>
        <v>0</v>
      </c>
      <c r="HS199" s="123">
        <f t="shared" si="394"/>
        <v>0</v>
      </c>
      <c r="HT199" s="123">
        <f>IF(HY198&lt;0.01,0,IF(Adm!$GS$4=Adm!$GS$8,HY198*$HY$15,IF(Adm!$GS$12=Adm!$GS$13,0,HY198*Adm!$GV$4)))</f>
        <v>0</v>
      </c>
      <c r="HU199" s="123">
        <f>IF(HY198&lt;0.01,0,IF(Adm!$GS$5=Adm!$GS$8,Cal!$BO$108*$HY$16/1.16,IF(Adm!$GS$12=Adm!$GS$13,0,Cal!$BO$108*Adm!$GW$4/1.16)))</f>
        <v>0</v>
      </c>
      <c r="HV199" s="123">
        <f t="shared" si="395"/>
        <v>0</v>
      </c>
      <c r="HW199" s="123">
        <f t="shared" si="338"/>
        <v>0</v>
      </c>
      <c r="HX199" s="123">
        <f>IF(Adm!$GH$6="si",MIN(HY198+HQ199+HT199+HU199+HV199-HW199,IH199),0)</f>
        <v>0</v>
      </c>
      <c r="HY199" s="297">
        <f t="shared" si="396"/>
        <v>0</v>
      </c>
      <c r="HZ199" s="74"/>
      <c r="IA199" s="407">
        <f t="shared" si="397"/>
        <v>0</v>
      </c>
      <c r="IC199" s="90">
        <f t="shared" si="398"/>
        <v>7</v>
      </c>
      <c r="ID199" s="124">
        <f>IF(IC199=1,Cal!$BO$127,0)</f>
        <v>0</v>
      </c>
      <c r="IE199" s="178">
        <f>IF(IC199=1,Adm!$HI$4,0)</f>
        <v>0</v>
      </c>
      <c r="IG199" s="70">
        <f t="shared" si="421"/>
        <v>0</v>
      </c>
      <c r="IH199" s="2178">
        <f t="shared" ca="1" si="399"/>
        <v>0</v>
      </c>
      <c r="IK199" s="217"/>
      <c r="IL199" s="26">
        <f t="shared" ca="1" si="339"/>
        <v>10</v>
      </c>
      <c r="IN199" s="268">
        <f t="shared" si="340"/>
        <v>0</v>
      </c>
      <c r="IO199" s="151">
        <f t="shared" si="449"/>
        <v>0</v>
      </c>
      <c r="IP199" s="123">
        <f t="shared" si="400"/>
        <v>0</v>
      </c>
      <c r="IQ199" s="123">
        <f t="shared" si="401"/>
        <v>0</v>
      </c>
      <c r="IR199" s="123">
        <f t="shared" si="402"/>
        <v>0</v>
      </c>
      <c r="IS199" s="123">
        <f>IF(IX198&lt;0.01,0,IF(Adm!$GS$4=Adm!$GS$8,IX198*$IX$15,IF(Adm!$GS$12=Adm!$GS$13,0,IX198*Adm!$GV$4)))</f>
        <v>0</v>
      </c>
      <c r="IT199" s="123"/>
      <c r="IU199" s="123">
        <f t="shared" si="403"/>
        <v>0</v>
      </c>
      <c r="IV199" s="123">
        <f t="shared" si="404"/>
        <v>0</v>
      </c>
      <c r="IW199" s="123"/>
      <c r="IX199" s="297">
        <f t="shared" si="405"/>
        <v>0</v>
      </c>
      <c r="IY199" s="74"/>
      <c r="IZ199" s="416">
        <f t="shared" si="406"/>
        <v>0</v>
      </c>
      <c r="JB199" s="90">
        <f t="shared" si="407"/>
        <v>7</v>
      </c>
      <c r="JC199" s="124">
        <f>IF(JB199=1,Cal!$BP$127,0)</f>
        <v>0</v>
      </c>
      <c r="JD199" s="178">
        <f>IF(JB199=1,Adm!$HI$4,0)</f>
        <v>0</v>
      </c>
    </row>
    <row r="200" spans="1:264">
      <c r="A200" s="26">
        <f t="shared" ca="1" si="308"/>
        <v>11</v>
      </c>
      <c r="C200" s="33">
        <f t="shared" si="309"/>
        <v>0</v>
      </c>
      <c r="D200" s="123">
        <f t="shared" si="341"/>
        <v>0</v>
      </c>
      <c r="E200" s="123">
        <f t="shared" si="433"/>
        <v>0</v>
      </c>
      <c r="F200" s="123">
        <f t="shared" si="443"/>
        <v>0</v>
      </c>
      <c r="G200" s="123">
        <f>IF(L199&lt;0.01,0,IF(Adm!$S$4=Adm!$S$8,L199*$L$15,L199*Adm!$V$4))</f>
        <v>0</v>
      </c>
      <c r="H200" s="123">
        <f>IF(L199&lt;0.01,0,IF(Adm!$S$5=Adm!$S$8,Adm!$AA$11*$L$16/1.16,IF(Adm!$B$4=Adm!$A$119,0,Adm!$AA$11*Adm!$X$4/1.16)))</f>
        <v>0</v>
      </c>
      <c r="I200" s="123">
        <f>IF(L199&lt;0.01,0,Cal!$AB$126/1.16)</f>
        <v>0</v>
      </c>
      <c r="J200" s="123">
        <f t="shared" si="310"/>
        <v>0</v>
      </c>
      <c r="K200" s="123">
        <f>IF(Adm!$G$4="si",MIN(L199+D200+G200+H200+I200-J200,V200),0)</f>
        <v>0</v>
      </c>
      <c r="L200" s="123">
        <f t="shared" si="342"/>
        <v>0</v>
      </c>
      <c r="M200" s="74"/>
      <c r="N200" s="74"/>
      <c r="O200" s="407">
        <f t="shared" si="343"/>
        <v>0</v>
      </c>
      <c r="R200" s="90">
        <f t="shared" si="344"/>
        <v>8</v>
      </c>
      <c r="S200" s="121">
        <f>IF(R200=1,Cal!$AB$127,0)</f>
        <v>0</v>
      </c>
      <c r="U200" s="70">
        <f t="shared" si="408"/>
        <v>0</v>
      </c>
      <c r="V200" s="2178">
        <f t="shared" ca="1" si="345"/>
        <v>0</v>
      </c>
      <c r="X200" s="398"/>
      <c r="Z200" s="268">
        <f t="shared" si="311"/>
        <v>0</v>
      </c>
      <c r="AA200" s="2176">
        <f t="shared" si="346"/>
        <v>0</v>
      </c>
      <c r="AB200" s="33">
        <f t="shared" si="347"/>
        <v>0</v>
      </c>
      <c r="AC200" s="33">
        <f t="shared" si="348"/>
        <v>0</v>
      </c>
      <c r="AD200" s="33">
        <f>IF(AI199&lt;0.01,0,IF(Adm!$S$4=Adm!$S$8,AI199*$AI$15,AI199*Adm!$V$4))</f>
        <v>0</v>
      </c>
      <c r="AE200" s="33"/>
      <c r="AF200" s="33"/>
      <c r="AG200" s="33">
        <f t="shared" si="312"/>
        <v>0</v>
      </c>
      <c r="AH200" s="33"/>
      <c r="AI200" s="401">
        <f t="shared" si="313"/>
        <v>0</v>
      </c>
      <c r="AK200" s="410">
        <f t="shared" si="314"/>
        <v>0</v>
      </c>
      <c r="AN200" s="90">
        <f t="shared" si="349"/>
        <v>8</v>
      </c>
      <c r="AO200" s="121">
        <f>IF(AN200=1,Cal!$AC$127,0)</f>
        <v>0</v>
      </c>
      <c r="AS200" s="200"/>
      <c r="AU200" s="268">
        <f t="shared" si="315"/>
        <v>0</v>
      </c>
      <c r="AV200" s="2177">
        <f t="shared" si="350"/>
        <v>0</v>
      </c>
      <c r="AW200" s="123">
        <f t="shared" si="316"/>
        <v>0</v>
      </c>
      <c r="AX200" s="123">
        <f t="shared" si="351"/>
        <v>0</v>
      </c>
      <c r="AY200" s="123">
        <f>IF(BC199&lt;0.01,0,IF(Adm!$S$4=Adm!$S$8,BC199*$BC$16,BC199*Adm!$V$4))</f>
        <v>0</v>
      </c>
      <c r="AZ200" s="123"/>
      <c r="BA200" s="123">
        <f>IF(BC199&lt;0.01,0,Adm!$Q$6)</f>
        <v>0</v>
      </c>
      <c r="BB200" s="123">
        <f t="shared" si="317"/>
        <v>0</v>
      </c>
      <c r="BC200" s="297">
        <f t="shared" si="352"/>
        <v>0</v>
      </c>
      <c r="BE200" s="425">
        <f t="shared" si="318"/>
        <v>0</v>
      </c>
      <c r="BH200" s="90">
        <f t="shared" si="353"/>
        <v>8</v>
      </c>
      <c r="BI200" s="121">
        <f>IF(BH200=1,Cal!$AD$127,0)</f>
        <v>0</v>
      </c>
      <c r="BM200" s="221"/>
      <c r="BO200" s="295">
        <f t="shared" ca="1" si="319"/>
        <v>11</v>
      </c>
      <c r="BP200" s="268">
        <f t="shared" si="320"/>
        <v>0</v>
      </c>
      <c r="BQ200" s="123">
        <f t="shared" si="354"/>
        <v>0</v>
      </c>
      <c r="BR200" s="123">
        <f t="shared" si="434"/>
        <v>0</v>
      </c>
      <c r="BS200" s="123">
        <f t="shared" si="444"/>
        <v>0</v>
      </c>
      <c r="BT200" s="123">
        <f>IF(BZ199&lt;0.01,0,IF(Plus!$F$22=Plus!$AN$4,BZ199*$BZ$15,IF(Plus!$F$22=Plus!$AN$3,BZ199*Plus!$F$23/1000,BZ199*VLOOKUP(Plus!$G$21,Plus!$AP$2:'Plus'!$AQ$5,2,0))))</f>
        <v>0</v>
      </c>
      <c r="BU200" s="123">
        <f>IF(BZ199&lt;0.01,0,IF(Plus!$F$24=Plus!$AO$3,Plus!$G$13*Plus!$AR$2/1.16,IF(Plus!$F$10=Plus!$AK$7,0,Plus!$G$13*Plus!$AR$2/1.16)))</f>
        <v>0</v>
      </c>
      <c r="BV200" s="123">
        <f>IF(BZ199&lt;0.01,0,Plus!$BD$2)</f>
        <v>0</v>
      </c>
      <c r="BW200" s="123"/>
      <c r="BX200" s="123">
        <f t="shared" si="321"/>
        <v>0</v>
      </c>
      <c r="BY200" s="123">
        <f>IF(Plus!$F$10=Plus!$AK$3,MIN(BZ199+BQ200+BT200+BU200+BV200-BX200,CJ200),0)</f>
        <v>0</v>
      </c>
      <c r="BZ200" s="297">
        <f t="shared" si="428"/>
        <v>0</v>
      </c>
      <c r="CA200" s="74"/>
      <c r="CB200" s="74"/>
      <c r="CC200" s="413">
        <f t="shared" si="355"/>
        <v>0</v>
      </c>
      <c r="CF200" s="90">
        <f t="shared" si="356"/>
        <v>8</v>
      </c>
      <c r="CG200" s="121">
        <f t="shared" si="409"/>
        <v>0</v>
      </c>
      <c r="CI200" s="70">
        <f t="shared" si="410"/>
        <v>0</v>
      </c>
      <c r="CJ200" s="2178">
        <f t="shared" ca="1" si="357"/>
        <v>0</v>
      </c>
      <c r="CL200" s="161"/>
      <c r="CN200" s="308">
        <f t="shared" ca="1" si="322"/>
        <v>11</v>
      </c>
      <c r="CO200" s="309">
        <f t="shared" si="358"/>
        <v>0</v>
      </c>
      <c r="CP200" s="268">
        <f t="shared" si="323"/>
        <v>0</v>
      </c>
      <c r="CQ200" s="123">
        <f t="shared" si="359"/>
        <v>0</v>
      </c>
      <c r="CR200" s="123">
        <f t="shared" si="435"/>
        <v>0</v>
      </c>
      <c r="CS200" s="123">
        <f t="shared" si="436"/>
        <v>0</v>
      </c>
      <c r="CT200" s="33">
        <f>IF(CZ199&lt;0.01,0,IF(Plus!$F$22=Plus!$AN$4,0,IF(Plus!$F$22=Plus!$AN$3,CZ199*Plus!$F$23/1000,CZ199*VLOOKUP(Plus!$G$21,Plus!$AP$2:'Plus'!$AQ$5,2,0))))</f>
        <v>0</v>
      </c>
      <c r="CU200" s="123">
        <f>IF(CZ199&lt;0.01,0,IF(Plus!$F$24=Plus!$AO$3,0,IF(OR(Plus!$F$10=Plus!$AK$7,Plus!$F$10=Plus!$AK$13),0,Plus!$G$13*Plus!$AR$2)))</f>
        <v>0</v>
      </c>
      <c r="CV200" s="123">
        <f>IF(CZ199&lt;0.01,0,IF(OR(Plus!$F$10=Plus!$AK$7,Plus!$F$10=Plus!$AK$13),0,Plus!$BD$2*1.16))</f>
        <v>0</v>
      </c>
      <c r="CW200" s="123">
        <f>IF(CZ199&lt;0.01,0,IF(Plus!$AS$2&gt;0,CQ200*Plus!$AS$3,0))</f>
        <v>0</v>
      </c>
      <c r="CX200" s="123">
        <f t="shared" si="360"/>
        <v>0</v>
      </c>
      <c r="CY200" s="123">
        <f>IF(Plus!$F$10=Plus!$AK$3,MIN(CZ199+CQ200+CT200+CU200+CV200-CX200,DK200),0)</f>
        <v>0</v>
      </c>
      <c r="CZ200" s="297">
        <f t="shared" si="440"/>
        <v>0</v>
      </c>
      <c r="DA200" s="306">
        <f>Plus!O241</f>
        <v>0</v>
      </c>
      <c r="DB200" s="74"/>
      <c r="DC200" s="74"/>
      <c r="DD200" s="407">
        <f t="shared" si="361"/>
        <v>0</v>
      </c>
      <c r="DG200" s="90">
        <f t="shared" si="362"/>
        <v>8</v>
      </c>
      <c r="DH200" s="121">
        <f t="shared" si="411"/>
        <v>0</v>
      </c>
      <c r="DJ200" s="149">
        <f t="shared" si="412"/>
        <v>0</v>
      </c>
      <c r="DK200" s="2179">
        <f t="shared" ca="1" si="363"/>
        <v>0</v>
      </c>
      <c r="DN200" s="120">
        <f t="shared" si="413"/>
        <v>0</v>
      </c>
      <c r="DO200" s="110">
        <f t="shared" si="364"/>
        <v>0</v>
      </c>
      <c r="DP200" s="110">
        <f t="shared" si="422"/>
        <v>0</v>
      </c>
      <c r="DQ200" s="109">
        <f t="shared" si="365"/>
        <v>0</v>
      </c>
      <c r="DR200" s="109">
        <f t="shared" si="366"/>
        <v>0</v>
      </c>
      <c r="DS200" s="113">
        <f t="shared" si="367"/>
        <v>0</v>
      </c>
      <c r="DU200" s="102">
        <f t="shared" si="368"/>
        <v>0</v>
      </c>
      <c r="DV200" s="211">
        <f t="shared" si="423"/>
        <v>176</v>
      </c>
      <c r="DW200" s="212">
        <f t="shared" si="369"/>
        <v>0</v>
      </c>
      <c r="DX200" s="212">
        <f t="shared" si="324"/>
        <v>0</v>
      </c>
      <c r="DY200" s="212">
        <f t="shared" si="414"/>
        <v>0</v>
      </c>
      <c r="DZ200" s="213">
        <f t="shared" si="325"/>
        <v>1000000</v>
      </c>
      <c r="ED200" s="182"/>
      <c r="EF200" s="308">
        <f t="shared" ca="1" si="326"/>
        <v>11</v>
      </c>
      <c r="EG200" s="309">
        <f t="shared" si="370"/>
        <v>0</v>
      </c>
      <c r="EH200" s="268">
        <f t="shared" si="327"/>
        <v>0</v>
      </c>
      <c r="EI200" s="33">
        <f t="shared" si="371"/>
        <v>0</v>
      </c>
      <c r="EJ200" s="33">
        <f t="shared" si="437"/>
        <v>0</v>
      </c>
      <c r="EK200" s="33">
        <f t="shared" si="445"/>
        <v>0</v>
      </c>
      <c r="EL200" s="33">
        <f>IF(ER199&lt;0.01,0,IF(Plus!$F$22=Plus!$AN$4,0,IF(Plus!$F$22=Plus!$AN$3,ER199*Plus!$F$23/1000,ER199*VLOOKUP(Plus!$G$21,Plus!$AP$2:'Plus'!$AQ$5,2,0))))</f>
        <v>0</v>
      </c>
      <c r="EM200" s="33">
        <f>IF(ER199&lt;0.01,0,IF(Plus!$F$24=Plus!$AO$3,0,IF(OR(Plus!$F$10=Plus!$AK$7,Plus!$F$10=Plus!$AK$13),0,Plus!$G$13*Plus!$AR$2)))</f>
        <v>0</v>
      </c>
      <c r="EN200" s="33">
        <f>IF(ER199&lt;0.01,0,IF(OR(Plus!$F$10=Plus!$AK$7,Plus!$F$10=Plus!$AK$13),0,Plus!$BD$2*1.16))</f>
        <v>0</v>
      </c>
      <c r="EO200" s="33">
        <f>IF(ER199&lt;0.01,0,IF(Plus!$AS$2&gt;0,EI200*Plus!$AS$3,0))</f>
        <v>0</v>
      </c>
      <c r="EP200" s="33">
        <f t="shared" si="372"/>
        <v>0</v>
      </c>
      <c r="EQ200" s="33">
        <f>IF(Plus!$F$10=Plus!$AK$3,MIN(ER199+EI200+EL200+EM200+EN200-EP200,FC200),0)</f>
        <v>0</v>
      </c>
      <c r="ER200" s="311">
        <f t="shared" si="431"/>
        <v>0</v>
      </c>
      <c r="ES200" s="340">
        <f>Plus!O241</f>
        <v>0</v>
      </c>
      <c r="ET200" s="74"/>
      <c r="EU200" s="74"/>
      <c r="EV200" s="416">
        <f t="shared" si="429"/>
        <v>0</v>
      </c>
      <c r="EY200" s="90">
        <f t="shared" si="373"/>
        <v>8</v>
      </c>
      <c r="EZ200" s="121">
        <f t="shared" si="415"/>
        <v>0</v>
      </c>
      <c r="FB200" s="149">
        <f t="shared" si="416"/>
        <v>0</v>
      </c>
      <c r="FC200" s="2179">
        <f t="shared" ca="1" si="374"/>
        <v>0</v>
      </c>
      <c r="FE200" s="120">
        <f t="shared" si="417"/>
        <v>0</v>
      </c>
      <c r="FF200" s="110">
        <f t="shared" si="375"/>
        <v>0</v>
      </c>
      <c r="FG200" s="110">
        <f t="shared" si="376"/>
        <v>0</v>
      </c>
      <c r="FH200" s="109">
        <f t="shared" si="377"/>
        <v>0</v>
      </c>
      <c r="FI200" s="109">
        <f t="shared" si="328"/>
        <v>0</v>
      </c>
      <c r="FJ200" s="113">
        <f t="shared" si="378"/>
        <v>0</v>
      </c>
      <c r="FL200" s="102">
        <f t="shared" si="379"/>
        <v>0</v>
      </c>
      <c r="FM200" s="211">
        <f t="shared" si="424"/>
        <v>176</v>
      </c>
      <c r="FN200" s="212">
        <f t="shared" si="380"/>
        <v>0</v>
      </c>
      <c r="FO200" s="212">
        <f t="shared" si="329"/>
        <v>0</v>
      </c>
      <c r="FP200" s="212">
        <f t="shared" si="450"/>
        <v>0</v>
      </c>
      <c r="FQ200" s="213">
        <f t="shared" si="330"/>
        <v>1000000</v>
      </c>
      <c r="FV200" s="359"/>
      <c r="FX200" s="308">
        <f t="shared" ca="1" si="331"/>
        <v>11</v>
      </c>
      <c r="FY200" s="309">
        <f t="shared" si="381"/>
        <v>0</v>
      </c>
      <c r="FZ200" s="268">
        <f t="shared" si="332"/>
        <v>0</v>
      </c>
      <c r="GA200" s="33">
        <f t="shared" si="382"/>
        <v>0</v>
      </c>
      <c r="GB200" s="33">
        <f t="shared" si="438"/>
        <v>0</v>
      </c>
      <c r="GC200" s="33">
        <f t="shared" si="439"/>
        <v>0</v>
      </c>
      <c r="GD200" s="33">
        <f>IF(GJ199&lt;0.01,0,IF(Plus!$F$22=Plus!$AN$4,0,IF(Plus!$F$22=Plus!$AN$3,GJ199*Plus!$F$23/1000,GJ199*VLOOKUP(Plus!$G$21,Plus!$AP$2:$AQ$5,2,0))))</f>
        <v>0</v>
      </c>
      <c r="GE200" s="33">
        <f>IF(GJ199&lt;0.01,0,IF(Plus!$F$24=Plus!$AO$3,0,IF(OR(Plus!$F$10=Plus!$AK$7,Plus!$F$10=Plus!$AK$13,Plus!$F$10=Plus!$AK$14),0,IF(OR(Plus!$F$10=Plus!$AK$10,Plus!$F$10=Plus!$AK$11),Plus!$G$13*Adm!$W$7,Plus!$G$13*Adm!$X$4))))</f>
        <v>0</v>
      </c>
      <c r="GF200" s="33">
        <f>IF(GJ199&lt;0.01,0,IF(OR(Plus!$F$10=Plus!$AK$7,Plus!$F$10=Plus!$AK$13),0,Plus!$BD$2*1.16))</f>
        <v>0</v>
      </c>
      <c r="GG200" s="33">
        <f>IF(GJ199&lt;0.01,0,IF(Plus!$AS$2&gt;0,GA200*Plus!$AS$3,0))</f>
        <v>0</v>
      </c>
      <c r="GH200" s="33">
        <f t="shared" si="383"/>
        <v>0</v>
      </c>
      <c r="GI200" s="33">
        <f>IF(Plus!$F$10=Plus!$AK$3,MIN(GJ199+GA200+GD200+GE200+GF200-GH200,GU200),0)</f>
        <v>0</v>
      </c>
      <c r="GJ200" s="311">
        <f t="shared" si="432"/>
        <v>0</v>
      </c>
      <c r="GK200" s="340">
        <f>Plus!O241</f>
        <v>0</v>
      </c>
      <c r="GL200" s="74"/>
      <c r="GM200" s="74"/>
      <c r="GN200" s="419">
        <f t="shared" si="430"/>
        <v>0</v>
      </c>
      <c r="GQ200" s="90">
        <f t="shared" si="384"/>
        <v>8</v>
      </c>
      <c r="GR200" s="121">
        <f t="shared" si="418"/>
        <v>0</v>
      </c>
      <c r="GT200" s="149">
        <f t="shared" si="419"/>
        <v>0</v>
      </c>
      <c r="GU200" s="2179">
        <f t="shared" ca="1" si="385"/>
        <v>0</v>
      </c>
      <c r="GW200" s="120">
        <f t="shared" si="420"/>
        <v>0</v>
      </c>
      <c r="GX200" s="110">
        <f t="shared" si="386"/>
        <v>0</v>
      </c>
      <c r="GY200" s="110">
        <f t="shared" si="387"/>
        <v>0</v>
      </c>
      <c r="GZ200" s="109">
        <f t="shared" si="388"/>
        <v>0</v>
      </c>
      <c r="HA200" s="109">
        <f t="shared" si="333"/>
        <v>0</v>
      </c>
      <c r="HB200" s="113">
        <f t="shared" si="389"/>
        <v>0</v>
      </c>
      <c r="HD200" s="102">
        <f t="shared" si="390"/>
        <v>0</v>
      </c>
      <c r="HE200" s="211">
        <f t="shared" si="425"/>
        <v>176</v>
      </c>
      <c r="HF200" s="212">
        <f t="shared" si="391"/>
        <v>0</v>
      </c>
      <c r="HG200" s="212">
        <f t="shared" si="334"/>
        <v>0</v>
      </c>
      <c r="HH200" s="212">
        <f t="shared" si="451"/>
        <v>0</v>
      </c>
      <c r="HI200" s="213">
        <f t="shared" si="335"/>
        <v>1000000</v>
      </c>
      <c r="HL200" s="182"/>
      <c r="HM200" s="26">
        <f t="shared" ca="1" si="336"/>
        <v>11</v>
      </c>
      <c r="HO200" s="268">
        <f t="shared" si="337"/>
        <v>0</v>
      </c>
      <c r="HP200" s="151">
        <f t="shared" si="448"/>
        <v>0</v>
      </c>
      <c r="HQ200" s="123">
        <f t="shared" si="392"/>
        <v>0</v>
      </c>
      <c r="HR200" s="123">
        <f t="shared" si="393"/>
        <v>0</v>
      </c>
      <c r="HS200" s="123">
        <f t="shared" si="394"/>
        <v>0</v>
      </c>
      <c r="HT200" s="123">
        <f>IF(HY199&lt;0.01,0,IF(Adm!$GS$4=Adm!$GS$8,HY199*$HY$15,IF(Adm!$GS$12=Adm!$GS$13,0,HY199*Adm!$GV$4)))</f>
        <v>0</v>
      </c>
      <c r="HU200" s="123">
        <f>IF(HY199&lt;0.01,0,IF(Adm!$GS$5=Adm!$GS$8,Cal!$BO$108*$HY$16/1.16,IF(Adm!$GS$12=Adm!$GS$13,0,Cal!$BO$108*Adm!$GW$4/1.16)))</f>
        <v>0</v>
      </c>
      <c r="HV200" s="123">
        <f t="shared" si="395"/>
        <v>0</v>
      </c>
      <c r="HW200" s="123">
        <f t="shared" si="338"/>
        <v>0</v>
      </c>
      <c r="HX200" s="123">
        <f>IF(Adm!$GH$6="si",MIN(HY199+HQ200+HT200+HU200+HV200-HW200,IH200),0)</f>
        <v>0</v>
      </c>
      <c r="HY200" s="297">
        <f t="shared" si="396"/>
        <v>0</v>
      </c>
      <c r="HZ200" s="74"/>
      <c r="IA200" s="407">
        <f t="shared" si="397"/>
        <v>0</v>
      </c>
      <c r="IC200" s="90">
        <f t="shared" si="398"/>
        <v>8</v>
      </c>
      <c r="ID200" s="124">
        <f>IF(IC200=1,Cal!$BO$127,0)</f>
        <v>0</v>
      </c>
      <c r="IE200" s="178">
        <f>IF(IC200=1,Adm!$HI$4,0)</f>
        <v>0</v>
      </c>
      <c r="IG200" s="70">
        <f t="shared" si="421"/>
        <v>0</v>
      </c>
      <c r="IH200" s="2178">
        <f t="shared" ca="1" si="399"/>
        <v>0</v>
      </c>
      <c r="IK200" s="217"/>
      <c r="IL200" s="26">
        <f t="shared" ca="1" si="339"/>
        <v>11</v>
      </c>
      <c r="IN200" s="268">
        <f t="shared" si="340"/>
        <v>0</v>
      </c>
      <c r="IO200" s="151">
        <f t="shared" si="449"/>
        <v>0</v>
      </c>
      <c r="IP200" s="123">
        <f t="shared" si="400"/>
        <v>0</v>
      </c>
      <c r="IQ200" s="123">
        <f t="shared" si="401"/>
        <v>0</v>
      </c>
      <c r="IR200" s="123">
        <f t="shared" si="402"/>
        <v>0</v>
      </c>
      <c r="IS200" s="123">
        <f>IF(IX199&lt;0.01,0,IF(Adm!$GS$4=Adm!$GS$8,IX199*$IX$15,IF(Adm!$GS$12=Adm!$GS$13,0,IX199*Adm!$GV$4)))</f>
        <v>0</v>
      </c>
      <c r="IT200" s="123"/>
      <c r="IU200" s="123">
        <f t="shared" si="403"/>
        <v>0</v>
      </c>
      <c r="IV200" s="123">
        <f t="shared" si="404"/>
        <v>0</v>
      </c>
      <c r="IW200" s="123"/>
      <c r="IX200" s="297">
        <f t="shared" si="405"/>
        <v>0</v>
      </c>
      <c r="IY200" s="74"/>
      <c r="IZ200" s="416">
        <f t="shared" si="406"/>
        <v>0</v>
      </c>
      <c r="JB200" s="90">
        <f t="shared" si="407"/>
        <v>8</v>
      </c>
      <c r="JC200" s="124">
        <f>IF(JB200=1,Cal!$BP$127,0)</f>
        <v>0</v>
      </c>
      <c r="JD200" s="178">
        <f>IF(JB200=1,Adm!$HI$4,0)</f>
        <v>0</v>
      </c>
    </row>
    <row r="201" spans="1:264">
      <c r="A201" s="26">
        <f t="shared" ca="1" si="308"/>
        <v>12</v>
      </c>
      <c r="C201" s="33">
        <f t="shared" si="309"/>
        <v>0</v>
      </c>
      <c r="D201" s="123">
        <f t="shared" si="341"/>
        <v>0</v>
      </c>
      <c r="E201" s="123">
        <f t="shared" si="433"/>
        <v>0</v>
      </c>
      <c r="F201" s="123">
        <f t="shared" si="443"/>
        <v>0</v>
      </c>
      <c r="G201" s="123">
        <f>IF(L200&lt;0.01,0,IF(Adm!$S$4=Adm!$S$8,L200*$L$15,L200*Adm!$V$4))</f>
        <v>0</v>
      </c>
      <c r="H201" s="123">
        <f>IF(L200&lt;0.01,0,IF(Adm!$S$5=Adm!$S$8,Adm!$AA$11*$L$16/1.16,IF(Adm!$B$4=Adm!$A$119,0,Adm!$AA$11*Adm!$X$4/1.16)))</f>
        <v>0</v>
      </c>
      <c r="I201" s="123">
        <f>IF(L200&lt;0.01,0,Cal!$AB$126/1.16)</f>
        <v>0</v>
      </c>
      <c r="J201" s="123">
        <f t="shared" si="310"/>
        <v>0</v>
      </c>
      <c r="K201" s="123">
        <f>IF(Adm!$G$4="si",MIN(L200+D201+G201+H201+I201-J201,V201),0)</f>
        <v>0</v>
      </c>
      <c r="L201" s="123">
        <f t="shared" si="342"/>
        <v>0</v>
      </c>
      <c r="M201" s="74"/>
      <c r="N201" s="74"/>
      <c r="O201" s="407">
        <f t="shared" si="343"/>
        <v>0</v>
      </c>
      <c r="R201" s="90">
        <f t="shared" si="344"/>
        <v>9</v>
      </c>
      <c r="S201" s="121">
        <f>IF(R201=1,Cal!$AB$127,0)</f>
        <v>0</v>
      </c>
      <c r="U201" s="70">
        <f t="shared" si="408"/>
        <v>0</v>
      </c>
      <c r="V201" s="2178">
        <f t="shared" ca="1" si="345"/>
        <v>0</v>
      </c>
      <c r="X201" s="398"/>
      <c r="Z201" s="268">
        <f t="shared" si="311"/>
        <v>0</v>
      </c>
      <c r="AA201" s="2176">
        <f t="shared" si="346"/>
        <v>0</v>
      </c>
      <c r="AB201" s="33">
        <f t="shared" si="347"/>
        <v>0</v>
      </c>
      <c r="AC201" s="33">
        <f t="shared" si="348"/>
        <v>0</v>
      </c>
      <c r="AD201" s="33">
        <f>IF(AI200&lt;0.01,0,IF(Adm!$S$4=Adm!$S$8,AI200*$AI$15,AI200*Adm!$V$4))</f>
        <v>0</v>
      </c>
      <c r="AE201" s="33"/>
      <c r="AF201" s="33"/>
      <c r="AG201" s="33">
        <f t="shared" si="312"/>
        <v>0</v>
      </c>
      <c r="AH201" s="33"/>
      <c r="AI201" s="401">
        <f t="shared" si="313"/>
        <v>0</v>
      </c>
      <c r="AK201" s="410">
        <f t="shared" si="314"/>
        <v>0</v>
      </c>
      <c r="AN201" s="90">
        <f t="shared" si="349"/>
        <v>9</v>
      </c>
      <c r="AO201" s="121">
        <f>IF(AN201=1,Cal!$AC$127,0)</f>
        <v>0</v>
      </c>
      <c r="AS201" s="200"/>
      <c r="AU201" s="268">
        <f t="shared" si="315"/>
        <v>0</v>
      </c>
      <c r="AV201" s="2177">
        <f t="shared" si="350"/>
        <v>0</v>
      </c>
      <c r="AW201" s="123">
        <f t="shared" si="316"/>
        <v>0</v>
      </c>
      <c r="AX201" s="123">
        <f t="shared" si="351"/>
        <v>0</v>
      </c>
      <c r="AY201" s="123">
        <f>IF(BC200&lt;0.01,0,IF(Adm!$S$4=Adm!$S$8,BC200*$BC$16,BC200*Adm!$V$4))</f>
        <v>0</v>
      </c>
      <c r="AZ201" s="123"/>
      <c r="BA201" s="123">
        <f>IF(BC200&lt;0.01,0,Adm!$Q$6)</f>
        <v>0</v>
      </c>
      <c r="BB201" s="123">
        <f t="shared" si="317"/>
        <v>0</v>
      </c>
      <c r="BC201" s="297">
        <f t="shared" si="352"/>
        <v>0</v>
      </c>
      <c r="BE201" s="425">
        <f t="shared" si="318"/>
        <v>0</v>
      </c>
      <c r="BH201" s="90">
        <f t="shared" si="353"/>
        <v>9</v>
      </c>
      <c r="BI201" s="121">
        <f>IF(BH201=1,Cal!$AD$127,0)</f>
        <v>0</v>
      </c>
      <c r="BM201" s="221"/>
      <c r="BO201" s="295">
        <f t="shared" ca="1" si="319"/>
        <v>12</v>
      </c>
      <c r="BP201" s="268">
        <f t="shared" si="320"/>
        <v>0</v>
      </c>
      <c r="BQ201" s="123">
        <f t="shared" si="354"/>
        <v>0</v>
      </c>
      <c r="BR201" s="123">
        <f t="shared" si="434"/>
        <v>0</v>
      </c>
      <c r="BS201" s="123">
        <f t="shared" si="444"/>
        <v>0</v>
      </c>
      <c r="BT201" s="123">
        <f>IF(BZ200&lt;0.01,0,IF(Plus!$F$22=Plus!$AN$4,BZ200*$BZ$15,IF(Plus!$F$22=Plus!$AN$3,BZ200*Plus!$F$23/1000,BZ200*VLOOKUP(Plus!$G$21,Plus!$AP$2:'Plus'!$AQ$5,2,0))))</f>
        <v>0</v>
      </c>
      <c r="BU201" s="123">
        <f>IF(BZ200&lt;0.01,0,IF(Plus!$F$24=Plus!$AO$3,Plus!$G$13*Plus!$AR$2/1.16,IF(Plus!$F$10=Plus!$AK$7,0,Plus!$G$13*Plus!$AR$2/1.16)))</f>
        <v>0</v>
      </c>
      <c r="BV201" s="123">
        <f>IF(BZ200&lt;0.01,0,Plus!$BD$2)</f>
        <v>0</v>
      </c>
      <c r="BW201" s="123"/>
      <c r="BX201" s="123">
        <f t="shared" si="321"/>
        <v>0</v>
      </c>
      <c r="BY201" s="123">
        <f>IF(Plus!$F$10=Plus!$AK$3,MIN(BZ200+BQ201+BT201+BU201+BV201-BX201,CJ201),0)</f>
        <v>0</v>
      </c>
      <c r="BZ201" s="297">
        <f t="shared" si="428"/>
        <v>0</v>
      </c>
      <c r="CA201" s="74"/>
      <c r="CB201" s="74"/>
      <c r="CC201" s="413">
        <f t="shared" si="355"/>
        <v>0</v>
      </c>
      <c r="CF201" s="90">
        <f t="shared" si="356"/>
        <v>9</v>
      </c>
      <c r="CG201" s="121">
        <f t="shared" si="409"/>
        <v>0</v>
      </c>
      <c r="CI201" s="70">
        <f t="shared" si="410"/>
        <v>0</v>
      </c>
      <c r="CJ201" s="2178">
        <f t="shared" ca="1" si="357"/>
        <v>0</v>
      </c>
      <c r="CL201" s="161"/>
      <c r="CN201" s="308">
        <f t="shared" ca="1" si="322"/>
        <v>12</v>
      </c>
      <c r="CO201" s="309">
        <f t="shared" si="358"/>
        <v>0</v>
      </c>
      <c r="CP201" s="268">
        <f t="shared" si="323"/>
        <v>0</v>
      </c>
      <c r="CQ201" s="123">
        <f t="shared" si="359"/>
        <v>0</v>
      </c>
      <c r="CR201" s="123">
        <f t="shared" si="435"/>
        <v>0</v>
      </c>
      <c r="CS201" s="123">
        <f t="shared" si="436"/>
        <v>0</v>
      </c>
      <c r="CT201" s="33">
        <f>IF(CZ200&lt;0.01,0,IF(Plus!$F$22=Plus!$AN$4,0,IF(Plus!$F$22=Plus!$AN$3,CZ200*Plus!$F$23/1000,CZ200*VLOOKUP(Plus!$G$21,Plus!$AP$2:'Plus'!$AQ$5,2,0))))</f>
        <v>0</v>
      </c>
      <c r="CU201" s="123">
        <f>IF(CZ200&lt;0.01,0,IF(Plus!$F$24=Plus!$AO$3,0,IF(OR(Plus!$F$10=Plus!$AK$7,Plus!$F$10=Plus!$AK$13),0,Plus!$G$13*Plus!$AR$2)))</f>
        <v>0</v>
      </c>
      <c r="CV201" s="123">
        <f>IF(CZ200&lt;0.01,0,IF(OR(Plus!$F$10=Plus!$AK$7,Plus!$F$10=Plus!$AK$13),0,Plus!$BD$2*1.16))</f>
        <v>0</v>
      </c>
      <c r="CW201" s="123">
        <f>IF(CZ200&lt;0.01,0,IF(Plus!$AS$2&gt;0,CQ201*Plus!$AS$3,0))</f>
        <v>0</v>
      </c>
      <c r="CX201" s="123">
        <f t="shared" si="360"/>
        <v>0</v>
      </c>
      <c r="CY201" s="123">
        <f>IF(Plus!$F$10=Plus!$AK$3,MIN(CZ200+CQ201+CT201+CU201+CV201-CX201,DK201),0)</f>
        <v>0</v>
      </c>
      <c r="CZ201" s="297">
        <f t="shared" si="440"/>
        <v>0</v>
      </c>
      <c r="DA201" s="306">
        <f>Plus!O242</f>
        <v>0</v>
      </c>
      <c r="DB201" s="74"/>
      <c r="DC201" s="74"/>
      <c r="DD201" s="407">
        <f t="shared" si="361"/>
        <v>0</v>
      </c>
      <c r="DG201" s="90">
        <f t="shared" si="362"/>
        <v>9</v>
      </c>
      <c r="DH201" s="121">
        <f t="shared" si="411"/>
        <v>0</v>
      </c>
      <c r="DJ201" s="149">
        <f t="shared" si="412"/>
        <v>0</v>
      </c>
      <c r="DK201" s="2179">
        <f t="shared" ca="1" si="363"/>
        <v>0</v>
      </c>
      <c r="DN201" s="120">
        <f t="shared" si="413"/>
        <v>0</v>
      </c>
      <c r="DO201" s="110">
        <f t="shared" si="364"/>
        <v>0</v>
      </c>
      <c r="DP201" s="110">
        <f t="shared" si="422"/>
        <v>0</v>
      </c>
      <c r="DQ201" s="109">
        <f t="shared" si="365"/>
        <v>0</v>
      </c>
      <c r="DR201" s="109">
        <f t="shared" si="366"/>
        <v>0</v>
      </c>
      <c r="DS201" s="113">
        <f t="shared" si="367"/>
        <v>0</v>
      </c>
      <c r="DU201" s="102">
        <f t="shared" si="368"/>
        <v>0</v>
      </c>
      <c r="DV201" s="211">
        <f t="shared" si="423"/>
        <v>177</v>
      </c>
      <c r="DW201" s="212">
        <f t="shared" si="369"/>
        <v>0</v>
      </c>
      <c r="DX201" s="212">
        <f t="shared" si="324"/>
        <v>0</v>
      </c>
      <c r="DY201" s="212">
        <f t="shared" si="414"/>
        <v>0</v>
      </c>
      <c r="DZ201" s="213">
        <f t="shared" si="325"/>
        <v>1000000</v>
      </c>
      <c r="ED201" s="182"/>
      <c r="EF201" s="308">
        <f t="shared" ca="1" si="326"/>
        <v>12</v>
      </c>
      <c r="EG201" s="309">
        <f t="shared" si="370"/>
        <v>0</v>
      </c>
      <c r="EH201" s="268">
        <f t="shared" si="327"/>
        <v>0</v>
      </c>
      <c r="EI201" s="33">
        <f t="shared" si="371"/>
        <v>0</v>
      </c>
      <c r="EJ201" s="33">
        <f t="shared" si="437"/>
        <v>0</v>
      </c>
      <c r="EK201" s="33">
        <f t="shared" si="445"/>
        <v>0</v>
      </c>
      <c r="EL201" s="33">
        <f>IF(ER200&lt;0.01,0,IF(Plus!$F$22=Plus!$AN$4,0,IF(Plus!$F$22=Plus!$AN$3,ER200*Plus!$F$23/1000,ER200*VLOOKUP(Plus!$G$21,Plus!$AP$2:'Plus'!$AQ$5,2,0))))</f>
        <v>0</v>
      </c>
      <c r="EM201" s="33">
        <f>IF(ER200&lt;0.01,0,IF(Plus!$F$24=Plus!$AO$3,0,IF(OR(Plus!$F$10=Plus!$AK$7,Plus!$F$10=Plus!$AK$13),0,Plus!$G$13*Plus!$AR$2)))</f>
        <v>0</v>
      </c>
      <c r="EN201" s="33">
        <f>IF(ER200&lt;0.01,0,IF(OR(Plus!$F$10=Plus!$AK$7,Plus!$F$10=Plus!$AK$13),0,Plus!$BD$2*1.16))</f>
        <v>0</v>
      </c>
      <c r="EO201" s="33">
        <f>IF(ER200&lt;0.01,0,IF(Plus!$AS$2&gt;0,EI201*Plus!$AS$3,0))</f>
        <v>0</v>
      </c>
      <c r="EP201" s="33">
        <f t="shared" si="372"/>
        <v>0</v>
      </c>
      <c r="EQ201" s="33">
        <f>IF(Plus!$F$10=Plus!$AK$3,MIN(ER200+EI201+EL201+EM201+EN201-EP201,FC201),0)</f>
        <v>0</v>
      </c>
      <c r="ER201" s="311">
        <f t="shared" si="431"/>
        <v>0</v>
      </c>
      <c r="ES201" s="340">
        <f>Plus!O242</f>
        <v>0</v>
      </c>
      <c r="ET201" s="74"/>
      <c r="EU201" s="74"/>
      <c r="EV201" s="416">
        <f t="shared" si="429"/>
        <v>0</v>
      </c>
      <c r="EY201" s="90">
        <f t="shared" si="373"/>
        <v>9</v>
      </c>
      <c r="EZ201" s="121">
        <f t="shared" si="415"/>
        <v>0</v>
      </c>
      <c r="FB201" s="149">
        <f t="shared" si="416"/>
        <v>0</v>
      </c>
      <c r="FC201" s="2179">
        <f t="shared" ca="1" si="374"/>
        <v>0</v>
      </c>
      <c r="FE201" s="120">
        <f t="shared" si="417"/>
        <v>0</v>
      </c>
      <c r="FF201" s="110">
        <f t="shared" si="375"/>
        <v>0</v>
      </c>
      <c r="FG201" s="110">
        <f t="shared" si="376"/>
        <v>0</v>
      </c>
      <c r="FH201" s="109">
        <f t="shared" si="377"/>
        <v>0</v>
      </c>
      <c r="FI201" s="109">
        <f t="shared" si="328"/>
        <v>0</v>
      </c>
      <c r="FJ201" s="113">
        <f t="shared" si="378"/>
        <v>0</v>
      </c>
      <c r="FL201" s="102">
        <f t="shared" si="379"/>
        <v>0</v>
      </c>
      <c r="FM201" s="211">
        <f t="shared" si="424"/>
        <v>177</v>
      </c>
      <c r="FN201" s="212">
        <f t="shared" si="380"/>
        <v>0</v>
      </c>
      <c r="FO201" s="212">
        <f t="shared" si="329"/>
        <v>0</v>
      </c>
      <c r="FP201" s="212">
        <f t="shared" si="450"/>
        <v>0</v>
      </c>
      <c r="FQ201" s="213">
        <f t="shared" si="330"/>
        <v>1000000</v>
      </c>
      <c r="FV201" s="359"/>
      <c r="FX201" s="308">
        <f t="shared" ca="1" si="331"/>
        <v>12</v>
      </c>
      <c r="FY201" s="309">
        <f t="shared" si="381"/>
        <v>0</v>
      </c>
      <c r="FZ201" s="268">
        <f t="shared" si="332"/>
        <v>0</v>
      </c>
      <c r="GA201" s="33">
        <f t="shared" si="382"/>
        <v>0</v>
      </c>
      <c r="GB201" s="33">
        <f t="shared" si="438"/>
        <v>0</v>
      </c>
      <c r="GC201" s="33">
        <f t="shared" si="439"/>
        <v>0</v>
      </c>
      <c r="GD201" s="33">
        <f>IF(GJ200&lt;0.01,0,IF(Plus!$F$22=Plus!$AN$4,0,IF(Plus!$F$22=Plus!$AN$3,GJ200*Plus!$F$23/1000,GJ200*VLOOKUP(Plus!$G$21,Plus!$AP$2:$AQ$5,2,0))))</f>
        <v>0</v>
      </c>
      <c r="GE201" s="33">
        <f>IF(GJ200&lt;0.01,0,IF(Plus!$F$24=Plus!$AO$3,0,IF(OR(Plus!$F$10=Plus!$AK$7,Plus!$F$10=Plus!$AK$13,Plus!$F$10=Plus!$AK$14),0,IF(OR(Plus!$F$10=Plus!$AK$10,Plus!$F$10=Plus!$AK$11),Plus!$G$13*Adm!$W$7,Plus!$G$13*Adm!$X$4))))</f>
        <v>0</v>
      </c>
      <c r="GF201" s="33">
        <f>IF(GJ200&lt;0.01,0,IF(OR(Plus!$F$10=Plus!$AK$7,Plus!$F$10=Plus!$AK$13),0,Plus!$BD$2*1.16))</f>
        <v>0</v>
      </c>
      <c r="GG201" s="33">
        <f>IF(GJ200&lt;0.01,0,IF(Plus!$AS$2&gt;0,GA201*Plus!$AS$3,0))</f>
        <v>0</v>
      </c>
      <c r="GH201" s="33">
        <f t="shared" si="383"/>
        <v>0</v>
      </c>
      <c r="GI201" s="33">
        <f>IF(Plus!$F$10=Plus!$AK$3,MIN(GJ200+GA201+GD201+GE201+GF201-GH201,GU201),0)</f>
        <v>0</v>
      </c>
      <c r="GJ201" s="311">
        <f t="shared" si="432"/>
        <v>0</v>
      </c>
      <c r="GK201" s="340">
        <f>Plus!O242</f>
        <v>0</v>
      </c>
      <c r="GL201" s="74"/>
      <c r="GM201" s="74"/>
      <c r="GN201" s="419">
        <f t="shared" si="430"/>
        <v>0</v>
      </c>
      <c r="GQ201" s="90">
        <f t="shared" si="384"/>
        <v>9</v>
      </c>
      <c r="GR201" s="121">
        <f t="shared" si="418"/>
        <v>0</v>
      </c>
      <c r="GT201" s="149">
        <f t="shared" si="419"/>
        <v>0</v>
      </c>
      <c r="GU201" s="2179">
        <f t="shared" ca="1" si="385"/>
        <v>0</v>
      </c>
      <c r="GW201" s="120">
        <f t="shared" si="420"/>
        <v>0</v>
      </c>
      <c r="GX201" s="110">
        <f t="shared" si="386"/>
        <v>0</v>
      </c>
      <c r="GY201" s="110">
        <f t="shared" si="387"/>
        <v>0</v>
      </c>
      <c r="GZ201" s="109">
        <f t="shared" si="388"/>
        <v>0</v>
      </c>
      <c r="HA201" s="109">
        <f t="shared" si="333"/>
        <v>0</v>
      </c>
      <c r="HB201" s="113">
        <f t="shared" si="389"/>
        <v>0</v>
      </c>
      <c r="HD201" s="102">
        <f t="shared" si="390"/>
        <v>0</v>
      </c>
      <c r="HE201" s="211">
        <f t="shared" si="425"/>
        <v>177</v>
      </c>
      <c r="HF201" s="212">
        <f t="shared" si="391"/>
        <v>0</v>
      </c>
      <c r="HG201" s="212">
        <f t="shared" si="334"/>
        <v>0</v>
      </c>
      <c r="HH201" s="212">
        <f t="shared" si="451"/>
        <v>0</v>
      </c>
      <c r="HI201" s="213">
        <f t="shared" si="335"/>
        <v>1000000</v>
      </c>
      <c r="HL201" s="182"/>
      <c r="HM201" s="26">
        <f t="shared" ca="1" si="336"/>
        <v>12</v>
      </c>
      <c r="HO201" s="268">
        <f t="shared" si="337"/>
        <v>0</v>
      </c>
      <c r="HP201" s="151">
        <f t="shared" si="448"/>
        <v>0</v>
      </c>
      <c r="HQ201" s="123">
        <f t="shared" si="392"/>
        <v>0</v>
      </c>
      <c r="HR201" s="123">
        <f t="shared" si="393"/>
        <v>0</v>
      </c>
      <c r="HS201" s="123">
        <f t="shared" si="394"/>
        <v>0</v>
      </c>
      <c r="HT201" s="123">
        <f>IF(HY200&lt;0.01,0,IF(Adm!$GS$4=Adm!$GS$8,HY200*$HY$15,IF(Adm!$GS$12=Adm!$GS$13,0,HY200*Adm!$GV$4)))</f>
        <v>0</v>
      </c>
      <c r="HU201" s="123">
        <f>IF(HY200&lt;0.01,0,IF(Adm!$GS$5=Adm!$GS$8,Cal!$BO$108*$HY$16/1.16,IF(Adm!$GS$12=Adm!$GS$13,0,Cal!$BO$108*Adm!$GW$4/1.16)))</f>
        <v>0</v>
      </c>
      <c r="HV201" s="123">
        <f t="shared" si="395"/>
        <v>0</v>
      </c>
      <c r="HW201" s="123">
        <f t="shared" si="338"/>
        <v>0</v>
      </c>
      <c r="HX201" s="123">
        <f>IF(Adm!$GH$6="si",MIN(HY200+HQ201+HT201+HU201+HV201-HW201,IH201),0)</f>
        <v>0</v>
      </c>
      <c r="HY201" s="297">
        <f t="shared" si="396"/>
        <v>0</v>
      </c>
      <c r="HZ201" s="74"/>
      <c r="IA201" s="407">
        <f t="shared" si="397"/>
        <v>0</v>
      </c>
      <c r="IC201" s="90">
        <f t="shared" si="398"/>
        <v>9</v>
      </c>
      <c r="ID201" s="124">
        <f>IF(IC201=1,Cal!$BO$127,0)</f>
        <v>0</v>
      </c>
      <c r="IE201" s="178">
        <f>IF(IC201=1,Adm!$HI$4,0)</f>
        <v>0</v>
      </c>
      <c r="IG201" s="70">
        <f t="shared" si="421"/>
        <v>0</v>
      </c>
      <c r="IH201" s="2178">
        <f t="shared" ca="1" si="399"/>
        <v>0</v>
      </c>
      <c r="IK201" s="217"/>
      <c r="IL201" s="26">
        <f t="shared" ca="1" si="339"/>
        <v>12</v>
      </c>
      <c r="IN201" s="268">
        <f t="shared" si="340"/>
        <v>0</v>
      </c>
      <c r="IO201" s="151">
        <f t="shared" si="449"/>
        <v>0</v>
      </c>
      <c r="IP201" s="123">
        <f t="shared" si="400"/>
        <v>0</v>
      </c>
      <c r="IQ201" s="123">
        <f t="shared" si="401"/>
        <v>0</v>
      </c>
      <c r="IR201" s="123">
        <f t="shared" si="402"/>
        <v>0</v>
      </c>
      <c r="IS201" s="123">
        <f>IF(IX200&lt;0.01,0,IF(Adm!$GS$4=Adm!$GS$8,IX200*$IX$15,IF(Adm!$GS$12=Adm!$GS$13,0,IX200*Adm!$GV$4)))</f>
        <v>0</v>
      </c>
      <c r="IT201" s="123"/>
      <c r="IU201" s="123">
        <f t="shared" si="403"/>
        <v>0</v>
      </c>
      <c r="IV201" s="123">
        <f t="shared" si="404"/>
        <v>0</v>
      </c>
      <c r="IW201" s="123"/>
      <c r="IX201" s="297">
        <f t="shared" si="405"/>
        <v>0</v>
      </c>
      <c r="IY201" s="74"/>
      <c r="IZ201" s="416">
        <f t="shared" si="406"/>
        <v>0</v>
      </c>
      <c r="JB201" s="90">
        <f t="shared" si="407"/>
        <v>9</v>
      </c>
      <c r="JC201" s="124">
        <f>IF(JB201=1,Cal!$BP$127,0)</f>
        <v>0</v>
      </c>
      <c r="JD201" s="178">
        <f>IF(JB201=1,Adm!$HI$4,0)</f>
        <v>0</v>
      </c>
    </row>
    <row r="202" spans="1:264">
      <c r="A202" s="26">
        <f t="shared" ca="1" si="308"/>
        <v>1</v>
      </c>
      <c r="C202" s="33">
        <f t="shared" si="309"/>
        <v>0</v>
      </c>
      <c r="D202" s="123">
        <f t="shared" si="341"/>
        <v>0</v>
      </c>
      <c r="E202" s="123">
        <f t="shared" si="433"/>
        <v>0</v>
      </c>
      <c r="F202" s="123">
        <f t="shared" si="443"/>
        <v>0</v>
      </c>
      <c r="G202" s="123">
        <f>IF(L201&lt;0.01,0,IF(Adm!$S$4=Adm!$S$8,L201*$L$15,L201*Adm!$V$4))</f>
        <v>0</v>
      </c>
      <c r="H202" s="123">
        <f>IF(L201&lt;0.01,0,IF(Adm!$S$5=Adm!$S$8,Adm!$AA$11*$L$16/1.16,IF(Adm!$B$4=Adm!$A$119,0,Adm!$AA$11*Adm!$X$4/1.16)))</f>
        <v>0</v>
      </c>
      <c r="I202" s="123">
        <f>IF(L201&lt;0.01,0,Cal!$AB$126/1.16)</f>
        <v>0</v>
      </c>
      <c r="J202" s="123">
        <f t="shared" si="310"/>
        <v>0</v>
      </c>
      <c r="K202" s="123">
        <f>IF(Adm!$G$4="si",MIN(L201+D202+G202+H202+I202-J202,V202),0)</f>
        <v>0</v>
      </c>
      <c r="L202" s="123">
        <f t="shared" si="342"/>
        <v>0</v>
      </c>
      <c r="M202" s="74"/>
      <c r="N202" s="74"/>
      <c r="O202" s="407">
        <f t="shared" si="343"/>
        <v>0</v>
      </c>
      <c r="R202" s="90">
        <f t="shared" si="344"/>
        <v>10</v>
      </c>
      <c r="S202" s="121">
        <f>IF(R202=1,Cal!$AB$127,0)</f>
        <v>0</v>
      </c>
      <c r="U202" s="70">
        <f t="shared" si="408"/>
        <v>0</v>
      </c>
      <c r="V202" s="2178">
        <f t="shared" ca="1" si="345"/>
        <v>0</v>
      </c>
      <c r="X202" s="398"/>
      <c r="Z202" s="268">
        <f t="shared" si="311"/>
        <v>0</v>
      </c>
      <c r="AA202" s="2176">
        <f t="shared" si="346"/>
        <v>0</v>
      </c>
      <c r="AB202" s="33">
        <f t="shared" si="347"/>
        <v>0</v>
      </c>
      <c r="AC202" s="33">
        <f t="shared" si="348"/>
        <v>0</v>
      </c>
      <c r="AD202" s="33">
        <f>IF(AI201&lt;0.01,0,IF(Adm!$S$4=Adm!$S$8,AI201*$AI$15,AI201*Adm!$V$4))</f>
        <v>0</v>
      </c>
      <c r="AE202" s="33"/>
      <c r="AF202" s="33"/>
      <c r="AG202" s="33">
        <f t="shared" si="312"/>
        <v>0</v>
      </c>
      <c r="AH202" s="33"/>
      <c r="AI202" s="401">
        <f t="shared" si="313"/>
        <v>0</v>
      </c>
      <c r="AK202" s="410">
        <f t="shared" si="314"/>
        <v>0</v>
      </c>
      <c r="AN202" s="90">
        <f t="shared" si="349"/>
        <v>10</v>
      </c>
      <c r="AO202" s="121">
        <f>IF(AN202=1,Cal!$AC$127,0)</f>
        <v>0</v>
      </c>
      <c r="AS202" s="200"/>
      <c r="AU202" s="268">
        <f t="shared" si="315"/>
        <v>0</v>
      </c>
      <c r="AV202" s="2177">
        <f t="shared" si="350"/>
        <v>0</v>
      </c>
      <c r="AW202" s="123">
        <f t="shared" si="316"/>
        <v>0</v>
      </c>
      <c r="AX202" s="123">
        <f t="shared" si="351"/>
        <v>0</v>
      </c>
      <c r="AY202" s="123">
        <f>IF(BC201&lt;0.01,0,IF(Adm!$S$4=Adm!$S$8,BC201*$BC$16,BC201*Adm!$V$4))</f>
        <v>0</v>
      </c>
      <c r="AZ202" s="123"/>
      <c r="BA202" s="123">
        <f>IF(BC201&lt;0.01,0,Adm!$Q$6)</f>
        <v>0</v>
      </c>
      <c r="BB202" s="123">
        <f t="shared" si="317"/>
        <v>0</v>
      </c>
      <c r="BC202" s="297">
        <f t="shared" si="352"/>
        <v>0</v>
      </c>
      <c r="BE202" s="425">
        <f t="shared" si="318"/>
        <v>0</v>
      </c>
      <c r="BH202" s="90">
        <f t="shared" si="353"/>
        <v>10</v>
      </c>
      <c r="BI202" s="121">
        <f>IF(BH202=1,Cal!$AD$127,0)</f>
        <v>0</v>
      </c>
      <c r="BM202" s="221"/>
      <c r="BO202" s="295">
        <f t="shared" ca="1" si="319"/>
        <v>1</v>
      </c>
      <c r="BP202" s="268">
        <f t="shared" si="320"/>
        <v>0</v>
      </c>
      <c r="BQ202" s="123">
        <f t="shared" si="354"/>
        <v>0</v>
      </c>
      <c r="BR202" s="123">
        <f t="shared" si="434"/>
        <v>0</v>
      </c>
      <c r="BS202" s="123">
        <f t="shared" si="444"/>
        <v>0</v>
      </c>
      <c r="BT202" s="123">
        <f>IF(BZ201&lt;0.01,0,IF(Plus!$F$22=Plus!$AN$4,BZ201*$BZ$15,IF(Plus!$F$22=Plus!$AN$3,BZ201*Plus!$F$23/1000,BZ201*VLOOKUP(Plus!$G$21,Plus!$AP$2:'Plus'!$AQ$5,2,0))))</f>
        <v>0</v>
      </c>
      <c r="BU202" s="123">
        <f>IF(BZ201&lt;0.01,0,IF(Plus!$F$24=Plus!$AO$3,Plus!$G$13*Plus!$AR$2/1.16,IF(Plus!$F$10=Plus!$AK$7,0,Plus!$G$13*Plus!$AR$2/1.16)))</f>
        <v>0</v>
      </c>
      <c r="BV202" s="123">
        <f>IF(BZ201&lt;0.01,0,Plus!$BD$2)</f>
        <v>0</v>
      </c>
      <c r="BW202" s="123"/>
      <c r="BX202" s="123">
        <f t="shared" si="321"/>
        <v>0</v>
      </c>
      <c r="BY202" s="123">
        <f>IF(Plus!$F$10=Plus!$AK$3,MIN(BZ201+BQ202+BT202+BU202+BV202-BX202,CJ202),0)</f>
        <v>0</v>
      </c>
      <c r="BZ202" s="297">
        <f t="shared" si="428"/>
        <v>0</v>
      </c>
      <c r="CA202" s="74"/>
      <c r="CB202" s="74"/>
      <c r="CC202" s="413">
        <f t="shared" si="355"/>
        <v>0</v>
      </c>
      <c r="CF202" s="90">
        <f t="shared" si="356"/>
        <v>10</v>
      </c>
      <c r="CG202" s="121">
        <f t="shared" si="409"/>
        <v>0</v>
      </c>
      <c r="CI202" s="70">
        <f t="shared" si="410"/>
        <v>0</v>
      </c>
      <c r="CJ202" s="2178">
        <f t="shared" ca="1" si="357"/>
        <v>0</v>
      </c>
      <c r="CL202" s="161"/>
      <c r="CN202" s="308">
        <f t="shared" ca="1" si="322"/>
        <v>1</v>
      </c>
      <c r="CO202" s="309">
        <f t="shared" si="358"/>
        <v>0</v>
      </c>
      <c r="CP202" s="268">
        <f t="shared" si="323"/>
        <v>0</v>
      </c>
      <c r="CQ202" s="123">
        <f t="shared" si="359"/>
        <v>0</v>
      </c>
      <c r="CR202" s="123">
        <f t="shared" si="435"/>
        <v>0</v>
      </c>
      <c r="CS202" s="123">
        <f t="shared" si="436"/>
        <v>0</v>
      </c>
      <c r="CT202" s="33">
        <f>IF(CZ201&lt;0.01,0,IF(Plus!$F$22=Plus!$AN$4,0,IF(Plus!$F$22=Plus!$AN$3,CZ201*Plus!$F$23/1000,CZ201*VLOOKUP(Plus!$G$21,Plus!$AP$2:'Plus'!$AQ$5,2,0))))</f>
        <v>0</v>
      </c>
      <c r="CU202" s="123">
        <f>IF(CZ201&lt;0.01,0,IF(Plus!$F$24=Plus!$AO$3,0,IF(OR(Plus!$F$10=Plus!$AK$7,Plus!$F$10=Plus!$AK$13),0,Plus!$G$13*Plus!$AR$2)))</f>
        <v>0</v>
      </c>
      <c r="CV202" s="123">
        <f>IF(CZ201&lt;0.01,0,IF(OR(Plus!$F$10=Plus!$AK$7,Plus!$F$10=Plus!$AK$13),0,Plus!$BD$2*1.16))</f>
        <v>0</v>
      </c>
      <c r="CW202" s="123">
        <f>IF(CZ201&lt;0.01,0,IF(Plus!$AS$2&gt;0,CQ202*Plus!$AS$3,0))</f>
        <v>0</v>
      </c>
      <c r="CX202" s="123">
        <f t="shared" si="360"/>
        <v>0</v>
      </c>
      <c r="CY202" s="123">
        <f>IF(Plus!$F$10=Plus!$AK$3,MIN(CZ201+CQ202+CT202+CU202+CV202-CX202,DK202),0)</f>
        <v>0</v>
      </c>
      <c r="CZ202" s="297">
        <f t="shared" si="440"/>
        <v>0</v>
      </c>
      <c r="DA202" s="306">
        <f>Plus!O243</f>
        <v>0</v>
      </c>
      <c r="DB202" s="74"/>
      <c r="DC202" s="74"/>
      <c r="DD202" s="407">
        <f t="shared" si="361"/>
        <v>0</v>
      </c>
      <c r="DG202" s="90">
        <f t="shared" si="362"/>
        <v>10</v>
      </c>
      <c r="DH202" s="121">
        <f t="shared" si="411"/>
        <v>0</v>
      </c>
      <c r="DJ202" s="149">
        <f t="shared" si="412"/>
        <v>0</v>
      </c>
      <c r="DK202" s="2179">
        <f t="shared" ca="1" si="363"/>
        <v>0</v>
      </c>
      <c r="DN202" s="120">
        <f t="shared" si="413"/>
        <v>0</v>
      </c>
      <c r="DO202" s="110">
        <f t="shared" si="364"/>
        <v>0</v>
      </c>
      <c r="DP202" s="110">
        <f t="shared" si="422"/>
        <v>0</v>
      </c>
      <c r="DQ202" s="109">
        <f t="shared" si="365"/>
        <v>0</v>
      </c>
      <c r="DR202" s="109">
        <f t="shared" si="366"/>
        <v>0</v>
      </c>
      <c r="DS202" s="113">
        <f t="shared" si="367"/>
        <v>0</v>
      </c>
      <c r="DU202" s="102">
        <f t="shared" si="368"/>
        <v>0</v>
      </c>
      <c r="DV202" s="211">
        <f t="shared" si="423"/>
        <v>178</v>
      </c>
      <c r="DW202" s="212">
        <f t="shared" si="369"/>
        <v>0</v>
      </c>
      <c r="DX202" s="212">
        <f t="shared" si="324"/>
        <v>0</v>
      </c>
      <c r="DY202" s="212">
        <f t="shared" si="414"/>
        <v>0</v>
      </c>
      <c r="DZ202" s="213">
        <f t="shared" si="325"/>
        <v>1000000</v>
      </c>
      <c r="ED202" s="182"/>
      <c r="EF202" s="308">
        <f t="shared" ca="1" si="326"/>
        <v>1</v>
      </c>
      <c r="EG202" s="309">
        <f t="shared" si="370"/>
        <v>0</v>
      </c>
      <c r="EH202" s="268">
        <f t="shared" si="327"/>
        <v>0</v>
      </c>
      <c r="EI202" s="33">
        <f t="shared" si="371"/>
        <v>0</v>
      </c>
      <c r="EJ202" s="33">
        <f t="shared" si="437"/>
        <v>0</v>
      </c>
      <c r="EK202" s="33">
        <f t="shared" si="445"/>
        <v>0</v>
      </c>
      <c r="EL202" s="33">
        <f>IF(ER201&lt;0.01,0,IF(Plus!$F$22=Plus!$AN$4,0,IF(Plus!$F$22=Plus!$AN$3,ER201*Plus!$F$23/1000,ER201*VLOOKUP(Plus!$G$21,Plus!$AP$2:'Plus'!$AQ$5,2,0))))</f>
        <v>0</v>
      </c>
      <c r="EM202" s="33">
        <f>IF(ER201&lt;0.01,0,IF(Plus!$F$24=Plus!$AO$3,0,IF(OR(Plus!$F$10=Plus!$AK$7,Plus!$F$10=Plus!$AK$13),0,Plus!$G$13*Plus!$AR$2)))</f>
        <v>0</v>
      </c>
      <c r="EN202" s="33">
        <f>IF(ER201&lt;0.01,0,IF(OR(Plus!$F$10=Plus!$AK$7,Plus!$F$10=Plus!$AK$13),0,Plus!$BD$2*1.16))</f>
        <v>0</v>
      </c>
      <c r="EO202" s="33">
        <f>IF(ER201&lt;0.01,0,IF(Plus!$AS$2&gt;0,EI202*Plus!$AS$3,0))</f>
        <v>0</v>
      </c>
      <c r="EP202" s="33">
        <f t="shared" si="372"/>
        <v>0</v>
      </c>
      <c r="EQ202" s="33">
        <f>IF(Plus!$F$10=Plus!$AK$3,MIN(ER201+EI202+EL202+EM202+EN202-EP202,FC202),0)</f>
        <v>0</v>
      </c>
      <c r="ER202" s="311">
        <f t="shared" si="431"/>
        <v>0</v>
      </c>
      <c r="ES202" s="340">
        <f>Plus!O243</f>
        <v>0</v>
      </c>
      <c r="ET202" s="74"/>
      <c r="EU202" s="74"/>
      <c r="EV202" s="416">
        <f t="shared" si="429"/>
        <v>0</v>
      </c>
      <c r="EY202" s="90">
        <f t="shared" si="373"/>
        <v>10</v>
      </c>
      <c r="EZ202" s="121">
        <f t="shared" si="415"/>
        <v>0</v>
      </c>
      <c r="FB202" s="149">
        <f t="shared" si="416"/>
        <v>0</v>
      </c>
      <c r="FC202" s="2179">
        <f t="shared" ca="1" si="374"/>
        <v>0</v>
      </c>
      <c r="FE202" s="120">
        <f t="shared" si="417"/>
        <v>0</v>
      </c>
      <c r="FF202" s="110">
        <f t="shared" si="375"/>
        <v>0</v>
      </c>
      <c r="FG202" s="110">
        <f t="shared" si="376"/>
        <v>0</v>
      </c>
      <c r="FH202" s="109">
        <f t="shared" si="377"/>
        <v>0</v>
      </c>
      <c r="FI202" s="109">
        <f t="shared" si="328"/>
        <v>0</v>
      </c>
      <c r="FJ202" s="113">
        <f t="shared" si="378"/>
        <v>0</v>
      </c>
      <c r="FL202" s="102">
        <f t="shared" si="379"/>
        <v>0</v>
      </c>
      <c r="FM202" s="211">
        <f t="shared" si="424"/>
        <v>178</v>
      </c>
      <c r="FN202" s="212">
        <f t="shared" si="380"/>
        <v>0</v>
      </c>
      <c r="FO202" s="212">
        <f t="shared" si="329"/>
        <v>0</v>
      </c>
      <c r="FP202" s="212">
        <f t="shared" si="450"/>
        <v>0</v>
      </c>
      <c r="FQ202" s="213">
        <f t="shared" si="330"/>
        <v>1000000</v>
      </c>
      <c r="FV202" s="359"/>
      <c r="FX202" s="308">
        <f t="shared" ca="1" si="331"/>
        <v>1</v>
      </c>
      <c r="FY202" s="309">
        <f t="shared" si="381"/>
        <v>0</v>
      </c>
      <c r="FZ202" s="268">
        <f t="shared" si="332"/>
        <v>0</v>
      </c>
      <c r="GA202" s="33">
        <f t="shared" si="382"/>
        <v>0</v>
      </c>
      <c r="GB202" s="33">
        <f t="shared" si="438"/>
        <v>0</v>
      </c>
      <c r="GC202" s="33">
        <f t="shared" si="439"/>
        <v>0</v>
      </c>
      <c r="GD202" s="33">
        <f>IF(GJ201&lt;0.01,0,IF(Plus!$F$22=Plus!$AN$4,0,IF(Plus!$F$22=Plus!$AN$3,GJ201*Plus!$F$23/1000,GJ201*VLOOKUP(Plus!$G$21,Plus!$AP$2:$AQ$5,2,0))))</f>
        <v>0</v>
      </c>
      <c r="GE202" s="33">
        <f>IF(GJ201&lt;0.01,0,IF(Plus!$F$24=Plus!$AO$3,0,IF(OR(Plus!$F$10=Plus!$AK$7,Plus!$F$10=Plus!$AK$13,Plus!$F$10=Plus!$AK$14),0,IF(OR(Plus!$F$10=Plus!$AK$10,Plus!$F$10=Plus!$AK$11),Plus!$G$13*Adm!$W$7,Plus!$G$13*Adm!$X$4))))</f>
        <v>0</v>
      </c>
      <c r="GF202" s="33">
        <f>IF(GJ201&lt;0.01,0,IF(OR(Plus!$F$10=Plus!$AK$7,Plus!$F$10=Plus!$AK$13),0,Plus!$BD$2*1.16))</f>
        <v>0</v>
      </c>
      <c r="GG202" s="33">
        <f>IF(GJ201&lt;0.01,0,IF(Plus!$AS$2&gt;0,GA202*Plus!$AS$3,0))</f>
        <v>0</v>
      </c>
      <c r="GH202" s="33">
        <f t="shared" si="383"/>
        <v>0</v>
      </c>
      <c r="GI202" s="33">
        <f>IF(Plus!$F$10=Plus!$AK$3,MIN(GJ201+GA202+GD202+GE202+GF202-GH202,GU202),0)</f>
        <v>0</v>
      </c>
      <c r="GJ202" s="311">
        <f t="shared" si="432"/>
        <v>0</v>
      </c>
      <c r="GK202" s="340">
        <f>Plus!O243</f>
        <v>0</v>
      </c>
      <c r="GL202" s="74"/>
      <c r="GM202" s="74"/>
      <c r="GN202" s="419">
        <f t="shared" si="430"/>
        <v>0</v>
      </c>
      <c r="GQ202" s="90">
        <f t="shared" si="384"/>
        <v>10</v>
      </c>
      <c r="GR202" s="121">
        <f t="shared" si="418"/>
        <v>0</v>
      </c>
      <c r="GT202" s="149">
        <f t="shared" si="419"/>
        <v>0</v>
      </c>
      <c r="GU202" s="2179">
        <f t="shared" ca="1" si="385"/>
        <v>0</v>
      </c>
      <c r="GW202" s="120">
        <f t="shared" si="420"/>
        <v>0</v>
      </c>
      <c r="GX202" s="110">
        <f t="shared" si="386"/>
        <v>0</v>
      </c>
      <c r="GY202" s="110">
        <f t="shared" si="387"/>
        <v>0</v>
      </c>
      <c r="GZ202" s="109">
        <f t="shared" si="388"/>
        <v>0</v>
      </c>
      <c r="HA202" s="109">
        <f t="shared" si="333"/>
        <v>0</v>
      </c>
      <c r="HB202" s="113">
        <f t="shared" si="389"/>
        <v>0</v>
      </c>
      <c r="HD202" s="102">
        <f t="shared" si="390"/>
        <v>0</v>
      </c>
      <c r="HE202" s="211">
        <f t="shared" si="425"/>
        <v>178</v>
      </c>
      <c r="HF202" s="212">
        <f t="shared" si="391"/>
        <v>0</v>
      </c>
      <c r="HG202" s="212">
        <f t="shared" si="334"/>
        <v>0</v>
      </c>
      <c r="HH202" s="212">
        <f t="shared" si="451"/>
        <v>0</v>
      </c>
      <c r="HI202" s="213">
        <f t="shared" si="335"/>
        <v>1000000</v>
      </c>
      <c r="HL202" s="182"/>
      <c r="HM202" s="26">
        <f t="shared" ca="1" si="336"/>
        <v>1</v>
      </c>
      <c r="HO202" s="268">
        <f t="shared" si="337"/>
        <v>0</v>
      </c>
      <c r="HP202" s="151">
        <f t="shared" si="448"/>
        <v>0</v>
      </c>
      <c r="HQ202" s="123">
        <f t="shared" si="392"/>
        <v>0</v>
      </c>
      <c r="HR202" s="123">
        <f t="shared" si="393"/>
        <v>0</v>
      </c>
      <c r="HS202" s="123">
        <f t="shared" si="394"/>
        <v>0</v>
      </c>
      <c r="HT202" s="123">
        <f>IF(HY201&lt;0.01,0,IF(Adm!$GS$4=Adm!$GS$8,HY201*$HY$15,IF(Adm!$GS$12=Adm!$GS$13,0,HY201*Adm!$GV$4)))</f>
        <v>0</v>
      </c>
      <c r="HU202" s="123">
        <f>IF(HY201&lt;0.01,0,IF(Adm!$GS$5=Adm!$GS$8,Cal!$BO$108*$HY$16/1.16,IF(Adm!$GS$12=Adm!$GS$13,0,Cal!$BO$108*Adm!$GW$4/1.16)))</f>
        <v>0</v>
      </c>
      <c r="HV202" s="123">
        <f t="shared" si="395"/>
        <v>0</v>
      </c>
      <c r="HW202" s="123">
        <f t="shared" si="338"/>
        <v>0</v>
      </c>
      <c r="HX202" s="123">
        <f>IF(Adm!$GH$6="si",MIN(HY201+HQ202+HT202+HU202+HV202-HW202,IH202),0)</f>
        <v>0</v>
      </c>
      <c r="HY202" s="297">
        <f t="shared" si="396"/>
        <v>0</v>
      </c>
      <c r="HZ202" s="74"/>
      <c r="IA202" s="407">
        <f t="shared" si="397"/>
        <v>0</v>
      </c>
      <c r="IC202" s="90">
        <f t="shared" si="398"/>
        <v>10</v>
      </c>
      <c r="ID202" s="124">
        <f>IF(IC202=1,Cal!$BO$127,0)</f>
        <v>0</v>
      </c>
      <c r="IE202" s="178">
        <f>IF(IC202=1,Adm!$HI$4,0)</f>
        <v>0</v>
      </c>
      <c r="IG202" s="70">
        <f t="shared" si="421"/>
        <v>0</v>
      </c>
      <c r="IH202" s="2178">
        <f t="shared" ca="1" si="399"/>
        <v>0</v>
      </c>
      <c r="IK202" s="217"/>
      <c r="IL202" s="26">
        <f t="shared" ca="1" si="339"/>
        <v>1</v>
      </c>
      <c r="IN202" s="268">
        <f t="shared" si="340"/>
        <v>0</v>
      </c>
      <c r="IO202" s="151">
        <f t="shared" si="449"/>
        <v>0</v>
      </c>
      <c r="IP202" s="123">
        <f t="shared" si="400"/>
        <v>0</v>
      </c>
      <c r="IQ202" s="123">
        <f t="shared" si="401"/>
        <v>0</v>
      </c>
      <c r="IR202" s="123">
        <f t="shared" si="402"/>
        <v>0</v>
      </c>
      <c r="IS202" s="123">
        <f>IF(IX201&lt;0.01,0,IF(Adm!$GS$4=Adm!$GS$8,IX201*$IX$15,IF(Adm!$GS$12=Adm!$GS$13,0,IX201*Adm!$GV$4)))</f>
        <v>0</v>
      </c>
      <c r="IT202" s="123"/>
      <c r="IU202" s="123">
        <f t="shared" si="403"/>
        <v>0</v>
      </c>
      <c r="IV202" s="123">
        <f t="shared" si="404"/>
        <v>0</v>
      </c>
      <c r="IW202" s="123"/>
      <c r="IX202" s="297">
        <f t="shared" si="405"/>
        <v>0</v>
      </c>
      <c r="IY202" s="74"/>
      <c r="IZ202" s="416">
        <f t="shared" si="406"/>
        <v>0</v>
      </c>
      <c r="JB202" s="90">
        <f t="shared" si="407"/>
        <v>10</v>
      </c>
      <c r="JC202" s="124">
        <f>IF(JB202=1,Cal!$BP$127,0)</f>
        <v>0</v>
      </c>
      <c r="JD202" s="178">
        <f>IF(JB202=1,Adm!$HI$4,0)</f>
        <v>0</v>
      </c>
    </row>
    <row r="203" spans="1:264">
      <c r="A203" s="26">
        <f t="shared" ca="1" si="308"/>
        <v>2</v>
      </c>
      <c r="C203" s="33">
        <f t="shared" si="309"/>
        <v>0</v>
      </c>
      <c r="D203" s="123">
        <f t="shared" si="341"/>
        <v>0</v>
      </c>
      <c r="E203" s="123">
        <f t="shared" si="433"/>
        <v>0</v>
      </c>
      <c r="F203" s="123">
        <f t="shared" si="443"/>
        <v>0</v>
      </c>
      <c r="G203" s="123">
        <f>IF(L202&lt;0.01,0,IF(Adm!$S$4=Adm!$S$8,L202*$L$15,L202*Adm!$V$4))</f>
        <v>0</v>
      </c>
      <c r="H203" s="123">
        <f>IF(L202&lt;0.01,0,IF(Adm!$S$5=Adm!$S$8,Adm!$AA$11*$L$16/1.16,IF(Adm!$B$4=Adm!$A$119,0,Adm!$AA$11*Adm!$X$4/1.16)))</f>
        <v>0</v>
      </c>
      <c r="I203" s="123">
        <f>IF(L202&lt;0.01,0,Cal!$AB$126/1.16)</f>
        <v>0</v>
      </c>
      <c r="J203" s="123">
        <f t="shared" si="310"/>
        <v>0</v>
      </c>
      <c r="K203" s="123">
        <f>IF(Adm!$G$4="si",MIN(L202+D203+G203+H203+I203-J203,V203),0)</f>
        <v>0</v>
      </c>
      <c r="L203" s="123">
        <f t="shared" si="342"/>
        <v>0</v>
      </c>
      <c r="M203" s="74"/>
      <c r="N203" s="74"/>
      <c r="O203" s="407">
        <f t="shared" si="343"/>
        <v>0</v>
      </c>
      <c r="R203" s="90">
        <f t="shared" si="344"/>
        <v>11</v>
      </c>
      <c r="S203" s="121">
        <f>IF(R203=1,Cal!$AB$127,0)</f>
        <v>0</v>
      </c>
      <c r="U203" s="70">
        <f t="shared" si="408"/>
        <v>0</v>
      </c>
      <c r="V203" s="2178">
        <f t="shared" ca="1" si="345"/>
        <v>0</v>
      </c>
      <c r="X203" s="398"/>
      <c r="Z203" s="268">
        <f t="shared" si="311"/>
        <v>0</v>
      </c>
      <c r="AA203" s="2176">
        <f t="shared" si="346"/>
        <v>0</v>
      </c>
      <c r="AB203" s="33">
        <f t="shared" si="347"/>
        <v>0</v>
      </c>
      <c r="AC203" s="33">
        <f t="shared" si="348"/>
        <v>0</v>
      </c>
      <c r="AD203" s="33">
        <f>IF(AI202&lt;0.01,0,IF(Adm!$S$4=Adm!$S$8,AI202*$AI$15,AI202*Adm!$V$4))</f>
        <v>0</v>
      </c>
      <c r="AE203" s="33"/>
      <c r="AF203" s="33"/>
      <c r="AG203" s="33">
        <f t="shared" si="312"/>
        <v>0</v>
      </c>
      <c r="AH203" s="33"/>
      <c r="AI203" s="401">
        <f t="shared" si="313"/>
        <v>0</v>
      </c>
      <c r="AK203" s="410">
        <f t="shared" si="314"/>
        <v>0</v>
      </c>
      <c r="AN203" s="90">
        <f t="shared" si="349"/>
        <v>11</v>
      </c>
      <c r="AO203" s="121">
        <f>IF(AN203=1,Cal!$AC$127,0)</f>
        <v>0</v>
      </c>
      <c r="AS203" s="200"/>
      <c r="AU203" s="268">
        <f t="shared" si="315"/>
        <v>0</v>
      </c>
      <c r="AV203" s="2177">
        <f t="shared" si="350"/>
        <v>0</v>
      </c>
      <c r="AW203" s="123">
        <f t="shared" si="316"/>
        <v>0</v>
      </c>
      <c r="AX203" s="123">
        <f t="shared" si="351"/>
        <v>0</v>
      </c>
      <c r="AY203" s="123">
        <f>IF(BC202&lt;0.01,0,IF(Adm!$S$4=Adm!$S$8,BC202*$BC$16,BC202*Adm!$V$4))</f>
        <v>0</v>
      </c>
      <c r="AZ203" s="123"/>
      <c r="BA203" s="123">
        <f>IF(BC202&lt;0.01,0,Adm!$Q$6)</f>
        <v>0</v>
      </c>
      <c r="BB203" s="123">
        <f t="shared" si="317"/>
        <v>0</v>
      </c>
      <c r="BC203" s="297">
        <f t="shared" si="352"/>
        <v>0</v>
      </c>
      <c r="BE203" s="425">
        <f t="shared" si="318"/>
        <v>0</v>
      </c>
      <c r="BH203" s="90">
        <f t="shared" si="353"/>
        <v>11</v>
      </c>
      <c r="BI203" s="121">
        <f>IF(BH203=1,Cal!$AD$127,0)</f>
        <v>0</v>
      </c>
      <c r="BM203" s="221"/>
      <c r="BO203" s="295">
        <f t="shared" ca="1" si="319"/>
        <v>2</v>
      </c>
      <c r="BP203" s="268">
        <f t="shared" si="320"/>
        <v>0</v>
      </c>
      <c r="BQ203" s="123">
        <f t="shared" si="354"/>
        <v>0</v>
      </c>
      <c r="BR203" s="123">
        <f t="shared" si="434"/>
        <v>0</v>
      </c>
      <c r="BS203" s="123">
        <f t="shared" si="444"/>
        <v>0</v>
      </c>
      <c r="BT203" s="123">
        <f>IF(BZ202&lt;0.01,0,IF(Plus!$F$22=Plus!$AN$4,BZ202*$BZ$15,IF(Plus!$F$22=Plus!$AN$3,BZ202*Plus!$F$23/1000,BZ202*VLOOKUP(Plus!$G$21,Plus!$AP$2:'Plus'!$AQ$5,2,0))))</f>
        <v>0</v>
      </c>
      <c r="BU203" s="123">
        <f>IF(BZ202&lt;0.01,0,IF(Plus!$F$24=Plus!$AO$3,Plus!$G$13*Plus!$AR$2/1.16,IF(Plus!$F$10=Plus!$AK$7,0,Plus!$G$13*Plus!$AR$2/1.16)))</f>
        <v>0</v>
      </c>
      <c r="BV203" s="123">
        <f>IF(BZ202&lt;0.01,0,Plus!$BD$2)</f>
        <v>0</v>
      </c>
      <c r="BW203" s="123"/>
      <c r="BX203" s="123">
        <f t="shared" si="321"/>
        <v>0</v>
      </c>
      <c r="BY203" s="123">
        <f>IF(Plus!$F$10=Plus!$AK$3,MIN(BZ202+BQ203+BT203+BU203+BV203-BX203,CJ203),0)</f>
        <v>0</v>
      </c>
      <c r="BZ203" s="297">
        <f t="shared" si="428"/>
        <v>0</v>
      </c>
      <c r="CA203" s="74"/>
      <c r="CB203" s="74"/>
      <c r="CC203" s="413">
        <f t="shared" si="355"/>
        <v>0</v>
      </c>
      <c r="CF203" s="90">
        <f t="shared" si="356"/>
        <v>11</v>
      </c>
      <c r="CG203" s="121">
        <f t="shared" si="409"/>
        <v>0</v>
      </c>
      <c r="CI203" s="70">
        <f t="shared" si="410"/>
        <v>0</v>
      </c>
      <c r="CJ203" s="2178">
        <f t="shared" ca="1" si="357"/>
        <v>0</v>
      </c>
      <c r="CL203" s="161"/>
      <c r="CN203" s="308">
        <f t="shared" ca="1" si="322"/>
        <v>2</v>
      </c>
      <c r="CO203" s="309">
        <f t="shared" si="358"/>
        <v>0</v>
      </c>
      <c r="CP203" s="268">
        <f t="shared" si="323"/>
        <v>0</v>
      </c>
      <c r="CQ203" s="123">
        <f t="shared" si="359"/>
        <v>0</v>
      </c>
      <c r="CR203" s="123">
        <f t="shared" si="435"/>
        <v>0</v>
      </c>
      <c r="CS203" s="123">
        <f t="shared" si="436"/>
        <v>0</v>
      </c>
      <c r="CT203" s="33">
        <f>IF(CZ202&lt;0.01,0,IF(Plus!$F$22=Plus!$AN$4,0,IF(Plus!$F$22=Plus!$AN$3,CZ202*Plus!$F$23/1000,CZ202*VLOOKUP(Plus!$G$21,Plus!$AP$2:'Plus'!$AQ$5,2,0))))</f>
        <v>0</v>
      </c>
      <c r="CU203" s="123">
        <f>IF(CZ202&lt;0.01,0,IF(Plus!$F$24=Plus!$AO$3,0,IF(OR(Plus!$F$10=Plus!$AK$7,Plus!$F$10=Plus!$AK$13),0,Plus!$G$13*Plus!$AR$2)))</f>
        <v>0</v>
      </c>
      <c r="CV203" s="123">
        <f>IF(CZ202&lt;0.01,0,IF(OR(Plus!$F$10=Plus!$AK$7,Plus!$F$10=Plus!$AK$13),0,Plus!$BD$2*1.16))</f>
        <v>0</v>
      </c>
      <c r="CW203" s="123">
        <f>IF(CZ202&lt;0.01,0,IF(Plus!$AS$2&gt;0,CQ203*Plus!$AS$3,0))</f>
        <v>0</v>
      </c>
      <c r="CX203" s="123">
        <f t="shared" si="360"/>
        <v>0</v>
      </c>
      <c r="CY203" s="123">
        <f>IF(Plus!$F$10=Plus!$AK$3,MIN(CZ202+CQ203+CT203+CU203+CV203-CX203,DK203),0)</f>
        <v>0</v>
      </c>
      <c r="CZ203" s="297">
        <f t="shared" si="440"/>
        <v>0</v>
      </c>
      <c r="DA203" s="306">
        <f>Plus!O244</f>
        <v>0</v>
      </c>
      <c r="DB203" s="74"/>
      <c r="DC203" s="74"/>
      <c r="DD203" s="407">
        <f t="shared" si="361"/>
        <v>0</v>
      </c>
      <c r="DG203" s="90">
        <f t="shared" si="362"/>
        <v>11</v>
      </c>
      <c r="DH203" s="121">
        <f t="shared" si="411"/>
        <v>0</v>
      </c>
      <c r="DJ203" s="149">
        <f t="shared" si="412"/>
        <v>0</v>
      </c>
      <c r="DK203" s="2179">
        <f t="shared" ca="1" si="363"/>
        <v>0</v>
      </c>
      <c r="DN203" s="120">
        <f t="shared" si="413"/>
        <v>0</v>
      </c>
      <c r="DO203" s="110">
        <f t="shared" si="364"/>
        <v>0</v>
      </c>
      <c r="DP203" s="110">
        <f t="shared" si="422"/>
        <v>0</v>
      </c>
      <c r="DQ203" s="109">
        <f t="shared" si="365"/>
        <v>0</v>
      </c>
      <c r="DR203" s="109">
        <f t="shared" si="366"/>
        <v>0</v>
      </c>
      <c r="DS203" s="113">
        <f t="shared" si="367"/>
        <v>0</v>
      </c>
      <c r="DU203" s="102">
        <f t="shared" si="368"/>
        <v>0</v>
      </c>
      <c r="DV203" s="211">
        <f t="shared" si="423"/>
        <v>179</v>
      </c>
      <c r="DW203" s="212">
        <f t="shared" si="369"/>
        <v>0</v>
      </c>
      <c r="DX203" s="212">
        <f t="shared" si="324"/>
        <v>0</v>
      </c>
      <c r="DY203" s="212">
        <f t="shared" si="414"/>
        <v>0</v>
      </c>
      <c r="DZ203" s="213">
        <f t="shared" si="325"/>
        <v>1000000</v>
      </c>
      <c r="ED203" s="182"/>
      <c r="EF203" s="308">
        <f t="shared" ca="1" si="326"/>
        <v>2</v>
      </c>
      <c r="EG203" s="309">
        <f t="shared" si="370"/>
        <v>0</v>
      </c>
      <c r="EH203" s="268">
        <f t="shared" si="327"/>
        <v>0</v>
      </c>
      <c r="EI203" s="33">
        <f t="shared" si="371"/>
        <v>0</v>
      </c>
      <c r="EJ203" s="33">
        <f t="shared" si="437"/>
        <v>0</v>
      </c>
      <c r="EK203" s="33">
        <f t="shared" si="445"/>
        <v>0</v>
      </c>
      <c r="EL203" s="33">
        <f>IF(ER202&lt;0.01,0,IF(Plus!$F$22=Plus!$AN$4,0,IF(Plus!$F$22=Plus!$AN$3,ER202*Plus!$F$23/1000,ER202*VLOOKUP(Plus!$G$21,Plus!$AP$2:'Plus'!$AQ$5,2,0))))</f>
        <v>0</v>
      </c>
      <c r="EM203" s="33">
        <f>IF(ER202&lt;0.01,0,IF(Plus!$F$24=Plus!$AO$3,0,IF(OR(Plus!$F$10=Plus!$AK$7,Plus!$F$10=Plus!$AK$13),0,Plus!$G$13*Plus!$AR$2)))</f>
        <v>0</v>
      </c>
      <c r="EN203" s="33">
        <f>IF(ER202&lt;0.01,0,IF(OR(Plus!$F$10=Plus!$AK$7,Plus!$F$10=Plus!$AK$13),0,Plus!$BD$2*1.16))</f>
        <v>0</v>
      </c>
      <c r="EO203" s="33">
        <f>IF(ER202&lt;0.01,0,IF(Plus!$AS$2&gt;0,EI203*Plus!$AS$3,0))</f>
        <v>0</v>
      </c>
      <c r="EP203" s="33">
        <f t="shared" si="372"/>
        <v>0</v>
      </c>
      <c r="EQ203" s="33">
        <f>IF(Plus!$F$10=Plus!$AK$3,MIN(ER202+EI203+EL203+EM203+EN203-EP203,FC203),0)</f>
        <v>0</v>
      </c>
      <c r="ER203" s="311">
        <f t="shared" si="431"/>
        <v>0</v>
      </c>
      <c r="ES203" s="340">
        <f>Plus!O244</f>
        <v>0</v>
      </c>
      <c r="ET203" s="74"/>
      <c r="EU203" s="74"/>
      <c r="EV203" s="416">
        <f t="shared" si="429"/>
        <v>0</v>
      </c>
      <c r="EY203" s="90">
        <f t="shared" si="373"/>
        <v>11</v>
      </c>
      <c r="EZ203" s="121">
        <f t="shared" si="415"/>
        <v>0</v>
      </c>
      <c r="FB203" s="149">
        <f t="shared" si="416"/>
        <v>0</v>
      </c>
      <c r="FC203" s="2179">
        <f t="shared" ca="1" si="374"/>
        <v>0</v>
      </c>
      <c r="FE203" s="120">
        <f t="shared" si="417"/>
        <v>0</v>
      </c>
      <c r="FF203" s="110">
        <f t="shared" si="375"/>
        <v>0</v>
      </c>
      <c r="FG203" s="110">
        <f t="shared" si="376"/>
        <v>0</v>
      </c>
      <c r="FH203" s="109">
        <f t="shared" si="377"/>
        <v>0</v>
      </c>
      <c r="FI203" s="109">
        <f t="shared" si="328"/>
        <v>0</v>
      </c>
      <c r="FJ203" s="113">
        <f t="shared" si="378"/>
        <v>0</v>
      </c>
      <c r="FL203" s="102">
        <f t="shared" si="379"/>
        <v>0</v>
      </c>
      <c r="FM203" s="211">
        <f t="shared" si="424"/>
        <v>179</v>
      </c>
      <c r="FN203" s="212">
        <f t="shared" si="380"/>
        <v>0</v>
      </c>
      <c r="FO203" s="212">
        <f t="shared" si="329"/>
        <v>0</v>
      </c>
      <c r="FP203" s="212">
        <f t="shared" si="450"/>
        <v>0</v>
      </c>
      <c r="FQ203" s="213">
        <f t="shared" si="330"/>
        <v>1000000</v>
      </c>
      <c r="FV203" s="359"/>
      <c r="FX203" s="308">
        <f t="shared" ca="1" si="331"/>
        <v>2</v>
      </c>
      <c r="FY203" s="309">
        <f t="shared" si="381"/>
        <v>0</v>
      </c>
      <c r="FZ203" s="268">
        <f t="shared" si="332"/>
        <v>0</v>
      </c>
      <c r="GA203" s="33">
        <f t="shared" si="382"/>
        <v>0</v>
      </c>
      <c r="GB203" s="33">
        <f t="shared" si="438"/>
        <v>0</v>
      </c>
      <c r="GC203" s="33">
        <f t="shared" si="439"/>
        <v>0</v>
      </c>
      <c r="GD203" s="33">
        <f>IF(GJ202&lt;0.01,0,IF(Plus!$F$22=Plus!$AN$4,0,IF(Plus!$F$22=Plus!$AN$3,GJ202*Plus!$F$23/1000,GJ202*VLOOKUP(Plus!$G$21,Plus!$AP$2:$AQ$5,2,0))))</f>
        <v>0</v>
      </c>
      <c r="GE203" s="33">
        <f>IF(GJ202&lt;0.01,0,IF(Plus!$F$24=Plus!$AO$3,0,IF(OR(Plus!$F$10=Plus!$AK$7,Plus!$F$10=Plus!$AK$13,Plus!$F$10=Plus!$AK$14),0,IF(OR(Plus!$F$10=Plus!$AK$10,Plus!$F$10=Plus!$AK$11),Plus!$G$13*Adm!$W$7,Plus!$G$13*Adm!$X$4))))</f>
        <v>0</v>
      </c>
      <c r="GF203" s="33">
        <f>IF(GJ202&lt;0.01,0,IF(OR(Plus!$F$10=Plus!$AK$7,Plus!$F$10=Plus!$AK$13),0,Plus!$BD$2*1.16))</f>
        <v>0</v>
      </c>
      <c r="GG203" s="33">
        <f>IF(GJ202&lt;0.01,0,IF(Plus!$AS$2&gt;0,GA203*Plus!$AS$3,0))</f>
        <v>0</v>
      </c>
      <c r="GH203" s="33">
        <f t="shared" si="383"/>
        <v>0</v>
      </c>
      <c r="GI203" s="33">
        <f>IF(Plus!$F$10=Plus!$AK$3,MIN(GJ202+GA203+GD203+GE203+GF203-GH203,GU203),0)</f>
        <v>0</v>
      </c>
      <c r="GJ203" s="311">
        <f t="shared" si="432"/>
        <v>0</v>
      </c>
      <c r="GK203" s="340">
        <f>Plus!O244</f>
        <v>0</v>
      </c>
      <c r="GL203" s="74"/>
      <c r="GM203" s="74"/>
      <c r="GN203" s="419">
        <f t="shared" si="430"/>
        <v>0</v>
      </c>
      <c r="GQ203" s="90">
        <f t="shared" si="384"/>
        <v>11</v>
      </c>
      <c r="GR203" s="121">
        <f t="shared" si="418"/>
        <v>0</v>
      </c>
      <c r="GT203" s="149">
        <f t="shared" si="419"/>
        <v>0</v>
      </c>
      <c r="GU203" s="2179">
        <f t="shared" ca="1" si="385"/>
        <v>0</v>
      </c>
      <c r="GW203" s="120">
        <f t="shared" si="420"/>
        <v>0</v>
      </c>
      <c r="GX203" s="110">
        <f t="shared" si="386"/>
        <v>0</v>
      </c>
      <c r="GY203" s="110">
        <f t="shared" si="387"/>
        <v>0</v>
      </c>
      <c r="GZ203" s="109">
        <f t="shared" si="388"/>
        <v>0</v>
      </c>
      <c r="HA203" s="109">
        <f t="shared" si="333"/>
        <v>0</v>
      </c>
      <c r="HB203" s="113">
        <f t="shared" si="389"/>
        <v>0</v>
      </c>
      <c r="HD203" s="102">
        <f t="shared" si="390"/>
        <v>0</v>
      </c>
      <c r="HE203" s="211">
        <f t="shared" si="425"/>
        <v>179</v>
      </c>
      <c r="HF203" s="212">
        <f t="shared" si="391"/>
        <v>0</v>
      </c>
      <c r="HG203" s="212">
        <f t="shared" si="334"/>
        <v>0</v>
      </c>
      <c r="HH203" s="212">
        <f t="shared" si="451"/>
        <v>0</v>
      </c>
      <c r="HI203" s="213">
        <f t="shared" si="335"/>
        <v>1000000</v>
      </c>
      <c r="HL203" s="182"/>
      <c r="HM203" s="26">
        <f t="shared" ca="1" si="336"/>
        <v>2</v>
      </c>
      <c r="HO203" s="268">
        <f t="shared" si="337"/>
        <v>0</v>
      </c>
      <c r="HP203" s="151">
        <f t="shared" si="448"/>
        <v>0</v>
      </c>
      <c r="HQ203" s="123">
        <f t="shared" si="392"/>
        <v>0</v>
      </c>
      <c r="HR203" s="123">
        <f t="shared" si="393"/>
        <v>0</v>
      </c>
      <c r="HS203" s="123">
        <f t="shared" si="394"/>
        <v>0</v>
      </c>
      <c r="HT203" s="123">
        <f>IF(HY202&lt;0.01,0,IF(Adm!$GS$4=Adm!$GS$8,HY202*$HY$15,IF(Adm!$GS$12=Adm!$GS$13,0,HY202*Adm!$GV$4)))</f>
        <v>0</v>
      </c>
      <c r="HU203" s="123">
        <f>IF(HY202&lt;0.01,0,IF(Adm!$GS$5=Adm!$GS$8,Cal!$BO$108*$HY$16/1.16,IF(Adm!$GS$12=Adm!$GS$13,0,Cal!$BO$108*Adm!$GW$4/1.16)))</f>
        <v>0</v>
      </c>
      <c r="HV203" s="123">
        <f t="shared" si="395"/>
        <v>0</v>
      </c>
      <c r="HW203" s="123">
        <f t="shared" si="338"/>
        <v>0</v>
      </c>
      <c r="HX203" s="123">
        <f>IF(Adm!$GH$6="si",MIN(HY202+HQ203+HT203+HU203+HV203-HW203,IH203),0)</f>
        <v>0</v>
      </c>
      <c r="HY203" s="297">
        <f t="shared" si="396"/>
        <v>0</v>
      </c>
      <c r="HZ203" s="74"/>
      <c r="IA203" s="407">
        <f t="shared" si="397"/>
        <v>0</v>
      </c>
      <c r="IC203" s="90">
        <f t="shared" si="398"/>
        <v>11</v>
      </c>
      <c r="ID203" s="124">
        <f>IF(IC203=1,Cal!$BO$127,0)</f>
        <v>0</v>
      </c>
      <c r="IE203" s="178">
        <f>IF(IC203=1,Adm!$HI$4,0)</f>
        <v>0</v>
      </c>
      <c r="IG203" s="70">
        <f t="shared" si="421"/>
        <v>0</v>
      </c>
      <c r="IH203" s="2178">
        <f t="shared" ca="1" si="399"/>
        <v>0</v>
      </c>
      <c r="IK203" s="217"/>
      <c r="IL203" s="26">
        <f t="shared" ca="1" si="339"/>
        <v>2</v>
      </c>
      <c r="IN203" s="268">
        <f t="shared" si="340"/>
        <v>0</v>
      </c>
      <c r="IO203" s="151">
        <f t="shared" si="449"/>
        <v>0</v>
      </c>
      <c r="IP203" s="123">
        <f t="shared" si="400"/>
        <v>0</v>
      </c>
      <c r="IQ203" s="123">
        <f t="shared" si="401"/>
        <v>0</v>
      </c>
      <c r="IR203" s="123">
        <f t="shared" si="402"/>
        <v>0</v>
      </c>
      <c r="IS203" s="123">
        <f>IF(IX202&lt;0.01,0,IF(Adm!$GS$4=Adm!$GS$8,IX202*$IX$15,IF(Adm!$GS$12=Adm!$GS$13,0,IX202*Adm!$GV$4)))</f>
        <v>0</v>
      </c>
      <c r="IT203" s="123"/>
      <c r="IU203" s="123">
        <f t="shared" si="403"/>
        <v>0</v>
      </c>
      <c r="IV203" s="123">
        <f t="shared" si="404"/>
        <v>0</v>
      </c>
      <c r="IW203" s="123"/>
      <c r="IX203" s="297">
        <f t="shared" si="405"/>
        <v>0</v>
      </c>
      <c r="IY203" s="74"/>
      <c r="IZ203" s="416">
        <f t="shared" si="406"/>
        <v>0</v>
      </c>
      <c r="JB203" s="90">
        <f t="shared" si="407"/>
        <v>11</v>
      </c>
      <c r="JC203" s="124">
        <f>IF(JB203=1,Cal!$BP$127,0)</f>
        <v>0</v>
      </c>
      <c r="JD203" s="178">
        <f>IF(JB203=1,Adm!$HI$4,0)</f>
        <v>0</v>
      </c>
    </row>
    <row r="204" spans="1:264">
      <c r="A204" s="26">
        <f t="shared" ca="1" si="308"/>
        <v>3</v>
      </c>
      <c r="C204" s="33">
        <f t="shared" si="309"/>
        <v>0</v>
      </c>
      <c r="D204" s="123">
        <f t="shared" si="341"/>
        <v>0</v>
      </c>
      <c r="E204" s="123">
        <f t="shared" si="433"/>
        <v>0</v>
      </c>
      <c r="F204" s="123">
        <f t="shared" si="443"/>
        <v>0</v>
      </c>
      <c r="G204" s="123">
        <f>IF(L203&lt;0.01,0,IF(Adm!$S$4=Adm!$S$8,L203*$L$15,L203*Adm!$V$4))</f>
        <v>0</v>
      </c>
      <c r="H204" s="123">
        <f>IF(L203&lt;0.01,0,IF(Adm!$S$5=Adm!$S$8,Adm!$AA$11*$L$16/1.16,IF(Adm!$B$4=Adm!$A$119,0,Adm!$AA$11*Adm!$X$4/1.16)))</f>
        <v>0</v>
      </c>
      <c r="I204" s="123">
        <f>IF(L203&lt;0.01,0,Cal!$AB$126/1.16)</f>
        <v>0</v>
      </c>
      <c r="J204" s="123">
        <f t="shared" si="310"/>
        <v>0</v>
      </c>
      <c r="K204" s="123">
        <f>IF(Adm!$G$4="si",MIN(L203+D204+G204+H204+I204-J204,V204),0)</f>
        <v>0</v>
      </c>
      <c r="L204" s="123">
        <f t="shared" si="342"/>
        <v>0</v>
      </c>
      <c r="M204" s="74"/>
      <c r="N204" s="74"/>
      <c r="O204" s="407">
        <f t="shared" si="343"/>
        <v>0</v>
      </c>
      <c r="R204" s="90">
        <f t="shared" si="344"/>
        <v>12</v>
      </c>
      <c r="S204" s="121">
        <f>IF(R204=1,Cal!$AB$127,0)</f>
        <v>0</v>
      </c>
      <c r="U204" s="70">
        <f t="shared" si="408"/>
        <v>0</v>
      </c>
      <c r="V204" s="2178">
        <f t="shared" ca="1" si="345"/>
        <v>0</v>
      </c>
      <c r="X204" s="398"/>
      <c r="Z204" s="268">
        <f t="shared" si="311"/>
        <v>0</v>
      </c>
      <c r="AA204" s="2176">
        <f t="shared" si="346"/>
        <v>0</v>
      </c>
      <c r="AB204" s="33">
        <f t="shared" si="347"/>
        <v>0</v>
      </c>
      <c r="AC204" s="33">
        <f t="shared" si="348"/>
        <v>0</v>
      </c>
      <c r="AD204" s="33">
        <f>IF(AI203&lt;0.01,0,IF(Adm!$S$4=Adm!$S$8,AI203*$AI$15,AI203*Adm!$V$4))</f>
        <v>0</v>
      </c>
      <c r="AE204" s="33"/>
      <c r="AF204" s="33"/>
      <c r="AG204" s="33">
        <f t="shared" si="312"/>
        <v>0</v>
      </c>
      <c r="AH204" s="33"/>
      <c r="AI204" s="401">
        <f t="shared" si="313"/>
        <v>0</v>
      </c>
      <c r="AK204" s="410">
        <f t="shared" si="314"/>
        <v>0</v>
      </c>
      <c r="AN204" s="90">
        <f t="shared" si="349"/>
        <v>12</v>
      </c>
      <c r="AO204" s="121">
        <f>IF(AN204=1,Cal!$AC$127,0)</f>
        <v>0</v>
      </c>
      <c r="AS204" s="200"/>
      <c r="AU204" s="268">
        <f t="shared" si="315"/>
        <v>0</v>
      </c>
      <c r="AV204" s="2177">
        <f t="shared" si="350"/>
        <v>0</v>
      </c>
      <c r="AW204" s="123">
        <f t="shared" si="316"/>
        <v>0</v>
      </c>
      <c r="AX204" s="123">
        <f t="shared" si="351"/>
        <v>0</v>
      </c>
      <c r="AY204" s="123">
        <f>IF(BC203&lt;0.01,0,IF(Adm!$S$4=Adm!$S$8,BC203*$BC$16,BC203*Adm!$V$4))</f>
        <v>0</v>
      </c>
      <c r="AZ204" s="123"/>
      <c r="BA204" s="123">
        <f>IF(BC203&lt;0.01,0,Adm!$Q$6)</f>
        <v>0</v>
      </c>
      <c r="BB204" s="123">
        <f t="shared" si="317"/>
        <v>0</v>
      </c>
      <c r="BC204" s="297">
        <f t="shared" si="352"/>
        <v>0</v>
      </c>
      <c r="BE204" s="425">
        <f t="shared" si="318"/>
        <v>0</v>
      </c>
      <c r="BH204" s="90">
        <f t="shared" si="353"/>
        <v>12</v>
      </c>
      <c r="BI204" s="121">
        <f>IF(BH204=1,Cal!$AD$127,0)</f>
        <v>0</v>
      </c>
      <c r="BM204" s="221"/>
      <c r="BO204" s="295">
        <f t="shared" ca="1" si="319"/>
        <v>3</v>
      </c>
      <c r="BP204" s="268">
        <f t="shared" si="320"/>
        <v>0</v>
      </c>
      <c r="BQ204" s="123">
        <f t="shared" si="354"/>
        <v>0</v>
      </c>
      <c r="BR204" s="123">
        <f t="shared" si="434"/>
        <v>0</v>
      </c>
      <c r="BS204" s="123">
        <f t="shared" si="444"/>
        <v>0</v>
      </c>
      <c r="BT204" s="123">
        <f>IF(BZ203&lt;0.01,0,IF(Plus!$F$22=Plus!$AN$4,BZ203*$BZ$15,IF(Plus!$F$22=Plus!$AN$3,BZ203*Plus!$F$23/1000,BZ203*VLOOKUP(Plus!$G$21,Plus!$AP$2:'Plus'!$AQ$5,2,0))))</f>
        <v>0</v>
      </c>
      <c r="BU204" s="123">
        <f>IF(BZ203&lt;0.01,0,IF(Plus!$F$24=Plus!$AO$3,Plus!$G$13*Plus!$AR$2/1.16,IF(Plus!$F$10=Plus!$AK$7,0,Plus!$G$13*Plus!$AR$2/1.16)))</f>
        <v>0</v>
      </c>
      <c r="BV204" s="123">
        <f>IF(BZ203&lt;0.01,0,Plus!$BD$2)</f>
        <v>0</v>
      </c>
      <c r="BW204" s="123"/>
      <c r="BX204" s="123">
        <f t="shared" si="321"/>
        <v>0</v>
      </c>
      <c r="BY204" s="123">
        <f>IF(Plus!$F$10=Plus!$AK$3,MIN(BZ203+BQ204+BT204+BU204+BV204-BX204,CJ204),0)</f>
        <v>0</v>
      </c>
      <c r="BZ204" s="297">
        <f t="shared" si="428"/>
        <v>0</v>
      </c>
      <c r="CA204" s="74"/>
      <c r="CB204" s="74"/>
      <c r="CC204" s="413">
        <f t="shared" si="355"/>
        <v>0</v>
      </c>
      <c r="CF204" s="90">
        <f t="shared" si="356"/>
        <v>12</v>
      </c>
      <c r="CG204" s="121">
        <f t="shared" si="409"/>
        <v>0</v>
      </c>
      <c r="CI204" s="70">
        <f t="shared" si="410"/>
        <v>0</v>
      </c>
      <c r="CJ204" s="2178">
        <f t="shared" ca="1" si="357"/>
        <v>0</v>
      </c>
      <c r="CL204" s="161"/>
      <c r="CN204" s="308">
        <f t="shared" ca="1" si="322"/>
        <v>3</v>
      </c>
      <c r="CO204" s="309">
        <f t="shared" si="358"/>
        <v>0</v>
      </c>
      <c r="CP204" s="268">
        <f t="shared" si="323"/>
        <v>0</v>
      </c>
      <c r="CQ204" s="123">
        <f t="shared" si="359"/>
        <v>0</v>
      </c>
      <c r="CR204" s="123">
        <f t="shared" si="435"/>
        <v>0</v>
      </c>
      <c r="CS204" s="123">
        <f t="shared" si="436"/>
        <v>0</v>
      </c>
      <c r="CT204" s="33">
        <f>IF(CZ203&lt;0.01,0,IF(Plus!$F$22=Plus!$AN$4,0,IF(Plus!$F$22=Plus!$AN$3,CZ203*Plus!$F$23/1000,CZ203*VLOOKUP(Plus!$G$21,Plus!$AP$2:'Plus'!$AQ$5,2,0))))</f>
        <v>0</v>
      </c>
      <c r="CU204" s="123">
        <f>IF(CZ203&lt;0.01,0,IF(Plus!$F$24=Plus!$AO$3,0,IF(OR(Plus!$F$10=Plus!$AK$7,Plus!$F$10=Plus!$AK$13),0,Plus!$G$13*Plus!$AR$2)))</f>
        <v>0</v>
      </c>
      <c r="CV204" s="123">
        <f>IF(CZ203&lt;0.01,0,IF(OR(Plus!$F$10=Plus!$AK$7,Plus!$F$10=Plus!$AK$13),0,Plus!$BD$2*1.16))</f>
        <v>0</v>
      </c>
      <c r="CW204" s="123">
        <f>IF(CZ203&lt;0.01,0,IF(Plus!$AS$2&gt;0,CQ204*Plus!$AS$3,0))</f>
        <v>0</v>
      </c>
      <c r="CX204" s="123">
        <f t="shared" si="360"/>
        <v>0</v>
      </c>
      <c r="CY204" s="123">
        <f>IF(Plus!$F$10=Plus!$AK$3,MIN(CZ203+CQ204+CT204+CU204+CV204-CX204,DK204),0)</f>
        <v>0</v>
      </c>
      <c r="CZ204" s="297">
        <f t="shared" si="440"/>
        <v>0</v>
      </c>
      <c r="DA204" s="306">
        <f>Plus!O245</f>
        <v>0</v>
      </c>
      <c r="DB204" s="74"/>
      <c r="DC204" s="74"/>
      <c r="DD204" s="407">
        <f t="shared" si="361"/>
        <v>0</v>
      </c>
      <c r="DG204" s="90">
        <f t="shared" si="362"/>
        <v>12</v>
      </c>
      <c r="DH204" s="121">
        <f t="shared" si="411"/>
        <v>0</v>
      </c>
      <c r="DJ204" s="149">
        <f t="shared" si="412"/>
        <v>0</v>
      </c>
      <c r="DK204" s="2179">
        <f t="shared" ca="1" si="363"/>
        <v>0</v>
      </c>
      <c r="DN204" s="120">
        <f t="shared" si="413"/>
        <v>0</v>
      </c>
      <c r="DO204" s="110">
        <f t="shared" si="364"/>
        <v>0</v>
      </c>
      <c r="DP204" s="110">
        <f t="shared" si="422"/>
        <v>0</v>
      </c>
      <c r="DQ204" s="109">
        <f t="shared" si="365"/>
        <v>0</v>
      </c>
      <c r="DR204" s="109">
        <f t="shared" si="366"/>
        <v>0</v>
      </c>
      <c r="DS204" s="113">
        <f t="shared" si="367"/>
        <v>0</v>
      </c>
      <c r="DU204" s="102">
        <f t="shared" si="368"/>
        <v>0</v>
      </c>
      <c r="DV204" s="211">
        <f t="shared" si="423"/>
        <v>180</v>
      </c>
      <c r="DW204" s="212">
        <f t="shared" si="369"/>
        <v>0</v>
      </c>
      <c r="DX204" s="212">
        <f t="shared" si="324"/>
        <v>0</v>
      </c>
      <c r="DY204" s="212">
        <f t="shared" si="414"/>
        <v>0</v>
      </c>
      <c r="DZ204" s="213">
        <f t="shared" si="325"/>
        <v>1000000</v>
      </c>
      <c r="ED204" s="182"/>
      <c r="EF204" s="308">
        <f t="shared" ca="1" si="326"/>
        <v>3</v>
      </c>
      <c r="EG204" s="309">
        <f t="shared" si="370"/>
        <v>0</v>
      </c>
      <c r="EH204" s="268">
        <f t="shared" si="327"/>
        <v>0</v>
      </c>
      <c r="EI204" s="33">
        <f t="shared" si="371"/>
        <v>0</v>
      </c>
      <c r="EJ204" s="33">
        <f t="shared" si="437"/>
        <v>0</v>
      </c>
      <c r="EK204" s="33">
        <f t="shared" si="445"/>
        <v>0</v>
      </c>
      <c r="EL204" s="33">
        <f>IF(ER203&lt;0.01,0,IF(Plus!$F$22=Plus!$AN$4,0,IF(Plus!$F$22=Plus!$AN$3,ER203*Plus!$F$23/1000,ER203*VLOOKUP(Plus!$G$21,Plus!$AP$2:'Plus'!$AQ$5,2,0))))</f>
        <v>0</v>
      </c>
      <c r="EM204" s="33">
        <f>IF(ER203&lt;0.01,0,IF(Plus!$F$24=Plus!$AO$3,0,IF(OR(Plus!$F$10=Plus!$AK$7,Plus!$F$10=Plus!$AK$13),0,Plus!$G$13*Plus!$AR$2)))</f>
        <v>0</v>
      </c>
      <c r="EN204" s="33">
        <f>IF(ER203&lt;0.01,0,IF(OR(Plus!$F$10=Plus!$AK$7,Plus!$F$10=Plus!$AK$13),0,Plus!$BD$2*1.16))</f>
        <v>0</v>
      </c>
      <c r="EO204" s="33">
        <f>IF(ER203&lt;0.01,0,IF(Plus!$AS$2&gt;0,EI204*Plus!$AS$3,0))</f>
        <v>0</v>
      </c>
      <c r="EP204" s="33">
        <f t="shared" si="372"/>
        <v>0</v>
      </c>
      <c r="EQ204" s="33">
        <f>IF(Plus!$F$10=Plus!$AK$3,MIN(ER203+EI204+EL204+EM204+EN204-EP204,FC204),0)</f>
        <v>0</v>
      </c>
      <c r="ER204" s="311">
        <f t="shared" si="431"/>
        <v>0</v>
      </c>
      <c r="ES204" s="340">
        <f>Plus!O245</f>
        <v>0</v>
      </c>
      <c r="ET204" s="74"/>
      <c r="EU204" s="74"/>
      <c r="EV204" s="416">
        <f t="shared" si="429"/>
        <v>0</v>
      </c>
      <c r="EY204" s="90">
        <f t="shared" si="373"/>
        <v>12</v>
      </c>
      <c r="EZ204" s="121">
        <f t="shared" si="415"/>
        <v>0</v>
      </c>
      <c r="FB204" s="149">
        <f t="shared" si="416"/>
        <v>0</v>
      </c>
      <c r="FC204" s="2179">
        <f t="shared" ca="1" si="374"/>
        <v>0</v>
      </c>
      <c r="FE204" s="120">
        <f t="shared" si="417"/>
        <v>0</v>
      </c>
      <c r="FF204" s="110">
        <f t="shared" si="375"/>
        <v>0</v>
      </c>
      <c r="FG204" s="110">
        <f t="shared" si="376"/>
        <v>0</v>
      </c>
      <c r="FH204" s="109">
        <f t="shared" si="377"/>
        <v>0</v>
      </c>
      <c r="FI204" s="109">
        <f t="shared" si="328"/>
        <v>0</v>
      </c>
      <c r="FJ204" s="113">
        <f t="shared" si="378"/>
        <v>0</v>
      </c>
      <c r="FL204" s="102">
        <f t="shared" si="379"/>
        <v>0</v>
      </c>
      <c r="FM204" s="211">
        <f t="shared" si="424"/>
        <v>180</v>
      </c>
      <c r="FN204" s="212">
        <f t="shared" si="380"/>
        <v>0</v>
      </c>
      <c r="FO204" s="212">
        <f t="shared" si="329"/>
        <v>0</v>
      </c>
      <c r="FP204" s="212">
        <f t="shared" si="450"/>
        <v>0</v>
      </c>
      <c r="FQ204" s="213">
        <f t="shared" si="330"/>
        <v>1000000</v>
      </c>
      <c r="FV204" s="359"/>
      <c r="FX204" s="308">
        <f t="shared" ca="1" si="331"/>
        <v>3</v>
      </c>
      <c r="FY204" s="309">
        <f t="shared" si="381"/>
        <v>0</v>
      </c>
      <c r="FZ204" s="268">
        <f t="shared" si="332"/>
        <v>0</v>
      </c>
      <c r="GA204" s="33">
        <f t="shared" si="382"/>
        <v>0</v>
      </c>
      <c r="GB204" s="33">
        <f t="shared" si="438"/>
        <v>0</v>
      </c>
      <c r="GC204" s="33">
        <f t="shared" si="439"/>
        <v>0</v>
      </c>
      <c r="GD204" s="33">
        <f>IF(GJ203&lt;0.01,0,IF(Plus!$F$22=Plus!$AN$4,0,IF(Plus!$F$22=Plus!$AN$3,GJ203*Plus!$F$23/1000,GJ203*VLOOKUP(Plus!$G$21,Plus!$AP$2:$AQ$5,2,0))))</f>
        <v>0</v>
      </c>
      <c r="GE204" s="33">
        <f>IF(GJ203&lt;0.01,0,IF(Plus!$F$24=Plus!$AO$3,0,IF(OR(Plus!$F$10=Plus!$AK$7,Plus!$F$10=Plus!$AK$13,Plus!$F$10=Plus!$AK$14),0,IF(OR(Plus!$F$10=Plus!$AK$10,Plus!$F$10=Plus!$AK$11),Plus!$G$13*Adm!$W$7,Plus!$G$13*Adm!$X$4))))</f>
        <v>0</v>
      </c>
      <c r="GF204" s="33">
        <f>IF(GJ203&lt;0.01,0,IF(OR(Plus!$F$10=Plus!$AK$7,Plus!$F$10=Plus!$AK$13),0,Plus!$BD$2*1.16))</f>
        <v>0</v>
      </c>
      <c r="GG204" s="33">
        <f>IF(GJ203&lt;0.01,0,IF(Plus!$AS$2&gt;0,GA204*Plus!$AS$3,0))</f>
        <v>0</v>
      </c>
      <c r="GH204" s="33">
        <f t="shared" si="383"/>
        <v>0</v>
      </c>
      <c r="GI204" s="33">
        <f>IF(Plus!$F$10=Plus!$AK$3,MIN(GJ203+GA204+GD204+GE204+GF204-GH204,GU204),0)</f>
        <v>0</v>
      </c>
      <c r="GJ204" s="311">
        <f t="shared" si="432"/>
        <v>0</v>
      </c>
      <c r="GK204" s="340">
        <f>Plus!O245</f>
        <v>0</v>
      </c>
      <c r="GL204" s="74"/>
      <c r="GM204" s="74"/>
      <c r="GN204" s="419">
        <f t="shared" si="430"/>
        <v>0</v>
      </c>
      <c r="GQ204" s="90">
        <f t="shared" si="384"/>
        <v>12</v>
      </c>
      <c r="GR204" s="121">
        <f t="shared" si="418"/>
        <v>0</v>
      </c>
      <c r="GT204" s="149">
        <f t="shared" si="419"/>
        <v>0</v>
      </c>
      <c r="GU204" s="2179">
        <f t="shared" ca="1" si="385"/>
        <v>0</v>
      </c>
      <c r="GW204" s="120">
        <f t="shared" si="420"/>
        <v>0</v>
      </c>
      <c r="GX204" s="110">
        <f t="shared" si="386"/>
        <v>0</v>
      </c>
      <c r="GY204" s="110">
        <f t="shared" si="387"/>
        <v>0</v>
      </c>
      <c r="GZ204" s="109">
        <f t="shared" si="388"/>
        <v>0</v>
      </c>
      <c r="HA204" s="109">
        <f t="shared" si="333"/>
        <v>0</v>
      </c>
      <c r="HB204" s="113">
        <f t="shared" si="389"/>
        <v>0</v>
      </c>
      <c r="HD204" s="102">
        <f t="shared" si="390"/>
        <v>0</v>
      </c>
      <c r="HE204" s="211">
        <f t="shared" si="425"/>
        <v>180</v>
      </c>
      <c r="HF204" s="212">
        <f t="shared" si="391"/>
        <v>0</v>
      </c>
      <c r="HG204" s="212">
        <f t="shared" si="334"/>
        <v>0</v>
      </c>
      <c r="HH204" s="212">
        <f t="shared" si="451"/>
        <v>0</v>
      </c>
      <c r="HI204" s="213">
        <f t="shared" si="335"/>
        <v>1000000</v>
      </c>
      <c r="HL204" s="182"/>
      <c r="HM204" s="26">
        <f t="shared" ca="1" si="336"/>
        <v>3</v>
      </c>
      <c r="HO204" s="268">
        <f t="shared" si="337"/>
        <v>0</v>
      </c>
      <c r="HP204" s="151">
        <f t="shared" si="448"/>
        <v>0</v>
      </c>
      <c r="HQ204" s="123">
        <f t="shared" si="392"/>
        <v>0</v>
      </c>
      <c r="HR204" s="123">
        <f t="shared" si="393"/>
        <v>0</v>
      </c>
      <c r="HS204" s="123">
        <f t="shared" si="394"/>
        <v>0</v>
      </c>
      <c r="HT204" s="123">
        <f>IF(HY203&lt;0.01,0,IF(Adm!$GS$4=Adm!$GS$8,HY203*$HY$15,IF(Adm!$GS$12=Adm!$GS$13,0,HY203*Adm!$GV$4)))</f>
        <v>0</v>
      </c>
      <c r="HU204" s="123">
        <f>IF(HY203&lt;0.01,0,IF(Adm!$GS$5=Adm!$GS$8,Cal!$BO$108*$HY$16/1.16,IF(Adm!$GS$12=Adm!$GS$13,0,Cal!$BO$108*Adm!$GW$4/1.16)))</f>
        <v>0</v>
      </c>
      <c r="HV204" s="123">
        <f t="shared" si="395"/>
        <v>0</v>
      </c>
      <c r="HW204" s="123">
        <f t="shared" si="338"/>
        <v>0</v>
      </c>
      <c r="HX204" s="123">
        <f>IF(Adm!$GH$6="si",MIN(HY203+HQ204+HT204+HU204+HV204-HW204,IH204),0)</f>
        <v>0</v>
      </c>
      <c r="HY204" s="297">
        <f t="shared" si="396"/>
        <v>0</v>
      </c>
      <c r="HZ204" s="74"/>
      <c r="IA204" s="407">
        <f t="shared" si="397"/>
        <v>0</v>
      </c>
      <c r="IC204" s="90">
        <f t="shared" si="398"/>
        <v>12</v>
      </c>
      <c r="ID204" s="124">
        <f>IF(IC204=1,Cal!$BO$127,0)</f>
        <v>0</v>
      </c>
      <c r="IE204" s="178">
        <f>IF(IC204=1,Adm!$HI$4,0)</f>
        <v>0</v>
      </c>
      <c r="IG204" s="70">
        <f t="shared" si="421"/>
        <v>0</v>
      </c>
      <c r="IH204" s="2178">
        <f t="shared" ca="1" si="399"/>
        <v>0</v>
      </c>
      <c r="IK204" s="217"/>
      <c r="IL204" s="26">
        <f t="shared" ca="1" si="339"/>
        <v>3</v>
      </c>
      <c r="IN204" s="268">
        <f t="shared" si="340"/>
        <v>0</v>
      </c>
      <c r="IO204" s="151">
        <f t="shared" si="449"/>
        <v>0</v>
      </c>
      <c r="IP204" s="123">
        <f t="shared" si="400"/>
        <v>0</v>
      </c>
      <c r="IQ204" s="123">
        <f t="shared" si="401"/>
        <v>0</v>
      </c>
      <c r="IR204" s="123">
        <f t="shared" si="402"/>
        <v>0</v>
      </c>
      <c r="IS204" s="123">
        <f>IF(IX203&lt;0.01,0,IF(Adm!$GS$4=Adm!$GS$8,IX203*$IX$15,IF(Adm!$GS$12=Adm!$GS$13,0,IX203*Adm!$GV$4)))</f>
        <v>0</v>
      </c>
      <c r="IT204" s="123"/>
      <c r="IU204" s="123">
        <f t="shared" si="403"/>
        <v>0</v>
      </c>
      <c r="IV204" s="123">
        <f t="shared" si="404"/>
        <v>0</v>
      </c>
      <c r="IW204" s="123"/>
      <c r="IX204" s="297">
        <f t="shared" si="405"/>
        <v>0</v>
      </c>
      <c r="IY204" s="74"/>
      <c r="IZ204" s="416">
        <f t="shared" si="406"/>
        <v>0</v>
      </c>
      <c r="JB204" s="90">
        <f t="shared" si="407"/>
        <v>12</v>
      </c>
      <c r="JC204" s="124">
        <f>IF(JB204=1,Cal!$BP$127,0)</f>
        <v>0</v>
      </c>
      <c r="JD204" s="178">
        <f>IF(JB204=1,Adm!$HI$4,0)</f>
        <v>0</v>
      </c>
    </row>
    <row r="205" spans="1:264">
      <c r="A205" s="26">
        <f t="shared" ca="1" si="308"/>
        <v>4</v>
      </c>
      <c r="C205" s="33">
        <f t="shared" si="309"/>
        <v>0</v>
      </c>
      <c r="D205" s="123">
        <f t="shared" si="341"/>
        <v>0</v>
      </c>
      <c r="E205" s="123">
        <f t="shared" si="433"/>
        <v>0</v>
      </c>
      <c r="F205" s="123">
        <f t="shared" si="443"/>
        <v>0</v>
      </c>
      <c r="G205" s="123">
        <f>IF(L204&lt;0.01,0,IF(Adm!$S$4=Adm!$S$8,L204*$L$15,L204*Adm!$V$4))</f>
        <v>0</v>
      </c>
      <c r="H205" s="123">
        <f>IF(L204&lt;0.01,0,IF(Adm!$S$5=Adm!$S$8,Adm!$AA$11*$L$16/1.16,IF(Adm!$B$4=Adm!$A$119,0,Adm!$AA$11*Adm!$X$4/1.16)))</f>
        <v>0</v>
      </c>
      <c r="I205" s="123">
        <f>IF(L204&lt;0.01,0,Cal!$AB$126/1.16)</f>
        <v>0</v>
      </c>
      <c r="J205" s="123">
        <f t="shared" si="310"/>
        <v>0</v>
      </c>
      <c r="K205" s="123">
        <f>IF(Adm!$G$4="si",MIN(L204+D205+G205+H205+I205-J205,V205),0)</f>
        <v>0</v>
      </c>
      <c r="L205" s="123">
        <f t="shared" si="342"/>
        <v>0</v>
      </c>
      <c r="M205" s="74"/>
      <c r="N205" s="74"/>
      <c r="O205" s="407">
        <f t="shared" si="343"/>
        <v>0</v>
      </c>
      <c r="R205" s="90">
        <f t="shared" si="344"/>
        <v>1</v>
      </c>
      <c r="S205" s="121">
        <f>IF(R205=1,Cal!$AB$127,0)</f>
        <v>0</v>
      </c>
      <c r="U205" s="70">
        <f t="shared" si="408"/>
        <v>0</v>
      </c>
      <c r="V205" s="2178">
        <f t="shared" ca="1" si="345"/>
        <v>0</v>
      </c>
      <c r="X205" s="398"/>
      <c r="Z205" s="268">
        <f t="shared" si="311"/>
        <v>0</v>
      </c>
      <c r="AA205" s="2176">
        <f t="shared" si="346"/>
        <v>0</v>
      </c>
      <c r="AB205" s="33">
        <f t="shared" si="347"/>
        <v>0</v>
      </c>
      <c r="AC205" s="33">
        <f t="shared" si="348"/>
        <v>0</v>
      </c>
      <c r="AD205" s="33">
        <f>IF(AI204&lt;0.01,0,IF(Adm!$S$4=Adm!$S$8,AI204*$AI$15,AI204*Adm!$V$4))</f>
        <v>0</v>
      </c>
      <c r="AE205" s="33"/>
      <c r="AF205" s="33"/>
      <c r="AG205" s="33">
        <f t="shared" si="312"/>
        <v>0</v>
      </c>
      <c r="AH205" s="33"/>
      <c r="AI205" s="401">
        <f t="shared" si="313"/>
        <v>0</v>
      </c>
      <c r="AK205" s="410">
        <f t="shared" si="314"/>
        <v>0</v>
      </c>
      <c r="AN205" s="90">
        <f t="shared" si="349"/>
        <v>1</v>
      </c>
      <c r="AO205" s="121">
        <f>IF(AN205=1,Cal!$AC$127,0)</f>
        <v>0</v>
      </c>
      <c r="AS205" s="200"/>
      <c r="AU205" s="268">
        <f t="shared" si="315"/>
        <v>0</v>
      </c>
      <c r="AV205" s="2177">
        <f t="shared" si="350"/>
        <v>0</v>
      </c>
      <c r="AW205" s="123">
        <f t="shared" si="316"/>
        <v>0</v>
      </c>
      <c r="AX205" s="123">
        <f t="shared" si="351"/>
        <v>0</v>
      </c>
      <c r="AY205" s="123">
        <f>IF(BC204&lt;0.01,0,IF(Adm!$S$4=Adm!$S$8,BC204*$BC$16,BC204*Adm!$V$4))</f>
        <v>0</v>
      </c>
      <c r="AZ205" s="123"/>
      <c r="BA205" s="123">
        <f>IF(BC204&lt;0.01,0,Adm!$Q$6)</f>
        <v>0</v>
      </c>
      <c r="BB205" s="123">
        <f t="shared" si="317"/>
        <v>0</v>
      </c>
      <c r="BC205" s="297">
        <f t="shared" si="352"/>
        <v>0</v>
      </c>
      <c r="BE205" s="425">
        <f t="shared" si="318"/>
        <v>0</v>
      </c>
      <c r="BH205" s="90">
        <f t="shared" si="353"/>
        <v>1</v>
      </c>
      <c r="BI205" s="121">
        <f>IF(BH205=1,Cal!$AD$127,0)</f>
        <v>0</v>
      </c>
      <c r="BM205" s="221"/>
      <c r="BO205" s="295">
        <f t="shared" ca="1" si="319"/>
        <v>4</v>
      </c>
      <c r="BP205" s="268">
        <f t="shared" si="320"/>
        <v>0</v>
      </c>
      <c r="BQ205" s="123">
        <f t="shared" si="354"/>
        <v>0</v>
      </c>
      <c r="BR205" s="123">
        <f t="shared" si="434"/>
        <v>0</v>
      </c>
      <c r="BS205" s="123">
        <f t="shared" si="444"/>
        <v>0</v>
      </c>
      <c r="BT205" s="123">
        <f>IF(BZ204&lt;0.01,0,IF(Plus!$F$22=Plus!$AN$4,BZ204*$BZ$15,IF(Plus!$F$22=Plus!$AN$3,BZ204*Plus!$F$23/1000,BZ204*VLOOKUP(Plus!$G$21,Plus!$AP$2:'Plus'!$AQ$5,2,0))))</f>
        <v>0</v>
      </c>
      <c r="BU205" s="123">
        <f>IF(BZ204&lt;0.01,0,IF(Plus!$F$24=Plus!$AO$3,Plus!$G$13*Plus!$AR$2/1.16,IF(Plus!$F$10=Plus!$AK$7,0,Plus!$G$13*Plus!$AR$2/1.16)))</f>
        <v>0</v>
      </c>
      <c r="BV205" s="123">
        <f>IF(BZ204&lt;0.01,0,Plus!$BD$2)</f>
        <v>0</v>
      </c>
      <c r="BW205" s="123"/>
      <c r="BX205" s="123">
        <f t="shared" si="321"/>
        <v>0</v>
      </c>
      <c r="BY205" s="123">
        <f>IF(Plus!$F$10=Plus!$AK$3,MIN(BZ204+BQ205+BT205+BU205+BV205-BX205,CJ205),0)</f>
        <v>0</v>
      </c>
      <c r="BZ205" s="297">
        <f t="shared" si="428"/>
        <v>0</v>
      </c>
      <c r="CA205" s="74"/>
      <c r="CB205" s="74"/>
      <c r="CC205" s="413">
        <f t="shared" si="355"/>
        <v>0</v>
      </c>
      <c r="CF205" s="90">
        <f t="shared" si="356"/>
        <v>1</v>
      </c>
      <c r="CG205" s="121">
        <f t="shared" si="409"/>
        <v>0</v>
      </c>
      <c r="CI205" s="70">
        <f t="shared" si="410"/>
        <v>0</v>
      </c>
      <c r="CJ205" s="2178">
        <f t="shared" ca="1" si="357"/>
        <v>0</v>
      </c>
      <c r="CL205" s="161"/>
      <c r="CN205" s="308">
        <f t="shared" ca="1" si="322"/>
        <v>4</v>
      </c>
      <c r="CO205" s="309">
        <f t="shared" si="358"/>
        <v>0</v>
      </c>
      <c r="CP205" s="268">
        <f t="shared" si="323"/>
        <v>0</v>
      </c>
      <c r="CQ205" s="123">
        <f t="shared" si="359"/>
        <v>0</v>
      </c>
      <c r="CR205" s="123">
        <f t="shared" si="435"/>
        <v>0</v>
      </c>
      <c r="CS205" s="123">
        <f t="shared" si="436"/>
        <v>0</v>
      </c>
      <c r="CT205" s="33">
        <f>IF(CZ204&lt;0.01,0,IF(Plus!$F$22=Plus!$AN$4,0,IF(Plus!$F$22=Plus!$AN$3,CZ204*Plus!$F$23/1000,CZ204*VLOOKUP(Plus!$G$21,Plus!$AP$2:'Plus'!$AQ$5,2,0))))</f>
        <v>0</v>
      </c>
      <c r="CU205" s="123">
        <f>IF(CZ204&lt;0.01,0,IF(Plus!$F$24=Plus!$AO$3,0,IF(OR(Plus!$F$10=Plus!$AK$7,Plus!$F$10=Plus!$AK$13),0,Plus!$G$13*Plus!$AR$2)))</f>
        <v>0</v>
      </c>
      <c r="CV205" s="123">
        <f>IF(CZ204&lt;0.01,0,IF(OR(Plus!$F$10=Plus!$AK$7,Plus!$F$10=Plus!$AK$13),0,Plus!$BD$2*1.16))</f>
        <v>0</v>
      </c>
      <c r="CW205" s="123">
        <f>IF(CZ204&lt;0.01,0,IF(Plus!$AS$2&gt;0,CQ205*Plus!$AS$3,0))</f>
        <v>0</v>
      </c>
      <c r="CX205" s="123">
        <f t="shared" si="360"/>
        <v>0</v>
      </c>
      <c r="CY205" s="123">
        <f>IF(Plus!$F$10=Plus!$AK$3,MIN(CZ204+CQ205+CT205+CU205+CV205-CX205,DK205),0)</f>
        <v>0</v>
      </c>
      <c r="CZ205" s="297">
        <f t="shared" si="440"/>
        <v>0</v>
      </c>
      <c r="DA205" s="306">
        <f>Plus!O246</f>
        <v>0</v>
      </c>
      <c r="DB205" s="74"/>
      <c r="DC205" s="74"/>
      <c r="DD205" s="407">
        <f t="shared" si="361"/>
        <v>0</v>
      </c>
      <c r="DG205" s="90">
        <f t="shared" si="362"/>
        <v>1</v>
      </c>
      <c r="DH205" s="121">
        <f t="shared" si="411"/>
        <v>0</v>
      </c>
      <c r="DJ205" s="149">
        <f t="shared" si="412"/>
        <v>0</v>
      </c>
      <c r="DK205" s="2179">
        <f t="shared" ca="1" si="363"/>
        <v>0</v>
      </c>
      <c r="DN205" s="120">
        <f t="shared" si="413"/>
        <v>0</v>
      </c>
      <c r="DO205" s="110">
        <f t="shared" si="364"/>
        <v>0</v>
      </c>
      <c r="DP205" s="110">
        <f t="shared" si="422"/>
        <v>0</v>
      </c>
      <c r="DQ205" s="109">
        <f t="shared" si="365"/>
        <v>0</v>
      </c>
      <c r="DR205" s="109">
        <f t="shared" si="366"/>
        <v>0</v>
      </c>
      <c r="DS205" s="113">
        <f t="shared" si="367"/>
        <v>0</v>
      </c>
      <c r="DU205" s="102">
        <f t="shared" si="368"/>
        <v>0</v>
      </c>
      <c r="DV205" s="333">
        <f t="shared" si="423"/>
        <v>181</v>
      </c>
      <c r="DW205" s="334">
        <f t="shared" si="369"/>
        <v>0</v>
      </c>
      <c r="DX205" s="334">
        <f t="shared" si="324"/>
        <v>0</v>
      </c>
      <c r="DY205" s="334">
        <f>MIN(DZ204+DW205,DY204*(1+$DW$20))</f>
        <v>0</v>
      </c>
      <c r="DZ205" s="213">
        <f t="shared" si="325"/>
        <v>1000000</v>
      </c>
      <c r="ED205" s="182"/>
      <c r="EF205" s="308">
        <f t="shared" ca="1" si="326"/>
        <v>4</v>
      </c>
      <c r="EG205" s="309">
        <f t="shared" si="370"/>
        <v>0</v>
      </c>
      <c r="EH205" s="268">
        <f t="shared" si="327"/>
        <v>0</v>
      </c>
      <c r="EI205" s="33">
        <f t="shared" si="371"/>
        <v>0</v>
      </c>
      <c r="EJ205" s="33">
        <f t="shared" si="437"/>
        <v>0</v>
      </c>
      <c r="EK205" s="33">
        <f t="shared" si="445"/>
        <v>0</v>
      </c>
      <c r="EL205" s="33">
        <f>IF(ER204&lt;0.01,0,IF(Plus!$F$22=Plus!$AN$4,0,IF(Plus!$F$22=Plus!$AN$3,ER204*Plus!$F$23/1000,ER204*VLOOKUP(Plus!$G$21,Plus!$AP$2:'Plus'!$AQ$5,2,0))))</f>
        <v>0</v>
      </c>
      <c r="EM205" s="33">
        <f>IF(ER204&lt;0.01,0,IF(Plus!$F$24=Plus!$AO$3,0,IF(OR(Plus!$F$10=Plus!$AK$7,Plus!$F$10=Plus!$AK$13),0,Plus!$G$13*Plus!$AR$2)))</f>
        <v>0</v>
      </c>
      <c r="EN205" s="33">
        <f>IF(ER204&lt;0.01,0,IF(OR(Plus!$F$10=Plus!$AK$7,Plus!$F$10=Plus!$AK$13),0,Plus!$BD$2*1.16))</f>
        <v>0</v>
      </c>
      <c r="EO205" s="33">
        <f>IF(ER204&lt;0.01,0,IF(Plus!$AS$2&gt;0,EI205*Plus!$AS$3,0))</f>
        <v>0</v>
      </c>
      <c r="EP205" s="33">
        <f t="shared" si="372"/>
        <v>0</v>
      </c>
      <c r="EQ205" s="33">
        <f>IF(Plus!$F$10=Plus!$AK$3,MIN(ER204+EI205+EL205+EM205+EN205-EP205,FC205),0)</f>
        <v>0</v>
      </c>
      <c r="ER205" s="311">
        <f t="shared" si="431"/>
        <v>0</v>
      </c>
      <c r="ES205" s="340">
        <f>Plus!O246</f>
        <v>0</v>
      </c>
      <c r="ET205" s="74"/>
      <c r="EU205" s="74"/>
      <c r="EV205" s="416">
        <f t="shared" si="429"/>
        <v>0</v>
      </c>
      <c r="EY205" s="90">
        <f t="shared" si="373"/>
        <v>1</v>
      </c>
      <c r="EZ205" s="121">
        <f t="shared" si="415"/>
        <v>0</v>
      </c>
      <c r="FB205" s="149">
        <f t="shared" si="416"/>
        <v>0</v>
      </c>
      <c r="FC205" s="2179">
        <f t="shared" ca="1" si="374"/>
        <v>0</v>
      </c>
      <c r="FE205" s="120">
        <f t="shared" si="417"/>
        <v>0</v>
      </c>
      <c r="FF205" s="110">
        <f t="shared" si="375"/>
        <v>0</v>
      </c>
      <c r="FG205" s="110">
        <f t="shared" si="376"/>
        <v>0</v>
      </c>
      <c r="FH205" s="109">
        <f t="shared" si="377"/>
        <v>0</v>
      </c>
      <c r="FI205" s="109">
        <f t="shared" si="328"/>
        <v>0</v>
      </c>
      <c r="FJ205" s="113">
        <f t="shared" si="378"/>
        <v>0</v>
      </c>
      <c r="FL205" s="102">
        <f t="shared" si="379"/>
        <v>0</v>
      </c>
      <c r="FM205" s="326">
        <f t="shared" si="424"/>
        <v>181</v>
      </c>
      <c r="FN205" s="327">
        <f t="shared" si="380"/>
        <v>0</v>
      </c>
      <c r="FO205" s="327">
        <f t="shared" si="329"/>
        <v>0</v>
      </c>
      <c r="FP205" s="327">
        <f>MIN(FQ204+FN205,FP204*(1+$FN$20))</f>
        <v>0</v>
      </c>
      <c r="FQ205" s="213">
        <f t="shared" si="330"/>
        <v>1000000</v>
      </c>
      <c r="FV205" s="359"/>
      <c r="FX205" s="308">
        <f t="shared" ca="1" si="331"/>
        <v>4</v>
      </c>
      <c r="FY205" s="309">
        <f t="shared" si="381"/>
        <v>0</v>
      </c>
      <c r="FZ205" s="268">
        <f t="shared" si="332"/>
        <v>0</v>
      </c>
      <c r="GA205" s="33">
        <f t="shared" si="382"/>
        <v>0</v>
      </c>
      <c r="GB205" s="33">
        <f t="shared" si="438"/>
        <v>0</v>
      </c>
      <c r="GC205" s="33">
        <f t="shared" si="439"/>
        <v>0</v>
      </c>
      <c r="GD205" s="33">
        <f>IF(GJ204&lt;0.01,0,IF(Plus!$F$22=Plus!$AN$4,0,IF(Plus!$F$22=Plus!$AN$3,GJ204*Plus!$F$23/1000,GJ204*VLOOKUP(Plus!$G$21,Plus!$AP$2:$AQ$5,2,0))))</f>
        <v>0</v>
      </c>
      <c r="GE205" s="33">
        <f>IF(GJ204&lt;0.01,0,IF(Plus!$F$24=Plus!$AO$3,0,IF(OR(Plus!$F$10=Plus!$AK$7,Plus!$F$10=Plus!$AK$13,Plus!$F$10=Plus!$AK$14),0,IF(OR(Plus!$F$10=Plus!$AK$10,Plus!$F$10=Plus!$AK$11),Plus!$G$13*Adm!$W$7,Plus!$G$13*Adm!$X$4))))</f>
        <v>0</v>
      </c>
      <c r="GF205" s="33">
        <f>IF(GJ204&lt;0.01,0,IF(OR(Plus!$F$10=Plus!$AK$7,Plus!$F$10=Plus!$AK$13),0,Plus!$BD$2*1.16))</f>
        <v>0</v>
      </c>
      <c r="GG205" s="33">
        <f>IF(GJ204&lt;0.01,0,IF(Plus!$AS$2&gt;0,GA205*Plus!$AS$3,0))</f>
        <v>0</v>
      </c>
      <c r="GH205" s="33">
        <f t="shared" si="383"/>
        <v>0</v>
      </c>
      <c r="GI205" s="33">
        <f>IF(Plus!$F$10=Plus!$AK$3,MIN(GJ204+GA205+GD205+GE205+GF205-GH205,GU205),0)</f>
        <v>0</v>
      </c>
      <c r="GJ205" s="311">
        <f t="shared" si="432"/>
        <v>0</v>
      </c>
      <c r="GK205" s="340">
        <f>Plus!O246</f>
        <v>0</v>
      </c>
      <c r="GL205" s="74"/>
      <c r="GM205" s="74"/>
      <c r="GN205" s="419">
        <f t="shared" si="430"/>
        <v>0</v>
      </c>
      <c r="GQ205" s="90">
        <f t="shared" si="384"/>
        <v>1</v>
      </c>
      <c r="GR205" s="121">
        <f t="shared" si="418"/>
        <v>0</v>
      </c>
      <c r="GT205" s="149">
        <f t="shared" si="419"/>
        <v>0</v>
      </c>
      <c r="GU205" s="2179">
        <f t="shared" ca="1" si="385"/>
        <v>0</v>
      </c>
      <c r="GW205" s="120">
        <f t="shared" si="420"/>
        <v>0</v>
      </c>
      <c r="GX205" s="110">
        <f t="shared" si="386"/>
        <v>0</v>
      </c>
      <c r="GY205" s="110">
        <f t="shared" si="387"/>
        <v>0</v>
      </c>
      <c r="GZ205" s="109">
        <f t="shared" si="388"/>
        <v>0</v>
      </c>
      <c r="HA205" s="109">
        <f t="shared" si="333"/>
        <v>0</v>
      </c>
      <c r="HB205" s="113">
        <f t="shared" si="389"/>
        <v>0</v>
      </c>
      <c r="HD205" s="102">
        <f t="shared" si="390"/>
        <v>0</v>
      </c>
      <c r="HE205" s="326">
        <f t="shared" si="425"/>
        <v>181</v>
      </c>
      <c r="HF205" s="327">
        <f t="shared" si="391"/>
        <v>0</v>
      </c>
      <c r="HG205" s="327">
        <f t="shared" si="334"/>
        <v>0</v>
      </c>
      <c r="HH205" s="327">
        <f>MIN(HI204+HF205,HH204*(1+$FN$20))</f>
        <v>0</v>
      </c>
      <c r="HI205" s="213">
        <f t="shared" si="335"/>
        <v>1000000</v>
      </c>
      <c r="HL205" s="182"/>
      <c r="HM205" s="26">
        <f t="shared" ca="1" si="336"/>
        <v>4</v>
      </c>
      <c r="HO205" s="268">
        <f t="shared" si="337"/>
        <v>0</v>
      </c>
      <c r="HP205" s="151">
        <f t="shared" si="448"/>
        <v>0</v>
      </c>
      <c r="HQ205" s="123">
        <f t="shared" si="392"/>
        <v>0</v>
      </c>
      <c r="HR205" s="123">
        <f t="shared" si="393"/>
        <v>0</v>
      </c>
      <c r="HS205" s="123">
        <f t="shared" si="394"/>
        <v>0</v>
      </c>
      <c r="HT205" s="123">
        <f>IF(HY204&lt;0.01,0,IF(Adm!$GS$4=Adm!$GS$8,HY204*$HY$15,IF(Adm!$GS$12=Adm!$GS$13,0,HY204*Adm!$GV$4)))</f>
        <v>0</v>
      </c>
      <c r="HU205" s="123">
        <f>IF(HY204&lt;0.01,0,IF(Adm!$GS$5=Adm!$GS$8,Cal!$BO$108*$HY$16/1.16,IF(Adm!$GS$12=Adm!$GS$13,0,Cal!$BO$108*Adm!$GW$4/1.16)))</f>
        <v>0</v>
      </c>
      <c r="HV205" s="123">
        <f t="shared" si="395"/>
        <v>0</v>
      </c>
      <c r="HW205" s="123">
        <f t="shared" si="338"/>
        <v>0</v>
      </c>
      <c r="HX205" s="123">
        <f>IF(Adm!$GH$6="si",MIN(HY204+HQ205+HT205+HU205+HV205-HW205,IH205),0)</f>
        <v>0</v>
      </c>
      <c r="HY205" s="297">
        <f t="shared" si="396"/>
        <v>0</v>
      </c>
      <c r="HZ205" s="74"/>
      <c r="IA205" s="407">
        <f t="shared" si="397"/>
        <v>0</v>
      </c>
      <c r="IC205" s="90">
        <f t="shared" si="398"/>
        <v>1</v>
      </c>
      <c r="ID205" s="124">
        <f>IF(IC205=1,Cal!$BO$127,0)</f>
        <v>0</v>
      </c>
      <c r="IE205" s="178">
        <f>IF(IC205=1,Adm!$HI$4,0)</f>
        <v>2.5000000000000001E-3</v>
      </c>
      <c r="IG205" s="70">
        <f t="shared" si="421"/>
        <v>0</v>
      </c>
      <c r="IH205" s="2178">
        <f t="shared" ca="1" si="399"/>
        <v>0</v>
      </c>
      <c r="IK205" s="217"/>
      <c r="IL205" s="26">
        <f t="shared" ca="1" si="339"/>
        <v>4</v>
      </c>
      <c r="IN205" s="268">
        <f t="shared" si="340"/>
        <v>0</v>
      </c>
      <c r="IO205" s="151">
        <f t="shared" si="449"/>
        <v>0</v>
      </c>
      <c r="IP205" s="123">
        <f t="shared" si="400"/>
        <v>0</v>
      </c>
      <c r="IQ205" s="123">
        <f t="shared" si="401"/>
        <v>0</v>
      </c>
      <c r="IR205" s="123">
        <f t="shared" si="402"/>
        <v>0</v>
      </c>
      <c r="IS205" s="123">
        <f>IF(IX204&lt;0.01,0,IF(Adm!$GS$4=Adm!$GS$8,IX204*$IX$15,IF(Adm!$GS$12=Adm!$GS$13,0,IX204*Adm!$GV$4)))</f>
        <v>0</v>
      </c>
      <c r="IT205" s="123"/>
      <c r="IU205" s="123">
        <f t="shared" si="403"/>
        <v>0</v>
      </c>
      <c r="IV205" s="123">
        <f t="shared" si="404"/>
        <v>0</v>
      </c>
      <c r="IW205" s="123"/>
      <c r="IX205" s="297">
        <f t="shared" si="405"/>
        <v>0</v>
      </c>
      <c r="IY205" s="74"/>
      <c r="IZ205" s="416">
        <f t="shared" si="406"/>
        <v>0</v>
      </c>
      <c r="JB205" s="90">
        <f t="shared" si="407"/>
        <v>1</v>
      </c>
      <c r="JC205" s="124">
        <f>IF(JB205=1,Cal!$BP$127,0)</f>
        <v>0</v>
      </c>
      <c r="JD205" s="178">
        <f>IF(JB205=1,Adm!$HI$4,0)</f>
        <v>2.5000000000000001E-3</v>
      </c>
    </row>
    <row r="206" spans="1:264">
      <c r="A206" s="26">
        <f t="shared" ca="1" si="308"/>
        <v>5</v>
      </c>
      <c r="C206" s="33">
        <f t="shared" si="309"/>
        <v>0</v>
      </c>
      <c r="D206" s="123">
        <f t="shared" si="341"/>
        <v>0</v>
      </c>
      <c r="E206" s="123">
        <f t="shared" si="433"/>
        <v>0</v>
      </c>
      <c r="F206" s="123">
        <f t="shared" si="443"/>
        <v>0</v>
      </c>
      <c r="G206" s="123">
        <f>IF(L205&lt;0.01,0,IF(Adm!$S$4=Adm!$S$8,L205*$L$15,L205*Adm!$V$4))</f>
        <v>0</v>
      </c>
      <c r="H206" s="123">
        <f>IF(L205&lt;0.01,0,IF(Adm!$S$5=Adm!$S$8,Adm!$AA$11*$L$16/1.16,IF(Adm!$B$4=Adm!$A$119,0,Adm!$AA$11*Adm!$X$4/1.16)))</f>
        <v>0</v>
      </c>
      <c r="I206" s="123">
        <f>IF(L205&lt;0.01,0,Cal!$AB$126/1.16)</f>
        <v>0</v>
      </c>
      <c r="J206" s="123">
        <f t="shared" si="310"/>
        <v>0</v>
      </c>
      <c r="K206" s="123">
        <f>IF(Adm!$G$4="si",MIN(L205+D206+G206+H206+I206-J206,V206),0)</f>
        <v>0</v>
      </c>
      <c r="L206" s="123">
        <f t="shared" si="342"/>
        <v>0</v>
      </c>
      <c r="M206" s="74"/>
      <c r="N206" s="74"/>
      <c r="O206" s="407">
        <f t="shared" si="343"/>
        <v>0</v>
      </c>
      <c r="R206" s="90">
        <f t="shared" si="344"/>
        <v>2</v>
      </c>
      <c r="S206" s="121">
        <f>IF(R206=1,Cal!$AB$127,0)</f>
        <v>0</v>
      </c>
      <c r="U206" s="70">
        <f t="shared" si="408"/>
        <v>0</v>
      </c>
      <c r="V206" s="2178">
        <f t="shared" ca="1" si="345"/>
        <v>0</v>
      </c>
      <c r="X206" s="398"/>
      <c r="Z206" s="268">
        <f t="shared" si="311"/>
        <v>0</v>
      </c>
      <c r="AA206" s="2176">
        <f t="shared" si="346"/>
        <v>0</v>
      </c>
      <c r="AB206" s="33">
        <f t="shared" si="347"/>
        <v>0</v>
      </c>
      <c r="AC206" s="33">
        <f t="shared" si="348"/>
        <v>0</v>
      </c>
      <c r="AD206" s="33">
        <f>IF(AI205&lt;0.01,0,IF(Adm!$S$4=Adm!$S$8,AI205*$AI$15,AI205*Adm!$V$4))</f>
        <v>0</v>
      </c>
      <c r="AE206" s="33"/>
      <c r="AF206" s="33"/>
      <c r="AG206" s="33">
        <f t="shared" si="312"/>
        <v>0</v>
      </c>
      <c r="AH206" s="33"/>
      <c r="AI206" s="401">
        <f t="shared" si="313"/>
        <v>0</v>
      </c>
      <c r="AK206" s="410">
        <f t="shared" si="314"/>
        <v>0</v>
      </c>
      <c r="AN206" s="90">
        <f t="shared" si="349"/>
        <v>2</v>
      </c>
      <c r="AO206" s="121">
        <f>IF(AN206=1,Cal!$AC$127,0)</f>
        <v>0</v>
      </c>
      <c r="AS206" s="200"/>
      <c r="AU206" s="268">
        <f t="shared" si="315"/>
        <v>0</v>
      </c>
      <c r="AV206" s="2177">
        <f t="shared" si="350"/>
        <v>0</v>
      </c>
      <c r="AW206" s="123">
        <f t="shared" si="316"/>
        <v>0</v>
      </c>
      <c r="AX206" s="123">
        <f t="shared" si="351"/>
        <v>0</v>
      </c>
      <c r="AY206" s="123">
        <f>IF(BC205&lt;0.01,0,IF(Adm!$S$4=Adm!$S$8,BC205*$BC$16,BC205*Adm!$V$4))</f>
        <v>0</v>
      </c>
      <c r="AZ206" s="123"/>
      <c r="BA206" s="123">
        <f>IF(BC205&lt;0.01,0,Adm!$Q$6)</f>
        <v>0</v>
      </c>
      <c r="BB206" s="123">
        <f t="shared" si="317"/>
        <v>0</v>
      </c>
      <c r="BC206" s="297">
        <f t="shared" si="352"/>
        <v>0</v>
      </c>
      <c r="BE206" s="425">
        <f t="shared" si="318"/>
        <v>0</v>
      </c>
      <c r="BH206" s="90">
        <f t="shared" si="353"/>
        <v>2</v>
      </c>
      <c r="BI206" s="121">
        <f>IF(BH206=1,Cal!$AD$127,0)</f>
        <v>0</v>
      </c>
      <c r="BM206" s="221"/>
      <c r="BO206" s="295">
        <f t="shared" ca="1" si="319"/>
        <v>5</v>
      </c>
      <c r="BP206" s="268">
        <f t="shared" si="320"/>
        <v>0</v>
      </c>
      <c r="BQ206" s="123">
        <f t="shared" si="354"/>
        <v>0</v>
      </c>
      <c r="BR206" s="123">
        <f t="shared" si="434"/>
        <v>0</v>
      </c>
      <c r="BS206" s="123">
        <f t="shared" si="444"/>
        <v>0</v>
      </c>
      <c r="BT206" s="123">
        <f>IF(BZ205&lt;0.01,0,IF(Plus!$F$22=Plus!$AN$4,BZ205*$BZ$15,IF(Plus!$F$22=Plus!$AN$3,BZ205*Plus!$F$23/1000,BZ205*VLOOKUP(Plus!$G$21,Plus!$AP$2:'Plus'!$AQ$5,2,0))))</f>
        <v>0</v>
      </c>
      <c r="BU206" s="123">
        <f>IF(BZ205&lt;0.01,0,IF(Plus!$F$24=Plus!$AO$3,Plus!$G$13*Plus!$AR$2/1.16,IF(Plus!$F$10=Plus!$AK$7,0,Plus!$G$13*Plus!$AR$2/1.16)))</f>
        <v>0</v>
      </c>
      <c r="BV206" s="123">
        <f>IF(BZ205&lt;0.01,0,Plus!$BD$2)</f>
        <v>0</v>
      </c>
      <c r="BW206" s="123"/>
      <c r="BX206" s="123">
        <f t="shared" si="321"/>
        <v>0</v>
      </c>
      <c r="BY206" s="123">
        <f>IF(Plus!$F$10=Plus!$AK$3,MIN(BZ205+BQ206+BT206+BU206+BV206-BX206,CJ206),0)</f>
        <v>0</v>
      </c>
      <c r="BZ206" s="297">
        <f t="shared" si="428"/>
        <v>0</v>
      </c>
      <c r="CA206" s="74"/>
      <c r="CB206" s="74"/>
      <c r="CC206" s="413">
        <f t="shared" si="355"/>
        <v>0</v>
      </c>
      <c r="CF206" s="90">
        <f t="shared" si="356"/>
        <v>2</v>
      </c>
      <c r="CG206" s="121">
        <f t="shared" si="409"/>
        <v>0</v>
      </c>
      <c r="CI206" s="70">
        <f t="shared" si="410"/>
        <v>0</v>
      </c>
      <c r="CJ206" s="2178">
        <f t="shared" ca="1" si="357"/>
        <v>0</v>
      </c>
      <c r="CL206" s="161"/>
      <c r="CN206" s="308">
        <f t="shared" ca="1" si="322"/>
        <v>5</v>
      </c>
      <c r="CO206" s="309">
        <f t="shared" si="358"/>
        <v>0</v>
      </c>
      <c r="CP206" s="268">
        <f t="shared" si="323"/>
        <v>0</v>
      </c>
      <c r="CQ206" s="123">
        <f t="shared" si="359"/>
        <v>0</v>
      </c>
      <c r="CR206" s="123">
        <f t="shared" si="435"/>
        <v>0</v>
      </c>
      <c r="CS206" s="123">
        <f t="shared" si="436"/>
        <v>0</v>
      </c>
      <c r="CT206" s="33">
        <f>IF(CZ205&lt;0.01,0,IF(Plus!$F$22=Plus!$AN$4,0,IF(Plus!$F$22=Plus!$AN$3,CZ205*Plus!$F$23/1000,CZ205*VLOOKUP(Plus!$G$21,Plus!$AP$2:'Plus'!$AQ$5,2,0))))</f>
        <v>0</v>
      </c>
      <c r="CU206" s="123">
        <f>IF(CZ205&lt;0.01,0,IF(Plus!$F$24=Plus!$AO$3,0,IF(OR(Plus!$F$10=Plus!$AK$7,Plus!$F$10=Plus!$AK$13),0,Plus!$G$13*Plus!$AR$2)))</f>
        <v>0</v>
      </c>
      <c r="CV206" s="123">
        <f>IF(CZ205&lt;0.01,0,IF(OR(Plus!$F$10=Plus!$AK$7,Plus!$F$10=Plus!$AK$13),0,Plus!$BD$2*1.16))</f>
        <v>0</v>
      </c>
      <c r="CW206" s="123">
        <f>IF(CZ205&lt;0.01,0,IF(Plus!$AS$2&gt;0,CQ206*Plus!$AS$3,0))</f>
        <v>0</v>
      </c>
      <c r="CX206" s="123">
        <f t="shared" si="360"/>
        <v>0</v>
      </c>
      <c r="CY206" s="123">
        <f>IF(Plus!$F$10=Plus!$AK$3,MIN(CZ205+CQ206+CT206+CU206+CV206-CX206,DK206),0)</f>
        <v>0</v>
      </c>
      <c r="CZ206" s="297">
        <f t="shared" si="440"/>
        <v>0</v>
      </c>
      <c r="DA206" s="306">
        <f>Plus!O247</f>
        <v>0</v>
      </c>
      <c r="DB206" s="74"/>
      <c r="DC206" s="74"/>
      <c r="DD206" s="407">
        <f t="shared" si="361"/>
        <v>0</v>
      </c>
      <c r="DG206" s="90">
        <f t="shared" si="362"/>
        <v>2</v>
      </c>
      <c r="DH206" s="121">
        <f t="shared" si="411"/>
        <v>0</v>
      </c>
      <c r="DJ206" s="149">
        <f t="shared" si="412"/>
        <v>0</v>
      </c>
      <c r="DK206" s="2179">
        <f t="shared" ca="1" si="363"/>
        <v>0</v>
      </c>
      <c r="DN206" s="120">
        <f t="shared" si="413"/>
        <v>0</v>
      </c>
      <c r="DO206" s="110">
        <f t="shared" si="364"/>
        <v>0</v>
      </c>
      <c r="DP206" s="110">
        <f t="shared" si="422"/>
        <v>0</v>
      </c>
      <c r="DQ206" s="109">
        <f t="shared" si="365"/>
        <v>0</v>
      </c>
      <c r="DR206" s="109">
        <f t="shared" si="366"/>
        <v>0</v>
      </c>
      <c r="DS206" s="113">
        <f t="shared" si="367"/>
        <v>0</v>
      </c>
      <c r="DU206" s="102">
        <f t="shared" si="368"/>
        <v>0</v>
      </c>
      <c r="DV206" s="211">
        <f>IF(DZ205&lt;=0,"",DV205+1)</f>
        <v>182</v>
      </c>
      <c r="DW206" s="212">
        <f t="shared" si="369"/>
        <v>0</v>
      </c>
      <c r="DX206" s="212">
        <f t="shared" si="324"/>
        <v>0</v>
      </c>
      <c r="DY206" s="212">
        <f t="shared" si="414"/>
        <v>0</v>
      </c>
      <c r="DZ206" s="213">
        <f t="shared" si="325"/>
        <v>1000000</v>
      </c>
      <c r="ED206" s="182"/>
      <c r="EF206" s="308">
        <f t="shared" ca="1" si="326"/>
        <v>5</v>
      </c>
      <c r="EG206" s="309">
        <f t="shared" si="370"/>
        <v>0</v>
      </c>
      <c r="EH206" s="268">
        <f t="shared" si="327"/>
        <v>0</v>
      </c>
      <c r="EI206" s="33">
        <f t="shared" si="371"/>
        <v>0</v>
      </c>
      <c r="EJ206" s="33">
        <f t="shared" si="437"/>
        <v>0</v>
      </c>
      <c r="EK206" s="33">
        <f t="shared" si="445"/>
        <v>0</v>
      </c>
      <c r="EL206" s="33">
        <f>IF(ER205&lt;0.01,0,IF(Plus!$F$22=Plus!$AN$4,0,IF(Plus!$F$22=Plus!$AN$3,ER205*Plus!$F$23/1000,ER205*VLOOKUP(Plus!$G$21,Plus!$AP$2:'Plus'!$AQ$5,2,0))))</f>
        <v>0</v>
      </c>
      <c r="EM206" s="33">
        <f>IF(ER205&lt;0.01,0,IF(Plus!$F$24=Plus!$AO$3,0,IF(OR(Plus!$F$10=Plus!$AK$7,Plus!$F$10=Plus!$AK$13),0,Plus!$G$13*Plus!$AR$2)))</f>
        <v>0</v>
      </c>
      <c r="EN206" s="33">
        <f>IF(ER205&lt;0.01,0,IF(OR(Plus!$F$10=Plus!$AK$7,Plus!$F$10=Plus!$AK$13),0,Plus!$BD$2*1.16))</f>
        <v>0</v>
      </c>
      <c r="EO206" s="33">
        <f>IF(ER205&lt;0.01,0,IF(Plus!$AS$2&gt;0,EI206*Plus!$AS$3,0))</f>
        <v>0</v>
      </c>
      <c r="EP206" s="33">
        <f t="shared" si="372"/>
        <v>0</v>
      </c>
      <c r="EQ206" s="33">
        <f>IF(Plus!$F$10=Plus!$AK$3,MIN(ER205+EI206+EL206+EM206+EN206-EP206,FC206),0)</f>
        <v>0</v>
      </c>
      <c r="ER206" s="311">
        <f t="shared" si="431"/>
        <v>0</v>
      </c>
      <c r="ES206" s="340">
        <f>Plus!O247</f>
        <v>0</v>
      </c>
      <c r="ET206" s="74"/>
      <c r="EU206" s="74"/>
      <c r="EV206" s="416">
        <f t="shared" si="429"/>
        <v>0</v>
      </c>
      <c r="EY206" s="90">
        <f t="shared" si="373"/>
        <v>2</v>
      </c>
      <c r="EZ206" s="121">
        <f t="shared" si="415"/>
        <v>0</v>
      </c>
      <c r="FB206" s="149">
        <f t="shared" si="416"/>
        <v>0</v>
      </c>
      <c r="FC206" s="2179">
        <f t="shared" ca="1" si="374"/>
        <v>0</v>
      </c>
      <c r="FE206" s="120">
        <f t="shared" si="417"/>
        <v>0</v>
      </c>
      <c r="FF206" s="110">
        <f t="shared" si="375"/>
        <v>0</v>
      </c>
      <c r="FG206" s="110">
        <f t="shared" si="376"/>
        <v>0</v>
      </c>
      <c r="FH206" s="109">
        <f t="shared" si="377"/>
        <v>0</v>
      </c>
      <c r="FI206" s="109">
        <f t="shared" si="328"/>
        <v>0</v>
      </c>
      <c r="FJ206" s="113">
        <f t="shared" si="378"/>
        <v>0</v>
      </c>
      <c r="FL206" s="102">
        <f t="shared" si="379"/>
        <v>0</v>
      </c>
      <c r="FM206" s="211">
        <f>IF(FQ205&lt;=0,"",FM205+1)</f>
        <v>182</v>
      </c>
      <c r="FN206" s="212">
        <f t="shared" si="380"/>
        <v>0</v>
      </c>
      <c r="FO206" s="212">
        <f t="shared" si="329"/>
        <v>0</v>
      </c>
      <c r="FP206" s="212">
        <f t="shared" ref="FP206:FP216" si="452">MIN(FQ205+FN206,FP205)</f>
        <v>0</v>
      </c>
      <c r="FQ206" s="213">
        <f t="shared" si="330"/>
        <v>1000000</v>
      </c>
      <c r="FV206" s="359"/>
      <c r="FX206" s="308">
        <f t="shared" ca="1" si="331"/>
        <v>5</v>
      </c>
      <c r="FY206" s="309">
        <f t="shared" si="381"/>
        <v>0</v>
      </c>
      <c r="FZ206" s="268">
        <f t="shared" si="332"/>
        <v>0</v>
      </c>
      <c r="GA206" s="33">
        <f t="shared" si="382"/>
        <v>0</v>
      </c>
      <c r="GB206" s="33">
        <f t="shared" si="438"/>
        <v>0</v>
      </c>
      <c r="GC206" s="33">
        <f t="shared" si="439"/>
        <v>0</v>
      </c>
      <c r="GD206" s="33">
        <f>IF(GJ205&lt;0.01,0,IF(Plus!$F$22=Plus!$AN$4,0,IF(Plus!$F$22=Plus!$AN$3,GJ205*Plus!$F$23/1000,GJ205*VLOOKUP(Plus!$G$21,Plus!$AP$2:$AQ$5,2,0))))</f>
        <v>0</v>
      </c>
      <c r="GE206" s="33">
        <f>IF(GJ205&lt;0.01,0,IF(Plus!$F$24=Plus!$AO$3,0,IF(OR(Plus!$F$10=Plus!$AK$7,Plus!$F$10=Plus!$AK$13,Plus!$F$10=Plus!$AK$14),0,IF(OR(Plus!$F$10=Plus!$AK$10,Plus!$F$10=Plus!$AK$11),Plus!$G$13*Adm!$W$7,Plus!$G$13*Adm!$X$4))))</f>
        <v>0</v>
      </c>
      <c r="GF206" s="33">
        <f>IF(GJ205&lt;0.01,0,IF(OR(Plus!$F$10=Plus!$AK$7,Plus!$F$10=Plus!$AK$13),0,Plus!$BD$2*1.16))</f>
        <v>0</v>
      </c>
      <c r="GG206" s="33">
        <f>IF(GJ205&lt;0.01,0,IF(Plus!$AS$2&gt;0,GA206*Plus!$AS$3,0))</f>
        <v>0</v>
      </c>
      <c r="GH206" s="33">
        <f t="shared" si="383"/>
        <v>0</v>
      </c>
      <c r="GI206" s="33">
        <f>IF(Plus!$F$10=Plus!$AK$3,MIN(GJ205+GA206+GD206+GE206+GF206-GH206,GU206),0)</f>
        <v>0</v>
      </c>
      <c r="GJ206" s="311">
        <f t="shared" si="432"/>
        <v>0</v>
      </c>
      <c r="GK206" s="340">
        <f>Plus!O247</f>
        <v>0</v>
      </c>
      <c r="GL206" s="74"/>
      <c r="GM206" s="74"/>
      <c r="GN206" s="419">
        <f t="shared" si="430"/>
        <v>0</v>
      </c>
      <c r="GQ206" s="90">
        <f t="shared" si="384"/>
        <v>2</v>
      </c>
      <c r="GR206" s="121">
        <f t="shared" si="418"/>
        <v>0</v>
      </c>
      <c r="GT206" s="149">
        <f t="shared" si="419"/>
        <v>0</v>
      </c>
      <c r="GU206" s="2179">
        <f t="shared" ca="1" si="385"/>
        <v>0</v>
      </c>
      <c r="GW206" s="120">
        <f t="shared" si="420"/>
        <v>0</v>
      </c>
      <c r="GX206" s="110">
        <f t="shared" si="386"/>
        <v>0</v>
      </c>
      <c r="GY206" s="110">
        <f t="shared" si="387"/>
        <v>0</v>
      </c>
      <c r="GZ206" s="109">
        <f t="shared" si="388"/>
        <v>0</v>
      </c>
      <c r="HA206" s="109">
        <f t="shared" si="333"/>
        <v>0</v>
      </c>
      <c r="HB206" s="113">
        <f t="shared" si="389"/>
        <v>0</v>
      </c>
      <c r="HD206" s="102">
        <f t="shared" si="390"/>
        <v>0</v>
      </c>
      <c r="HE206" s="211">
        <f>IF(HI205&lt;=0,"",HE205+1)</f>
        <v>182</v>
      </c>
      <c r="HF206" s="212">
        <f t="shared" si="391"/>
        <v>0</v>
      </c>
      <c r="HG206" s="212">
        <f t="shared" si="334"/>
        <v>0</v>
      </c>
      <c r="HH206" s="212">
        <f t="shared" ref="HH206:HH216" si="453">MIN(HI205+HF206,HH205)</f>
        <v>0</v>
      </c>
      <c r="HI206" s="213">
        <f t="shared" si="335"/>
        <v>1000000</v>
      </c>
      <c r="HL206" s="182"/>
      <c r="HM206" s="26">
        <f t="shared" ca="1" si="336"/>
        <v>5</v>
      </c>
      <c r="HO206" s="268">
        <f t="shared" si="337"/>
        <v>0</v>
      </c>
      <c r="HP206" s="151">
        <f t="shared" si="448"/>
        <v>0</v>
      </c>
      <c r="HQ206" s="123">
        <f t="shared" si="392"/>
        <v>0</v>
      </c>
      <c r="HR206" s="123">
        <f t="shared" si="393"/>
        <v>0</v>
      </c>
      <c r="HS206" s="123">
        <f t="shared" si="394"/>
        <v>0</v>
      </c>
      <c r="HT206" s="123">
        <f>IF(HY205&lt;0.01,0,IF(Adm!$GS$4=Adm!$GS$8,HY205*$HY$15,IF(Adm!$GS$12=Adm!$GS$13,0,HY205*Adm!$GV$4)))</f>
        <v>0</v>
      </c>
      <c r="HU206" s="123">
        <f>IF(HY205&lt;0.01,0,IF(Adm!$GS$5=Adm!$GS$8,Cal!$BO$108*$HY$16/1.16,IF(Adm!$GS$12=Adm!$GS$13,0,Cal!$BO$108*Adm!$GW$4/1.16)))</f>
        <v>0</v>
      </c>
      <c r="HV206" s="123">
        <f t="shared" si="395"/>
        <v>0</v>
      </c>
      <c r="HW206" s="123">
        <f t="shared" si="338"/>
        <v>0</v>
      </c>
      <c r="HX206" s="123">
        <f>IF(Adm!$GH$6="si",MIN(HY205+HQ206+HT206+HU206+HV206-HW206,IH206),0)</f>
        <v>0</v>
      </c>
      <c r="HY206" s="297">
        <f t="shared" si="396"/>
        <v>0</v>
      </c>
      <c r="HZ206" s="74"/>
      <c r="IA206" s="407">
        <f t="shared" si="397"/>
        <v>0</v>
      </c>
      <c r="IC206" s="90">
        <f t="shared" si="398"/>
        <v>2</v>
      </c>
      <c r="ID206" s="124">
        <f>IF(IC206=1,Cal!$BO$127,0)</f>
        <v>0</v>
      </c>
      <c r="IE206" s="178">
        <f>IF(IC206=1,Adm!$HI$4,0)</f>
        <v>0</v>
      </c>
      <c r="IG206" s="70">
        <f t="shared" si="421"/>
        <v>0</v>
      </c>
      <c r="IH206" s="2178">
        <f t="shared" ca="1" si="399"/>
        <v>0</v>
      </c>
      <c r="IK206" s="217"/>
      <c r="IL206" s="26">
        <f t="shared" ca="1" si="339"/>
        <v>5</v>
      </c>
      <c r="IN206" s="268">
        <f t="shared" si="340"/>
        <v>0</v>
      </c>
      <c r="IO206" s="151">
        <f t="shared" si="449"/>
        <v>0</v>
      </c>
      <c r="IP206" s="123">
        <f t="shared" si="400"/>
        <v>0</v>
      </c>
      <c r="IQ206" s="123">
        <f t="shared" si="401"/>
        <v>0</v>
      </c>
      <c r="IR206" s="123">
        <f t="shared" si="402"/>
        <v>0</v>
      </c>
      <c r="IS206" s="123">
        <f>IF(IX205&lt;0.01,0,IF(Adm!$GS$4=Adm!$GS$8,IX205*$IX$15,IF(Adm!$GS$12=Adm!$GS$13,0,IX205*Adm!$GV$4)))</f>
        <v>0</v>
      </c>
      <c r="IT206" s="123"/>
      <c r="IU206" s="123">
        <f t="shared" si="403"/>
        <v>0</v>
      </c>
      <c r="IV206" s="123">
        <f t="shared" si="404"/>
        <v>0</v>
      </c>
      <c r="IW206" s="123"/>
      <c r="IX206" s="297">
        <f t="shared" si="405"/>
        <v>0</v>
      </c>
      <c r="IY206" s="74"/>
      <c r="IZ206" s="416">
        <f t="shared" si="406"/>
        <v>0</v>
      </c>
      <c r="JB206" s="90">
        <f t="shared" si="407"/>
        <v>2</v>
      </c>
      <c r="JC206" s="124">
        <f>IF(JB206=1,Cal!$BP$127,0)</f>
        <v>0</v>
      </c>
      <c r="JD206" s="178">
        <f>IF(JB206=1,Adm!$HI$4,0)</f>
        <v>0</v>
      </c>
    </row>
    <row r="207" spans="1:264">
      <c r="A207" s="26">
        <f t="shared" ca="1" si="308"/>
        <v>6</v>
      </c>
      <c r="C207" s="33">
        <f t="shared" si="309"/>
        <v>0</v>
      </c>
      <c r="D207" s="123">
        <f t="shared" si="341"/>
        <v>0</v>
      </c>
      <c r="E207" s="123">
        <f t="shared" si="433"/>
        <v>0</v>
      </c>
      <c r="F207" s="123">
        <f t="shared" si="443"/>
        <v>0</v>
      </c>
      <c r="G207" s="123">
        <f>IF(L206&lt;0.01,0,IF(Adm!$S$4=Adm!$S$8,L206*$L$15,L206*Adm!$V$4))</f>
        <v>0</v>
      </c>
      <c r="H207" s="123">
        <f>IF(L206&lt;0.01,0,IF(Adm!$S$5=Adm!$S$8,Adm!$AA$11*$L$16/1.16,IF(Adm!$B$4=Adm!$A$119,0,Adm!$AA$11*Adm!$X$4/1.16)))</f>
        <v>0</v>
      </c>
      <c r="I207" s="123">
        <f>IF(L206&lt;0.01,0,Cal!$AB$126/1.16)</f>
        <v>0</v>
      </c>
      <c r="J207" s="123">
        <f t="shared" si="310"/>
        <v>0</v>
      </c>
      <c r="K207" s="123">
        <f>IF(Adm!$G$4="si",MIN(L206+D207+G207+H207+I207-J207,V207),0)</f>
        <v>0</v>
      </c>
      <c r="L207" s="123">
        <f t="shared" si="342"/>
        <v>0</v>
      </c>
      <c r="M207" s="74"/>
      <c r="N207" s="74"/>
      <c r="O207" s="407">
        <f t="shared" si="343"/>
        <v>0</v>
      </c>
      <c r="R207" s="90">
        <f t="shared" si="344"/>
        <v>3</v>
      </c>
      <c r="S207" s="121">
        <f>IF(R207=1,Cal!$AB$127,0)</f>
        <v>0</v>
      </c>
      <c r="U207" s="70">
        <f t="shared" si="408"/>
        <v>0</v>
      </c>
      <c r="V207" s="2178">
        <f t="shared" ca="1" si="345"/>
        <v>0</v>
      </c>
      <c r="X207" s="398"/>
      <c r="Z207" s="268">
        <f t="shared" si="311"/>
        <v>0</v>
      </c>
      <c r="AA207" s="2176">
        <f t="shared" si="346"/>
        <v>0</v>
      </c>
      <c r="AB207" s="33">
        <f t="shared" si="347"/>
        <v>0</v>
      </c>
      <c r="AC207" s="33">
        <f t="shared" si="348"/>
        <v>0</v>
      </c>
      <c r="AD207" s="33">
        <f>IF(AI206&lt;0.01,0,IF(Adm!$S$4=Adm!$S$8,AI206*$AI$15,AI206*Adm!$V$4))</f>
        <v>0</v>
      </c>
      <c r="AE207" s="33"/>
      <c r="AF207" s="33"/>
      <c r="AG207" s="33">
        <f t="shared" si="312"/>
        <v>0</v>
      </c>
      <c r="AH207" s="33"/>
      <c r="AI207" s="401">
        <f t="shared" si="313"/>
        <v>0</v>
      </c>
      <c r="AK207" s="410">
        <f t="shared" si="314"/>
        <v>0</v>
      </c>
      <c r="AN207" s="90">
        <f t="shared" si="349"/>
        <v>3</v>
      </c>
      <c r="AO207" s="121">
        <f>IF(AN207=1,Cal!$AC$127,0)</f>
        <v>0</v>
      </c>
      <c r="AS207" s="200"/>
      <c r="AU207" s="268">
        <f t="shared" si="315"/>
        <v>0</v>
      </c>
      <c r="AV207" s="2177">
        <f t="shared" si="350"/>
        <v>0</v>
      </c>
      <c r="AW207" s="123">
        <f t="shared" si="316"/>
        <v>0</v>
      </c>
      <c r="AX207" s="123">
        <f t="shared" si="351"/>
        <v>0</v>
      </c>
      <c r="AY207" s="123">
        <f>IF(BC206&lt;0.01,0,IF(Adm!$S$4=Adm!$S$8,BC206*$BC$16,BC206*Adm!$V$4))</f>
        <v>0</v>
      </c>
      <c r="AZ207" s="123"/>
      <c r="BA207" s="123">
        <f>IF(BC206&lt;0.01,0,Adm!$Q$6)</f>
        <v>0</v>
      </c>
      <c r="BB207" s="123">
        <f t="shared" si="317"/>
        <v>0</v>
      </c>
      <c r="BC207" s="297">
        <f t="shared" si="352"/>
        <v>0</v>
      </c>
      <c r="BE207" s="425">
        <f t="shared" si="318"/>
        <v>0</v>
      </c>
      <c r="BH207" s="90">
        <f t="shared" si="353"/>
        <v>3</v>
      </c>
      <c r="BI207" s="121">
        <f>IF(BH207=1,Cal!$AD$127,0)</f>
        <v>0</v>
      </c>
      <c r="BM207" s="221"/>
      <c r="BO207" s="295">
        <f t="shared" ca="1" si="319"/>
        <v>6</v>
      </c>
      <c r="BP207" s="268">
        <f t="shared" si="320"/>
        <v>0</v>
      </c>
      <c r="BQ207" s="123">
        <f t="shared" si="354"/>
        <v>0</v>
      </c>
      <c r="BR207" s="123">
        <f t="shared" si="434"/>
        <v>0</v>
      </c>
      <c r="BS207" s="123">
        <f t="shared" si="444"/>
        <v>0</v>
      </c>
      <c r="BT207" s="123">
        <f>IF(BZ206&lt;0.01,0,IF(Plus!$F$22=Plus!$AN$4,BZ206*$BZ$15,IF(Plus!$F$22=Plus!$AN$3,BZ206*Plus!$F$23/1000,BZ206*VLOOKUP(Plus!$G$21,Plus!$AP$2:'Plus'!$AQ$5,2,0))))</f>
        <v>0</v>
      </c>
      <c r="BU207" s="123">
        <f>IF(BZ206&lt;0.01,0,IF(Plus!$F$24=Plus!$AO$3,Plus!$G$13*Plus!$AR$2/1.16,IF(Plus!$F$10=Plus!$AK$7,0,Plus!$G$13*Plus!$AR$2/1.16)))</f>
        <v>0</v>
      </c>
      <c r="BV207" s="123">
        <f>IF(BZ206&lt;0.01,0,Plus!$BD$2)</f>
        <v>0</v>
      </c>
      <c r="BW207" s="123"/>
      <c r="BX207" s="123">
        <f t="shared" si="321"/>
        <v>0</v>
      </c>
      <c r="BY207" s="123">
        <f>IF(Plus!$F$10=Plus!$AK$3,MIN(BZ206+BQ207+BT207+BU207+BV207-BX207,CJ207),0)</f>
        <v>0</v>
      </c>
      <c r="BZ207" s="297">
        <f t="shared" si="428"/>
        <v>0</v>
      </c>
      <c r="CA207" s="74"/>
      <c r="CB207" s="74"/>
      <c r="CC207" s="413">
        <f t="shared" si="355"/>
        <v>0</v>
      </c>
      <c r="CF207" s="90">
        <f t="shared" si="356"/>
        <v>3</v>
      </c>
      <c r="CG207" s="121">
        <f t="shared" si="409"/>
        <v>0</v>
      </c>
      <c r="CI207" s="70">
        <f t="shared" si="410"/>
        <v>0</v>
      </c>
      <c r="CJ207" s="2178">
        <f t="shared" ca="1" si="357"/>
        <v>0</v>
      </c>
      <c r="CL207" s="161"/>
      <c r="CN207" s="308">
        <f t="shared" ca="1" si="322"/>
        <v>6</v>
      </c>
      <c r="CO207" s="309">
        <f t="shared" si="358"/>
        <v>0</v>
      </c>
      <c r="CP207" s="268">
        <f t="shared" si="323"/>
        <v>0</v>
      </c>
      <c r="CQ207" s="123">
        <f t="shared" si="359"/>
        <v>0</v>
      </c>
      <c r="CR207" s="123">
        <f t="shared" si="435"/>
        <v>0</v>
      </c>
      <c r="CS207" s="123">
        <f t="shared" si="436"/>
        <v>0</v>
      </c>
      <c r="CT207" s="33">
        <f>IF(CZ206&lt;0.01,0,IF(Plus!$F$22=Plus!$AN$4,0,IF(Plus!$F$22=Plus!$AN$3,CZ206*Plus!$F$23/1000,CZ206*VLOOKUP(Plus!$G$21,Plus!$AP$2:'Plus'!$AQ$5,2,0))))</f>
        <v>0</v>
      </c>
      <c r="CU207" s="123">
        <f>IF(CZ206&lt;0.01,0,IF(Plus!$F$24=Plus!$AO$3,0,IF(OR(Plus!$F$10=Plus!$AK$7,Plus!$F$10=Plus!$AK$13),0,Plus!$G$13*Plus!$AR$2)))</f>
        <v>0</v>
      </c>
      <c r="CV207" s="123">
        <f>IF(CZ206&lt;0.01,0,IF(OR(Plus!$F$10=Plus!$AK$7,Plus!$F$10=Plus!$AK$13),0,Plus!$BD$2*1.16))</f>
        <v>0</v>
      </c>
      <c r="CW207" s="123">
        <f>IF(CZ206&lt;0.01,0,IF(Plus!$AS$2&gt;0,CQ207*Plus!$AS$3,0))</f>
        <v>0</v>
      </c>
      <c r="CX207" s="123">
        <f t="shared" si="360"/>
        <v>0</v>
      </c>
      <c r="CY207" s="123">
        <f>IF(Plus!$F$10=Plus!$AK$3,MIN(CZ206+CQ207+CT207+CU207+CV207-CX207,DK207),0)</f>
        <v>0</v>
      </c>
      <c r="CZ207" s="297">
        <f t="shared" si="440"/>
        <v>0</v>
      </c>
      <c r="DA207" s="306">
        <f>Plus!O248</f>
        <v>0</v>
      </c>
      <c r="DB207" s="74"/>
      <c r="DC207" s="74"/>
      <c r="DD207" s="407">
        <f t="shared" si="361"/>
        <v>0</v>
      </c>
      <c r="DG207" s="90">
        <f t="shared" si="362"/>
        <v>3</v>
      </c>
      <c r="DH207" s="121">
        <f t="shared" si="411"/>
        <v>0</v>
      </c>
      <c r="DJ207" s="149">
        <f t="shared" si="412"/>
        <v>0</v>
      </c>
      <c r="DK207" s="2179">
        <f t="shared" ca="1" si="363"/>
        <v>0</v>
      </c>
      <c r="DN207" s="120">
        <f t="shared" si="413"/>
        <v>0</v>
      </c>
      <c r="DO207" s="110">
        <f t="shared" si="364"/>
        <v>0</v>
      </c>
      <c r="DP207" s="110">
        <f t="shared" si="422"/>
        <v>0</v>
      </c>
      <c r="DQ207" s="109">
        <f t="shared" si="365"/>
        <v>0</v>
      </c>
      <c r="DR207" s="109">
        <f t="shared" si="366"/>
        <v>0</v>
      </c>
      <c r="DS207" s="113">
        <f t="shared" si="367"/>
        <v>0</v>
      </c>
      <c r="DU207" s="102">
        <f t="shared" si="368"/>
        <v>0</v>
      </c>
      <c r="DV207" s="211">
        <f>IF(DZ206&lt;=0,"",DV206+1)</f>
        <v>183</v>
      </c>
      <c r="DW207" s="212">
        <f t="shared" si="369"/>
        <v>0</v>
      </c>
      <c r="DX207" s="212">
        <f t="shared" si="324"/>
        <v>0</v>
      </c>
      <c r="DY207" s="212">
        <f t="shared" si="414"/>
        <v>0</v>
      </c>
      <c r="DZ207" s="213">
        <f t="shared" si="325"/>
        <v>1000000</v>
      </c>
      <c r="ED207" s="182"/>
      <c r="EF207" s="308">
        <f t="shared" ca="1" si="326"/>
        <v>6</v>
      </c>
      <c r="EG207" s="309">
        <f t="shared" si="370"/>
        <v>0</v>
      </c>
      <c r="EH207" s="268">
        <f t="shared" si="327"/>
        <v>0</v>
      </c>
      <c r="EI207" s="33">
        <f t="shared" si="371"/>
        <v>0</v>
      </c>
      <c r="EJ207" s="33">
        <f t="shared" si="437"/>
        <v>0</v>
      </c>
      <c r="EK207" s="33">
        <f t="shared" si="445"/>
        <v>0</v>
      </c>
      <c r="EL207" s="33">
        <f>IF(ER206&lt;0.01,0,IF(Plus!$F$22=Plus!$AN$4,0,IF(Plus!$F$22=Plus!$AN$3,ER206*Plus!$F$23/1000,ER206*VLOOKUP(Plus!$G$21,Plus!$AP$2:'Plus'!$AQ$5,2,0))))</f>
        <v>0</v>
      </c>
      <c r="EM207" s="33">
        <f>IF(ER206&lt;0.01,0,IF(Plus!$F$24=Plus!$AO$3,0,IF(OR(Plus!$F$10=Plus!$AK$7,Plus!$F$10=Plus!$AK$13),0,Plus!$G$13*Plus!$AR$2)))</f>
        <v>0</v>
      </c>
      <c r="EN207" s="33">
        <f>IF(ER206&lt;0.01,0,IF(OR(Plus!$F$10=Plus!$AK$7,Plus!$F$10=Plus!$AK$13),0,Plus!$BD$2*1.16))</f>
        <v>0</v>
      </c>
      <c r="EO207" s="33">
        <f>IF(ER206&lt;0.01,0,IF(Plus!$AS$2&gt;0,EI207*Plus!$AS$3,0))</f>
        <v>0</v>
      </c>
      <c r="EP207" s="33">
        <f t="shared" si="372"/>
        <v>0</v>
      </c>
      <c r="EQ207" s="33">
        <f>IF(Plus!$F$10=Plus!$AK$3,MIN(ER206+EI207+EL207+EM207+EN207-EP207,FC207),0)</f>
        <v>0</v>
      </c>
      <c r="ER207" s="311">
        <f t="shared" si="431"/>
        <v>0</v>
      </c>
      <c r="ES207" s="340">
        <f>Plus!O248</f>
        <v>0</v>
      </c>
      <c r="ET207" s="74"/>
      <c r="EU207" s="74"/>
      <c r="EV207" s="416">
        <f t="shared" si="429"/>
        <v>0</v>
      </c>
      <c r="EY207" s="90">
        <f t="shared" si="373"/>
        <v>3</v>
      </c>
      <c r="EZ207" s="121">
        <f t="shared" si="415"/>
        <v>0</v>
      </c>
      <c r="FB207" s="149">
        <f t="shared" si="416"/>
        <v>0</v>
      </c>
      <c r="FC207" s="2179">
        <f t="shared" ca="1" si="374"/>
        <v>0</v>
      </c>
      <c r="FE207" s="120">
        <f t="shared" si="417"/>
        <v>0</v>
      </c>
      <c r="FF207" s="110">
        <f t="shared" si="375"/>
        <v>0</v>
      </c>
      <c r="FG207" s="110">
        <f t="shared" si="376"/>
        <v>0</v>
      </c>
      <c r="FH207" s="109">
        <f t="shared" si="377"/>
        <v>0</v>
      </c>
      <c r="FI207" s="109">
        <f t="shared" si="328"/>
        <v>0</v>
      </c>
      <c r="FJ207" s="113">
        <f t="shared" si="378"/>
        <v>0</v>
      </c>
      <c r="FL207" s="102">
        <f t="shared" si="379"/>
        <v>0</v>
      </c>
      <c r="FM207" s="211">
        <f>IF(FQ206&lt;=0,"",FM206+1)</f>
        <v>183</v>
      </c>
      <c r="FN207" s="212">
        <f t="shared" si="380"/>
        <v>0</v>
      </c>
      <c r="FO207" s="212">
        <f t="shared" si="329"/>
        <v>0</v>
      </c>
      <c r="FP207" s="212">
        <f t="shared" si="452"/>
        <v>0</v>
      </c>
      <c r="FQ207" s="213">
        <f t="shared" si="330"/>
        <v>1000000</v>
      </c>
      <c r="FV207" s="359"/>
      <c r="FX207" s="308">
        <f t="shared" ca="1" si="331"/>
        <v>6</v>
      </c>
      <c r="FY207" s="309">
        <f t="shared" si="381"/>
        <v>0</v>
      </c>
      <c r="FZ207" s="268">
        <f t="shared" si="332"/>
        <v>0</v>
      </c>
      <c r="GA207" s="33">
        <f t="shared" si="382"/>
        <v>0</v>
      </c>
      <c r="GB207" s="33">
        <f t="shared" si="438"/>
        <v>0</v>
      </c>
      <c r="GC207" s="33">
        <f t="shared" si="439"/>
        <v>0</v>
      </c>
      <c r="GD207" s="33">
        <f>IF(GJ206&lt;0.01,0,IF(Plus!$F$22=Plus!$AN$4,0,IF(Plus!$F$22=Plus!$AN$3,GJ206*Plus!$F$23/1000,GJ206*VLOOKUP(Plus!$G$21,Plus!$AP$2:$AQ$5,2,0))))</f>
        <v>0</v>
      </c>
      <c r="GE207" s="33">
        <f>IF(GJ206&lt;0.01,0,IF(Plus!$F$24=Plus!$AO$3,0,IF(OR(Plus!$F$10=Plus!$AK$7,Plus!$F$10=Plus!$AK$13,Plus!$F$10=Plus!$AK$14),0,IF(OR(Plus!$F$10=Plus!$AK$10,Plus!$F$10=Plus!$AK$11),Plus!$G$13*Adm!$W$7,Plus!$G$13*Adm!$X$4))))</f>
        <v>0</v>
      </c>
      <c r="GF207" s="33">
        <f>IF(GJ206&lt;0.01,0,IF(OR(Plus!$F$10=Plus!$AK$7,Plus!$F$10=Plus!$AK$13),0,Plus!$BD$2*1.16))</f>
        <v>0</v>
      </c>
      <c r="GG207" s="33">
        <f>IF(GJ206&lt;0.01,0,IF(Plus!$AS$2&gt;0,GA207*Plus!$AS$3,0))</f>
        <v>0</v>
      </c>
      <c r="GH207" s="33">
        <f t="shared" si="383"/>
        <v>0</v>
      </c>
      <c r="GI207" s="33">
        <f>IF(Plus!$F$10=Plus!$AK$3,MIN(GJ206+GA207+GD207+GE207+GF207-GH207,GU207),0)</f>
        <v>0</v>
      </c>
      <c r="GJ207" s="311">
        <f t="shared" si="432"/>
        <v>0</v>
      </c>
      <c r="GK207" s="340">
        <f>Plus!O248</f>
        <v>0</v>
      </c>
      <c r="GL207" s="74"/>
      <c r="GM207" s="74"/>
      <c r="GN207" s="419">
        <f t="shared" si="430"/>
        <v>0</v>
      </c>
      <c r="GQ207" s="90">
        <f t="shared" si="384"/>
        <v>3</v>
      </c>
      <c r="GR207" s="121">
        <f t="shared" si="418"/>
        <v>0</v>
      </c>
      <c r="GT207" s="149">
        <f t="shared" si="419"/>
        <v>0</v>
      </c>
      <c r="GU207" s="2179">
        <f t="shared" ca="1" si="385"/>
        <v>0</v>
      </c>
      <c r="GW207" s="120">
        <f t="shared" si="420"/>
        <v>0</v>
      </c>
      <c r="GX207" s="110">
        <f t="shared" si="386"/>
        <v>0</v>
      </c>
      <c r="GY207" s="110">
        <f t="shared" si="387"/>
        <v>0</v>
      </c>
      <c r="GZ207" s="109">
        <f t="shared" si="388"/>
        <v>0</v>
      </c>
      <c r="HA207" s="109">
        <f t="shared" si="333"/>
        <v>0</v>
      </c>
      <c r="HB207" s="113">
        <f t="shared" si="389"/>
        <v>0</v>
      </c>
      <c r="HD207" s="102">
        <f t="shared" si="390"/>
        <v>0</v>
      </c>
      <c r="HE207" s="211">
        <f>IF(HI206&lt;=0,"",HE206+1)</f>
        <v>183</v>
      </c>
      <c r="HF207" s="212">
        <f t="shared" si="391"/>
        <v>0</v>
      </c>
      <c r="HG207" s="212">
        <f t="shared" si="334"/>
        <v>0</v>
      </c>
      <c r="HH207" s="212">
        <f t="shared" si="453"/>
        <v>0</v>
      </c>
      <c r="HI207" s="213">
        <f t="shared" si="335"/>
        <v>1000000</v>
      </c>
      <c r="HL207" s="182"/>
      <c r="HM207" s="26">
        <f t="shared" ca="1" si="336"/>
        <v>6</v>
      </c>
      <c r="HO207" s="268">
        <f t="shared" si="337"/>
        <v>0</v>
      </c>
      <c r="HP207" s="151">
        <f t="shared" si="448"/>
        <v>0</v>
      </c>
      <c r="HQ207" s="123">
        <f t="shared" si="392"/>
        <v>0</v>
      </c>
      <c r="HR207" s="123">
        <f t="shared" si="393"/>
        <v>0</v>
      </c>
      <c r="HS207" s="123">
        <f t="shared" si="394"/>
        <v>0</v>
      </c>
      <c r="HT207" s="123">
        <f>IF(HY206&lt;0.01,0,IF(Adm!$GS$4=Adm!$GS$8,HY206*$HY$15,IF(Adm!$GS$12=Adm!$GS$13,0,HY206*Adm!$GV$4)))</f>
        <v>0</v>
      </c>
      <c r="HU207" s="123">
        <f>IF(HY206&lt;0.01,0,IF(Adm!$GS$5=Adm!$GS$8,Cal!$BO$108*$HY$16/1.16,IF(Adm!$GS$12=Adm!$GS$13,0,Cal!$BO$108*Adm!$GW$4/1.16)))</f>
        <v>0</v>
      </c>
      <c r="HV207" s="123">
        <f t="shared" si="395"/>
        <v>0</v>
      </c>
      <c r="HW207" s="123">
        <f t="shared" si="338"/>
        <v>0</v>
      </c>
      <c r="HX207" s="123">
        <f>IF(Adm!$GH$6="si",MIN(HY206+HQ207+HT207+HU207+HV207-HW207,IH207),0)</f>
        <v>0</v>
      </c>
      <c r="HY207" s="297">
        <f t="shared" si="396"/>
        <v>0</v>
      </c>
      <c r="HZ207" s="74"/>
      <c r="IA207" s="407">
        <f t="shared" si="397"/>
        <v>0</v>
      </c>
      <c r="IC207" s="90">
        <f t="shared" si="398"/>
        <v>3</v>
      </c>
      <c r="ID207" s="124">
        <f>IF(IC207=1,Cal!$BO$127,0)</f>
        <v>0</v>
      </c>
      <c r="IE207" s="178">
        <f>IF(IC207=1,Adm!$HI$4,0)</f>
        <v>0</v>
      </c>
      <c r="IG207" s="70">
        <f t="shared" si="421"/>
        <v>0</v>
      </c>
      <c r="IH207" s="2178">
        <f t="shared" ca="1" si="399"/>
        <v>0</v>
      </c>
      <c r="IK207" s="217"/>
      <c r="IL207" s="26">
        <f t="shared" ca="1" si="339"/>
        <v>6</v>
      </c>
      <c r="IN207" s="268">
        <f t="shared" si="340"/>
        <v>0</v>
      </c>
      <c r="IO207" s="151">
        <f t="shared" si="449"/>
        <v>0</v>
      </c>
      <c r="IP207" s="123">
        <f t="shared" si="400"/>
        <v>0</v>
      </c>
      <c r="IQ207" s="123">
        <f t="shared" si="401"/>
        <v>0</v>
      </c>
      <c r="IR207" s="123">
        <f t="shared" si="402"/>
        <v>0</v>
      </c>
      <c r="IS207" s="123">
        <f>IF(IX206&lt;0.01,0,IF(Adm!$GS$4=Adm!$GS$8,IX206*$IX$15,IF(Adm!$GS$12=Adm!$GS$13,0,IX206*Adm!$GV$4)))</f>
        <v>0</v>
      </c>
      <c r="IT207" s="123"/>
      <c r="IU207" s="123">
        <f t="shared" si="403"/>
        <v>0</v>
      </c>
      <c r="IV207" s="123">
        <f t="shared" si="404"/>
        <v>0</v>
      </c>
      <c r="IW207" s="123"/>
      <c r="IX207" s="297">
        <f t="shared" si="405"/>
        <v>0</v>
      </c>
      <c r="IY207" s="74"/>
      <c r="IZ207" s="416">
        <f t="shared" si="406"/>
        <v>0</v>
      </c>
      <c r="JB207" s="90">
        <f t="shared" si="407"/>
        <v>3</v>
      </c>
      <c r="JC207" s="124">
        <f>IF(JB207=1,Cal!$BP$127,0)</f>
        <v>0</v>
      </c>
      <c r="JD207" s="178">
        <f>IF(JB207=1,Adm!$HI$4,0)</f>
        <v>0</v>
      </c>
    </row>
    <row r="208" spans="1:264">
      <c r="A208" s="26">
        <f t="shared" ca="1" si="308"/>
        <v>7</v>
      </c>
      <c r="C208" s="33">
        <f t="shared" si="309"/>
        <v>0</v>
      </c>
      <c r="D208" s="123">
        <f t="shared" si="341"/>
        <v>0</v>
      </c>
      <c r="E208" s="123">
        <f t="shared" si="433"/>
        <v>0</v>
      </c>
      <c r="F208" s="123">
        <f t="shared" si="443"/>
        <v>0</v>
      </c>
      <c r="G208" s="123">
        <f>IF(L207&lt;0.01,0,IF(Adm!$S$4=Adm!$S$8,L207*$L$15,L207*Adm!$V$4))</f>
        <v>0</v>
      </c>
      <c r="H208" s="123">
        <f>IF(L207&lt;0.01,0,IF(Adm!$S$5=Adm!$S$8,Adm!$AA$11*$L$16/1.16,IF(Adm!$B$4=Adm!$A$119,0,Adm!$AA$11*Adm!$X$4/1.16)))</f>
        <v>0</v>
      </c>
      <c r="I208" s="123">
        <f>IF(L207&lt;0.01,0,Cal!$AB$126/1.16)</f>
        <v>0</v>
      </c>
      <c r="J208" s="123">
        <f t="shared" si="310"/>
        <v>0</v>
      </c>
      <c r="K208" s="123">
        <f>IF(Adm!$G$4="si",MIN(L207+D208+G208+H208+I208-J208,V208),0)</f>
        <v>0</v>
      </c>
      <c r="L208" s="123">
        <f t="shared" si="342"/>
        <v>0</v>
      </c>
      <c r="M208" s="74"/>
      <c r="N208" s="74"/>
      <c r="O208" s="407">
        <f t="shared" si="343"/>
        <v>0</v>
      </c>
      <c r="R208" s="90">
        <f t="shared" si="344"/>
        <v>4</v>
      </c>
      <c r="S208" s="121">
        <f>IF(R208=1,Cal!$AB$127,0)</f>
        <v>0</v>
      </c>
      <c r="U208" s="70">
        <f t="shared" si="408"/>
        <v>0</v>
      </c>
      <c r="V208" s="2178">
        <f t="shared" ca="1" si="345"/>
        <v>0</v>
      </c>
      <c r="X208" s="398"/>
      <c r="Z208" s="268">
        <f t="shared" si="311"/>
        <v>0</v>
      </c>
      <c r="AA208" s="2176">
        <f t="shared" si="346"/>
        <v>0</v>
      </c>
      <c r="AB208" s="33">
        <f t="shared" si="347"/>
        <v>0</v>
      </c>
      <c r="AC208" s="33">
        <f t="shared" si="348"/>
        <v>0</v>
      </c>
      <c r="AD208" s="33">
        <f>IF(AI207&lt;0.01,0,IF(Adm!$S$4=Adm!$S$8,AI207*$AI$15,AI207*Adm!$V$4))</f>
        <v>0</v>
      </c>
      <c r="AE208" s="33"/>
      <c r="AF208" s="33"/>
      <c r="AG208" s="33">
        <f t="shared" si="312"/>
        <v>0</v>
      </c>
      <c r="AH208" s="33"/>
      <c r="AI208" s="401">
        <f t="shared" si="313"/>
        <v>0</v>
      </c>
      <c r="AK208" s="410">
        <f t="shared" si="314"/>
        <v>0</v>
      </c>
      <c r="AN208" s="90">
        <f t="shared" si="349"/>
        <v>4</v>
      </c>
      <c r="AO208" s="121">
        <f>IF(AN208=1,Cal!$AC$127,0)</f>
        <v>0</v>
      </c>
      <c r="AS208" s="200"/>
      <c r="AU208" s="268">
        <f t="shared" si="315"/>
        <v>0</v>
      </c>
      <c r="AV208" s="2177">
        <f t="shared" si="350"/>
        <v>0</v>
      </c>
      <c r="AW208" s="123">
        <f t="shared" si="316"/>
        <v>0</v>
      </c>
      <c r="AX208" s="123">
        <f t="shared" si="351"/>
        <v>0</v>
      </c>
      <c r="AY208" s="123">
        <f>IF(BC207&lt;0.01,0,IF(Adm!$S$4=Adm!$S$8,BC207*$BC$16,BC207*Adm!$V$4))</f>
        <v>0</v>
      </c>
      <c r="AZ208" s="123"/>
      <c r="BA208" s="123">
        <f>IF(BC207&lt;0.01,0,Adm!$Q$6)</f>
        <v>0</v>
      </c>
      <c r="BB208" s="123">
        <f t="shared" si="317"/>
        <v>0</v>
      </c>
      <c r="BC208" s="297">
        <f t="shared" si="352"/>
        <v>0</v>
      </c>
      <c r="BE208" s="425">
        <f t="shared" si="318"/>
        <v>0</v>
      </c>
      <c r="BH208" s="90">
        <f t="shared" si="353"/>
        <v>4</v>
      </c>
      <c r="BI208" s="121">
        <f>IF(BH208=1,Cal!$AD$127,0)</f>
        <v>0</v>
      </c>
      <c r="BM208" s="221"/>
      <c r="BO208" s="295">
        <f t="shared" ca="1" si="319"/>
        <v>7</v>
      </c>
      <c r="BP208" s="268">
        <f t="shared" si="320"/>
        <v>0</v>
      </c>
      <c r="BQ208" s="123">
        <f t="shared" si="354"/>
        <v>0</v>
      </c>
      <c r="BR208" s="123">
        <f t="shared" si="434"/>
        <v>0</v>
      </c>
      <c r="BS208" s="123">
        <f t="shared" si="444"/>
        <v>0</v>
      </c>
      <c r="BT208" s="123">
        <f>IF(BZ207&lt;0.01,0,IF(Plus!$F$22=Plus!$AN$4,BZ207*$BZ$15,IF(Plus!$F$22=Plus!$AN$3,BZ207*Plus!$F$23/1000,BZ207*VLOOKUP(Plus!$G$21,Plus!$AP$2:'Plus'!$AQ$5,2,0))))</f>
        <v>0</v>
      </c>
      <c r="BU208" s="123">
        <f>IF(BZ207&lt;0.01,0,IF(Plus!$F$24=Plus!$AO$3,Plus!$G$13*Plus!$AR$2/1.16,IF(Plus!$F$10=Plus!$AK$7,0,Plus!$G$13*Plus!$AR$2/1.16)))</f>
        <v>0</v>
      </c>
      <c r="BV208" s="123">
        <f>IF(BZ207&lt;0.01,0,Plus!$BD$2)</f>
        <v>0</v>
      </c>
      <c r="BW208" s="123"/>
      <c r="BX208" s="123">
        <f t="shared" si="321"/>
        <v>0</v>
      </c>
      <c r="BY208" s="123">
        <f>IF(Plus!$F$10=Plus!$AK$3,MIN(BZ207+BQ208+BT208+BU208+BV208-BX208,CJ208),0)</f>
        <v>0</v>
      </c>
      <c r="BZ208" s="297">
        <f t="shared" si="428"/>
        <v>0</v>
      </c>
      <c r="CA208" s="74"/>
      <c r="CB208" s="74"/>
      <c r="CC208" s="413">
        <f t="shared" si="355"/>
        <v>0</v>
      </c>
      <c r="CF208" s="90">
        <f t="shared" si="356"/>
        <v>4</v>
      </c>
      <c r="CG208" s="121">
        <f t="shared" si="409"/>
        <v>0</v>
      </c>
      <c r="CI208" s="70">
        <f t="shared" si="410"/>
        <v>0</v>
      </c>
      <c r="CJ208" s="2178">
        <f t="shared" ca="1" si="357"/>
        <v>0</v>
      </c>
      <c r="CL208" s="161"/>
      <c r="CN208" s="308">
        <f t="shared" ca="1" si="322"/>
        <v>7</v>
      </c>
      <c r="CO208" s="309">
        <f t="shared" si="358"/>
        <v>0</v>
      </c>
      <c r="CP208" s="268">
        <f t="shared" si="323"/>
        <v>0</v>
      </c>
      <c r="CQ208" s="123">
        <f t="shared" si="359"/>
        <v>0</v>
      </c>
      <c r="CR208" s="123">
        <f t="shared" si="435"/>
        <v>0</v>
      </c>
      <c r="CS208" s="123">
        <f t="shared" si="436"/>
        <v>0</v>
      </c>
      <c r="CT208" s="33">
        <f>IF(CZ207&lt;0.01,0,IF(Plus!$F$22=Plus!$AN$4,0,IF(Plus!$F$22=Plus!$AN$3,CZ207*Plus!$F$23/1000,CZ207*VLOOKUP(Plus!$G$21,Plus!$AP$2:'Plus'!$AQ$5,2,0))))</f>
        <v>0</v>
      </c>
      <c r="CU208" s="123">
        <f>IF(CZ207&lt;0.01,0,IF(Plus!$F$24=Plus!$AO$3,0,IF(OR(Plus!$F$10=Plus!$AK$7,Plus!$F$10=Plus!$AK$13),0,Plus!$G$13*Plus!$AR$2)))</f>
        <v>0</v>
      </c>
      <c r="CV208" s="123">
        <f>IF(CZ207&lt;0.01,0,IF(OR(Plus!$F$10=Plus!$AK$7,Plus!$F$10=Plus!$AK$13),0,Plus!$BD$2*1.16))</f>
        <v>0</v>
      </c>
      <c r="CW208" s="123">
        <f>IF(CZ207&lt;0.01,0,IF(Plus!$AS$2&gt;0,CQ208*Plus!$AS$3,0))</f>
        <v>0</v>
      </c>
      <c r="CX208" s="123">
        <f t="shared" si="360"/>
        <v>0</v>
      </c>
      <c r="CY208" s="123">
        <f>IF(Plus!$F$10=Plus!$AK$3,MIN(CZ207+CQ208+CT208+CU208+CV208-CX208,DK208),0)</f>
        <v>0</v>
      </c>
      <c r="CZ208" s="297">
        <f t="shared" si="440"/>
        <v>0</v>
      </c>
      <c r="DA208" s="306">
        <f>Plus!O249</f>
        <v>0</v>
      </c>
      <c r="DB208" s="74"/>
      <c r="DC208" s="74"/>
      <c r="DD208" s="407">
        <f t="shared" si="361"/>
        <v>0</v>
      </c>
      <c r="DG208" s="90">
        <f t="shared" si="362"/>
        <v>4</v>
      </c>
      <c r="DH208" s="121">
        <f t="shared" si="411"/>
        <v>0</v>
      </c>
      <c r="DJ208" s="149">
        <f t="shared" si="412"/>
        <v>0</v>
      </c>
      <c r="DK208" s="2179">
        <f t="shared" ca="1" si="363"/>
        <v>0</v>
      </c>
      <c r="DN208" s="120">
        <f t="shared" si="413"/>
        <v>0</v>
      </c>
      <c r="DO208" s="110">
        <f t="shared" si="364"/>
        <v>0</v>
      </c>
      <c r="DP208" s="110">
        <f t="shared" si="422"/>
        <v>0</v>
      </c>
      <c r="DQ208" s="109">
        <f t="shared" si="365"/>
        <v>0</v>
      </c>
      <c r="DR208" s="109">
        <f t="shared" si="366"/>
        <v>0</v>
      </c>
      <c r="DS208" s="113">
        <f t="shared" si="367"/>
        <v>0</v>
      </c>
      <c r="DU208" s="102">
        <f t="shared" si="368"/>
        <v>0</v>
      </c>
      <c r="DV208" s="211">
        <f t="shared" si="423"/>
        <v>184</v>
      </c>
      <c r="DW208" s="212">
        <f t="shared" si="369"/>
        <v>0</v>
      </c>
      <c r="DX208" s="212">
        <f t="shared" si="324"/>
        <v>0</v>
      </c>
      <c r="DY208" s="212">
        <f t="shared" si="414"/>
        <v>0</v>
      </c>
      <c r="DZ208" s="213">
        <f t="shared" si="325"/>
        <v>1000000</v>
      </c>
      <c r="ED208" s="182"/>
      <c r="EF208" s="308">
        <f t="shared" ca="1" si="326"/>
        <v>7</v>
      </c>
      <c r="EG208" s="309">
        <f t="shared" si="370"/>
        <v>0</v>
      </c>
      <c r="EH208" s="268">
        <f t="shared" si="327"/>
        <v>0</v>
      </c>
      <c r="EI208" s="33">
        <f t="shared" si="371"/>
        <v>0</v>
      </c>
      <c r="EJ208" s="33">
        <f t="shared" si="437"/>
        <v>0</v>
      </c>
      <c r="EK208" s="33">
        <f t="shared" si="445"/>
        <v>0</v>
      </c>
      <c r="EL208" s="33">
        <f>IF(ER207&lt;0.01,0,IF(Plus!$F$22=Plus!$AN$4,0,IF(Plus!$F$22=Plus!$AN$3,ER207*Plus!$F$23/1000,ER207*VLOOKUP(Plus!$G$21,Plus!$AP$2:'Plus'!$AQ$5,2,0))))</f>
        <v>0</v>
      </c>
      <c r="EM208" s="33">
        <f>IF(ER207&lt;0.01,0,IF(Plus!$F$24=Plus!$AO$3,0,IF(OR(Plus!$F$10=Plus!$AK$7,Plus!$F$10=Plus!$AK$13),0,Plus!$G$13*Plus!$AR$2)))</f>
        <v>0</v>
      </c>
      <c r="EN208" s="33">
        <f>IF(ER207&lt;0.01,0,IF(OR(Plus!$F$10=Plus!$AK$7,Plus!$F$10=Plus!$AK$13),0,Plus!$BD$2*1.16))</f>
        <v>0</v>
      </c>
      <c r="EO208" s="33">
        <f>IF(ER207&lt;0.01,0,IF(Plus!$AS$2&gt;0,EI208*Plus!$AS$3,0))</f>
        <v>0</v>
      </c>
      <c r="EP208" s="33">
        <f t="shared" si="372"/>
        <v>0</v>
      </c>
      <c r="EQ208" s="33">
        <f>IF(Plus!$F$10=Plus!$AK$3,MIN(ER207+EI208+EL208+EM208+EN208-EP208,FC208),0)</f>
        <v>0</v>
      </c>
      <c r="ER208" s="311">
        <f t="shared" si="431"/>
        <v>0</v>
      </c>
      <c r="ES208" s="340">
        <f>Plus!O249</f>
        <v>0</v>
      </c>
      <c r="ET208" s="74"/>
      <c r="EU208" s="74"/>
      <c r="EV208" s="416">
        <f t="shared" si="429"/>
        <v>0</v>
      </c>
      <c r="EY208" s="90">
        <f t="shared" si="373"/>
        <v>4</v>
      </c>
      <c r="EZ208" s="121">
        <f t="shared" si="415"/>
        <v>0</v>
      </c>
      <c r="FB208" s="149">
        <f t="shared" si="416"/>
        <v>0</v>
      </c>
      <c r="FC208" s="2179">
        <f t="shared" ca="1" si="374"/>
        <v>0</v>
      </c>
      <c r="FE208" s="120">
        <f t="shared" si="417"/>
        <v>0</v>
      </c>
      <c r="FF208" s="110">
        <f t="shared" si="375"/>
        <v>0</v>
      </c>
      <c r="FG208" s="110">
        <f t="shared" si="376"/>
        <v>0</v>
      </c>
      <c r="FH208" s="109">
        <f t="shared" si="377"/>
        <v>0</v>
      </c>
      <c r="FI208" s="109">
        <f t="shared" si="328"/>
        <v>0</v>
      </c>
      <c r="FJ208" s="113">
        <f t="shared" si="378"/>
        <v>0</v>
      </c>
      <c r="FL208" s="102">
        <f t="shared" si="379"/>
        <v>0</v>
      </c>
      <c r="FM208" s="211">
        <f t="shared" ref="FM208:FM264" si="454">IF(FQ207&lt;=0,"",FM207+1)</f>
        <v>184</v>
      </c>
      <c r="FN208" s="212">
        <f t="shared" si="380"/>
        <v>0</v>
      </c>
      <c r="FO208" s="212">
        <f t="shared" si="329"/>
        <v>0</v>
      </c>
      <c r="FP208" s="212">
        <f t="shared" si="452"/>
        <v>0</v>
      </c>
      <c r="FQ208" s="213">
        <f t="shared" si="330"/>
        <v>1000000</v>
      </c>
      <c r="FV208" s="359"/>
      <c r="FX208" s="308">
        <f t="shared" ca="1" si="331"/>
        <v>7</v>
      </c>
      <c r="FY208" s="309">
        <f t="shared" si="381"/>
        <v>0</v>
      </c>
      <c r="FZ208" s="268">
        <f t="shared" si="332"/>
        <v>0</v>
      </c>
      <c r="GA208" s="33">
        <f t="shared" si="382"/>
        <v>0</v>
      </c>
      <c r="GB208" s="33">
        <f t="shared" si="438"/>
        <v>0</v>
      </c>
      <c r="GC208" s="33">
        <f t="shared" si="439"/>
        <v>0</v>
      </c>
      <c r="GD208" s="33">
        <f>IF(GJ207&lt;0.01,0,IF(Plus!$F$22=Plus!$AN$4,0,IF(Plus!$F$22=Plus!$AN$3,GJ207*Plus!$F$23/1000,GJ207*VLOOKUP(Plus!$G$21,Plus!$AP$2:$AQ$5,2,0))))</f>
        <v>0</v>
      </c>
      <c r="GE208" s="33">
        <f>IF(GJ207&lt;0.01,0,IF(Plus!$F$24=Plus!$AO$3,0,IF(OR(Plus!$F$10=Plus!$AK$7,Plus!$F$10=Plus!$AK$13,Plus!$F$10=Plus!$AK$14),0,IF(OR(Plus!$F$10=Plus!$AK$10,Plus!$F$10=Plus!$AK$11),Plus!$G$13*Adm!$W$7,Plus!$G$13*Adm!$X$4))))</f>
        <v>0</v>
      </c>
      <c r="GF208" s="33">
        <f>IF(GJ207&lt;0.01,0,IF(OR(Plus!$F$10=Plus!$AK$7,Plus!$F$10=Plus!$AK$13),0,Plus!$BD$2*1.16))</f>
        <v>0</v>
      </c>
      <c r="GG208" s="33">
        <f>IF(GJ207&lt;0.01,0,IF(Plus!$AS$2&gt;0,GA208*Plus!$AS$3,0))</f>
        <v>0</v>
      </c>
      <c r="GH208" s="33">
        <f t="shared" si="383"/>
        <v>0</v>
      </c>
      <c r="GI208" s="33">
        <f>IF(Plus!$F$10=Plus!$AK$3,MIN(GJ207+GA208+GD208+GE208+GF208-GH208,GU208),0)</f>
        <v>0</v>
      </c>
      <c r="GJ208" s="311">
        <f t="shared" si="432"/>
        <v>0</v>
      </c>
      <c r="GK208" s="340">
        <f>Plus!O249</f>
        <v>0</v>
      </c>
      <c r="GL208" s="74"/>
      <c r="GM208" s="74"/>
      <c r="GN208" s="419">
        <f t="shared" si="430"/>
        <v>0</v>
      </c>
      <c r="GQ208" s="90">
        <f t="shared" si="384"/>
        <v>4</v>
      </c>
      <c r="GR208" s="121">
        <f t="shared" si="418"/>
        <v>0</v>
      </c>
      <c r="GT208" s="149">
        <f t="shared" si="419"/>
        <v>0</v>
      </c>
      <c r="GU208" s="2179">
        <f t="shared" ca="1" si="385"/>
        <v>0</v>
      </c>
      <c r="GW208" s="120">
        <f t="shared" si="420"/>
        <v>0</v>
      </c>
      <c r="GX208" s="110">
        <f t="shared" si="386"/>
        <v>0</v>
      </c>
      <c r="GY208" s="110">
        <f t="shared" si="387"/>
        <v>0</v>
      </c>
      <c r="GZ208" s="109">
        <f t="shared" si="388"/>
        <v>0</v>
      </c>
      <c r="HA208" s="109">
        <f t="shared" si="333"/>
        <v>0</v>
      </c>
      <c r="HB208" s="113">
        <f t="shared" si="389"/>
        <v>0</v>
      </c>
      <c r="HD208" s="102">
        <f t="shared" si="390"/>
        <v>0</v>
      </c>
      <c r="HE208" s="211">
        <f t="shared" ref="HE208:HE264" si="455">IF(HI207&lt;=0,"",HE207+1)</f>
        <v>184</v>
      </c>
      <c r="HF208" s="212">
        <f t="shared" si="391"/>
        <v>0</v>
      </c>
      <c r="HG208" s="212">
        <f t="shared" si="334"/>
        <v>0</v>
      </c>
      <c r="HH208" s="212">
        <f t="shared" si="453"/>
        <v>0</v>
      </c>
      <c r="HI208" s="213">
        <f t="shared" si="335"/>
        <v>1000000</v>
      </c>
      <c r="HL208" s="182"/>
      <c r="HM208" s="26">
        <f t="shared" ca="1" si="336"/>
        <v>7</v>
      </c>
      <c r="HO208" s="268">
        <f t="shared" si="337"/>
        <v>0</v>
      </c>
      <c r="HP208" s="151">
        <f t="shared" si="448"/>
        <v>0</v>
      </c>
      <c r="HQ208" s="123">
        <f t="shared" si="392"/>
        <v>0</v>
      </c>
      <c r="HR208" s="123">
        <f t="shared" si="393"/>
        <v>0</v>
      </c>
      <c r="HS208" s="123">
        <f t="shared" si="394"/>
        <v>0</v>
      </c>
      <c r="HT208" s="123">
        <f>IF(HY207&lt;0.01,0,IF(Adm!$GS$4=Adm!$GS$8,HY207*$HY$15,IF(Adm!$GS$12=Adm!$GS$13,0,HY207*Adm!$GV$4)))</f>
        <v>0</v>
      </c>
      <c r="HU208" s="123">
        <f>IF(HY207&lt;0.01,0,IF(Adm!$GS$5=Adm!$GS$8,Cal!$BO$108*$HY$16/1.16,IF(Adm!$GS$12=Adm!$GS$13,0,Cal!$BO$108*Adm!$GW$4/1.16)))</f>
        <v>0</v>
      </c>
      <c r="HV208" s="123">
        <f t="shared" si="395"/>
        <v>0</v>
      </c>
      <c r="HW208" s="123">
        <f t="shared" si="338"/>
        <v>0</v>
      </c>
      <c r="HX208" s="123">
        <f>IF(Adm!$GH$6="si",MIN(HY207+HQ208+HT208+HU208+HV208-HW208,IH208),0)</f>
        <v>0</v>
      </c>
      <c r="HY208" s="297">
        <f t="shared" si="396"/>
        <v>0</v>
      </c>
      <c r="HZ208" s="74"/>
      <c r="IA208" s="407">
        <f t="shared" si="397"/>
        <v>0</v>
      </c>
      <c r="IC208" s="90">
        <f t="shared" si="398"/>
        <v>4</v>
      </c>
      <c r="ID208" s="124">
        <f>IF(IC208=1,Cal!$BO$127,0)</f>
        <v>0</v>
      </c>
      <c r="IE208" s="178">
        <f>IF(IC208=1,Adm!$HI$4,0)</f>
        <v>0</v>
      </c>
      <c r="IG208" s="70">
        <f t="shared" si="421"/>
        <v>0</v>
      </c>
      <c r="IH208" s="2178">
        <f t="shared" ca="1" si="399"/>
        <v>0</v>
      </c>
      <c r="IK208" s="217"/>
      <c r="IL208" s="26">
        <f t="shared" ca="1" si="339"/>
        <v>7</v>
      </c>
      <c r="IN208" s="268">
        <f t="shared" si="340"/>
        <v>0</v>
      </c>
      <c r="IO208" s="151">
        <f t="shared" si="449"/>
        <v>0</v>
      </c>
      <c r="IP208" s="123">
        <f t="shared" si="400"/>
        <v>0</v>
      </c>
      <c r="IQ208" s="123">
        <f t="shared" si="401"/>
        <v>0</v>
      </c>
      <c r="IR208" s="123">
        <f t="shared" si="402"/>
        <v>0</v>
      </c>
      <c r="IS208" s="123">
        <f>IF(IX207&lt;0.01,0,IF(Adm!$GS$4=Adm!$GS$8,IX207*$IX$15,IF(Adm!$GS$12=Adm!$GS$13,0,IX207*Adm!$GV$4)))</f>
        <v>0</v>
      </c>
      <c r="IT208" s="123"/>
      <c r="IU208" s="123">
        <f t="shared" si="403"/>
        <v>0</v>
      </c>
      <c r="IV208" s="123">
        <f t="shared" si="404"/>
        <v>0</v>
      </c>
      <c r="IW208" s="123"/>
      <c r="IX208" s="297">
        <f t="shared" si="405"/>
        <v>0</v>
      </c>
      <c r="IY208" s="74"/>
      <c r="IZ208" s="416">
        <f t="shared" si="406"/>
        <v>0</v>
      </c>
      <c r="JB208" s="90">
        <f t="shared" si="407"/>
        <v>4</v>
      </c>
      <c r="JC208" s="124">
        <f>IF(JB208=1,Cal!$BP$127,0)</f>
        <v>0</v>
      </c>
      <c r="JD208" s="178">
        <f>IF(JB208=1,Adm!$HI$4,0)</f>
        <v>0</v>
      </c>
    </row>
    <row r="209" spans="1:264">
      <c r="A209" s="26">
        <f t="shared" ca="1" si="308"/>
        <v>8</v>
      </c>
      <c r="C209" s="33">
        <f t="shared" si="309"/>
        <v>0</v>
      </c>
      <c r="D209" s="123">
        <f t="shared" si="341"/>
        <v>0</v>
      </c>
      <c r="E209" s="123">
        <f t="shared" si="433"/>
        <v>0</v>
      </c>
      <c r="F209" s="123">
        <f t="shared" si="443"/>
        <v>0</v>
      </c>
      <c r="G209" s="123">
        <f>IF(L208&lt;0.01,0,IF(Adm!$S$4=Adm!$S$8,L208*$L$15,L208*Adm!$V$4))</f>
        <v>0</v>
      </c>
      <c r="H209" s="123">
        <f>IF(L208&lt;0.01,0,IF(Adm!$S$5=Adm!$S$8,Adm!$AA$11*$L$16/1.16,IF(Adm!$B$4=Adm!$A$119,0,Adm!$AA$11*Adm!$X$4/1.16)))</f>
        <v>0</v>
      </c>
      <c r="I209" s="123">
        <f>IF(L208&lt;0.01,0,Cal!$AB$126/1.16)</f>
        <v>0</v>
      </c>
      <c r="J209" s="123">
        <f t="shared" si="310"/>
        <v>0</v>
      </c>
      <c r="K209" s="123">
        <f>IF(Adm!$G$4="si",MIN(L208+D209+G209+H209+I209-J209,V209),0)</f>
        <v>0</v>
      </c>
      <c r="L209" s="123">
        <f t="shared" si="342"/>
        <v>0</v>
      </c>
      <c r="M209" s="74"/>
      <c r="N209" s="74"/>
      <c r="O209" s="407">
        <f t="shared" si="343"/>
        <v>0</v>
      </c>
      <c r="R209" s="90">
        <f t="shared" si="344"/>
        <v>5</v>
      </c>
      <c r="S209" s="121">
        <f>IF(R209=1,Cal!$AB$127,0)</f>
        <v>0</v>
      </c>
      <c r="U209" s="70">
        <f t="shared" si="408"/>
        <v>0</v>
      </c>
      <c r="V209" s="2178">
        <f t="shared" ca="1" si="345"/>
        <v>0</v>
      </c>
      <c r="X209" s="398"/>
      <c r="Z209" s="268">
        <f t="shared" si="311"/>
        <v>0</v>
      </c>
      <c r="AA209" s="2176">
        <f t="shared" si="346"/>
        <v>0</v>
      </c>
      <c r="AB209" s="33">
        <f t="shared" si="347"/>
        <v>0</v>
      </c>
      <c r="AC209" s="33">
        <f t="shared" si="348"/>
        <v>0</v>
      </c>
      <c r="AD209" s="33">
        <f>IF(AI208&lt;0.01,0,IF(Adm!$S$4=Adm!$S$8,AI208*$AI$15,AI208*Adm!$V$4))</f>
        <v>0</v>
      </c>
      <c r="AE209" s="33"/>
      <c r="AF209" s="33"/>
      <c r="AG209" s="33">
        <f t="shared" si="312"/>
        <v>0</v>
      </c>
      <c r="AH209" s="33"/>
      <c r="AI209" s="401">
        <f t="shared" si="313"/>
        <v>0</v>
      </c>
      <c r="AK209" s="410">
        <f t="shared" si="314"/>
        <v>0</v>
      </c>
      <c r="AN209" s="90">
        <f t="shared" si="349"/>
        <v>5</v>
      </c>
      <c r="AO209" s="121">
        <f>IF(AN209=1,Cal!$AC$127,0)</f>
        <v>0</v>
      </c>
      <c r="AS209" s="200"/>
      <c r="AU209" s="268">
        <f t="shared" si="315"/>
        <v>0</v>
      </c>
      <c r="AV209" s="2177">
        <f t="shared" si="350"/>
        <v>0</v>
      </c>
      <c r="AW209" s="123">
        <f t="shared" si="316"/>
        <v>0</v>
      </c>
      <c r="AX209" s="123">
        <f t="shared" si="351"/>
        <v>0</v>
      </c>
      <c r="AY209" s="123">
        <f>IF(BC208&lt;0.01,0,IF(Adm!$S$4=Adm!$S$8,BC208*$BC$16,BC208*Adm!$V$4))</f>
        <v>0</v>
      </c>
      <c r="AZ209" s="123"/>
      <c r="BA209" s="123">
        <f>IF(BC208&lt;0.01,0,Adm!$Q$6)</f>
        <v>0</v>
      </c>
      <c r="BB209" s="123">
        <f t="shared" si="317"/>
        <v>0</v>
      </c>
      <c r="BC209" s="297">
        <f t="shared" si="352"/>
        <v>0</v>
      </c>
      <c r="BE209" s="425">
        <f t="shared" si="318"/>
        <v>0</v>
      </c>
      <c r="BH209" s="90">
        <f t="shared" si="353"/>
        <v>5</v>
      </c>
      <c r="BI209" s="121">
        <f>IF(BH209=1,Cal!$AD$127,0)</f>
        <v>0</v>
      </c>
      <c r="BM209" s="221"/>
      <c r="BO209" s="295">
        <f t="shared" ca="1" si="319"/>
        <v>8</v>
      </c>
      <c r="BP209" s="268">
        <f t="shared" si="320"/>
        <v>0</v>
      </c>
      <c r="BQ209" s="123">
        <f t="shared" si="354"/>
        <v>0</v>
      </c>
      <c r="BR209" s="123">
        <f t="shared" si="434"/>
        <v>0</v>
      </c>
      <c r="BS209" s="123">
        <f t="shared" si="444"/>
        <v>0</v>
      </c>
      <c r="BT209" s="123">
        <f>IF(BZ208&lt;0.01,0,IF(Plus!$F$22=Plus!$AN$4,BZ208*$BZ$15,IF(Plus!$F$22=Plus!$AN$3,BZ208*Plus!$F$23/1000,BZ208*VLOOKUP(Plus!$G$21,Plus!$AP$2:'Plus'!$AQ$5,2,0))))</f>
        <v>0</v>
      </c>
      <c r="BU209" s="123">
        <f>IF(BZ208&lt;0.01,0,IF(Plus!$F$24=Plus!$AO$3,Plus!$G$13*Plus!$AR$2/1.16,IF(Plus!$F$10=Plus!$AK$7,0,Plus!$G$13*Plus!$AR$2/1.16)))</f>
        <v>0</v>
      </c>
      <c r="BV209" s="123">
        <f>IF(BZ208&lt;0.01,0,Plus!$BD$2)</f>
        <v>0</v>
      </c>
      <c r="BW209" s="123"/>
      <c r="BX209" s="123">
        <f t="shared" si="321"/>
        <v>0</v>
      </c>
      <c r="BY209" s="123">
        <f>IF(Plus!$F$10=Plus!$AK$3,MIN(BZ208+BQ209+BT209+BU209+BV209-BX209,CJ209),0)</f>
        <v>0</v>
      </c>
      <c r="BZ209" s="297">
        <f t="shared" si="428"/>
        <v>0</v>
      </c>
      <c r="CA209" s="74"/>
      <c r="CB209" s="74"/>
      <c r="CC209" s="413">
        <f t="shared" si="355"/>
        <v>0</v>
      </c>
      <c r="CF209" s="90">
        <f t="shared" si="356"/>
        <v>5</v>
      </c>
      <c r="CG209" s="121">
        <f t="shared" si="409"/>
        <v>0</v>
      </c>
      <c r="CI209" s="70">
        <f t="shared" si="410"/>
        <v>0</v>
      </c>
      <c r="CJ209" s="2178">
        <f t="shared" ca="1" si="357"/>
        <v>0</v>
      </c>
      <c r="CL209" s="161"/>
      <c r="CN209" s="308">
        <f t="shared" ca="1" si="322"/>
        <v>8</v>
      </c>
      <c r="CO209" s="309">
        <f t="shared" si="358"/>
        <v>0</v>
      </c>
      <c r="CP209" s="268">
        <f t="shared" si="323"/>
        <v>0</v>
      </c>
      <c r="CQ209" s="123">
        <f t="shared" si="359"/>
        <v>0</v>
      </c>
      <c r="CR209" s="123">
        <f t="shared" si="435"/>
        <v>0</v>
      </c>
      <c r="CS209" s="123">
        <f t="shared" si="436"/>
        <v>0</v>
      </c>
      <c r="CT209" s="33">
        <f>IF(CZ208&lt;0.01,0,IF(Plus!$F$22=Plus!$AN$4,0,IF(Plus!$F$22=Plus!$AN$3,CZ208*Plus!$F$23/1000,CZ208*VLOOKUP(Plus!$G$21,Plus!$AP$2:'Plus'!$AQ$5,2,0))))</f>
        <v>0</v>
      </c>
      <c r="CU209" s="123">
        <f>IF(CZ208&lt;0.01,0,IF(Plus!$F$24=Plus!$AO$3,0,IF(OR(Plus!$F$10=Plus!$AK$7,Plus!$F$10=Plus!$AK$13),0,Plus!$G$13*Plus!$AR$2)))</f>
        <v>0</v>
      </c>
      <c r="CV209" s="123">
        <f>IF(CZ208&lt;0.01,0,IF(OR(Plus!$F$10=Plus!$AK$7,Plus!$F$10=Plus!$AK$13),0,Plus!$BD$2*1.16))</f>
        <v>0</v>
      </c>
      <c r="CW209" s="123">
        <f>IF(CZ208&lt;0.01,0,IF(Plus!$AS$2&gt;0,CQ209*Plus!$AS$3,0))</f>
        <v>0</v>
      </c>
      <c r="CX209" s="123">
        <f t="shared" si="360"/>
        <v>0</v>
      </c>
      <c r="CY209" s="123">
        <f>IF(Plus!$F$10=Plus!$AK$3,MIN(CZ208+CQ209+CT209+CU209+CV209-CX209,DK209),0)</f>
        <v>0</v>
      </c>
      <c r="CZ209" s="297">
        <f t="shared" si="440"/>
        <v>0</v>
      </c>
      <c r="DA209" s="306">
        <f>Plus!O250</f>
        <v>0</v>
      </c>
      <c r="DB209" s="74"/>
      <c r="DC209" s="74"/>
      <c r="DD209" s="407">
        <f t="shared" si="361"/>
        <v>0</v>
      </c>
      <c r="DG209" s="90">
        <f t="shared" si="362"/>
        <v>5</v>
      </c>
      <c r="DH209" s="121">
        <f t="shared" si="411"/>
        <v>0</v>
      </c>
      <c r="DJ209" s="149">
        <f t="shared" si="412"/>
        <v>0</v>
      </c>
      <c r="DK209" s="2179">
        <f t="shared" ca="1" si="363"/>
        <v>0</v>
      </c>
      <c r="DN209" s="120">
        <f t="shared" si="413"/>
        <v>0</v>
      </c>
      <c r="DO209" s="110">
        <f t="shared" si="364"/>
        <v>0</v>
      </c>
      <c r="DP209" s="110">
        <f t="shared" si="422"/>
        <v>0</v>
      </c>
      <c r="DQ209" s="109">
        <f t="shared" si="365"/>
        <v>0</v>
      </c>
      <c r="DR209" s="109">
        <f t="shared" si="366"/>
        <v>0</v>
      </c>
      <c r="DS209" s="113">
        <f t="shared" si="367"/>
        <v>0</v>
      </c>
      <c r="DU209" s="102">
        <f t="shared" si="368"/>
        <v>0</v>
      </c>
      <c r="DV209" s="211">
        <f t="shared" si="423"/>
        <v>185</v>
      </c>
      <c r="DW209" s="212">
        <f t="shared" si="369"/>
        <v>0</v>
      </c>
      <c r="DX209" s="212">
        <f t="shared" si="324"/>
        <v>0</v>
      </c>
      <c r="DY209" s="212">
        <f t="shared" si="414"/>
        <v>0</v>
      </c>
      <c r="DZ209" s="213">
        <f t="shared" si="325"/>
        <v>1000000</v>
      </c>
      <c r="ED209" s="182"/>
      <c r="EF209" s="308">
        <f t="shared" ca="1" si="326"/>
        <v>8</v>
      </c>
      <c r="EG209" s="309">
        <f t="shared" si="370"/>
        <v>0</v>
      </c>
      <c r="EH209" s="268">
        <f t="shared" si="327"/>
        <v>0</v>
      </c>
      <c r="EI209" s="33">
        <f t="shared" si="371"/>
        <v>0</v>
      </c>
      <c r="EJ209" s="33">
        <f t="shared" si="437"/>
        <v>0</v>
      </c>
      <c r="EK209" s="33">
        <f t="shared" si="445"/>
        <v>0</v>
      </c>
      <c r="EL209" s="33">
        <f>IF(ER208&lt;0.01,0,IF(Plus!$F$22=Plus!$AN$4,0,IF(Plus!$F$22=Plus!$AN$3,ER208*Plus!$F$23/1000,ER208*VLOOKUP(Plus!$G$21,Plus!$AP$2:'Plus'!$AQ$5,2,0))))</f>
        <v>0</v>
      </c>
      <c r="EM209" s="33">
        <f>IF(ER208&lt;0.01,0,IF(Plus!$F$24=Plus!$AO$3,0,IF(OR(Plus!$F$10=Plus!$AK$7,Plus!$F$10=Plus!$AK$13),0,Plus!$G$13*Plus!$AR$2)))</f>
        <v>0</v>
      </c>
      <c r="EN209" s="33">
        <f>IF(ER208&lt;0.01,0,IF(OR(Plus!$F$10=Plus!$AK$7,Plus!$F$10=Plus!$AK$13),0,Plus!$BD$2*1.16))</f>
        <v>0</v>
      </c>
      <c r="EO209" s="33">
        <f>IF(ER208&lt;0.01,0,IF(Plus!$AS$2&gt;0,EI209*Plus!$AS$3,0))</f>
        <v>0</v>
      </c>
      <c r="EP209" s="33">
        <f t="shared" si="372"/>
        <v>0</v>
      </c>
      <c r="EQ209" s="33">
        <f>IF(Plus!$F$10=Plus!$AK$3,MIN(ER208+EI209+EL209+EM209+EN209-EP209,FC209),0)</f>
        <v>0</v>
      </c>
      <c r="ER209" s="311">
        <f t="shared" si="431"/>
        <v>0</v>
      </c>
      <c r="ES209" s="340">
        <f>Plus!O250</f>
        <v>0</v>
      </c>
      <c r="ET209" s="74"/>
      <c r="EU209" s="74"/>
      <c r="EV209" s="416">
        <f t="shared" si="429"/>
        <v>0</v>
      </c>
      <c r="EY209" s="90">
        <f t="shared" si="373"/>
        <v>5</v>
      </c>
      <c r="EZ209" s="121">
        <f t="shared" si="415"/>
        <v>0</v>
      </c>
      <c r="FB209" s="149">
        <f t="shared" si="416"/>
        <v>0</v>
      </c>
      <c r="FC209" s="2179">
        <f t="shared" ca="1" si="374"/>
        <v>0</v>
      </c>
      <c r="FE209" s="120">
        <f t="shared" si="417"/>
        <v>0</v>
      </c>
      <c r="FF209" s="110">
        <f t="shared" si="375"/>
        <v>0</v>
      </c>
      <c r="FG209" s="110">
        <f t="shared" si="376"/>
        <v>0</v>
      </c>
      <c r="FH209" s="109">
        <f t="shared" si="377"/>
        <v>0</v>
      </c>
      <c r="FI209" s="109">
        <f t="shared" si="328"/>
        <v>0</v>
      </c>
      <c r="FJ209" s="113">
        <f t="shared" si="378"/>
        <v>0</v>
      </c>
      <c r="FL209" s="102">
        <f t="shared" si="379"/>
        <v>0</v>
      </c>
      <c r="FM209" s="211">
        <f t="shared" si="454"/>
        <v>185</v>
      </c>
      <c r="FN209" s="212">
        <f t="shared" si="380"/>
        <v>0</v>
      </c>
      <c r="FO209" s="212">
        <f t="shared" si="329"/>
        <v>0</v>
      </c>
      <c r="FP209" s="212">
        <f t="shared" si="452"/>
        <v>0</v>
      </c>
      <c r="FQ209" s="213">
        <f t="shared" si="330"/>
        <v>1000000</v>
      </c>
      <c r="FV209" s="359"/>
      <c r="FX209" s="308">
        <f t="shared" ca="1" si="331"/>
        <v>8</v>
      </c>
      <c r="FY209" s="309">
        <f t="shared" si="381"/>
        <v>0</v>
      </c>
      <c r="FZ209" s="268">
        <f t="shared" si="332"/>
        <v>0</v>
      </c>
      <c r="GA209" s="33">
        <f t="shared" si="382"/>
        <v>0</v>
      </c>
      <c r="GB209" s="33">
        <f t="shared" si="438"/>
        <v>0</v>
      </c>
      <c r="GC209" s="33">
        <f t="shared" si="439"/>
        <v>0</v>
      </c>
      <c r="GD209" s="33">
        <f>IF(GJ208&lt;0.01,0,IF(Plus!$F$22=Plus!$AN$4,0,IF(Plus!$F$22=Plus!$AN$3,GJ208*Plus!$F$23/1000,GJ208*VLOOKUP(Plus!$G$21,Plus!$AP$2:$AQ$5,2,0))))</f>
        <v>0</v>
      </c>
      <c r="GE209" s="33">
        <f>IF(GJ208&lt;0.01,0,IF(Plus!$F$24=Plus!$AO$3,0,IF(OR(Plus!$F$10=Plus!$AK$7,Plus!$F$10=Plus!$AK$13,Plus!$F$10=Plus!$AK$14),0,IF(OR(Plus!$F$10=Plus!$AK$10,Plus!$F$10=Plus!$AK$11),Plus!$G$13*Adm!$W$7,Plus!$G$13*Adm!$X$4))))</f>
        <v>0</v>
      </c>
      <c r="GF209" s="33">
        <f>IF(GJ208&lt;0.01,0,IF(OR(Plus!$F$10=Plus!$AK$7,Plus!$F$10=Plus!$AK$13),0,Plus!$BD$2*1.16))</f>
        <v>0</v>
      </c>
      <c r="GG209" s="33">
        <f>IF(GJ208&lt;0.01,0,IF(Plus!$AS$2&gt;0,GA209*Plus!$AS$3,0))</f>
        <v>0</v>
      </c>
      <c r="GH209" s="33">
        <f t="shared" si="383"/>
        <v>0</v>
      </c>
      <c r="GI209" s="33">
        <f>IF(Plus!$F$10=Plus!$AK$3,MIN(GJ208+GA209+GD209+GE209+GF209-GH209,GU209),0)</f>
        <v>0</v>
      </c>
      <c r="GJ209" s="311">
        <f t="shared" si="432"/>
        <v>0</v>
      </c>
      <c r="GK209" s="340">
        <f>Plus!O250</f>
        <v>0</v>
      </c>
      <c r="GL209" s="74"/>
      <c r="GM209" s="74"/>
      <c r="GN209" s="419">
        <f t="shared" si="430"/>
        <v>0</v>
      </c>
      <c r="GQ209" s="90">
        <f t="shared" si="384"/>
        <v>5</v>
      </c>
      <c r="GR209" s="121">
        <f t="shared" si="418"/>
        <v>0</v>
      </c>
      <c r="GT209" s="149">
        <f t="shared" si="419"/>
        <v>0</v>
      </c>
      <c r="GU209" s="2179">
        <f t="shared" ca="1" si="385"/>
        <v>0</v>
      </c>
      <c r="GW209" s="120">
        <f t="shared" si="420"/>
        <v>0</v>
      </c>
      <c r="GX209" s="110">
        <f t="shared" si="386"/>
        <v>0</v>
      </c>
      <c r="GY209" s="110">
        <f t="shared" si="387"/>
        <v>0</v>
      </c>
      <c r="GZ209" s="109">
        <f t="shared" si="388"/>
        <v>0</v>
      </c>
      <c r="HA209" s="109">
        <f t="shared" si="333"/>
        <v>0</v>
      </c>
      <c r="HB209" s="113">
        <f t="shared" si="389"/>
        <v>0</v>
      </c>
      <c r="HD209" s="102">
        <f t="shared" si="390"/>
        <v>0</v>
      </c>
      <c r="HE209" s="211">
        <f t="shared" si="455"/>
        <v>185</v>
      </c>
      <c r="HF209" s="212">
        <f t="shared" si="391"/>
        <v>0</v>
      </c>
      <c r="HG209" s="212">
        <f t="shared" si="334"/>
        <v>0</v>
      </c>
      <c r="HH209" s="212">
        <f t="shared" si="453"/>
        <v>0</v>
      </c>
      <c r="HI209" s="213">
        <f t="shared" si="335"/>
        <v>1000000</v>
      </c>
      <c r="HL209" s="182"/>
      <c r="HM209" s="26">
        <f t="shared" ca="1" si="336"/>
        <v>8</v>
      </c>
      <c r="HO209" s="268">
        <f t="shared" si="337"/>
        <v>0</v>
      </c>
      <c r="HP209" s="151">
        <f t="shared" si="448"/>
        <v>0</v>
      </c>
      <c r="HQ209" s="123">
        <f t="shared" si="392"/>
        <v>0</v>
      </c>
      <c r="HR209" s="123">
        <f t="shared" si="393"/>
        <v>0</v>
      </c>
      <c r="HS209" s="123">
        <f t="shared" si="394"/>
        <v>0</v>
      </c>
      <c r="HT209" s="123">
        <f>IF(HY208&lt;0.01,0,IF(Adm!$GS$4=Adm!$GS$8,HY208*$HY$15,IF(Adm!$GS$12=Adm!$GS$13,0,HY208*Adm!$GV$4)))</f>
        <v>0</v>
      </c>
      <c r="HU209" s="123">
        <f>IF(HY208&lt;0.01,0,IF(Adm!$GS$5=Adm!$GS$8,Cal!$BO$108*$HY$16/1.16,IF(Adm!$GS$12=Adm!$GS$13,0,Cal!$BO$108*Adm!$GW$4/1.16)))</f>
        <v>0</v>
      </c>
      <c r="HV209" s="123">
        <f t="shared" si="395"/>
        <v>0</v>
      </c>
      <c r="HW209" s="123">
        <f t="shared" si="338"/>
        <v>0</v>
      </c>
      <c r="HX209" s="123">
        <f>IF(Adm!$GH$6="si",MIN(HY208+HQ209+HT209+HU209+HV209-HW209,IH209),0)</f>
        <v>0</v>
      </c>
      <c r="HY209" s="297">
        <f t="shared" si="396"/>
        <v>0</v>
      </c>
      <c r="HZ209" s="74"/>
      <c r="IA209" s="407">
        <f t="shared" si="397"/>
        <v>0</v>
      </c>
      <c r="IC209" s="90">
        <f t="shared" si="398"/>
        <v>5</v>
      </c>
      <c r="ID209" s="124">
        <f>IF(IC209=1,Cal!$BO$127,0)</f>
        <v>0</v>
      </c>
      <c r="IE209" s="178">
        <f>IF(IC209=1,Adm!$HI$4,0)</f>
        <v>0</v>
      </c>
      <c r="IG209" s="70">
        <f t="shared" si="421"/>
        <v>0</v>
      </c>
      <c r="IH209" s="2178">
        <f t="shared" ca="1" si="399"/>
        <v>0</v>
      </c>
      <c r="IK209" s="217"/>
      <c r="IL209" s="26">
        <f t="shared" ca="1" si="339"/>
        <v>8</v>
      </c>
      <c r="IN209" s="268">
        <f t="shared" si="340"/>
        <v>0</v>
      </c>
      <c r="IO209" s="151">
        <f t="shared" si="449"/>
        <v>0</v>
      </c>
      <c r="IP209" s="123">
        <f t="shared" si="400"/>
        <v>0</v>
      </c>
      <c r="IQ209" s="123">
        <f t="shared" si="401"/>
        <v>0</v>
      </c>
      <c r="IR209" s="123">
        <f t="shared" si="402"/>
        <v>0</v>
      </c>
      <c r="IS209" s="123">
        <f>IF(IX208&lt;0.01,0,IF(Adm!$GS$4=Adm!$GS$8,IX208*$IX$15,IF(Adm!$GS$12=Adm!$GS$13,0,IX208*Adm!$GV$4)))</f>
        <v>0</v>
      </c>
      <c r="IT209" s="123"/>
      <c r="IU209" s="123">
        <f t="shared" si="403"/>
        <v>0</v>
      </c>
      <c r="IV209" s="123">
        <f t="shared" si="404"/>
        <v>0</v>
      </c>
      <c r="IW209" s="123"/>
      <c r="IX209" s="297">
        <f t="shared" si="405"/>
        <v>0</v>
      </c>
      <c r="IY209" s="74"/>
      <c r="IZ209" s="416">
        <f t="shared" si="406"/>
        <v>0</v>
      </c>
      <c r="JB209" s="90">
        <f t="shared" si="407"/>
        <v>5</v>
      </c>
      <c r="JC209" s="124">
        <f>IF(JB209=1,Cal!$BP$127,0)</f>
        <v>0</v>
      </c>
      <c r="JD209" s="178">
        <f>IF(JB209=1,Adm!$HI$4,0)</f>
        <v>0</v>
      </c>
    </row>
    <row r="210" spans="1:264">
      <c r="A210" s="26">
        <f t="shared" ca="1" si="308"/>
        <v>9</v>
      </c>
      <c r="C210" s="33">
        <f t="shared" si="309"/>
        <v>0</v>
      </c>
      <c r="D210" s="123">
        <f t="shared" si="341"/>
        <v>0</v>
      </c>
      <c r="E210" s="123">
        <f t="shared" si="433"/>
        <v>0</v>
      </c>
      <c r="F210" s="123">
        <f t="shared" si="443"/>
        <v>0</v>
      </c>
      <c r="G210" s="123">
        <f>IF(L209&lt;0.01,0,IF(Adm!$S$4=Adm!$S$8,L209*$L$15,L209*Adm!$V$4))</f>
        <v>0</v>
      </c>
      <c r="H210" s="123">
        <f>IF(L209&lt;0.01,0,IF(Adm!$S$5=Adm!$S$8,Adm!$AA$11*$L$16/1.16,IF(Adm!$B$4=Adm!$A$119,0,Adm!$AA$11*Adm!$X$4/1.16)))</f>
        <v>0</v>
      </c>
      <c r="I210" s="123">
        <f>IF(L209&lt;0.01,0,Cal!$AB$126/1.16)</f>
        <v>0</v>
      </c>
      <c r="J210" s="123">
        <f t="shared" si="310"/>
        <v>0</v>
      </c>
      <c r="K210" s="123">
        <f>IF(Adm!$G$4="si",MIN(L209+D210+G210+H210+I210-J210,V210),0)</f>
        <v>0</v>
      </c>
      <c r="L210" s="123">
        <f t="shared" si="342"/>
        <v>0</v>
      </c>
      <c r="M210" s="74"/>
      <c r="N210" s="74"/>
      <c r="O210" s="407">
        <f t="shared" si="343"/>
        <v>0</v>
      </c>
      <c r="R210" s="90">
        <f t="shared" si="344"/>
        <v>6</v>
      </c>
      <c r="S210" s="121">
        <f>IF(R210=1,Cal!$AB$127,0)</f>
        <v>0</v>
      </c>
      <c r="U210" s="70">
        <f t="shared" si="408"/>
        <v>0</v>
      </c>
      <c r="V210" s="2178">
        <f t="shared" ca="1" si="345"/>
        <v>0</v>
      </c>
      <c r="X210" s="398"/>
      <c r="Z210" s="268">
        <f t="shared" si="311"/>
        <v>0</v>
      </c>
      <c r="AA210" s="2176">
        <f t="shared" si="346"/>
        <v>0</v>
      </c>
      <c r="AB210" s="33">
        <f t="shared" si="347"/>
        <v>0</v>
      </c>
      <c r="AC210" s="33">
        <f t="shared" si="348"/>
        <v>0</v>
      </c>
      <c r="AD210" s="33">
        <f>IF(AI209&lt;0.01,0,IF(Adm!$S$4=Adm!$S$8,AI209*$AI$15,AI209*Adm!$V$4))</f>
        <v>0</v>
      </c>
      <c r="AE210" s="33"/>
      <c r="AF210" s="33"/>
      <c r="AG210" s="33">
        <f t="shared" si="312"/>
        <v>0</v>
      </c>
      <c r="AH210" s="33"/>
      <c r="AI210" s="401">
        <f t="shared" si="313"/>
        <v>0</v>
      </c>
      <c r="AK210" s="410">
        <f t="shared" si="314"/>
        <v>0</v>
      </c>
      <c r="AN210" s="90">
        <f t="shared" si="349"/>
        <v>6</v>
      </c>
      <c r="AO210" s="121">
        <f>IF(AN210=1,Cal!$AC$127,0)</f>
        <v>0</v>
      </c>
      <c r="AS210" s="200"/>
      <c r="AU210" s="268">
        <f t="shared" si="315"/>
        <v>0</v>
      </c>
      <c r="AV210" s="2177">
        <f t="shared" si="350"/>
        <v>0</v>
      </c>
      <c r="AW210" s="123">
        <f t="shared" si="316"/>
        <v>0</v>
      </c>
      <c r="AX210" s="123">
        <f t="shared" si="351"/>
        <v>0</v>
      </c>
      <c r="AY210" s="123">
        <f>IF(BC209&lt;0.01,0,IF(Adm!$S$4=Adm!$S$8,BC209*$BC$16,BC209*Adm!$V$4))</f>
        <v>0</v>
      </c>
      <c r="AZ210" s="123"/>
      <c r="BA210" s="123">
        <f>IF(BC209&lt;0.01,0,Adm!$Q$6)</f>
        <v>0</v>
      </c>
      <c r="BB210" s="123">
        <f t="shared" si="317"/>
        <v>0</v>
      </c>
      <c r="BC210" s="297">
        <f t="shared" si="352"/>
        <v>0</v>
      </c>
      <c r="BE210" s="425">
        <f t="shared" si="318"/>
        <v>0</v>
      </c>
      <c r="BH210" s="90">
        <f t="shared" si="353"/>
        <v>6</v>
      </c>
      <c r="BI210" s="121">
        <f>IF(BH210=1,Cal!$AD$127,0)</f>
        <v>0</v>
      </c>
      <c r="BM210" s="221"/>
      <c r="BO210" s="295">
        <f t="shared" ca="1" si="319"/>
        <v>9</v>
      </c>
      <c r="BP210" s="268">
        <f t="shared" si="320"/>
        <v>0</v>
      </c>
      <c r="BQ210" s="123">
        <f t="shared" si="354"/>
        <v>0</v>
      </c>
      <c r="BR210" s="123">
        <f t="shared" si="434"/>
        <v>0</v>
      </c>
      <c r="BS210" s="123">
        <f t="shared" si="444"/>
        <v>0</v>
      </c>
      <c r="BT210" s="123">
        <f>IF(BZ209&lt;0.01,0,IF(Plus!$F$22=Plus!$AN$4,BZ209*$BZ$15,IF(Plus!$F$22=Plus!$AN$3,BZ209*Plus!$F$23/1000,BZ209*VLOOKUP(Plus!$G$21,Plus!$AP$2:'Plus'!$AQ$5,2,0))))</f>
        <v>0</v>
      </c>
      <c r="BU210" s="123">
        <f>IF(BZ209&lt;0.01,0,IF(Plus!$F$24=Plus!$AO$3,Plus!$G$13*Plus!$AR$2/1.16,IF(Plus!$F$10=Plus!$AK$7,0,Plus!$G$13*Plus!$AR$2/1.16)))</f>
        <v>0</v>
      </c>
      <c r="BV210" s="123">
        <f>IF(BZ209&lt;0.01,0,Plus!$BD$2)</f>
        <v>0</v>
      </c>
      <c r="BW210" s="123"/>
      <c r="BX210" s="123">
        <f t="shared" si="321"/>
        <v>0</v>
      </c>
      <c r="BY210" s="123">
        <f>IF(Plus!$F$10=Plus!$AK$3,MIN(BZ209+BQ210+BT210+BU210+BV210-BX210,CJ210),0)</f>
        <v>0</v>
      </c>
      <c r="BZ210" s="297">
        <f t="shared" si="428"/>
        <v>0</v>
      </c>
      <c r="CA210" s="74"/>
      <c r="CB210" s="74"/>
      <c r="CC210" s="413">
        <f t="shared" si="355"/>
        <v>0</v>
      </c>
      <c r="CF210" s="90">
        <f t="shared" si="356"/>
        <v>6</v>
      </c>
      <c r="CG210" s="121">
        <f t="shared" si="409"/>
        <v>0</v>
      </c>
      <c r="CI210" s="70">
        <f t="shared" si="410"/>
        <v>0</v>
      </c>
      <c r="CJ210" s="2178">
        <f t="shared" ca="1" si="357"/>
        <v>0</v>
      </c>
      <c r="CL210" s="161"/>
      <c r="CN210" s="308">
        <f t="shared" ca="1" si="322"/>
        <v>9</v>
      </c>
      <c r="CO210" s="309">
        <f t="shared" si="358"/>
        <v>0</v>
      </c>
      <c r="CP210" s="268">
        <f t="shared" si="323"/>
        <v>0</v>
      </c>
      <c r="CQ210" s="123">
        <f t="shared" si="359"/>
        <v>0</v>
      </c>
      <c r="CR210" s="123">
        <f t="shared" si="435"/>
        <v>0</v>
      </c>
      <c r="CS210" s="123">
        <f t="shared" si="436"/>
        <v>0</v>
      </c>
      <c r="CT210" s="33">
        <f>IF(CZ209&lt;0.01,0,IF(Plus!$F$22=Plus!$AN$4,0,IF(Plus!$F$22=Plus!$AN$3,CZ209*Plus!$F$23/1000,CZ209*VLOOKUP(Plus!$G$21,Plus!$AP$2:'Plus'!$AQ$5,2,0))))</f>
        <v>0</v>
      </c>
      <c r="CU210" s="123">
        <f>IF(CZ209&lt;0.01,0,IF(Plus!$F$24=Plus!$AO$3,0,IF(OR(Plus!$F$10=Plus!$AK$7,Plus!$F$10=Plus!$AK$13),0,Plus!$G$13*Plus!$AR$2)))</f>
        <v>0</v>
      </c>
      <c r="CV210" s="123">
        <f>IF(CZ209&lt;0.01,0,IF(OR(Plus!$F$10=Plus!$AK$7,Plus!$F$10=Plus!$AK$13),0,Plus!$BD$2*1.16))</f>
        <v>0</v>
      </c>
      <c r="CW210" s="123">
        <f>IF(CZ209&lt;0.01,0,IF(Plus!$AS$2&gt;0,CQ210*Plus!$AS$3,0))</f>
        <v>0</v>
      </c>
      <c r="CX210" s="123">
        <f t="shared" si="360"/>
        <v>0</v>
      </c>
      <c r="CY210" s="123">
        <f>IF(Plus!$F$10=Plus!$AK$3,MIN(CZ209+CQ210+CT210+CU210+CV210-CX210,DK210),0)</f>
        <v>0</v>
      </c>
      <c r="CZ210" s="297">
        <f t="shared" si="440"/>
        <v>0</v>
      </c>
      <c r="DA210" s="306">
        <f>Plus!O251</f>
        <v>0</v>
      </c>
      <c r="DB210" s="74"/>
      <c r="DC210" s="74"/>
      <c r="DD210" s="407">
        <f t="shared" si="361"/>
        <v>0</v>
      </c>
      <c r="DG210" s="90">
        <f t="shared" si="362"/>
        <v>6</v>
      </c>
      <c r="DH210" s="121">
        <f t="shared" si="411"/>
        <v>0</v>
      </c>
      <c r="DJ210" s="149">
        <f t="shared" si="412"/>
        <v>0</v>
      </c>
      <c r="DK210" s="2179">
        <f t="shared" ca="1" si="363"/>
        <v>0</v>
      </c>
      <c r="DN210" s="120">
        <f t="shared" si="413"/>
        <v>0</v>
      </c>
      <c r="DO210" s="110">
        <f t="shared" si="364"/>
        <v>0</v>
      </c>
      <c r="DP210" s="110">
        <f t="shared" si="422"/>
        <v>0</v>
      </c>
      <c r="DQ210" s="109">
        <f t="shared" si="365"/>
        <v>0</v>
      </c>
      <c r="DR210" s="109">
        <f t="shared" si="366"/>
        <v>0</v>
      </c>
      <c r="DS210" s="113">
        <f t="shared" si="367"/>
        <v>0</v>
      </c>
      <c r="DU210" s="102">
        <f t="shared" si="368"/>
        <v>0</v>
      </c>
      <c r="DV210" s="211">
        <f t="shared" si="423"/>
        <v>186</v>
      </c>
      <c r="DW210" s="212">
        <f t="shared" si="369"/>
        <v>0</v>
      </c>
      <c r="DX210" s="212">
        <f t="shared" si="324"/>
        <v>0</v>
      </c>
      <c r="DY210" s="212">
        <f t="shared" si="414"/>
        <v>0</v>
      </c>
      <c r="DZ210" s="213">
        <f t="shared" si="325"/>
        <v>1000000</v>
      </c>
      <c r="ED210" s="182"/>
      <c r="EF210" s="308">
        <f t="shared" ca="1" si="326"/>
        <v>9</v>
      </c>
      <c r="EG210" s="309">
        <f t="shared" si="370"/>
        <v>0</v>
      </c>
      <c r="EH210" s="268">
        <f t="shared" si="327"/>
        <v>0</v>
      </c>
      <c r="EI210" s="33">
        <f t="shared" si="371"/>
        <v>0</v>
      </c>
      <c r="EJ210" s="33">
        <f t="shared" si="437"/>
        <v>0</v>
      </c>
      <c r="EK210" s="33">
        <f t="shared" si="445"/>
        <v>0</v>
      </c>
      <c r="EL210" s="33">
        <f>IF(ER209&lt;0.01,0,IF(Plus!$F$22=Plus!$AN$4,0,IF(Plus!$F$22=Plus!$AN$3,ER209*Plus!$F$23/1000,ER209*VLOOKUP(Plus!$G$21,Plus!$AP$2:'Plus'!$AQ$5,2,0))))</f>
        <v>0</v>
      </c>
      <c r="EM210" s="33">
        <f>IF(ER209&lt;0.01,0,IF(Plus!$F$24=Plus!$AO$3,0,IF(OR(Plus!$F$10=Plus!$AK$7,Plus!$F$10=Plus!$AK$13),0,Plus!$G$13*Plus!$AR$2)))</f>
        <v>0</v>
      </c>
      <c r="EN210" s="33">
        <f>IF(ER209&lt;0.01,0,IF(OR(Plus!$F$10=Plus!$AK$7,Plus!$F$10=Plus!$AK$13),0,Plus!$BD$2*1.16))</f>
        <v>0</v>
      </c>
      <c r="EO210" s="33">
        <f>IF(ER209&lt;0.01,0,IF(Plus!$AS$2&gt;0,EI210*Plus!$AS$3,0))</f>
        <v>0</v>
      </c>
      <c r="EP210" s="33">
        <f t="shared" si="372"/>
        <v>0</v>
      </c>
      <c r="EQ210" s="33">
        <f>IF(Plus!$F$10=Plus!$AK$3,MIN(ER209+EI210+EL210+EM210+EN210-EP210,FC210),0)</f>
        <v>0</v>
      </c>
      <c r="ER210" s="311">
        <f t="shared" si="431"/>
        <v>0</v>
      </c>
      <c r="ES210" s="340">
        <f>Plus!O251</f>
        <v>0</v>
      </c>
      <c r="ET210" s="74"/>
      <c r="EU210" s="74"/>
      <c r="EV210" s="416">
        <f t="shared" si="429"/>
        <v>0</v>
      </c>
      <c r="EY210" s="90">
        <f t="shared" si="373"/>
        <v>6</v>
      </c>
      <c r="EZ210" s="121">
        <f t="shared" si="415"/>
        <v>0</v>
      </c>
      <c r="FB210" s="149">
        <f t="shared" si="416"/>
        <v>0</v>
      </c>
      <c r="FC210" s="2179">
        <f t="shared" ca="1" si="374"/>
        <v>0</v>
      </c>
      <c r="FE210" s="120">
        <f t="shared" si="417"/>
        <v>0</v>
      </c>
      <c r="FF210" s="110">
        <f t="shared" si="375"/>
        <v>0</v>
      </c>
      <c r="FG210" s="110">
        <f t="shared" si="376"/>
        <v>0</v>
      </c>
      <c r="FH210" s="109">
        <f t="shared" si="377"/>
        <v>0</v>
      </c>
      <c r="FI210" s="109">
        <f t="shared" si="328"/>
        <v>0</v>
      </c>
      <c r="FJ210" s="113">
        <f t="shared" si="378"/>
        <v>0</v>
      </c>
      <c r="FL210" s="102">
        <f t="shared" si="379"/>
        <v>0</v>
      </c>
      <c r="FM210" s="211">
        <f t="shared" si="454"/>
        <v>186</v>
      </c>
      <c r="FN210" s="212">
        <f t="shared" si="380"/>
        <v>0</v>
      </c>
      <c r="FO210" s="212">
        <f t="shared" si="329"/>
        <v>0</v>
      </c>
      <c r="FP210" s="212">
        <f t="shared" si="452"/>
        <v>0</v>
      </c>
      <c r="FQ210" s="213">
        <f t="shared" si="330"/>
        <v>1000000</v>
      </c>
      <c r="FV210" s="359"/>
      <c r="FX210" s="308">
        <f t="shared" ca="1" si="331"/>
        <v>9</v>
      </c>
      <c r="FY210" s="309">
        <f t="shared" si="381"/>
        <v>0</v>
      </c>
      <c r="FZ210" s="268">
        <f t="shared" si="332"/>
        <v>0</v>
      </c>
      <c r="GA210" s="33">
        <f t="shared" si="382"/>
        <v>0</v>
      </c>
      <c r="GB210" s="33">
        <f t="shared" si="438"/>
        <v>0</v>
      </c>
      <c r="GC210" s="33">
        <f t="shared" si="439"/>
        <v>0</v>
      </c>
      <c r="GD210" s="33">
        <f>IF(GJ209&lt;0.01,0,IF(Plus!$F$22=Plus!$AN$4,0,IF(Plus!$F$22=Plus!$AN$3,GJ209*Plus!$F$23/1000,GJ209*VLOOKUP(Plus!$G$21,Plus!$AP$2:$AQ$5,2,0))))</f>
        <v>0</v>
      </c>
      <c r="GE210" s="33">
        <f>IF(GJ209&lt;0.01,0,IF(Plus!$F$24=Plus!$AO$3,0,IF(OR(Plus!$F$10=Plus!$AK$7,Plus!$F$10=Plus!$AK$13,Plus!$F$10=Plus!$AK$14),0,IF(OR(Plus!$F$10=Plus!$AK$10,Plus!$F$10=Plus!$AK$11),Plus!$G$13*Adm!$W$7,Plus!$G$13*Adm!$X$4))))</f>
        <v>0</v>
      </c>
      <c r="GF210" s="33">
        <f>IF(GJ209&lt;0.01,0,IF(OR(Plus!$F$10=Plus!$AK$7,Plus!$F$10=Plus!$AK$13),0,Plus!$BD$2*1.16))</f>
        <v>0</v>
      </c>
      <c r="GG210" s="33">
        <f>IF(GJ209&lt;0.01,0,IF(Plus!$AS$2&gt;0,GA210*Plus!$AS$3,0))</f>
        <v>0</v>
      </c>
      <c r="GH210" s="33">
        <f t="shared" si="383"/>
        <v>0</v>
      </c>
      <c r="GI210" s="33">
        <f>IF(Plus!$F$10=Plus!$AK$3,MIN(GJ209+GA210+GD210+GE210+GF210-GH210,GU210),0)</f>
        <v>0</v>
      </c>
      <c r="GJ210" s="311">
        <f t="shared" si="432"/>
        <v>0</v>
      </c>
      <c r="GK210" s="340">
        <f>Plus!O251</f>
        <v>0</v>
      </c>
      <c r="GL210" s="74"/>
      <c r="GM210" s="74"/>
      <c r="GN210" s="419">
        <f t="shared" si="430"/>
        <v>0</v>
      </c>
      <c r="GQ210" s="90">
        <f t="shared" si="384"/>
        <v>6</v>
      </c>
      <c r="GR210" s="121">
        <f t="shared" si="418"/>
        <v>0</v>
      </c>
      <c r="GT210" s="149">
        <f t="shared" si="419"/>
        <v>0</v>
      </c>
      <c r="GU210" s="2179">
        <f t="shared" ca="1" si="385"/>
        <v>0</v>
      </c>
      <c r="GW210" s="120">
        <f t="shared" si="420"/>
        <v>0</v>
      </c>
      <c r="GX210" s="110">
        <f t="shared" si="386"/>
        <v>0</v>
      </c>
      <c r="GY210" s="110">
        <f t="shared" si="387"/>
        <v>0</v>
      </c>
      <c r="GZ210" s="109">
        <f t="shared" si="388"/>
        <v>0</v>
      </c>
      <c r="HA210" s="109">
        <f t="shared" si="333"/>
        <v>0</v>
      </c>
      <c r="HB210" s="113">
        <f t="shared" si="389"/>
        <v>0</v>
      </c>
      <c r="HD210" s="102">
        <f t="shared" si="390"/>
        <v>0</v>
      </c>
      <c r="HE210" s="211">
        <f t="shared" si="455"/>
        <v>186</v>
      </c>
      <c r="HF210" s="212">
        <f t="shared" si="391"/>
        <v>0</v>
      </c>
      <c r="HG210" s="212">
        <f t="shared" si="334"/>
        <v>0</v>
      </c>
      <c r="HH210" s="212">
        <f t="shared" si="453"/>
        <v>0</v>
      </c>
      <c r="HI210" s="213">
        <f t="shared" si="335"/>
        <v>1000000</v>
      </c>
      <c r="HL210" s="182"/>
      <c r="HM210" s="26">
        <f t="shared" ca="1" si="336"/>
        <v>9</v>
      </c>
      <c r="HO210" s="268">
        <f t="shared" si="337"/>
        <v>0</v>
      </c>
      <c r="HP210" s="151">
        <f t="shared" si="448"/>
        <v>0</v>
      </c>
      <c r="HQ210" s="123">
        <f t="shared" si="392"/>
        <v>0</v>
      </c>
      <c r="HR210" s="123">
        <f t="shared" si="393"/>
        <v>0</v>
      </c>
      <c r="HS210" s="123">
        <f t="shared" si="394"/>
        <v>0</v>
      </c>
      <c r="HT210" s="123">
        <f>IF(HY209&lt;0.01,0,IF(Adm!$GS$4=Adm!$GS$8,HY209*$HY$15,IF(Adm!$GS$12=Adm!$GS$13,0,HY209*Adm!$GV$4)))</f>
        <v>0</v>
      </c>
      <c r="HU210" s="123">
        <f>IF(HY209&lt;0.01,0,IF(Adm!$GS$5=Adm!$GS$8,Cal!$BO$108*$HY$16/1.16,IF(Adm!$GS$12=Adm!$GS$13,0,Cal!$BO$108*Adm!$GW$4/1.16)))</f>
        <v>0</v>
      </c>
      <c r="HV210" s="123">
        <f t="shared" si="395"/>
        <v>0</v>
      </c>
      <c r="HW210" s="123">
        <f t="shared" si="338"/>
        <v>0</v>
      </c>
      <c r="HX210" s="123">
        <f>IF(Adm!$GH$6="si",MIN(HY209+HQ210+HT210+HU210+HV210-HW210,IH210),0)</f>
        <v>0</v>
      </c>
      <c r="HY210" s="297">
        <f t="shared" si="396"/>
        <v>0</v>
      </c>
      <c r="HZ210" s="74"/>
      <c r="IA210" s="407">
        <f t="shared" si="397"/>
        <v>0</v>
      </c>
      <c r="IC210" s="90">
        <f t="shared" si="398"/>
        <v>6</v>
      </c>
      <c r="ID210" s="124">
        <f>IF(IC210=1,Cal!$BO$127,0)</f>
        <v>0</v>
      </c>
      <c r="IE210" s="178">
        <f>IF(IC210=1,Adm!$HI$4,0)</f>
        <v>0</v>
      </c>
      <c r="IG210" s="70">
        <f t="shared" si="421"/>
        <v>0</v>
      </c>
      <c r="IH210" s="2178">
        <f t="shared" ca="1" si="399"/>
        <v>0</v>
      </c>
      <c r="IK210" s="217"/>
      <c r="IL210" s="26">
        <f t="shared" ca="1" si="339"/>
        <v>9</v>
      </c>
      <c r="IN210" s="268">
        <f t="shared" si="340"/>
        <v>0</v>
      </c>
      <c r="IO210" s="151">
        <f t="shared" si="449"/>
        <v>0</v>
      </c>
      <c r="IP210" s="123">
        <f t="shared" si="400"/>
        <v>0</v>
      </c>
      <c r="IQ210" s="123">
        <f t="shared" si="401"/>
        <v>0</v>
      </c>
      <c r="IR210" s="123">
        <f t="shared" si="402"/>
        <v>0</v>
      </c>
      <c r="IS210" s="123">
        <f>IF(IX209&lt;0.01,0,IF(Adm!$GS$4=Adm!$GS$8,IX209*$IX$15,IF(Adm!$GS$12=Adm!$GS$13,0,IX209*Adm!$GV$4)))</f>
        <v>0</v>
      </c>
      <c r="IT210" s="123"/>
      <c r="IU210" s="123">
        <f t="shared" si="403"/>
        <v>0</v>
      </c>
      <c r="IV210" s="123">
        <f t="shared" si="404"/>
        <v>0</v>
      </c>
      <c r="IW210" s="123"/>
      <c r="IX210" s="297">
        <f t="shared" si="405"/>
        <v>0</v>
      </c>
      <c r="IY210" s="74"/>
      <c r="IZ210" s="416">
        <f t="shared" si="406"/>
        <v>0</v>
      </c>
      <c r="JB210" s="90">
        <f t="shared" si="407"/>
        <v>6</v>
      </c>
      <c r="JC210" s="124">
        <f>IF(JB210=1,Cal!$BP$127,0)</f>
        <v>0</v>
      </c>
      <c r="JD210" s="178">
        <f>IF(JB210=1,Adm!$HI$4,0)</f>
        <v>0</v>
      </c>
    </row>
    <row r="211" spans="1:264">
      <c r="A211" s="26">
        <f t="shared" ca="1" si="308"/>
        <v>10</v>
      </c>
      <c r="C211" s="33">
        <f t="shared" si="309"/>
        <v>0</v>
      </c>
      <c r="D211" s="123">
        <f t="shared" si="341"/>
        <v>0</v>
      </c>
      <c r="E211" s="123">
        <f t="shared" si="433"/>
        <v>0</v>
      </c>
      <c r="F211" s="123">
        <f t="shared" si="443"/>
        <v>0</v>
      </c>
      <c r="G211" s="123">
        <f>IF(L210&lt;0.01,0,IF(Adm!$S$4=Adm!$S$8,L210*$L$15,L210*Adm!$V$4))</f>
        <v>0</v>
      </c>
      <c r="H211" s="123">
        <f>IF(L210&lt;0.01,0,IF(Adm!$S$5=Adm!$S$8,Adm!$AA$11*$L$16/1.16,IF(Adm!$B$4=Adm!$A$119,0,Adm!$AA$11*Adm!$X$4/1.16)))</f>
        <v>0</v>
      </c>
      <c r="I211" s="123">
        <f>IF(L210&lt;0.01,0,Cal!$AB$126/1.16)</f>
        <v>0</v>
      </c>
      <c r="J211" s="123">
        <f t="shared" si="310"/>
        <v>0</v>
      </c>
      <c r="K211" s="123">
        <f>IF(Adm!$G$4="si",MIN(L210+D211+G211+H211+I211-J211,V211),0)</f>
        <v>0</v>
      </c>
      <c r="L211" s="123">
        <f t="shared" si="342"/>
        <v>0</v>
      </c>
      <c r="M211" s="74"/>
      <c r="N211" s="74"/>
      <c r="O211" s="407">
        <f t="shared" si="343"/>
        <v>0</v>
      </c>
      <c r="R211" s="90">
        <f t="shared" si="344"/>
        <v>7</v>
      </c>
      <c r="S211" s="121">
        <f>IF(R211=1,Cal!$AB$127,0)</f>
        <v>0</v>
      </c>
      <c r="U211" s="70">
        <f t="shared" si="408"/>
        <v>0</v>
      </c>
      <c r="V211" s="2178">
        <f t="shared" ca="1" si="345"/>
        <v>0</v>
      </c>
      <c r="X211" s="398"/>
      <c r="Z211" s="268">
        <f t="shared" si="311"/>
        <v>0</v>
      </c>
      <c r="AA211" s="2176">
        <f t="shared" si="346"/>
        <v>0</v>
      </c>
      <c r="AB211" s="33">
        <f t="shared" si="347"/>
        <v>0</v>
      </c>
      <c r="AC211" s="33">
        <f t="shared" si="348"/>
        <v>0</v>
      </c>
      <c r="AD211" s="33">
        <f>IF(AI210&lt;0.01,0,IF(Adm!$S$4=Adm!$S$8,AI210*$AI$15,AI210*Adm!$V$4))</f>
        <v>0</v>
      </c>
      <c r="AE211" s="33"/>
      <c r="AF211" s="33"/>
      <c r="AG211" s="33">
        <f t="shared" si="312"/>
        <v>0</v>
      </c>
      <c r="AH211" s="33"/>
      <c r="AI211" s="401">
        <f t="shared" si="313"/>
        <v>0</v>
      </c>
      <c r="AK211" s="410">
        <f t="shared" si="314"/>
        <v>0</v>
      </c>
      <c r="AN211" s="90">
        <f t="shared" si="349"/>
        <v>7</v>
      </c>
      <c r="AO211" s="121">
        <f>IF(AN211=1,Cal!$AC$127,0)</f>
        <v>0</v>
      </c>
      <c r="AS211" s="200"/>
      <c r="AU211" s="268">
        <f t="shared" si="315"/>
        <v>0</v>
      </c>
      <c r="AV211" s="2177">
        <f t="shared" si="350"/>
        <v>0</v>
      </c>
      <c r="AW211" s="123">
        <f t="shared" si="316"/>
        <v>0</v>
      </c>
      <c r="AX211" s="123">
        <f t="shared" si="351"/>
        <v>0</v>
      </c>
      <c r="AY211" s="123">
        <f>IF(BC210&lt;0.01,0,IF(Adm!$S$4=Adm!$S$8,BC210*$BC$16,BC210*Adm!$V$4))</f>
        <v>0</v>
      </c>
      <c r="AZ211" s="123"/>
      <c r="BA211" s="123">
        <f>IF(BC210&lt;0.01,0,Adm!$Q$6)</f>
        <v>0</v>
      </c>
      <c r="BB211" s="123">
        <f t="shared" si="317"/>
        <v>0</v>
      </c>
      <c r="BC211" s="297">
        <f t="shared" si="352"/>
        <v>0</v>
      </c>
      <c r="BE211" s="425">
        <f t="shared" si="318"/>
        <v>0</v>
      </c>
      <c r="BH211" s="90">
        <f t="shared" si="353"/>
        <v>7</v>
      </c>
      <c r="BI211" s="121">
        <f>IF(BH211=1,Cal!$AD$127,0)</f>
        <v>0</v>
      </c>
      <c r="BM211" s="221"/>
      <c r="BO211" s="295">
        <f t="shared" ca="1" si="319"/>
        <v>10</v>
      </c>
      <c r="BP211" s="268">
        <f t="shared" si="320"/>
        <v>0</v>
      </c>
      <c r="BQ211" s="123">
        <f t="shared" si="354"/>
        <v>0</v>
      </c>
      <c r="BR211" s="123">
        <f t="shared" si="434"/>
        <v>0</v>
      </c>
      <c r="BS211" s="123">
        <f t="shared" si="444"/>
        <v>0</v>
      </c>
      <c r="BT211" s="123">
        <f>IF(BZ210&lt;0.01,0,IF(Plus!$F$22=Plus!$AN$4,BZ210*$BZ$15,IF(Plus!$F$22=Plus!$AN$3,BZ210*Plus!$F$23/1000,BZ210*VLOOKUP(Plus!$G$21,Plus!$AP$2:'Plus'!$AQ$5,2,0))))</f>
        <v>0</v>
      </c>
      <c r="BU211" s="123">
        <f>IF(BZ210&lt;0.01,0,IF(Plus!$F$24=Plus!$AO$3,Plus!$G$13*Plus!$AR$2/1.16,IF(Plus!$F$10=Plus!$AK$7,0,Plus!$G$13*Plus!$AR$2/1.16)))</f>
        <v>0</v>
      </c>
      <c r="BV211" s="123">
        <f>IF(BZ210&lt;0.01,0,Plus!$BD$2)</f>
        <v>0</v>
      </c>
      <c r="BW211" s="123"/>
      <c r="BX211" s="123">
        <f t="shared" si="321"/>
        <v>0</v>
      </c>
      <c r="BY211" s="123">
        <f>IF(Plus!$F$10=Plus!$AK$3,MIN(BZ210+BQ211+BT211+BU211+BV211-BX211,CJ211),0)</f>
        <v>0</v>
      </c>
      <c r="BZ211" s="297">
        <f t="shared" si="428"/>
        <v>0</v>
      </c>
      <c r="CA211" s="74"/>
      <c r="CB211" s="74"/>
      <c r="CC211" s="413">
        <f t="shared" si="355"/>
        <v>0</v>
      </c>
      <c r="CF211" s="90">
        <f t="shared" si="356"/>
        <v>7</v>
      </c>
      <c r="CG211" s="121">
        <f t="shared" si="409"/>
        <v>0</v>
      </c>
      <c r="CI211" s="70">
        <f t="shared" si="410"/>
        <v>0</v>
      </c>
      <c r="CJ211" s="2178">
        <f t="shared" ca="1" si="357"/>
        <v>0</v>
      </c>
      <c r="CL211" s="161"/>
      <c r="CN211" s="308">
        <f t="shared" ca="1" si="322"/>
        <v>10</v>
      </c>
      <c r="CO211" s="309">
        <f t="shared" si="358"/>
        <v>0</v>
      </c>
      <c r="CP211" s="268">
        <f t="shared" si="323"/>
        <v>0</v>
      </c>
      <c r="CQ211" s="123">
        <f t="shared" si="359"/>
        <v>0</v>
      </c>
      <c r="CR211" s="123">
        <f t="shared" si="435"/>
        <v>0</v>
      </c>
      <c r="CS211" s="123">
        <f t="shared" si="436"/>
        <v>0</v>
      </c>
      <c r="CT211" s="33">
        <f>IF(CZ210&lt;0.01,0,IF(Plus!$F$22=Plus!$AN$4,0,IF(Plus!$F$22=Plus!$AN$3,CZ210*Plus!$F$23/1000,CZ210*VLOOKUP(Plus!$G$21,Plus!$AP$2:'Plus'!$AQ$5,2,0))))</f>
        <v>0</v>
      </c>
      <c r="CU211" s="123">
        <f>IF(CZ210&lt;0.01,0,IF(Plus!$F$24=Plus!$AO$3,0,IF(OR(Plus!$F$10=Plus!$AK$7,Plus!$F$10=Plus!$AK$13),0,Plus!$G$13*Plus!$AR$2)))</f>
        <v>0</v>
      </c>
      <c r="CV211" s="123">
        <f>IF(CZ210&lt;0.01,0,IF(OR(Plus!$F$10=Plus!$AK$7,Plus!$F$10=Plus!$AK$13),0,Plus!$BD$2*1.16))</f>
        <v>0</v>
      </c>
      <c r="CW211" s="123">
        <f>IF(CZ210&lt;0.01,0,IF(Plus!$AS$2&gt;0,CQ211*Plus!$AS$3,0))</f>
        <v>0</v>
      </c>
      <c r="CX211" s="123">
        <f t="shared" si="360"/>
        <v>0</v>
      </c>
      <c r="CY211" s="123">
        <f>IF(Plus!$F$10=Plus!$AK$3,MIN(CZ210+CQ211+CT211+CU211+CV211-CX211,DK211),0)</f>
        <v>0</v>
      </c>
      <c r="CZ211" s="297">
        <f t="shared" si="440"/>
        <v>0</v>
      </c>
      <c r="DA211" s="306">
        <f>Plus!O252</f>
        <v>0</v>
      </c>
      <c r="DB211" s="74"/>
      <c r="DC211" s="74"/>
      <c r="DD211" s="407">
        <f t="shared" si="361"/>
        <v>0</v>
      </c>
      <c r="DG211" s="90">
        <f t="shared" si="362"/>
        <v>7</v>
      </c>
      <c r="DH211" s="121">
        <f t="shared" si="411"/>
        <v>0</v>
      </c>
      <c r="DJ211" s="149">
        <f t="shared" si="412"/>
        <v>0</v>
      </c>
      <c r="DK211" s="2179">
        <f t="shared" ca="1" si="363"/>
        <v>0</v>
      </c>
      <c r="DN211" s="120">
        <f t="shared" si="413"/>
        <v>0</v>
      </c>
      <c r="DO211" s="110">
        <f t="shared" si="364"/>
        <v>0</v>
      </c>
      <c r="DP211" s="110">
        <f t="shared" si="422"/>
        <v>0</v>
      </c>
      <c r="DQ211" s="109">
        <f t="shared" si="365"/>
        <v>0</v>
      </c>
      <c r="DR211" s="109">
        <f t="shared" si="366"/>
        <v>0</v>
      </c>
      <c r="DS211" s="113">
        <f t="shared" si="367"/>
        <v>0</v>
      </c>
      <c r="DU211" s="102">
        <f t="shared" si="368"/>
        <v>0</v>
      </c>
      <c r="DV211" s="211">
        <f t="shared" si="423"/>
        <v>187</v>
      </c>
      <c r="DW211" s="212">
        <f t="shared" si="369"/>
        <v>0</v>
      </c>
      <c r="DX211" s="212">
        <f t="shared" si="324"/>
        <v>0</v>
      </c>
      <c r="DY211" s="212">
        <f t="shared" si="414"/>
        <v>0</v>
      </c>
      <c r="DZ211" s="213">
        <f t="shared" si="325"/>
        <v>1000000</v>
      </c>
      <c r="ED211" s="182"/>
      <c r="EF211" s="308">
        <f t="shared" ca="1" si="326"/>
        <v>10</v>
      </c>
      <c r="EG211" s="309">
        <f t="shared" si="370"/>
        <v>0</v>
      </c>
      <c r="EH211" s="268">
        <f t="shared" si="327"/>
        <v>0</v>
      </c>
      <c r="EI211" s="33">
        <f t="shared" si="371"/>
        <v>0</v>
      </c>
      <c r="EJ211" s="33">
        <f t="shared" si="437"/>
        <v>0</v>
      </c>
      <c r="EK211" s="33">
        <f t="shared" si="445"/>
        <v>0</v>
      </c>
      <c r="EL211" s="33">
        <f>IF(ER210&lt;0.01,0,IF(Plus!$F$22=Plus!$AN$4,0,IF(Plus!$F$22=Plus!$AN$3,ER210*Plus!$F$23/1000,ER210*VLOOKUP(Plus!$G$21,Plus!$AP$2:'Plus'!$AQ$5,2,0))))</f>
        <v>0</v>
      </c>
      <c r="EM211" s="33">
        <f>IF(ER210&lt;0.01,0,IF(Plus!$F$24=Plus!$AO$3,0,IF(OR(Plus!$F$10=Plus!$AK$7,Plus!$F$10=Plus!$AK$13),0,Plus!$G$13*Plus!$AR$2)))</f>
        <v>0</v>
      </c>
      <c r="EN211" s="33">
        <f>IF(ER210&lt;0.01,0,IF(OR(Plus!$F$10=Plus!$AK$7,Plus!$F$10=Plus!$AK$13),0,Plus!$BD$2*1.16))</f>
        <v>0</v>
      </c>
      <c r="EO211" s="33">
        <f>IF(ER210&lt;0.01,0,IF(Plus!$AS$2&gt;0,EI211*Plus!$AS$3,0))</f>
        <v>0</v>
      </c>
      <c r="EP211" s="33">
        <f t="shared" si="372"/>
        <v>0</v>
      </c>
      <c r="EQ211" s="33">
        <f>IF(Plus!$F$10=Plus!$AK$3,MIN(ER210+EI211+EL211+EM211+EN211-EP211,FC211),0)</f>
        <v>0</v>
      </c>
      <c r="ER211" s="311">
        <f t="shared" si="431"/>
        <v>0</v>
      </c>
      <c r="ES211" s="340">
        <f>Plus!O252</f>
        <v>0</v>
      </c>
      <c r="ET211" s="74"/>
      <c r="EU211" s="74"/>
      <c r="EV211" s="416">
        <f t="shared" si="429"/>
        <v>0</v>
      </c>
      <c r="EY211" s="90">
        <f t="shared" si="373"/>
        <v>7</v>
      </c>
      <c r="EZ211" s="121">
        <f t="shared" si="415"/>
        <v>0</v>
      </c>
      <c r="FB211" s="149">
        <f t="shared" si="416"/>
        <v>0</v>
      </c>
      <c r="FC211" s="2179">
        <f t="shared" ca="1" si="374"/>
        <v>0</v>
      </c>
      <c r="FE211" s="120">
        <f t="shared" si="417"/>
        <v>0</v>
      </c>
      <c r="FF211" s="110">
        <f t="shared" si="375"/>
        <v>0</v>
      </c>
      <c r="FG211" s="110">
        <f t="shared" si="376"/>
        <v>0</v>
      </c>
      <c r="FH211" s="109">
        <f t="shared" si="377"/>
        <v>0</v>
      </c>
      <c r="FI211" s="109">
        <f t="shared" si="328"/>
        <v>0</v>
      </c>
      <c r="FJ211" s="113">
        <f t="shared" si="378"/>
        <v>0</v>
      </c>
      <c r="FL211" s="102">
        <f t="shared" si="379"/>
        <v>0</v>
      </c>
      <c r="FM211" s="211">
        <f t="shared" si="454"/>
        <v>187</v>
      </c>
      <c r="FN211" s="212">
        <f t="shared" si="380"/>
        <v>0</v>
      </c>
      <c r="FO211" s="212">
        <f t="shared" si="329"/>
        <v>0</v>
      </c>
      <c r="FP211" s="212">
        <f t="shared" si="452"/>
        <v>0</v>
      </c>
      <c r="FQ211" s="213">
        <f t="shared" si="330"/>
        <v>1000000</v>
      </c>
      <c r="FV211" s="359"/>
      <c r="FX211" s="308">
        <f t="shared" ca="1" si="331"/>
        <v>10</v>
      </c>
      <c r="FY211" s="309">
        <f t="shared" si="381"/>
        <v>0</v>
      </c>
      <c r="FZ211" s="268">
        <f t="shared" si="332"/>
        <v>0</v>
      </c>
      <c r="GA211" s="33">
        <f t="shared" si="382"/>
        <v>0</v>
      </c>
      <c r="GB211" s="33">
        <f t="shared" si="438"/>
        <v>0</v>
      </c>
      <c r="GC211" s="33">
        <f t="shared" si="439"/>
        <v>0</v>
      </c>
      <c r="GD211" s="33">
        <f>IF(GJ210&lt;0.01,0,IF(Plus!$F$22=Plus!$AN$4,0,IF(Plus!$F$22=Plus!$AN$3,GJ210*Plus!$F$23/1000,GJ210*VLOOKUP(Plus!$G$21,Plus!$AP$2:$AQ$5,2,0))))</f>
        <v>0</v>
      </c>
      <c r="GE211" s="33">
        <f>IF(GJ210&lt;0.01,0,IF(Plus!$F$24=Plus!$AO$3,0,IF(OR(Plus!$F$10=Plus!$AK$7,Plus!$F$10=Plus!$AK$13,Plus!$F$10=Plus!$AK$14),0,IF(OR(Plus!$F$10=Plus!$AK$10,Plus!$F$10=Plus!$AK$11),Plus!$G$13*Adm!$W$7,Plus!$G$13*Adm!$X$4))))</f>
        <v>0</v>
      </c>
      <c r="GF211" s="33">
        <f>IF(GJ210&lt;0.01,0,IF(OR(Plus!$F$10=Plus!$AK$7,Plus!$F$10=Plus!$AK$13),0,Plus!$BD$2*1.16))</f>
        <v>0</v>
      </c>
      <c r="GG211" s="33">
        <f>IF(GJ210&lt;0.01,0,IF(Plus!$AS$2&gt;0,GA211*Plus!$AS$3,0))</f>
        <v>0</v>
      </c>
      <c r="GH211" s="33">
        <f t="shared" si="383"/>
        <v>0</v>
      </c>
      <c r="GI211" s="33">
        <f>IF(Plus!$F$10=Plus!$AK$3,MIN(GJ210+GA211+GD211+GE211+GF211-GH211,GU211),0)</f>
        <v>0</v>
      </c>
      <c r="GJ211" s="311">
        <f t="shared" si="432"/>
        <v>0</v>
      </c>
      <c r="GK211" s="340">
        <f>Plus!O252</f>
        <v>0</v>
      </c>
      <c r="GL211" s="74"/>
      <c r="GM211" s="74"/>
      <c r="GN211" s="419">
        <f t="shared" si="430"/>
        <v>0</v>
      </c>
      <c r="GQ211" s="90">
        <f t="shared" si="384"/>
        <v>7</v>
      </c>
      <c r="GR211" s="121">
        <f t="shared" si="418"/>
        <v>0</v>
      </c>
      <c r="GT211" s="149">
        <f t="shared" si="419"/>
        <v>0</v>
      </c>
      <c r="GU211" s="2179">
        <f t="shared" ca="1" si="385"/>
        <v>0</v>
      </c>
      <c r="GW211" s="120">
        <f t="shared" si="420"/>
        <v>0</v>
      </c>
      <c r="GX211" s="110">
        <f t="shared" si="386"/>
        <v>0</v>
      </c>
      <c r="GY211" s="110">
        <f t="shared" si="387"/>
        <v>0</v>
      </c>
      <c r="GZ211" s="109">
        <f t="shared" si="388"/>
        <v>0</v>
      </c>
      <c r="HA211" s="109">
        <f t="shared" si="333"/>
        <v>0</v>
      </c>
      <c r="HB211" s="113">
        <f t="shared" si="389"/>
        <v>0</v>
      </c>
      <c r="HD211" s="102">
        <f t="shared" si="390"/>
        <v>0</v>
      </c>
      <c r="HE211" s="211">
        <f t="shared" si="455"/>
        <v>187</v>
      </c>
      <c r="HF211" s="212">
        <f t="shared" si="391"/>
        <v>0</v>
      </c>
      <c r="HG211" s="212">
        <f t="shared" si="334"/>
        <v>0</v>
      </c>
      <c r="HH211" s="212">
        <f t="shared" si="453"/>
        <v>0</v>
      </c>
      <c r="HI211" s="213">
        <f t="shared" si="335"/>
        <v>1000000</v>
      </c>
      <c r="HL211" s="182"/>
      <c r="HM211" s="26">
        <f t="shared" ca="1" si="336"/>
        <v>10</v>
      </c>
      <c r="HO211" s="268">
        <f t="shared" si="337"/>
        <v>0</v>
      </c>
      <c r="HP211" s="151">
        <f t="shared" si="448"/>
        <v>0</v>
      </c>
      <c r="HQ211" s="123">
        <f t="shared" si="392"/>
        <v>0</v>
      </c>
      <c r="HR211" s="123">
        <f t="shared" si="393"/>
        <v>0</v>
      </c>
      <c r="HS211" s="123">
        <f t="shared" si="394"/>
        <v>0</v>
      </c>
      <c r="HT211" s="123">
        <f>IF(HY210&lt;0.01,0,IF(Adm!$GS$4=Adm!$GS$8,HY210*$HY$15,IF(Adm!$GS$12=Adm!$GS$13,0,HY210*Adm!$GV$4)))</f>
        <v>0</v>
      </c>
      <c r="HU211" s="123">
        <f>IF(HY210&lt;0.01,0,IF(Adm!$GS$5=Adm!$GS$8,Cal!$BO$108*$HY$16/1.16,IF(Adm!$GS$12=Adm!$GS$13,0,Cal!$BO$108*Adm!$GW$4/1.16)))</f>
        <v>0</v>
      </c>
      <c r="HV211" s="123">
        <f t="shared" si="395"/>
        <v>0</v>
      </c>
      <c r="HW211" s="123">
        <f t="shared" si="338"/>
        <v>0</v>
      </c>
      <c r="HX211" s="123">
        <f>IF(Adm!$GH$6="si",MIN(HY210+HQ211+HT211+HU211+HV211-HW211,IH211),0)</f>
        <v>0</v>
      </c>
      <c r="HY211" s="297">
        <f t="shared" si="396"/>
        <v>0</v>
      </c>
      <c r="HZ211" s="74"/>
      <c r="IA211" s="407">
        <f t="shared" si="397"/>
        <v>0</v>
      </c>
      <c r="IC211" s="90">
        <f t="shared" si="398"/>
        <v>7</v>
      </c>
      <c r="ID211" s="124">
        <f>IF(IC211=1,Cal!$BO$127,0)</f>
        <v>0</v>
      </c>
      <c r="IE211" s="178">
        <f>IF(IC211=1,Adm!$HI$4,0)</f>
        <v>0</v>
      </c>
      <c r="IG211" s="70">
        <f t="shared" si="421"/>
        <v>0</v>
      </c>
      <c r="IH211" s="2178">
        <f t="shared" ca="1" si="399"/>
        <v>0</v>
      </c>
      <c r="IK211" s="217"/>
      <c r="IL211" s="26">
        <f t="shared" ca="1" si="339"/>
        <v>10</v>
      </c>
      <c r="IN211" s="268">
        <f t="shared" si="340"/>
        <v>0</v>
      </c>
      <c r="IO211" s="151">
        <f t="shared" si="449"/>
        <v>0</v>
      </c>
      <c r="IP211" s="123">
        <f t="shared" si="400"/>
        <v>0</v>
      </c>
      <c r="IQ211" s="123">
        <f t="shared" si="401"/>
        <v>0</v>
      </c>
      <c r="IR211" s="123">
        <f t="shared" si="402"/>
        <v>0</v>
      </c>
      <c r="IS211" s="123">
        <f>IF(IX210&lt;0.01,0,IF(Adm!$GS$4=Adm!$GS$8,IX210*$IX$15,IF(Adm!$GS$12=Adm!$GS$13,0,IX210*Adm!$GV$4)))</f>
        <v>0</v>
      </c>
      <c r="IT211" s="123"/>
      <c r="IU211" s="123">
        <f t="shared" si="403"/>
        <v>0</v>
      </c>
      <c r="IV211" s="123">
        <f t="shared" si="404"/>
        <v>0</v>
      </c>
      <c r="IW211" s="123"/>
      <c r="IX211" s="297">
        <f t="shared" si="405"/>
        <v>0</v>
      </c>
      <c r="IY211" s="74"/>
      <c r="IZ211" s="416">
        <f t="shared" si="406"/>
        <v>0</v>
      </c>
      <c r="JB211" s="90">
        <f t="shared" si="407"/>
        <v>7</v>
      </c>
      <c r="JC211" s="124">
        <f>IF(JB211=1,Cal!$BP$127,0)</f>
        <v>0</v>
      </c>
      <c r="JD211" s="178">
        <f>IF(JB211=1,Adm!$HI$4,0)</f>
        <v>0</v>
      </c>
    </row>
    <row r="212" spans="1:264">
      <c r="A212" s="26">
        <f t="shared" ca="1" si="308"/>
        <v>11</v>
      </c>
      <c r="C212" s="33">
        <f t="shared" si="309"/>
        <v>0</v>
      </c>
      <c r="D212" s="123">
        <f t="shared" si="341"/>
        <v>0</v>
      </c>
      <c r="E212" s="123">
        <f t="shared" si="433"/>
        <v>0</v>
      </c>
      <c r="F212" s="123">
        <f t="shared" si="443"/>
        <v>0</v>
      </c>
      <c r="G212" s="123">
        <f>IF(L211&lt;0.01,0,IF(Adm!$S$4=Adm!$S$8,L211*$L$15,L211*Adm!$V$4))</f>
        <v>0</v>
      </c>
      <c r="H212" s="123">
        <f>IF(L211&lt;0.01,0,IF(Adm!$S$5=Adm!$S$8,Adm!$AA$11*$L$16/1.16,IF(Adm!$B$4=Adm!$A$119,0,Adm!$AA$11*Adm!$X$4/1.16)))</f>
        <v>0</v>
      </c>
      <c r="I212" s="123">
        <f>IF(L211&lt;0.01,0,Cal!$AB$126/1.16)</f>
        <v>0</v>
      </c>
      <c r="J212" s="123">
        <f t="shared" si="310"/>
        <v>0</v>
      </c>
      <c r="K212" s="123">
        <f>IF(Adm!$G$4="si",MIN(L211+D212+G212+H212+I212-J212,V212),0)</f>
        <v>0</v>
      </c>
      <c r="L212" s="123">
        <f t="shared" si="342"/>
        <v>0</v>
      </c>
      <c r="M212" s="74"/>
      <c r="N212" s="74"/>
      <c r="O212" s="407">
        <f t="shared" si="343"/>
        <v>0</v>
      </c>
      <c r="R212" s="90">
        <f t="shared" si="344"/>
        <v>8</v>
      </c>
      <c r="S212" s="121">
        <f>IF(R212=1,Cal!$AB$127,0)</f>
        <v>0</v>
      </c>
      <c r="U212" s="70">
        <f t="shared" si="408"/>
        <v>0</v>
      </c>
      <c r="V212" s="2178">
        <f t="shared" ca="1" si="345"/>
        <v>0</v>
      </c>
      <c r="X212" s="398"/>
      <c r="Z212" s="268">
        <f t="shared" si="311"/>
        <v>0</v>
      </c>
      <c r="AA212" s="2176">
        <f t="shared" si="346"/>
        <v>0</v>
      </c>
      <c r="AB212" s="33">
        <f t="shared" si="347"/>
        <v>0</v>
      </c>
      <c r="AC212" s="33">
        <f t="shared" si="348"/>
        <v>0</v>
      </c>
      <c r="AD212" s="33">
        <f>IF(AI211&lt;0.01,0,IF(Adm!$S$4=Adm!$S$8,AI211*$AI$15,AI211*Adm!$V$4))</f>
        <v>0</v>
      </c>
      <c r="AE212" s="33"/>
      <c r="AF212" s="33"/>
      <c r="AG212" s="33">
        <f t="shared" si="312"/>
        <v>0</v>
      </c>
      <c r="AH212" s="33"/>
      <c r="AI212" s="401">
        <f t="shared" si="313"/>
        <v>0</v>
      </c>
      <c r="AK212" s="410">
        <f t="shared" si="314"/>
        <v>0</v>
      </c>
      <c r="AN212" s="90">
        <f t="shared" si="349"/>
        <v>8</v>
      </c>
      <c r="AO212" s="121">
        <f>IF(AN212=1,Cal!$AC$127,0)</f>
        <v>0</v>
      </c>
      <c r="AS212" s="200"/>
      <c r="AU212" s="268">
        <f t="shared" si="315"/>
        <v>0</v>
      </c>
      <c r="AV212" s="2177">
        <f t="shared" si="350"/>
        <v>0</v>
      </c>
      <c r="AW212" s="123">
        <f t="shared" si="316"/>
        <v>0</v>
      </c>
      <c r="AX212" s="123">
        <f t="shared" si="351"/>
        <v>0</v>
      </c>
      <c r="AY212" s="123">
        <f>IF(BC211&lt;0.01,0,IF(Adm!$S$4=Adm!$S$8,BC211*$BC$16,BC211*Adm!$V$4))</f>
        <v>0</v>
      </c>
      <c r="AZ212" s="123"/>
      <c r="BA212" s="123">
        <f>IF(BC211&lt;0.01,0,Adm!$Q$6)</f>
        <v>0</v>
      </c>
      <c r="BB212" s="123">
        <f t="shared" si="317"/>
        <v>0</v>
      </c>
      <c r="BC212" s="297">
        <f t="shared" si="352"/>
        <v>0</v>
      </c>
      <c r="BE212" s="425">
        <f t="shared" si="318"/>
        <v>0</v>
      </c>
      <c r="BH212" s="90">
        <f t="shared" si="353"/>
        <v>8</v>
      </c>
      <c r="BI212" s="121">
        <f>IF(BH212=1,Cal!$AD$127,0)</f>
        <v>0</v>
      </c>
      <c r="BM212" s="221"/>
      <c r="BO212" s="295">
        <f t="shared" ca="1" si="319"/>
        <v>11</v>
      </c>
      <c r="BP212" s="268">
        <f t="shared" si="320"/>
        <v>0</v>
      </c>
      <c r="BQ212" s="123">
        <f t="shared" si="354"/>
        <v>0</v>
      </c>
      <c r="BR212" s="123">
        <f t="shared" si="434"/>
        <v>0</v>
      </c>
      <c r="BS212" s="123">
        <f t="shared" si="444"/>
        <v>0</v>
      </c>
      <c r="BT212" s="123">
        <f>IF(BZ211&lt;0.01,0,IF(Plus!$F$22=Plus!$AN$4,BZ211*$BZ$15,IF(Plus!$F$22=Plus!$AN$3,BZ211*Plus!$F$23/1000,BZ211*VLOOKUP(Plus!$G$21,Plus!$AP$2:'Plus'!$AQ$5,2,0))))</f>
        <v>0</v>
      </c>
      <c r="BU212" s="123">
        <f>IF(BZ211&lt;0.01,0,IF(Plus!$F$24=Plus!$AO$3,Plus!$G$13*Plus!$AR$2/1.16,IF(Plus!$F$10=Plus!$AK$7,0,Plus!$G$13*Plus!$AR$2/1.16)))</f>
        <v>0</v>
      </c>
      <c r="BV212" s="123">
        <f>IF(BZ211&lt;0.01,0,Plus!$BD$2)</f>
        <v>0</v>
      </c>
      <c r="BW212" s="123"/>
      <c r="BX212" s="123">
        <f t="shared" si="321"/>
        <v>0</v>
      </c>
      <c r="BY212" s="123">
        <f>IF(Plus!$F$10=Plus!$AK$3,MIN(BZ211+BQ212+BT212+BU212+BV212-BX212,CJ212),0)</f>
        <v>0</v>
      </c>
      <c r="BZ212" s="297">
        <f t="shared" si="428"/>
        <v>0</v>
      </c>
      <c r="CA212" s="74"/>
      <c r="CB212" s="74"/>
      <c r="CC212" s="413">
        <f t="shared" si="355"/>
        <v>0</v>
      </c>
      <c r="CF212" s="90">
        <f t="shared" si="356"/>
        <v>8</v>
      </c>
      <c r="CG212" s="121">
        <f t="shared" si="409"/>
        <v>0</v>
      </c>
      <c r="CI212" s="70">
        <f t="shared" si="410"/>
        <v>0</v>
      </c>
      <c r="CJ212" s="2178">
        <f t="shared" ca="1" si="357"/>
        <v>0</v>
      </c>
      <c r="CL212" s="161"/>
      <c r="CN212" s="308">
        <f t="shared" ca="1" si="322"/>
        <v>11</v>
      </c>
      <c r="CO212" s="309">
        <f t="shared" si="358"/>
        <v>0</v>
      </c>
      <c r="CP212" s="268">
        <f t="shared" si="323"/>
        <v>0</v>
      </c>
      <c r="CQ212" s="123">
        <f t="shared" si="359"/>
        <v>0</v>
      </c>
      <c r="CR212" s="123">
        <f t="shared" si="435"/>
        <v>0</v>
      </c>
      <c r="CS212" s="123">
        <f t="shared" si="436"/>
        <v>0</v>
      </c>
      <c r="CT212" s="33">
        <f>IF(CZ211&lt;0.01,0,IF(Plus!$F$22=Plus!$AN$4,0,IF(Plus!$F$22=Plus!$AN$3,CZ211*Plus!$F$23/1000,CZ211*VLOOKUP(Plus!$G$21,Plus!$AP$2:'Plus'!$AQ$5,2,0))))</f>
        <v>0</v>
      </c>
      <c r="CU212" s="123">
        <f>IF(CZ211&lt;0.01,0,IF(Plus!$F$24=Plus!$AO$3,0,IF(OR(Plus!$F$10=Plus!$AK$7,Plus!$F$10=Plus!$AK$13),0,Plus!$G$13*Plus!$AR$2)))</f>
        <v>0</v>
      </c>
      <c r="CV212" s="123">
        <f>IF(CZ211&lt;0.01,0,IF(OR(Plus!$F$10=Plus!$AK$7,Plus!$F$10=Plus!$AK$13),0,Plus!$BD$2*1.16))</f>
        <v>0</v>
      </c>
      <c r="CW212" s="123">
        <f>IF(CZ211&lt;0.01,0,IF(Plus!$AS$2&gt;0,CQ212*Plus!$AS$3,0))</f>
        <v>0</v>
      </c>
      <c r="CX212" s="123">
        <f t="shared" si="360"/>
        <v>0</v>
      </c>
      <c r="CY212" s="123">
        <f>IF(Plus!$F$10=Plus!$AK$3,MIN(CZ211+CQ212+CT212+CU212+CV212-CX212,DK212),0)</f>
        <v>0</v>
      </c>
      <c r="CZ212" s="297">
        <f t="shared" si="440"/>
        <v>0</v>
      </c>
      <c r="DA212" s="306">
        <f>Plus!O253</f>
        <v>0</v>
      </c>
      <c r="DB212" s="74"/>
      <c r="DC212" s="74"/>
      <c r="DD212" s="407">
        <f t="shared" si="361"/>
        <v>0</v>
      </c>
      <c r="DG212" s="90">
        <f t="shared" si="362"/>
        <v>8</v>
      </c>
      <c r="DH212" s="121">
        <f t="shared" si="411"/>
        <v>0</v>
      </c>
      <c r="DJ212" s="149">
        <f t="shared" si="412"/>
        <v>0</v>
      </c>
      <c r="DK212" s="2179">
        <f t="shared" ca="1" si="363"/>
        <v>0</v>
      </c>
      <c r="DN212" s="120">
        <f t="shared" si="413"/>
        <v>0</v>
      </c>
      <c r="DO212" s="110">
        <f t="shared" si="364"/>
        <v>0</v>
      </c>
      <c r="DP212" s="110">
        <f t="shared" si="422"/>
        <v>0</v>
      </c>
      <c r="DQ212" s="109">
        <f t="shared" si="365"/>
        <v>0</v>
      </c>
      <c r="DR212" s="109">
        <f t="shared" si="366"/>
        <v>0</v>
      </c>
      <c r="DS212" s="113">
        <f t="shared" si="367"/>
        <v>0</v>
      </c>
      <c r="DU212" s="102">
        <f t="shared" si="368"/>
        <v>0</v>
      </c>
      <c r="DV212" s="211">
        <f t="shared" si="423"/>
        <v>188</v>
      </c>
      <c r="DW212" s="212">
        <f t="shared" si="369"/>
        <v>0</v>
      </c>
      <c r="DX212" s="212">
        <f t="shared" si="324"/>
        <v>0</v>
      </c>
      <c r="DY212" s="212">
        <f t="shared" si="414"/>
        <v>0</v>
      </c>
      <c r="DZ212" s="213">
        <f t="shared" si="325"/>
        <v>1000000</v>
      </c>
      <c r="ED212" s="182"/>
      <c r="EF212" s="308">
        <f t="shared" ca="1" si="326"/>
        <v>11</v>
      </c>
      <c r="EG212" s="309">
        <f t="shared" si="370"/>
        <v>0</v>
      </c>
      <c r="EH212" s="268">
        <f t="shared" si="327"/>
        <v>0</v>
      </c>
      <c r="EI212" s="33">
        <f t="shared" si="371"/>
        <v>0</v>
      </c>
      <c r="EJ212" s="33">
        <f t="shared" si="437"/>
        <v>0</v>
      </c>
      <c r="EK212" s="33">
        <f t="shared" si="445"/>
        <v>0</v>
      </c>
      <c r="EL212" s="33">
        <f>IF(ER211&lt;0.01,0,IF(Plus!$F$22=Plus!$AN$4,0,IF(Plus!$F$22=Plus!$AN$3,ER211*Plus!$F$23/1000,ER211*VLOOKUP(Plus!$G$21,Plus!$AP$2:'Plus'!$AQ$5,2,0))))</f>
        <v>0</v>
      </c>
      <c r="EM212" s="33">
        <f>IF(ER211&lt;0.01,0,IF(Plus!$F$24=Plus!$AO$3,0,IF(OR(Plus!$F$10=Plus!$AK$7,Plus!$F$10=Plus!$AK$13),0,Plus!$G$13*Plus!$AR$2)))</f>
        <v>0</v>
      </c>
      <c r="EN212" s="33">
        <f>IF(ER211&lt;0.01,0,IF(OR(Plus!$F$10=Plus!$AK$7,Plus!$F$10=Plus!$AK$13),0,Plus!$BD$2*1.16))</f>
        <v>0</v>
      </c>
      <c r="EO212" s="33">
        <f>IF(ER211&lt;0.01,0,IF(Plus!$AS$2&gt;0,EI212*Plus!$AS$3,0))</f>
        <v>0</v>
      </c>
      <c r="EP212" s="33">
        <f t="shared" si="372"/>
        <v>0</v>
      </c>
      <c r="EQ212" s="33">
        <f>IF(Plus!$F$10=Plus!$AK$3,MIN(ER211+EI212+EL212+EM212+EN212-EP212,FC212),0)</f>
        <v>0</v>
      </c>
      <c r="ER212" s="311">
        <f t="shared" si="431"/>
        <v>0</v>
      </c>
      <c r="ES212" s="340">
        <f>Plus!O253</f>
        <v>0</v>
      </c>
      <c r="ET212" s="74"/>
      <c r="EU212" s="74"/>
      <c r="EV212" s="416">
        <f t="shared" si="429"/>
        <v>0</v>
      </c>
      <c r="EY212" s="90">
        <f t="shared" si="373"/>
        <v>8</v>
      </c>
      <c r="EZ212" s="121">
        <f t="shared" si="415"/>
        <v>0</v>
      </c>
      <c r="FB212" s="149">
        <f t="shared" si="416"/>
        <v>0</v>
      </c>
      <c r="FC212" s="2179">
        <f t="shared" ca="1" si="374"/>
        <v>0</v>
      </c>
      <c r="FE212" s="120">
        <f t="shared" si="417"/>
        <v>0</v>
      </c>
      <c r="FF212" s="110">
        <f t="shared" si="375"/>
        <v>0</v>
      </c>
      <c r="FG212" s="110">
        <f t="shared" si="376"/>
        <v>0</v>
      </c>
      <c r="FH212" s="109">
        <f t="shared" si="377"/>
        <v>0</v>
      </c>
      <c r="FI212" s="109">
        <f t="shared" si="328"/>
        <v>0</v>
      </c>
      <c r="FJ212" s="113">
        <f t="shared" si="378"/>
        <v>0</v>
      </c>
      <c r="FL212" s="102">
        <f t="shared" si="379"/>
        <v>0</v>
      </c>
      <c r="FM212" s="211">
        <f t="shared" si="454"/>
        <v>188</v>
      </c>
      <c r="FN212" s="212">
        <f t="shared" si="380"/>
        <v>0</v>
      </c>
      <c r="FO212" s="212">
        <f t="shared" si="329"/>
        <v>0</v>
      </c>
      <c r="FP212" s="212">
        <f t="shared" si="452"/>
        <v>0</v>
      </c>
      <c r="FQ212" s="213">
        <f t="shared" si="330"/>
        <v>1000000</v>
      </c>
      <c r="FV212" s="359"/>
      <c r="FX212" s="308">
        <f t="shared" ca="1" si="331"/>
        <v>11</v>
      </c>
      <c r="FY212" s="309">
        <f t="shared" si="381"/>
        <v>0</v>
      </c>
      <c r="FZ212" s="268">
        <f t="shared" si="332"/>
        <v>0</v>
      </c>
      <c r="GA212" s="33">
        <f t="shared" si="382"/>
        <v>0</v>
      </c>
      <c r="GB212" s="33">
        <f t="shared" si="438"/>
        <v>0</v>
      </c>
      <c r="GC212" s="33">
        <f t="shared" si="439"/>
        <v>0</v>
      </c>
      <c r="GD212" s="33">
        <f>IF(GJ211&lt;0.01,0,IF(Plus!$F$22=Plus!$AN$4,0,IF(Plus!$F$22=Plus!$AN$3,GJ211*Plus!$F$23/1000,GJ211*VLOOKUP(Plus!$G$21,Plus!$AP$2:$AQ$5,2,0))))</f>
        <v>0</v>
      </c>
      <c r="GE212" s="33">
        <f>IF(GJ211&lt;0.01,0,IF(Plus!$F$24=Plus!$AO$3,0,IF(OR(Plus!$F$10=Plus!$AK$7,Plus!$F$10=Plus!$AK$13,Plus!$F$10=Plus!$AK$14),0,IF(OR(Plus!$F$10=Plus!$AK$10,Plus!$F$10=Plus!$AK$11),Plus!$G$13*Adm!$W$7,Plus!$G$13*Adm!$X$4))))</f>
        <v>0</v>
      </c>
      <c r="GF212" s="33">
        <f>IF(GJ211&lt;0.01,0,IF(OR(Plus!$F$10=Plus!$AK$7,Plus!$F$10=Plus!$AK$13),0,Plus!$BD$2*1.16))</f>
        <v>0</v>
      </c>
      <c r="GG212" s="33">
        <f>IF(GJ211&lt;0.01,0,IF(Plus!$AS$2&gt;0,GA212*Plus!$AS$3,0))</f>
        <v>0</v>
      </c>
      <c r="GH212" s="33">
        <f t="shared" si="383"/>
        <v>0</v>
      </c>
      <c r="GI212" s="33">
        <f>IF(Plus!$F$10=Plus!$AK$3,MIN(GJ211+GA212+GD212+GE212+GF212-GH212,GU212),0)</f>
        <v>0</v>
      </c>
      <c r="GJ212" s="311">
        <f t="shared" si="432"/>
        <v>0</v>
      </c>
      <c r="GK212" s="340">
        <f>Plus!O253</f>
        <v>0</v>
      </c>
      <c r="GL212" s="74"/>
      <c r="GM212" s="74"/>
      <c r="GN212" s="419">
        <f t="shared" si="430"/>
        <v>0</v>
      </c>
      <c r="GQ212" s="90">
        <f t="shared" si="384"/>
        <v>8</v>
      </c>
      <c r="GR212" s="121">
        <f t="shared" si="418"/>
        <v>0</v>
      </c>
      <c r="GT212" s="149">
        <f t="shared" si="419"/>
        <v>0</v>
      </c>
      <c r="GU212" s="2179">
        <f t="shared" ca="1" si="385"/>
        <v>0</v>
      </c>
      <c r="GW212" s="120">
        <f t="shared" si="420"/>
        <v>0</v>
      </c>
      <c r="GX212" s="110">
        <f t="shared" si="386"/>
        <v>0</v>
      </c>
      <c r="GY212" s="110">
        <f t="shared" si="387"/>
        <v>0</v>
      </c>
      <c r="GZ212" s="109">
        <f t="shared" si="388"/>
        <v>0</v>
      </c>
      <c r="HA212" s="109">
        <f t="shared" si="333"/>
        <v>0</v>
      </c>
      <c r="HB212" s="113">
        <f t="shared" si="389"/>
        <v>0</v>
      </c>
      <c r="HD212" s="102">
        <f t="shared" si="390"/>
        <v>0</v>
      </c>
      <c r="HE212" s="211">
        <f t="shared" si="455"/>
        <v>188</v>
      </c>
      <c r="HF212" s="212">
        <f t="shared" si="391"/>
        <v>0</v>
      </c>
      <c r="HG212" s="212">
        <f t="shared" si="334"/>
        <v>0</v>
      </c>
      <c r="HH212" s="212">
        <f t="shared" si="453"/>
        <v>0</v>
      </c>
      <c r="HI212" s="213">
        <f t="shared" si="335"/>
        <v>1000000</v>
      </c>
      <c r="HL212" s="182"/>
      <c r="HM212" s="26">
        <f t="shared" ca="1" si="336"/>
        <v>11</v>
      </c>
      <c r="HO212" s="268">
        <f t="shared" si="337"/>
        <v>0</v>
      </c>
      <c r="HP212" s="151">
        <f t="shared" si="448"/>
        <v>0</v>
      </c>
      <c r="HQ212" s="123">
        <f t="shared" si="392"/>
        <v>0</v>
      </c>
      <c r="HR212" s="123">
        <f t="shared" si="393"/>
        <v>0</v>
      </c>
      <c r="HS212" s="123">
        <f t="shared" si="394"/>
        <v>0</v>
      </c>
      <c r="HT212" s="123">
        <f>IF(HY211&lt;0.01,0,IF(Adm!$GS$4=Adm!$GS$8,HY211*$HY$15,IF(Adm!$GS$12=Adm!$GS$13,0,HY211*Adm!$GV$4)))</f>
        <v>0</v>
      </c>
      <c r="HU212" s="123">
        <f>IF(HY211&lt;0.01,0,IF(Adm!$GS$5=Adm!$GS$8,Cal!$BO$108*$HY$16/1.16,IF(Adm!$GS$12=Adm!$GS$13,0,Cal!$BO$108*Adm!$GW$4/1.16)))</f>
        <v>0</v>
      </c>
      <c r="HV212" s="123">
        <f t="shared" si="395"/>
        <v>0</v>
      </c>
      <c r="HW212" s="123">
        <f t="shared" si="338"/>
        <v>0</v>
      </c>
      <c r="HX212" s="123">
        <f>IF(Adm!$GH$6="si",MIN(HY211+HQ212+HT212+HU212+HV212-HW212,IH212),0)</f>
        <v>0</v>
      </c>
      <c r="HY212" s="297">
        <f t="shared" si="396"/>
        <v>0</v>
      </c>
      <c r="HZ212" s="74"/>
      <c r="IA212" s="407">
        <f t="shared" si="397"/>
        <v>0</v>
      </c>
      <c r="IC212" s="90">
        <f t="shared" si="398"/>
        <v>8</v>
      </c>
      <c r="ID212" s="124">
        <f>IF(IC212=1,Cal!$BO$127,0)</f>
        <v>0</v>
      </c>
      <c r="IE212" s="178">
        <f>IF(IC212=1,Adm!$HI$4,0)</f>
        <v>0</v>
      </c>
      <c r="IG212" s="70">
        <f t="shared" si="421"/>
        <v>0</v>
      </c>
      <c r="IH212" s="2178">
        <f t="shared" ca="1" si="399"/>
        <v>0</v>
      </c>
      <c r="IK212" s="217"/>
      <c r="IL212" s="26">
        <f t="shared" ca="1" si="339"/>
        <v>11</v>
      </c>
      <c r="IN212" s="268">
        <f t="shared" si="340"/>
        <v>0</v>
      </c>
      <c r="IO212" s="151">
        <f t="shared" si="449"/>
        <v>0</v>
      </c>
      <c r="IP212" s="123">
        <f t="shared" si="400"/>
        <v>0</v>
      </c>
      <c r="IQ212" s="123">
        <f t="shared" si="401"/>
        <v>0</v>
      </c>
      <c r="IR212" s="123">
        <f t="shared" si="402"/>
        <v>0</v>
      </c>
      <c r="IS212" s="123">
        <f>IF(IX211&lt;0.01,0,IF(Adm!$GS$4=Adm!$GS$8,IX211*$IX$15,IF(Adm!$GS$12=Adm!$GS$13,0,IX211*Adm!$GV$4)))</f>
        <v>0</v>
      </c>
      <c r="IT212" s="123"/>
      <c r="IU212" s="123">
        <f t="shared" si="403"/>
        <v>0</v>
      </c>
      <c r="IV212" s="123">
        <f t="shared" si="404"/>
        <v>0</v>
      </c>
      <c r="IW212" s="123"/>
      <c r="IX212" s="297">
        <f t="shared" si="405"/>
        <v>0</v>
      </c>
      <c r="IY212" s="74"/>
      <c r="IZ212" s="416">
        <f t="shared" si="406"/>
        <v>0</v>
      </c>
      <c r="JB212" s="90">
        <f t="shared" si="407"/>
        <v>8</v>
      </c>
      <c r="JC212" s="124">
        <f>IF(JB212=1,Cal!$BP$127,0)</f>
        <v>0</v>
      </c>
      <c r="JD212" s="178">
        <f>IF(JB212=1,Adm!$HI$4,0)</f>
        <v>0</v>
      </c>
    </row>
    <row r="213" spans="1:264">
      <c r="A213" s="26">
        <f t="shared" ca="1" si="308"/>
        <v>12</v>
      </c>
      <c r="C213" s="33">
        <f t="shared" si="309"/>
        <v>0</v>
      </c>
      <c r="D213" s="123">
        <f t="shared" si="341"/>
        <v>0</v>
      </c>
      <c r="E213" s="123">
        <f t="shared" si="433"/>
        <v>0</v>
      </c>
      <c r="F213" s="123">
        <f t="shared" si="443"/>
        <v>0</v>
      </c>
      <c r="G213" s="123">
        <f>IF(L212&lt;0.01,0,IF(Adm!$S$4=Adm!$S$8,L212*$L$15,L212*Adm!$V$4))</f>
        <v>0</v>
      </c>
      <c r="H213" s="123">
        <f>IF(L212&lt;0.01,0,IF(Adm!$S$5=Adm!$S$8,Adm!$AA$11*$L$16/1.16,IF(Adm!$B$4=Adm!$A$119,0,Adm!$AA$11*Adm!$X$4/1.16)))</f>
        <v>0</v>
      </c>
      <c r="I213" s="123">
        <f>IF(L212&lt;0.01,0,Cal!$AB$126/1.16)</f>
        <v>0</v>
      </c>
      <c r="J213" s="123">
        <f t="shared" si="310"/>
        <v>0</v>
      </c>
      <c r="K213" s="123">
        <f>IF(Adm!$G$4="si",MIN(L212+D213+G213+H213+I213-J213,V213),0)</f>
        <v>0</v>
      </c>
      <c r="L213" s="123">
        <f t="shared" si="342"/>
        <v>0</v>
      </c>
      <c r="M213" s="74"/>
      <c r="N213" s="74"/>
      <c r="O213" s="407">
        <f t="shared" si="343"/>
        <v>0</v>
      </c>
      <c r="R213" s="90">
        <f t="shared" si="344"/>
        <v>9</v>
      </c>
      <c r="S213" s="121">
        <f>IF(R213=1,Cal!$AB$127,0)</f>
        <v>0</v>
      </c>
      <c r="U213" s="70">
        <f t="shared" si="408"/>
        <v>0</v>
      </c>
      <c r="V213" s="2178">
        <f t="shared" ca="1" si="345"/>
        <v>0</v>
      </c>
      <c r="X213" s="398"/>
      <c r="Z213" s="268">
        <f t="shared" si="311"/>
        <v>0</v>
      </c>
      <c r="AA213" s="2176">
        <f t="shared" si="346"/>
        <v>0</v>
      </c>
      <c r="AB213" s="33">
        <f t="shared" si="347"/>
        <v>0</v>
      </c>
      <c r="AC213" s="33">
        <f t="shared" si="348"/>
        <v>0</v>
      </c>
      <c r="AD213" s="33">
        <f>IF(AI212&lt;0.01,0,IF(Adm!$S$4=Adm!$S$8,AI212*$AI$15,AI212*Adm!$V$4))</f>
        <v>0</v>
      </c>
      <c r="AE213" s="33"/>
      <c r="AF213" s="33"/>
      <c r="AG213" s="33">
        <f t="shared" si="312"/>
        <v>0</v>
      </c>
      <c r="AH213" s="33"/>
      <c r="AI213" s="401">
        <f t="shared" si="313"/>
        <v>0</v>
      </c>
      <c r="AK213" s="410">
        <f t="shared" si="314"/>
        <v>0</v>
      </c>
      <c r="AN213" s="90">
        <f t="shared" si="349"/>
        <v>9</v>
      </c>
      <c r="AO213" s="121">
        <f>IF(AN213=1,Cal!$AC$127,0)</f>
        <v>0</v>
      </c>
      <c r="AS213" s="200"/>
      <c r="AU213" s="268">
        <f t="shared" si="315"/>
        <v>0</v>
      </c>
      <c r="AV213" s="2177">
        <f t="shared" si="350"/>
        <v>0</v>
      </c>
      <c r="AW213" s="123">
        <f t="shared" si="316"/>
        <v>0</v>
      </c>
      <c r="AX213" s="123">
        <f t="shared" si="351"/>
        <v>0</v>
      </c>
      <c r="AY213" s="123">
        <f>IF(BC212&lt;0.01,0,IF(Adm!$S$4=Adm!$S$8,BC212*$BC$16,BC212*Adm!$V$4))</f>
        <v>0</v>
      </c>
      <c r="AZ213" s="123"/>
      <c r="BA213" s="123">
        <f>IF(BC212&lt;0.01,0,Adm!$Q$6)</f>
        <v>0</v>
      </c>
      <c r="BB213" s="123">
        <f t="shared" si="317"/>
        <v>0</v>
      </c>
      <c r="BC213" s="297">
        <f t="shared" si="352"/>
        <v>0</v>
      </c>
      <c r="BE213" s="425">
        <f t="shared" si="318"/>
        <v>0</v>
      </c>
      <c r="BH213" s="90">
        <f t="shared" si="353"/>
        <v>9</v>
      </c>
      <c r="BI213" s="121">
        <f>IF(BH213=1,Cal!$AD$127,0)</f>
        <v>0</v>
      </c>
      <c r="BM213" s="221"/>
      <c r="BO213" s="295">
        <f t="shared" ca="1" si="319"/>
        <v>12</v>
      </c>
      <c r="BP213" s="268">
        <f t="shared" si="320"/>
        <v>0</v>
      </c>
      <c r="BQ213" s="123">
        <f t="shared" si="354"/>
        <v>0</v>
      </c>
      <c r="BR213" s="123">
        <f t="shared" si="434"/>
        <v>0</v>
      </c>
      <c r="BS213" s="123">
        <f t="shared" si="444"/>
        <v>0</v>
      </c>
      <c r="BT213" s="123">
        <f>IF(BZ212&lt;0.01,0,IF(Plus!$F$22=Plus!$AN$4,BZ212*$BZ$15,IF(Plus!$F$22=Plus!$AN$3,BZ212*Plus!$F$23/1000,BZ212*VLOOKUP(Plus!$G$21,Plus!$AP$2:'Plus'!$AQ$5,2,0))))</f>
        <v>0</v>
      </c>
      <c r="BU213" s="123">
        <f>IF(BZ212&lt;0.01,0,IF(Plus!$F$24=Plus!$AO$3,Plus!$G$13*Plus!$AR$2/1.16,IF(Plus!$F$10=Plus!$AK$7,0,Plus!$G$13*Plus!$AR$2/1.16)))</f>
        <v>0</v>
      </c>
      <c r="BV213" s="123">
        <f>IF(BZ212&lt;0.01,0,Plus!$BD$2)</f>
        <v>0</v>
      </c>
      <c r="BW213" s="123"/>
      <c r="BX213" s="123">
        <f t="shared" si="321"/>
        <v>0</v>
      </c>
      <c r="BY213" s="123">
        <f>IF(Plus!$F$10=Plus!$AK$3,MIN(BZ212+BQ213+BT213+BU213+BV213-BX213,CJ213),0)</f>
        <v>0</v>
      </c>
      <c r="BZ213" s="297">
        <f t="shared" si="428"/>
        <v>0</v>
      </c>
      <c r="CA213" s="74"/>
      <c r="CB213" s="74"/>
      <c r="CC213" s="413">
        <f t="shared" si="355"/>
        <v>0</v>
      </c>
      <c r="CF213" s="90">
        <f t="shared" si="356"/>
        <v>9</v>
      </c>
      <c r="CG213" s="121">
        <f t="shared" si="409"/>
        <v>0</v>
      </c>
      <c r="CI213" s="70">
        <f t="shared" si="410"/>
        <v>0</v>
      </c>
      <c r="CJ213" s="2178">
        <f t="shared" ca="1" si="357"/>
        <v>0</v>
      </c>
      <c r="CL213" s="161"/>
      <c r="CN213" s="308">
        <f t="shared" ca="1" si="322"/>
        <v>12</v>
      </c>
      <c r="CO213" s="309">
        <f t="shared" si="358"/>
        <v>0</v>
      </c>
      <c r="CP213" s="268">
        <f t="shared" si="323"/>
        <v>0</v>
      </c>
      <c r="CQ213" s="123">
        <f t="shared" si="359"/>
        <v>0</v>
      </c>
      <c r="CR213" s="123">
        <f t="shared" si="435"/>
        <v>0</v>
      </c>
      <c r="CS213" s="123">
        <f t="shared" si="436"/>
        <v>0</v>
      </c>
      <c r="CT213" s="33">
        <f>IF(CZ212&lt;0.01,0,IF(Plus!$F$22=Plus!$AN$4,0,IF(Plus!$F$22=Plus!$AN$3,CZ212*Plus!$F$23/1000,CZ212*VLOOKUP(Plus!$G$21,Plus!$AP$2:'Plus'!$AQ$5,2,0))))</f>
        <v>0</v>
      </c>
      <c r="CU213" s="123">
        <f>IF(CZ212&lt;0.01,0,IF(Plus!$F$24=Plus!$AO$3,0,IF(OR(Plus!$F$10=Plus!$AK$7,Plus!$F$10=Plus!$AK$13),0,Plus!$G$13*Plus!$AR$2)))</f>
        <v>0</v>
      </c>
      <c r="CV213" s="123">
        <f>IF(CZ212&lt;0.01,0,IF(OR(Plus!$F$10=Plus!$AK$7,Plus!$F$10=Plus!$AK$13),0,Plus!$BD$2*1.16))</f>
        <v>0</v>
      </c>
      <c r="CW213" s="123">
        <f>IF(CZ212&lt;0.01,0,IF(Plus!$AS$2&gt;0,CQ213*Plus!$AS$3,0))</f>
        <v>0</v>
      </c>
      <c r="CX213" s="123">
        <f t="shared" si="360"/>
        <v>0</v>
      </c>
      <c r="CY213" s="123">
        <f>IF(Plus!$F$10=Plus!$AK$3,MIN(CZ212+CQ213+CT213+CU213+CV213-CX213,DK213),0)</f>
        <v>0</v>
      </c>
      <c r="CZ213" s="297">
        <f t="shared" si="440"/>
        <v>0</v>
      </c>
      <c r="DA213" s="306">
        <f>Plus!O254</f>
        <v>0</v>
      </c>
      <c r="DB213" s="74"/>
      <c r="DC213" s="74"/>
      <c r="DD213" s="407">
        <f t="shared" si="361"/>
        <v>0</v>
      </c>
      <c r="DG213" s="90">
        <f t="shared" si="362"/>
        <v>9</v>
      </c>
      <c r="DH213" s="121">
        <f t="shared" si="411"/>
        <v>0</v>
      </c>
      <c r="DJ213" s="149">
        <f t="shared" si="412"/>
        <v>0</v>
      </c>
      <c r="DK213" s="2179">
        <f t="shared" ca="1" si="363"/>
        <v>0</v>
      </c>
      <c r="DN213" s="120">
        <f t="shared" si="413"/>
        <v>0</v>
      </c>
      <c r="DO213" s="110">
        <f t="shared" si="364"/>
        <v>0</v>
      </c>
      <c r="DP213" s="110">
        <f t="shared" si="422"/>
        <v>0</v>
      </c>
      <c r="DQ213" s="109">
        <f t="shared" si="365"/>
        <v>0</v>
      </c>
      <c r="DR213" s="109">
        <f t="shared" si="366"/>
        <v>0</v>
      </c>
      <c r="DS213" s="113">
        <f t="shared" si="367"/>
        <v>0</v>
      </c>
      <c r="DU213" s="102">
        <f t="shared" si="368"/>
        <v>0</v>
      </c>
      <c r="DV213" s="211">
        <f t="shared" si="423"/>
        <v>189</v>
      </c>
      <c r="DW213" s="212">
        <f t="shared" si="369"/>
        <v>0</v>
      </c>
      <c r="DX213" s="212">
        <f t="shared" si="324"/>
        <v>0</v>
      </c>
      <c r="DY213" s="212">
        <f t="shared" si="414"/>
        <v>0</v>
      </c>
      <c r="DZ213" s="213">
        <f t="shared" si="325"/>
        <v>1000000</v>
      </c>
      <c r="ED213" s="182"/>
      <c r="EF213" s="308">
        <f t="shared" ca="1" si="326"/>
        <v>12</v>
      </c>
      <c r="EG213" s="309">
        <f t="shared" si="370"/>
        <v>0</v>
      </c>
      <c r="EH213" s="268">
        <f t="shared" si="327"/>
        <v>0</v>
      </c>
      <c r="EI213" s="33">
        <f t="shared" si="371"/>
        <v>0</v>
      </c>
      <c r="EJ213" s="33">
        <f t="shared" si="437"/>
        <v>0</v>
      </c>
      <c r="EK213" s="33">
        <f t="shared" si="445"/>
        <v>0</v>
      </c>
      <c r="EL213" s="33">
        <f>IF(ER212&lt;0.01,0,IF(Plus!$F$22=Plus!$AN$4,0,IF(Plus!$F$22=Plus!$AN$3,ER212*Plus!$F$23/1000,ER212*VLOOKUP(Plus!$G$21,Plus!$AP$2:'Plus'!$AQ$5,2,0))))</f>
        <v>0</v>
      </c>
      <c r="EM213" s="33">
        <f>IF(ER212&lt;0.01,0,IF(Plus!$F$24=Plus!$AO$3,0,IF(OR(Plus!$F$10=Plus!$AK$7,Plus!$F$10=Plus!$AK$13),0,Plus!$G$13*Plus!$AR$2)))</f>
        <v>0</v>
      </c>
      <c r="EN213" s="33">
        <f>IF(ER212&lt;0.01,0,IF(OR(Plus!$F$10=Plus!$AK$7,Plus!$F$10=Plus!$AK$13),0,Plus!$BD$2*1.16))</f>
        <v>0</v>
      </c>
      <c r="EO213" s="33">
        <f>IF(ER212&lt;0.01,0,IF(Plus!$AS$2&gt;0,EI213*Plus!$AS$3,0))</f>
        <v>0</v>
      </c>
      <c r="EP213" s="33">
        <f t="shared" si="372"/>
        <v>0</v>
      </c>
      <c r="EQ213" s="33">
        <f>IF(Plus!$F$10=Plus!$AK$3,MIN(ER212+EI213+EL213+EM213+EN213-EP213,FC213),0)</f>
        <v>0</v>
      </c>
      <c r="ER213" s="311">
        <f t="shared" si="431"/>
        <v>0</v>
      </c>
      <c r="ES213" s="340">
        <f>Plus!O254</f>
        <v>0</v>
      </c>
      <c r="ET213" s="74"/>
      <c r="EU213" s="74"/>
      <c r="EV213" s="416">
        <f t="shared" si="429"/>
        <v>0</v>
      </c>
      <c r="EY213" s="90">
        <f t="shared" si="373"/>
        <v>9</v>
      </c>
      <c r="EZ213" s="121">
        <f t="shared" si="415"/>
        <v>0</v>
      </c>
      <c r="FB213" s="149">
        <f t="shared" si="416"/>
        <v>0</v>
      </c>
      <c r="FC213" s="2179">
        <f t="shared" ca="1" si="374"/>
        <v>0</v>
      </c>
      <c r="FE213" s="120">
        <f t="shared" si="417"/>
        <v>0</v>
      </c>
      <c r="FF213" s="110">
        <f t="shared" si="375"/>
        <v>0</v>
      </c>
      <c r="FG213" s="110">
        <f t="shared" si="376"/>
        <v>0</v>
      </c>
      <c r="FH213" s="109">
        <f t="shared" si="377"/>
        <v>0</v>
      </c>
      <c r="FI213" s="109">
        <f t="shared" si="328"/>
        <v>0</v>
      </c>
      <c r="FJ213" s="113">
        <f t="shared" si="378"/>
        <v>0</v>
      </c>
      <c r="FL213" s="102">
        <f t="shared" si="379"/>
        <v>0</v>
      </c>
      <c r="FM213" s="211">
        <f t="shared" si="454"/>
        <v>189</v>
      </c>
      <c r="FN213" s="212">
        <f t="shared" si="380"/>
        <v>0</v>
      </c>
      <c r="FO213" s="212">
        <f t="shared" si="329"/>
        <v>0</v>
      </c>
      <c r="FP213" s="212">
        <f t="shared" si="452"/>
        <v>0</v>
      </c>
      <c r="FQ213" s="213">
        <f t="shared" si="330"/>
        <v>1000000</v>
      </c>
      <c r="FV213" s="359"/>
      <c r="FX213" s="308">
        <f t="shared" ca="1" si="331"/>
        <v>12</v>
      </c>
      <c r="FY213" s="309">
        <f t="shared" si="381"/>
        <v>0</v>
      </c>
      <c r="FZ213" s="268">
        <f t="shared" si="332"/>
        <v>0</v>
      </c>
      <c r="GA213" s="33">
        <f t="shared" si="382"/>
        <v>0</v>
      </c>
      <c r="GB213" s="33">
        <f t="shared" si="438"/>
        <v>0</v>
      </c>
      <c r="GC213" s="33">
        <f t="shared" si="439"/>
        <v>0</v>
      </c>
      <c r="GD213" s="33">
        <f>IF(GJ212&lt;0.01,0,IF(Plus!$F$22=Plus!$AN$4,0,IF(Plus!$F$22=Plus!$AN$3,GJ212*Plus!$F$23/1000,GJ212*VLOOKUP(Plus!$G$21,Plus!$AP$2:$AQ$5,2,0))))</f>
        <v>0</v>
      </c>
      <c r="GE213" s="33">
        <f>IF(GJ212&lt;0.01,0,IF(Plus!$F$24=Plus!$AO$3,0,IF(OR(Plus!$F$10=Plus!$AK$7,Plus!$F$10=Plus!$AK$13,Plus!$F$10=Plus!$AK$14),0,IF(OR(Plus!$F$10=Plus!$AK$10,Plus!$F$10=Plus!$AK$11),Plus!$G$13*Adm!$W$7,Plus!$G$13*Adm!$X$4))))</f>
        <v>0</v>
      </c>
      <c r="GF213" s="33">
        <f>IF(GJ212&lt;0.01,0,IF(OR(Plus!$F$10=Plus!$AK$7,Plus!$F$10=Plus!$AK$13),0,Plus!$BD$2*1.16))</f>
        <v>0</v>
      </c>
      <c r="GG213" s="33">
        <f>IF(GJ212&lt;0.01,0,IF(Plus!$AS$2&gt;0,GA213*Plus!$AS$3,0))</f>
        <v>0</v>
      </c>
      <c r="GH213" s="33">
        <f t="shared" si="383"/>
        <v>0</v>
      </c>
      <c r="GI213" s="33">
        <f>IF(Plus!$F$10=Plus!$AK$3,MIN(GJ212+GA213+GD213+GE213+GF213-GH213,GU213),0)</f>
        <v>0</v>
      </c>
      <c r="GJ213" s="311">
        <f t="shared" si="432"/>
        <v>0</v>
      </c>
      <c r="GK213" s="340">
        <f>Plus!O254</f>
        <v>0</v>
      </c>
      <c r="GL213" s="74"/>
      <c r="GM213" s="74"/>
      <c r="GN213" s="419">
        <f t="shared" si="430"/>
        <v>0</v>
      </c>
      <c r="GQ213" s="90">
        <f t="shared" si="384"/>
        <v>9</v>
      </c>
      <c r="GR213" s="121">
        <f t="shared" si="418"/>
        <v>0</v>
      </c>
      <c r="GT213" s="149">
        <f t="shared" si="419"/>
        <v>0</v>
      </c>
      <c r="GU213" s="2179">
        <f t="shared" ca="1" si="385"/>
        <v>0</v>
      </c>
      <c r="GW213" s="120">
        <f t="shared" si="420"/>
        <v>0</v>
      </c>
      <c r="GX213" s="110">
        <f t="shared" si="386"/>
        <v>0</v>
      </c>
      <c r="GY213" s="110">
        <f t="shared" si="387"/>
        <v>0</v>
      </c>
      <c r="GZ213" s="109">
        <f t="shared" si="388"/>
        <v>0</v>
      </c>
      <c r="HA213" s="109">
        <f t="shared" si="333"/>
        <v>0</v>
      </c>
      <c r="HB213" s="113">
        <f t="shared" si="389"/>
        <v>0</v>
      </c>
      <c r="HD213" s="102">
        <f t="shared" si="390"/>
        <v>0</v>
      </c>
      <c r="HE213" s="211">
        <f t="shared" si="455"/>
        <v>189</v>
      </c>
      <c r="HF213" s="212">
        <f t="shared" si="391"/>
        <v>0</v>
      </c>
      <c r="HG213" s="212">
        <f t="shared" si="334"/>
        <v>0</v>
      </c>
      <c r="HH213" s="212">
        <f t="shared" si="453"/>
        <v>0</v>
      </c>
      <c r="HI213" s="213">
        <f t="shared" si="335"/>
        <v>1000000</v>
      </c>
      <c r="HL213" s="182"/>
      <c r="HM213" s="26">
        <f t="shared" ca="1" si="336"/>
        <v>12</v>
      </c>
      <c r="HO213" s="268">
        <f t="shared" si="337"/>
        <v>0</v>
      </c>
      <c r="HP213" s="151">
        <f t="shared" si="448"/>
        <v>0</v>
      </c>
      <c r="HQ213" s="123">
        <f t="shared" si="392"/>
        <v>0</v>
      </c>
      <c r="HR213" s="123">
        <f t="shared" si="393"/>
        <v>0</v>
      </c>
      <c r="HS213" s="123">
        <f t="shared" si="394"/>
        <v>0</v>
      </c>
      <c r="HT213" s="123">
        <f>IF(HY212&lt;0.01,0,IF(Adm!$GS$4=Adm!$GS$8,HY212*$HY$15,IF(Adm!$GS$12=Adm!$GS$13,0,HY212*Adm!$GV$4)))</f>
        <v>0</v>
      </c>
      <c r="HU213" s="123">
        <f>IF(HY212&lt;0.01,0,IF(Adm!$GS$5=Adm!$GS$8,Cal!$BO$108*$HY$16/1.16,IF(Adm!$GS$12=Adm!$GS$13,0,Cal!$BO$108*Adm!$GW$4/1.16)))</f>
        <v>0</v>
      </c>
      <c r="HV213" s="123">
        <f t="shared" si="395"/>
        <v>0</v>
      </c>
      <c r="HW213" s="123">
        <f t="shared" si="338"/>
        <v>0</v>
      </c>
      <c r="HX213" s="123">
        <f>IF(Adm!$GH$6="si",MIN(HY212+HQ213+HT213+HU213+HV213-HW213,IH213),0)</f>
        <v>0</v>
      </c>
      <c r="HY213" s="297">
        <f t="shared" si="396"/>
        <v>0</v>
      </c>
      <c r="HZ213" s="74"/>
      <c r="IA213" s="407">
        <f t="shared" si="397"/>
        <v>0</v>
      </c>
      <c r="IC213" s="90">
        <f t="shared" si="398"/>
        <v>9</v>
      </c>
      <c r="ID213" s="124">
        <f>IF(IC213=1,Cal!$BO$127,0)</f>
        <v>0</v>
      </c>
      <c r="IE213" s="178">
        <f>IF(IC213=1,Adm!$HI$4,0)</f>
        <v>0</v>
      </c>
      <c r="IG213" s="70">
        <f t="shared" si="421"/>
        <v>0</v>
      </c>
      <c r="IH213" s="2178">
        <f t="shared" ca="1" si="399"/>
        <v>0</v>
      </c>
      <c r="IK213" s="217"/>
      <c r="IL213" s="26">
        <f t="shared" ca="1" si="339"/>
        <v>12</v>
      </c>
      <c r="IN213" s="268">
        <f t="shared" si="340"/>
        <v>0</v>
      </c>
      <c r="IO213" s="151">
        <f t="shared" si="449"/>
        <v>0</v>
      </c>
      <c r="IP213" s="123">
        <f t="shared" si="400"/>
        <v>0</v>
      </c>
      <c r="IQ213" s="123">
        <f t="shared" si="401"/>
        <v>0</v>
      </c>
      <c r="IR213" s="123">
        <f t="shared" si="402"/>
        <v>0</v>
      </c>
      <c r="IS213" s="123">
        <f>IF(IX212&lt;0.01,0,IF(Adm!$GS$4=Adm!$GS$8,IX212*$IX$15,IF(Adm!$GS$12=Adm!$GS$13,0,IX212*Adm!$GV$4)))</f>
        <v>0</v>
      </c>
      <c r="IT213" s="123"/>
      <c r="IU213" s="123">
        <f t="shared" si="403"/>
        <v>0</v>
      </c>
      <c r="IV213" s="123">
        <f t="shared" si="404"/>
        <v>0</v>
      </c>
      <c r="IW213" s="123"/>
      <c r="IX213" s="297">
        <f t="shared" si="405"/>
        <v>0</v>
      </c>
      <c r="IY213" s="74"/>
      <c r="IZ213" s="416">
        <f t="shared" si="406"/>
        <v>0</v>
      </c>
      <c r="JB213" s="90">
        <f t="shared" si="407"/>
        <v>9</v>
      </c>
      <c r="JC213" s="124">
        <f>IF(JB213=1,Cal!$BP$127,0)</f>
        <v>0</v>
      </c>
      <c r="JD213" s="178">
        <f>IF(JB213=1,Adm!$HI$4,0)</f>
        <v>0</v>
      </c>
    </row>
    <row r="214" spans="1:264">
      <c r="A214" s="26">
        <f t="shared" ca="1" si="308"/>
        <v>1</v>
      </c>
      <c r="C214" s="33">
        <f t="shared" si="309"/>
        <v>0</v>
      </c>
      <c r="D214" s="123">
        <f t="shared" si="341"/>
        <v>0</v>
      </c>
      <c r="E214" s="123">
        <f t="shared" si="433"/>
        <v>0</v>
      </c>
      <c r="F214" s="123">
        <f t="shared" si="443"/>
        <v>0</v>
      </c>
      <c r="G214" s="123">
        <f>IF(L213&lt;0.01,0,IF(Adm!$S$4=Adm!$S$8,L213*$L$15,L213*Adm!$V$4))</f>
        <v>0</v>
      </c>
      <c r="H214" s="123">
        <f>IF(L213&lt;0.01,0,IF(Adm!$S$5=Adm!$S$8,Adm!$AA$11*$L$16/1.16,IF(Adm!$B$4=Adm!$A$119,0,Adm!$AA$11*Adm!$X$4/1.16)))</f>
        <v>0</v>
      </c>
      <c r="I214" s="123">
        <f>IF(L213&lt;0.01,0,Cal!$AB$126/1.16)</f>
        <v>0</v>
      </c>
      <c r="J214" s="123">
        <f t="shared" si="310"/>
        <v>0</v>
      </c>
      <c r="K214" s="123">
        <f>IF(Adm!$G$4="si",MIN(L213+D214+G214+H214+I214-J214,V214),0)</f>
        <v>0</v>
      </c>
      <c r="L214" s="123">
        <f t="shared" si="342"/>
        <v>0</v>
      </c>
      <c r="M214" s="74"/>
      <c r="N214" s="74"/>
      <c r="O214" s="407">
        <f t="shared" si="343"/>
        <v>0</v>
      </c>
      <c r="R214" s="90">
        <f t="shared" si="344"/>
        <v>10</v>
      </c>
      <c r="S214" s="121">
        <f>IF(R214=1,Cal!$AB$127,0)</f>
        <v>0</v>
      </c>
      <c r="U214" s="70">
        <f t="shared" si="408"/>
        <v>0</v>
      </c>
      <c r="V214" s="2178">
        <f t="shared" ca="1" si="345"/>
        <v>0</v>
      </c>
      <c r="X214" s="398"/>
      <c r="Z214" s="268">
        <f t="shared" si="311"/>
        <v>0</v>
      </c>
      <c r="AA214" s="2176">
        <f t="shared" si="346"/>
        <v>0</v>
      </c>
      <c r="AB214" s="33">
        <f t="shared" si="347"/>
        <v>0</v>
      </c>
      <c r="AC214" s="33">
        <f t="shared" si="348"/>
        <v>0</v>
      </c>
      <c r="AD214" s="33">
        <f>IF(AI213&lt;0.01,0,IF(Adm!$S$4=Adm!$S$8,AI213*$AI$15,AI213*Adm!$V$4))</f>
        <v>0</v>
      </c>
      <c r="AE214" s="33"/>
      <c r="AF214" s="33"/>
      <c r="AG214" s="33">
        <f t="shared" si="312"/>
        <v>0</v>
      </c>
      <c r="AH214" s="33"/>
      <c r="AI214" s="401">
        <f t="shared" si="313"/>
        <v>0</v>
      </c>
      <c r="AK214" s="410">
        <f t="shared" si="314"/>
        <v>0</v>
      </c>
      <c r="AN214" s="90">
        <f t="shared" si="349"/>
        <v>10</v>
      </c>
      <c r="AO214" s="121">
        <f>IF(AN214=1,Cal!$AC$127,0)</f>
        <v>0</v>
      </c>
      <c r="AS214" s="200"/>
      <c r="AU214" s="268">
        <f t="shared" si="315"/>
        <v>0</v>
      </c>
      <c r="AV214" s="2177">
        <f t="shared" si="350"/>
        <v>0</v>
      </c>
      <c r="AW214" s="123">
        <f t="shared" si="316"/>
        <v>0</v>
      </c>
      <c r="AX214" s="123">
        <f t="shared" si="351"/>
        <v>0</v>
      </c>
      <c r="AY214" s="123">
        <f>IF(BC213&lt;0.01,0,IF(Adm!$S$4=Adm!$S$8,BC213*$BC$16,BC213*Adm!$V$4))</f>
        <v>0</v>
      </c>
      <c r="AZ214" s="123"/>
      <c r="BA214" s="123">
        <f>IF(BC213&lt;0.01,0,Adm!$Q$6)</f>
        <v>0</v>
      </c>
      <c r="BB214" s="123">
        <f t="shared" si="317"/>
        <v>0</v>
      </c>
      <c r="BC214" s="297">
        <f t="shared" si="352"/>
        <v>0</v>
      </c>
      <c r="BE214" s="425">
        <f t="shared" si="318"/>
        <v>0</v>
      </c>
      <c r="BH214" s="90">
        <f t="shared" si="353"/>
        <v>10</v>
      </c>
      <c r="BI214" s="121">
        <f>IF(BH214=1,Cal!$AD$127,0)</f>
        <v>0</v>
      </c>
      <c r="BM214" s="221"/>
      <c r="BO214" s="295">
        <f t="shared" ca="1" si="319"/>
        <v>1</v>
      </c>
      <c r="BP214" s="268">
        <f t="shared" si="320"/>
        <v>0</v>
      </c>
      <c r="BQ214" s="123">
        <f t="shared" si="354"/>
        <v>0</v>
      </c>
      <c r="BR214" s="123">
        <f t="shared" si="434"/>
        <v>0</v>
      </c>
      <c r="BS214" s="123">
        <f t="shared" si="444"/>
        <v>0</v>
      </c>
      <c r="BT214" s="123">
        <f>IF(BZ213&lt;0.01,0,IF(Plus!$F$22=Plus!$AN$4,BZ213*$BZ$15,IF(Plus!$F$22=Plus!$AN$3,BZ213*Plus!$F$23/1000,BZ213*VLOOKUP(Plus!$G$21,Plus!$AP$2:'Plus'!$AQ$5,2,0))))</f>
        <v>0</v>
      </c>
      <c r="BU214" s="123">
        <f>IF(BZ213&lt;0.01,0,IF(Plus!$F$24=Plus!$AO$3,Plus!$G$13*Plus!$AR$2/1.16,IF(Plus!$F$10=Plus!$AK$7,0,Plus!$G$13*Plus!$AR$2/1.16)))</f>
        <v>0</v>
      </c>
      <c r="BV214" s="123">
        <f>IF(BZ213&lt;0.01,0,Plus!$BD$2)</f>
        <v>0</v>
      </c>
      <c r="BW214" s="123"/>
      <c r="BX214" s="123">
        <f t="shared" si="321"/>
        <v>0</v>
      </c>
      <c r="BY214" s="123">
        <f>IF(Plus!$F$10=Plus!$AK$3,MIN(BZ213+BQ214+BT214+BU214+BV214-BX214,CJ214),0)</f>
        <v>0</v>
      </c>
      <c r="BZ214" s="297">
        <f t="shared" si="428"/>
        <v>0</v>
      </c>
      <c r="CA214" s="74"/>
      <c r="CB214" s="74"/>
      <c r="CC214" s="413">
        <f t="shared" si="355"/>
        <v>0</v>
      </c>
      <c r="CF214" s="90">
        <f t="shared" si="356"/>
        <v>10</v>
      </c>
      <c r="CG214" s="121">
        <f t="shared" si="409"/>
        <v>0</v>
      </c>
      <c r="CI214" s="70">
        <f t="shared" si="410"/>
        <v>0</v>
      </c>
      <c r="CJ214" s="2178">
        <f t="shared" ca="1" si="357"/>
        <v>0</v>
      </c>
      <c r="CL214" s="161"/>
      <c r="CN214" s="308">
        <f t="shared" ca="1" si="322"/>
        <v>1</v>
      </c>
      <c r="CO214" s="309">
        <f t="shared" si="358"/>
        <v>0</v>
      </c>
      <c r="CP214" s="268">
        <f t="shared" si="323"/>
        <v>0</v>
      </c>
      <c r="CQ214" s="123">
        <f t="shared" si="359"/>
        <v>0</v>
      </c>
      <c r="CR214" s="123">
        <f t="shared" si="435"/>
        <v>0</v>
      </c>
      <c r="CS214" s="123">
        <f t="shared" si="436"/>
        <v>0</v>
      </c>
      <c r="CT214" s="33">
        <f>IF(CZ213&lt;0.01,0,IF(Plus!$F$22=Plus!$AN$4,0,IF(Plus!$F$22=Plus!$AN$3,CZ213*Plus!$F$23/1000,CZ213*VLOOKUP(Plus!$G$21,Plus!$AP$2:'Plus'!$AQ$5,2,0))))</f>
        <v>0</v>
      </c>
      <c r="CU214" s="123">
        <f>IF(CZ213&lt;0.01,0,IF(Plus!$F$24=Plus!$AO$3,0,IF(OR(Plus!$F$10=Plus!$AK$7,Plus!$F$10=Plus!$AK$13),0,Plus!$G$13*Plus!$AR$2)))</f>
        <v>0</v>
      </c>
      <c r="CV214" s="123">
        <f>IF(CZ213&lt;0.01,0,IF(OR(Plus!$F$10=Plus!$AK$7,Plus!$F$10=Plus!$AK$13),0,Plus!$BD$2*1.16))</f>
        <v>0</v>
      </c>
      <c r="CW214" s="123">
        <f>IF(CZ213&lt;0.01,0,IF(Plus!$AS$2&gt;0,CQ214*Plus!$AS$3,0))</f>
        <v>0</v>
      </c>
      <c r="CX214" s="123">
        <f t="shared" si="360"/>
        <v>0</v>
      </c>
      <c r="CY214" s="123">
        <f>IF(Plus!$F$10=Plus!$AK$3,MIN(CZ213+CQ214+CT214+CU214+CV214-CX214,DK214),0)</f>
        <v>0</v>
      </c>
      <c r="CZ214" s="297">
        <f t="shared" si="440"/>
        <v>0</v>
      </c>
      <c r="DA214" s="306">
        <f>Plus!O255</f>
        <v>0</v>
      </c>
      <c r="DB214" s="74"/>
      <c r="DC214" s="74"/>
      <c r="DD214" s="407">
        <f t="shared" si="361"/>
        <v>0</v>
      </c>
      <c r="DG214" s="90">
        <f t="shared" si="362"/>
        <v>10</v>
      </c>
      <c r="DH214" s="121">
        <f t="shared" si="411"/>
        <v>0</v>
      </c>
      <c r="DJ214" s="149">
        <f t="shared" si="412"/>
        <v>0</v>
      </c>
      <c r="DK214" s="2179">
        <f t="shared" ca="1" si="363"/>
        <v>0</v>
      </c>
      <c r="DN214" s="120">
        <f t="shared" si="413"/>
        <v>0</v>
      </c>
      <c r="DO214" s="110">
        <f t="shared" si="364"/>
        <v>0</v>
      </c>
      <c r="DP214" s="110">
        <f t="shared" si="422"/>
        <v>0</v>
      </c>
      <c r="DQ214" s="109">
        <f t="shared" si="365"/>
        <v>0</v>
      </c>
      <c r="DR214" s="109">
        <f t="shared" si="366"/>
        <v>0</v>
      </c>
      <c r="DS214" s="113">
        <f t="shared" si="367"/>
        <v>0</v>
      </c>
      <c r="DU214" s="102">
        <f t="shared" si="368"/>
        <v>0</v>
      </c>
      <c r="DV214" s="211">
        <f t="shared" si="423"/>
        <v>190</v>
      </c>
      <c r="DW214" s="212">
        <f t="shared" si="369"/>
        <v>0</v>
      </c>
      <c r="DX214" s="212">
        <f t="shared" si="324"/>
        <v>0</v>
      </c>
      <c r="DY214" s="212">
        <f t="shared" si="414"/>
        <v>0</v>
      </c>
      <c r="DZ214" s="213">
        <f t="shared" si="325"/>
        <v>1000000</v>
      </c>
      <c r="ED214" s="182"/>
      <c r="EF214" s="308">
        <f t="shared" ca="1" si="326"/>
        <v>1</v>
      </c>
      <c r="EG214" s="309">
        <f t="shared" si="370"/>
        <v>0</v>
      </c>
      <c r="EH214" s="268">
        <f t="shared" si="327"/>
        <v>0</v>
      </c>
      <c r="EI214" s="33">
        <f t="shared" si="371"/>
        <v>0</v>
      </c>
      <c r="EJ214" s="33">
        <f t="shared" si="437"/>
        <v>0</v>
      </c>
      <c r="EK214" s="33">
        <f t="shared" si="445"/>
        <v>0</v>
      </c>
      <c r="EL214" s="33">
        <f>IF(ER213&lt;0.01,0,IF(Plus!$F$22=Plus!$AN$4,0,IF(Plus!$F$22=Plus!$AN$3,ER213*Plus!$F$23/1000,ER213*VLOOKUP(Plus!$G$21,Plus!$AP$2:'Plus'!$AQ$5,2,0))))</f>
        <v>0</v>
      </c>
      <c r="EM214" s="33">
        <f>IF(ER213&lt;0.01,0,IF(Plus!$F$24=Plus!$AO$3,0,IF(OR(Plus!$F$10=Plus!$AK$7,Plus!$F$10=Plus!$AK$13),0,Plus!$G$13*Plus!$AR$2)))</f>
        <v>0</v>
      </c>
      <c r="EN214" s="33">
        <f>IF(ER213&lt;0.01,0,IF(OR(Plus!$F$10=Plus!$AK$7,Plus!$F$10=Plus!$AK$13),0,Plus!$BD$2*1.16))</f>
        <v>0</v>
      </c>
      <c r="EO214" s="33">
        <f>IF(ER213&lt;0.01,0,IF(Plus!$AS$2&gt;0,EI214*Plus!$AS$3,0))</f>
        <v>0</v>
      </c>
      <c r="EP214" s="33">
        <f t="shared" si="372"/>
        <v>0</v>
      </c>
      <c r="EQ214" s="33">
        <f>IF(Plus!$F$10=Plus!$AK$3,MIN(ER213+EI214+EL214+EM214+EN214-EP214,FC214),0)</f>
        <v>0</v>
      </c>
      <c r="ER214" s="311">
        <f t="shared" si="431"/>
        <v>0</v>
      </c>
      <c r="ES214" s="340">
        <f>Plus!O255</f>
        <v>0</v>
      </c>
      <c r="ET214" s="74"/>
      <c r="EU214" s="74"/>
      <c r="EV214" s="416">
        <f t="shared" si="429"/>
        <v>0</v>
      </c>
      <c r="EY214" s="90">
        <f t="shared" si="373"/>
        <v>10</v>
      </c>
      <c r="EZ214" s="121">
        <f t="shared" si="415"/>
        <v>0</v>
      </c>
      <c r="FB214" s="149">
        <f t="shared" si="416"/>
        <v>0</v>
      </c>
      <c r="FC214" s="2179">
        <f t="shared" ca="1" si="374"/>
        <v>0</v>
      </c>
      <c r="FE214" s="120">
        <f t="shared" si="417"/>
        <v>0</v>
      </c>
      <c r="FF214" s="110">
        <f t="shared" si="375"/>
        <v>0</v>
      </c>
      <c r="FG214" s="110">
        <f t="shared" si="376"/>
        <v>0</v>
      </c>
      <c r="FH214" s="109">
        <f t="shared" si="377"/>
        <v>0</v>
      </c>
      <c r="FI214" s="109">
        <f t="shared" si="328"/>
        <v>0</v>
      </c>
      <c r="FJ214" s="113">
        <f t="shared" si="378"/>
        <v>0</v>
      </c>
      <c r="FL214" s="102">
        <f t="shared" si="379"/>
        <v>0</v>
      </c>
      <c r="FM214" s="211">
        <f t="shared" si="454"/>
        <v>190</v>
      </c>
      <c r="FN214" s="212">
        <f t="shared" si="380"/>
        <v>0</v>
      </c>
      <c r="FO214" s="212">
        <f t="shared" si="329"/>
        <v>0</v>
      </c>
      <c r="FP214" s="212">
        <f t="shared" si="452"/>
        <v>0</v>
      </c>
      <c r="FQ214" s="213">
        <f t="shared" si="330"/>
        <v>1000000</v>
      </c>
      <c r="FV214" s="359"/>
      <c r="FX214" s="308">
        <f t="shared" ca="1" si="331"/>
        <v>1</v>
      </c>
      <c r="FY214" s="309">
        <f t="shared" si="381"/>
        <v>0</v>
      </c>
      <c r="FZ214" s="268">
        <f t="shared" si="332"/>
        <v>0</v>
      </c>
      <c r="GA214" s="33">
        <f t="shared" si="382"/>
        <v>0</v>
      </c>
      <c r="GB214" s="33">
        <f t="shared" si="438"/>
        <v>0</v>
      </c>
      <c r="GC214" s="33">
        <f t="shared" si="439"/>
        <v>0</v>
      </c>
      <c r="GD214" s="33">
        <f>IF(GJ213&lt;0.01,0,IF(Plus!$F$22=Plus!$AN$4,0,IF(Plus!$F$22=Plus!$AN$3,GJ213*Plus!$F$23/1000,GJ213*VLOOKUP(Plus!$G$21,Plus!$AP$2:$AQ$5,2,0))))</f>
        <v>0</v>
      </c>
      <c r="GE214" s="33">
        <f>IF(GJ213&lt;0.01,0,IF(Plus!$F$24=Plus!$AO$3,0,IF(OR(Plus!$F$10=Plus!$AK$7,Plus!$F$10=Plus!$AK$13,Plus!$F$10=Plus!$AK$14),0,IF(OR(Plus!$F$10=Plus!$AK$10,Plus!$F$10=Plus!$AK$11),Plus!$G$13*Adm!$W$7,Plus!$G$13*Adm!$X$4))))</f>
        <v>0</v>
      </c>
      <c r="GF214" s="33">
        <f>IF(GJ213&lt;0.01,0,IF(OR(Plus!$F$10=Plus!$AK$7,Plus!$F$10=Plus!$AK$13),0,Plus!$BD$2*1.16))</f>
        <v>0</v>
      </c>
      <c r="GG214" s="33">
        <f>IF(GJ213&lt;0.01,0,IF(Plus!$AS$2&gt;0,GA214*Plus!$AS$3,0))</f>
        <v>0</v>
      </c>
      <c r="GH214" s="33">
        <f t="shared" si="383"/>
        <v>0</v>
      </c>
      <c r="GI214" s="33">
        <f>IF(Plus!$F$10=Plus!$AK$3,MIN(GJ213+GA214+GD214+GE214+GF214-GH214,GU214),0)</f>
        <v>0</v>
      </c>
      <c r="GJ214" s="311">
        <f t="shared" si="432"/>
        <v>0</v>
      </c>
      <c r="GK214" s="340">
        <f>Plus!O255</f>
        <v>0</v>
      </c>
      <c r="GL214" s="74"/>
      <c r="GM214" s="74"/>
      <c r="GN214" s="419">
        <f t="shared" si="430"/>
        <v>0</v>
      </c>
      <c r="GQ214" s="90">
        <f t="shared" si="384"/>
        <v>10</v>
      </c>
      <c r="GR214" s="121">
        <f t="shared" si="418"/>
        <v>0</v>
      </c>
      <c r="GT214" s="149">
        <f t="shared" si="419"/>
        <v>0</v>
      </c>
      <c r="GU214" s="2179">
        <f t="shared" ca="1" si="385"/>
        <v>0</v>
      </c>
      <c r="GW214" s="120">
        <f t="shared" si="420"/>
        <v>0</v>
      </c>
      <c r="GX214" s="110">
        <f t="shared" si="386"/>
        <v>0</v>
      </c>
      <c r="GY214" s="110">
        <f t="shared" si="387"/>
        <v>0</v>
      </c>
      <c r="GZ214" s="109">
        <f t="shared" si="388"/>
        <v>0</v>
      </c>
      <c r="HA214" s="109">
        <f t="shared" si="333"/>
        <v>0</v>
      </c>
      <c r="HB214" s="113">
        <f t="shared" si="389"/>
        <v>0</v>
      </c>
      <c r="HD214" s="102">
        <f t="shared" si="390"/>
        <v>0</v>
      </c>
      <c r="HE214" s="211">
        <f t="shared" si="455"/>
        <v>190</v>
      </c>
      <c r="HF214" s="212">
        <f t="shared" si="391"/>
        <v>0</v>
      </c>
      <c r="HG214" s="212">
        <f t="shared" si="334"/>
        <v>0</v>
      </c>
      <c r="HH214" s="212">
        <f t="shared" si="453"/>
        <v>0</v>
      </c>
      <c r="HI214" s="213">
        <f t="shared" si="335"/>
        <v>1000000</v>
      </c>
      <c r="HL214" s="182"/>
      <c r="HM214" s="26">
        <f t="shared" ca="1" si="336"/>
        <v>1</v>
      </c>
      <c r="HO214" s="268">
        <f t="shared" si="337"/>
        <v>0</v>
      </c>
      <c r="HP214" s="151">
        <f t="shared" si="448"/>
        <v>0</v>
      </c>
      <c r="HQ214" s="123">
        <f t="shared" si="392"/>
        <v>0</v>
      </c>
      <c r="HR214" s="123">
        <f t="shared" si="393"/>
        <v>0</v>
      </c>
      <c r="HS214" s="123">
        <f t="shared" si="394"/>
        <v>0</v>
      </c>
      <c r="HT214" s="123">
        <f>IF(HY213&lt;0.01,0,IF(Adm!$GS$4=Adm!$GS$8,HY213*$HY$15,IF(Adm!$GS$12=Adm!$GS$13,0,HY213*Adm!$GV$4)))</f>
        <v>0</v>
      </c>
      <c r="HU214" s="123">
        <f>IF(HY213&lt;0.01,0,IF(Adm!$GS$5=Adm!$GS$8,Cal!$BO$108*$HY$16/1.16,IF(Adm!$GS$12=Adm!$GS$13,0,Cal!$BO$108*Adm!$GW$4/1.16)))</f>
        <v>0</v>
      </c>
      <c r="HV214" s="123">
        <f t="shared" si="395"/>
        <v>0</v>
      </c>
      <c r="HW214" s="123">
        <f t="shared" si="338"/>
        <v>0</v>
      </c>
      <c r="HX214" s="123">
        <f>IF(Adm!$GH$6="si",MIN(HY213+HQ214+HT214+HU214+HV214-HW214,IH214),0)</f>
        <v>0</v>
      </c>
      <c r="HY214" s="297">
        <f t="shared" si="396"/>
        <v>0</v>
      </c>
      <c r="HZ214" s="74"/>
      <c r="IA214" s="407">
        <f t="shared" si="397"/>
        <v>0</v>
      </c>
      <c r="IC214" s="90">
        <f t="shared" si="398"/>
        <v>10</v>
      </c>
      <c r="ID214" s="124">
        <f>IF(IC214=1,Cal!$BO$127,0)</f>
        <v>0</v>
      </c>
      <c r="IE214" s="178">
        <f>IF(IC214=1,Adm!$HI$4,0)</f>
        <v>0</v>
      </c>
      <c r="IG214" s="70">
        <f t="shared" si="421"/>
        <v>0</v>
      </c>
      <c r="IH214" s="2178">
        <f t="shared" ca="1" si="399"/>
        <v>0</v>
      </c>
      <c r="IK214" s="217"/>
      <c r="IL214" s="26">
        <f t="shared" ca="1" si="339"/>
        <v>1</v>
      </c>
      <c r="IN214" s="268">
        <f t="shared" si="340"/>
        <v>0</v>
      </c>
      <c r="IO214" s="151">
        <f t="shared" si="449"/>
        <v>0</v>
      </c>
      <c r="IP214" s="123">
        <f t="shared" si="400"/>
        <v>0</v>
      </c>
      <c r="IQ214" s="123">
        <f t="shared" si="401"/>
        <v>0</v>
      </c>
      <c r="IR214" s="123">
        <f t="shared" si="402"/>
        <v>0</v>
      </c>
      <c r="IS214" s="123">
        <f>IF(IX213&lt;0.01,0,IF(Adm!$GS$4=Adm!$GS$8,IX213*$IX$15,IF(Adm!$GS$12=Adm!$GS$13,0,IX213*Adm!$GV$4)))</f>
        <v>0</v>
      </c>
      <c r="IT214" s="123"/>
      <c r="IU214" s="123">
        <f t="shared" si="403"/>
        <v>0</v>
      </c>
      <c r="IV214" s="123">
        <f t="shared" si="404"/>
        <v>0</v>
      </c>
      <c r="IW214" s="123"/>
      <c r="IX214" s="297">
        <f t="shared" si="405"/>
        <v>0</v>
      </c>
      <c r="IY214" s="74"/>
      <c r="IZ214" s="416">
        <f t="shared" si="406"/>
        <v>0</v>
      </c>
      <c r="JB214" s="90">
        <f t="shared" si="407"/>
        <v>10</v>
      </c>
      <c r="JC214" s="124">
        <f>IF(JB214=1,Cal!$BP$127,0)</f>
        <v>0</v>
      </c>
      <c r="JD214" s="178">
        <f>IF(JB214=1,Adm!$HI$4,0)</f>
        <v>0</v>
      </c>
    </row>
    <row r="215" spans="1:264">
      <c r="A215" s="26">
        <f t="shared" ca="1" si="308"/>
        <v>2</v>
      </c>
      <c r="C215" s="33">
        <f t="shared" si="309"/>
        <v>0</v>
      </c>
      <c r="D215" s="123">
        <f t="shared" si="341"/>
        <v>0</v>
      </c>
      <c r="E215" s="123">
        <f t="shared" si="433"/>
        <v>0</v>
      </c>
      <c r="F215" s="123">
        <f t="shared" si="443"/>
        <v>0</v>
      </c>
      <c r="G215" s="123">
        <f>IF(L214&lt;0.01,0,IF(Adm!$S$4=Adm!$S$8,L214*$L$15,L214*Adm!$V$4))</f>
        <v>0</v>
      </c>
      <c r="H215" s="123">
        <f>IF(L214&lt;0.01,0,IF(Adm!$S$5=Adm!$S$8,Adm!$AA$11*$L$16/1.16,IF(Adm!$B$4=Adm!$A$119,0,Adm!$AA$11*Adm!$X$4/1.16)))</f>
        <v>0</v>
      </c>
      <c r="I215" s="123">
        <f>IF(L214&lt;0.01,0,Cal!$AB$126/1.16)</f>
        <v>0</v>
      </c>
      <c r="J215" s="123">
        <f t="shared" si="310"/>
        <v>0</v>
      </c>
      <c r="K215" s="123">
        <f>IF(Adm!$G$4="si",MIN(L214+D215+G215+H215+I215-J215,V215),0)</f>
        <v>0</v>
      </c>
      <c r="L215" s="123">
        <f t="shared" si="342"/>
        <v>0</v>
      </c>
      <c r="M215" s="74"/>
      <c r="N215" s="74"/>
      <c r="O215" s="407">
        <f t="shared" si="343"/>
        <v>0</v>
      </c>
      <c r="R215" s="90">
        <f t="shared" si="344"/>
        <v>11</v>
      </c>
      <c r="S215" s="121">
        <f>IF(R215=1,Cal!$AB$127,0)</f>
        <v>0</v>
      </c>
      <c r="U215" s="70">
        <f t="shared" si="408"/>
        <v>0</v>
      </c>
      <c r="V215" s="2178">
        <f t="shared" ca="1" si="345"/>
        <v>0</v>
      </c>
      <c r="X215" s="398"/>
      <c r="Z215" s="268">
        <f t="shared" si="311"/>
        <v>0</v>
      </c>
      <c r="AA215" s="2176">
        <f t="shared" si="346"/>
        <v>0</v>
      </c>
      <c r="AB215" s="33">
        <f t="shared" si="347"/>
        <v>0</v>
      </c>
      <c r="AC215" s="33">
        <f t="shared" si="348"/>
        <v>0</v>
      </c>
      <c r="AD215" s="33">
        <f>IF(AI214&lt;0.01,0,IF(Adm!$S$4=Adm!$S$8,AI214*$AI$15,AI214*Adm!$V$4))</f>
        <v>0</v>
      </c>
      <c r="AE215" s="33"/>
      <c r="AF215" s="33"/>
      <c r="AG215" s="33">
        <f t="shared" si="312"/>
        <v>0</v>
      </c>
      <c r="AH215" s="33"/>
      <c r="AI215" s="401">
        <f t="shared" si="313"/>
        <v>0</v>
      </c>
      <c r="AK215" s="410">
        <f t="shared" si="314"/>
        <v>0</v>
      </c>
      <c r="AN215" s="90">
        <f t="shared" si="349"/>
        <v>11</v>
      </c>
      <c r="AO215" s="121">
        <f>IF(AN215=1,Cal!$AC$127,0)</f>
        <v>0</v>
      </c>
      <c r="AS215" s="200"/>
      <c r="AU215" s="268">
        <f t="shared" si="315"/>
        <v>0</v>
      </c>
      <c r="AV215" s="2177">
        <f t="shared" si="350"/>
        <v>0</v>
      </c>
      <c r="AW215" s="123">
        <f t="shared" si="316"/>
        <v>0</v>
      </c>
      <c r="AX215" s="123">
        <f t="shared" si="351"/>
        <v>0</v>
      </c>
      <c r="AY215" s="123">
        <f>IF(BC214&lt;0.01,0,IF(Adm!$S$4=Adm!$S$8,BC214*$BC$16,BC214*Adm!$V$4))</f>
        <v>0</v>
      </c>
      <c r="AZ215" s="123"/>
      <c r="BA215" s="123">
        <f>IF(BC214&lt;0.01,0,Adm!$Q$6)</f>
        <v>0</v>
      </c>
      <c r="BB215" s="123">
        <f t="shared" si="317"/>
        <v>0</v>
      </c>
      <c r="BC215" s="297">
        <f t="shared" si="352"/>
        <v>0</v>
      </c>
      <c r="BE215" s="425">
        <f t="shared" si="318"/>
        <v>0</v>
      </c>
      <c r="BH215" s="90">
        <f t="shared" si="353"/>
        <v>11</v>
      </c>
      <c r="BI215" s="121">
        <f>IF(BH215=1,Cal!$AD$127,0)</f>
        <v>0</v>
      </c>
      <c r="BM215" s="221"/>
      <c r="BO215" s="295">
        <f t="shared" ca="1" si="319"/>
        <v>2</v>
      </c>
      <c r="BP215" s="268">
        <f t="shared" si="320"/>
        <v>0</v>
      </c>
      <c r="BQ215" s="123">
        <f t="shared" si="354"/>
        <v>0</v>
      </c>
      <c r="BR215" s="123">
        <f t="shared" si="434"/>
        <v>0</v>
      </c>
      <c r="BS215" s="123">
        <f t="shared" si="444"/>
        <v>0</v>
      </c>
      <c r="BT215" s="123">
        <f>IF(BZ214&lt;0.01,0,IF(Plus!$F$22=Plus!$AN$4,BZ214*$BZ$15,IF(Plus!$F$22=Plus!$AN$3,BZ214*Plus!$F$23/1000,BZ214*VLOOKUP(Plus!$G$21,Plus!$AP$2:'Plus'!$AQ$5,2,0))))</f>
        <v>0</v>
      </c>
      <c r="BU215" s="123">
        <f>IF(BZ214&lt;0.01,0,IF(Plus!$F$24=Plus!$AO$3,Plus!$G$13*Plus!$AR$2/1.16,IF(Plus!$F$10=Plus!$AK$7,0,Plus!$G$13*Plus!$AR$2/1.16)))</f>
        <v>0</v>
      </c>
      <c r="BV215" s="123">
        <f>IF(BZ214&lt;0.01,0,Plus!$BD$2)</f>
        <v>0</v>
      </c>
      <c r="BW215" s="123"/>
      <c r="BX215" s="123">
        <f t="shared" si="321"/>
        <v>0</v>
      </c>
      <c r="BY215" s="123">
        <f>IF(Plus!$F$10=Plus!$AK$3,MIN(BZ214+BQ215+BT215+BU215+BV215-BX215,CJ215),0)</f>
        <v>0</v>
      </c>
      <c r="BZ215" s="297">
        <f t="shared" si="428"/>
        <v>0</v>
      </c>
      <c r="CA215" s="74"/>
      <c r="CB215" s="74"/>
      <c r="CC215" s="413">
        <f t="shared" si="355"/>
        <v>0</v>
      </c>
      <c r="CF215" s="90">
        <f t="shared" si="356"/>
        <v>11</v>
      </c>
      <c r="CG215" s="121">
        <f t="shared" si="409"/>
        <v>0</v>
      </c>
      <c r="CI215" s="70">
        <f t="shared" si="410"/>
        <v>0</v>
      </c>
      <c r="CJ215" s="2178">
        <f t="shared" ca="1" si="357"/>
        <v>0</v>
      </c>
      <c r="CL215" s="161"/>
      <c r="CN215" s="308">
        <f t="shared" ca="1" si="322"/>
        <v>2</v>
      </c>
      <c r="CO215" s="309">
        <f t="shared" si="358"/>
        <v>0</v>
      </c>
      <c r="CP215" s="268">
        <f t="shared" si="323"/>
        <v>0</v>
      </c>
      <c r="CQ215" s="123">
        <f t="shared" si="359"/>
        <v>0</v>
      </c>
      <c r="CR215" s="123">
        <f t="shared" si="435"/>
        <v>0</v>
      </c>
      <c r="CS215" s="123">
        <f t="shared" si="436"/>
        <v>0</v>
      </c>
      <c r="CT215" s="33">
        <f>IF(CZ214&lt;0.01,0,IF(Plus!$F$22=Plus!$AN$4,0,IF(Plus!$F$22=Plus!$AN$3,CZ214*Plus!$F$23/1000,CZ214*VLOOKUP(Plus!$G$21,Plus!$AP$2:'Plus'!$AQ$5,2,0))))</f>
        <v>0</v>
      </c>
      <c r="CU215" s="123">
        <f>IF(CZ214&lt;0.01,0,IF(Plus!$F$24=Plus!$AO$3,0,IF(OR(Plus!$F$10=Plus!$AK$7,Plus!$F$10=Plus!$AK$13),0,Plus!$G$13*Plus!$AR$2)))</f>
        <v>0</v>
      </c>
      <c r="CV215" s="123">
        <f>IF(CZ214&lt;0.01,0,IF(OR(Plus!$F$10=Plus!$AK$7,Plus!$F$10=Plus!$AK$13),0,Plus!$BD$2*1.16))</f>
        <v>0</v>
      </c>
      <c r="CW215" s="123">
        <f>IF(CZ214&lt;0.01,0,IF(Plus!$AS$2&gt;0,CQ215*Plus!$AS$3,0))</f>
        <v>0</v>
      </c>
      <c r="CX215" s="123">
        <f t="shared" si="360"/>
        <v>0</v>
      </c>
      <c r="CY215" s="123">
        <f>IF(Plus!$F$10=Plus!$AK$3,MIN(CZ214+CQ215+CT215+CU215+CV215-CX215,DK215),0)</f>
        <v>0</v>
      </c>
      <c r="CZ215" s="297">
        <f t="shared" si="440"/>
        <v>0</v>
      </c>
      <c r="DA215" s="306">
        <f>Plus!O256</f>
        <v>0</v>
      </c>
      <c r="DB215" s="74"/>
      <c r="DC215" s="74"/>
      <c r="DD215" s="407">
        <f t="shared" si="361"/>
        <v>0</v>
      </c>
      <c r="DG215" s="90">
        <f t="shared" si="362"/>
        <v>11</v>
      </c>
      <c r="DH215" s="121">
        <f t="shared" si="411"/>
        <v>0</v>
      </c>
      <c r="DJ215" s="149">
        <f t="shared" si="412"/>
        <v>0</v>
      </c>
      <c r="DK215" s="2179">
        <f t="shared" ca="1" si="363"/>
        <v>0</v>
      </c>
      <c r="DN215" s="120">
        <f t="shared" si="413"/>
        <v>0</v>
      </c>
      <c r="DO215" s="110">
        <f t="shared" si="364"/>
        <v>0</v>
      </c>
      <c r="DP215" s="110">
        <f t="shared" si="422"/>
        <v>0</v>
      </c>
      <c r="DQ215" s="109">
        <f t="shared" si="365"/>
        <v>0</v>
      </c>
      <c r="DR215" s="109">
        <f t="shared" si="366"/>
        <v>0</v>
      </c>
      <c r="DS215" s="113">
        <f t="shared" si="367"/>
        <v>0</v>
      </c>
      <c r="DU215" s="102">
        <f t="shared" si="368"/>
        <v>0</v>
      </c>
      <c r="DV215" s="211">
        <f t="shared" si="423"/>
        <v>191</v>
      </c>
      <c r="DW215" s="212">
        <f t="shared" si="369"/>
        <v>0</v>
      </c>
      <c r="DX215" s="212">
        <f t="shared" si="324"/>
        <v>0</v>
      </c>
      <c r="DY215" s="212">
        <f t="shared" si="414"/>
        <v>0</v>
      </c>
      <c r="DZ215" s="213">
        <f t="shared" si="325"/>
        <v>1000000</v>
      </c>
      <c r="ED215" s="182"/>
      <c r="EF215" s="308">
        <f t="shared" ca="1" si="326"/>
        <v>2</v>
      </c>
      <c r="EG215" s="309">
        <f t="shared" si="370"/>
        <v>0</v>
      </c>
      <c r="EH215" s="268">
        <f t="shared" si="327"/>
        <v>0</v>
      </c>
      <c r="EI215" s="33">
        <f t="shared" si="371"/>
        <v>0</v>
      </c>
      <c r="EJ215" s="33">
        <f t="shared" si="437"/>
        <v>0</v>
      </c>
      <c r="EK215" s="33">
        <f t="shared" si="445"/>
        <v>0</v>
      </c>
      <c r="EL215" s="33">
        <f>IF(ER214&lt;0.01,0,IF(Plus!$F$22=Plus!$AN$4,0,IF(Plus!$F$22=Plus!$AN$3,ER214*Plus!$F$23/1000,ER214*VLOOKUP(Plus!$G$21,Plus!$AP$2:'Plus'!$AQ$5,2,0))))</f>
        <v>0</v>
      </c>
      <c r="EM215" s="33">
        <f>IF(ER214&lt;0.01,0,IF(Plus!$F$24=Plus!$AO$3,0,IF(OR(Plus!$F$10=Plus!$AK$7,Plus!$F$10=Plus!$AK$13),0,Plus!$G$13*Plus!$AR$2)))</f>
        <v>0</v>
      </c>
      <c r="EN215" s="33">
        <f>IF(ER214&lt;0.01,0,IF(OR(Plus!$F$10=Plus!$AK$7,Plus!$F$10=Plus!$AK$13),0,Plus!$BD$2*1.16))</f>
        <v>0</v>
      </c>
      <c r="EO215" s="33">
        <f>IF(ER214&lt;0.01,0,IF(Plus!$AS$2&gt;0,EI215*Plus!$AS$3,0))</f>
        <v>0</v>
      </c>
      <c r="EP215" s="33">
        <f t="shared" si="372"/>
        <v>0</v>
      </c>
      <c r="EQ215" s="33">
        <f>IF(Plus!$F$10=Plus!$AK$3,MIN(ER214+EI215+EL215+EM215+EN215-EP215,FC215),0)</f>
        <v>0</v>
      </c>
      <c r="ER215" s="311">
        <f t="shared" si="431"/>
        <v>0</v>
      </c>
      <c r="ES215" s="340">
        <f>Plus!O256</f>
        <v>0</v>
      </c>
      <c r="ET215" s="74"/>
      <c r="EU215" s="74"/>
      <c r="EV215" s="416">
        <f t="shared" si="429"/>
        <v>0</v>
      </c>
      <c r="EY215" s="90">
        <f t="shared" si="373"/>
        <v>11</v>
      </c>
      <c r="EZ215" s="121">
        <f t="shared" si="415"/>
        <v>0</v>
      </c>
      <c r="FB215" s="149">
        <f t="shared" si="416"/>
        <v>0</v>
      </c>
      <c r="FC215" s="2179">
        <f t="shared" ca="1" si="374"/>
        <v>0</v>
      </c>
      <c r="FE215" s="120">
        <f t="shared" si="417"/>
        <v>0</v>
      </c>
      <c r="FF215" s="110">
        <f t="shared" si="375"/>
        <v>0</v>
      </c>
      <c r="FG215" s="110">
        <f t="shared" si="376"/>
        <v>0</v>
      </c>
      <c r="FH215" s="109">
        <f t="shared" si="377"/>
        <v>0</v>
      </c>
      <c r="FI215" s="109">
        <f t="shared" si="328"/>
        <v>0</v>
      </c>
      <c r="FJ215" s="113">
        <f t="shared" si="378"/>
        <v>0</v>
      </c>
      <c r="FL215" s="102">
        <f t="shared" si="379"/>
        <v>0</v>
      </c>
      <c r="FM215" s="211">
        <f t="shared" si="454"/>
        <v>191</v>
      </c>
      <c r="FN215" s="212">
        <f t="shared" si="380"/>
        <v>0</v>
      </c>
      <c r="FO215" s="212">
        <f t="shared" si="329"/>
        <v>0</v>
      </c>
      <c r="FP215" s="212">
        <f t="shared" si="452"/>
        <v>0</v>
      </c>
      <c r="FQ215" s="213">
        <f t="shared" si="330"/>
        <v>1000000</v>
      </c>
      <c r="FV215" s="359"/>
      <c r="FX215" s="308">
        <f t="shared" ca="1" si="331"/>
        <v>2</v>
      </c>
      <c r="FY215" s="309">
        <f t="shared" si="381"/>
        <v>0</v>
      </c>
      <c r="FZ215" s="268">
        <f t="shared" si="332"/>
        <v>0</v>
      </c>
      <c r="GA215" s="33">
        <f t="shared" si="382"/>
        <v>0</v>
      </c>
      <c r="GB215" s="33">
        <f t="shared" si="438"/>
        <v>0</v>
      </c>
      <c r="GC215" s="33">
        <f t="shared" si="439"/>
        <v>0</v>
      </c>
      <c r="GD215" s="33">
        <f>IF(GJ214&lt;0.01,0,IF(Plus!$F$22=Plus!$AN$4,0,IF(Plus!$F$22=Plus!$AN$3,GJ214*Plus!$F$23/1000,GJ214*VLOOKUP(Plus!$G$21,Plus!$AP$2:$AQ$5,2,0))))</f>
        <v>0</v>
      </c>
      <c r="GE215" s="33">
        <f>IF(GJ214&lt;0.01,0,IF(Plus!$F$24=Plus!$AO$3,0,IF(OR(Plus!$F$10=Plus!$AK$7,Plus!$F$10=Plus!$AK$13,Plus!$F$10=Plus!$AK$14),0,IF(OR(Plus!$F$10=Plus!$AK$10,Plus!$F$10=Plus!$AK$11),Plus!$G$13*Adm!$W$7,Plus!$G$13*Adm!$X$4))))</f>
        <v>0</v>
      </c>
      <c r="GF215" s="33">
        <f>IF(GJ214&lt;0.01,0,IF(OR(Plus!$F$10=Plus!$AK$7,Plus!$F$10=Plus!$AK$13),0,Plus!$BD$2*1.16))</f>
        <v>0</v>
      </c>
      <c r="GG215" s="33">
        <f>IF(GJ214&lt;0.01,0,IF(Plus!$AS$2&gt;0,GA215*Plus!$AS$3,0))</f>
        <v>0</v>
      </c>
      <c r="GH215" s="33">
        <f t="shared" si="383"/>
        <v>0</v>
      </c>
      <c r="GI215" s="33">
        <f>IF(Plus!$F$10=Plus!$AK$3,MIN(GJ214+GA215+GD215+GE215+GF215-GH215,GU215),0)</f>
        <v>0</v>
      </c>
      <c r="GJ215" s="311">
        <f t="shared" si="432"/>
        <v>0</v>
      </c>
      <c r="GK215" s="340">
        <f>Plus!O256</f>
        <v>0</v>
      </c>
      <c r="GL215" s="74"/>
      <c r="GM215" s="74"/>
      <c r="GN215" s="419">
        <f t="shared" si="430"/>
        <v>0</v>
      </c>
      <c r="GQ215" s="90">
        <f t="shared" si="384"/>
        <v>11</v>
      </c>
      <c r="GR215" s="121">
        <f t="shared" si="418"/>
        <v>0</v>
      </c>
      <c r="GT215" s="149">
        <f t="shared" si="419"/>
        <v>0</v>
      </c>
      <c r="GU215" s="2179">
        <f t="shared" ca="1" si="385"/>
        <v>0</v>
      </c>
      <c r="GW215" s="120">
        <f t="shared" si="420"/>
        <v>0</v>
      </c>
      <c r="GX215" s="110">
        <f t="shared" si="386"/>
        <v>0</v>
      </c>
      <c r="GY215" s="110">
        <f t="shared" si="387"/>
        <v>0</v>
      </c>
      <c r="GZ215" s="109">
        <f t="shared" si="388"/>
        <v>0</v>
      </c>
      <c r="HA215" s="109">
        <f t="shared" si="333"/>
        <v>0</v>
      </c>
      <c r="HB215" s="113">
        <f t="shared" si="389"/>
        <v>0</v>
      </c>
      <c r="HD215" s="102">
        <f t="shared" si="390"/>
        <v>0</v>
      </c>
      <c r="HE215" s="211">
        <f t="shared" si="455"/>
        <v>191</v>
      </c>
      <c r="HF215" s="212">
        <f t="shared" si="391"/>
        <v>0</v>
      </c>
      <c r="HG215" s="212">
        <f t="shared" si="334"/>
        <v>0</v>
      </c>
      <c r="HH215" s="212">
        <f t="shared" si="453"/>
        <v>0</v>
      </c>
      <c r="HI215" s="213">
        <f t="shared" si="335"/>
        <v>1000000</v>
      </c>
      <c r="HL215" s="182"/>
      <c r="HM215" s="26">
        <f t="shared" ca="1" si="336"/>
        <v>2</v>
      </c>
      <c r="HO215" s="268">
        <f t="shared" si="337"/>
        <v>0</v>
      </c>
      <c r="HP215" s="151">
        <f t="shared" si="448"/>
        <v>0</v>
      </c>
      <c r="HQ215" s="123">
        <f t="shared" si="392"/>
        <v>0</v>
      </c>
      <c r="HR215" s="123">
        <f t="shared" si="393"/>
        <v>0</v>
      </c>
      <c r="HS215" s="123">
        <f t="shared" si="394"/>
        <v>0</v>
      </c>
      <c r="HT215" s="123">
        <f>IF(HY214&lt;0.01,0,IF(Adm!$GS$4=Adm!$GS$8,HY214*$HY$15,IF(Adm!$GS$12=Adm!$GS$13,0,HY214*Adm!$GV$4)))</f>
        <v>0</v>
      </c>
      <c r="HU215" s="123">
        <f>IF(HY214&lt;0.01,0,IF(Adm!$GS$5=Adm!$GS$8,Cal!$BO$108*$HY$16/1.16,IF(Adm!$GS$12=Adm!$GS$13,0,Cal!$BO$108*Adm!$GW$4/1.16)))</f>
        <v>0</v>
      </c>
      <c r="HV215" s="123">
        <f t="shared" si="395"/>
        <v>0</v>
      </c>
      <c r="HW215" s="123">
        <f t="shared" si="338"/>
        <v>0</v>
      </c>
      <c r="HX215" s="123">
        <f>IF(Adm!$GH$6="si",MIN(HY214+HQ215+HT215+HU215+HV215-HW215,IH215),0)</f>
        <v>0</v>
      </c>
      <c r="HY215" s="297">
        <f t="shared" si="396"/>
        <v>0</v>
      </c>
      <c r="HZ215" s="74"/>
      <c r="IA215" s="407">
        <f t="shared" si="397"/>
        <v>0</v>
      </c>
      <c r="IC215" s="90">
        <f t="shared" si="398"/>
        <v>11</v>
      </c>
      <c r="ID215" s="124">
        <f>IF(IC215=1,Cal!$BO$127,0)</f>
        <v>0</v>
      </c>
      <c r="IE215" s="178">
        <f>IF(IC215=1,Adm!$HI$4,0)</f>
        <v>0</v>
      </c>
      <c r="IG215" s="70">
        <f t="shared" si="421"/>
        <v>0</v>
      </c>
      <c r="IH215" s="2178">
        <f t="shared" ca="1" si="399"/>
        <v>0</v>
      </c>
      <c r="IK215" s="217"/>
      <c r="IL215" s="26">
        <f t="shared" ca="1" si="339"/>
        <v>2</v>
      </c>
      <c r="IN215" s="268">
        <f t="shared" si="340"/>
        <v>0</v>
      </c>
      <c r="IO215" s="151">
        <f t="shared" si="449"/>
        <v>0</v>
      </c>
      <c r="IP215" s="123">
        <f t="shared" si="400"/>
        <v>0</v>
      </c>
      <c r="IQ215" s="123">
        <f t="shared" si="401"/>
        <v>0</v>
      </c>
      <c r="IR215" s="123">
        <f t="shared" si="402"/>
        <v>0</v>
      </c>
      <c r="IS215" s="123">
        <f>IF(IX214&lt;0.01,0,IF(Adm!$GS$4=Adm!$GS$8,IX214*$IX$15,IF(Adm!$GS$12=Adm!$GS$13,0,IX214*Adm!$GV$4)))</f>
        <v>0</v>
      </c>
      <c r="IT215" s="123"/>
      <c r="IU215" s="123">
        <f t="shared" si="403"/>
        <v>0</v>
      </c>
      <c r="IV215" s="123">
        <f t="shared" si="404"/>
        <v>0</v>
      </c>
      <c r="IW215" s="123"/>
      <c r="IX215" s="297">
        <f t="shared" si="405"/>
        <v>0</v>
      </c>
      <c r="IY215" s="74"/>
      <c r="IZ215" s="416">
        <f t="shared" si="406"/>
        <v>0</v>
      </c>
      <c r="JB215" s="90">
        <f t="shared" si="407"/>
        <v>11</v>
      </c>
      <c r="JC215" s="124">
        <f>IF(JB215=1,Cal!$BP$127,0)</f>
        <v>0</v>
      </c>
      <c r="JD215" s="178">
        <f>IF(JB215=1,Adm!$HI$4,0)</f>
        <v>0</v>
      </c>
    </row>
    <row r="216" spans="1:264">
      <c r="A216" s="26">
        <f t="shared" ca="1" si="308"/>
        <v>3</v>
      </c>
      <c r="C216" s="33">
        <f t="shared" si="309"/>
        <v>0</v>
      </c>
      <c r="D216" s="123">
        <f t="shared" si="341"/>
        <v>0</v>
      </c>
      <c r="E216" s="123">
        <f t="shared" si="433"/>
        <v>0</v>
      </c>
      <c r="F216" s="123">
        <f t="shared" si="443"/>
        <v>0</v>
      </c>
      <c r="G216" s="123">
        <f>IF(L215&lt;0.01,0,IF(Adm!$S$4=Adm!$S$8,L215*$L$15,L215*Adm!$V$4))</f>
        <v>0</v>
      </c>
      <c r="H216" s="123">
        <f>IF(L215&lt;0.01,0,IF(Adm!$S$5=Adm!$S$8,Adm!$AA$11*$L$16/1.16,IF(Adm!$B$4=Adm!$A$119,0,Adm!$AA$11*Adm!$X$4/1.16)))</f>
        <v>0</v>
      </c>
      <c r="I216" s="123">
        <f>IF(L215&lt;0.01,0,Cal!$AB$126/1.16)</f>
        <v>0</v>
      </c>
      <c r="J216" s="123">
        <f t="shared" si="310"/>
        <v>0</v>
      </c>
      <c r="K216" s="123">
        <f>IF(Adm!$G$4="si",MIN(L215+D216+G216+H216+I216-J216,V216),0)</f>
        <v>0</v>
      </c>
      <c r="L216" s="123">
        <f t="shared" si="342"/>
        <v>0</v>
      </c>
      <c r="M216" s="74"/>
      <c r="N216" s="74"/>
      <c r="O216" s="407">
        <f t="shared" si="343"/>
        <v>0</v>
      </c>
      <c r="R216" s="90">
        <f t="shared" si="344"/>
        <v>12</v>
      </c>
      <c r="S216" s="121">
        <f>IF(R216=1,Cal!$AB$127,0)</f>
        <v>0</v>
      </c>
      <c r="U216" s="70">
        <f t="shared" si="408"/>
        <v>0</v>
      </c>
      <c r="V216" s="2178">
        <f t="shared" ca="1" si="345"/>
        <v>0</v>
      </c>
      <c r="X216" s="398"/>
      <c r="Z216" s="268">
        <f t="shared" si="311"/>
        <v>0</v>
      </c>
      <c r="AA216" s="2176">
        <f t="shared" si="346"/>
        <v>0</v>
      </c>
      <c r="AB216" s="33">
        <f t="shared" si="347"/>
        <v>0</v>
      </c>
      <c r="AC216" s="33">
        <f t="shared" si="348"/>
        <v>0</v>
      </c>
      <c r="AD216" s="33">
        <f>IF(AI215&lt;0.01,0,IF(Adm!$S$4=Adm!$S$8,AI215*$AI$15,AI215*Adm!$V$4))</f>
        <v>0</v>
      </c>
      <c r="AE216" s="33"/>
      <c r="AF216" s="33"/>
      <c r="AG216" s="33">
        <f t="shared" si="312"/>
        <v>0</v>
      </c>
      <c r="AH216" s="33"/>
      <c r="AI216" s="401">
        <f t="shared" si="313"/>
        <v>0</v>
      </c>
      <c r="AK216" s="410">
        <f t="shared" si="314"/>
        <v>0</v>
      </c>
      <c r="AN216" s="90">
        <f t="shared" si="349"/>
        <v>12</v>
      </c>
      <c r="AO216" s="121">
        <f>IF(AN216=1,Cal!$AC$127,0)</f>
        <v>0</v>
      </c>
      <c r="AS216" s="200"/>
      <c r="AU216" s="268">
        <f t="shared" si="315"/>
        <v>0</v>
      </c>
      <c r="AV216" s="2177">
        <f t="shared" si="350"/>
        <v>0</v>
      </c>
      <c r="AW216" s="123">
        <f t="shared" si="316"/>
        <v>0</v>
      </c>
      <c r="AX216" s="123">
        <f t="shared" si="351"/>
        <v>0</v>
      </c>
      <c r="AY216" s="123">
        <f>IF(BC215&lt;0.01,0,IF(Adm!$S$4=Adm!$S$8,BC215*$BC$16,BC215*Adm!$V$4))</f>
        <v>0</v>
      </c>
      <c r="AZ216" s="123"/>
      <c r="BA216" s="123">
        <f>IF(BC215&lt;0.01,0,Adm!$Q$6)</f>
        <v>0</v>
      </c>
      <c r="BB216" s="123">
        <f t="shared" si="317"/>
        <v>0</v>
      </c>
      <c r="BC216" s="297">
        <f t="shared" si="352"/>
        <v>0</v>
      </c>
      <c r="BE216" s="425">
        <f t="shared" si="318"/>
        <v>0</v>
      </c>
      <c r="BH216" s="90">
        <f t="shared" si="353"/>
        <v>12</v>
      </c>
      <c r="BI216" s="121">
        <f>IF(BH216=1,Cal!$AD$127,0)</f>
        <v>0</v>
      </c>
      <c r="BM216" s="221"/>
      <c r="BO216" s="295">
        <f t="shared" ca="1" si="319"/>
        <v>3</v>
      </c>
      <c r="BP216" s="268">
        <f t="shared" si="320"/>
        <v>0</v>
      </c>
      <c r="BQ216" s="123">
        <f t="shared" si="354"/>
        <v>0</v>
      </c>
      <c r="BR216" s="123">
        <f t="shared" si="434"/>
        <v>0</v>
      </c>
      <c r="BS216" s="123">
        <f t="shared" si="444"/>
        <v>0</v>
      </c>
      <c r="BT216" s="123">
        <f>IF(BZ215&lt;0.01,0,IF(Plus!$F$22=Plus!$AN$4,BZ215*$BZ$15,IF(Plus!$F$22=Plus!$AN$3,BZ215*Plus!$F$23/1000,BZ215*VLOOKUP(Plus!$G$21,Plus!$AP$2:'Plus'!$AQ$5,2,0))))</f>
        <v>0</v>
      </c>
      <c r="BU216" s="123">
        <f>IF(BZ215&lt;0.01,0,IF(Plus!$F$24=Plus!$AO$3,Plus!$G$13*Plus!$AR$2/1.16,IF(Plus!$F$10=Plus!$AK$7,0,Plus!$G$13*Plus!$AR$2/1.16)))</f>
        <v>0</v>
      </c>
      <c r="BV216" s="123">
        <f>IF(BZ215&lt;0.01,0,Plus!$BD$2)</f>
        <v>0</v>
      </c>
      <c r="BW216" s="123"/>
      <c r="BX216" s="123">
        <f t="shared" si="321"/>
        <v>0</v>
      </c>
      <c r="BY216" s="123">
        <f>IF(Plus!$F$10=Plus!$AK$3,MIN(BZ215+BQ216+BT216+BU216+BV216-BX216,CJ216),0)</f>
        <v>0</v>
      </c>
      <c r="BZ216" s="297">
        <f t="shared" si="428"/>
        <v>0</v>
      </c>
      <c r="CA216" s="74"/>
      <c r="CB216" s="74"/>
      <c r="CC216" s="413">
        <f t="shared" si="355"/>
        <v>0</v>
      </c>
      <c r="CF216" s="90">
        <f t="shared" si="356"/>
        <v>12</v>
      </c>
      <c r="CG216" s="121">
        <f t="shared" si="409"/>
        <v>0</v>
      </c>
      <c r="CI216" s="70">
        <f t="shared" si="410"/>
        <v>0</v>
      </c>
      <c r="CJ216" s="2178">
        <f t="shared" ca="1" si="357"/>
        <v>0</v>
      </c>
      <c r="CL216" s="161"/>
      <c r="CN216" s="308">
        <f t="shared" ca="1" si="322"/>
        <v>3</v>
      </c>
      <c r="CO216" s="309">
        <f t="shared" si="358"/>
        <v>0</v>
      </c>
      <c r="CP216" s="268">
        <f t="shared" si="323"/>
        <v>0</v>
      </c>
      <c r="CQ216" s="123">
        <f t="shared" si="359"/>
        <v>0</v>
      </c>
      <c r="CR216" s="123">
        <f t="shared" si="435"/>
        <v>0</v>
      </c>
      <c r="CS216" s="123">
        <f t="shared" si="436"/>
        <v>0</v>
      </c>
      <c r="CT216" s="33">
        <f>IF(CZ215&lt;0.01,0,IF(Plus!$F$22=Plus!$AN$4,0,IF(Plus!$F$22=Plus!$AN$3,CZ215*Plus!$F$23/1000,CZ215*VLOOKUP(Plus!$G$21,Plus!$AP$2:'Plus'!$AQ$5,2,0))))</f>
        <v>0</v>
      </c>
      <c r="CU216" s="123">
        <f>IF(CZ215&lt;0.01,0,IF(Plus!$F$24=Plus!$AO$3,0,IF(OR(Plus!$F$10=Plus!$AK$7,Plus!$F$10=Plus!$AK$13),0,Plus!$G$13*Plus!$AR$2)))</f>
        <v>0</v>
      </c>
      <c r="CV216" s="123">
        <f>IF(CZ215&lt;0.01,0,IF(OR(Plus!$F$10=Plus!$AK$7,Plus!$F$10=Plus!$AK$13),0,Plus!$BD$2*1.16))</f>
        <v>0</v>
      </c>
      <c r="CW216" s="123">
        <f>IF(CZ215&lt;0.01,0,IF(Plus!$AS$2&gt;0,CQ216*Plus!$AS$3,0))</f>
        <v>0</v>
      </c>
      <c r="CX216" s="123">
        <f t="shared" si="360"/>
        <v>0</v>
      </c>
      <c r="CY216" s="123">
        <f>IF(Plus!$F$10=Plus!$AK$3,MIN(CZ215+CQ216+CT216+CU216+CV216-CX216,DK216),0)</f>
        <v>0</v>
      </c>
      <c r="CZ216" s="297">
        <f t="shared" si="440"/>
        <v>0</v>
      </c>
      <c r="DA216" s="306">
        <f>Plus!O257</f>
        <v>0</v>
      </c>
      <c r="DB216" s="74"/>
      <c r="DC216" s="74"/>
      <c r="DD216" s="407">
        <f t="shared" si="361"/>
        <v>0</v>
      </c>
      <c r="DG216" s="90">
        <f t="shared" si="362"/>
        <v>12</v>
      </c>
      <c r="DH216" s="121">
        <f t="shared" si="411"/>
        <v>0</v>
      </c>
      <c r="DJ216" s="149">
        <f t="shared" si="412"/>
        <v>0</v>
      </c>
      <c r="DK216" s="2179">
        <f t="shared" ca="1" si="363"/>
        <v>0</v>
      </c>
      <c r="DN216" s="120">
        <f t="shared" si="413"/>
        <v>0</v>
      </c>
      <c r="DO216" s="110">
        <f t="shared" si="364"/>
        <v>0</v>
      </c>
      <c r="DP216" s="110">
        <f t="shared" si="422"/>
        <v>0</v>
      </c>
      <c r="DQ216" s="109">
        <f t="shared" si="365"/>
        <v>0</v>
      </c>
      <c r="DR216" s="109">
        <f t="shared" si="366"/>
        <v>0</v>
      </c>
      <c r="DS216" s="113">
        <f t="shared" si="367"/>
        <v>0</v>
      </c>
      <c r="DU216" s="102">
        <f t="shared" si="368"/>
        <v>0</v>
      </c>
      <c r="DV216" s="211">
        <f t="shared" si="423"/>
        <v>192</v>
      </c>
      <c r="DW216" s="212">
        <f t="shared" si="369"/>
        <v>0</v>
      </c>
      <c r="DX216" s="212">
        <f t="shared" si="324"/>
        <v>0</v>
      </c>
      <c r="DY216" s="212">
        <f t="shared" si="414"/>
        <v>0</v>
      </c>
      <c r="DZ216" s="213">
        <f t="shared" si="325"/>
        <v>1000000</v>
      </c>
      <c r="ED216" s="182"/>
      <c r="EF216" s="308">
        <f t="shared" ca="1" si="326"/>
        <v>3</v>
      </c>
      <c r="EG216" s="309">
        <f t="shared" si="370"/>
        <v>0</v>
      </c>
      <c r="EH216" s="268">
        <f t="shared" si="327"/>
        <v>0</v>
      </c>
      <c r="EI216" s="33">
        <f t="shared" si="371"/>
        <v>0</v>
      </c>
      <c r="EJ216" s="33">
        <f t="shared" si="437"/>
        <v>0</v>
      </c>
      <c r="EK216" s="33">
        <f t="shared" si="445"/>
        <v>0</v>
      </c>
      <c r="EL216" s="33">
        <f>IF(ER215&lt;0.01,0,IF(Plus!$F$22=Plus!$AN$4,0,IF(Plus!$F$22=Plus!$AN$3,ER215*Plus!$F$23/1000,ER215*VLOOKUP(Plus!$G$21,Plus!$AP$2:'Plus'!$AQ$5,2,0))))</f>
        <v>0</v>
      </c>
      <c r="EM216" s="33">
        <f>IF(ER215&lt;0.01,0,IF(Plus!$F$24=Plus!$AO$3,0,IF(OR(Plus!$F$10=Plus!$AK$7,Plus!$F$10=Plus!$AK$13),0,Plus!$G$13*Plus!$AR$2)))</f>
        <v>0</v>
      </c>
      <c r="EN216" s="33">
        <f>IF(ER215&lt;0.01,0,IF(OR(Plus!$F$10=Plus!$AK$7,Plus!$F$10=Plus!$AK$13),0,Plus!$BD$2*1.16))</f>
        <v>0</v>
      </c>
      <c r="EO216" s="33">
        <f>IF(ER215&lt;0.01,0,IF(Plus!$AS$2&gt;0,EI216*Plus!$AS$3,0))</f>
        <v>0</v>
      </c>
      <c r="EP216" s="33">
        <f t="shared" si="372"/>
        <v>0</v>
      </c>
      <c r="EQ216" s="33">
        <f>IF(Plus!$F$10=Plus!$AK$3,MIN(ER215+EI216+EL216+EM216+EN216-EP216,FC216),0)</f>
        <v>0</v>
      </c>
      <c r="ER216" s="311">
        <f t="shared" si="431"/>
        <v>0</v>
      </c>
      <c r="ES216" s="340">
        <f>Plus!O257</f>
        <v>0</v>
      </c>
      <c r="ET216" s="74"/>
      <c r="EU216" s="74"/>
      <c r="EV216" s="416">
        <f t="shared" si="429"/>
        <v>0</v>
      </c>
      <c r="EY216" s="90">
        <f t="shared" si="373"/>
        <v>12</v>
      </c>
      <c r="EZ216" s="121">
        <f t="shared" si="415"/>
        <v>0</v>
      </c>
      <c r="FB216" s="149">
        <f t="shared" si="416"/>
        <v>0</v>
      </c>
      <c r="FC216" s="2179">
        <f t="shared" ca="1" si="374"/>
        <v>0</v>
      </c>
      <c r="FE216" s="120">
        <f t="shared" si="417"/>
        <v>0</v>
      </c>
      <c r="FF216" s="110">
        <f t="shared" si="375"/>
        <v>0</v>
      </c>
      <c r="FG216" s="110">
        <f t="shared" si="376"/>
        <v>0</v>
      </c>
      <c r="FH216" s="109">
        <f t="shared" si="377"/>
        <v>0</v>
      </c>
      <c r="FI216" s="109">
        <f t="shared" si="328"/>
        <v>0</v>
      </c>
      <c r="FJ216" s="113">
        <f t="shared" si="378"/>
        <v>0</v>
      </c>
      <c r="FL216" s="102">
        <f t="shared" si="379"/>
        <v>0</v>
      </c>
      <c r="FM216" s="211">
        <f t="shared" si="454"/>
        <v>192</v>
      </c>
      <c r="FN216" s="212">
        <f t="shared" si="380"/>
        <v>0</v>
      </c>
      <c r="FO216" s="212">
        <f t="shared" si="329"/>
        <v>0</v>
      </c>
      <c r="FP216" s="212">
        <f t="shared" si="452"/>
        <v>0</v>
      </c>
      <c r="FQ216" s="213">
        <f t="shared" si="330"/>
        <v>1000000</v>
      </c>
      <c r="FV216" s="359"/>
      <c r="FX216" s="308">
        <f t="shared" ca="1" si="331"/>
        <v>3</v>
      </c>
      <c r="FY216" s="309">
        <f t="shared" si="381"/>
        <v>0</v>
      </c>
      <c r="FZ216" s="268">
        <f t="shared" si="332"/>
        <v>0</v>
      </c>
      <c r="GA216" s="33">
        <f t="shared" si="382"/>
        <v>0</v>
      </c>
      <c r="GB216" s="33">
        <f t="shared" si="438"/>
        <v>0</v>
      </c>
      <c r="GC216" s="33">
        <f t="shared" si="439"/>
        <v>0</v>
      </c>
      <c r="GD216" s="33">
        <f>IF(GJ215&lt;0.01,0,IF(Plus!$F$22=Plus!$AN$4,0,IF(Plus!$F$22=Plus!$AN$3,GJ215*Plus!$F$23/1000,GJ215*VLOOKUP(Plus!$G$21,Plus!$AP$2:$AQ$5,2,0))))</f>
        <v>0</v>
      </c>
      <c r="GE216" s="33">
        <f>IF(GJ215&lt;0.01,0,IF(Plus!$F$24=Plus!$AO$3,0,IF(OR(Plus!$F$10=Plus!$AK$7,Plus!$F$10=Plus!$AK$13,Plus!$F$10=Plus!$AK$14),0,IF(OR(Plus!$F$10=Plus!$AK$10,Plus!$F$10=Plus!$AK$11),Plus!$G$13*Adm!$W$7,Plus!$G$13*Adm!$X$4))))</f>
        <v>0</v>
      </c>
      <c r="GF216" s="33">
        <f>IF(GJ215&lt;0.01,0,IF(OR(Plus!$F$10=Plus!$AK$7,Plus!$F$10=Plus!$AK$13),0,Plus!$BD$2*1.16))</f>
        <v>0</v>
      </c>
      <c r="GG216" s="33">
        <f>IF(GJ215&lt;0.01,0,IF(Plus!$AS$2&gt;0,GA216*Plus!$AS$3,0))</f>
        <v>0</v>
      </c>
      <c r="GH216" s="33">
        <f t="shared" si="383"/>
        <v>0</v>
      </c>
      <c r="GI216" s="33">
        <f>IF(Plus!$F$10=Plus!$AK$3,MIN(GJ215+GA216+GD216+GE216+GF216-GH216,GU216),0)</f>
        <v>0</v>
      </c>
      <c r="GJ216" s="311">
        <f t="shared" si="432"/>
        <v>0</v>
      </c>
      <c r="GK216" s="340">
        <f>Plus!O257</f>
        <v>0</v>
      </c>
      <c r="GL216" s="74"/>
      <c r="GM216" s="74"/>
      <c r="GN216" s="419">
        <f t="shared" si="430"/>
        <v>0</v>
      </c>
      <c r="GQ216" s="90">
        <f t="shared" si="384"/>
        <v>12</v>
      </c>
      <c r="GR216" s="121">
        <f t="shared" si="418"/>
        <v>0</v>
      </c>
      <c r="GT216" s="149">
        <f t="shared" si="419"/>
        <v>0</v>
      </c>
      <c r="GU216" s="2179">
        <f t="shared" ca="1" si="385"/>
        <v>0</v>
      </c>
      <c r="GW216" s="120">
        <f t="shared" si="420"/>
        <v>0</v>
      </c>
      <c r="GX216" s="110">
        <f t="shared" si="386"/>
        <v>0</v>
      </c>
      <c r="GY216" s="110">
        <f t="shared" si="387"/>
        <v>0</v>
      </c>
      <c r="GZ216" s="109">
        <f t="shared" si="388"/>
        <v>0</v>
      </c>
      <c r="HA216" s="109">
        <f t="shared" si="333"/>
        <v>0</v>
      </c>
      <c r="HB216" s="113">
        <f t="shared" si="389"/>
        <v>0</v>
      </c>
      <c r="HD216" s="102">
        <f t="shared" si="390"/>
        <v>0</v>
      </c>
      <c r="HE216" s="211">
        <f t="shared" si="455"/>
        <v>192</v>
      </c>
      <c r="HF216" s="212">
        <f t="shared" si="391"/>
        <v>0</v>
      </c>
      <c r="HG216" s="212">
        <f t="shared" si="334"/>
        <v>0</v>
      </c>
      <c r="HH216" s="212">
        <f t="shared" si="453"/>
        <v>0</v>
      </c>
      <c r="HI216" s="213">
        <f t="shared" si="335"/>
        <v>1000000</v>
      </c>
      <c r="HL216" s="182"/>
      <c r="HM216" s="26">
        <f t="shared" ca="1" si="336"/>
        <v>3</v>
      </c>
      <c r="HO216" s="268">
        <f t="shared" si="337"/>
        <v>0</v>
      </c>
      <c r="HP216" s="151">
        <f t="shared" si="448"/>
        <v>0</v>
      </c>
      <c r="HQ216" s="123">
        <f t="shared" si="392"/>
        <v>0</v>
      </c>
      <c r="HR216" s="123">
        <f t="shared" si="393"/>
        <v>0</v>
      </c>
      <c r="HS216" s="123">
        <f t="shared" si="394"/>
        <v>0</v>
      </c>
      <c r="HT216" s="123">
        <f>IF(HY215&lt;0.01,0,IF(Adm!$GS$4=Adm!$GS$8,HY215*$HY$15,IF(Adm!$GS$12=Adm!$GS$13,0,HY215*Adm!$GV$4)))</f>
        <v>0</v>
      </c>
      <c r="HU216" s="123">
        <f>IF(HY215&lt;0.01,0,IF(Adm!$GS$5=Adm!$GS$8,Cal!$BO$108*$HY$16/1.16,IF(Adm!$GS$12=Adm!$GS$13,0,Cal!$BO$108*Adm!$GW$4/1.16)))</f>
        <v>0</v>
      </c>
      <c r="HV216" s="123">
        <f t="shared" si="395"/>
        <v>0</v>
      </c>
      <c r="HW216" s="123">
        <f t="shared" si="338"/>
        <v>0</v>
      </c>
      <c r="HX216" s="123">
        <f>IF(Adm!$GH$6="si",MIN(HY215+HQ216+HT216+HU216+HV216-HW216,IH216),0)</f>
        <v>0</v>
      </c>
      <c r="HY216" s="297">
        <f t="shared" si="396"/>
        <v>0</v>
      </c>
      <c r="HZ216" s="74"/>
      <c r="IA216" s="407">
        <f t="shared" si="397"/>
        <v>0</v>
      </c>
      <c r="IC216" s="90">
        <f t="shared" si="398"/>
        <v>12</v>
      </c>
      <c r="ID216" s="124">
        <f>IF(IC216=1,Cal!$BO$127,0)</f>
        <v>0</v>
      </c>
      <c r="IE216" s="178">
        <f>IF(IC216=1,Adm!$HI$4,0)</f>
        <v>0</v>
      </c>
      <c r="IG216" s="70">
        <f t="shared" si="421"/>
        <v>0</v>
      </c>
      <c r="IH216" s="2178">
        <f t="shared" ca="1" si="399"/>
        <v>0</v>
      </c>
      <c r="IK216" s="217"/>
      <c r="IL216" s="26">
        <f t="shared" ca="1" si="339"/>
        <v>3</v>
      </c>
      <c r="IN216" s="268">
        <f t="shared" si="340"/>
        <v>0</v>
      </c>
      <c r="IO216" s="151">
        <f t="shared" si="449"/>
        <v>0</v>
      </c>
      <c r="IP216" s="123">
        <f t="shared" si="400"/>
        <v>0</v>
      </c>
      <c r="IQ216" s="123">
        <f t="shared" si="401"/>
        <v>0</v>
      </c>
      <c r="IR216" s="123">
        <f t="shared" si="402"/>
        <v>0</v>
      </c>
      <c r="IS216" s="123">
        <f>IF(IX215&lt;0.01,0,IF(Adm!$GS$4=Adm!$GS$8,IX215*$IX$15,IF(Adm!$GS$12=Adm!$GS$13,0,IX215*Adm!$GV$4)))</f>
        <v>0</v>
      </c>
      <c r="IT216" s="123"/>
      <c r="IU216" s="123">
        <f t="shared" si="403"/>
        <v>0</v>
      </c>
      <c r="IV216" s="123">
        <f t="shared" si="404"/>
        <v>0</v>
      </c>
      <c r="IW216" s="123"/>
      <c r="IX216" s="297">
        <f t="shared" si="405"/>
        <v>0</v>
      </c>
      <c r="IY216" s="74"/>
      <c r="IZ216" s="416">
        <f t="shared" si="406"/>
        <v>0</v>
      </c>
      <c r="JB216" s="90">
        <f t="shared" si="407"/>
        <v>12</v>
      </c>
      <c r="JC216" s="124">
        <f>IF(JB216=1,Cal!$BP$127,0)</f>
        <v>0</v>
      </c>
      <c r="JD216" s="178">
        <f>IF(JB216=1,Adm!$HI$4,0)</f>
        <v>0</v>
      </c>
    </row>
    <row r="217" spans="1:264">
      <c r="A217" s="26">
        <f t="shared" ref="A217:A280" ca="1" si="456">IF(A216=12,1,A216+1)</f>
        <v>4</v>
      </c>
      <c r="C217" s="33">
        <f t="shared" ref="C217:C264" si="457">IF(L216&lt;0.01,0,C216+1)</f>
        <v>0</v>
      </c>
      <c r="D217" s="123">
        <f t="shared" si="341"/>
        <v>0</v>
      </c>
      <c r="E217" s="123">
        <f t="shared" si="433"/>
        <v>0</v>
      </c>
      <c r="F217" s="123">
        <f t="shared" si="443"/>
        <v>0</v>
      </c>
      <c r="G217" s="123">
        <f>IF(L216&lt;0.01,0,IF(Adm!$S$4=Adm!$S$8,L216*$L$15,L216*Adm!$V$4))</f>
        <v>0</v>
      </c>
      <c r="H217" s="123">
        <f>IF(L216&lt;0.01,0,IF(Adm!$S$5=Adm!$S$8,Adm!$AA$11*$L$16/1.16,IF(Adm!$B$4=Adm!$A$119,0,Adm!$AA$11*Adm!$X$4/1.16)))</f>
        <v>0</v>
      </c>
      <c r="I217" s="123">
        <f>IF(L216&lt;0.01,0,Cal!$AB$126/1.16)</f>
        <v>0</v>
      </c>
      <c r="J217" s="123">
        <f t="shared" ref="J217:J264" si="458">IF(L216&lt;0.01,0,F217+G217+H217+I217)</f>
        <v>0</v>
      </c>
      <c r="K217" s="123">
        <f>IF(Adm!$G$4="si",MIN(L216+D217+G217+H217+I217-J217,V217),0)</f>
        <v>0</v>
      </c>
      <c r="L217" s="123">
        <f t="shared" si="342"/>
        <v>0</v>
      </c>
      <c r="M217" s="74"/>
      <c r="N217" s="74"/>
      <c r="O217" s="407">
        <f t="shared" si="343"/>
        <v>0</v>
      </c>
      <c r="R217" s="90">
        <f t="shared" si="344"/>
        <v>1</v>
      </c>
      <c r="S217" s="121">
        <f>IF(R217=1,Cal!$AB$127,0)</f>
        <v>0</v>
      </c>
      <c r="U217" s="70">
        <f t="shared" si="408"/>
        <v>0</v>
      </c>
      <c r="V217" s="2178">
        <f t="shared" ca="1" si="345"/>
        <v>0</v>
      </c>
      <c r="X217" s="398"/>
      <c r="Z217" s="268">
        <f t="shared" ref="Z217:Z264" si="459">IF(AI216&lt;0.01,0,Z216+1)</f>
        <v>0</v>
      </c>
      <c r="AA217" s="2176">
        <f t="shared" si="346"/>
        <v>0</v>
      </c>
      <c r="AB217" s="33">
        <f t="shared" si="347"/>
        <v>0</v>
      </c>
      <c r="AC217" s="33">
        <f t="shared" si="348"/>
        <v>0</v>
      </c>
      <c r="AD217" s="33">
        <f>IF(AI216&lt;0.01,0,IF(Adm!$S$4=Adm!$S$8,AI216*$AI$15,AI216*Adm!$V$4))</f>
        <v>0</v>
      </c>
      <c r="AE217" s="33"/>
      <c r="AF217" s="33"/>
      <c r="AG217" s="33">
        <f t="shared" ref="AG217:AG264" si="460">IF(AI216&lt;0.01,0,AC217+AD217+AE217+AF217)</f>
        <v>0</v>
      </c>
      <c r="AH217" s="33"/>
      <c r="AI217" s="401">
        <f t="shared" ref="AI217:AI264" si="461">AI216-AB217</f>
        <v>0</v>
      </c>
      <c r="AK217" s="410">
        <f t="shared" ref="AK217:AK264" si="462">AG217</f>
        <v>0</v>
      </c>
      <c r="AN217" s="90">
        <f t="shared" si="349"/>
        <v>1</v>
      </c>
      <c r="AO217" s="121">
        <f>IF(AN217=1,Cal!$AC$127,0)</f>
        <v>0</v>
      </c>
      <c r="AS217" s="200"/>
      <c r="AU217" s="268">
        <f t="shared" ref="AU217:AU264" si="463">IF(BC216&lt;0.01,0,AU216+1)</f>
        <v>0</v>
      </c>
      <c r="AV217" s="2177">
        <f t="shared" si="350"/>
        <v>0</v>
      </c>
      <c r="AW217" s="123">
        <f t="shared" ref="AW217:AW264" si="464">IF(BC216&lt;0.01,0,AX217-AV217)</f>
        <v>0</v>
      </c>
      <c r="AX217" s="123">
        <f t="shared" si="351"/>
        <v>0</v>
      </c>
      <c r="AY217" s="123">
        <f>IF(BC216&lt;0.01,0,IF(Adm!$S$4=Adm!$S$8,BC216*$BC$16,BC216*Adm!$V$4))</f>
        <v>0</v>
      </c>
      <c r="AZ217" s="123"/>
      <c r="BA217" s="123">
        <f>IF(BC216&lt;0.01,0,Adm!$Q$6)</f>
        <v>0</v>
      </c>
      <c r="BB217" s="123">
        <f t="shared" ref="BB217:BB264" si="465">IF(BC216&lt;0.01,0,AX217+AY217+AZ217+BA217)</f>
        <v>0</v>
      </c>
      <c r="BC217" s="297">
        <f t="shared" si="352"/>
        <v>0</v>
      </c>
      <c r="BE217" s="425">
        <f t="shared" ref="BE217:BE264" si="466">BB217</f>
        <v>0</v>
      </c>
      <c r="BH217" s="90">
        <f t="shared" si="353"/>
        <v>1</v>
      </c>
      <c r="BI217" s="121">
        <f>IF(BH217=1,Cal!$AD$127,0)</f>
        <v>0</v>
      </c>
      <c r="BM217" s="221"/>
      <c r="BO217" s="295">
        <f t="shared" ref="BO217:BO264" ca="1" si="467">IF(BO216=12,1,BO216+1)</f>
        <v>4</v>
      </c>
      <c r="BP217" s="268">
        <f t="shared" ref="BP217:BP264" si="468">IF(BZ216&lt;0.01,0,BP216+1)</f>
        <v>0</v>
      </c>
      <c r="BQ217" s="123">
        <f t="shared" si="354"/>
        <v>0</v>
      </c>
      <c r="BR217" s="123">
        <f t="shared" si="434"/>
        <v>0</v>
      </c>
      <c r="BS217" s="123">
        <f t="shared" si="444"/>
        <v>0</v>
      </c>
      <c r="BT217" s="123">
        <f>IF(BZ216&lt;0.01,0,IF(Plus!$F$22=Plus!$AN$4,BZ216*$BZ$15,IF(Plus!$F$22=Plus!$AN$3,BZ216*Plus!$F$23/1000,BZ216*VLOOKUP(Plus!$G$21,Plus!$AP$2:'Plus'!$AQ$5,2,0))))</f>
        <v>0</v>
      </c>
      <c r="BU217" s="123">
        <f>IF(BZ216&lt;0.01,0,IF(Plus!$F$24=Plus!$AO$3,Plus!$G$13*Plus!$AR$2/1.16,IF(Plus!$F$10=Plus!$AK$7,0,Plus!$G$13*Plus!$AR$2/1.16)))</f>
        <v>0</v>
      </c>
      <c r="BV217" s="123">
        <f>IF(BZ216&lt;0.01,0,Plus!$BD$2)</f>
        <v>0</v>
      </c>
      <c r="BW217" s="123"/>
      <c r="BX217" s="123">
        <f t="shared" ref="BX217:BX264" si="469">IF(BZ216&lt;0.01,0,BS217+BT217+BU217+BV217)</f>
        <v>0</v>
      </c>
      <c r="BY217" s="123">
        <f>IF(Plus!$F$10=Plus!$AK$3,MIN(BZ216+BQ217+BT217+BU217+BV217-BX217,CJ217),0)</f>
        <v>0</v>
      </c>
      <c r="BZ217" s="297">
        <f t="shared" si="428"/>
        <v>0</v>
      </c>
      <c r="CA217" s="74"/>
      <c r="CB217" s="74"/>
      <c r="CC217" s="413">
        <f t="shared" si="355"/>
        <v>0</v>
      </c>
      <c r="CF217" s="90">
        <f t="shared" si="356"/>
        <v>1</v>
      </c>
      <c r="CG217" s="121">
        <f t="shared" si="409"/>
        <v>0</v>
      </c>
      <c r="CI217" s="70">
        <f t="shared" si="410"/>
        <v>0</v>
      </c>
      <c r="CJ217" s="2178">
        <f t="shared" ca="1" si="357"/>
        <v>0</v>
      </c>
      <c r="CL217" s="161"/>
      <c r="CN217" s="308">
        <f t="shared" ref="CN217:CN264" ca="1" si="470">IF(CN216=12,1,CN216+1)</f>
        <v>4</v>
      </c>
      <c r="CO217" s="309">
        <f t="shared" si="358"/>
        <v>0</v>
      </c>
      <c r="CP217" s="268">
        <f t="shared" ref="CP217:CP264" si="471">IF(CZ216&lt;0.01,0,CP216+1)</f>
        <v>0</v>
      </c>
      <c r="CQ217" s="123">
        <f t="shared" si="359"/>
        <v>0</v>
      </c>
      <c r="CR217" s="123">
        <f t="shared" si="435"/>
        <v>0</v>
      </c>
      <c r="CS217" s="123">
        <f t="shared" si="436"/>
        <v>0</v>
      </c>
      <c r="CT217" s="33">
        <f>IF(CZ216&lt;0.01,0,IF(Plus!$F$22=Plus!$AN$4,0,IF(Plus!$F$22=Plus!$AN$3,CZ216*Plus!$F$23/1000,CZ216*VLOOKUP(Plus!$G$21,Plus!$AP$2:'Plus'!$AQ$5,2,0))))</f>
        <v>0</v>
      </c>
      <c r="CU217" s="123">
        <f>IF(CZ216&lt;0.01,0,IF(Plus!$F$24=Plus!$AO$3,0,IF(OR(Plus!$F$10=Plus!$AK$7,Plus!$F$10=Plus!$AK$13),0,Plus!$G$13*Plus!$AR$2)))</f>
        <v>0</v>
      </c>
      <c r="CV217" s="123">
        <f>IF(CZ216&lt;0.01,0,IF(OR(Plus!$F$10=Plus!$AK$7,Plus!$F$10=Plus!$AK$13),0,Plus!$BD$2*1.16))</f>
        <v>0</v>
      </c>
      <c r="CW217" s="123">
        <f>IF(CZ216&lt;0.01,0,IF(Plus!$AS$2&gt;0,CQ217*Plus!$AS$3,0))</f>
        <v>0</v>
      </c>
      <c r="CX217" s="123">
        <f t="shared" si="360"/>
        <v>0</v>
      </c>
      <c r="CY217" s="123">
        <f>IF(Plus!$F$10=Plus!$AK$3,MIN(CZ216+CQ217+CT217+CU217+CV217-CX217,DK217),0)</f>
        <v>0</v>
      </c>
      <c r="CZ217" s="297">
        <f t="shared" si="440"/>
        <v>0</v>
      </c>
      <c r="DA217" s="306">
        <f>Plus!O258</f>
        <v>0</v>
      </c>
      <c r="DB217" s="74"/>
      <c r="DC217" s="74"/>
      <c r="DD217" s="407">
        <f t="shared" si="361"/>
        <v>0</v>
      </c>
      <c r="DG217" s="90">
        <f t="shared" si="362"/>
        <v>1</v>
      </c>
      <c r="DH217" s="121">
        <f t="shared" si="411"/>
        <v>0</v>
      </c>
      <c r="DJ217" s="149">
        <f t="shared" si="412"/>
        <v>0</v>
      </c>
      <c r="DK217" s="2179">
        <f t="shared" ca="1" si="363"/>
        <v>0</v>
      </c>
      <c r="DN217" s="120">
        <f t="shared" si="413"/>
        <v>0</v>
      </c>
      <c r="DO217" s="110">
        <f t="shared" si="364"/>
        <v>0</v>
      </c>
      <c r="DP217" s="110">
        <f t="shared" si="422"/>
        <v>0</v>
      </c>
      <c r="DQ217" s="109">
        <f t="shared" si="365"/>
        <v>0</v>
      </c>
      <c r="DR217" s="109">
        <f t="shared" si="366"/>
        <v>0</v>
      </c>
      <c r="DS217" s="113">
        <f t="shared" si="367"/>
        <v>0</v>
      </c>
      <c r="DU217" s="102">
        <f t="shared" si="368"/>
        <v>0</v>
      </c>
      <c r="DV217" s="333">
        <f t="shared" si="423"/>
        <v>193</v>
      </c>
      <c r="DW217" s="334">
        <f t="shared" si="369"/>
        <v>0</v>
      </c>
      <c r="DX217" s="334">
        <f t="shared" ref="DX217:DX264" si="472">DY217-DW217</f>
        <v>0</v>
      </c>
      <c r="DY217" s="334">
        <f>MIN(DZ216+DW217,DY216*(1+$DW$20))</f>
        <v>0</v>
      </c>
      <c r="DZ217" s="213">
        <f t="shared" ref="DZ217:DZ264" si="473">IF(DZ216&lt;0.001,0,DZ216-DX217-EA219)</f>
        <v>1000000</v>
      </c>
      <c r="ED217" s="182"/>
      <c r="EF217" s="308">
        <f t="shared" ref="EF217:EF264" ca="1" si="474">IF(EF216=12,1,EF216+1)</f>
        <v>4</v>
      </c>
      <c r="EG217" s="309">
        <f t="shared" si="370"/>
        <v>0</v>
      </c>
      <c r="EH217" s="268">
        <f t="shared" ref="EH217:EH264" si="475">IF(ER216&lt;0.01,0,EH216+1)</f>
        <v>0</v>
      </c>
      <c r="EI217" s="33">
        <f t="shared" si="371"/>
        <v>0</v>
      </c>
      <c r="EJ217" s="33">
        <f t="shared" si="437"/>
        <v>0</v>
      </c>
      <c r="EK217" s="33">
        <f t="shared" si="445"/>
        <v>0</v>
      </c>
      <c r="EL217" s="33">
        <f>IF(ER216&lt;0.01,0,IF(Plus!$F$22=Plus!$AN$4,0,IF(Plus!$F$22=Plus!$AN$3,ER216*Plus!$F$23/1000,ER216*VLOOKUP(Plus!$G$21,Plus!$AP$2:'Plus'!$AQ$5,2,0))))</f>
        <v>0</v>
      </c>
      <c r="EM217" s="33">
        <f>IF(ER216&lt;0.01,0,IF(Plus!$F$24=Plus!$AO$3,0,IF(OR(Plus!$F$10=Plus!$AK$7,Plus!$F$10=Plus!$AK$13),0,Plus!$G$13*Plus!$AR$2)))</f>
        <v>0</v>
      </c>
      <c r="EN217" s="33">
        <f>IF(ER216&lt;0.01,0,IF(OR(Plus!$F$10=Plus!$AK$7,Plus!$F$10=Plus!$AK$13),0,Plus!$BD$2*1.16))</f>
        <v>0</v>
      </c>
      <c r="EO217" s="33">
        <f>IF(ER216&lt;0.01,0,IF(Plus!$AS$2&gt;0,EI217*Plus!$AS$3,0))</f>
        <v>0</v>
      </c>
      <c r="EP217" s="33">
        <f t="shared" si="372"/>
        <v>0</v>
      </c>
      <c r="EQ217" s="33">
        <f>IF(Plus!$F$10=Plus!$AK$3,MIN(ER216+EI217+EL217+EM217+EN217-EP217,FC217),0)</f>
        <v>0</v>
      </c>
      <c r="ER217" s="311">
        <f t="shared" si="431"/>
        <v>0</v>
      </c>
      <c r="ES217" s="340">
        <f>Plus!O258</f>
        <v>0</v>
      </c>
      <c r="ET217" s="74"/>
      <c r="EU217" s="74"/>
      <c r="EV217" s="416">
        <f t="shared" si="429"/>
        <v>0</v>
      </c>
      <c r="EY217" s="90">
        <f t="shared" si="373"/>
        <v>1</v>
      </c>
      <c r="EZ217" s="121">
        <f t="shared" si="415"/>
        <v>0</v>
      </c>
      <c r="FB217" s="149">
        <f t="shared" si="416"/>
        <v>0</v>
      </c>
      <c r="FC217" s="2179">
        <f t="shared" ca="1" si="374"/>
        <v>0</v>
      </c>
      <c r="FE217" s="120">
        <f t="shared" si="417"/>
        <v>0</v>
      </c>
      <c r="FF217" s="110">
        <f t="shared" si="375"/>
        <v>0</v>
      </c>
      <c r="FG217" s="110">
        <f t="shared" si="376"/>
        <v>0</v>
      </c>
      <c r="FH217" s="109">
        <f t="shared" si="377"/>
        <v>0</v>
      </c>
      <c r="FI217" s="109">
        <f t="shared" ref="FI217:FI264" si="476">IF(AND($FE$21=2,ES216&lt;0.01),0,IF($FE$21=2,(ER216*FJ217)+EI217,0))</f>
        <v>0</v>
      </c>
      <c r="FJ217" s="113">
        <f t="shared" si="378"/>
        <v>0</v>
      </c>
      <c r="FL217" s="102">
        <f t="shared" si="379"/>
        <v>0</v>
      </c>
      <c r="FM217" s="326">
        <f t="shared" si="454"/>
        <v>193</v>
      </c>
      <c r="FN217" s="327">
        <f t="shared" si="380"/>
        <v>0</v>
      </c>
      <c r="FO217" s="327">
        <f t="shared" ref="FO217:FO264" si="477">FP217-FN217</f>
        <v>0</v>
      </c>
      <c r="FP217" s="327">
        <f>MIN(FQ216+FN217,FP216*(1+$FN$20))</f>
        <v>0</v>
      </c>
      <c r="FQ217" s="213">
        <f t="shared" ref="FQ217:FQ264" si="478">IF(FQ216&lt;0.001,0,FQ216-FO217-FR219)</f>
        <v>1000000</v>
      </c>
      <c r="FV217" s="359"/>
      <c r="FX217" s="308">
        <f t="shared" ref="FX217:FX264" ca="1" si="479">IF(FX216=12,1,FX216+1)</f>
        <v>4</v>
      </c>
      <c r="FY217" s="309">
        <f t="shared" si="381"/>
        <v>0</v>
      </c>
      <c r="FZ217" s="268">
        <f t="shared" ref="FZ217:FZ264" si="480">IF(GJ216&lt;0.01,0,FZ216+1)</f>
        <v>0</v>
      </c>
      <c r="GA217" s="33">
        <f t="shared" si="382"/>
        <v>0</v>
      </c>
      <c r="GB217" s="33">
        <f t="shared" si="438"/>
        <v>0</v>
      </c>
      <c r="GC217" s="33">
        <f t="shared" si="439"/>
        <v>0</v>
      </c>
      <c r="GD217" s="33">
        <f>IF(GJ216&lt;0.01,0,IF(Plus!$F$22=Plus!$AN$4,0,IF(Plus!$F$22=Plus!$AN$3,GJ216*Plus!$F$23/1000,GJ216*VLOOKUP(Plus!$G$21,Plus!$AP$2:$AQ$5,2,0))))</f>
        <v>0</v>
      </c>
      <c r="GE217" s="33">
        <f>IF(GJ216&lt;0.01,0,IF(Plus!$F$24=Plus!$AO$3,0,IF(OR(Plus!$F$10=Plus!$AK$7,Plus!$F$10=Plus!$AK$13,Plus!$F$10=Plus!$AK$14),0,IF(OR(Plus!$F$10=Plus!$AK$10,Plus!$F$10=Plus!$AK$11),Plus!$G$13*Adm!$W$7,Plus!$G$13*Adm!$X$4))))</f>
        <v>0</v>
      </c>
      <c r="GF217" s="33">
        <f>IF(GJ216&lt;0.01,0,IF(OR(Plus!$F$10=Plus!$AK$7,Plus!$F$10=Plus!$AK$13),0,Plus!$BD$2*1.16))</f>
        <v>0</v>
      </c>
      <c r="GG217" s="33">
        <f>IF(GJ216&lt;0.01,0,IF(Plus!$AS$2&gt;0,GA217*Plus!$AS$3,0))</f>
        <v>0</v>
      </c>
      <c r="GH217" s="33">
        <f t="shared" si="383"/>
        <v>0</v>
      </c>
      <c r="GI217" s="33">
        <f>IF(Plus!$F$10=Plus!$AK$3,MIN(GJ216+GA217+GD217+GE217+GF217-GH217,GU217),0)</f>
        <v>0</v>
      </c>
      <c r="GJ217" s="311">
        <f t="shared" si="432"/>
        <v>0</v>
      </c>
      <c r="GK217" s="340">
        <f>Plus!O258</f>
        <v>0</v>
      </c>
      <c r="GL217" s="74"/>
      <c r="GM217" s="74"/>
      <c r="GN217" s="419">
        <f t="shared" si="430"/>
        <v>0</v>
      </c>
      <c r="GQ217" s="90">
        <f t="shared" si="384"/>
        <v>1</v>
      </c>
      <c r="GR217" s="121">
        <f t="shared" si="418"/>
        <v>0</v>
      </c>
      <c r="GT217" s="149">
        <f t="shared" si="419"/>
        <v>0</v>
      </c>
      <c r="GU217" s="2179">
        <f t="shared" ca="1" si="385"/>
        <v>0</v>
      </c>
      <c r="GW217" s="120">
        <f t="shared" si="420"/>
        <v>0</v>
      </c>
      <c r="GX217" s="110">
        <f t="shared" si="386"/>
        <v>0</v>
      </c>
      <c r="GY217" s="110">
        <f t="shared" si="387"/>
        <v>0</v>
      </c>
      <c r="GZ217" s="109">
        <f t="shared" si="388"/>
        <v>0</v>
      </c>
      <c r="HA217" s="109">
        <f t="shared" ref="HA217:HA264" si="481">IF(AND($FE$21=2,GK216&lt;0.01),0,IF($FE$21=2,(GJ216*HB217)+GA217,0))</f>
        <v>0</v>
      </c>
      <c r="HB217" s="113">
        <f t="shared" si="389"/>
        <v>0</v>
      </c>
      <c r="HD217" s="102">
        <f t="shared" si="390"/>
        <v>0</v>
      </c>
      <c r="HE217" s="326">
        <f t="shared" si="455"/>
        <v>193</v>
      </c>
      <c r="HF217" s="327">
        <f t="shared" si="391"/>
        <v>0</v>
      </c>
      <c r="HG217" s="327">
        <f t="shared" ref="HG217:HG264" si="482">HH217-HF217</f>
        <v>0</v>
      </c>
      <c r="HH217" s="327">
        <f>MIN(HI216+HF217,HH216*(1+$FN$20))</f>
        <v>0</v>
      </c>
      <c r="HI217" s="213">
        <f t="shared" ref="HI217:HI264" si="483">IF(HI216&lt;0.001,0,HI216-HG217-HJ219)</f>
        <v>1000000</v>
      </c>
      <c r="HL217" s="182"/>
      <c r="HM217" s="26">
        <f t="shared" ref="HM217:HM264" ca="1" si="484">IF(HM216=12,1,HM216+1)</f>
        <v>4</v>
      </c>
      <c r="HO217" s="268">
        <f t="shared" ref="HO217:HO264" si="485">IF(HY216&lt;0.01,0,HO216+1)</f>
        <v>0</v>
      </c>
      <c r="HP217" s="151">
        <f t="shared" si="448"/>
        <v>0</v>
      </c>
      <c r="HQ217" s="123">
        <f t="shared" si="392"/>
        <v>0</v>
      </c>
      <c r="HR217" s="123">
        <f t="shared" si="393"/>
        <v>0</v>
      </c>
      <c r="HS217" s="123">
        <f t="shared" si="394"/>
        <v>0</v>
      </c>
      <c r="HT217" s="123">
        <f>IF(HY216&lt;0.01,0,IF(Adm!$GS$4=Adm!$GS$8,HY216*$HY$15,IF(Adm!$GS$12=Adm!$GS$13,0,HY216*Adm!$GV$4)))</f>
        <v>0</v>
      </c>
      <c r="HU217" s="123">
        <f>IF(HY216&lt;0.01,0,IF(Adm!$GS$5=Adm!$GS$8,Cal!$BO$108*$HY$16/1.16,IF(Adm!$GS$12=Adm!$GS$13,0,Cal!$BO$108*Adm!$GW$4/1.16)))</f>
        <v>0</v>
      </c>
      <c r="HV217" s="123">
        <f t="shared" si="395"/>
        <v>0</v>
      </c>
      <c r="HW217" s="123">
        <f t="shared" ref="HW217:HW264" si="486">IF(HY216&lt;0.01,0,HS217+HT217+HU217+HV217)</f>
        <v>0</v>
      </c>
      <c r="HX217" s="123">
        <f>IF(Adm!$GH$6="si",MIN(HY216+HQ217+HT217+HU217+HV217-HW217,IH217),0)</f>
        <v>0</v>
      </c>
      <c r="HY217" s="297">
        <f t="shared" si="396"/>
        <v>0</v>
      </c>
      <c r="HZ217" s="74"/>
      <c r="IA217" s="407">
        <f t="shared" si="397"/>
        <v>0</v>
      </c>
      <c r="IC217" s="90">
        <f t="shared" si="398"/>
        <v>1</v>
      </c>
      <c r="ID217" s="124">
        <f>IF(IC217=1,Cal!$BO$127,0)</f>
        <v>0</v>
      </c>
      <c r="IE217" s="178">
        <f>IF(IC217=1,Adm!$HI$4,0)</f>
        <v>2.5000000000000001E-3</v>
      </c>
      <c r="IG217" s="70">
        <f t="shared" si="421"/>
        <v>0</v>
      </c>
      <c r="IH217" s="2178">
        <f t="shared" ca="1" si="399"/>
        <v>0</v>
      </c>
      <c r="IK217" s="217"/>
      <c r="IL217" s="26">
        <f t="shared" ref="IL217:IL264" ca="1" si="487">IF(IL216=12,1,IL216+1)</f>
        <v>4</v>
      </c>
      <c r="IN217" s="268">
        <f t="shared" ref="IN217:IN264" si="488">IF(IX216&lt;0.01,0,IN216+1)</f>
        <v>0</v>
      </c>
      <c r="IO217" s="151">
        <f t="shared" si="449"/>
        <v>0</v>
      </c>
      <c r="IP217" s="123">
        <f t="shared" si="400"/>
        <v>0</v>
      </c>
      <c r="IQ217" s="123">
        <f t="shared" si="401"/>
        <v>0</v>
      </c>
      <c r="IR217" s="123">
        <f t="shared" si="402"/>
        <v>0</v>
      </c>
      <c r="IS217" s="123">
        <f>IF(IX216&lt;0.01,0,IF(Adm!$GS$4=Adm!$GS$8,IX216*$IX$15,IF(Adm!$GS$12=Adm!$GS$13,0,IX216*Adm!$GV$4)))</f>
        <v>0</v>
      </c>
      <c r="IT217" s="123"/>
      <c r="IU217" s="123">
        <f t="shared" si="403"/>
        <v>0</v>
      </c>
      <c r="IV217" s="123">
        <f t="shared" si="404"/>
        <v>0</v>
      </c>
      <c r="IW217" s="123"/>
      <c r="IX217" s="297">
        <f t="shared" si="405"/>
        <v>0</v>
      </c>
      <c r="IY217" s="74"/>
      <c r="IZ217" s="416">
        <f t="shared" si="406"/>
        <v>0</v>
      </c>
      <c r="JB217" s="90">
        <f t="shared" si="407"/>
        <v>1</v>
      </c>
      <c r="JC217" s="124">
        <f>IF(JB217=1,Cal!$BP$127,0)</f>
        <v>0</v>
      </c>
      <c r="JD217" s="178">
        <f>IF(JB217=1,Adm!$HI$4,0)</f>
        <v>2.5000000000000001E-3</v>
      </c>
    </row>
    <row r="218" spans="1:264">
      <c r="A218" s="26">
        <f t="shared" ca="1" si="456"/>
        <v>5</v>
      </c>
      <c r="C218" s="33">
        <f t="shared" si="457"/>
        <v>0</v>
      </c>
      <c r="D218" s="123">
        <f t="shared" ref="D218:D264" si="489">IF(L217&lt;0.01,0,L217*$F$9*30.4166/360)</f>
        <v>0</v>
      </c>
      <c r="E218" s="123">
        <f t="shared" si="433"/>
        <v>0</v>
      </c>
      <c r="F218" s="123">
        <f t="shared" si="443"/>
        <v>0</v>
      </c>
      <c r="G218" s="123">
        <f>IF(L217&lt;0.01,0,IF(Adm!$S$4=Adm!$S$8,L217*$L$15,L217*Adm!$V$4))</f>
        <v>0</v>
      </c>
      <c r="H218" s="123">
        <f>IF(L217&lt;0.01,0,IF(Adm!$S$5=Adm!$S$8,Adm!$AA$11*$L$16/1.16,IF(Adm!$B$4=Adm!$A$119,0,Adm!$AA$11*Adm!$X$4/1.16)))</f>
        <v>0</v>
      </c>
      <c r="I218" s="123">
        <f>IF(L217&lt;0.01,0,Cal!$AB$126/1.16)</f>
        <v>0</v>
      </c>
      <c r="J218" s="123">
        <f t="shared" si="458"/>
        <v>0</v>
      </c>
      <c r="K218" s="123">
        <f>IF(Adm!$G$4="si",MIN(L217+D218+G218+H218+I218-J218,V218),0)</f>
        <v>0</v>
      </c>
      <c r="L218" s="123">
        <f t="shared" ref="L218:L264" si="490">IF(L217&lt;0.01,0,L217-E218-K218)</f>
        <v>0</v>
      </c>
      <c r="M218" s="74"/>
      <c r="N218" s="74"/>
      <c r="O218" s="407">
        <f t="shared" ref="O218:O264" si="491">J218+K218</f>
        <v>0</v>
      </c>
      <c r="R218" s="90">
        <f t="shared" ref="R218:R281" si="492">IF(R217=12,1,R217+1)</f>
        <v>2</v>
      </c>
      <c r="S218" s="121">
        <f>IF(R218=1,Cal!$AB$127,0)</f>
        <v>0</v>
      </c>
      <c r="U218" s="70">
        <f t="shared" si="408"/>
        <v>0</v>
      </c>
      <c r="V218" s="2178">
        <f t="shared" ref="V218:V264" ca="1" si="493">IF(MOD(A218,2)=0,U218*0.05*2,0)</f>
        <v>0</v>
      </c>
      <c r="X218" s="398"/>
      <c r="Z218" s="268">
        <f t="shared" si="459"/>
        <v>0</v>
      </c>
      <c r="AA218" s="2176">
        <f t="shared" ref="AA218:AA264" si="494">IF(AI217&lt;0.01,0,AI217*$AC$9*30.4166/360)</f>
        <v>0</v>
      </c>
      <c r="AB218" s="33">
        <f t="shared" ref="AB218:AB264" si="495">IF(AI217&lt;0.01,0,AC218-AA218)</f>
        <v>0</v>
      </c>
      <c r="AC218" s="33">
        <f t="shared" ref="AC218:AC264" si="496">IF(AI217&lt;0.1,0,MIN(AI217+AA218,AC217*(1+AO218)))</f>
        <v>0</v>
      </c>
      <c r="AD218" s="33">
        <f>IF(AI217&lt;0.01,0,IF(Adm!$S$4=Adm!$S$8,AI217*$AI$15,AI217*Adm!$V$4))</f>
        <v>0</v>
      </c>
      <c r="AE218" s="33"/>
      <c r="AF218" s="33"/>
      <c r="AG218" s="33">
        <f t="shared" si="460"/>
        <v>0</v>
      </c>
      <c r="AH218" s="33"/>
      <c r="AI218" s="401">
        <f t="shared" si="461"/>
        <v>0</v>
      </c>
      <c r="AK218" s="410">
        <f t="shared" si="462"/>
        <v>0</v>
      </c>
      <c r="AN218" s="90">
        <f t="shared" ref="AN218:AN264" si="497">IF(AN217=12,1,AN217+1)</f>
        <v>2</v>
      </c>
      <c r="AO218" s="121">
        <f>IF(AN218=1,Cal!$AC$127,0)</f>
        <v>0</v>
      </c>
      <c r="AS218" s="200"/>
      <c r="AU218" s="268">
        <f t="shared" si="463"/>
        <v>0</v>
      </c>
      <c r="AV218" s="2177">
        <f t="shared" ref="AV218:AV264" si="498">IF(BC217&lt;0.01,0,BC217*$AX$9*30.4166/360)</f>
        <v>0</v>
      </c>
      <c r="AW218" s="123">
        <f t="shared" si="464"/>
        <v>0</v>
      </c>
      <c r="AX218" s="123">
        <f t="shared" ref="AX218:AX264" si="499">IF(BC217&lt;0.1,0,MIN(BC217+AV218,AX217*(1+BI218)))</f>
        <v>0</v>
      </c>
      <c r="AY218" s="123">
        <f>IF(BC217&lt;0.01,0,IF(Adm!$S$4=Adm!$S$8,BC217*$BC$16,BC217*Adm!$V$4))</f>
        <v>0</v>
      </c>
      <c r="AZ218" s="123"/>
      <c r="BA218" s="123">
        <f>IF(BC217&lt;0.01,0,Adm!$Q$6)</f>
        <v>0</v>
      </c>
      <c r="BB218" s="123">
        <f t="shared" si="465"/>
        <v>0</v>
      </c>
      <c r="BC218" s="297">
        <f t="shared" ref="BC218:BC264" si="500">BC217-AW218</f>
        <v>0</v>
      </c>
      <c r="BE218" s="425">
        <f t="shared" si="466"/>
        <v>0</v>
      </c>
      <c r="BH218" s="90">
        <f t="shared" ref="BH218:BH264" si="501">IF(BH217=12,1,BH217+1)</f>
        <v>2</v>
      </c>
      <c r="BI218" s="121">
        <f>IF(BH218=1,Cal!$AD$127,0)</f>
        <v>0</v>
      </c>
      <c r="BM218" s="221"/>
      <c r="BO218" s="295">
        <f t="shared" ca="1" si="467"/>
        <v>5</v>
      </c>
      <c r="BP218" s="268">
        <f t="shared" si="468"/>
        <v>0</v>
      </c>
      <c r="BQ218" s="123">
        <f t="shared" ref="BQ218:BQ264" si="502">IF(BZ217&lt;0.01,0,BZ217*$BS$9*30.4166/360)</f>
        <v>0</v>
      </c>
      <c r="BR218" s="123">
        <f t="shared" si="434"/>
        <v>0</v>
      </c>
      <c r="BS218" s="123">
        <f t="shared" si="444"/>
        <v>0</v>
      </c>
      <c r="BT218" s="123">
        <f>IF(BZ217&lt;0.01,0,IF(Plus!$F$22=Plus!$AN$4,BZ217*$BZ$15,IF(Plus!$F$22=Plus!$AN$3,BZ217*Plus!$F$23/1000,BZ217*VLOOKUP(Plus!$G$21,Plus!$AP$2:'Plus'!$AQ$5,2,0))))</f>
        <v>0</v>
      </c>
      <c r="BU218" s="123">
        <f>IF(BZ217&lt;0.01,0,IF(Plus!$F$24=Plus!$AO$3,Plus!$G$13*Plus!$AR$2/1.16,IF(Plus!$F$10=Plus!$AK$7,0,Plus!$G$13*Plus!$AR$2/1.16)))</f>
        <v>0</v>
      </c>
      <c r="BV218" s="123">
        <f>IF(BZ217&lt;0.01,0,Plus!$BD$2)</f>
        <v>0</v>
      </c>
      <c r="BW218" s="123"/>
      <c r="BX218" s="123">
        <f t="shared" si="469"/>
        <v>0</v>
      </c>
      <c r="BY218" s="123">
        <f>IF(Plus!$F$10=Plus!$AK$3,MIN(BZ217+BQ218+BT218+BU218+BV218-BX218,CJ218),0)</f>
        <v>0</v>
      </c>
      <c r="BZ218" s="297">
        <f t="shared" si="428"/>
        <v>0</v>
      </c>
      <c r="CA218" s="74"/>
      <c r="CB218" s="74"/>
      <c r="CC218" s="413">
        <f t="shared" ref="CC218:CC264" si="503">BX218+BY218</f>
        <v>0</v>
      </c>
      <c r="CF218" s="90">
        <f t="shared" ref="CF218:CF264" si="504">IF(CF217=12,1,CF217+1)</f>
        <v>2</v>
      </c>
      <c r="CG218" s="121">
        <f t="shared" si="409"/>
        <v>0</v>
      </c>
      <c r="CI218" s="70">
        <f t="shared" si="410"/>
        <v>0</v>
      </c>
      <c r="CJ218" s="2178">
        <f t="shared" ref="CJ218:CJ264" ca="1" si="505">IF(MOD(BO218,2)=0,CI218*0.05*2,0)</f>
        <v>0</v>
      </c>
      <c r="CL218" s="161"/>
      <c r="CN218" s="308">
        <f t="shared" ca="1" si="470"/>
        <v>5</v>
      </c>
      <c r="CO218" s="309">
        <f t="shared" ref="CO218:CO264" si="506">IF(CZ217&gt;0,CO217-1,0)</f>
        <v>0</v>
      </c>
      <c r="CP218" s="268">
        <f t="shared" si="471"/>
        <v>0</v>
      </c>
      <c r="CQ218" s="123">
        <f t="shared" ref="CQ218:CQ264" si="507">IF(CZ217&lt;0.01,0,CZ217*$CS$9*30.4166/360)</f>
        <v>0</v>
      </c>
      <c r="CR218" s="123">
        <f t="shared" si="435"/>
        <v>0</v>
      </c>
      <c r="CS218" s="123">
        <f t="shared" si="436"/>
        <v>0</v>
      </c>
      <c r="CT218" s="33">
        <f>IF(CZ217&lt;0.01,0,IF(Plus!$F$22=Plus!$AN$4,0,IF(Plus!$F$22=Plus!$AN$3,CZ217*Plus!$F$23/1000,CZ217*VLOOKUP(Plus!$G$21,Plus!$AP$2:'Plus'!$AQ$5,2,0))))</f>
        <v>0</v>
      </c>
      <c r="CU218" s="123">
        <f>IF(CZ217&lt;0.01,0,IF(Plus!$F$24=Plus!$AO$3,0,IF(OR(Plus!$F$10=Plus!$AK$7,Plus!$F$10=Plus!$AK$13),0,Plus!$G$13*Plus!$AR$2)))</f>
        <v>0</v>
      </c>
      <c r="CV218" s="123">
        <f>IF(CZ217&lt;0.01,0,IF(OR(Plus!$F$10=Plus!$AK$7,Plus!$F$10=Plus!$AK$13),0,Plus!$BD$2*1.16))</f>
        <v>0</v>
      </c>
      <c r="CW218" s="123">
        <f>IF(CZ217&lt;0.01,0,IF(Plus!$AS$2&gt;0,CQ218*Plus!$AS$3,0))</f>
        <v>0</v>
      </c>
      <c r="CX218" s="123">
        <f t="shared" ref="CX218:CX264" si="508">IF(CZ217&lt;0.01,0,CS218+CT218+CU218+CV218+CW218)</f>
        <v>0</v>
      </c>
      <c r="CY218" s="123">
        <f>IF(Plus!$F$10=Plus!$AK$3,MIN(CZ217+CQ218+CT218+CU218+CV218-CX218,DK218),0)</f>
        <v>0</v>
      </c>
      <c r="CZ218" s="297">
        <f t="shared" si="440"/>
        <v>0</v>
      </c>
      <c r="DA218" s="306">
        <f>Plus!O259</f>
        <v>0</v>
      </c>
      <c r="DB218" s="74"/>
      <c r="DC218" s="74"/>
      <c r="DD218" s="407">
        <f t="shared" ref="DD218:DD264" si="509">CS218+CT218+(CU218/1.16)+(CV218/1.16)+CY218</f>
        <v>0</v>
      </c>
      <c r="DG218" s="90">
        <f t="shared" ref="DG218:DG264" si="510">IF(DG217=12,1,DG217+1)</f>
        <v>2</v>
      </c>
      <c r="DH218" s="121">
        <f t="shared" si="411"/>
        <v>0</v>
      </c>
      <c r="DJ218" s="149">
        <f t="shared" si="412"/>
        <v>0</v>
      </c>
      <c r="DK218" s="2179">
        <f t="shared" ref="DK218:DK264" ca="1" si="511">IF(MOD(CN218,2)=0,DJ218*0.05*2,0)</f>
        <v>0</v>
      </c>
      <c r="DN218" s="120">
        <f t="shared" si="413"/>
        <v>0</v>
      </c>
      <c r="DO218" s="110">
        <f t="shared" ref="DO218:DO264" si="512">IF(AND($DP$21=1,DA217&gt;0.1),DP218,0)</f>
        <v>0</v>
      </c>
      <c r="DP218" s="110">
        <f t="shared" si="422"/>
        <v>0</v>
      </c>
      <c r="DQ218" s="109">
        <f t="shared" ref="DQ218:DQ264" si="513">IF(AND(DR218&gt;0.01,$DN$21=2),DR218,0)</f>
        <v>0</v>
      </c>
      <c r="DR218" s="109">
        <f t="shared" ref="DR218:DR264" si="514">IF(AND($DN$21=2,DA217&lt;0.01),0,IF($DN$21=2,(CZ217*DS218)+CQ218,0))</f>
        <v>0</v>
      </c>
      <c r="DS218" s="113">
        <f t="shared" ref="DS218:DS264" si="515">DU218</f>
        <v>0</v>
      </c>
      <c r="DU218" s="102">
        <f t="shared" ref="DU218:DU264" si="516">DX218/DZ217</f>
        <v>0</v>
      </c>
      <c r="DV218" s="211">
        <f t="shared" si="423"/>
        <v>194</v>
      </c>
      <c r="DW218" s="212">
        <f t="shared" ref="DW218:DW264" si="517">DZ217*$DW$18*30.4166/360</f>
        <v>0</v>
      </c>
      <c r="DX218" s="212">
        <f t="shared" si="472"/>
        <v>0</v>
      </c>
      <c r="DY218" s="212">
        <f t="shared" si="414"/>
        <v>0</v>
      </c>
      <c r="DZ218" s="213">
        <f t="shared" si="473"/>
        <v>1000000</v>
      </c>
      <c r="ED218" s="182"/>
      <c r="EF218" s="308">
        <f t="shared" ca="1" si="474"/>
        <v>5</v>
      </c>
      <c r="EG218" s="309">
        <f t="shared" ref="EG218:EG264" si="518">IF(ER217&gt;0,EG217-1,0)</f>
        <v>0</v>
      </c>
      <c r="EH218" s="268">
        <f t="shared" si="475"/>
        <v>0</v>
      </c>
      <c r="EI218" s="33">
        <f t="shared" ref="EI218:EI264" si="519">IF(ER217&lt;0.01,0,ER217*$EK$9*30.4166/360)</f>
        <v>0</v>
      </c>
      <c r="EJ218" s="33">
        <f t="shared" si="437"/>
        <v>0</v>
      </c>
      <c r="EK218" s="33">
        <f t="shared" si="445"/>
        <v>0</v>
      </c>
      <c r="EL218" s="33">
        <f>IF(ER217&lt;0.01,0,IF(Plus!$F$22=Plus!$AN$4,0,IF(Plus!$F$22=Plus!$AN$3,ER217*Plus!$F$23/1000,ER217*VLOOKUP(Plus!$G$21,Plus!$AP$2:'Plus'!$AQ$5,2,0))))</f>
        <v>0</v>
      </c>
      <c r="EM218" s="33">
        <f>IF(ER217&lt;0.01,0,IF(Plus!$F$24=Plus!$AO$3,0,IF(OR(Plus!$F$10=Plus!$AK$7,Plus!$F$10=Plus!$AK$13),0,Plus!$G$13*Plus!$AR$2)))</f>
        <v>0</v>
      </c>
      <c r="EN218" s="33">
        <f>IF(ER217&lt;0.01,0,IF(OR(Plus!$F$10=Plus!$AK$7,Plus!$F$10=Plus!$AK$13),0,Plus!$BD$2*1.16))</f>
        <v>0</v>
      </c>
      <c r="EO218" s="33">
        <f>IF(ER217&lt;0.01,0,IF(Plus!$AS$2&gt;0,EI218*Plus!$AS$3,0))</f>
        <v>0</v>
      </c>
      <c r="EP218" s="33">
        <f t="shared" ref="EP218:EP264" si="520">IF(ER217&lt;0.01,0,EK218+EL218+EM218+EN218+EO218)</f>
        <v>0</v>
      </c>
      <c r="EQ218" s="33">
        <f>IF(Plus!$F$10=Plus!$AK$3,MIN(ER217+EI218+EL218+EM218+EN218-EP218,FC218),0)</f>
        <v>0</v>
      </c>
      <c r="ER218" s="311">
        <f t="shared" si="431"/>
        <v>0</v>
      </c>
      <c r="ES218" s="340">
        <f>Plus!O259</f>
        <v>0</v>
      </c>
      <c r="ET218" s="74"/>
      <c r="EU218" s="74"/>
      <c r="EV218" s="416">
        <f t="shared" si="429"/>
        <v>0</v>
      </c>
      <c r="EY218" s="90">
        <f t="shared" ref="EY218:EY264" si="521">IF(EY217=12,1,EY217+1)</f>
        <v>2</v>
      </c>
      <c r="EZ218" s="121">
        <f t="shared" si="415"/>
        <v>0</v>
      </c>
      <c r="FB218" s="149">
        <f t="shared" si="416"/>
        <v>0</v>
      </c>
      <c r="FC218" s="2179">
        <f t="shared" ref="FC218:FC264" ca="1" si="522">IF(MOD(EF218,2)=0,FB218*0.05*2,0)</f>
        <v>0</v>
      </c>
      <c r="FE218" s="120">
        <f t="shared" si="417"/>
        <v>0</v>
      </c>
      <c r="FF218" s="110">
        <f t="shared" ref="FF218:FF264" si="523">IF(AND($FG$21=1,ES217&gt;0.1),FG218,0)</f>
        <v>0</v>
      </c>
      <c r="FG218" s="110">
        <f t="shared" ref="FG218:FG264" si="524">IF(AND($FG$21=1,$FE$21=2),PMT((($EK$9/360)*(365/12)),EG217,-ER217),0)</f>
        <v>0</v>
      </c>
      <c r="FH218" s="109">
        <f t="shared" ref="FH218:FH264" si="525">IF(AND(FI218&gt;0.01,$FE$21=2),FI218,0)</f>
        <v>0</v>
      </c>
      <c r="FI218" s="109">
        <f t="shared" si="476"/>
        <v>0</v>
      </c>
      <c r="FJ218" s="113">
        <f t="shared" ref="FJ218:FJ264" si="526">FL218</f>
        <v>0</v>
      </c>
      <c r="FL218" s="102">
        <f t="shared" ref="FL218:FL264" si="527">FO218/FQ217</f>
        <v>0</v>
      </c>
      <c r="FM218" s="211">
        <f t="shared" si="454"/>
        <v>194</v>
      </c>
      <c r="FN218" s="212">
        <f t="shared" ref="FN218:FN264" si="528">FQ217*$FN$18*30.4166/360</f>
        <v>0</v>
      </c>
      <c r="FO218" s="212">
        <f t="shared" si="477"/>
        <v>0</v>
      </c>
      <c r="FP218" s="212">
        <f t="shared" ref="FP218:FP228" si="529">MIN(FQ217+FN218,FP217)</f>
        <v>0</v>
      </c>
      <c r="FQ218" s="213">
        <f t="shared" si="478"/>
        <v>1000000</v>
      </c>
      <c r="FV218" s="359"/>
      <c r="FX218" s="308">
        <f t="shared" ca="1" si="479"/>
        <v>5</v>
      </c>
      <c r="FY218" s="309">
        <f t="shared" ref="FY218:FY264" si="530">IF(GJ217&gt;0,FY217-1,0)</f>
        <v>0</v>
      </c>
      <c r="FZ218" s="268">
        <f t="shared" si="480"/>
        <v>0</v>
      </c>
      <c r="GA218" s="33">
        <f t="shared" ref="GA218:GA264" si="531">IF(GJ217&lt;0.01,0,GJ217*$EK$9*30.4166/360)</f>
        <v>0</v>
      </c>
      <c r="GB218" s="33">
        <f t="shared" si="438"/>
        <v>0</v>
      </c>
      <c r="GC218" s="33">
        <f t="shared" si="439"/>
        <v>0</v>
      </c>
      <c r="GD218" s="33">
        <f>IF(GJ217&lt;0.01,0,IF(Plus!$F$22=Plus!$AN$4,0,IF(Plus!$F$22=Plus!$AN$3,GJ217*Plus!$F$23/1000,GJ217*VLOOKUP(Plus!$G$21,Plus!$AP$2:$AQ$5,2,0))))</f>
        <v>0</v>
      </c>
      <c r="GE218" s="33">
        <f>IF(GJ217&lt;0.01,0,IF(Plus!$F$24=Plus!$AO$3,0,IF(OR(Plus!$F$10=Plus!$AK$7,Plus!$F$10=Plus!$AK$13,Plus!$F$10=Plus!$AK$14),0,IF(OR(Plus!$F$10=Plus!$AK$10,Plus!$F$10=Plus!$AK$11),Plus!$G$13*Adm!$W$7,Plus!$G$13*Adm!$X$4))))</f>
        <v>0</v>
      </c>
      <c r="GF218" s="33">
        <f>IF(GJ217&lt;0.01,0,IF(OR(Plus!$F$10=Plus!$AK$7,Plus!$F$10=Plus!$AK$13),0,Plus!$BD$2*1.16))</f>
        <v>0</v>
      </c>
      <c r="GG218" s="33">
        <f>IF(GJ217&lt;0.01,0,IF(Plus!$AS$2&gt;0,GA218*Plus!$AS$3,0))</f>
        <v>0</v>
      </c>
      <c r="GH218" s="33">
        <f t="shared" ref="GH218:GH264" si="532">IF(GJ217&lt;0.01,0,GC218+GD218+GE218+GF218+GG218)</f>
        <v>0</v>
      </c>
      <c r="GI218" s="33">
        <f>IF(Plus!$F$10=Plus!$AK$3,MIN(GJ217+GA218+GD218+GE218+GF218-GH218,GU218),0)</f>
        <v>0</v>
      </c>
      <c r="GJ218" s="311">
        <f t="shared" si="432"/>
        <v>0</v>
      </c>
      <c r="GK218" s="340">
        <f>Plus!O259</f>
        <v>0</v>
      </c>
      <c r="GL218" s="74"/>
      <c r="GM218" s="74"/>
      <c r="GN218" s="419">
        <f t="shared" si="430"/>
        <v>0</v>
      </c>
      <c r="GQ218" s="90">
        <f t="shared" ref="GQ218:GQ264" si="533">IF(GQ217=12,1,GQ217+1)</f>
        <v>2</v>
      </c>
      <c r="GR218" s="121">
        <f t="shared" si="418"/>
        <v>0</v>
      </c>
      <c r="GT218" s="149">
        <f t="shared" si="419"/>
        <v>0</v>
      </c>
      <c r="GU218" s="2179">
        <f t="shared" ref="GU218:GU264" ca="1" si="534">IF(MOD(FX218,2)=0,GT218*0.05*2,0)</f>
        <v>0</v>
      </c>
      <c r="GW218" s="120">
        <f t="shared" si="420"/>
        <v>0</v>
      </c>
      <c r="GX218" s="110">
        <f t="shared" ref="GX218:GX264" si="535">IF(AND($FG$21=1,GK217&gt;0.1),GY218,0)</f>
        <v>0</v>
      </c>
      <c r="GY218" s="110">
        <f t="shared" ref="GY218:GY264" si="536">IF(AND($FG$21=1,$FE$21=2),PMT((($EK$9/360)*(365/12)),FY217,-GJ217),0)</f>
        <v>0</v>
      </c>
      <c r="GZ218" s="109">
        <f t="shared" ref="GZ218:GZ264" si="537">IF(AND(HA218&gt;0.01,$FE$21=2),HA218,0)</f>
        <v>0</v>
      </c>
      <c r="HA218" s="109">
        <f t="shared" si="481"/>
        <v>0</v>
      </c>
      <c r="HB218" s="113">
        <f t="shared" ref="HB218:HB264" si="538">HD218</f>
        <v>0</v>
      </c>
      <c r="HD218" s="102">
        <f t="shared" ref="HD218:HD264" si="539">HG218/HI217</f>
        <v>0</v>
      </c>
      <c r="HE218" s="211">
        <f t="shared" si="455"/>
        <v>194</v>
      </c>
      <c r="HF218" s="212">
        <f t="shared" ref="HF218:HF264" si="540">HI217*$FN$18*30.4166/360</f>
        <v>0</v>
      </c>
      <c r="HG218" s="212">
        <f t="shared" si="482"/>
        <v>0</v>
      </c>
      <c r="HH218" s="212">
        <f t="shared" ref="HH218:HH228" si="541">MIN(HI217+HF218,HH217)</f>
        <v>0</v>
      </c>
      <c r="HI218" s="213">
        <f t="shared" si="483"/>
        <v>1000000</v>
      </c>
      <c r="HL218" s="182"/>
      <c r="HM218" s="26">
        <f t="shared" ca="1" si="484"/>
        <v>5</v>
      </c>
      <c r="HO218" s="268">
        <f t="shared" si="485"/>
        <v>0</v>
      </c>
      <c r="HP218" s="151">
        <f t="shared" si="448"/>
        <v>0</v>
      </c>
      <c r="HQ218" s="123">
        <f t="shared" ref="HQ218:HQ264" si="542">IF(HY217&lt;0.01,0,HY217*HP218*30.4166/360)</f>
        <v>0</v>
      </c>
      <c r="HR218" s="123">
        <f t="shared" ref="HR218:HR264" si="543">IF(HY217&lt;0.01,0,HS218-HQ218)</f>
        <v>0</v>
      </c>
      <c r="HS218" s="123">
        <f t="shared" ref="HS218:HS264" si="544">IF(HY216&lt;0.1,0,MIN(HY217+HQ218,HS217*(1+ID218)))</f>
        <v>0</v>
      </c>
      <c r="HT218" s="123">
        <f>IF(HY217&lt;0.01,0,IF(Adm!$GS$4=Adm!$GS$8,HY217*$HY$15,IF(Adm!$GS$12=Adm!$GS$13,0,HY217*Adm!$GV$4)))</f>
        <v>0</v>
      </c>
      <c r="HU218" s="123">
        <f>IF(HY217&lt;0.01,0,IF(Adm!$GS$5=Adm!$GS$8,Cal!$BO$108*$HY$16/1.16,IF(Adm!$GS$12=Adm!$GS$13,0,Cal!$BO$108*Adm!$GW$4/1.16)))</f>
        <v>0</v>
      </c>
      <c r="HV218" s="123">
        <f t="shared" ref="HV218:HV264" si="545">IF(HY217&lt;0.01,0,0)</f>
        <v>0</v>
      </c>
      <c r="HW218" s="123">
        <f t="shared" si="486"/>
        <v>0</v>
      </c>
      <c r="HX218" s="123">
        <f>IF(Adm!$GH$6="si",MIN(HY217+HQ218+HT218+HU218+HV218-HW218,IH218),0)</f>
        <v>0</v>
      </c>
      <c r="HY218" s="297">
        <f t="shared" ref="HY218:HY264" si="546">IF(HY217&lt;0.01,0,HY217-HR218-HX218)</f>
        <v>0</v>
      </c>
      <c r="HZ218" s="74"/>
      <c r="IA218" s="407">
        <f t="shared" ref="IA218:IA264" si="547">HW218+HX218</f>
        <v>0</v>
      </c>
      <c r="IC218" s="90">
        <f t="shared" ref="IC218:IC264" si="548">IF(IC217=12,1,IC217+1)</f>
        <v>2</v>
      </c>
      <c r="ID218" s="124">
        <f>IF(IC218=1,Cal!$BO$127,0)</f>
        <v>0</v>
      </c>
      <c r="IE218" s="178">
        <f>IF(IC218=1,Adm!$HI$4,0)</f>
        <v>0</v>
      </c>
      <c r="IG218" s="70">
        <f t="shared" si="421"/>
        <v>0</v>
      </c>
      <c r="IH218" s="2178">
        <f t="shared" ref="IH218:IH264" ca="1" si="549">IF(MOD(HM218,2)=0,IG218*0.05*2,0)</f>
        <v>0</v>
      </c>
      <c r="IK218" s="217"/>
      <c r="IL218" s="26">
        <f t="shared" ca="1" si="487"/>
        <v>5</v>
      </c>
      <c r="IN218" s="268">
        <f t="shared" si="488"/>
        <v>0</v>
      </c>
      <c r="IO218" s="151">
        <f t="shared" si="449"/>
        <v>0</v>
      </c>
      <c r="IP218" s="123">
        <f t="shared" ref="IP218:IP264" si="550">IF(IX217&lt;0.01,0,IX217*IO218*30.4166/360)</f>
        <v>0</v>
      </c>
      <c r="IQ218" s="123">
        <f t="shared" ref="IQ218:IQ264" si="551">IF(IX217&lt;0.01,0,IR218-IP218)</f>
        <v>0</v>
      </c>
      <c r="IR218" s="123">
        <f t="shared" ref="IR218:IR264" si="552">IF(IX216&lt;0.1,0,MIN(IX217+IP218,IR217*(1+JC218)))</f>
        <v>0</v>
      </c>
      <c r="IS218" s="123">
        <f>IF(IX217&lt;0.01,0,IF(Adm!$GS$4=Adm!$GS$8,IX217*$IX$15,IF(Adm!$GS$12=Adm!$GS$13,0,IX217*Adm!$GV$4)))</f>
        <v>0</v>
      </c>
      <c r="IT218" s="123"/>
      <c r="IU218" s="123">
        <f t="shared" ref="IU218:IU264" si="553">IF(IX217&lt;0.01,0,0)</f>
        <v>0</v>
      </c>
      <c r="IV218" s="123">
        <f t="shared" ref="IV218:IV264" si="554">IF(IX217&lt;0.01,0,IR218+IS218+IT218+IU218)</f>
        <v>0</v>
      </c>
      <c r="IW218" s="123"/>
      <c r="IX218" s="297">
        <f t="shared" ref="IX218:IX264" si="555">IF(IX217&lt;0.01,0,IX217-IQ218-IW218)</f>
        <v>0</v>
      </c>
      <c r="IY218" s="74"/>
      <c r="IZ218" s="416">
        <f t="shared" ref="IZ218:IZ264" si="556">IV218+IW218</f>
        <v>0</v>
      </c>
      <c r="JB218" s="90">
        <f t="shared" ref="JB218:JB264" si="557">IF(JB217=12,1,JB217+1)</f>
        <v>2</v>
      </c>
      <c r="JC218" s="124">
        <f>IF(JB218=1,Cal!$BP$127,0)</f>
        <v>0</v>
      </c>
      <c r="JD218" s="178">
        <f>IF(JB218=1,Adm!$HI$4,0)</f>
        <v>0</v>
      </c>
    </row>
    <row r="219" spans="1:264">
      <c r="A219" s="26">
        <f t="shared" ca="1" si="456"/>
        <v>6</v>
      </c>
      <c r="C219" s="33">
        <f t="shared" si="457"/>
        <v>0</v>
      </c>
      <c r="D219" s="123">
        <f t="shared" si="489"/>
        <v>0</v>
      </c>
      <c r="E219" s="123">
        <f t="shared" si="433"/>
        <v>0</v>
      </c>
      <c r="F219" s="123">
        <f t="shared" si="443"/>
        <v>0</v>
      </c>
      <c r="G219" s="123">
        <f>IF(L218&lt;0.01,0,IF(Adm!$S$4=Adm!$S$8,L218*$L$15,L218*Adm!$V$4))</f>
        <v>0</v>
      </c>
      <c r="H219" s="123">
        <f>IF(L218&lt;0.01,0,IF(Adm!$S$5=Adm!$S$8,Adm!$AA$11*$L$16/1.16,IF(Adm!$B$4=Adm!$A$119,0,Adm!$AA$11*Adm!$X$4/1.16)))</f>
        <v>0</v>
      </c>
      <c r="I219" s="123">
        <f>IF(L218&lt;0.01,0,Cal!$AB$126/1.16)</f>
        <v>0</v>
      </c>
      <c r="J219" s="123">
        <f t="shared" si="458"/>
        <v>0</v>
      </c>
      <c r="K219" s="123">
        <f>IF(Adm!$G$4="si",MIN(L218+D219+G219+H219+I219-J219,V219),0)</f>
        <v>0</v>
      </c>
      <c r="L219" s="123">
        <f t="shared" si="490"/>
        <v>0</v>
      </c>
      <c r="M219" s="74"/>
      <c r="N219" s="74"/>
      <c r="O219" s="407">
        <f t="shared" si="491"/>
        <v>0</v>
      </c>
      <c r="R219" s="90">
        <f t="shared" si="492"/>
        <v>3</v>
      </c>
      <c r="S219" s="121">
        <f>IF(R219=1,Cal!$AB$127,0)</f>
        <v>0</v>
      </c>
      <c r="U219" s="70">
        <f t="shared" ref="U219:U282" si="558">U218</f>
        <v>0</v>
      </c>
      <c r="V219" s="2178">
        <f t="shared" ca="1" si="493"/>
        <v>0</v>
      </c>
      <c r="X219" s="398"/>
      <c r="Z219" s="268">
        <f t="shared" si="459"/>
        <v>0</v>
      </c>
      <c r="AA219" s="2176">
        <f t="shared" si="494"/>
        <v>0</v>
      </c>
      <c r="AB219" s="33">
        <f t="shared" si="495"/>
        <v>0</v>
      </c>
      <c r="AC219" s="33">
        <f t="shared" si="496"/>
        <v>0</v>
      </c>
      <c r="AD219" s="33">
        <f>IF(AI218&lt;0.01,0,IF(Adm!$S$4=Adm!$S$8,AI218*$AI$15,AI218*Adm!$V$4))</f>
        <v>0</v>
      </c>
      <c r="AE219" s="33"/>
      <c r="AF219" s="33"/>
      <c r="AG219" s="33">
        <f t="shared" si="460"/>
        <v>0</v>
      </c>
      <c r="AH219" s="33"/>
      <c r="AI219" s="401">
        <f t="shared" si="461"/>
        <v>0</v>
      </c>
      <c r="AK219" s="410">
        <f t="shared" si="462"/>
        <v>0</v>
      </c>
      <c r="AN219" s="90">
        <f t="shared" si="497"/>
        <v>3</v>
      </c>
      <c r="AO219" s="121">
        <f>IF(AN219=1,Cal!$AC$127,0)</f>
        <v>0</v>
      </c>
      <c r="AS219" s="200"/>
      <c r="AU219" s="268">
        <f t="shared" si="463"/>
        <v>0</v>
      </c>
      <c r="AV219" s="2177">
        <f t="shared" si="498"/>
        <v>0</v>
      </c>
      <c r="AW219" s="123">
        <f t="shared" si="464"/>
        <v>0</v>
      </c>
      <c r="AX219" s="123">
        <f t="shared" si="499"/>
        <v>0</v>
      </c>
      <c r="AY219" s="123">
        <f>IF(BC218&lt;0.01,0,IF(Adm!$S$4=Adm!$S$8,BC218*$BC$16,BC218*Adm!$V$4))</f>
        <v>0</v>
      </c>
      <c r="AZ219" s="123"/>
      <c r="BA219" s="123">
        <f>IF(BC218&lt;0.01,0,Adm!$Q$6)</f>
        <v>0</v>
      </c>
      <c r="BB219" s="123">
        <f t="shared" si="465"/>
        <v>0</v>
      </c>
      <c r="BC219" s="297">
        <f t="shared" si="500"/>
        <v>0</v>
      </c>
      <c r="BE219" s="425">
        <f t="shared" si="466"/>
        <v>0</v>
      </c>
      <c r="BH219" s="90">
        <f t="shared" si="501"/>
        <v>3</v>
      </c>
      <c r="BI219" s="121">
        <f>IF(BH219=1,Cal!$AD$127,0)</f>
        <v>0</v>
      </c>
      <c r="BM219" s="221"/>
      <c r="BO219" s="295">
        <f t="shared" ca="1" si="467"/>
        <v>6</v>
      </c>
      <c r="BP219" s="268">
        <f t="shared" si="468"/>
        <v>0</v>
      </c>
      <c r="BQ219" s="123">
        <f t="shared" si="502"/>
        <v>0</v>
      </c>
      <c r="BR219" s="123">
        <f t="shared" si="434"/>
        <v>0</v>
      </c>
      <c r="BS219" s="123">
        <f t="shared" si="444"/>
        <v>0</v>
      </c>
      <c r="BT219" s="123">
        <f>IF(BZ218&lt;0.01,0,IF(Plus!$F$22=Plus!$AN$4,BZ218*$BZ$15,IF(Plus!$F$22=Plus!$AN$3,BZ218*Plus!$F$23/1000,BZ218*VLOOKUP(Plus!$G$21,Plus!$AP$2:'Plus'!$AQ$5,2,0))))</f>
        <v>0</v>
      </c>
      <c r="BU219" s="123">
        <f>IF(BZ218&lt;0.01,0,IF(Plus!$F$24=Plus!$AO$3,Plus!$G$13*Plus!$AR$2/1.16,IF(Plus!$F$10=Plus!$AK$7,0,Plus!$G$13*Plus!$AR$2/1.16)))</f>
        <v>0</v>
      </c>
      <c r="BV219" s="123">
        <f>IF(BZ218&lt;0.01,0,Plus!$BD$2)</f>
        <v>0</v>
      </c>
      <c r="BW219" s="123"/>
      <c r="BX219" s="123">
        <f t="shared" si="469"/>
        <v>0</v>
      </c>
      <c r="BY219" s="123">
        <f>IF(Plus!$F$10=Plus!$AK$3,MIN(BZ218+BQ219+BT219+BU219+BV219-BX219,CJ219),0)</f>
        <v>0</v>
      </c>
      <c r="BZ219" s="297">
        <f t="shared" si="428"/>
        <v>0</v>
      </c>
      <c r="CA219" s="74"/>
      <c r="CB219" s="74"/>
      <c r="CC219" s="413">
        <f t="shared" si="503"/>
        <v>0</v>
      </c>
      <c r="CF219" s="90">
        <f t="shared" si="504"/>
        <v>3</v>
      </c>
      <c r="CG219" s="121">
        <f t="shared" ref="CG219:CG264" si="559">IF(CF219=1,$BS$12,0)</f>
        <v>0</v>
      </c>
      <c r="CI219" s="70">
        <f t="shared" ref="CI219:CI264" si="560">CI218</f>
        <v>0</v>
      </c>
      <c r="CJ219" s="2178">
        <f t="shared" ca="1" si="505"/>
        <v>0</v>
      </c>
      <c r="CL219" s="161"/>
      <c r="CN219" s="308">
        <f t="shared" ca="1" si="470"/>
        <v>6</v>
      </c>
      <c r="CO219" s="309">
        <f t="shared" si="506"/>
        <v>0</v>
      </c>
      <c r="CP219" s="268">
        <f t="shared" si="471"/>
        <v>0</v>
      </c>
      <c r="CQ219" s="123">
        <f t="shared" si="507"/>
        <v>0</v>
      </c>
      <c r="CR219" s="123">
        <f t="shared" si="435"/>
        <v>0</v>
      </c>
      <c r="CS219" s="123">
        <f t="shared" si="436"/>
        <v>0</v>
      </c>
      <c r="CT219" s="33">
        <f>IF(CZ218&lt;0.01,0,IF(Plus!$F$22=Plus!$AN$4,0,IF(Plus!$F$22=Plus!$AN$3,CZ218*Plus!$F$23/1000,CZ218*VLOOKUP(Plus!$G$21,Plus!$AP$2:'Plus'!$AQ$5,2,0))))</f>
        <v>0</v>
      </c>
      <c r="CU219" s="123">
        <f>IF(CZ218&lt;0.01,0,IF(Plus!$F$24=Plus!$AO$3,0,IF(OR(Plus!$F$10=Plus!$AK$7,Plus!$F$10=Plus!$AK$13),0,Plus!$G$13*Plus!$AR$2)))</f>
        <v>0</v>
      </c>
      <c r="CV219" s="123">
        <f>IF(CZ218&lt;0.01,0,IF(OR(Plus!$F$10=Plus!$AK$7,Plus!$F$10=Plus!$AK$13),0,Plus!$BD$2*1.16))</f>
        <v>0</v>
      </c>
      <c r="CW219" s="123">
        <f>IF(CZ218&lt;0.01,0,IF(Plus!$AS$2&gt;0,CQ219*Plus!$AS$3,0))</f>
        <v>0</v>
      </c>
      <c r="CX219" s="123">
        <f t="shared" si="508"/>
        <v>0</v>
      </c>
      <c r="CY219" s="123">
        <f>IF(Plus!$F$10=Plus!$AK$3,MIN(CZ218+CQ219+CT219+CU219+CV219-CX219,DK219),0)</f>
        <v>0</v>
      </c>
      <c r="CZ219" s="297">
        <f t="shared" si="440"/>
        <v>0</v>
      </c>
      <c r="DA219" s="306">
        <f>Plus!O260</f>
        <v>0</v>
      </c>
      <c r="DB219" s="74"/>
      <c r="DC219" s="74"/>
      <c r="DD219" s="407">
        <f t="shared" si="509"/>
        <v>0</v>
      </c>
      <c r="DG219" s="90">
        <f t="shared" si="510"/>
        <v>3</v>
      </c>
      <c r="DH219" s="121">
        <f t="shared" ref="DH219:DH264" si="561">IF(DG219=1,$CS$12,0)</f>
        <v>0</v>
      </c>
      <c r="DJ219" s="149">
        <f t="shared" ref="DJ219:DJ264" si="562">DJ218</f>
        <v>0</v>
      </c>
      <c r="DK219" s="2179">
        <f t="shared" ca="1" si="511"/>
        <v>0</v>
      </c>
      <c r="DN219" s="120">
        <f t="shared" ref="DN219:DN264" si="563">IF(DO219&gt;1,DO219,IF(DQ219&gt;1,DQ219,0))</f>
        <v>0</v>
      </c>
      <c r="DO219" s="110">
        <f t="shared" si="512"/>
        <v>0</v>
      </c>
      <c r="DP219" s="110">
        <f t="shared" si="422"/>
        <v>0</v>
      </c>
      <c r="DQ219" s="109">
        <f t="shared" si="513"/>
        <v>0</v>
      </c>
      <c r="DR219" s="109">
        <f t="shared" si="514"/>
        <v>0</v>
      </c>
      <c r="DS219" s="113">
        <f t="shared" si="515"/>
        <v>0</v>
      </c>
      <c r="DU219" s="102">
        <f t="shared" si="516"/>
        <v>0</v>
      </c>
      <c r="DV219" s="211">
        <f t="shared" si="423"/>
        <v>195</v>
      </c>
      <c r="DW219" s="212">
        <f t="shared" si="517"/>
        <v>0</v>
      </c>
      <c r="DX219" s="212">
        <f t="shared" si="472"/>
        <v>0</v>
      </c>
      <c r="DY219" s="212">
        <f t="shared" ref="DY219:DY264" si="564">MIN(DZ218+DW219,DY218)</f>
        <v>0</v>
      </c>
      <c r="DZ219" s="213">
        <f t="shared" si="473"/>
        <v>1000000</v>
      </c>
      <c r="ED219" s="182"/>
      <c r="EF219" s="308">
        <f t="shared" ca="1" si="474"/>
        <v>6</v>
      </c>
      <c r="EG219" s="309">
        <f t="shared" si="518"/>
        <v>0</v>
      </c>
      <c r="EH219" s="268">
        <f t="shared" si="475"/>
        <v>0</v>
      </c>
      <c r="EI219" s="33">
        <f t="shared" si="519"/>
        <v>0</v>
      </c>
      <c r="EJ219" s="33">
        <f t="shared" si="437"/>
        <v>0</v>
      </c>
      <c r="EK219" s="33">
        <f t="shared" si="445"/>
        <v>0</v>
      </c>
      <c r="EL219" s="33">
        <f>IF(ER218&lt;0.01,0,IF(Plus!$F$22=Plus!$AN$4,0,IF(Plus!$F$22=Plus!$AN$3,ER218*Plus!$F$23/1000,ER218*VLOOKUP(Plus!$G$21,Plus!$AP$2:'Plus'!$AQ$5,2,0))))</f>
        <v>0</v>
      </c>
      <c r="EM219" s="33">
        <f>IF(ER218&lt;0.01,0,IF(Plus!$F$24=Plus!$AO$3,0,IF(OR(Plus!$F$10=Plus!$AK$7,Plus!$F$10=Plus!$AK$13),0,Plus!$G$13*Plus!$AR$2)))</f>
        <v>0</v>
      </c>
      <c r="EN219" s="33">
        <f>IF(ER218&lt;0.01,0,IF(OR(Plus!$F$10=Plus!$AK$7,Plus!$F$10=Plus!$AK$13),0,Plus!$BD$2*1.16))</f>
        <v>0</v>
      </c>
      <c r="EO219" s="33">
        <f>IF(ER218&lt;0.01,0,IF(Plus!$AS$2&gt;0,EI219*Plus!$AS$3,0))</f>
        <v>0</v>
      </c>
      <c r="EP219" s="33">
        <f t="shared" si="520"/>
        <v>0</v>
      </c>
      <c r="EQ219" s="33">
        <f>IF(Plus!$F$10=Plus!$AK$3,MIN(ER218+EI219+EL219+EM219+EN219-EP219,FC219),0)</f>
        <v>0</v>
      </c>
      <c r="ER219" s="311">
        <f t="shared" si="431"/>
        <v>0</v>
      </c>
      <c r="ES219" s="340">
        <f>Plus!O260</f>
        <v>0</v>
      </c>
      <c r="ET219" s="74"/>
      <c r="EU219" s="74"/>
      <c r="EV219" s="416">
        <f t="shared" si="429"/>
        <v>0</v>
      </c>
      <c r="EY219" s="90">
        <f t="shared" si="521"/>
        <v>3</v>
      </c>
      <c r="EZ219" s="121">
        <f t="shared" ref="EZ219:EZ264" si="565">IF(EY219=1,$EK$12,0)</f>
        <v>0</v>
      </c>
      <c r="FB219" s="149">
        <f t="shared" ref="FB219:FB264" si="566">FB218</f>
        <v>0</v>
      </c>
      <c r="FC219" s="2179">
        <f t="shared" ca="1" si="522"/>
        <v>0</v>
      </c>
      <c r="FE219" s="120">
        <f t="shared" ref="FE219:FE264" si="567">IF(FF219&gt;1,FF219,IF(FH219&gt;1,FH219,0))</f>
        <v>0</v>
      </c>
      <c r="FF219" s="110">
        <f t="shared" si="523"/>
        <v>0</v>
      </c>
      <c r="FG219" s="110">
        <f t="shared" si="524"/>
        <v>0</v>
      </c>
      <c r="FH219" s="109">
        <f t="shared" si="525"/>
        <v>0</v>
      </c>
      <c r="FI219" s="109">
        <f t="shared" si="476"/>
        <v>0</v>
      </c>
      <c r="FJ219" s="113">
        <f t="shared" si="526"/>
        <v>0</v>
      </c>
      <c r="FL219" s="102">
        <f t="shared" si="527"/>
        <v>0</v>
      </c>
      <c r="FM219" s="211">
        <f t="shared" si="454"/>
        <v>195</v>
      </c>
      <c r="FN219" s="212">
        <f t="shared" si="528"/>
        <v>0</v>
      </c>
      <c r="FO219" s="212">
        <f t="shared" si="477"/>
        <v>0</v>
      </c>
      <c r="FP219" s="212">
        <f t="shared" si="529"/>
        <v>0</v>
      </c>
      <c r="FQ219" s="213">
        <f t="shared" si="478"/>
        <v>1000000</v>
      </c>
      <c r="FV219" s="359"/>
      <c r="FX219" s="308">
        <f t="shared" ca="1" si="479"/>
        <v>6</v>
      </c>
      <c r="FY219" s="309">
        <f t="shared" si="530"/>
        <v>0</v>
      </c>
      <c r="FZ219" s="268">
        <f t="shared" si="480"/>
        <v>0</v>
      </c>
      <c r="GA219" s="33">
        <f t="shared" si="531"/>
        <v>0</v>
      </c>
      <c r="GB219" s="33">
        <f t="shared" si="438"/>
        <v>0</v>
      </c>
      <c r="GC219" s="33">
        <f t="shared" si="439"/>
        <v>0</v>
      </c>
      <c r="GD219" s="33">
        <f>IF(GJ218&lt;0.01,0,IF(Plus!$F$22=Plus!$AN$4,0,IF(Plus!$F$22=Plus!$AN$3,GJ218*Plus!$F$23/1000,GJ218*VLOOKUP(Plus!$G$21,Plus!$AP$2:$AQ$5,2,0))))</f>
        <v>0</v>
      </c>
      <c r="GE219" s="33">
        <f>IF(GJ218&lt;0.01,0,IF(Plus!$F$24=Plus!$AO$3,0,IF(OR(Plus!$F$10=Plus!$AK$7,Plus!$F$10=Plus!$AK$13,Plus!$F$10=Plus!$AK$14),0,IF(OR(Plus!$F$10=Plus!$AK$10,Plus!$F$10=Plus!$AK$11),Plus!$G$13*Adm!$W$7,Plus!$G$13*Adm!$X$4))))</f>
        <v>0</v>
      </c>
      <c r="GF219" s="33">
        <f>IF(GJ218&lt;0.01,0,IF(OR(Plus!$F$10=Plus!$AK$7,Plus!$F$10=Plus!$AK$13),0,Plus!$BD$2*1.16))</f>
        <v>0</v>
      </c>
      <c r="GG219" s="33">
        <f>IF(GJ218&lt;0.01,0,IF(Plus!$AS$2&gt;0,GA219*Plus!$AS$3,0))</f>
        <v>0</v>
      </c>
      <c r="GH219" s="33">
        <f t="shared" si="532"/>
        <v>0</v>
      </c>
      <c r="GI219" s="33">
        <f>IF(Plus!$F$10=Plus!$AK$3,MIN(GJ218+GA219+GD219+GE219+GF219-GH219,GU219),0)</f>
        <v>0</v>
      </c>
      <c r="GJ219" s="311">
        <f t="shared" si="432"/>
        <v>0</v>
      </c>
      <c r="GK219" s="340">
        <f>Plus!O260</f>
        <v>0</v>
      </c>
      <c r="GL219" s="74"/>
      <c r="GM219" s="74"/>
      <c r="GN219" s="419">
        <f t="shared" si="430"/>
        <v>0</v>
      </c>
      <c r="GQ219" s="90">
        <f t="shared" si="533"/>
        <v>3</v>
      </c>
      <c r="GR219" s="121">
        <f t="shared" ref="GR219:GR264" si="568">IF(GQ219=1,$GC$12,0)</f>
        <v>0</v>
      </c>
      <c r="GT219" s="149">
        <f t="shared" ref="GT219:GT264" si="569">GT218</f>
        <v>0</v>
      </c>
      <c r="GU219" s="2179">
        <f t="shared" ca="1" si="534"/>
        <v>0</v>
      </c>
      <c r="GW219" s="120">
        <f t="shared" ref="GW219:GW264" si="570">IF(GX219&gt;1,GX219,IF(GZ219&gt;1,GZ219,0))</f>
        <v>0</v>
      </c>
      <c r="GX219" s="110">
        <f t="shared" si="535"/>
        <v>0</v>
      </c>
      <c r="GY219" s="110">
        <f t="shared" si="536"/>
        <v>0</v>
      </c>
      <c r="GZ219" s="109">
        <f t="shared" si="537"/>
        <v>0</v>
      </c>
      <c r="HA219" s="109">
        <f t="shared" si="481"/>
        <v>0</v>
      </c>
      <c r="HB219" s="113">
        <f t="shared" si="538"/>
        <v>0</v>
      </c>
      <c r="HD219" s="102">
        <f t="shared" si="539"/>
        <v>0</v>
      </c>
      <c r="HE219" s="211">
        <f t="shared" si="455"/>
        <v>195</v>
      </c>
      <c r="HF219" s="212">
        <f t="shared" si="540"/>
        <v>0</v>
      </c>
      <c r="HG219" s="212">
        <f t="shared" si="482"/>
        <v>0</v>
      </c>
      <c r="HH219" s="212">
        <f t="shared" si="541"/>
        <v>0</v>
      </c>
      <c r="HI219" s="213">
        <f t="shared" si="483"/>
        <v>1000000</v>
      </c>
      <c r="HL219" s="182"/>
      <c r="HM219" s="26">
        <f t="shared" ca="1" si="484"/>
        <v>6</v>
      </c>
      <c r="HO219" s="268">
        <f t="shared" si="485"/>
        <v>0</v>
      </c>
      <c r="HP219" s="151">
        <f t="shared" si="448"/>
        <v>0</v>
      </c>
      <c r="HQ219" s="123">
        <f t="shared" si="542"/>
        <v>0</v>
      </c>
      <c r="HR219" s="123">
        <f t="shared" si="543"/>
        <v>0</v>
      </c>
      <c r="HS219" s="123">
        <f t="shared" si="544"/>
        <v>0</v>
      </c>
      <c r="HT219" s="123">
        <f>IF(HY218&lt;0.01,0,IF(Adm!$GS$4=Adm!$GS$8,HY218*$HY$15,IF(Adm!$GS$12=Adm!$GS$13,0,HY218*Adm!$GV$4)))</f>
        <v>0</v>
      </c>
      <c r="HU219" s="123">
        <f>IF(HY218&lt;0.01,0,IF(Adm!$GS$5=Adm!$GS$8,Cal!$BO$108*$HY$16/1.16,IF(Adm!$GS$12=Adm!$GS$13,0,Cal!$BO$108*Adm!$GW$4/1.16)))</f>
        <v>0</v>
      </c>
      <c r="HV219" s="123">
        <f t="shared" si="545"/>
        <v>0</v>
      </c>
      <c r="HW219" s="123">
        <f t="shared" si="486"/>
        <v>0</v>
      </c>
      <c r="HX219" s="123">
        <f>IF(Adm!$GH$6="si",MIN(HY218+HQ219+HT219+HU219+HV219-HW219,IH219),0)</f>
        <v>0</v>
      </c>
      <c r="HY219" s="297">
        <f t="shared" si="546"/>
        <v>0</v>
      </c>
      <c r="HZ219" s="74"/>
      <c r="IA219" s="407">
        <f t="shared" si="547"/>
        <v>0</v>
      </c>
      <c r="IC219" s="90">
        <f t="shared" si="548"/>
        <v>3</v>
      </c>
      <c r="ID219" s="124">
        <f>IF(IC219=1,Cal!$BO$127,0)</f>
        <v>0</v>
      </c>
      <c r="IE219" s="178">
        <f>IF(IC219=1,Adm!$HI$4,0)</f>
        <v>0</v>
      </c>
      <c r="IG219" s="70">
        <f t="shared" ref="IG219:IG264" si="571">IG218</f>
        <v>0</v>
      </c>
      <c r="IH219" s="2178">
        <f t="shared" ca="1" si="549"/>
        <v>0</v>
      </c>
      <c r="IK219" s="217"/>
      <c r="IL219" s="26">
        <f t="shared" ca="1" si="487"/>
        <v>6</v>
      </c>
      <c r="IN219" s="268">
        <f t="shared" si="488"/>
        <v>0</v>
      </c>
      <c r="IO219" s="151">
        <f t="shared" si="449"/>
        <v>0</v>
      </c>
      <c r="IP219" s="123">
        <f t="shared" si="550"/>
        <v>0</v>
      </c>
      <c r="IQ219" s="123">
        <f t="shared" si="551"/>
        <v>0</v>
      </c>
      <c r="IR219" s="123">
        <f t="shared" si="552"/>
        <v>0</v>
      </c>
      <c r="IS219" s="123">
        <f>IF(IX218&lt;0.01,0,IF(Adm!$GS$4=Adm!$GS$8,IX218*$IX$15,IF(Adm!$GS$12=Adm!$GS$13,0,IX218*Adm!$GV$4)))</f>
        <v>0</v>
      </c>
      <c r="IT219" s="123"/>
      <c r="IU219" s="123">
        <f t="shared" si="553"/>
        <v>0</v>
      </c>
      <c r="IV219" s="123">
        <f t="shared" si="554"/>
        <v>0</v>
      </c>
      <c r="IW219" s="123"/>
      <c r="IX219" s="297">
        <f t="shared" si="555"/>
        <v>0</v>
      </c>
      <c r="IY219" s="74"/>
      <c r="IZ219" s="416">
        <f t="shared" si="556"/>
        <v>0</v>
      </c>
      <c r="JB219" s="90">
        <f t="shared" si="557"/>
        <v>3</v>
      </c>
      <c r="JC219" s="124">
        <f>IF(JB219=1,Cal!$BP$127,0)</f>
        <v>0</v>
      </c>
      <c r="JD219" s="178">
        <f>IF(JB219=1,Adm!$HI$4,0)</f>
        <v>0</v>
      </c>
    </row>
    <row r="220" spans="1:264">
      <c r="A220" s="26">
        <f t="shared" ca="1" si="456"/>
        <v>7</v>
      </c>
      <c r="C220" s="33">
        <f t="shared" si="457"/>
        <v>0</v>
      </c>
      <c r="D220" s="123">
        <f t="shared" si="489"/>
        <v>0</v>
      </c>
      <c r="E220" s="123">
        <f t="shared" si="433"/>
        <v>0</v>
      </c>
      <c r="F220" s="123">
        <f t="shared" si="443"/>
        <v>0</v>
      </c>
      <c r="G220" s="123">
        <f>IF(L219&lt;0.01,0,IF(Adm!$S$4=Adm!$S$8,L219*$L$15,L219*Adm!$V$4))</f>
        <v>0</v>
      </c>
      <c r="H220" s="123">
        <f>IF(L219&lt;0.01,0,IF(Adm!$S$5=Adm!$S$8,Adm!$AA$11*$L$16/1.16,IF(Adm!$B$4=Adm!$A$119,0,Adm!$AA$11*Adm!$X$4/1.16)))</f>
        <v>0</v>
      </c>
      <c r="I220" s="123">
        <f>IF(L219&lt;0.01,0,Cal!$AB$126/1.16)</f>
        <v>0</v>
      </c>
      <c r="J220" s="123">
        <f t="shared" si="458"/>
        <v>0</v>
      </c>
      <c r="K220" s="123">
        <f>IF(Adm!$G$4="si",MIN(L219+D220+G220+H220+I220-J220,V220),0)</f>
        <v>0</v>
      </c>
      <c r="L220" s="123">
        <f t="shared" si="490"/>
        <v>0</v>
      </c>
      <c r="M220" s="74"/>
      <c r="N220" s="74"/>
      <c r="O220" s="407">
        <f t="shared" si="491"/>
        <v>0</v>
      </c>
      <c r="R220" s="90">
        <f t="shared" si="492"/>
        <v>4</v>
      </c>
      <c r="S220" s="121">
        <f>IF(R220=1,Cal!$AB$127,0)</f>
        <v>0</v>
      </c>
      <c r="U220" s="70">
        <f t="shared" si="558"/>
        <v>0</v>
      </c>
      <c r="V220" s="2178">
        <f t="shared" ca="1" si="493"/>
        <v>0</v>
      </c>
      <c r="X220" s="398"/>
      <c r="Z220" s="268">
        <f t="shared" si="459"/>
        <v>0</v>
      </c>
      <c r="AA220" s="2176">
        <f t="shared" si="494"/>
        <v>0</v>
      </c>
      <c r="AB220" s="33">
        <f t="shared" si="495"/>
        <v>0</v>
      </c>
      <c r="AC220" s="33">
        <f t="shared" si="496"/>
        <v>0</v>
      </c>
      <c r="AD220" s="33">
        <f>IF(AI219&lt;0.01,0,IF(Adm!$S$4=Adm!$S$8,AI219*$AI$15,AI219*Adm!$V$4))</f>
        <v>0</v>
      </c>
      <c r="AE220" s="33"/>
      <c r="AF220" s="33"/>
      <c r="AG220" s="33">
        <f t="shared" si="460"/>
        <v>0</v>
      </c>
      <c r="AH220" s="33"/>
      <c r="AI220" s="401">
        <f t="shared" si="461"/>
        <v>0</v>
      </c>
      <c r="AK220" s="410">
        <f t="shared" si="462"/>
        <v>0</v>
      </c>
      <c r="AN220" s="90">
        <f t="shared" si="497"/>
        <v>4</v>
      </c>
      <c r="AO220" s="121">
        <f>IF(AN220=1,Cal!$AC$127,0)</f>
        <v>0</v>
      </c>
      <c r="AS220" s="200"/>
      <c r="AU220" s="268">
        <f t="shared" si="463"/>
        <v>0</v>
      </c>
      <c r="AV220" s="2177">
        <f t="shared" si="498"/>
        <v>0</v>
      </c>
      <c r="AW220" s="123">
        <f t="shared" si="464"/>
        <v>0</v>
      </c>
      <c r="AX220" s="123">
        <f t="shared" si="499"/>
        <v>0</v>
      </c>
      <c r="AY220" s="123">
        <f>IF(BC219&lt;0.01,0,IF(Adm!$S$4=Adm!$S$8,BC219*$BC$16,BC219*Adm!$V$4))</f>
        <v>0</v>
      </c>
      <c r="AZ220" s="123"/>
      <c r="BA220" s="123">
        <f>IF(BC219&lt;0.01,0,Adm!$Q$6)</f>
        <v>0</v>
      </c>
      <c r="BB220" s="123">
        <f t="shared" si="465"/>
        <v>0</v>
      </c>
      <c r="BC220" s="297">
        <f t="shared" si="500"/>
        <v>0</v>
      </c>
      <c r="BE220" s="425">
        <f t="shared" si="466"/>
        <v>0</v>
      </c>
      <c r="BH220" s="90">
        <f t="shared" si="501"/>
        <v>4</v>
      </c>
      <c r="BI220" s="121">
        <f>IF(BH220=1,Cal!$AD$127,0)</f>
        <v>0</v>
      </c>
      <c r="BM220" s="221"/>
      <c r="BO220" s="295">
        <f t="shared" ca="1" si="467"/>
        <v>7</v>
      </c>
      <c r="BP220" s="268">
        <f t="shared" si="468"/>
        <v>0</v>
      </c>
      <c r="BQ220" s="123">
        <f t="shared" si="502"/>
        <v>0</v>
      </c>
      <c r="BR220" s="123">
        <f t="shared" si="434"/>
        <v>0</v>
      </c>
      <c r="BS220" s="123">
        <f t="shared" si="444"/>
        <v>0</v>
      </c>
      <c r="BT220" s="123">
        <f>IF(BZ219&lt;0.01,0,IF(Plus!$F$22=Plus!$AN$4,BZ219*$BZ$15,IF(Plus!$F$22=Plus!$AN$3,BZ219*Plus!$F$23/1000,BZ219*VLOOKUP(Plus!$G$21,Plus!$AP$2:'Plus'!$AQ$5,2,0))))</f>
        <v>0</v>
      </c>
      <c r="BU220" s="123">
        <f>IF(BZ219&lt;0.01,0,IF(Plus!$F$24=Plus!$AO$3,Plus!$G$13*Plus!$AR$2/1.16,IF(Plus!$F$10=Plus!$AK$7,0,Plus!$G$13*Plus!$AR$2/1.16)))</f>
        <v>0</v>
      </c>
      <c r="BV220" s="123">
        <f>IF(BZ219&lt;0.01,0,Plus!$BD$2)</f>
        <v>0</v>
      </c>
      <c r="BW220" s="123"/>
      <c r="BX220" s="123">
        <f t="shared" si="469"/>
        <v>0</v>
      </c>
      <c r="BY220" s="123">
        <f>IF(Plus!$F$10=Plus!$AK$3,MIN(BZ219+BQ220+BT220+BU220+BV220-BX220,CJ220),0)</f>
        <v>0</v>
      </c>
      <c r="BZ220" s="297">
        <f t="shared" si="428"/>
        <v>0</v>
      </c>
      <c r="CA220" s="74"/>
      <c r="CB220" s="74"/>
      <c r="CC220" s="413">
        <f t="shared" si="503"/>
        <v>0</v>
      </c>
      <c r="CF220" s="90">
        <f t="shared" si="504"/>
        <v>4</v>
      </c>
      <c r="CG220" s="121">
        <f t="shared" si="559"/>
        <v>0</v>
      </c>
      <c r="CI220" s="70">
        <f t="shared" si="560"/>
        <v>0</v>
      </c>
      <c r="CJ220" s="2178">
        <f t="shared" ca="1" si="505"/>
        <v>0</v>
      </c>
      <c r="CL220" s="161"/>
      <c r="CN220" s="308">
        <f t="shared" ca="1" si="470"/>
        <v>7</v>
      </c>
      <c r="CO220" s="309">
        <f t="shared" si="506"/>
        <v>0</v>
      </c>
      <c r="CP220" s="268">
        <f t="shared" si="471"/>
        <v>0</v>
      </c>
      <c r="CQ220" s="123">
        <f t="shared" si="507"/>
        <v>0</v>
      </c>
      <c r="CR220" s="123">
        <f t="shared" si="435"/>
        <v>0</v>
      </c>
      <c r="CS220" s="123">
        <f t="shared" si="436"/>
        <v>0</v>
      </c>
      <c r="CT220" s="33">
        <f>IF(CZ219&lt;0.01,0,IF(Plus!$F$22=Plus!$AN$4,0,IF(Plus!$F$22=Plus!$AN$3,CZ219*Plus!$F$23/1000,CZ219*VLOOKUP(Plus!$G$21,Plus!$AP$2:'Plus'!$AQ$5,2,0))))</f>
        <v>0</v>
      </c>
      <c r="CU220" s="123">
        <f>IF(CZ219&lt;0.01,0,IF(Plus!$F$24=Plus!$AO$3,0,IF(OR(Plus!$F$10=Plus!$AK$7,Plus!$F$10=Plus!$AK$13),0,Plus!$G$13*Plus!$AR$2)))</f>
        <v>0</v>
      </c>
      <c r="CV220" s="123">
        <f>IF(CZ219&lt;0.01,0,IF(OR(Plus!$F$10=Plus!$AK$7,Plus!$F$10=Plus!$AK$13),0,Plus!$BD$2*1.16))</f>
        <v>0</v>
      </c>
      <c r="CW220" s="123">
        <f>IF(CZ219&lt;0.01,0,IF(Plus!$AS$2&gt;0,CQ220*Plus!$AS$3,0))</f>
        <v>0</v>
      </c>
      <c r="CX220" s="123">
        <f t="shared" si="508"/>
        <v>0</v>
      </c>
      <c r="CY220" s="123">
        <f>IF(Plus!$F$10=Plus!$AK$3,MIN(CZ219+CQ220+CT220+CU220+CV220-CX220,DK220),0)</f>
        <v>0</v>
      </c>
      <c r="CZ220" s="297">
        <f t="shared" si="440"/>
        <v>0</v>
      </c>
      <c r="DA220" s="306">
        <f>Plus!O261</f>
        <v>0</v>
      </c>
      <c r="DB220" s="74"/>
      <c r="DC220" s="74"/>
      <c r="DD220" s="407">
        <f t="shared" si="509"/>
        <v>0</v>
      </c>
      <c r="DG220" s="90">
        <f t="shared" si="510"/>
        <v>4</v>
      </c>
      <c r="DH220" s="121">
        <f t="shared" si="561"/>
        <v>0</v>
      </c>
      <c r="DJ220" s="149">
        <f t="shared" si="562"/>
        <v>0</v>
      </c>
      <c r="DK220" s="2179">
        <f t="shared" ca="1" si="511"/>
        <v>0</v>
      </c>
      <c r="DN220" s="120">
        <f t="shared" si="563"/>
        <v>0</v>
      </c>
      <c r="DO220" s="110">
        <f t="shared" si="512"/>
        <v>0</v>
      </c>
      <c r="DP220" s="110">
        <f t="shared" ref="DP220:DP264" si="572">IF(AND($DP$21=1,$DN$21=2),PMT((($CS$9/360)*(365/12)),CO219,-CZ219),0)</f>
        <v>0</v>
      </c>
      <c r="DQ220" s="109">
        <f t="shared" si="513"/>
        <v>0</v>
      </c>
      <c r="DR220" s="109">
        <f t="shared" si="514"/>
        <v>0</v>
      </c>
      <c r="DS220" s="113">
        <f t="shared" si="515"/>
        <v>0</v>
      </c>
      <c r="DU220" s="102">
        <f t="shared" si="516"/>
        <v>0</v>
      </c>
      <c r="DV220" s="211">
        <f t="shared" ref="DV220:DV264" si="573">IF(DZ219&lt;=0,"",DV219+1)</f>
        <v>196</v>
      </c>
      <c r="DW220" s="212">
        <f t="shared" si="517"/>
        <v>0</v>
      </c>
      <c r="DX220" s="212">
        <f t="shared" si="472"/>
        <v>0</v>
      </c>
      <c r="DY220" s="212">
        <f t="shared" si="564"/>
        <v>0</v>
      </c>
      <c r="DZ220" s="213">
        <f t="shared" si="473"/>
        <v>1000000</v>
      </c>
      <c r="ED220" s="182"/>
      <c r="EF220" s="308">
        <f t="shared" ca="1" si="474"/>
        <v>7</v>
      </c>
      <c r="EG220" s="309">
        <f t="shared" si="518"/>
        <v>0</v>
      </c>
      <c r="EH220" s="268">
        <f t="shared" si="475"/>
        <v>0</v>
      </c>
      <c r="EI220" s="33">
        <f t="shared" si="519"/>
        <v>0</v>
      </c>
      <c r="EJ220" s="33">
        <f t="shared" si="437"/>
        <v>0</v>
      </c>
      <c r="EK220" s="33">
        <f t="shared" si="445"/>
        <v>0</v>
      </c>
      <c r="EL220" s="33">
        <f>IF(ER219&lt;0.01,0,IF(Plus!$F$22=Plus!$AN$4,0,IF(Plus!$F$22=Plus!$AN$3,ER219*Plus!$F$23/1000,ER219*VLOOKUP(Plus!$G$21,Plus!$AP$2:'Plus'!$AQ$5,2,0))))</f>
        <v>0</v>
      </c>
      <c r="EM220" s="33">
        <f>IF(ER219&lt;0.01,0,IF(Plus!$F$24=Plus!$AO$3,0,IF(OR(Plus!$F$10=Plus!$AK$7,Plus!$F$10=Plus!$AK$13),0,Plus!$G$13*Plus!$AR$2)))</f>
        <v>0</v>
      </c>
      <c r="EN220" s="33">
        <f>IF(ER219&lt;0.01,0,IF(OR(Plus!$F$10=Plus!$AK$7,Plus!$F$10=Plus!$AK$13),0,Plus!$BD$2*1.16))</f>
        <v>0</v>
      </c>
      <c r="EO220" s="33">
        <f>IF(ER219&lt;0.01,0,IF(Plus!$AS$2&gt;0,EI220*Plus!$AS$3,0))</f>
        <v>0</v>
      </c>
      <c r="EP220" s="33">
        <f t="shared" si="520"/>
        <v>0</v>
      </c>
      <c r="EQ220" s="33">
        <f>IF(Plus!$F$10=Plus!$AK$3,MIN(ER219+EI220+EL220+EM220+EN220-EP220,FC220),0)</f>
        <v>0</v>
      </c>
      <c r="ER220" s="311">
        <f t="shared" si="431"/>
        <v>0</v>
      </c>
      <c r="ES220" s="340">
        <f>Plus!O261</f>
        <v>0</v>
      </c>
      <c r="ET220" s="74"/>
      <c r="EU220" s="74"/>
      <c r="EV220" s="416">
        <f t="shared" si="429"/>
        <v>0</v>
      </c>
      <c r="EY220" s="90">
        <f t="shared" si="521"/>
        <v>4</v>
      </c>
      <c r="EZ220" s="121">
        <f t="shared" si="565"/>
        <v>0</v>
      </c>
      <c r="FB220" s="149">
        <f t="shared" si="566"/>
        <v>0</v>
      </c>
      <c r="FC220" s="2179">
        <f t="shared" ca="1" si="522"/>
        <v>0</v>
      </c>
      <c r="FE220" s="120">
        <f t="shared" si="567"/>
        <v>0</v>
      </c>
      <c r="FF220" s="110">
        <f t="shared" si="523"/>
        <v>0</v>
      </c>
      <c r="FG220" s="110">
        <f t="shared" si="524"/>
        <v>0</v>
      </c>
      <c r="FH220" s="109">
        <f t="shared" si="525"/>
        <v>0</v>
      </c>
      <c r="FI220" s="109">
        <f t="shared" si="476"/>
        <v>0</v>
      </c>
      <c r="FJ220" s="113">
        <f t="shared" si="526"/>
        <v>0</v>
      </c>
      <c r="FL220" s="102">
        <f t="shared" si="527"/>
        <v>0</v>
      </c>
      <c r="FM220" s="211">
        <f t="shared" si="454"/>
        <v>196</v>
      </c>
      <c r="FN220" s="212">
        <f t="shared" si="528"/>
        <v>0</v>
      </c>
      <c r="FO220" s="212">
        <f t="shared" si="477"/>
        <v>0</v>
      </c>
      <c r="FP220" s="212">
        <f t="shared" si="529"/>
        <v>0</v>
      </c>
      <c r="FQ220" s="213">
        <f t="shared" si="478"/>
        <v>1000000</v>
      </c>
      <c r="FV220" s="359"/>
      <c r="FX220" s="308">
        <f t="shared" ca="1" si="479"/>
        <v>7</v>
      </c>
      <c r="FY220" s="309">
        <f t="shared" si="530"/>
        <v>0</v>
      </c>
      <c r="FZ220" s="268">
        <f t="shared" si="480"/>
        <v>0</v>
      </c>
      <c r="GA220" s="33">
        <f t="shared" si="531"/>
        <v>0</v>
      </c>
      <c r="GB220" s="33">
        <f t="shared" si="438"/>
        <v>0</v>
      </c>
      <c r="GC220" s="33">
        <f t="shared" si="439"/>
        <v>0</v>
      </c>
      <c r="GD220" s="33">
        <f>IF(GJ219&lt;0.01,0,IF(Plus!$F$22=Plus!$AN$4,0,IF(Plus!$F$22=Plus!$AN$3,GJ219*Plus!$F$23/1000,GJ219*VLOOKUP(Plus!$G$21,Plus!$AP$2:$AQ$5,2,0))))</f>
        <v>0</v>
      </c>
      <c r="GE220" s="33">
        <f>IF(GJ219&lt;0.01,0,IF(Plus!$F$24=Plus!$AO$3,0,IF(OR(Plus!$F$10=Plus!$AK$7,Plus!$F$10=Plus!$AK$13,Plus!$F$10=Plus!$AK$14),0,IF(OR(Plus!$F$10=Plus!$AK$10,Plus!$F$10=Plus!$AK$11),Plus!$G$13*Adm!$W$7,Plus!$G$13*Adm!$X$4))))</f>
        <v>0</v>
      </c>
      <c r="GF220" s="33">
        <f>IF(GJ219&lt;0.01,0,IF(OR(Plus!$F$10=Plus!$AK$7,Plus!$F$10=Plus!$AK$13),0,Plus!$BD$2*1.16))</f>
        <v>0</v>
      </c>
      <c r="GG220" s="33">
        <f>IF(GJ219&lt;0.01,0,IF(Plus!$AS$2&gt;0,GA220*Plus!$AS$3,0))</f>
        <v>0</v>
      </c>
      <c r="GH220" s="33">
        <f t="shared" si="532"/>
        <v>0</v>
      </c>
      <c r="GI220" s="33">
        <f>IF(Plus!$F$10=Plus!$AK$3,MIN(GJ219+GA220+GD220+GE220+GF220-GH220,GU220),0)</f>
        <v>0</v>
      </c>
      <c r="GJ220" s="311">
        <f t="shared" si="432"/>
        <v>0</v>
      </c>
      <c r="GK220" s="340">
        <f>Plus!O261</f>
        <v>0</v>
      </c>
      <c r="GL220" s="74"/>
      <c r="GM220" s="74"/>
      <c r="GN220" s="419">
        <f t="shared" si="430"/>
        <v>0</v>
      </c>
      <c r="GQ220" s="90">
        <f t="shared" si="533"/>
        <v>4</v>
      </c>
      <c r="GR220" s="121">
        <f t="shared" si="568"/>
        <v>0</v>
      </c>
      <c r="GT220" s="149">
        <f t="shared" si="569"/>
        <v>0</v>
      </c>
      <c r="GU220" s="2179">
        <f t="shared" ca="1" si="534"/>
        <v>0</v>
      </c>
      <c r="GW220" s="120">
        <f t="shared" si="570"/>
        <v>0</v>
      </c>
      <c r="GX220" s="110">
        <f t="shared" si="535"/>
        <v>0</v>
      </c>
      <c r="GY220" s="110">
        <f t="shared" si="536"/>
        <v>0</v>
      </c>
      <c r="GZ220" s="109">
        <f t="shared" si="537"/>
        <v>0</v>
      </c>
      <c r="HA220" s="109">
        <f t="shared" si="481"/>
        <v>0</v>
      </c>
      <c r="HB220" s="113">
        <f t="shared" si="538"/>
        <v>0</v>
      </c>
      <c r="HD220" s="102">
        <f t="shared" si="539"/>
        <v>0</v>
      </c>
      <c r="HE220" s="211">
        <f t="shared" si="455"/>
        <v>196</v>
      </c>
      <c r="HF220" s="212">
        <f t="shared" si="540"/>
        <v>0</v>
      </c>
      <c r="HG220" s="212">
        <f t="shared" si="482"/>
        <v>0</v>
      </c>
      <c r="HH220" s="212">
        <f t="shared" si="541"/>
        <v>0</v>
      </c>
      <c r="HI220" s="213">
        <f t="shared" si="483"/>
        <v>1000000</v>
      </c>
      <c r="HL220" s="182"/>
      <c r="HM220" s="26">
        <f t="shared" ca="1" si="484"/>
        <v>7</v>
      </c>
      <c r="HO220" s="268">
        <f t="shared" si="485"/>
        <v>0</v>
      </c>
      <c r="HP220" s="151">
        <f t="shared" si="448"/>
        <v>0</v>
      </c>
      <c r="HQ220" s="123">
        <f t="shared" si="542"/>
        <v>0</v>
      </c>
      <c r="HR220" s="123">
        <f t="shared" si="543"/>
        <v>0</v>
      </c>
      <c r="HS220" s="123">
        <f t="shared" si="544"/>
        <v>0</v>
      </c>
      <c r="HT220" s="123">
        <f>IF(HY219&lt;0.01,0,IF(Adm!$GS$4=Adm!$GS$8,HY219*$HY$15,IF(Adm!$GS$12=Adm!$GS$13,0,HY219*Adm!$GV$4)))</f>
        <v>0</v>
      </c>
      <c r="HU220" s="123">
        <f>IF(HY219&lt;0.01,0,IF(Adm!$GS$5=Adm!$GS$8,Cal!$BO$108*$HY$16/1.16,IF(Adm!$GS$12=Adm!$GS$13,0,Cal!$BO$108*Adm!$GW$4/1.16)))</f>
        <v>0</v>
      </c>
      <c r="HV220" s="123">
        <f t="shared" si="545"/>
        <v>0</v>
      </c>
      <c r="HW220" s="123">
        <f t="shared" si="486"/>
        <v>0</v>
      </c>
      <c r="HX220" s="123">
        <f>IF(Adm!$GH$6="si",MIN(HY219+HQ220+HT220+HU220+HV220-HW220,IH220),0)</f>
        <v>0</v>
      </c>
      <c r="HY220" s="297">
        <f t="shared" si="546"/>
        <v>0</v>
      </c>
      <c r="HZ220" s="74"/>
      <c r="IA220" s="407">
        <f t="shared" si="547"/>
        <v>0</v>
      </c>
      <c r="IC220" s="90">
        <f t="shared" si="548"/>
        <v>4</v>
      </c>
      <c r="ID220" s="124">
        <f>IF(IC220=1,Cal!$BO$127,0)</f>
        <v>0</v>
      </c>
      <c r="IE220" s="178">
        <f>IF(IC220=1,Adm!$HI$4,0)</f>
        <v>0</v>
      </c>
      <c r="IG220" s="70">
        <f t="shared" si="571"/>
        <v>0</v>
      </c>
      <c r="IH220" s="2178">
        <f t="shared" ca="1" si="549"/>
        <v>0</v>
      </c>
      <c r="IK220" s="217"/>
      <c r="IL220" s="26">
        <f t="shared" ca="1" si="487"/>
        <v>7</v>
      </c>
      <c r="IN220" s="268">
        <f t="shared" si="488"/>
        <v>0</v>
      </c>
      <c r="IO220" s="151">
        <f t="shared" si="449"/>
        <v>0</v>
      </c>
      <c r="IP220" s="123">
        <f t="shared" si="550"/>
        <v>0</v>
      </c>
      <c r="IQ220" s="123">
        <f t="shared" si="551"/>
        <v>0</v>
      </c>
      <c r="IR220" s="123">
        <f t="shared" si="552"/>
        <v>0</v>
      </c>
      <c r="IS220" s="123">
        <f>IF(IX219&lt;0.01,0,IF(Adm!$GS$4=Adm!$GS$8,IX219*$IX$15,IF(Adm!$GS$12=Adm!$GS$13,0,IX219*Adm!$GV$4)))</f>
        <v>0</v>
      </c>
      <c r="IT220" s="123"/>
      <c r="IU220" s="123">
        <f t="shared" si="553"/>
        <v>0</v>
      </c>
      <c r="IV220" s="123">
        <f t="shared" si="554"/>
        <v>0</v>
      </c>
      <c r="IW220" s="123"/>
      <c r="IX220" s="297">
        <f t="shared" si="555"/>
        <v>0</v>
      </c>
      <c r="IY220" s="74"/>
      <c r="IZ220" s="416">
        <f t="shared" si="556"/>
        <v>0</v>
      </c>
      <c r="JB220" s="90">
        <f t="shared" si="557"/>
        <v>4</v>
      </c>
      <c r="JC220" s="124">
        <f>IF(JB220=1,Cal!$BP$127,0)</f>
        <v>0</v>
      </c>
      <c r="JD220" s="178">
        <f>IF(JB220=1,Adm!$HI$4,0)</f>
        <v>0</v>
      </c>
    </row>
    <row r="221" spans="1:264">
      <c r="A221" s="26">
        <f t="shared" ca="1" si="456"/>
        <v>8</v>
      </c>
      <c r="C221" s="33">
        <f t="shared" si="457"/>
        <v>0</v>
      </c>
      <c r="D221" s="123">
        <f t="shared" si="489"/>
        <v>0</v>
      </c>
      <c r="E221" s="123">
        <f t="shared" si="433"/>
        <v>0</v>
      </c>
      <c r="F221" s="123">
        <f t="shared" si="443"/>
        <v>0</v>
      </c>
      <c r="G221" s="123">
        <f>IF(L220&lt;0.01,0,IF(Adm!$S$4=Adm!$S$8,L220*$L$15,L220*Adm!$V$4))</f>
        <v>0</v>
      </c>
      <c r="H221" s="123">
        <f>IF(L220&lt;0.01,0,IF(Adm!$S$5=Adm!$S$8,Adm!$AA$11*$L$16/1.16,IF(Adm!$B$4=Adm!$A$119,0,Adm!$AA$11*Adm!$X$4/1.16)))</f>
        <v>0</v>
      </c>
      <c r="I221" s="123">
        <f>IF(L220&lt;0.01,0,Cal!$AB$126/1.16)</f>
        <v>0</v>
      </c>
      <c r="J221" s="123">
        <f t="shared" si="458"/>
        <v>0</v>
      </c>
      <c r="K221" s="123">
        <f>IF(Adm!$G$4="si",MIN(L220+D221+G221+H221+I221-J221,V221),0)</f>
        <v>0</v>
      </c>
      <c r="L221" s="123">
        <f t="shared" si="490"/>
        <v>0</v>
      </c>
      <c r="M221" s="74"/>
      <c r="N221" s="74"/>
      <c r="O221" s="407">
        <f t="shared" si="491"/>
        <v>0</v>
      </c>
      <c r="R221" s="90">
        <f t="shared" si="492"/>
        <v>5</v>
      </c>
      <c r="S221" s="121">
        <f>IF(R221=1,Cal!$AB$127,0)</f>
        <v>0</v>
      </c>
      <c r="U221" s="70">
        <f t="shared" si="558"/>
        <v>0</v>
      </c>
      <c r="V221" s="2178">
        <f t="shared" ca="1" si="493"/>
        <v>0</v>
      </c>
      <c r="X221" s="398"/>
      <c r="Z221" s="268">
        <f t="shared" si="459"/>
        <v>0</v>
      </c>
      <c r="AA221" s="2176">
        <f t="shared" si="494"/>
        <v>0</v>
      </c>
      <c r="AB221" s="33">
        <f t="shared" si="495"/>
        <v>0</v>
      </c>
      <c r="AC221" s="33">
        <f t="shared" si="496"/>
        <v>0</v>
      </c>
      <c r="AD221" s="33">
        <f>IF(AI220&lt;0.01,0,IF(Adm!$S$4=Adm!$S$8,AI220*$AI$15,AI220*Adm!$V$4))</f>
        <v>0</v>
      </c>
      <c r="AE221" s="33"/>
      <c r="AF221" s="33"/>
      <c r="AG221" s="33">
        <f t="shared" si="460"/>
        <v>0</v>
      </c>
      <c r="AH221" s="33"/>
      <c r="AI221" s="401">
        <f t="shared" si="461"/>
        <v>0</v>
      </c>
      <c r="AK221" s="410">
        <f t="shared" si="462"/>
        <v>0</v>
      </c>
      <c r="AN221" s="90">
        <f t="shared" si="497"/>
        <v>5</v>
      </c>
      <c r="AO221" s="121">
        <f>IF(AN221=1,Cal!$AC$127,0)</f>
        <v>0</v>
      </c>
      <c r="AS221" s="200"/>
      <c r="AU221" s="268">
        <f t="shared" si="463"/>
        <v>0</v>
      </c>
      <c r="AV221" s="2177">
        <f t="shared" si="498"/>
        <v>0</v>
      </c>
      <c r="AW221" s="123">
        <f t="shared" si="464"/>
        <v>0</v>
      </c>
      <c r="AX221" s="123">
        <f t="shared" si="499"/>
        <v>0</v>
      </c>
      <c r="AY221" s="123">
        <f>IF(BC220&lt;0.01,0,IF(Adm!$S$4=Adm!$S$8,BC220*$BC$16,BC220*Adm!$V$4))</f>
        <v>0</v>
      </c>
      <c r="AZ221" s="123"/>
      <c r="BA221" s="123">
        <f>IF(BC220&lt;0.01,0,Adm!$Q$6)</f>
        <v>0</v>
      </c>
      <c r="BB221" s="123">
        <f t="shared" si="465"/>
        <v>0</v>
      </c>
      <c r="BC221" s="297">
        <f t="shared" si="500"/>
        <v>0</v>
      </c>
      <c r="BE221" s="425">
        <f t="shared" si="466"/>
        <v>0</v>
      </c>
      <c r="BH221" s="90">
        <f t="shared" si="501"/>
        <v>5</v>
      </c>
      <c r="BI221" s="121">
        <f>IF(BH221=1,Cal!$AD$127,0)</f>
        <v>0</v>
      </c>
      <c r="BM221" s="221"/>
      <c r="BO221" s="295">
        <f t="shared" ca="1" si="467"/>
        <v>8</v>
      </c>
      <c r="BP221" s="268">
        <f t="shared" si="468"/>
        <v>0</v>
      </c>
      <c r="BQ221" s="123">
        <f t="shared" si="502"/>
        <v>0</v>
      </c>
      <c r="BR221" s="123">
        <f t="shared" si="434"/>
        <v>0</v>
      </c>
      <c r="BS221" s="123">
        <f t="shared" si="444"/>
        <v>0</v>
      </c>
      <c r="BT221" s="123">
        <f>IF(BZ220&lt;0.01,0,IF(Plus!$F$22=Plus!$AN$4,BZ220*$BZ$15,IF(Plus!$F$22=Plus!$AN$3,BZ220*Plus!$F$23/1000,BZ220*VLOOKUP(Plus!$G$21,Plus!$AP$2:'Plus'!$AQ$5,2,0))))</f>
        <v>0</v>
      </c>
      <c r="BU221" s="123">
        <f>IF(BZ220&lt;0.01,0,IF(Plus!$F$24=Plus!$AO$3,Plus!$G$13*Plus!$AR$2/1.16,IF(Plus!$F$10=Plus!$AK$7,0,Plus!$G$13*Plus!$AR$2/1.16)))</f>
        <v>0</v>
      </c>
      <c r="BV221" s="123">
        <f>IF(BZ220&lt;0.01,0,Plus!$BD$2)</f>
        <v>0</v>
      </c>
      <c r="BW221" s="123"/>
      <c r="BX221" s="123">
        <f t="shared" si="469"/>
        <v>0</v>
      </c>
      <c r="BY221" s="123">
        <f>IF(Plus!$F$10=Plus!$AK$3,MIN(BZ220+BQ221+BT221+BU221+BV221-BX221,CJ221),0)</f>
        <v>0</v>
      </c>
      <c r="BZ221" s="297">
        <f t="shared" si="428"/>
        <v>0</v>
      </c>
      <c r="CA221" s="74"/>
      <c r="CB221" s="74"/>
      <c r="CC221" s="413">
        <f t="shared" si="503"/>
        <v>0</v>
      </c>
      <c r="CF221" s="90">
        <f t="shared" si="504"/>
        <v>5</v>
      </c>
      <c r="CG221" s="121">
        <f t="shared" si="559"/>
        <v>0</v>
      </c>
      <c r="CI221" s="70">
        <f t="shared" si="560"/>
        <v>0</v>
      </c>
      <c r="CJ221" s="2178">
        <f t="shared" ca="1" si="505"/>
        <v>0</v>
      </c>
      <c r="CL221" s="161"/>
      <c r="CN221" s="308">
        <f t="shared" ca="1" si="470"/>
        <v>8</v>
      </c>
      <c r="CO221" s="309">
        <f t="shared" si="506"/>
        <v>0</v>
      </c>
      <c r="CP221" s="268">
        <f t="shared" si="471"/>
        <v>0</v>
      </c>
      <c r="CQ221" s="123">
        <f t="shared" si="507"/>
        <v>0</v>
      </c>
      <c r="CR221" s="123">
        <f t="shared" si="435"/>
        <v>0</v>
      </c>
      <c r="CS221" s="123">
        <f t="shared" si="436"/>
        <v>0</v>
      </c>
      <c r="CT221" s="33">
        <f>IF(CZ220&lt;0.01,0,IF(Plus!$F$22=Plus!$AN$4,0,IF(Plus!$F$22=Plus!$AN$3,CZ220*Plus!$F$23/1000,CZ220*VLOOKUP(Plus!$G$21,Plus!$AP$2:'Plus'!$AQ$5,2,0))))</f>
        <v>0</v>
      </c>
      <c r="CU221" s="123">
        <f>IF(CZ220&lt;0.01,0,IF(Plus!$F$24=Plus!$AO$3,0,IF(OR(Plus!$F$10=Plus!$AK$7,Plus!$F$10=Plus!$AK$13),0,Plus!$G$13*Plus!$AR$2)))</f>
        <v>0</v>
      </c>
      <c r="CV221" s="123">
        <f>IF(CZ220&lt;0.01,0,IF(OR(Plus!$F$10=Plus!$AK$7,Plus!$F$10=Plus!$AK$13),0,Plus!$BD$2*1.16))</f>
        <v>0</v>
      </c>
      <c r="CW221" s="123">
        <f>IF(CZ220&lt;0.01,0,IF(Plus!$AS$2&gt;0,CQ221*Plus!$AS$3,0))</f>
        <v>0</v>
      </c>
      <c r="CX221" s="123">
        <f t="shared" si="508"/>
        <v>0</v>
      </c>
      <c r="CY221" s="123">
        <f>IF(Plus!$F$10=Plus!$AK$3,MIN(CZ220+CQ221+CT221+CU221+CV221-CX221,DK221),0)</f>
        <v>0</v>
      </c>
      <c r="CZ221" s="297">
        <f t="shared" si="440"/>
        <v>0</v>
      </c>
      <c r="DA221" s="306">
        <f>Plus!O262</f>
        <v>0</v>
      </c>
      <c r="DB221" s="74"/>
      <c r="DC221" s="74"/>
      <c r="DD221" s="407">
        <f t="shared" si="509"/>
        <v>0</v>
      </c>
      <c r="DG221" s="90">
        <f t="shared" si="510"/>
        <v>5</v>
      </c>
      <c r="DH221" s="121">
        <f t="shared" si="561"/>
        <v>0</v>
      </c>
      <c r="DJ221" s="149">
        <f t="shared" si="562"/>
        <v>0</v>
      </c>
      <c r="DK221" s="2179">
        <f t="shared" ca="1" si="511"/>
        <v>0</v>
      </c>
      <c r="DN221" s="120">
        <f t="shared" si="563"/>
        <v>0</v>
      </c>
      <c r="DO221" s="110">
        <f t="shared" si="512"/>
        <v>0</v>
      </c>
      <c r="DP221" s="110">
        <f t="shared" si="572"/>
        <v>0</v>
      </c>
      <c r="DQ221" s="109">
        <f t="shared" si="513"/>
        <v>0</v>
      </c>
      <c r="DR221" s="109">
        <f t="shared" si="514"/>
        <v>0</v>
      </c>
      <c r="DS221" s="113">
        <f t="shared" si="515"/>
        <v>0</v>
      </c>
      <c r="DU221" s="102">
        <f t="shared" si="516"/>
        <v>0</v>
      </c>
      <c r="DV221" s="211">
        <f t="shared" si="573"/>
        <v>197</v>
      </c>
      <c r="DW221" s="212">
        <f t="shared" si="517"/>
        <v>0</v>
      </c>
      <c r="DX221" s="212">
        <f t="shared" si="472"/>
        <v>0</v>
      </c>
      <c r="DY221" s="212">
        <f t="shared" si="564"/>
        <v>0</v>
      </c>
      <c r="DZ221" s="213">
        <f t="shared" si="473"/>
        <v>1000000</v>
      </c>
      <c r="ED221" s="182"/>
      <c r="EF221" s="308">
        <f t="shared" ca="1" si="474"/>
        <v>8</v>
      </c>
      <c r="EG221" s="309">
        <f t="shared" si="518"/>
        <v>0</v>
      </c>
      <c r="EH221" s="268">
        <f t="shared" si="475"/>
        <v>0</v>
      </c>
      <c r="EI221" s="33">
        <f t="shared" si="519"/>
        <v>0</v>
      </c>
      <c r="EJ221" s="33">
        <f t="shared" si="437"/>
        <v>0</v>
      </c>
      <c r="EK221" s="33">
        <f t="shared" si="445"/>
        <v>0</v>
      </c>
      <c r="EL221" s="33">
        <f>IF(ER220&lt;0.01,0,IF(Plus!$F$22=Plus!$AN$4,0,IF(Plus!$F$22=Plus!$AN$3,ER220*Plus!$F$23/1000,ER220*VLOOKUP(Plus!$G$21,Plus!$AP$2:'Plus'!$AQ$5,2,0))))</f>
        <v>0</v>
      </c>
      <c r="EM221" s="33">
        <f>IF(ER220&lt;0.01,0,IF(Plus!$F$24=Plus!$AO$3,0,IF(OR(Plus!$F$10=Plus!$AK$7,Plus!$F$10=Plus!$AK$13),0,Plus!$G$13*Plus!$AR$2)))</f>
        <v>0</v>
      </c>
      <c r="EN221" s="33">
        <f>IF(ER220&lt;0.01,0,IF(OR(Plus!$F$10=Plus!$AK$7,Plus!$F$10=Plus!$AK$13),0,Plus!$BD$2*1.16))</f>
        <v>0</v>
      </c>
      <c r="EO221" s="33">
        <f>IF(ER220&lt;0.01,0,IF(Plus!$AS$2&gt;0,EI221*Plus!$AS$3,0))</f>
        <v>0</v>
      </c>
      <c r="EP221" s="33">
        <f t="shared" si="520"/>
        <v>0</v>
      </c>
      <c r="EQ221" s="33">
        <f>IF(Plus!$F$10=Plus!$AK$3,MIN(ER220+EI221+EL221+EM221+EN221-EP221,FC221),0)</f>
        <v>0</v>
      </c>
      <c r="ER221" s="311">
        <f t="shared" si="431"/>
        <v>0</v>
      </c>
      <c r="ES221" s="340">
        <f>Plus!O262</f>
        <v>0</v>
      </c>
      <c r="ET221" s="74"/>
      <c r="EU221" s="74"/>
      <c r="EV221" s="416">
        <f t="shared" si="429"/>
        <v>0</v>
      </c>
      <c r="EY221" s="90">
        <f t="shared" si="521"/>
        <v>5</v>
      </c>
      <c r="EZ221" s="121">
        <f t="shared" si="565"/>
        <v>0</v>
      </c>
      <c r="FB221" s="149">
        <f t="shared" si="566"/>
        <v>0</v>
      </c>
      <c r="FC221" s="2179">
        <f t="shared" ca="1" si="522"/>
        <v>0</v>
      </c>
      <c r="FE221" s="120">
        <f t="shared" si="567"/>
        <v>0</v>
      </c>
      <c r="FF221" s="110">
        <f t="shared" si="523"/>
        <v>0</v>
      </c>
      <c r="FG221" s="110">
        <f t="shared" si="524"/>
        <v>0</v>
      </c>
      <c r="FH221" s="109">
        <f t="shared" si="525"/>
        <v>0</v>
      </c>
      <c r="FI221" s="109">
        <f t="shared" si="476"/>
        <v>0</v>
      </c>
      <c r="FJ221" s="113">
        <f t="shared" si="526"/>
        <v>0</v>
      </c>
      <c r="FL221" s="102">
        <f t="shared" si="527"/>
        <v>0</v>
      </c>
      <c r="FM221" s="211">
        <f t="shared" si="454"/>
        <v>197</v>
      </c>
      <c r="FN221" s="212">
        <f t="shared" si="528"/>
        <v>0</v>
      </c>
      <c r="FO221" s="212">
        <f t="shared" si="477"/>
        <v>0</v>
      </c>
      <c r="FP221" s="212">
        <f t="shared" si="529"/>
        <v>0</v>
      </c>
      <c r="FQ221" s="213">
        <f t="shared" si="478"/>
        <v>1000000</v>
      </c>
      <c r="FV221" s="359"/>
      <c r="FX221" s="308">
        <f t="shared" ca="1" si="479"/>
        <v>8</v>
      </c>
      <c r="FY221" s="309">
        <f t="shared" si="530"/>
        <v>0</v>
      </c>
      <c r="FZ221" s="268">
        <f t="shared" si="480"/>
        <v>0</v>
      </c>
      <c r="GA221" s="33">
        <f t="shared" si="531"/>
        <v>0</v>
      </c>
      <c r="GB221" s="33">
        <f t="shared" si="438"/>
        <v>0</v>
      </c>
      <c r="GC221" s="33">
        <f t="shared" si="439"/>
        <v>0</v>
      </c>
      <c r="GD221" s="33">
        <f>IF(GJ220&lt;0.01,0,IF(Plus!$F$22=Plus!$AN$4,0,IF(Plus!$F$22=Plus!$AN$3,GJ220*Plus!$F$23/1000,GJ220*VLOOKUP(Plus!$G$21,Plus!$AP$2:$AQ$5,2,0))))</f>
        <v>0</v>
      </c>
      <c r="GE221" s="33">
        <f>IF(GJ220&lt;0.01,0,IF(Plus!$F$24=Plus!$AO$3,0,IF(OR(Plus!$F$10=Plus!$AK$7,Plus!$F$10=Plus!$AK$13,Plus!$F$10=Plus!$AK$14),0,IF(OR(Plus!$F$10=Plus!$AK$10,Plus!$F$10=Plus!$AK$11),Plus!$G$13*Adm!$W$7,Plus!$G$13*Adm!$X$4))))</f>
        <v>0</v>
      </c>
      <c r="GF221" s="33">
        <f>IF(GJ220&lt;0.01,0,IF(OR(Plus!$F$10=Plus!$AK$7,Plus!$F$10=Plus!$AK$13),0,Plus!$BD$2*1.16))</f>
        <v>0</v>
      </c>
      <c r="GG221" s="33">
        <f>IF(GJ220&lt;0.01,0,IF(Plus!$AS$2&gt;0,GA221*Plus!$AS$3,0))</f>
        <v>0</v>
      </c>
      <c r="GH221" s="33">
        <f t="shared" si="532"/>
        <v>0</v>
      </c>
      <c r="GI221" s="33">
        <f>IF(Plus!$F$10=Plus!$AK$3,MIN(GJ220+GA221+GD221+GE221+GF221-GH221,GU221),0)</f>
        <v>0</v>
      </c>
      <c r="GJ221" s="311">
        <f t="shared" si="432"/>
        <v>0</v>
      </c>
      <c r="GK221" s="340">
        <f>Plus!O262</f>
        <v>0</v>
      </c>
      <c r="GL221" s="74"/>
      <c r="GM221" s="74"/>
      <c r="GN221" s="419">
        <f t="shared" si="430"/>
        <v>0</v>
      </c>
      <c r="GQ221" s="90">
        <f t="shared" si="533"/>
        <v>5</v>
      </c>
      <c r="GR221" s="121">
        <f t="shared" si="568"/>
        <v>0</v>
      </c>
      <c r="GT221" s="149">
        <f t="shared" si="569"/>
        <v>0</v>
      </c>
      <c r="GU221" s="2179">
        <f t="shared" ca="1" si="534"/>
        <v>0</v>
      </c>
      <c r="GW221" s="120">
        <f t="shared" si="570"/>
        <v>0</v>
      </c>
      <c r="GX221" s="110">
        <f t="shared" si="535"/>
        <v>0</v>
      </c>
      <c r="GY221" s="110">
        <f t="shared" si="536"/>
        <v>0</v>
      </c>
      <c r="GZ221" s="109">
        <f t="shared" si="537"/>
        <v>0</v>
      </c>
      <c r="HA221" s="109">
        <f t="shared" si="481"/>
        <v>0</v>
      </c>
      <c r="HB221" s="113">
        <f t="shared" si="538"/>
        <v>0</v>
      </c>
      <c r="HD221" s="102">
        <f t="shared" si="539"/>
        <v>0</v>
      </c>
      <c r="HE221" s="211">
        <f t="shared" si="455"/>
        <v>197</v>
      </c>
      <c r="HF221" s="212">
        <f t="shared" si="540"/>
        <v>0</v>
      </c>
      <c r="HG221" s="212">
        <f t="shared" si="482"/>
        <v>0</v>
      </c>
      <c r="HH221" s="212">
        <f t="shared" si="541"/>
        <v>0</v>
      </c>
      <c r="HI221" s="213">
        <f t="shared" si="483"/>
        <v>1000000</v>
      </c>
      <c r="HL221" s="182"/>
      <c r="HM221" s="26">
        <f t="shared" ca="1" si="484"/>
        <v>8</v>
      </c>
      <c r="HO221" s="268">
        <f t="shared" si="485"/>
        <v>0</v>
      </c>
      <c r="HP221" s="151">
        <f t="shared" si="448"/>
        <v>0</v>
      </c>
      <c r="HQ221" s="123">
        <f t="shared" si="542"/>
        <v>0</v>
      </c>
      <c r="HR221" s="123">
        <f t="shared" si="543"/>
        <v>0</v>
      </c>
      <c r="HS221" s="123">
        <f t="shared" si="544"/>
        <v>0</v>
      </c>
      <c r="HT221" s="123">
        <f>IF(HY220&lt;0.01,0,IF(Adm!$GS$4=Adm!$GS$8,HY220*$HY$15,IF(Adm!$GS$12=Adm!$GS$13,0,HY220*Adm!$GV$4)))</f>
        <v>0</v>
      </c>
      <c r="HU221" s="123">
        <f>IF(HY220&lt;0.01,0,IF(Adm!$GS$5=Adm!$GS$8,Cal!$BO$108*$HY$16/1.16,IF(Adm!$GS$12=Adm!$GS$13,0,Cal!$BO$108*Adm!$GW$4/1.16)))</f>
        <v>0</v>
      </c>
      <c r="HV221" s="123">
        <f t="shared" si="545"/>
        <v>0</v>
      </c>
      <c r="HW221" s="123">
        <f t="shared" si="486"/>
        <v>0</v>
      </c>
      <c r="HX221" s="123">
        <f>IF(Adm!$GH$6="si",MIN(HY220+HQ221+HT221+HU221+HV221-HW221,IH221),0)</f>
        <v>0</v>
      </c>
      <c r="HY221" s="297">
        <f t="shared" si="546"/>
        <v>0</v>
      </c>
      <c r="HZ221" s="74"/>
      <c r="IA221" s="407">
        <f t="shared" si="547"/>
        <v>0</v>
      </c>
      <c r="IC221" s="90">
        <f t="shared" si="548"/>
        <v>5</v>
      </c>
      <c r="ID221" s="124">
        <f>IF(IC221=1,Cal!$BO$127,0)</f>
        <v>0</v>
      </c>
      <c r="IE221" s="178">
        <f>IF(IC221=1,Adm!$HI$4,0)</f>
        <v>0</v>
      </c>
      <c r="IG221" s="70">
        <f t="shared" si="571"/>
        <v>0</v>
      </c>
      <c r="IH221" s="2178">
        <f t="shared" ca="1" si="549"/>
        <v>0</v>
      </c>
      <c r="IK221" s="217"/>
      <c r="IL221" s="26">
        <f t="shared" ca="1" si="487"/>
        <v>8</v>
      </c>
      <c r="IN221" s="268">
        <f t="shared" si="488"/>
        <v>0</v>
      </c>
      <c r="IO221" s="151">
        <f t="shared" si="449"/>
        <v>0</v>
      </c>
      <c r="IP221" s="123">
        <f t="shared" si="550"/>
        <v>0</v>
      </c>
      <c r="IQ221" s="123">
        <f t="shared" si="551"/>
        <v>0</v>
      </c>
      <c r="IR221" s="123">
        <f t="shared" si="552"/>
        <v>0</v>
      </c>
      <c r="IS221" s="123">
        <f>IF(IX220&lt;0.01,0,IF(Adm!$GS$4=Adm!$GS$8,IX220*$IX$15,IF(Adm!$GS$12=Adm!$GS$13,0,IX220*Adm!$GV$4)))</f>
        <v>0</v>
      </c>
      <c r="IT221" s="123"/>
      <c r="IU221" s="123">
        <f t="shared" si="553"/>
        <v>0</v>
      </c>
      <c r="IV221" s="123">
        <f t="shared" si="554"/>
        <v>0</v>
      </c>
      <c r="IW221" s="123"/>
      <c r="IX221" s="297">
        <f t="shared" si="555"/>
        <v>0</v>
      </c>
      <c r="IY221" s="74"/>
      <c r="IZ221" s="416">
        <f t="shared" si="556"/>
        <v>0</v>
      </c>
      <c r="JB221" s="90">
        <f t="shared" si="557"/>
        <v>5</v>
      </c>
      <c r="JC221" s="124">
        <f>IF(JB221=1,Cal!$BP$127,0)</f>
        <v>0</v>
      </c>
      <c r="JD221" s="178">
        <f>IF(JB221=1,Adm!$HI$4,0)</f>
        <v>0</v>
      </c>
    </row>
    <row r="222" spans="1:264">
      <c r="A222" s="26">
        <f t="shared" ca="1" si="456"/>
        <v>9</v>
      </c>
      <c r="C222" s="33">
        <f t="shared" si="457"/>
        <v>0</v>
      </c>
      <c r="D222" s="123">
        <f t="shared" si="489"/>
        <v>0</v>
      </c>
      <c r="E222" s="123">
        <f t="shared" si="433"/>
        <v>0</v>
      </c>
      <c r="F222" s="123">
        <f t="shared" si="443"/>
        <v>0</v>
      </c>
      <c r="G222" s="123">
        <f>IF(L221&lt;0.01,0,IF(Adm!$S$4=Adm!$S$8,L221*$L$15,L221*Adm!$V$4))</f>
        <v>0</v>
      </c>
      <c r="H222" s="123">
        <f>IF(L221&lt;0.01,0,IF(Adm!$S$5=Adm!$S$8,Adm!$AA$11*$L$16/1.16,IF(Adm!$B$4=Adm!$A$119,0,Adm!$AA$11*Adm!$X$4/1.16)))</f>
        <v>0</v>
      </c>
      <c r="I222" s="123">
        <f>IF(L221&lt;0.01,0,Cal!$AB$126/1.16)</f>
        <v>0</v>
      </c>
      <c r="J222" s="123">
        <f t="shared" si="458"/>
        <v>0</v>
      </c>
      <c r="K222" s="123">
        <f>IF(Adm!$G$4="si",MIN(L221+D222+G222+H222+I222-J222,V222),0)</f>
        <v>0</v>
      </c>
      <c r="L222" s="123">
        <f t="shared" si="490"/>
        <v>0</v>
      </c>
      <c r="M222" s="74"/>
      <c r="N222" s="74"/>
      <c r="O222" s="407">
        <f t="shared" si="491"/>
        <v>0</v>
      </c>
      <c r="R222" s="90">
        <f t="shared" si="492"/>
        <v>6</v>
      </c>
      <c r="S222" s="121">
        <f>IF(R222=1,Cal!$AB$127,0)</f>
        <v>0</v>
      </c>
      <c r="U222" s="70">
        <f t="shared" si="558"/>
        <v>0</v>
      </c>
      <c r="V222" s="2178">
        <f t="shared" ca="1" si="493"/>
        <v>0</v>
      </c>
      <c r="X222" s="398"/>
      <c r="Z222" s="268">
        <f t="shared" si="459"/>
        <v>0</v>
      </c>
      <c r="AA222" s="2176">
        <f t="shared" si="494"/>
        <v>0</v>
      </c>
      <c r="AB222" s="33">
        <f t="shared" si="495"/>
        <v>0</v>
      </c>
      <c r="AC222" s="33">
        <f t="shared" si="496"/>
        <v>0</v>
      </c>
      <c r="AD222" s="33">
        <f>IF(AI221&lt;0.01,0,IF(Adm!$S$4=Adm!$S$8,AI221*$AI$15,AI221*Adm!$V$4))</f>
        <v>0</v>
      </c>
      <c r="AE222" s="33"/>
      <c r="AF222" s="33"/>
      <c r="AG222" s="33">
        <f t="shared" si="460"/>
        <v>0</v>
      </c>
      <c r="AH222" s="33"/>
      <c r="AI222" s="401">
        <f t="shared" si="461"/>
        <v>0</v>
      </c>
      <c r="AK222" s="410">
        <f t="shared" si="462"/>
        <v>0</v>
      </c>
      <c r="AN222" s="90">
        <f t="shared" si="497"/>
        <v>6</v>
      </c>
      <c r="AO222" s="121">
        <f>IF(AN222=1,Cal!$AC$127,0)</f>
        <v>0</v>
      </c>
      <c r="AS222" s="200"/>
      <c r="AU222" s="268">
        <f t="shared" si="463"/>
        <v>0</v>
      </c>
      <c r="AV222" s="2177">
        <f t="shared" si="498"/>
        <v>0</v>
      </c>
      <c r="AW222" s="123">
        <f t="shared" si="464"/>
        <v>0</v>
      </c>
      <c r="AX222" s="123">
        <f t="shared" si="499"/>
        <v>0</v>
      </c>
      <c r="AY222" s="123">
        <f>IF(BC221&lt;0.01,0,IF(Adm!$S$4=Adm!$S$8,BC221*$BC$16,BC221*Adm!$V$4))</f>
        <v>0</v>
      </c>
      <c r="AZ222" s="123"/>
      <c r="BA222" s="123">
        <f>IF(BC221&lt;0.01,0,Adm!$Q$6)</f>
        <v>0</v>
      </c>
      <c r="BB222" s="123">
        <f t="shared" si="465"/>
        <v>0</v>
      </c>
      <c r="BC222" s="297">
        <f t="shared" si="500"/>
        <v>0</v>
      </c>
      <c r="BE222" s="425">
        <f t="shared" si="466"/>
        <v>0</v>
      </c>
      <c r="BH222" s="90">
        <f t="shared" si="501"/>
        <v>6</v>
      </c>
      <c r="BI222" s="121">
        <f>IF(BH222=1,Cal!$AD$127,0)</f>
        <v>0</v>
      </c>
      <c r="BM222" s="221"/>
      <c r="BO222" s="295">
        <f t="shared" ca="1" si="467"/>
        <v>9</v>
      </c>
      <c r="BP222" s="268">
        <f t="shared" si="468"/>
        <v>0</v>
      </c>
      <c r="BQ222" s="123">
        <f t="shared" si="502"/>
        <v>0</v>
      </c>
      <c r="BR222" s="123">
        <f t="shared" si="434"/>
        <v>0</v>
      </c>
      <c r="BS222" s="123">
        <f t="shared" si="444"/>
        <v>0</v>
      </c>
      <c r="BT222" s="123">
        <f>IF(BZ221&lt;0.01,0,IF(Plus!$F$22=Plus!$AN$4,BZ221*$BZ$15,IF(Plus!$F$22=Plus!$AN$3,BZ221*Plus!$F$23/1000,BZ221*VLOOKUP(Plus!$G$21,Plus!$AP$2:'Plus'!$AQ$5,2,0))))</f>
        <v>0</v>
      </c>
      <c r="BU222" s="123">
        <f>IF(BZ221&lt;0.01,0,IF(Plus!$F$24=Plus!$AO$3,Plus!$G$13*Plus!$AR$2/1.16,IF(Plus!$F$10=Plus!$AK$7,0,Plus!$G$13*Plus!$AR$2/1.16)))</f>
        <v>0</v>
      </c>
      <c r="BV222" s="123">
        <f>IF(BZ221&lt;0.01,0,Plus!$BD$2)</f>
        <v>0</v>
      </c>
      <c r="BW222" s="123"/>
      <c r="BX222" s="123">
        <f t="shared" si="469"/>
        <v>0</v>
      </c>
      <c r="BY222" s="123">
        <f>IF(Plus!$F$10=Plus!$AK$3,MIN(BZ221+BQ222+BT222+BU222+BV222-BX222,CJ222),0)</f>
        <v>0</v>
      </c>
      <c r="BZ222" s="297">
        <f t="shared" si="428"/>
        <v>0</v>
      </c>
      <c r="CA222" s="74"/>
      <c r="CB222" s="74"/>
      <c r="CC222" s="413">
        <f t="shared" si="503"/>
        <v>0</v>
      </c>
      <c r="CF222" s="90">
        <f t="shared" si="504"/>
        <v>6</v>
      </c>
      <c r="CG222" s="121">
        <f t="shared" si="559"/>
        <v>0</v>
      </c>
      <c r="CI222" s="70">
        <f t="shared" si="560"/>
        <v>0</v>
      </c>
      <c r="CJ222" s="2178">
        <f t="shared" ca="1" si="505"/>
        <v>0</v>
      </c>
      <c r="CL222" s="161"/>
      <c r="CN222" s="308">
        <f t="shared" ca="1" si="470"/>
        <v>9</v>
      </c>
      <c r="CO222" s="309">
        <f t="shared" si="506"/>
        <v>0</v>
      </c>
      <c r="CP222" s="268">
        <f t="shared" si="471"/>
        <v>0</v>
      </c>
      <c r="CQ222" s="123">
        <f t="shared" si="507"/>
        <v>0</v>
      </c>
      <c r="CR222" s="123">
        <f t="shared" si="435"/>
        <v>0</v>
      </c>
      <c r="CS222" s="123">
        <f t="shared" si="436"/>
        <v>0</v>
      </c>
      <c r="CT222" s="33">
        <f>IF(CZ221&lt;0.01,0,IF(Plus!$F$22=Plus!$AN$4,0,IF(Plus!$F$22=Plus!$AN$3,CZ221*Plus!$F$23/1000,CZ221*VLOOKUP(Plus!$G$21,Plus!$AP$2:'Plus'!$AQ$5,2,0))))</f>
        <v>0</v>
      </c>
      <c r="CU222" s="123">
        <f>IF(CZ221&lt;0.01,0,IF(Plus!$F$24=Plus!$AO$3,0,IF(OR(Plus!$F$10=Plus!$AK$7,Plus!$F$10=Plus!$AK$13),0,Plus!$G$13*Plus!$AR$2)))</f>
        <v>0</v>
      </c>
      <c r="CV222" s="123">
        <f>IF(CZ221&lt;0.01,0,IF(OR(Plus!$F$10=Plus!$AK$7,Plus!$F$10=Plus!$AK$13),0,Plus!$BD$2*1.16))</f>
        <v>0</v>
      </c>
      <c r="CW222" s="123">
        <f>IF(CZ221&lt;0.01,0,IF(Plus!$AS$2&gt;0,CQ222*Plus!$AS$3,0))</f>
        <v>0</v>
      </c>
      <c r="CX222" s="123">
        <f t="shared" si="508"/>
        <v>0</v>
      </c>
      <c r="CY222" s="123">
        <f>IF(Plus!$F$10=Plus!$AK$3,MIN(CZ221+CQ222+CT222+CU222+CV222-CX222,DK222),0)</f>
        <v>0</v>
      </c>
      <c r="CZ222" s="297">
        <f t="shared" si="440"/>
        <v>0</v>
      </c>
      <c r="DA222" s="306">
        <f>Plus!O263</f>
        <v>0</v>
      </c>
      <c r="DB222" s="74"/>
      <c r="DC222" s="74"/>
      <c r="DD222" s="407">
        <f t="shared" si="509"/>
        <v>0</v>
      </c>
      <c r="DG222" s="90">
        <f t="shared" si="510"/>
        <v>6</v>
      </c>
      <c r="DH222" s="121">
        <f t="shared" si="561"/>
        <v>0</v>
      </c>
      <c r="DJ222" s="149">
        <f t="shared" si="562"/>
        <v>0</v>
      </c>
      <c r="DK222" s="2179">
        <f t="shared" ca="1" si="511"/>
        <v>0</v>
      </c>
      <c r="DN222" s="120">
        <f t="shared" si="563"/>
        <v>0</v>
      </c>
      <c r="DO222" s="110">
        <f t="shared" si="512"/>
        <v>0</v>
      </c>
      <c r="DP222" s="110">
        <f t="shared" si="572"/>
        <v>0</v>
      </c>
      <c r="DQ222" s="109">
        <f t="shared" si="513"/>
        <v>0</v>
      </c>
      <c r="DR222" s="109">
        <f t="shared" si="514"/>
        <v>0</v>
      </c>
      <c r="DS222" s="113">
        <f t="shared" si="515"/>
        <v>0</v>
      </c>
      <c r="DU222" s="102">
        <f t="shared" si="516"/>
        <v>0</v>
      </c>
      <c r="DV222" s="211">
        <f t="shared" si="573"/>
        <v>198</v>
      </c>
      <c r="DW222" s="212">
        <f t="shared" si="517"/>
        <v>0</v>
      </c>
      <c r="DX222" s="212">
        <f t="shared" si="472"/>
        <v>0</v>
      </c>
      <c r="DY222" s="212">
        <f t="shared" si="564"/>
        <v>0</v>
      </c>
      <c r="DZ222" s="213">
        <f t="shared" si="473"/>
        <v>1000000</v>
      </c>
      <c r="ED222" s="182"/>
      <c r="EF222" s="308">
        <f t="shared" ca="1" si="474"/>
        <v>9</v>
      </c>
      <c r="EG222" s="309">
        <f t="shared" si="518"/>
        <v>0</v>
      </c>
      <c r="EH222" s="268">
        <f t="shared" si="475"/>
        <v>0</v>
      </c>
      <c r="EI222" s="33">
        <f t="shared" si="519"/>
        <v>0</v>
      </c>
      <c r="EJ222" s="33">
        <f t="shared" si="437"/>
        <v>0</v>
      </c>
      <c r="EK222" s="33">
        <f t="shared" si="445"/>
        <v>0</v>
      </c>
      <c r="EL222" s="33">
        <f>IF(ER221&lt;0.01,0,IF(Plus!$F$22=Plus!$AN$4,0,IF(Plus!$F$22=Plus!$AN$3,ER221*Plus!$F$23/1000,ER221*VLOOKUP(Plus!$G$21,Plus!$AP$2:'Plus'!$AQ$5,2,0))))</f>
        <v>0</v>
      </c>
      <c r="EM222" s="33">
        <f>IF(ER221&lt;0.01,0,IF(Plus!$F$24=Plus!$AO$3,0,IF(OR(Plus!$F$10=Plus!$AK$7,Plus!$F$10=Plus!$AK$13),0,Plus!$G$13*Plus!$AR$2)))</f>
        <v>0</v>
      </c>
      <c r="EN222" s="33">
        <f>IF(ER221&lt;0.01,0,IF(OR(Plus!$F$10=Plus!$AK$7,Plus!$F$10=Plus!$AK$13),0,Plus!$BD$2*1.16))</f>
        <v>0</v>
      </c>
      <c r="EO222" s="33">
        <f>IF(ER221&lt;0.01,0,IF(Plus!$AS$2&gt;0,EI222*Plus!$AS$3,0))</f>
        <v>0</v>
      </c>
      <c r="EP222" s="33">
        <f t="shared" si="520"/>
        <v>0</v>
      </c>
      <c r="EQ222" s="33">
        <f>IF(Plus!$F$10=Plus!$AK$3,MIN(ER221+EI222+EL222+EM222+EN222-EP222,FC222),0)</f>
        <v>0</v>
      </c>
      <c r="ER222" s="311">
        <f t="shared" si="431"/>
        <v>0</v>
      </c>
      <c r="ES222" s="340">
        <f>Plus!O263</f>
        <v>0</v>
      </c>
      <c r="ET222" s="74"/>
      <c r="EU222" s="74"/>
      <c r="EV222" s="416">
        <f t="shared" si="429"/>
        <v>0</v>
      </c>
      <c r="EY222" s="90">
        <f t="shared" si="521"/>
        <v>6</v>
      </c>
      <c r="EZ222" s="121">
        <f t="shared" si="565"/>
        <v>0</v>
      </c>
      <c r="FB222" s="149">
        <f t="shared" si="566"/>
        <v>0</v>
      </c>
      <c r="FC222" s="2179">
        <f t="shared" ca="1" si="522"/>
        <v>0</v>
      </c>
      <c r="FE222" s="120">
        <f t="shared" si="567"/>
        <v>0</v>
      </c>
      <c r="FF222" s="110">
        <f t="shared" si="523"/>
        <v>0</v>
      </c>
      <c r="FG222" s="110">
        <f t="shared" si="524"/>
        <v>0</v>
      </c>
      <c r="FH222" s="109">
        <f t="shared" si="525"/>
        <v>0</v>
      </c>
      <c r="FI222" s="109">
        <f t="shared" si="476"/>
        <v>0</v>
      </c>
      <c r="FJ222" s="113">
        <f t="shared" si="526"/>
        <v>0</v>
      </c>
      <c r="FL222" s="102">
        <f t="shared" si="527"/>
        <v>0</v>
      </c>
      <c r="FM222" s="211">
        <f t="shared" si="454"/>
        <v>198</v>
      </c>
      <c r="FN222" s="212">
        <f t="shared" si="528"/>
        <v>0</v>
      </c>
      <c r="FO222" s="212">
        <f t="shared" si="477"/>
        <v>0</v>
      </c>
      <c r="FP222" s="212">
        <f t="shared" si="529"/>
        <v>0</v>
      </c>
      <c r="FQ222" s="213">
        <f t="shared" si="478"/>
        <v>1000000</v>
      </c>
      <c r="FV222" s="359"/>
      <c r="FX222" s="308">
        <f t="shared" ca="1" si="479"/>
        <v>9</v>
      </c>
      <c r="FY222" s="309">
        <f t="shared" si="530"/>
        <v>0</v>
      </c>
      <c r="FZ222" s="268">
        <f t="shared" si="480"/>
        <v>0</v>
      </c>
      <c r="GA222" s="33">
        <f t="shared" si="531"/>
        <v>0</v>
      </c>
      <c r="GB222" s="33">
        <f t="shared" si="438"/>
        <v>0</v>
      </c>
      <c r="GC222" s="33">
        <f t="shared" si="439"/>
        <v>0</v>
      </c>
      <c r="GD222" s="33">
        <f>IF(GJ221&lt;0.01,0,IF(Plus!$F$22=Plus!$AN$4,0,IF(Plus!$F$22=Plus!$AN$3,GJ221*Plus!$F$23/1000,GJ221*VLOOKUP(Plus!$G$21,Plus!$AP$2:$AQ$5,2,0))))</f>
        <v>0</v>
      </c>
      <c r="GE222" s="33">
        <f>IF(GJ221&lt;0.01,0,IF(Plus!$F$24=Plus!$AO$3,0,IF(OR(Plus!$F$10=Plus!$AK$7,Plus!$F$10=Plus!$AK$13,Plus!$F$10=Plus!$AK$14),0,IF(OR(Plus!$F$10=Plus!$AK$10,Plus!$F$10=Plus!$AK$11),Plus!$G$13*Adm!$W$7,Plus!$G$13*Adm!$X$4))))</f>
        <v>0</v>
      </c>
      <c r="GF222" s="33">
        <f>IF(GJ221&lt;0.01,0,IF(OR(Plus!$F$10=Plus!$AK$7,Plus!$F$10=Plus!$AK$13),0,Plus!$BD$2*1.16))</f>
        <v>0</v>
      </c>
      <c r="GG222" s="33">
        <f>IF(GJ221&lt;0.01,0,IF(Plus!$AS$2&gt;0,GA222*Plus!$AS$3,0))</f>
        <v>0</v>
      </c>
      <c r="GH222" s="33">
        <f t="shared" si="532"/>
        <v>0</v>
      </c>
      <c r="GI222" s="33">
        <f>IF(Plus!$F$10=Plus!$AK$3,MIN(GJ221+GA222+GD222+GE222+GF222-GH222,GU222),0)</f>
        <v>0</v>
      </c>
      <c r="GJ222" s="311">
        <f t="shared" si="432"/>
        <v>0</v>
      </c>
      <c r="GK222" s="340">
        <f>Plus!O263</f>
        <v>0</v>
      </c>
      <c r="GL222" s="74"/>
      <c r="GM222" s="74"/>
      <c r="GN222" s="419">
        <f t="shared" si="430"/>
        <v>0</v>
      </c>
      <c r="GQ222" s="90">
        <f t="shared" si="533"/>
        <v>6</v>
      </c>
      <c r="GR222" s="121">
        <f t="shared" si="568"/>
        <v>0</v>
      </c>
      <c r="GT222" s="149">
        <f t="shared" si="569"/>
        <v>0</v>
      </c>
      <c r="GU222" s="2179">
        <f t="shared" ca="1" si="534"/>
        <v>0</v>
      </c>
      <c r="GW222" s="120">
        <f t="shared" si="570"/>
        <v>0</v>
      </c>
      <c r="GX222" s="110">
        <f t="shared" si="535"/>
        <v>0</v>
      </c>
      <c r="GY222" s="110">
        <f t="shared" si="536"/>
        <v>0</v>
      </c>
      <c r="GZ222" s="109">
        <f t="shared" si="537"/>
        <v>0</v>
      </c>
      <c r="HA222" s="109">
        <f t="shared" si="481"/>
        <v>0</v>
      </c>
      <c r="HB222" s="113">
        <f t="shared" si="538"/>
        <v>0</v>
      </c>
      <c r="HD222" s="102">
        <f t="shared" si="539"/>
        <v>0</v>
      </c>
      <c r="HE222" s="211">
        <f t="shared" si="455"/>
        <v>198</v>
      </c>
      <c r="HF222" s="212">
        <f t="shared" si="540"/>
        <v>0</v>
      </c>
      <c r="HG222" s="212">
        <f t="shared" si="482"/>
        <v>0</v>
      </c>
      <c r="HH222" s="212">
        <f t="shared" si="541"/>
        <v>0</v>
      </c>
      <c r="HI222" s="213">
        <f t="shared" si="483"/>
        <v>1000000</v>
      </c>
      <c r="HL222" s="182"/>
      <c r="HM222" s="26">
        <f t="shared" ca="1" si="484"/>
        <v>9</v>
      </c>
      <c r="HO222" s="268">
        <f t="shared" si="485"/>
        <v>0</v>
      </c>
      <c r="HP222" s="151">
        <f t="shared" si="448"/>
        <v>0</v>
      </c>
      <c r="HQ222" s="123">
        <f t="shared" si="542"/>
        <v>0</v>
      </c>
      <c r="HR222" s="123">
        <f t="shared" si="543"/>
        <v>0</v>
      </c>
      <c r="HS222" s="123">
        <f t="shared" si="544"/>
        <v>0</v>
      </c>
      <c r="HT222" s="123">
        <f>IF(HY221&lt;0.01,0,IF(Adm!$GS$4=Adm!$GS$8,HY221*$HY$15,IF(Adm!$GS$12=Adm!$GS$13,0,HY221*Adm!$GV$4)))</f>
        <v>0</v>
      </c>
      <c r="HU222" s="123">
        <f>IF(HY221&lt;0.01,0,IF(Adm!$GS$5=Adm!$GS$8,Cal!$BO$108*$HY$16/1.16,IF(Adm!$GS$12=Adm!$GS$13,0,Cal!$BO$108*Adm!$GW$4/1.16)))</f>
        <v>0</v>
      </c>
      <c r="HV222" s="123">
        <f t="shared" si="545"/>
        <v>0</v>
      </c>
      <c r="HW222" s="123">
        <f t="shared" si="486"/>
        <v>0</v>
      </c>
      <c r="HX222" s="123">
        <f>IF(Adm!$GH$6="si",MIN(HY221+HQ222+HT222+HU222+HV222-HW222,IH222),0)</f>
        <v>0</v>
      </c>
      <c r="HY222" s="297">
        <f t="shared" si="546"/>
        <v>0</v>
      </c>
      <c r="HZ222" s="74"/>
      <c r="IA222" s="407">
        <f t="shared" si="547"/>
        <v>0</v>
      </c>
      <c r="IC222" s="90">
        <f t="shared" si="548"/>
        <v>6</v>
      </c>
      <c r="ID222" s="124">
        <f>IF(IC222=1,Cal!$BO$127,0)</f>
        <v>0</v>
      </c>
      <c r="IE222" s="178">
        <f>IF(IC222=1,Adm!$HI$4,0)</f>
        <v>0</v>
      </c>
      <c r="IG222" s="70">
        <f t="shared" si="571"/>
        <v>0</v>
      </c>
      <c r="IH222" s="2178">
        <f t="shared" ca="1" si="549"/>
        <v>0</v>
      </c>
      <c r="IK222" s="217"/>
      <c r="IL222" s="26">
        <f t="shared" ca="1" si="487"/>
        <v>9</v>
      </c>
      <c r="IN222" s="268">
        <f t="shared" si="488"/>
        <v>0</v>
      </c>
      <c r="IO222" s="151">
        <f t="shared" si="449"/>
        <v>0</v>
      </c>
      <c r="IP222" s="123">
        <f t="shared" si="550"/>
        <v>0</v>
      </c>
      <c r="IQ222" s="123">
        <f t="shared" si="551"/>
        <v>0</v>
      </c>
      <c r="IR222" s="123">
        <f t="shared" si="552"/>
        <v>0</v>
      </c>
      <c r="IS222" s="123">
        <f>IF(IX221&lt;0.01,0,IF(Adm!$GS$4=Adm!$GS$8,IX221*$IX$15,IF(Adm!$GS$12=Adm!$GS$13,0,IX221*Adm!$GV$4)))</f>
        <v>0</v>
      </c>
      <c r="IT222" s="123"/>
      <c r="IU222" s="123">
        <f t="shared" si="553"/>
        <v>0</v>
      </c>
      <c r="IV222" s="123">
        <f t="shared" si="554"/>
        <v>0</v>
      </c>
      <c r="IW222" s="123"/>
      <c r="IX222" s="297">
        <f t="shared" si="555"/>
        <v>0</v>
      </c>
      <c r="IY222" s="74"/>
      <c r="IZ222" s="416">
        <f t="shared" si="556"/>
        <v>0</v>
      </c>
      <c r="JB222" s="90">
        <f t="shared" si="557"/>
        <v>6</v>
      </c>
      <c r="JC222" s="124">
        <f>IF(JB222=1,Cal!$BP$127,0)</f>
        <v>0</v>
      </c>
      <c r="JD222" s="178">
        <f>IF(JB222=1,Adm!$HI$4,0)</f>
        <v>0</v>
      </c>
    </row>
    <row r="223" spans="1:264">
      <c r="A223" s="26">
        <f t="shared" ca="1" si="456"/>
        <v>10</v>
      </c>
      <c r="C223" s="33">
        <f t="shared" si="457"/>
        <v>0</v>
      </c>
      <c r="D223" s="123">
        <f t="shared" si="489"/>
        <v>0</v>
      </c>
      <c r="E223" s="123">
        <f t="shared" si="433"/>
        <v>0</v>
      </c>
      <c r="F223" s="123">
        <f t="shared" si="443"/>
        <v>0</v>
      </c>
      <c r="G223" s="123">
        <f>IF(L222&lt;0.01,0,IF(Adm!$S$4=Adm!$S$8,L222*$L$15,L222*Adm!$V$4))</f>
        <v>0</v>
      </c>
      <c r="H223" s="123">
        <f>IF(L222&lt;0.01,0,IF(Adm!$S$5=Adm!$S$8,Adm!$AA$11*$L$16/1.16,IF(Adm!$B$4=Adm!$A$119,0,Adm!$AA$11*Adm!$X$4/1.16)))</f>
        <v>0</v>
      </c>
      <c r="I223" s="123">
        <f>IF(L222&lt;0.01,0,Cal!$AB$126/1.16)</f>
        <v>0</v>
      </c>
      <c r="J223" s="123">
        <f t="shared" si="458"/>
        <v>0</v>
      </c>
      <c r="K223" s="123">
        <f>IF(Adm!$G$4="si",MIN(L222+D223+G223+H223+I223-J223,V223),0)</f>
        <v>0</v>
      </c>
      <c r="L223" s="123">
        <f t="shared" si="490"/>
        <v>0</v>
      </c>
      <c r="M223" s="74"/>
      <c r="N223" s="74"/>
      <c r="O223" s="407">
        <f t="shared" si="491"/>
        <v>0</v>
      </c>
      <c r="R223" s="90">
        <f t="shared" si="492"/>
        <v>7</v>
      </c>
      <c r="S223" s="121">
        <f>IF(R223=1,Cal!$AB$127,0)</f>
        <v>0</v>
      </c>
      <c r="U223" s="70">
        <f t="shared" si="558"/>
        <v>0</v>
      </c>
      <c r="V223" s="2178">
        <f t="shared" ca="1" si="493"/>
        <v>0</v>
      </c>
      <c r="X223" s="398"/>
      <c r="Z223" s="268">
        <f t="shared" si="459"/>
        <v>0</v>
      </c>
      <c r="AA223" s="2176">
        <f t="shared" si="494"/>
        <v>0</v>
      </c>
      <c r="AB223" s="33">
        <f t="shared" si="495"/>
        <v>0</v>
      </c>
      <c r="AC223" s="33">
        <f t="shared" si="496"/>
        <v>0</v>
      </c>
      <c r="AD223" s="33">
        <f>IF(AI222&lt;0.01,0,IF(Adm!$S$4=Adm!$S$8,AI222*$AI$15,AI222*Adm!$V$4))</f>
        <v>0</v>
      </c>
      <c r="AE223" s="33"/>
      <c r="AF223" s="33"/>
      <c r="AG223" s="33">
        <f t="shared" si="460"/>
        <v>0</v>
      </c>
      <c r="AH223" s="33"/>
      <c r="AI223" s="401">
        <f t="shared" si="461"/>
        <v>0</v>
      </c>
      <c r="AK223" s="410">
        <f t="shared" si="462"/>
        <v>0</v>
      </c>
      <c r="AN223" s="90">
        <f t="shared" si="497"/>
        <v>7</v>
      </c>
      <c r="AO223" s="121">
        <f>IF(AN223=1,Cal!$AC$127,0)</f>
        <v>0</v>
      </c>
      <c r="AS223" s="200"/>
      <c r="AU223" s="268">
        <f t="shared" si="463"/>
        <v>0</v>
      </c>
      <c r="AV223" s="2177">
        <f t="shared" si="498"/>
        <v>0</v>
      </c>
      <c r="AW223" s="123">
        <f t="shared" si="464"/>
        <v>0</v>
      </c>
      <c r="AX223" s="123">
        <f t="shared" si="499"/>
        <v>0</v>
      </c>
      <c r="AY223" s="123">
        <f>IF(BC222&lt;0.01,0,IF(Adm!$S$4=Adm!$S$8,BC222*$BC$16,BC222*Adm!$V$4))</f>
        <v>0</v>
      </c>
      <c r="AZ223" s="123"/>
      <c r="BA223" s="123">
        <f>IF(BC222&lt;0.01,0,Adm!$Q$6)</f>
        <v>0</v>
      </c>
      <c r="BB223" s="123">
        <f t="shared" si="465"/>
        <v>0</v>
      </c>
      <c r="BC223" s="297">
        <f t="shared" si="500"/>
        <v>0</v>
      </c>
      <c r="BE223" s="425">
        <f t="shared" si="466"/>
        <v>0</v>
      </c>
      <c r="BH223" s="90">
        <f t="shared" si="501"/>
        <v>7</v>
      </c>
      <c r="BI223" s="121">
        <f>IF(BH223=1,Cal!$AD$127,0)</f>
        <v>0</v>
      </c>
      <c r="BM223" s="221"/>
      <c r="BO223" s="295">
        <f t="shared" ca="1" si="467"/>
        <v>10</v>
      </c>
      <c r="BP223" s="268">
        <f t="shared" si="468"/>
        <v>0</v>
      </c>
      <c r="BQ223" s="123">
        <f t="shared" si="502"/>
        <v>0</v>
      </c>
      <c r="BR223" s="123">
        <f t="shared" si="434"/>
        <v>0</v>
      </c>
      <c r="BS223" s="123">
        <f t="shared" si="444"/>
        <v>0</v>
      </c>
      <c r="BT223" s="123">
        <f>IF(BZ222&lt;0.01,0,IF(Plus!$F$22=Plus!$AN$4,BZ222*$BZ$15,IF(Plus!$F$22=Plus!$AN$3,BZ222*Plus!$F$23/1000,BZ222*VLOOKUP(Plus!$G$21,Plus!$AP$2:'Plus'!$AQ$5,2,0))))</f>
        <v>0</v>
      </c>
      <c r="BU223" s="123">
        <f>IF(BZ222&lt;0.01,0,IF(Plus!$F$24=Plus!$AO$3,Plus!$G$13*Plus!$AR$2/1.16,IF(Plus!$F$10=Plus!$AK$7,0,Plus!$G$13*Plus!$AR$2/1.16)))</f>
        <v>0</v>
      </c>
      <c r="BV223" s="123">
        <f>IF(BZ222&lt;0.01,0,Plus!$BD$2)</f>
        <v>0</v>
      </c>
      <c r="BW223" s="123"/>
      <c r="BX223" s="123">
        <f t="shared" si="469"/>
        <v>0</v>
      </c>
      <c r="BY223" s="123">
        <f>IF(Plus!$F$10=Plus!$AK$3,MIN(BZ222+BQ223+BT223+BU223+BV223-BX223,CJ223),0)</f>
        <v>0</v>
      </c>
      <c r="BZ223" s="297">
        <f t="shared" si="428"/>
        <v>0</v>
      </c>
      <c r="CA223" s="74"/>
      <c r="CB223" s="74"/>
      <c r="CC223" s="413">
        <f t="shared" si="503"/>
        <v>0</v>
      </c>
      <c r="CF223" s="90">
        <f t="shared" si="504"/>
        <v>7</v>
      </c>
      <c r="CG223" s="121">
        <f t="shared" si="559"/>
        <v>0</v>
      </c>
      <c r="CI223" s="70">
        <f t="shared" si="560"/>
        <v>0</v>
      </c>
      <c r="CJ223" s="2178">
        <f t="shared" ca="1" si="505"/>
        <v>0</v>
      </c>
      <c r="CL223" s="161"/>
      <c r="CN223" s="308">
        <f t="shared" ca="1" si="470"/>
        <v>10</v>
      </c>
      <c r="CO223" s="309">
        <f t="shared" si="506"/>
        <v>0</v>
      </c>
      <c r="CP223" s="268">
        <f t="shared" si="471"/>
        <v>0</v>
      </c>
      <c r="CQ223" s="123">
        <f t="shared" si="507"/>
        <v>0</v>
      </c>
      <c r="CR223" s="123">
        <f t="shared" si="435"/>
        <v>0</v>
      </c>
      <c r="CS223" s="123">
        <f t="shared" si="436"/>
        <v>0</v>
      </c>
      <c r="CT223" s="33">
        <f>IF(CZ222&lt;0.01,0,IF(Plus!$F$22=Plus!$AN$4,0,IF(Plus!$F$22=Plus!$AN$3,CZ222*Plus!$F$23/1000,CZ222*VLOOKUP(Plus!$G$21,Plus!$AP$2:'Plus'!$AQ$5,2,0))))</f>
        <v>0</v>
      </c>
      <c r="CU223" s="123">
        <f>IF(CZ222&lt;0.01,0,IF(Plus!$F$24=Plus!$AO$3,0,IF(OR(Plus!$F$10=Plus!$AK$7,Plus!$F$10=Plus!$AK$13),0,Plus!$G$13*Plus!$AR$2)))</f>
        <v>0</v>
      </c>
      <c r="CV223" s="123">
        <f>IF(CZ222&lt;0.01,0,IF(OR(Plus!$F$10=Plus!$AK$7,Plus!$F$10=Plus!$AK$13),0,Plus!$BD$2*1.16))</f>
        <v>0</v>
      </c>
      <c r="CW223" s="123">
        <f>IF(CZ222&lt;0.01,0,IF(Plus!$AS$2&gt;0,CQ223*Plus!$AS$3,0))</f>
        <v>0</v>
      </c>
      <c r="CX223" s="123">
        <f t="shared" si="508"/>
        <v>0</v>
      </c>
      <c r="CY223" s="123">
        <f>IF(Plus!$F$10=Plus!$AK$3,MIN(CZ222+CQ223+CT223+CU223+CV223-CX223,DK223),0)</f>
        <v>0</v>
      </c>
      <c r="CZ223" s="297">
        <f t="shared" si="440"/>
        <v>0</v>
      </c>
      <c r="DA223" s="306">
        <f>Plus!O264</f>
        <v>0</v>
      </c>
      <c r="DB223" s="74"/>
      <c r="DC223" s="74"/>
      <c r="DD223" s="407">
        <f t="shared" si="509"/>
        <v>0</v>
      </c>
      <c r="DG223" s="90">
        <f t="shared" si="510"/>
        <v>7</v>
      </c>
      <c r="DH223" s="121">
        <f t="shared" si="561"/>
        <v>0</v>
      </c>
      <c r="DJ223" s="149">
        <f t="shared" si="562"/>
        <v>0</v>
      </c>
      <c r="DK223" s="2179">
        <f t="shared" ca="1" si="511"/>
        <v>0</v>
      </c>
      <c r="DN223" s="120">
        <f t="shared" si="563"/>
        <v>0</v>
      </c>
      <c r="DO223" s="110">
        <f t="shared" si="512"/>
        <v>0</v>
      </c>
      <c r="DP223" s="110">
        <f t="shared" si="572"/>
        <v>0</v>
      </c>
      <c r="DQ223" s="109">
        <f t="shared" si="513"/>
        <v>0</v>
      </c>
      <c r="DR223" s="109">
        <f t="shared" si="514"/>
        <v>0</v>
      </c>
      <c r="DS223" s="113">
        <f t="shared" si="515"/>
        <v>0</v>
      </c>
      <c r="DU223" s="102">
        <f t="shared" si="516"/>
        <v>0</v>
      </c>
      <c r="DV223" s="211">
        <f t="shared" si="573"/>
        <v>199</v>
      </c>
      <c r="DW223" s="212">
        <f t="shared" si="517"/>
        <v>0</v>
      </c>
      <c r="DX223" s="212">
        <f t="shared" si="472"/>
        <v>0</v>
      </c>
      <c r="DY223" s="212">
        <f t="shared" si="564"/>
        <v>0</v>
      </c>
      <c r="DZ223" s="213">
        <f t="shared" si="473"/>
        <v>1000000</v>
      </c>
      <c r="ED223" s="182"/>
      <c r="EF223" s="308">
        <f t="shared" ca="1" si="474"/>
        <v>10</v>
      </c>
      <c r="EG223" s="309">
        <f t="shared" si="518"/>
        <v>0</v>
      </c>
      <c r="EH223" s="268">
        <f t="shared" si="475"/>
        <v>0</v>
      </c>
      <c r="EI223" s="33">
        <f t="shared" si="519"/>
        <v>0</v>
      </c>
      <c r="EJ223" s="33">
        <f t="shared" si="437"/>
        <v>0</v>
      </c>
      <c r="EK223" s="33">
        <f t="shared" si="445"/>
        <v>0</v>
      </c>
      <c r="EL223" s="33">
        <f>IF(ER222&lt;0.01,0,IF(Plus!$F$22=Plus!$AN$4,0,IF(Plus!$F$22=Plus!$AN$3,ER222*Plus!$F$23/1000,ER222*VLOOKUP(Plus!$G$21,Plus!$AP$2:'Plus'!$AQ$5,2,0))))</f>
        <v>0</v>
      </c>
      <c r="EM223" s="33">
        <f>IF(ER222&lt;0.01,0,IF(Plus!$F$24=Plus!$AO$3,0,IF(OR(Plus!$F$10=Plus!$AK$7,Plus!$F$10=Plus!$AK$13),0,Plus!$G$13*Plus!$AR$2)))</f>
        <v>0</v>
      </c>
      <c r="EN223" s="33">
        <f>IF(ER222&lt;0.01,0,IF(OR(Plus!$F$10=Plus!$AK$7,Plus!$F$10=Plus!$AK$13),0,Plus!$BD$2*1.16))</f>
        <v>0</v>
      </c>
      <c r="EO223" s="33">
        <f>IF(ER222&lt;0.01,0,IF(Plus!$AS$2&gt;0,EI223*Plus!$AS$3,0))</f>
        <v>0</v>
      </c>
      <c r="EP223" s="33">
        <f t="shared" si="520"/>
        <v>0</v>
      </c>
      <c r="EQ223" s="33">
        <f>IF(Plus!$F$10=Plus!$AK$3,MIN(ER222+EI223+EL223+EM223+EN223-EP223,FC223),0)</f>
        <v>0</v>
      </c>
      <c r="ER223" s="311">
        <f t="shared" si="431"/>
        <v>0</v>
      </c>
      <c r="ES223" s="340">
        <f>Plus!O264</f>
        <v>0</v>
      </c>
      <c r="ET223" s="74"/>
      <c r="EU223" s="74"/>
      <c r="EV223" s="416">
        <f t="shared" si="429"/>
        <v>0</v>
      </c>
      <c r="EY223" s="90">
        <f t="shared" si="521"/>
        <v>7</v>
      </c>
      <c r="EZ223" s="121">
        <f t="shared" si="565"/>
        <v>0</v>
      </c>
      <c r="FB223" s="149">
        <f t="shared" si="566"/>
        <v>0</v>
      </c>
      <c r="FC223" s="2179">
        <f t="shared" ca="1" si="522"/>
        <v>0</v>
      </c>
      <c r="FE223" s="120">
        <f t="shared" si="567"/>
        <v>0</v>
      </c>
      <c r="FF223" s="110">
        <f t="shared" si="523"/>
        <v>0</v>
      </c>
      <c r="FG223" s="110">
        <f t="shared" si="524"/>
        <v>0</v>
      </c>
      <c r="FH223" s="109">
        <f t="shared" si="525"/>
        <v>0</v>
      </c>
      <c r="FI223" s="109">
        <f t="shared" si="476"/>
        <v>0</v>
      </c>
      <c r="FJ223" s="113">
        <f t="shared" si="526"/>
        <v>0</v>
      </c>
      <c r="FL223" s="102">
        <f t="shared" si="527"/>
        <v>0</v>
      </c>
      <c r="FM223" s="211">
        <f t="shared" si="454"/>
        <v>199</v>
      </c>
      <c r="FN223" s="212">
        <f t="shared" si="528"/>
        <v>0</v>
      </c>
      <c r="FO223" s="212">
        <f t="shared" si="477"/>
        <v>0</v>
      </c>
      <c r="FP223" s="212">
        <f t="shared" si="529"/>
        <v>0</v>
      </c>
      <c r="FQ223" s="213">
        <f t="shared" si="478"/>
        <v>1000000</v>
      </c>
      <c r="FV223" s="359"/>
      <c r="FX223" s="308">
        <f t="shared" ca="1" si="479"/>
        <v>10</v>
      </c>
      <c r="FY223" s="309">
        <f t="shared" si="530"/>
        <v>0</v>
      </c>
      <c r="FZ223" s="268">
        <f t="shared" si="480"/>
        <v>0</v>
      </c>
      <c r="GA223" s="33">
        <f t="shared" si="531"/>
        <v>0</v>
      </c>
      <c r="GB223" s="33">
        <f t="shared" si="438"/>
        <v>0</v>
      </c>
      <c r="GC223" s="33">
        <f t="shared" si="439"/>
        <v>0</v>
      </c>
      <c r="GD223" s="33">
        <f>IF(GJ222&lt;0.01,0,IF(Plus!$F$22=Plus!$AN$4,0,IF(Plus!$F$22=Plus!$AN$3,GJ222*Plus!$F$23/1000,GJ222*VLOOKUP(Plus!$G$21,Plus!$AP$2:$AQ$5,2,0))))</f>
        <v>0</v>
      </c>
      <c r="GE223" s="33">
        <f>IF(GJ222&lt;0.01,0,IF(Plus!$F$24=Plus!$AO$3,0,IF(OR(Plus!$F$10=Plus!$AK$7,Plus!$F$10=Plus!$AK$13,Plus!$F$10=Plus!$AK$14),0,IF(OR(Plus!$F$10=Plus!$AK$10,Plus!$F$10=Plus!$AK$11),Plus!$G$13*Adm!$W$7,Plus!$G$13*Adm!$X$4))))</f>
        <v>0</v>
      </c>
      <c r="GF223" s="33">
        <f>IF(GJ222&lt;0.01,0,IF(OR(Plus!$F$10=Plus!$AK$7,Plus!$F$10=Plus!$AK$13),0,Plus!$BD$2*1.16))</f>
        <v>0</v>
      </c>
      <c r="GG223" s="33">
        <f>IF(GJ222&lt;0.01,0,IF(Plus!$AS$2&gt;0,GA223*Plus!$AS$3,0))</f>
        <v>0</v>
      </c>
      <c r="GH223" s="33">
        <f t="shared" si="532"/>
        <v>0</v>
      </c>
      <c r="GI223" s="33">
        <f>IF(Plus!$F$10=Plus!$AK$3,MIN(GJ222+GA223+GD223+GE223+GF223-GH223,GU223),0)</f>
        <v>0</v>
      </c>
      <c r="GJ223" s="311">
        <f t="shared" si="432"/>
        <v>0</v>
      </c>
      <c r="GK223" s="340">
        <f>Plus!O264</f>
        <v>0</v>
      </c>
      <c r="GL223" s="74"/>
      <c r="GM223" s="74"/>
      <c r="GN223" s="419">
        <f t="shared" si="430"/>
        <v>0</v>
      </c>
      <c r="GQ223" s="90">
        <f t="shared" si="533"/>
        <v>7</v>
      </c>
      <c r="GR223" s="121">
        <f t="shared" si="568"/>
        <v>0</v>
      </c>
      <c r="GT223" s="149">
        <f t="shared" si="569"/>
        <v>0</v>
      </c>
      <c r="GU223" s="2179">
        <f t="shared" ca="1" si="534"/>
        <v>0</v>
      </c>
      <c r="GW223" s="120">
        <f t="shared" si="570"/>
        <v>0</v>
      </c>
      <c r="GX223" s="110">
        <f t="shared" si="535"/>
        <v>0</v>
      </c>
      <c r="GY223" s="110">
        <f t="shared" si="536"/>
        <v>0</v>
      </c>
      <c r="GZ223" s="109">
        <f t="shared" si="537"/>
        <v>0</v>
      </c>
      <c r="HA223" s="109">
        <f t="shared" si="481"/>
        <v>0</v>
      </c>
      <c r="HB223" s="113">
        <f t="shared" si="538"/>
        <v>0</v>
      </c>
      <c r="HD223" s="102">
        <f t="shared" si="539"/>
        <v>0</v>
      </c>
      <c r="HE223" s="211">
        <f t="shared" si="455"/>
        <v>199</v>
      </c>
      <c r="HF223" s="212">
        <f t="shared" si="540"/>
        <v>0</v>
      </c>
      <c r="HG223" s="212">
        <f t="shared" si="482"/>
        <v>0</v>
      </c>
      <c r="HH223" s="212">
        <f t="shared" si="541"/>
        <v>0</v>
      </c>
      <c r="HI223" s="213">
        <f t="shared" si="483"/>
        <v>1000000</v>
      </c>
      <c r="HL223" s="182"/>
      <c r="HM223" s="26">
        <f t="shared" ca="1" si="484"/>
        <v>10</v>
      </c>
      <c r="HO223" s="268">
        <f t="shared" si="485"/>
        <v>0</v>
      </c>
      <c r="HP223" s="151">
        <f t="shared" si="448"/>
        <v>0</v>
      </c>
      <c r="HQ223" s="123">
        <f t="shared" si="542"/>
        <v>0</v>
      </c>
      <c r="HR223" s="123">
        <f t="shared" si="543"/>
        <v>0</v>
      </c>
      <c r="HS223" s="123">
        <f t="shared" si="544"/>
        <v>0</v>
      </c>
      <c r="HT223" s="123">
        <f>IF(HY222&lt;0.01,0,IF(Adm!$GS$4=Adm!$GS$8,HY222*$HY$15,IF(Adm!$GS$12=Adm!$GS$13,0,HY222*Adm!$GV$4)))</f>
        <v>0</v>
      </c>
      <c r="HU223" s="123">
        <f>IF(HY222&lt;0.01,0,IF(Adm!$GS$5=Adm!$GS$8,Cal!$BO$108*$HY$16/1.16,IF(Adm!$GS$12=Adm!$GS$13,0,Cal!$BO$108*Adm!$GW$4/1.16)))</f>
        <v>0</v>
      </c>
      <c r="HV223" s="123">
        <f t="shared" si="545"/>
        <v>0</v>
      </c>
      <c r="HW223" s="123">
        <f t="shared" si="486"/>
        <v>0</v>
      </c>
      <c r="HX223" s="123">
        <f>IF(Adm!$GH$6="si",MIN(HY222+HQ223+HT223+HU223+HV223-HW223,IH223),0)</f>
        <v>0</v>
      </c>
      <c r="HY223" s="297">
        <f t="shared" si="546"/>
        <v>0</v>
      </c>
      <c r="HZ223" s="74"/>
      <c r="IA223" s="407">
        <f t="shared" si="547"/>
        <v>0</v>
      </c>
      <c r="IC223" s="90">
        <f t="shared" si="548"/>
        <v>7</v>
      </c>
      <c r="ID223" s="124">
        <f>IF(IC223=1,Cal!$BO$127,0)</f>
        <v>0</v>
      </c>
      <c r="IE223" s="178">
        <f>IF(IC223=1,Adm!$HI$4,0)</f>
        <v>0</v>
      </c>
      <c r="IG223" s="70">
        <f t="shared" si="571"/>
        <v>0</v>
      </c>
      <c r="IH223" s="2178">
        <f t="shared" ca="1" si="549"/>
        <v>0</v>
      </c>
      <c r="IK223" s="217"/>
      <c r="IL223" s="26">
        <f t="shared" ca="1" si="487"/>
        <v>10</v>
      </c>
      <c r="IN223" s="268">
        <f t="shared" si="488"/>
        <v>0</v>
      </c>
      <c r="IO223" s="151">
        <f t="shared" si="449"/>
        <v>0</v>
      </c>
      <c r="IP223" s="123">
        <f t="shared" si="550"/>
        <v>0</v>
      </c>
      <c r="IQ223" s="123">
        <f t="shared" si="551"/>
        <v>0</v>
      </c>
      <c r="IR223" s="123">
        <f t="shared" si="552"/>
        <v>0</v>
      </c>
      <c r="IS223" s="123">
        <f>IF(IX222&lt;0.01,0,IF(Adm!$GS$4=Adm!$GS$8,IX222*$IX$15,IF(Adm!$GS$12=Adm!$GS$13,0,IX222*Adm!$GV$4)))</f>
        <v>0</v>
      </c>
      <c r="IT223" s="123"/>
      <c r="IU223" s="123">
        <f t="shared" si="553"/>
        <v>0</v>
      </c>
      <c r="IV223" s="123">
        <f t="shared" si="554"/>
        <v>0</v>
      </c>
      <c r="IW223" s="123"/>
      <c r="IX223" s="297">
        <f t="shared" si="555"/>
        <v>0</v>
      </c>
      <c r="IY223" s="74"/>
      <c r="IZ223" s="416">
        <f t="shared" si="556"/>
        <v>0</v>
      </c>
      <c r="JB223" s="90">
        <f t="shared" si="557"/>
        <v>7</v>
      </c>
      <c r="JC223" s="124">
        <f>IF(JB223=1,Cal!$BP$127,0)</f>
        <v>0</v>
      </c>
      <c r="JD223" s="178">
        <f>IF(JB223=1,Adm!$HI$4,0)</f>
        <v>0</v>
      </c>
    </row>
    <row r="224" spans="1:264">
      <c r="A224" s="26">
        <f t="shared" ca="1" si="456"/>
        <v>11</v>
      </c>
      <c r="C224" s="33">
        <f t="shared" si="457"/>
        <v>0</v>
      </c>
      <c r="D224" s="123">
        <f t="shared" si="489"/>
        <v>0</v>
      </c>
      <c r="E224" s="123">
        <f t="shared" si="433"/>
        <v>0</v>
      </c>
      <c r="F224" s="123">
        <f t="shared" si="443"/>
        <v>0</v>
      </c>
      <c r="G224" s="123">
        <f>IF(L223&lt;0.01,0,IF(Adm!$S$4=Adm!$S$8,L223*$L$15,L223*Adm!$V$4))</f>
        <v>0</v>
      </c>
      <c r="H224" s="123">
        <f>IF(L223&lt;0.01,0,IF(Adm!$S$5=Adm!$S$8,Adm!$AA$11*$L$16/1.16,IF(Adm!$B$4=Adm!$A$119,0,Adm!$AA$11*Adm!$X$4/1.16)))</f>
        <v>0</v>
      </c>
      <c r="I224" s="123">
        <f>IF(L223&lt;0.01,0,Cal!$AB$126/1.16)</f>
        <v>0</v>
      </c>
      <c r="J224" s="123">
        <f t="shared" si="458"/>
        <v>0</v>
      </c>
      <c r="K224" s="123">
        <f>IF(Adm!$G$4="si",MIN(L223+D224+G224+H224+I224-J224,V224),0)</f>
        <v>0</v>
      </c>
      <c r="L224" s="123">
        <f t="shared" si="490"/>
        <v>0</v>
      </c>
      <c r="M224" s="74"/>
      <c r="N224" s="74"/>
      <c r="O224" s="407">
        <f t="shared" si="491"/>
        <v>0</v>
      </c>
      <c r="R224" s="90">
        <f t="shared" si="492"/>
        <v>8</v>
      </c>
      <c r="S224" s="121">
        <f>IF(R224=1,Cal!$AB$127,0)</f>
        <v>0</v>
      </c>
      <c r="U224" s="70">
        <f t="shared" si="558"/>
        <v>0</v>
      </c>
      <c r="V224" s="2178">
        <f t="shared" ca="1" si="493"/>
        <v>0</v>
      </c>
      <c r="X224" s="398"/>
      <c r="Z224" s="268">
        <f t="shared" si="459"/>
        <v>0</v>
      </c>
      <c r="AA224" s="2176">
        <f t="shared" si="494"/>
        <v>0</v>
      </c>
      <c r="AB224" s="33">
        <f t="shared" si="495"/>
        <v>0</v>
      </c>
      <c r="AC224" s="33">
        <f t="shared" si="496"/>
        <v>0</v>
      </c>
      <c r="AD224" s="33">
        <f>IF(AI223&lt;0.01,0,IF(Adm!$S$4=Adm!$S$8,AI223*$AI$15,AI223*Adm!$V$4))</f>
        <v>0</v>
      </c>
      <c r="AE224" s="33"/>
      <c r="AF224" s="33"/>
      <c r="AG224" s="33">
        <f t="shared" si="460"/>
        <v>0</v>
      </c>
      <c r="AH224" s="33"/>
      <c r="AI224" s="401">
        <f t="shared" si="461"/>
        <v>0</v>
      </c>
      <c r="AK224" s="410">
        <f t="shared" si="462"/>
        <v>0</v>
      </c>
      <c r="AN224" s="90">
        <f t="shared" si="497"/>
        <v>8</v>
      </c>
      <c r="AO224" s="121">
        <f>IF(AN224=1,Cal!$AC$127,0)</f>
        <v>0</v>
      </c>
      <c r="AS224" s="200"/>
      <c r="AU224" s="268">
        <f t="shared" si="463"/>
        <v>0</v>
      </c>
      <c r="AV224" s="2177">
        <f t="shared" si="498"/>
        <v>0</v>
      </c>
      <c r="AW224" s="123">
        <f t="shared" si="464"/>
        <v>0</v>
      </c>
      <c r="AX224" s="123">
        <f t="shared" si="499"/>
        <v>0</v>
      </c>
      <c r="AY224" s="123">
        <f>IF(BC223&lt;0.01,0,IF(Adm!$S$4=Adm!$S$8,BC223*$BC$16,BC223*Adm!$V$4))</f>
        <v>0</v>
      </c>
      <c r="AZ224" s="123"/>
      <c r="BA224" s="123">
        <f>IF(BC223&lt;0.01,0,Adm!$Q$6)</f>
        <v>0</v>
      </c>
      <c r="BB224" s="123">
        <f t="shared" si="465"/>
        <v>0</v>
      </c>
      <c r="BC224" s="297">
        <f t="shared" si="500"/>
        <v>0</v>
      </c>
      <c r="BE224" s="425">
        <f t="shared" si="466"/>
        <v>0</v>
      </c>
      <c r="BH224" s="90">
        <f t="shared" si="501"/>
        <v>8</v>
      </c>
      <c r="BI224" s="121">
        <f>IF(BH224=1,Cal!$AD$127,0)</f>
        <v>0</v>
      </c>
      <c r="BM224" s="221"/>
      <c r="BO224" s="295">
        <f t="shared" ca="1" si="467"/>
        <v>11</v>
      </c>
      <c r="BP224" s="268">
        <f t="shared" si="468"/>
        <v>0</v>
      </c>
      <c r="BQ224" s="123">
        <f t="shared" si="502"/>
        <v>0</v>
      </c>
      <c r="BR224" s="123">
        <f t="shared" si="434"/>
        <v>0</v>
      </c>
      <c r="BS224" s="123">
        <f t="shared" si="444"/>
        <v>0</v>
      </c>
      <c r="BT224" s="123">
        <f>IF(BZ223&lt;0.01,0,IF(Plus!$F$22=Plus!$AN$4,BZ223*$BZ$15,IF(Plus!$F$22=Plus!$AN$3,BZ223*Plus!$F$23/1000,BZ223*VLOOKUP(Plus!$G$21,Plus!$AP$2:'Plus'!$AQ$5,2,0))))</f>
        <v>0</v>
      </c>
      <c r="BU224" s="123">
        <f>IF(BZ223&lt;0.01,0,IF(Plus!$F$24=Plus!$AO$3,Plus!$G$13*Plus!$AR$2/1.16,IF(Plus!$F$10=Plus!$AK$7,0,Plus!$G$13*Plus!$AR$2/1.16)))</f>
        <v>0</v>
      </c>
      <c r="BV224" s="123">
        <f>IF(BZ223&lt;0.01,0,Plus!$BD$2)</f>
        <v>0</v>
      </c>
      <c r="BW224" s="123"/>
      <c r="BX224" s="123">
        <f t="shared" si="469"/>
        <v>0</v>
      </c>
      <c r="BY224" s="123">
        <f>IF(Plus!$F$10=Plus!$AK$3,MIN(BZ223+BQ224+BT224+BU224+BV224-BX224,CJ224),0)</f>
        <v>0</v>
      </c>
      <c r="BZ224" s="297">
        <f t="shared" si="428"/>
        <v>0</v>
      </c>
      <c r="CA224" s="74"/>
      <c r="CB224" s="74"/>
      <c r="CC224" s="413">
        <f t="shared" si="503"/>
        <v>0</v>
      </c>
      <c r="CF224" s="90">
        <f t="shared" si="504"/>
        <v>8</v>
      </c>
      <c r="CG224" s="121">
        <f t="shared" si="559"/>
        <v>0</v>
      </c>
      <c r="CI224" s="70">
        <f t="shared" si="560"/>
        <v>0</v>
      </c>
      <c r="CJ224" s="2178">
        <f t="shared" ca="1" si="505"/>
        <v>0</v>
      </c>
      <c r="CL224" s="161"/>
      <c r="CN224" s="308">
        <f t="shared" ca="1" si="470"/>
        <v>11</v>
      </c>
      <c r="CO224" s="309">
        <f t="shared" si="506"/>
        <v>0</v>
      </c>
      <c r="CP224" s="268">
        <f t="shared" si="471"/>
        <v>0</v>
      </c>
      <c r="CQ224" s="123">
        <f t="shared" si="507"/>
        <v>0</v>
      </c>
      <c r="CR224" s="123">
        <f t="shared" si="435"/>
        <v>0</v>
      </c>
      <c r="CS224" s="123">
        <f t="shared" si="436"/>
        <v>0</v>
      </c>
      <c r="CT224" s="33">
        <f>IF(CZ223&lt;0.01,0,IF(Plus!$F$22=Plus!$AN$4,0,IF(Plus!$F$22=Plus!$AN$3,CZ223*Plus!$F$23/1000,CZ223*VLOOKUP(Plus!$G$21,Plus!$AP$2:'Plus'!$AQ$5,2,0))))</f>
        <v>0</v>
      </c>
      <c r="CU224" s="123">
        <f>IF(CZ223&lt;0.01,0,IF(Plus!$F$24=Plus!$AO$3,0,IF(OR(Plus!$F$10=Plus!$AK$7,Plus!$F$10=Plus!$AK$13),0,Plus!$G$13*Plus!$AR$2)))</f>
        <v>0</v>
      </c>
      <c r="CV224" s="123">
        <f>IF(CZ223&lt;0.01,0,IF(OR(Plus!$F$10=Plus!$AK$7,Plus!$F$10=Plus!$AK$13),0,Plus!$BD$2*1.16))</f>
        <v>0</v>
      </c>
      <c r="CW224" s="123">
        <f>IF(CZ223&lt;0.01,0,IF(Plus!$AS$2&gt;0,CQ224*Plus!$AS$3,0))</f>
        <v>0</v>
      </c>
      <c r="CX224" s="123">
        <f t="shared" si="508"/>
        <v>0</v>
      </c>
      <c r="CY224" s="123">
        <f>IF(Plus!$F$10=Plus!$AK$3,MIN(CZ223+CQ224+CT224+CU224+CV224-CX224,DK224),0)</f>
        <v>0</v>
      </c>
      <c r="CZ224" s="297">
        <f t="shared" si="440"/>
        <v>0</v>
      </c>
      <c r="DA224" s="306">
        <f>Plus!O265</f>
        <v>0</v>
      </c>
      <c r="DB224" s="74"/>
      <c r="DC224" s="74"/>
      <c r="DD224" s="407">
        <f t="shared" si="509"/>
        <v>0</v>
      </c>
      <c r="DG224" s="90">
        <f t="shared" si="510"/>
        <v>8</v>
      </c>
      <c r="DH224" s="121">
        <f t="shared" si="561"/>
        <v>0</v>
      </c>
      <c r="DJ224" s="149">
        <f t="shared" si="562"/>
        <v>0</v>
      </c>
      <c r="DK224" s="2179">
        <f t="shared" ca="1" si="511"/>
        <v>0</v>
      </c>
      <c r="DN224" s="120">
        <f t="shared" si="563"/>
        <v>0</v>
      </c>
      <c r="DO224" s="110">
        <f t="shared" si="512"/>
        <v>0</v>
      </c>
      <c r="DP224" s="110">
        <f t="shared" si="572"/>
        <v>0</v>
      </c>
      <c r="DQ224" s="109">
        <f t="shared" si="513"/>
        <v>0</v>
      </c>
      <c r="DR224" s="109">
        <f t="shared" si="514"/>
        <v>0</v>
      </c>
      <c r="DS224" s="113">
        <f t="shared" si="515"/>
        <v>0</v>
      </c>
      <c r="DU224" s="102">
        <f t="shared" si="516"/>
        <v>0</v>
      </c>
      <c r="DV224" s="211">
        <f t="shared" si="573"/>
        <v>200</v>
      </c>
      <c r="DW224" s="212">
        <f t="shared" si="517"/>
        <v>0</v>
      </c>
      <c r="DX224" s="212">
        <f t="shared" si="472"/>
        <v>0</v>
      </c>
      <c r="DY224" s="212">
        <f t="shared" si="564"/>
        <v>0</v>
      </c>
      <c r="DZ224" s="213">
        <f t="shared" si="473"/>
        <v>1000000</v>
      </c>
      <c r="ED224" s="182"/>
      <c r="EF224" s="308">
        <f t="shared" ca="1" si="474"/>
        <v>11</v>
      </c>
      <c r="EG224" s="309">
        <f t="shared" si="518"/>
        <v>0</v>
      </c>
      <c r="EH224" s="268">
        <f t="shared" si="475"/>
        <v>0</v>
      </c>
      <c r="EI224" s="33">
        <f t="shared" si="519"/>
        <v>0</v>
      </c>
      <c r="EJ224" s="33">
        <f t="shared" si="437"/>
        <v>0</v>
      </c>
      <c r="EK224" s="33">
        <f t="shared" si="445"/>
        <v>0</v>
      </c>
      <c r="EL224" s="33">
        <f>IF(ER223&lt;0.01,0,IF(Plus!$F$22=Plus!$AN$4,0,IF(Plus!$F$22=Plus!$AN$3,ER223*Plus!$F$23/1000,ER223*VLOOKUP(Plus!$G$21,Plus!$AP$2:'Plus'!$AQ$5,2,0))))</f>
        <v>0</v>
      </c>
      <c r="EM224" s="33">
        <f>IF(ER223&lt;0.01,0,IF(Plus!$F$24=Plus!$AO$3,0,IF(OR(Plus!$F$10=Plus!$AK$7,Plus!$F$10=Plus!$AK$13),0,Plus!$G$13*Plus!$AR$2)))</f>
        <v>0</v>
      </c>
      <c r="EN224" s="33">
        <f>IF(ER223&lt;0.01,0,IF(OR(Plus!$F$10=Plus!$AK$7,Plus!$F$10=Plus!$AK$13),0,Plus!$BD$2*1.16))</f>
        <v>0</v>
      </c>
      <c r="EO224" s="33">
        <f>IF(ER223&lt;0.01,0,IF(Plus!$AS$2&gt;0,EI224*Plus!$AS$3,0))</f>
        <v>0</v>
      </c>
      <c r="EP224" s="33">
        <f t="shared" si="520"/>
        <v>0</v>
      </c>
      <c r="EQ224" s="33">
        <f>IF(Plus!$F$10=Plus!$AK$3,MIN(ER223+EI224+EL224+EM224+EN224-EP224,FC224),0)</f>
        <v>0</v>
      </c>
      <c r="ER224" s="311">
        <f t="shared" si="431"/>
        <v>0</v>
      </c>
      <c r="ES224" s="340">
        <f>Plus!O265</f>
        <v>0</v>
      </c>
      <c r="ET224" s="74"/>
      <c r="EU224" s="74"/>
      <c r="EV224" s="416">
        <f t="shared" si="429"/>
        <v>0</v>
      </c>
      <c r="EY224" s="90">
        <f t="shared" si="521"/>
        <v>8</v>
      </c>
      <c r="EZ224" s="121">
        <f t="shared" si="565"/>
        <v>0</v>
      </c>
      <c r="FB224" s="149">
        <f t="shared" si="566"/>
        <v>0</v>
      </c>
      <c r="FC224" s="2179">
        <f t="shared" ca="1" si="522"/>
        <v>0</v>
      </c>
      <c r="FE224" s="120">
        <f t="shared" si="567"/>
        <v>0</v>
      </c>
      <c r="FF224" s="110">
        <f t="shared" si="523"/>
        <v>0</v>
      </c>
      <c r="FG224" s="110">
        <f t="shared" si="524"/>
        <v>0</v>
      </c>
      <c r="FH224" s="109">
        <f t="shared" si="525"/>
        <v>0</v>
      </c>
      <c r="FI224" s="109">
        <f t="shared" si="476"/>
        <v>0</v>
      </c>
      <c r="FJ224" s="113">
        <f t="shared" si="526"/>
        <v>0</v>
      </c>
      <c r="FL224" s="102">
        <f t="shared" si="527"/>
        <v>0</v>
      </c>
      <c r="FM224" s="211">
        <f t="shared" si="454"/>
        <v>200</v>
      </c>
      <c r="FN224" s="212">
        <f t="shared" si="528"/>
        <v>0</v>
      </c>
      <c r="FO224" s="212">
        <f t="shared" si="477"/>
        <v>0</v>
      </c>
      <c r="FP224" s="212">
        <f t="shared" si="529"/>
        <v>0</v>
      </c>
      <c r="FQ224" s="213">
        <f t="shared" si="478"/>
        <v>1000000</v>
      </c>
      <c r="FV224" s="359"/>
      <c r="FX224" s="308">
        <f t="shared" ca="1" si="479"/>
        <v>11</v>
      </c>
      <c r="FY224" s="309">
        <f t="shared" si="530"/>
        <v>0</v>
      </c>
      <c r="FZ224" s="268">
        <f t="shared" si="480"/>
        <v>0</v>
      </c>
      <c r="GA224" s="33">
        <f t="shared" si="531"/>
        <v>0</v>
      </c>
      <c r="GB224" s="33">
        <f t="shared" si="438"/>
        <v>0</v>
      </c>
      <c r="GC224" s="33">
        <f t="shared" si="439"/>
        <v>0</v>
      </c>
      <c r="GD224" s="33">
        <f>IF(GJ223&lt;0.01,0,IF(Plus!$F$22=Plus!$AN$4,0,IF(Plus!$F$22=Plus!$AN$3,GJ223*Plus!$F$23/1000,GJ223*VLOOKUP(Plus!$G$21,Plus!$AP$2:$AQ$5,2,0))))</f>
        <v>0</v>
      </c>
      <c r="GE224" s="33">
        <f>IF(GJ223&lt;0.01,0,IF(Plus!$F$24=Plus!$AO$3,0,IF(OR(Plus!$F$10=Plus!$AK$7,Plus!$F$10=Plus!$AK$13,Plus!$F$10=Plus!$AK$14),0,IF(OR(Plus!$F$10=Plus!$AK$10,Plus!$F$10=Plus!$AK$11),Plus!$G$13*Adm!$W$7,Plus!$G$13*Adm!$X$4))))</f>
        <v>0</v>
      </c>
      <c r="GF224" s="33">
        <f>IF(GJ223&lt;0.01,0,IF(OR(Plus!$F$10=Plus!$AK$7,Plus!$F$10=Plus!$AK$13),0,Plus!$BD$2*1.16))</f>
        <v>0</v>
      </c>
      <c r="GG224" s="33">
        <f>IF(GJ223&lt;0.01,0,IF(Plus!$AS$2&gt;0,GA224*Plus!$AS$3,0))</f>
        <v>0</v>
      </c>
      <c r="GH224" s="33">
        <f t="shared" si="532"/>
        <v>0</v>
      </c>
      <c r="GI224" s="33">
        <f>IF(Plus!$F$10=Plus!$AK$3,MIN(GJ223+GA224+GD224+GE224+GF224-GH224,GU224),0)</f>
        <v>0</v>
      </c>
      <c r="GJ224" s="311">
        <f t="shared" si="432"/>
        <v>0</v>
      </c>
      <c r="GK224" s="340">
        <f>Plus!O265</f>
        <v>0</v>
      </c>
      <c r="GL224" s="74"/>
      <c r="GM224" s="74"/>
      <c r="GN224" s="419">
        <f t="shared" si="430"/>
        <v>0</v>
      </c>
      <c r="GQ224" s="90">
        <f t="shared" si="533"/>
        <v>8</v>
      </c>
      <c r="GR224" s="121">
        <f t="shared" si="568"/>
        <v>0</v>
      </c>
      <c r="GT224" s="149">
        <f t="shared" si="569"/>
        <v>0</v>
      </c>
      <c r="GU224" s="2179">
        <f t="shared" ca="1" si="534"/>
        <v>0</v>
      </c>
      <c r="GW224" s="120">
        <f t="shared" si="570"/>
        <v>0</v>
      </c>
      <c r="GX224" s="110">
        <f t="shared" si="535"/>
        <v>0</v>
      </c>
      <c r="GY224" s="110">
        <f t="shared" si="536"/>
        <v>0</v>
      </c>
      <c r="GZ224" s="109">
        <f t="shared" si="537"/>
        <v>0</v>
      </c>
      <c r="HA224" s="109">
        <f t="shared" si="481"/>
        <v>0</v>
      </c>
      <c r="HB224" s="113">
        <f t="shared" si="538"/>
        <v>0</v>
      </c>
      <c r="HD224" s="102">
        <f t="shared" si="539"/>
        <v>0</v>
      </c>
      <c r="HE224" s="211">
        <f t="shared" si="455"/>
        <v>200</v>
      </c>
      <c r="HF224" s="212">
        <f t="shared" si="540"/>
        <v>0</v>
      </c>
      <c r="HG224" s="212">
        <f t="shared" si="482"/>
        <v>0</v>
      </c>
      <c r="HH224" s="212">
        <f t="shared" si="541"/>
        <v>0</v>
      </c>
      <c r="HI224" s="213">
        <f t="shared" si="483"/>
        <v>1000000</v>
      </c>
      <c r="HL224" s="182"/>
      <c r="HM224" s="26">
        <f t="shared" ca="1" si="484"/>
        <v>11</v>
      </c>
      <c r="HO224" s="268">
        <f t="shared" si="485"/>
        <v>0</v>
      </c>
      <c r="HP224" s="151">
        <f t="shared" si="448"/>
        <v>0</v>
      </c>
      <c r="HQ224" s="123">
        <f t="shared" si="542"/>
        <v>0</v>
      </c>
      <c r="HR224" s="123">
        <f t="shared" si="543"/>
        <v>0</v>
      </c>
      <c r="HS224" s="123">
        <f t="shared" si="544"/>
        <v>0</v>
      </c>
      <c r="HT224" s="123">
        <f>IF(HY223&lt;0.01,0,IF(Adm!$GS$4=Adm!$GS$8,HY223*$HY$15,IF(Adm!$GS$12=Adm!$GS$13,0,HY223*Adm!$GV$4)))</f>
        <v>0</v>
      </c>
      <c r="HU224" s="123">
        <f>IF(HY223&lt;0.01,0,IF(Adm!$GS$5=Adm!$GS$8,Cal!$BO$108*$HY$16/1.16,IF(Adm!$GS$12=Adm!$GS$13,0,Cal!$BO$108*Adm!$GW$4/1.16)))</f>
        <v>0</v>
      </c>
      <c r="HV224" s="123">
        <f t="shared" si="545"/>
        <v>0</v>
      </c>
      <c r="HW224" s="123">
        <f t="shared" si="486"/>
        <v>0</v>
      </c>
      <c r="HX224" s="123">
        <f>IF(Adm!$GH$6="si",MIN(HY223+HQ224+HT224+HU224+HV224-HW224,IH224),0)</f>
        <v>0</v>
      </c>
      <c r="HY224" s="297">
        <f t="shared" si="546"/>
        <v>0</v>
      </c>
      <c r="HZ224" s="74"/>
      <c r="IA224" s="407">
        <f t="shared" si="547"/>
        <v>0</v>
      </c>
      <c r="IC224" s="90">
        <f t="shared" si="548"/>
        <v>8</v>
      </c>
      <c r="ID224" s="124">
        <f>IF(IC224=1,Cal!$BO$127,0)</f>
        <v>0</v>
      </c>
      <c r="IE224" s="178">
        <f>IF(IC224=1,Adm!$HI$4,0)</f>
        <v>0</v>
      </c>
      <c r="IG224" s="70">
        <f t="shared" si="571"/>
        <v>0</v>
      </c>
      <c r="IH224" s="2178">
        <f t="shared" ca="1" si="549"/>
        <v>0</v>
      </c>
      <c r="IK224" s="217"/>
      <c r="IL224" s="26">
        <f t="shared" ca="1" si="487"/>
        <v>11</v>
      </c>
      <c r="IN224" s="268">
        <f t="shared" si="488"/>
        <v>0</v>
      </c>
      <c r="IO224" s="151">
        <f t="shared" si="449"/>
        <v>0</v>
      </c>
      <c r="IP224" s="123">
        <f t="shared" si="550"/>
        <v>0</v>
      </c>
      <c r="IQ224" s="123">
        <f t="shared" si="551"/>
        <v>0</v>
      </c>
      <c r="IR224" s="123">
        <f t="shared" si="552"/>
        <v>0</v>
      </c>
      <c r="IS224" s="123">
        <f>IF(IX223&lt;0.01,0,IF(Adm!$GS$4=Adm!$GS$8,IX223*$IX$15,IF(Adm!$GS$12=Adm!$GS$13,0,IX223*Adm!$GV$4)))</f>
        <v>0</v>
      </c>
      <c r="IT224" s="123"/>
      <c r="IU224" s="123">
        <f t="shared" si="553"/>
        <v>0</v>
      </c>
      <c r="IV224" s="123">
        <f t="shared" si="554"/>
        <v>0</v>
      </c>
      <c r="IW224" s="123"/>
      <c r="IX224" s="297">
        <f t="shared" si="555"/>
        <v>0</v>
      </c>
      <c r="IY224" s="74"/>
      <c r="IZ224" s="416">
        <f t="shared" si="556"/>
        <v>0</v>
      </c>
      <c r="JB224" s="90">
        <f t="shared" si="557"/>
        <v>8</v>
      </c>
      <c r="JC224" s="124">
        <f>IF(JB224=1,Cal!$BP$127,0)</f>
        <v>0</v>
      </c>
      <c r="JD224" s="178">
        <f>IF(JB224=1,Adm!$HI$4,0)</f>
        <v>0</v>
      </c>
    </row>
    <row r="225" spans="1:264">
      <c r="A225" s="26">
        <f t="shared" ca="1" si="456"/>
        <v>12</v>
      </c>
      <c r="C225" s="33">
        <f t="shared" si="457"/>
        <v>0</v>
      </c>
      <c r="D225" s="123">
        <f t="shared" si="489"/>
        <v>0</v>
      </c>
      <c r="E225" s="123">
        <f t="shared" si="433"/>
        <v>0</v>
      </c>
      <c r="F225" s="123">
        <f t="shared" si="443"/>
        <v>0</v>
      </c>
      <c r="G225" s="123">
        <f>IF(L224&lt;0.01,0,IF(Adm!$S$4=Adm!$S$8,L224*$L$15,L224*Adm!$V$4))</f>
        <v>0</v>
      </c>
      <c r="H225" s="123">
        <f>IF(L224&lt;0.01,0,IF(Adm!$S$5=Adm!$S$8,Adm!$AA$11*$L$16/1.16,IF(Adm!$B$4=Adm!$A$119,0,Adm!$AA$11*Adm!$X$4/1.16)))</f>
        <v>0</v>
      </c>
      <c r="I225" s="123">
        <f>IF(L224&lt;0.01,0,Cal!$AB$126/1.16)</f>
        <v>0</v>
      </c>
      <c r="J225" s="123">
        <f t="shared" si="458"/>
        <v>0</v>
      </c>
      <c r="K225" s="123">
        <f>IF(Adm!$G$4="si",MIN(L224+D225+G225+H225+I225-J225,V225),0)</f>
        <v>0</v>
      </c>
      <c r="L225" s="123">
        <f t="shared" si="490"/>
        <v>0</v>
      </c>
      <c r="M225" s="74"/>
      <c r="N225" s="74"/>
      <c r="O225" s="407">
        <f t="shared" si="491"/>
        <v>0</v>
      </c>
      <c r="R225" s="90">
        <f t="shared" si="492"/>
        <v>9</v>
      </c>
      <c r="S225" s="121">
        <f>IF(R225=1,Cal!$AB$127,0)</f>
        <v>0</v>
      </c>
      <c r="U225" s="70">
        <f t="shared" si="558"/>
        <v>0</v>
      </c>
      <c r="V225" s="2178">
        <f t="shared" ca="1" si="493"/>
        <v>0</v>
      </c>
      <c r="X225" s="398"/>
      <c r="Z225" s="268">
        <f t="shared" si="459"/>
        <v>0</v>
      </c>
      <c r="AA225" s="2176">
        <f t="shared" si="494"/>
        <v>0</v>
      </c>
      <c r="AB225" s="33">
        <f t="shared" si="495"/>
        <v>0</v>
      </c>
      <c r="AC225" s="33">
        <f t="shared" si="496"/>
        <v>0</v>
      </c>
      <c r="AD225" s="33">
        <f>IF(AI224&lt;0.01,0,IF(Adm!$S$4=Adm!$S$8,AI224*$AI$15,AI224*Adm!$V$4))</f>
        <v>0</v>
      </c>
      <c r="AE225" s="33"/>
      <c r="AF225" s="33"/>
      <c r="AG225" s="33">
        <f t="shared" si="460"/>
        <v>0</v>
      </c>
      <c r="AH225" s="33"/>
      <c r="AI225" s="401">
        <f t="shared" si="461"/>
        <v>0</v>
      </c>
      <c r="AK225" s="410">
        <f t="shared" si="462"/>
        <v>0</v>
      </c>
      <c r="AN225" s="90">
        <f t="shared" si="497"/>
        <v>9</v>
      </c>
      <c r="AO225" s="121">
        <f>IF(AN225=1,Cal!$AC$127,0)</f>
        <v>0</v>
      </c>
      <c r="AS225" s="200"/>
      <c r="AU225" s="268">
        <f t="shared" si="463"/>
        <v>0</v>
      </c>
      <c r="AV225" s="2177">
        <f t="shared" si="498"/>
        <v>0</v>
      </c>
      <c r="AW225" s="123">
        <f t="shared" si="464"/>
        <v>0</v>
      </c>
      <c r="AX225" s="123">
        <f t="shared" si="499"/>
        <v>0</v>
      </c>
      <c r="AY225" s="123">
        <f>IF(BC224&lt;0.01,0,IF(Adm!$S$4=Adm!$S$8,BC224*$BC$16,BC224*Adm!$V$4))</f>
        <v>0</v>
      </c>
      <c r="AZ225" s="123"/>
      <c r="BA225" s="123">
        <f>IF(BC224&lt;0.01,0,Adm!$Q$6)</f>
        <v>0</v>
      </c>
      <c r="BB225" s="123">
        <f t="shared" si="465"/>
        <v>0</v>
      </c>
      <c r="BC225" s="297">
        <f t="shared" si="500"/>
        <v>0</v>
      </c>
      <c r="BE225" s="425">
        <f t="shared" si="466"/>
        <v>0</v>
      </c>
      <c r="BH225" s="90">
        <f t="shared" si="501"/>
        <v>9</v>
      </c>
      <c r="BI225" s="121">
        <f>IF(BH225=1,Cal!$AD$127,0)</f>
        <v>0</v>
      </c>
      <c r="BM225" s="221"/>
      <c r="BO225" s="295">
        <f t="shared" ca="1" si="467"/>
        <v>12</v>
      </c>
      <c r="BP225" s="268">
        <f t="shared" si="468"/>
        <v>0</v>
      </c>
      <c r="BQ225" s="123">
        <f t="shared" si="502"/>
        <v>0</v>
      </c>
      <c r="BR225" s="123">
        <f t="shared" si="434"/>
        <v>0</v>
      </c>
      <c r="BS225" s="123">
        <f t="shared" si="444"/>
        <v>0</v>
      </c>
      <c r="BT225" s="123">
        <f>IF(BZ224&lt;0.01,0,IF(Plus!$F$22=Plus!$AN$4,BZ224*$BZ$15,IF(Plus!$F$22=Plus!$AN$3,BZ224*Plus!$F$23/1000,BZ224*VLOOKUP(Plus!$G$21,Plus!$AP$2:'Plus'!$AQ$5,2,0))))</f>
        <v>0</v>
      </c>
      <c r="BU225" s="123">
        <f>IF(BZ224&lt;0.01,0,IF(Plus!$F$24=Plus!$AO$3,Plus!$G$13*Plus!$AR$2/1.16,IF(Plus!$F$10=Plus!$AK$7,0,Plus!$G$13*Plus!$AR$2/1.16)))</f>
        <v>0</v>
      </c>
      <c r="BV225" s="123">
        <f>IF(BZ224&lt;0.01,0,Plus!$BD$2)</f>
        <v>0</v>
      </c>
      <c r="BW225" s="123"/>
      <c r="BX225" s="123">
        <f t="shared" si="469"/>
        <v>0</v>
      </c>
      <c r="BY225" s="123">
        <f>IF(Plus!$F$10=Plus!$AK$3,MIN(BZ224+BQ225+BT225+BU225+BV225-BX225,CJ225),0)</f>
        <v>0</v>
      </c>
      <c r="BZ225" s="297">
        <f t="shared" si="428"/>
        <v>0</v>
      </c>
      <c r="CA225" s="74"/>
      <c r="CB225" s="74"/>
      <c r="CC225" s="413">
        <f t="shared" si="503"/>
        <v>0</v>
      </c>
      <c r="CF225" s="90">
        <f t="shared" si="504"/>
        <v>9</v>
      </c>
      <c r="CG225" s="121">
        <f t="shared" si="559"/>
        <v>0</v>
      </c>
      <c r="CI225" s="70">
        <f t="shared" si="560"/>
        <v>0</v>
      </c>
      <c r="CJ225" s="2178">
        <f t="shared" ca="1" si="505"/>
        <v>0</v>
      </c>
      <c r="CL225" s="161"/>
      <c r="CN225" s="308">
        <f t="shared" ca="1" si="470"/>
        <v>12</v>
      </c>
      <c r="CO225" s="309">
        <f t="shared" si="506"/>
        <v>0</v>
      </c>
      <c r="CP225" s="268">
        <f t="shared" si="471"/>
        <v>0</v>
      </c>
      <c r="CQ225" s="123">
        <f t="shared" si="507"/>
        <v>0</v>
      </c>
      <c r="CR225" s="123">
        <f t="shared" si="435"/>
        <v>0</v>
      </c>
      <c r="CS225" s="123">
        <f t="shared" si="436"/>
        <v>0</v>
      </c>
      <c r="CT225" s="33">
        <f>IF(CZ224&lt;0.01,0,IF(Plus!$F$22=Plus!$AN$4,0,IF(Plus!$F$22=Plus!$AN$3,CZ224*Plus!$F$23/1000,CZ224*VLOOKUP(Plus!$G$21,Plus!$AP$2:'Plus'!$AQ$5,2,0))))</f>
        <v>0</v>
      </c>
      <c r="CU225" s="123">
        <f>IF(CZ224&lt;0.01,0,IF(Plus!$F$24=Plus!$AO$3,0,IF(OR(Plus!$F$10=Plus!$AK$7,Plus!$F$10=Plus!$AK$13),0,Plus!$G$13*Plus!$AR$2)))</f>
        <v>0</v>
      </c>
      <c r="CV225" s="123">
        <f>IF(CZ224&lt;0.01,0,IF(OR(Plus!$F$10=Plus!$AK$7,Plus!$F$10=Plus!$AK$13),0,Plus!$BD$2*1.16))</f>
        <v>0</v>
      </c>
      <c r="CW225" s="123">
        <f>IF(CZ224&lt;0.01,0,IF(Plus!$AS$2&gt;0,CQ225*Plus!$AS$3,0))</f>
        <v>0</v>
      </c>
      <c r="CX225" s="123">
        <f t="shared" si="508"/>
        <v>0</v>
      </c>
      <c r="CY225" s="123">
        <f>IF(Plus!$F$10=Plus!$AK$3,MIN(CZ224+CQ225+CT225+CU225+CV225-CX225,DK225),0)</f>
        <v>0</v>
      </c>
      <c r="CZ225" s="297">
        <f t="shared" si="440"/>
        <v>0</v>
      </c>
      <c r="DA225" s="306">
        <f>Plus!O266</f>
        <v>0</v>
      </c>
      <c r="DB225" s="74"/>
      <c r="DC225" s="74"/>
      <c r="DD225" s="407">
        <f t="shared" si="509"/>
        <v>0</v>
      </c>
      <c r="DG225" s="90">
        <f t="shared" si="510"/>
        <v>9</v>
      </c>
      <c r="DH225" s="121">
        <f t="shared" si="561"/>
        <v>0</v>
      </c>
      <c r="DJ225" s="149">
        <f t="shared" si="562"/>
        <v>0</v>
      </c>
      <c r="DK225" s="2179">
        <f t="shared" ca="1" si="511"/>
        <v>0</v>
      </c>
      <c r="DN225" s="120">
        <f t="shared" si="563"/>
        <v>0</v>
      </c>
      <c r="DO225" s="110">
        <f t="shared" si="512"/>
        <v>0</v>
      </c>
      <c r="DP225" s="110">
        <f t="shared" si="572"/>
        <v>0</v>
      </c>
      <c r="DQ225" s="109">
        <f t="shared" si="513"/>
        <v>0</v>
      </c>
      <c r="DR225" s="109">
        <f t="shared" si="514"/>
        <v>0</v>
      </c>
      <c r="DS225" s="113">
        <f t="shared" si="515"/>
        <v>0</v>
      </c>
      <c r="DU225" s="102">
        <f t="shared" si="516"/>
        <v>0</v>
      </c>
      <c r="DV225" s="211">
        <f t="shared" si="573"/>
        <v>201</v>
      </c>
      <c r="DW225" s="212">
        <f t="shared" si="517"/>
        <v>0</v>
      </c>
      <c r="DX225" s="212">
        <f t="shared" si="472"/>
        <v>0</v>
      </c>
      <c r="DY225" s="212">
        <f t="shared" si="564"/>
        <v>0</v>
      </c>
      <c r="DZ225" s="213">
        <f t="shared" si="473"/>
        <v>1000000</v>
      </c>
      <c r="ED225" s="182"/>
      <c r="EF225" s="308">
        <f t="shared" ca="1" si="474"/>
        <v>12</v>
      </c>
      <c r="EG225" s="309">
        <f t="shared" si="518"/>
        <v>0</v>
      </c>
      <c r="EH225" s="268">
        <f t="shared" si="475"/>
        <v>0</v>
      </c>
      <c r="EI225" s="33">
        <f t="shared" si="519"/>
        <v>0</v>
      </c>
      <c r="EJ225" s="33">
        <f t="shared" si="437"/>
        <v>0</v>
      </c>
      <c r="EK225" s="33">
        <f t="shared" si="445"/>
        <v>0</v>
      </c>
      <c r="EL225" s="33">
        <f>IF(ER224&lt;0.01,0,IF(Plus!$F$22=Plus!$AN$4,0,IF(Plus!$F$22=Plus!$AN$3,ER224*Plus!$F$23/1000,ER224*VLOOKUP(Plus!$G$21,Plus!$AP$2:'Plus'!$AQ$5,2,0))))</f>
        <v>0</v>
      </c>
      <c r="EM225" s="33">
        <f>IF(ER224&lt;0.01,0,IF(Plus!$F$24=Plus!$AO$3,0,IF(OR(Plus!$F$10=Plus!$AK$7,Plus!$F$10=Plus!$AK$13),0,Plus!$G$13*Plus!$AR$2)))</f>
        <v>0</v>
      </c>
      <c r="EN225" s="33">
        <f>IF(ER224&lt;0.01,0,IF(OR(Plus!$F$10=Plus!$AK$7,Plus!$F$10=Plus!$AK$13),0,Plus!$BD$2*1.16))</f>
        <v>0</v>
      </c>
      <c r="EO225" s="33">
        <f>IF(ER224&lt;0.01,0,IF(Plus!$AS$2&gt;0,EI225*Plus!$AS$3,0))</f>
        <v>0</v>
      </c>
      <c r="EP225" s="33">
        <f t="shared" si="520"/>
        <v>0</v>
      </c>
      <c r="EQ225" s="33">
        <f>IF(Plus!$F$10=Plus!$AK$3,MIN(ER224+EI225+EL225+EM225+EN225-EP225,FC225),0)</f>
        <v>0</v>
      </c>
      <c r="ER225" s="311">
        <f t="shared" si="431"/>
        <v>0</v>
      </c>
      <c r="ES225" s="340">
        <f>Plus!O266</f>
        <v>0</v>
      </c>
      <c r="ET225" s="74"/>
      <c r="EU225" s="74"/>
      <c r="EV225" s="416">
        <f t="shared" si="429"/>
        <v>0</v>
      </c>
      <c r="EY225" s="90">
        <f t="shared" si="521"/>
        <v>9</v>
      </c>
      <c r="EZ225" s="121">
        <f t="shared" si="565"/>
        <v>0</v>
      </c>
      <c r="FB225" s="149">
        <f t="shared" si="566"/>
        <v>0</v>
      </c>
      <c r="FC225" s="2179">
        <f t="shared" ca="1" si="522"/>
        <v>0</v>
      </c>
      <c r="FE225" s="120">
        <f t="shared" si="567"/>
        <v>0</v>
      </c>
      <c r="FF225" s="110">
        <f t="shared" si="523"/>
        <v>0</v>
      </c>
      <c r="FG225" s="110">
        <f t="shared" si="524"/>
        <v>0</v>
      </c>
      <c r="FH225" s="109">
        <f t="shared" si="525"/>
        <v>0</v>
      </c>
      <c r="FI225" s="109">
        <f t="shared" si="476"/>
        <v>0</v>
      </c>
      <c r="FJ225" s="113">
        <f t="shared" si="526"/>
        <v>0</v>
      </c>
      <c r="FL225" s="102">
        <f t="shared" si="527"/>
        <v>0</v>
      </c>
      <c r="FM225" s="211">
        <f t="shared" si="454"/>
        <v>201</v>
      </c>
      <c r="FN225" s="212">
        <f t="shared" si="528"/>
        <v>0</v>
      </c>
      <c r="FO225" s="212">
        <f t="shared" si="477"/>
        <v>0</v>
      </c>
      <c r="FP225" s="212">
        <f t="shared" si="529"/>
        <v>0</v>
      </c>
      <c r="FQ225" s="213">
        <f t="shared" si="478"/>
        <v>1000000</v>
      </c>
      <c r="FV225" s="359"/>
      <c r="FX225" s="308">
        <f t="shared" ca="1" si="479"/>
        <v>12</v>
      </c>
      <c r="FY225" s="309">
        <f t="shared" si="530"/>
        <v>0</v>
      </c>
      <c r="FZ225" s="268">
        <f t="shared" si="480"/>
        <v>0</v>
      </c>
      <c r="GA225" s="33">
        <f t="shared" si="531"/>
        <v>0</v>
      </c>
      <c r="GB225" s="33">
        <f t="shared" si="438"/>
        <v>0</v>
      </c>
      <c r="GC225" s="33">
        <f t="shared" si="439"/>
        <v>0</v>
      </c>
      <c r="GD225" s="33">
        <f>IF(GJ224&lt;0.01,0,IF(Plus!$F$22=Plus!$AN$4,0,IF(Plus!$F$22=Plus!$AN$3,GJ224*Plus!$F$23/1000,GJ224*VLOOKUP(Plus!$G$21,Plus!$AP$2:$AQ$5,2,0))))</f>
        <v>0</v>
      </c>
      <c r="GE225" s="33">
        <f>IF(GJ224&lt;0.01,0,IF(Plus!$F$24=Plus!$AO$3,0,IF(OR(Plus!$F$10=Plus!$AK$7,Plus!$F$10=Plus!$AK$13,Plus!$F$10=Plus!$AK$14),0,IF(OR(Plus!$F$10=Plus!$AK$10,Plus!$F$10=Plus!$AK$11),Plus!$G$13*Adm!$W$7,Plus!$G$13*Adm!$X$4))))</f>
        <v>0</v>
      </c>
      <c r="GF225" s="33">
        <f>IF(GJ224&lt;0.01,0,IF(OR(Plus!$F$10=Plus!$AK$7,Plus!$F$10=Plus!$AK$13),0,Plus!$BD$2*1.16))</f>
        <v>0</v>
      </c>
      <c r="GG225" s="33">
        <f>IF(GJ224&lt;0.01,0,IF(Plus!$AS$2&gt;0,GA225*Plus!$AS$3,0))</f>
        <v>0</v>
      </c>
      <c r="GH225" s="33">
        <f t="shared" si="532"/>
        <v>0</v>
      </c>
      <c r="GI225" s="33">
        <f>IF(Plus!$F$10=Plus!$AK$3,MIN(GJ224+GA225+GD225+GE225+GF225-GH225,GU225),0)</f>
        <v>0</v>
      </c>
      <c r="GJ225" s="311">
        <f t="shared" si="432"/>
        <v>0</v>
      </c>
      <c r="GK225" s="340">
        <f>Plus!O266</f>
        <v>0</v>
      </c>
      <c r="GL225" s="74"/>
      <c r="GM225" s="74"/>
      <c r="GN225" s="419">
        <f t="shared" si="430"/>
        <v>0</v>
      </c>
      <c r="GQ225" s="90">
        <f t="shared" si="533"/>
        <v>9</v>
      </c>
      <c r="GR225" s="121">
        <f t="shared" si="568"/>
        <v>0</v>
      </c>
      <c r="GT225" s="149">
        <f t="shared" si="569"/>
        <v>0</v>
      </c>
      <c r="GU225" s="2179">
        <f t="shared" ca="1" si="534"/>
        <v>0</v>
      </c>
      <c r="GW225" s="120">
        <f t="shared" si="570"/>
        <v>0</v>
      </c>
      <c r="GX225" s="110">
        <f t="shared" si="535"/>
        <v>0</v>
      </c>
      <c r="GY225" s="110">
        <f t="shared" si="536"/>
        <v>0</v>
      </c>
      <c r="GZ225" s="109">
        <f t="shared" si="537"/>
        <v>0</v>
      </c>
      <c r="HA225" s="109">
        <f t="shared" si="481"/>
        <v>0</v>
      </c>
      <c r="HB225" s="113">
        <f t="shared" si="538"/>
        <v>0</v>
      </c>
      <c r="HD225" s="102">
        <f t="shared" si="539"/>
        <v>0</v>
      </c>
      <c r="HE225" s="211">
        <f t="shared" si="455"/>
        <v>201</v>
      </c>
      <c r="HF225" s="212">
        <f t="shared" si="540"/>
        <v>0</v>
      </c>
      <c r="HG225" s="212">
        <f t="shared" si="482"/>
        <v>0</v>
      </c>
      <c r="HH225" s="212">
        <f t="shared" si="541"/>
        <v>0</v>
      </c>
      <c r="HI225" s="213">
        <f t="shared" si="483"/>
        <v>1000000</v>
      </c>
      <c r="HL225" s="182"/>
      <c r="HM225" s="26">
        <f t="shared" ca="1" si="484"/>
        <v>12</v>
      </c>
      <c r="HO225" s="268">
        <f t="shared" si="485"/>
        <v>0</v>
      </c>
      <c r="HP225" s="151">
        <f t="shared" si="448"/>
        <v>0</v>
      </c>
      <c r="HQ225" s="123">
        <f t="shared" si="542"/>
        <v>0</v>
      </c>
      <c r="HR225" s="123">
        <f t="shared" si="543"/>
        <v>0</v>
      </c>
      <c r="HS225" s="123">
        <f t="shared" si="544"/>
        <v>0</v>
      </c>
      <c r="HT225" s="123">
        <f>IF(HY224&lt;0.01,0,IF(Adm!$GS$4=Adm!$GS$8,HY224*$HY$15,IF(Adm!$GS$12=Adm!$GS$13,0,HY224*Adm!$GV$4)))</f>
        <v>0</v>
      </c>
      <c r="HU225" s="123">
        <f>IF(HY224&lt;0.01,0,IF(Adm!$GS$5=Adm!$GS$8,Cal!$BO$108*$HY$16/1.16,IF(Adm!$GS$12=Adm!$GS$13,0,Cal!$BO$108*Adm!$GW$4/1.16)))</f>
        <v>0</v>
      </c>
      <c r="HV225" s="123">
        <f t="shared" si="545"/>
        <v>0</v>
      </c>
      <c r="HW225" s="123">
        <f t="shared" si="486"/>
        <v>0</v>
      </c>
      <c r="HX225" s="123">
        <f>IF(Adm!$GH$6="si",MIN(HY224+HQ225+HT225+HU225+HV225-HW225,IH225),0)</f>
        <v>0</v>
      </c>
      <c r="HY225" s="297">
        <f t="shared" si="546"/>
        <v>0</v>
      </c>
      <c r="HZ225" s="74"/>
      <c r="IA225" s="407">
        <f t="shared" si="547"/>
        <v>0</v>
      </c>
      <c r="IC225" s="90">
        <f t="shared" si="548"/>
        <v>9</v>
      </c>
      <c r="ID225" s="124">
        <f>IF(IC225=1,Cal!$BO$127,0)</f>
        <v>0</v>
      </c>
      <c r="IE225" s="178">
        <f>IF(IC225=1,Adm!$HI$4,0)</f>
        <v>0</v>
      </c>
      <c r="IG225" s="70">
        <f t="shared" si="571"/>
        <v>0</v>
      </c>
      <c r="IH225" s="2178">
        <f t="shared" ca="1" si="549"/>
        <v>0</v>
      </c>
      <c r="IK225" s="217"/>
      <c r="IL225" s="26">
        <f t="shared" ca="1" si="487"/>
        <v>12</v>
      </c>
      <c r="IN225" s="268">
        <f t="shared" si="488"/>
        <v>0</v>
      </c>
      <c r="IO225" s="151">
        <f t="shared" si="449"/>
        <v>0</v>
      </c>
      <c r="IP225" s="123">
        <f t="shared" si="550"/>
        <v>0</v>
      </c>
      <c r="IQ225" s="123">
        <f t="shared" si="551"/>
        <v>0</v>
      </c>
      <c r="IR225" s="123">
        <f t="shared" si="552"/>
        <v>0</v>
      </c>
      <c r="IS225" s="123">
        <f>IF(IX224&lt;0.01,0,IF(Adm!$GS$4=Adm!$GS$8,IX224*$IX$15,IF(Adm!$GS$12=Adm!$GS$13,0,IX224*Adm!$GV$4)))</f>
        <v>0</v>
      </c>
      <c r="IT225" s="123"/>
      <c r="IU225" s="123">
        <f t="shared" si="553"/>
        <v>0</v>
      </c>
      <c r="IV225" s="123">
        <f t="shared" si="554"/>
        <v>0</v>
      </c>
      <c r="IW225" s="123"/>
      <c r="IX225" s="297">
        <f t="shared" si="555"/>
        <v>0</v>
      </c>
      <c r="IY225" s="74"/>
      <c r="IZ225" s="416">
        <f t="shared" si="556"/>
        <v>0</v>
      </c>
      <c r="JB225" s="90">
        <f t="shared" si="557"/>
        <v>9</v>
      </c>
      <c r="JC225" s="124">
        <f>IF(JB225=1,Cal!$BP$127,0)</f>
        <v>0</v>
      </c>
      <c r="JD225" s="178">
        <f>IF(JB225=1,Adm!$HI$4,0)</f>
        <v>0</v>
      </c>
    </row>
    <row r="226" spans="1:264">
      <c r="A226" s="26">
        <f t="shared" ca="1" si="456"/>
        <v>1</v>
      </c>
      <c r="C226" s="33">
        <f t="shared" si="457"/>
        <v>0</v>
      </c>
      <c r="D226" s="123">
        <f t="shared" si="489"/>
        <v>0</v>
      </c>
      <c r="E226" s="123">
        <f t="shared" si="433"/>
        <v>0</v>
      </c>
      <c r="F226" s="123">
        <f t="shared" si="443"/>
        <v>0</v>
      </c>
      <c r="G226" s="123">
        <f>IF(L225&lt;0.01,0,IF(Adm!$S$4=Adm!$S$8,L225*$L$15,L225*Adm!$V$4))</f>
        <v>0</v>
      </c>
      <c r="H226" s="123">
        <f>IF(L225&lt;0.01,0,IF(Adm!$S$5=Adm!$S$8,Adm!$AA$11*$L$16/1.16,IF(Adm!$B$4=Adm!$A$119,0,Adm!$AA$11*Adm!$X$4/1.16)))</f>
        <v>0</v>
      </c>
      <c r="I226" s="123">
        <f>IF(L225&lt;0.01,0,Cal!$AB$126/1.16)</f>
        <v>0</v>
      </c>
      <c r="J226" s="123">
        <f t="shared" si="458"/>
        <v>0</v>
      </c>
      <c r="K226" s="123">
        <f>IF(Adm!$G$4="si",MIN(L225+D226+G226+H226+I226-J226,V226),0)</f>
        <v>0</v>
      </c>
      <c r="L226" s="123">
        <f t="shared" si="490"/>
        <v>0</v>
      </c>
      <c r="M226" s="74"/>
      <c r="N226" s="74"/>
      <c r="O226" s="407">
        <f t="shared" si="491"/>
        <v>0</v>
      </c>
      <c r="R226" s="90">
        <f t="shared" si="492"/>
        <v>10</v>
      </c>
      <c r="S226" s="121">
        <f>IF(R226=1,Cal!$AB$127,0)</f>
        <v>0</v>
      </c>
      <c r="U226" s="70">
        <f t="shared" si="558"/>
        <v>0</v>
      </c>
      <c r="V226" s="2178">
        <f t="shared" ca="1" si="493"/>
        <v>0</v>
      </c>
      <c r="X226" s="398"/>
      <c r="Z226" s="268">
        <f t="shared" si="459"/>
        <v>0</v>
      </c>
      <c r="AA226" s="2176">
        <f t="shared" si="494"/>
        <v>0</v>
      </c>
      <c r="AB226" s="33">
        <f t="shared" si="495"/>
        <v>0</v>
      </c>
      <c r="AC226" s="33">
        <f t="shared" si="496"/>
        <v>0</v>
      </c>
      <c r="AD226" s="33">
        <f>IF(AI225&lt;0.01,0,IF(Adm!$S$4=Adm!$S$8,AI225*$AI$15,AI225*Adm!$V$4))</f>
        <v>0</v>
      </c>
      <c r="AE226" s="33"/>
      <c r="AF226" s="33"/>
      <c r="AG226" s="33">
        <f t="shared" si="460"/>
        <v>0</v>
      </c>
      <c r="AH226" s="33"/>
      <c r="AI226" s="401">
        <f t="shared" si="461"/>
        <v>0</v>
      </c>
      <c r="AK226" s="410">
        <f t="shared" si="462"/>
        <v>0</v>
      </c>
      <c r="AN226" s="90">
        <f t="shared" si="497"/>
        <v>10</v>
      </c>
      <c r="AO226" s="121">
        <f>IF(AN226=1,Cal!$AC$127,0)</f>
        <v>0</v>
      </c>
      <c r="AS226" s="200"/>
      <c r="AU226" s="268">
        <f t="shared" si="463"/>
        <v>0</v>
      </c>
      <c r="AV226" s="2177">
        <f t="shared" si="498"/>
        <v>0</v>
      </c>
      <c r="AW226" s="123">
        <f t="shared" si="464"/>
        <v>0</v>
      </c>
      <c r="AX226" s="123">
        <f t="shared" si="499"/>
        <v>0</v>
      </c>
      <c r="AY226" s="123">
        <f>IF(BC225&lt;0.01,0,IF(Adm!$S$4=Adm!$S$8,BC225*$BC$16,BC225*Adm!$V$4))</f>
        <v>0</v>
      </c>
      <c r="AZ226" s="123"/>
      <c r="BA226" s="123">
        <f>IF(BC225&lt;0.01,0,Adm!$Q$6)</f>
        <v>0</v>
      </c>
      <c r="BB226" s="123">
        <f t="shared" si="465"/>
        <v>0</v>
      </c>
      <c r="BC226" s="297">
        <f t="shared" si="500"/>
        <v>0</v>
      </c>
      <c r="BE226" s="425">
        <f t="shared" si="466"/>
        <v>0</v>
      </c>
      <c r="BH226" s="90">
        <f t="shared" si="501"/>
        <v>10</v>
      </c>
      <c r="BI226" s="121">
        <f>IF(BH226=1,Cal!$AD$127,0)</f>
        <v>0</v>
      </c>
      <c r="BM226" s="221"/>
      <c r="BO226" s="295">
        <f t="shared" ca="1" si="467"/>
        <v>1</v>
      </c>
      <c r="BP226" s="268">
        <f t="shared" si="468"/>
        <v>0</v>
      </c>
      <c r="BQ226" s="123">
        <f t="shared" si="502"/>
        <v>0</v>
      </c>
      <c r="BR226" s="123">
        <f t="shared" si="434"/>
        <v>0</v>
      </c>
      <c r="BS226" s="123">
        <f t="shared" si="444"/>
        <v>0</v>
      </c>
      <c r="BT226" s="123">
        <f>IF(BZ225&lt;0.01,0,IF(Plus!$F$22=Plus!$AN$4,BZ225*$BZ$15,IF(Plus!$F$22=Plus!$AN$3,BZ225*Plus!$F$23/1000,BZ225*VLOOKUP(Plus!$G$21,Plus!$AP$2:'Plus'!$AQ$5,2,0))))</f>
        <v>0</v>
      </c>
      <c r="BU226" s="123">
        <f>IF(BZ225&lt;0.01,0,IF(Plus!$F$24=Plus!$AO$3,Plus!$G$13*Plus!$AR$2/1.16,IF(Plus!$F$10=Plus!$AK$7,0,Plus!$G$13*Plus!$AR$2/1.16)))</f>
        <v>0</v>
      </c>
      <c r="BV226" s="123">
        <f>IF(BZ225&lt;0.01,0,Plus!$BD$2)</f>
        <v>0</v>
      </c>
      <c r="BW226" s="123"/>
      <c r="BX226" s="123">
        <f t="shared" si="469"/>
        <v>0</v>
      </c>
      <c r="BY226" s="123">
        <f>IF(Plus!$F$10=Plus!$AK$3,MIN(BZ225+BQ226+BT226+BU226+BV226-BX226,CJ226),0)</f>
        <v>0</v>
      </c>
      <c r="BZ226" s="297">
        <f t="shared" ref="BZ226:BZ264" si="574">IF(BZ225&lt;0.01,0,BZ225-BR226-BY226)</f>
        <v>0</v>
      </c>
      <c r="CA226" s="74"/>
      <c r="CB226" s="74"/>
      <c r="CC226" s="413">
        <f t="shared" si="503"/>
        <v>0</v>
      </c>
      <c r="CF226" s="90">
        <f t="shared" si="504"/>
        <v>10</v>
      </c>
      <c r="CG226" s="121">
        <f t="shared" si="559"/>
        <v>0</v>
      </c>
      <c r="CI226" s="70">
        <f t="shared" si="560"/>
        <v>0</v>
      </c>
      <c r="CJ226" s="2178">
        <f t="shared" ca="1" si="505"/>
        <v>0</v>
      </c>
      <c r="CL226" s="161"/>
      <c r="CN226" s="308">
        <f t="shared" ca="1" si="470"/>
        <v>1</v>
      </c>
      <c r="CO226" s="309">
        <f t="shared" si="506"/>
        <v>0</v>
      </c>
      <c r="CP226" s="268">
        <f t="shared" si="471"/>
        <v>0</v>
      </c>
      <c r="CQ226" s="123">
        <f t="shared" si="507"/>
        <v>0</v>
      </c>
      <c r="CR226" s="123">
        <f t="shared" si="435"/>
        <v>0</v>
      </c>
      <c r="CS226" s="123">
        <f t="shared" si="436"/>
        <v>0</v>
      </c>
      <c r="CT226" s="33">
        <f>IF(CZ225&lt;0.01,0,IF(Plus!$F$22=Plus!$AN$4,0,IF(Plus!$F$22=Plus!$AN$3,CZ225*Plus!$F$23/1000,CZ225*VLOOKUP(Plus!$G$21,Plus!$AP$2:'Plus'!$AQ$5,2,0))))</f>
        <v>0</v>
      </c>
      <c r="CU226" s="123">
        <f>IF(CZ225&lt;0.01,0,IF(Plus!$F$24=Plus!$AO$3,0,IF(OR(Plus!$F$10=Plus!$AK$7,Plus!$F$10=Plus!$AK$13),0,Plus!$G$13*Plus!$AR$2)))</f>
        <v>0</v>
      </c>
      <c r="CV226" s="123">
        <f>IF(CZ225&lt;0.01,0,IF(OR(Plus!$F$10=Plus!$AK$7,Plus!$F$10=Plus!$AK$13),0,Plus!$BD$2*1.16))</f>
        <v>0</v>
      </c>
      <c r="CW226" s="123">
        <f>IF(CZ225&lt;0.01,0,IF(Plus!$AS$2&gt;0,CQ226*Plus!$AS$3,0))</f>
        <v>0</v>
      </c>
      <c r="CX226" s="123">
        <f t="shared" si="508"/>
        <v>0</v>
      </c>
      <c r="CY226" s="123">
        <f>IF(Plus!$F$10=Plus!$AK$3,MIN(CZ225+CQ226+CT226+CU226+CV226-CX226,DK226),0)</f>
        <v>0</v>
      </c>
      <c r="CZ226" s="297">
        <f t="shared" si="440"/>
        <v>0</v>
      </c>
      <c r="DA226" s="306">
        <f>Plus!O267</f>
        <v>0</v>
      </c>
      <c r="DB226" s="74"/>
      <c r="DC226" s="74"/>
      <c r="DD226" s="407">
        <f t="shared" si="509"/>
        <v>0</v>
      </c>
      <c r="DG226" s="90">
        <f t="shared" si="510"/>
        <v>10</v>
      </c>
      <c r="DH226" s="121">
        <f t="shared" si="561"/>
        <v>0</v>
      </c>
      <c r="DJ226" s="149">
        <f t="shared" si="562"/>
        <v>0</v>
      </c>
      <c r="DK226" s="2179">
        <f t="shared" ca="1" si="511"/>
        <v>0</v>
      </c>
      <c r="DN226" s="120">
        <f t="shared" si="563"/>
        <v>0</v>
      </c>
      <c r="DO226" s="110">
        <f t="shared" si="512"/>
        <v>0</v>
      </c>
      <c r="DP226" s="110">
        <f t="shared" si="572"/>
        <v>0</v>
      </c>
      <c r="DQ226" s="109">
        <f t="shared" si="513"/>
        <v>0</v>
      </c>
      <c r="DR226" s="109">
        <f t="shared" si="514"/>
        <v>0</v>
      </c>
      <c r="DS226" s="113">
        <f t="shared" si="515"/>
        <v>0</v>
      </c>
      <c r="DU226" s="102">
        <f t="shared" si="516"/>
        <v>0</v>
      </c>
      <c r="DV226" s="211">
        <f t="shared" si="573"/>
        <v>202</v>
      </c>
      <c r="DW226" s="212">
        <f t="shared" si="517"/>
        <v>0</v>
      </c>
      <c r="DX226" s="212">
        <f t="shared" si="472"/>
        <v>0</v>
      </c>
      <c r="DY226" s="212">
        <f t="shared" si="564"/>
        <v>0</v>
      </c>
      <c r="DZ226" s="213">
        <f t="shared" si="473"/>
        <v>1000000</v>
      </c>
      <c r="ED226" s="182"/>
      <c r="EF226" s="308">
        <f t="shared" ca="1" si="474"/>
        <v>1</v>
      </c>
      <c r="EG226" s="309">
        <f t="shared" si="518"/>
        <v>0</v>
      </c>
      <c r="EH226" s="268">
        <f t="shared" si="475"/>
        <v>0</v>
      </c>
      <c r="EI226" s="33">
        <f t="shared" si="519"/>
        <v>0</v>
      </c>
      <c r="EJ226" s="33">
        <f t="shared" si="437"/>
        <v>0</v>
      </c>
      <c r="EK226" s="33">
        <f t="shared" si="445"/>
        <v>0</v>
      </c>
      <c r="EL226" s="33">
        <f>IF(ER225&lt;0.01,0,IF(Plus!$F$22=Plus!$AN$4,0,IF(Plus!$F$22=Plus!$AN$3,ER225*Plus!$F$23/1000,ER225*VLOOKUP(Plus!$G$21,Plus!$AP$2:'Plus'!$AQ$5,2,0))))</f>
        <v>0</v>
      </c>
      <c r="EM226" s="33">
        <f>IF(ER225&lt;0.01,0,IF(Plus!$F$24=Plus!$AO$3,0,IF(OR(Plus!$F$10=Plus!$AK$7,Plus!$F$10=Plus!$AK$13),0,Plus!$G$13*Plus!$AR$2)))</f>
        <v>0</v>
      </c>
      <c r="EN226" s="33">
        <f>IF(ER225&lt;0.01,0,IF(OR(Plus!$F$10=Plus!$AK$7,Plus!$F$10=Plus!$AK$13),0,Plus!$BD$2*1.16))</f>
        <v>0</v>
      </c>
      <c r="EO226" s="33">
        <f>IF(ER225&lt;0.01,0,IF(Plus!$AS$2&gt;0,EI226*Plus!$AS$3,0))</f>
        <v>0</v>
      </c>
      <c r="EP226" s="33">
        <f t="shared" si="520"/>
        <v>0</v>
      </c>
      <c r="EQ226" s="33">
        <f>IF(Plus!$F$10=Plus!$AK$3,MIN(ER225+EI226+EL226+EM226+EN226-EP226,FC226),0)</f>
        <v>0</v>
      </c>
      <c r="ER226" s="311">
        <f t="shared" si="431"/>
        <v>0</v>
      </c>
      <c r="ES226" s="340">
        <f>Plus!O267</f>
        <v>0</v>
      </c>
      <c r="ET226" s="74"/>
      <c r="EU226" s="74"/>
      <c r="EV226" s="416">
        <f t="shared" ref="EV226:EV264" si="575">EK226+EL226+(EM226/1.16)+(EN226/1.16)+EQ226</f>
        <v>0</v>
      </c>
      <c r="EY226" s="90">
        <f t="shared" si="521"/>
        <v>10</v>
      </c>
      <c r="EZ226" s="121">
        <f t="shared" si="565"/>
        <v>0</v>
      </c>
      <c r="FB226" s="149">
        <f t="shared" si="566"/>
        <v>0</v>
      </c>
      <c r="FC226" s="2179">
        <f t="shared" ca="1" si="522"/>
        <v>0</v>
      </c>
      <c r="FE226" s="120">
        <f t="shared" si="567"/>
        <v>0</v>
      </c>
      <c r="FF226" s="110">
        <f t="shared" si="523"/>
        <v>0</v>
      </c>
      <c r="FG226" s="110">
        <f t="shared" si="524"/>
        <v>0</v>
      </c>
      <c r="FH226" s="109">
        <f t="shared" si="525"/>
        <v>0</v>
      </c>
      <c r="FI226" s="109">
        <f t="shared" si="476"/>
        <v>0</v>
      </c>
      <c r="FJ226" s="113">
        <f t="shared" si="526"/>
        <v>0</v>
      </c>
      <c r="FL226" s="102">
        <f t="shared" si="527"/>
        <v>0</v>
      </c>
      <c r="FM226" s="211">
        <f t="shared" si="454"/>
        <v>202</v>
      </c>
      <c r="FN226" s="212">
        <f t="shared" si="528"/>
        <v>0</v>
      </c>
      <c r="FO226" s="212">
        <f t="shared" si="477"/>
        <v>0</v>
      </c>
      <c r="FP226" s="212">
        <f t="shared" si="529"/>
        <v>0</v>
      </c>
      <c r="FQ226" s="213">
        <f t="shared" si="478"/>
        <v>1000000</v>
      </c>
      <c r="FV226" s="359"/>
      <c r="FX226" s="308">
        <f t="shared" ca="1" si="479"/>
        <v>1</v>
      </c>
      <c r="FY226" s="309">
        <f t="shared" si="530"/>
        <v>0</v>
      </c>
      <c r="FZ226" s="268">
        <f t="shared" si="480"/>
        <v>0</v>
      </c>
      <c r="GA226" s="33">
        <f t="shared" si="531"/>
        <v>0</v>
      </c>
      <c r="GB226" s="33">
        <f t="shared" si="438"/>
        <v>0</v>
      </c>
      <c r="GC226" s="33">
        <f t="shared" si="439"/>
        <v>0</v>
      </c>
      <c r="GD226" s="33">
        <f>IF(GJ225&lt;0.01,0,IF(Plus!$F$22=Plus!$AN$4,0,IF(Plus!$F$22=Plus!$AN$3,GJ225*Plus!$F$23/1000,GJ225*VLOOKUP(Plus!$G$21,Plus!$AP$2:$AQ$5,2,0))))</f>
        <v>0</v>
      </c>
      <c r="GE226" s="33">
        <f>IF(GJ225&lt;0.01,0,IF(Plus!$F$24=Plus!$AO$3,0,IF(OR(Plus!$F$10=Plus!$AK$7,Plus!$F$10=Plus!$AK$13,Plus!$F$10=Plus!$AK$14),0,IF(OR(Plus!$F$10=Plus!$AK$10,Plus!$F$10=Plus!$AK$11),Plus!$G$13*Adm!$W$7,Plus!$G$13*Adm!$X$4))))</f>
        <v>0</v>
      </c>
      <c r="GF226" s="33">
        <f>IF(GJ225&lt;0.01,0,IF(OR(Plus!$F$10=Plus!$AK$7,Plus!$F$10=Plus!$AK$13),0,Plus!$BD$2*1.16))</f>
        <v>0</v>
      </c>
      <c r="GG226" s="33">
        <f>IF(GJ225&lt;0.01,0,IF(Plus!$AS$2&gt;0,GA226*Plus!$AS$3,0))</f>
        <v>0</v>
      </c>
      <c r="GH226" s="33">
        <f t="shared" si="532"/>
        <v>0</v>
      </c>
      <c r="GI226" s="33">
        <f>IF(Plus!$F$10=Plus!$AK$3,MIN(GJ225+GA226+GD226+GE226+GF226-GH226,GU226),0)</f>
        <v>0</v>
      </c>
      <c r="GJ226" s="311">
        <f t="shared" si="432"/>
        <v>0</v>
      </c>
      <c r="GK226" s="340">
        <f>Plus!O267</f>
        <v>0</v>
      </c>
      <c r="GL226" s="74"/>
      <c r="GM226" s="74"/>
      <c r="GN226" s="419">
        <f t="shared" ref="GN226:GN264" si="576">GC226+GD226+(GE226/1.16)+(GF226/1.16)+GI226</f>
        <v>0</v>
      </c>
      <c r="GQ226" s="90">
        <f t="shared" si="533"/>
        <v>10</v>
      </c>
      <c r="GR226" s="121">
        <f t="shared" si="568"/>
        <v>0</v>
      </c>
      <c r="GT226" s="149">
        <f t="shared" si="569"/>
        <v>0</v>
      </c>
      <c r="GU226" s="2179">
        <f t="shared" ca="1" si="534"/>
        <v>0</v>
      </c>
      <c r="GW226" s="120">
        <f t="shared" si="570"/>
        <v>0</v>
      </c>
      <c r="GX226" s="110">
        <f t="shared" si="535"/>
        <v>0</v>
      </c>
      <c r="GY226" s="110">
        <f t="shared" si="536"/>
        <v>0</v>
      </c>
      <c r="GZ226" s="109">
        <f t="shared" si="537"/>
        <v>0</v>
      </c>
      <c r="HA226" s="109">
        <f t="shared" si="481"/>
        <v>0</v>
      </c>
      <c r="HB226" s="113">
        <f t="shared" si="538"/>
        <v>0</v>
      </c>
      <c r="HD226" s="102">
        <f t="shared" si="539"/>
        <v>0</v>
      </c>
      <c r="HE226" s="211">
        <f t="shared" si="455"/>
        <v>202</v>
      </c>
      <c r="HF226" s="212">
        <f t="shared" si="540"/>
        <v>0</v>
      </c>
      <c r="HG226" s="212">
        <f t="shared" si="482"/>
        <v>0</v>
      </c>
      <c r="HH226" s="212">
        <f t="shared" si="541"/>
        <v>0</v>
      </c>
      <c r="HI226" s="213">
        <f t="shared" si="483"/>
        <v>1000000</v>
      </c>
      <c r="HL226" s="182"/>
      <c r="HM226" s="26">
        <f t="shared" ca="1" si="484"/>
        <v>1</v>
      </c>
      <c r="HO226" s="268">
        <f t="shared" si="485"/>
        <v>0</v>
      </c>
      <c r="HP226" s="151">
        <f t="shared" si="448"/>
        <v>0</v>
      </c>
      <c r="HQ226" s="123">
        <f t="shared" si="542"/>
        <v>0</v>
      </c>
      <c r="HR226" s="123">
        <f t="shared" si="543"/>
        <v>0</v>
      </c>
      <c r="HS226" s="123">
        <f t="shared" si="544"/>
        <v>0</v>
      </c>
      <c r="HT226" s="123">
        <f>IF(HY225&lt;0.01,0,IF(Adm!$GS$4=Adm!$GS$8,HY225*$HY$15,IF(Adm!$GS$12=Adm!$GS$13,0,HY225*Adm!$GV$4)))</f>
        <v>0</v>
      </c>
      <c r="HU226" s="123">
        <f>IF(HY225&lt;0.01,0,IF(Adm!$GS$5=Adm!$GS$8,Cal!$BO$108*$HY$16/1.16,IF(Adm!$GS$12=Adm!$GS$13,0,Cal!$BO$108*Adm!$GW$4/1.16)))</f>
        <v>0</v>
      </c>
      <c r="HV226" s="123">
        <f t="shared" si="545"/>
        <v>0</v>
      </c>
      <c r="HW226" s="123">
        <f t="shared" si="486"/>
        <v>0</v>
      </c>
      <c r="HX226" s="123">
        <f>IF(Adm!$GH$6="si",MIN(HY225+HQ226+HT226+HU226+HV226-HW226,IH226),0)</f>
        <v>0</v>
      </c>
      <c r="HY226" s="297">
        <f t="shared" si="546"/>
        <v>0</v>
      </c>
      <c r="HZ226" s="74"/>
      <c r="IA226" s="407">
        <f t="shared" si="547"/>
        <v>0</v>
      </c>
      <c r="IC226" s="90">
        <f t="shared" si="548"/>
        <v>10</v>
      </c>
      <c r="ID226" s="124">
        <f>IF(IC226=1,Cal!$BO$127,0)</f>
        <v>0</v>
      </c>
      <c r="IE226" s="178">
        <f>IF(IC226=1,Adm!$HI$4,0)</f>
        <v>0</v>
      </c>
      <c r="IG226" s="70">
        <f t="shared" si="571"/>
        <v>0</v>
      </c>
      <c r="IH226" s="2178">
        <f t="shared" ca="1" si="549"/>
        <v>0</v>
      </c>
      <c r="IK226" s="217"/>
      <c r="IL226" s="26">
        <f t="shared" ca="1" si="487"/>
        <v>1</v>
      </c>
      <c r="IN226" s="268">
        <f t="shared" si="488"/>
        <v>0</v>
      </c>
      <c r="IO226" s="151">
        <f t="shared" si="449"/>
        <v>0</v>
      </c>
      <c r="IP226" s="123">
        <f t="shared" si="550"/>
        <v>0</v>
      </c>
      <c r="IQ226" s="123">
        <f t="shared" si="551"/>
        <v>0</v>
      </c>
      <c r="IR226" s="123">
        <f t="shared" si="552"/>
        <v>0</v>
      </c>
      <c r="IS226" s="123">
        <f>IF(IX225&lt;0.01,0,IF(Adm!$GS$4=Adm!$GS$8,IX225*$IX$15,IF(Adm!$GS$12=Adm!$GS$13,0,IX225*Adm!$GV$4)))</f>
        <v>0</v>
      </c>
      <c r="IT226" s="123"/>
      <c r="IU226" s="123">
        <f t="shared" si="553"/>
        <v>0</v>
      </c>
      <c r="IV226" s="123">
        <f t="shared" si="554"/>
        <v>0</v>
      </c>
      <c r="IW226" s="123"/>
      <c r="IX226" s="297">
        <f t="shared" si="555"/>
        <v>0</v>
      </c>
      <c r="IY226" s="74"/>
      <c r="IZ226" s="416">
        <f t="shared" si="556"/>
        <v>0</v>
      </c>
      <c r="JB226" s="90">
        <f t="shared" si="557"/>
        <v>10</v>
      </c>
      <c r="JC226" s="124">
        <f>IF(JB226=1,Cal!$BP$127,0)</f>
        <v>0</v>
      </c>
      <c r="JD226" s="178">
        <f>IF(JB226=1,Adm!$HI$4,0)</f>
        <v>0</v>
      </c>
    </row>
    <row r="227" spans="1:264">
      <c r="A227" s="26">
        <f t="shared" ca="1" si="456"/>
        <v>2</v>
      </c>
      <c r="C227" s="33">
        <f t="shared" si="457"/>
        <v>0</v>
      </c>
      <c r="D227" s="123">
        <f t="shared" si="489"/>
        <v>0</v>
      </c>
      <c r="E227" s="123">
        <f t="shared" si="433"/>
        <v>0</v>
      </c>
      <c r="F227" s="123">
        <f t="shared" si="443"/>
        <v>0</v>
      </c>
      <c r="G227" s="123">
        <f>IF(L226&lt;0.01,0,IF(Adm!$S$4=Adm!$S$8,L226*$L$15,L226*Adm!$V$4))</f>
        <v>0</v>
      </c>
      <c r="H227" s="123">
        <f>IF(L226&lt;0.01,0,IF(Adm!$S$5=Adm!$S$8,Adm!$AA$11*$L$16/1.16,IF(Adm!$B$4=Adm!$A$119,0,Adm!$AA$11*Adm!$X$4/1.16)))</f>
        <v>0</v>
      </c>
      <c r="I227" s="123">
        <f>IF(L226&lt;0.01,0,Cal!$AB$126/1.16)</f>
        <v>0</v>
      </c>
      <c r="J227" s="123">
        <f t="shared" si="458"/>
        <v>0</v>
      </c>
      <c r="K227" s="123">
        <f>IF(Adm!$G$4="si",MIN(L226+D227+G227+H227+I227-J227,V227),0)</f>
        <v>0</v>
      </c>
      <c r="L227" s="123">
        <f t="shared" si="490"/>
        <v>0</v>
      </c>
      <c r="M227" s="74"/>
      <c r="N227" s="74"/>
      <c r="O227" s="407">
        <f t="shared" si="491"/>
        <v>0</v>
      </c>
      <c r="R227" s="90">
        <f t="shared" si="492"/>
        <v>11</v>
      </c>
      <c r="S227" s="121">
        <f>IF(R227=1,Cal!$AB$127,0)</f>
        <v>0</v>
      </c>
      <c r="U227" s="70">
        <f t="shared" si="558"/>
        <v>0</v>
      </c>
      <c r="V227" s="2178">
        <f t="shared" ca="1" si="493"/>
        <v>0</v>
      </c>
      <c r="X227" s="398"/>
      <c r="Z227" s="268">
        <f t="shared" si="459"/>
        <v>0</v>
      </c>
      <c r="AA227" s="2176">
        <f t="shared" si="494"/>
        <v>0</v>
      </c>
      <c r="AB227" s="33">
        <f t="shared" si="495"/>
        <v>0</v>
      </c>
      <c r="AC227" s="33">
        <f t="shared" si="496"/>
        <v>0</v>
      </c>
      <c r="AD227" s="33">
        <f>IF(AI226&lt;0.01,0,IF(Adm!$S$4=Adm!$S$8,AI226*$AI$15,AI226*Adm!$V$4))</f>
        <v>0</v>
      </c>
      <c r="AE227" s="33"/>
      <c r="AF227" s="33"/>
      <c r="AG227" s="33">
        <f t="shared" si="460"/>
        <v>0</v>
      </c>
      <c r="AH227" s="33"/>
      <c r="AI227" s="401">
        <f t="shared" si="461"/>
        <v>0</v>
      </c>
      <c r="AK227" s="410">
        <f t="shared" si="462"/>
        <v>0</v>
      </c>
      <c r="AN227" s="90">
        <f t="shared" si="497"/>
        <v>11</v>
      </c>
      <c r="AO227" s="121">
        <f>IF(AN227=1,Cal!$AC$127,0)</f>
        <v>0</v>
      </c>
      <c r="AS227" s="200"/>
      <c r="AU227" s="268">
        <f t="shared" si="463"/>
        <v>0</v>
      </c>
      <c r="AV227" s="2177">
        <f t="shared" si="498"/>
        <v>0</v>
      </c>
      <c r="AW227" s="123">
        <f t="shared" si="464"/>
        <v>0</v>
      </c>
      <c r="AX227" s="123">
        <f t="shared" si="499"/>
        <v>0</v>
      </c>
      <c r="AY227" s="123">
        <f>IF(BC226&lt;0.01,0,IF(Adm!$S$4=Adm!$S$8,BC226*$BC$16,BC226*Adm!$V$4))</f>
        <v>0</v>
      </c>
      <c r="AZ227" s="123"/>
      <c r="BA227" s="123">
        <f>IF(BC226&lt;0.01,0,Adm!$Q$6)</f>
        <v>0</v>
      </c>
      <c r="BB227" s="123">
        <f t="shared" si="465"/>
        <v>0</v>
      </c>
      <c r="BC227" s="297">
        <f t="shared" si="500"/>
        <v>0</v>
      </c>
      <c r="BE227" s="425">
        <f t="shared" si="466"/>
        <v>0</v>
      </c>
      <c r="BH227" s="90">
        <f t="shared" si="501"/>
        <v>11</v>
      </c>
      <c r="BI227" s="121">
        <f>IF(BH227=1,Cal!$AD$127,0)</f>
        <v>0</v>
      </c>
      <c r="BM227" s="221"/>
      <c r="BO227" s="295">
        <f t="shared" ca="1" si="467"/>
        <v>2</v>
      </c>
      <c r="BP227" s="268">
        <f t="shared" si="468"/>
        <v>0</v>
      </c>
      <c r="BQ227" s="123">
        <f t="shared" si="502"/>
        <v>0</v>
      </c>
      <c r="BR227" s="123">
        <f t="shared" si="434"/>
        <v>0</v>
      </c>
      <c r="BS227" s="123">
        <f t="shared" si="444"/>
        <v>0</v>
      </c>
      <c r="BT227" s="123">
        <f>IF(BZ226&lt;0.01,0,IF(Plus!$F$22=Plus!$AN$4,BZ226*$BZ$15,IF(Plus!$F$22=Plus!$AN$3,BZ226*Plus!$F$23/1000,BZ226*VLOOKUP(Plus!$G$21,Plus!$AP$2:'Plus'!$AQ$5,2,0))))</f>
        <v>0</v>
      </c>
      <c r="BU227" s="123">
        <f>IF(BZ226&lt;0.01,0,IF(Plus!$F$24=Plus!$AO$3,Plus!$G$13*Plus!$AR$2/1.16,IF(Plus!$F$10=Plus!$AK$7,0,Plus!$G$13*Plus!$AR$2/1.16)))</f>
        <v>0</v>
      </c>
      <c r="BV227" s="123">
        <f>IF(BZ226&lt;0.01,0,Plus!$BD$2)</f>
        <v>0</v>
      </c>
      <c r="BW227" s="123"/>
      <c r="BX227" s="123">
        <f t="shared" si="469"/>
        <v>0</v>
      </c>
      <c r="BY227" s="123">
        <f>IF(Plus!$F$10=Plus!$AK$3,MIN(BZ226+BQ227+BT227+BU227+BV227-BX227,CJ227),0)</f>
        <v>0</v>
      </c>
      <c r="BZ227" s="297">
        <f t="shared" si="574"/>
        <v>0</v>
      </c>
      <c r="CA227" s="74"/>
      <c r="CB227" s="74"/>
      <c r="CC227" s="413">
        <f t="shared" si="503"/>
        <v>0</v>
      </c>
      <c r="CF227" s="90">
        <f t="shared" si="504"/>
        <v>11</v>
      </c>
      <c r="CG227" s="121">
        <f t="shared" si="559"/>
        <v>0</v>
      </c>
      <c r="CI227" s="70">
        <f t="shared" si="560"/>
        <v>0</v>
      </c>
      <c r="CJ227" s="2178">
        <f t="shared" ca="1" si="505"/>
        <v>0</v>
      </c>
      <c r="CL227" s="161"/>
      <c r="CN227" s="308">
        <f t="shared" ca="1" si="470"/>
        <v>2</v>
      </c>
      <c r="CO227" s="309">
        <f t="shared" si="506"/>
        <v>0</v>
      </c>
      <c r="CP227" s="268">
        <f t="shared" si="471"/>
        <v>0</v>
      </c>
      <c r="CQ227" s="123">
        <f t="shared" si="507"/>
        <v>0</v>
      </c>
      <c r="CR227" s="123">
        <f t="shared" si="435"/>
        <v>0</v>
      </c>
      <c r="CS227" s="123">
        <f t="shared" si="436"/>
        <v>0</v>
      </c>
      <c r="CT227" s="33">
        <f>IF(CZ226&lt;0.01,0,IF(Plus!$F$22=Plus!$AN$4,0,IF(Plus!$F$22=Plus!$AN$3,CZ226*Plus!$F$23/1000,CZ226*VLOOKUP(Plus!$G$21,Plus!$AP$2:'Plus'!$AQ$5,2,0))))</f>
        <v>0</v>
      </c>
      <c r="CU227" s="123">
        <f>IF(CZ226&lt;0.01,0,IF(Plus!$F$24=Plus!$AO$3,0,IF(OR(Plus!$F$10=Plus!$AK$7,Plus!$F$10=Plus!$AK$13),0,Plus!$G$13*Plus!$AR$2)))</f>
        <v>0</v>
      </c>
      <c r="CV227" s="123">
        <f>IF(CZ226&lt;0.01,0,IF(OR(Plus!$F$10=Plus!$AK$7,Plus!$F$10=Plus!$AK$13),0,Plus!$BD$2*1.16))</f>
        <v>0</v>
      </c>
      <c r="CW227" s="123">
        <f>IF(CZ226&lt;0.01,0,IF(Plus!$AS$2&gt;0,CQ227*Plus!$AS$3,0))</f>
        <v>0</v>
      </c>
      <c r="CX227" s="123">
        <f t="shared" si="508"/>
        <v>0</v>
      </c>
      <c r="CY227" s="123">
        <f>IF(Plus!$F$10=Plus!$AK$3,MIN(CZ226+CQ227+CT227+CU227+CV227-CX227,DK227),0)</f>
        <v>0</v>
      </c>
      <c r="CZ227" s="297">
        <f t="shared" si="440"/>
        <v>0</v>
      </c>
      <c r="DA227" s="306">
        <f>Plus!O268</f>
        <v>0</v>
      </c>
      <c r="DB227" s="74"/>
      <c r="DC227" s="74"/>
      <c r="DD227" s="407">
        <f t="shared" si="509"/>
        <v>0</v>
      </c>
      <c r="DG227" s="90">
        <f t="shared" si="510"/>
        <v>11</v>
      </c>
      <c r="DH227" s="121">
        <f t="shared" si="561"/>
        <v>0</v>
      </c>
      <c r="DJ227" s="149">
        <f t="shared" si="562"/>
        <v>0</v>
      </c>
      <c r="DK227" s="2179">
        <f t="shared" ca="1" si="511"/>
        <v>0</v>
      </c>
      <c r="DN227" s="120">
        <f t="shared" si="563"/>
        <v>0</v>
      </c>
      <c r="DO227" s="110">
        <f t="shared" si="512"/>
        <v>0</v>
      </c>
      <c r="DP227" s="110">
        <f t="shared" si="572"/>
        <v>0</v>
      </c>
      <c r="DQ227" s="109">
        <f t="shared" si="513"/>
        <v>0</v>
      </c>
      <c r="DR227" s="109">
        <f t="shared" si="514"/>
        <v>0</v>
      </c>
      <c r="DS227" s="113">
        <f t="shared" si="515"/>
        <v>0</v>
      </c>
      <c r="DU227" s="102">
        <f t="shared" si="516"/>
        <v>0</v>
      </c>
      <c r="DV227" s="211">
        <f t="shared" si="573"/>
        <v>203</v>
      </c>
      <c r="DW227" s="212">
        <f t="shared" si="517"/>
        <v>0</v>
      </c>
      <c r="DX227" s="212">
        <f t="shared" si="472"/>
        <v>0</v>
      </c>
      <c r="DY227" s="212">
        <f t="shared" si="564"/>
        <v>0</v>
      </c>
      <c r="DZ227" s="213">
        <f t="shared" si="473"/>
        <v>1000000</v>
      </c>
      <c r="ED227" s="182"/>
      <c r="EF227" s="308">
        <f t="shared" ca="1" si="474"/>
        <v>2</v>
      </c>
      <c r="EG227" s="309">
        <f t="shared" si="518"/>
        <v>0</v>
      </c>
      <c r="EH227" s="268">
        <f t="shared" si="475"/>
        <v>0</v>
      </c>
      <c r="EI227" s="33">
        <f t="shared" si="519"/>
        <v>0</v>
      </c>
      <c r="EJ227" s="33">
        <f t="shared" si="437"/>
        <v>0</v>
      </c>
      <c r="EK227" s="33">
        <f t="shared" si="445"/>
        <v>0</v>
      </c>
      <c r="EL227" s="33">
        <f>IF(ER226&lt;0.01,0,IF(Plus!$F$22=Plus!$AN$4,0,IF(Plus!$F$22=Plus!$AN$3,ER226*Plus!$F$23/1000,ER226*VLOOKUP(Plus!$G$21,Plus!$AP$2:'Plus'!$AQ$5,2,0))))</f>
        <v>0</v>
      </c>
      <c r="EM227" s="33">
        <f>IF(ER226&lt;0.01,0,IF(Plus!$F$24=Plus!$AO$3,0,IF(OR(Plus!$F$10=Plus!$AK$7,Plus!$F$10=Plus!$AK$13),0,Plus!$G$13*Plus!$AR$2)))</f>
        <v>0</v>
      </c>
      <c r="EN227" s="33">
        <f>IF(ER226&lt;0.01,0,IF(OR(Plus!$F$10=Plus!$AK$7,Plus!$F$10=Plus!$AK$13),0,Plus!$BD$2*1.16))</f>
        <v>0</v>
      </c>
      <c r="EO227" s="33">
        <f>IF(ER226&lt;0.01,0,IF(Plus!$AS$2&gt;0,EI227*Plus!$AS$3,0))</f>
        <v>0</v>
      </c>
      <c r="EP227" s="33">
        <f t="shared" si="520"/>
        <v>0</v>
      </c>
      <c r="EQ227" s="33">
        <f>IF(Plus!$F$10=Plus!$AK$3,MIN(ER226+EI227+EL227+EM227+EN227-EP227,FC227),0)</f>
        <v>0</v>
      </c>
      <c r="ER227" s="311">
        <f t="shared" ref="ER227:ER264" si="577">IF(ER226&lt;0.01,0,ER226-EJ227-EQ227-ES227)</f>
        <v>0</v>
      </c>
      <c r="ES227" s="340">
        <f>Plus!O268</f>
        <v>0</v>
      </c>
      <c r="ET227" s="74"/>
      <c r="EU227" s="74"/>
      <c r="EV227" s="416">
        <f t="shared" si="575"/>
        <v>0</v>
      </c>
      <c r="EY227" s="90">
        <f t="shared" si="521"/>
        <v>11</v>
      </c>
      <c r="EZ227" s="121">
        <f t="shared" si="565"/>
        <v>0</v>
      </c>
      <c r="FB227" s="149">
        <f t="shared" si="566"/>
        <v>0</v>
      </c>
      <c r="FC227" s="2179">
        <f t="shared" ca="1" si="522"/>
        <v>0</v>
      </c>
      <c r="FE227" s="120">
        <f t="shared" si="567"/>
        <v>0</v>
      </c>
      <c r="FF227" s="110">
        <f t="shared" si="523"/>
        <v>0</v>
      </c>
      <c r="FG227" s="110">
        <f t="shared" si="524"/>
        <v>0</v>
      </c>
      <c r="FH227" s="109">
        <f t="shared" si="525"/>
        <v>0</v>
      </c>
      <c r="FI227" s="109">
        <f t="shared" si="476"/>
        <v>0</v>
      </c>
      <c r="FJ227" s="113">
        <f t="shared" si="526"/>
        <v>0</v>
      </c>
      <c r="FL227" s="102">
        <f t="shared" si="527"/>
        <v>0</v>
      </c>
      <c r="FM227" s="211">
        <f t="shared" si="454"/>
        <v>203</v>
      </c>
      <c r="FN227" s="212">
        <f t="shared" si="528"/>
        <v>0</v>
      </c>
      <c r="FO227" s="212">
        <f t="shared" si="477"/>
        <v>0</v>
      </c>
      <c r="FP227" s="212">
        <f t="shared" si="529"/>
        <v>0</v>
      </c>
      <c r="FQ227" s="213">
        <f t="shared" si="478"/>
        <v>1000000</v>
      </c>
      <c r="FV227" s="359"/>
      <c r="FX227" s="308">
        <f t="shared" ca="1" si="479"/>
        <v>2</v>
      </c>
      <c r="FY227" s="309">
        <f t="shared" si="530"/>
        <v>0</v>
      </c>
      <c r="FZ227" s="268">
        <f t="shared" si="480"/>
        <v>0</v>
      </c>
      <c r="GA227" s="33">
        <f t="shared" si="531"/>
        <v>0</v>
      </c>
      <c r="GB227" s="33">
        <f t="shared" si="438"/>
        <v>0</v>
      </c>
      <c r="GC227" s="33">
        <f t="shared" si="439"/>
        <v>0</v>
      </c>
      <c r="GD227" s="33">
        <f>IF(GJ226&lt;0.01,0,IF(Plus!$F$22=Plus!$AN$4,0,IF(Plus!$F$22=Plus!$AN$3,GJ226*Plus!$F$23/1000,GJ226*VLOOKUP(Plus!$G$21,Plus!$AP$2:$AQ$5,2,0))))</f>
        <v>0</v>
      </c>
      <c r="GE227" s="33">
        <f>IF(GJ226&lt;0.01,0,IF(Plus!$F$24=Plus!$AO$3,0,IF(OR(Plus!$F$10=Plus!$AK$7,Plus!$F$10=Plus!$AK$13,Plus!$F$10=Plus!$AK$14),0,IF(OR(Plus!$F$10=Plus!$AK$10,Plus!$F$10=Plus!$AK$11),Plus!$G$13*Adm!$W$7,Plus!$G$13*Adm!$X$4))))</f>
        <v>0</v>
      </c>
      <c r="GF227" s="33">
        <f>IF(GJ226&lt;0.01,0,IF(OR(Plus!$F$10=Plus!$AK$7,Plus!$F$10=Plus!$AK$13),0,Plus!$BD$2*1.16))</f>
        <v>0</v>
      </c>
      <c r="GG227" s="33">
        <f>IF(GJ226&lt;0.01,0,IF(Plus!$AS$2&gt;0,GA227*Plus!$AS$3,0))</f>
        <v>0</v>
      </c>
      <c r="GH227" s="33">
        <f t="shared" si="532"/>
        <v>0</v>
      </c>
      <c r="GI227" s="33">
        <f>IF(Plus!$F$10=Plus!$AK$3,MIN(GJ226+GA227+GD227+GE227+GF227-GH227,GU227),0)</f>
        <v>0</v>
      </c>
      <c r="GJ227" s="311">
        <f t="shared" ref="GJ227:GJ264" si="578">IF(GJ226&lt;0.01,0,GJ226-GB227-GI227-GK227)</f>
        <v>0</v>
      </c>
      <c r="GK227" s="340">
        <f>Plus!O268</f>
        <v>0</v>
      </c>
      <c r="GL227" s="74"/>
      <c r="GM227" s="74"/>
      <c r="GN227" s="419">
        <f t="shared" si="576"/>
        <v>0</v>
      </c>
      <c r="GQ227" s="90">
        <f t="shared" si="533"/>
        <v>11</v>
      </c>
      <c r="GR227" s="121">
        <f t="shared" si="568"/>
        <v>0</v>
      </c>
      <c r="GT227" s="149">
        <f t="shared" si="569"/>
        <v>0</v>
      </c>
      <c r="GU227" s="2179">
        <f t="shared" ca="1" si="534"/>
        <v>0</v>
      </c>
      <c r="GW227" s="120">
        <f t="shared" si="570"/>
        <v>0</v>
      </c>
      <c r="GX227" s="110">
        <f t="shared" si="535"/>
        <v>0</v>
      </c>
      <c r="GY227" s="110">
        <f t="shared" si="536"/>
        <v>0</v>
      </c>
      <c r="GZ227" s="109">
        <f t="shared" si="537"/>
        <v>0</v>
      </c>
      <c r="HA227" s="109">
        <f t="shared" si="481"/>
        <v>0</v>
      </c>
      <c r="HB227" s="113">
        <f t="shared" si="538"/>
        <v>0</v>
      </c>
      <c r="HD227" s="102">
        <f t="shared" si="539"/>
        <v>0</v>
      </c>
      <c r="HE227" s="211">
        <f t="shared" si="455"/>
        <v>203</v>
      </c>
      <c r="HF227" s="212">
        <f t="shared" si="540"/>
        <v>0</v>
      </c>
      <c r="HG227" s="212">
        <f t="shared" si="482"/>
        <v>0</v>
      </c>
      <c r="HH227" s="212">
        <f t="shared" si="541"/>
        <v>0</v>
      </c>
      <c r="HI227" s="213">
        <f t="shared" si="483"/>
        <v>1000000</v>
      </c>
      <c r="HL227" s="182"/>
      <c r="HM227" s="26">
        <f t="shared" ca="1" si="484"/>
        <v>2</v>
      </c>
      <c r="HO227" s="268">
        <f t="shared" si="485"/>
        <v>0</v>
      </c>
      <c r="HP227" s="151">
        <f t="shared" si="448"/>
        <v>0</v>
      </c>
      <c r="HQ227" s="123">
        <f t="shared" si="542"/>
        <v>0</v>
      </c>
      <c r="HR227" s="123">
        <f t="shared" si="543"/>
        <v>0</v>
      </c>
      <c r="HS227" s="123">
        <f t="shared" si="544"/>
        <v>0</v>
      </c>
      <c r="HT227" s="123">
        <f>IF(HY226&lt;0.01,0,IF(Adm!$GS$4=Adm!$GS$8,HY226*$HY$15,IF(Adm!$GS$12=Adm!$GS$13,0,HY226*Adm!$GV$4)))</f>
        <v>0</v>
      </c>
      <c r="HU227" s="123">
        <f>IF(HY226&lt;0.01,0,IF(Adm!$GS$5=Adm!$GS$8,Cal!$BO$108*$HY$16/1.16,IF(Adm!$GS$12=Adm!$GS$13,0,Cal!$BO$108*Adm!$GW$4/1.16)))</f>
        <v>0</v>
      </c>
      <c r="HV227" s="123">
        <f t="shared" si="545"/>
        <v>0</v>
      </c>
      <c r="HW227" s="123">
        <f t="shared" si="486"/>
        <v>0</v>
      </c>
      <c r="HX227" s="123">
        <f>IF(Adm!$GH$6="si",MIN(HY226+HQ227+HT227+HU227+HV227-HW227,IH227),0)</f>
        <v>0</v>
      </c>
      <c r="HY227" s="297">
        <f t="shared" si="546"/>
        <v>0</v>
      </c>
      <c r="HZ227" s="74"/>
      <c r="IA227" s="407">
        <f t="shared" si="547"/>
        <v>0</v>
      </c>
      <c r="IC227" s="90">
        <f t="shared" si="548"/>
        <v>11</v>
      </c>
      <c r="ID227" s="124">
        <f>IF(IC227=1,Cal!$BO$127,0)</f>
        <v>0</v>
      </c>
      <c r="IE227" s="178">
        <f>IF(IC227=1,Adm!$HI$4,0)</f>
        <v>0</v>
      </c>
      <c r="IG227" s="70">
        <f t="shared" si="571"/>
        <v>0</v>
      </c>
      <c r="IH227" s="2178">
        <f t="shared" ca="1" si="549"/>
        <v>0</v>
      </c>
      <c r="IK227" s="217"/>
      <c r="IL227" s="26">
        <f t="shared" ca="1" si="487"/>
        <v>2</v>
      </c>
      <c r="IN227" s="268">
        <f t="shared" si="488"/>
        <v>0</v>
      </c>
      <c r="IO227" s="151">
        <f t="shared" si="449"/>
        <v>0</v>
      </c>
      <c r="IP227" s="123">
        <f t="shared" si="550"/>
        <v>0</v>
      </c>
      <c r="IQ227" s="123">
        <f t="shared" si="551"/>
        <v>0</v>
      </c>
      <c r="IR227" s="123">
        <f t="shared" si="552"/>
        <v>0</v>
      </c>
      <c r="IS227" s="123">
        <f>IF(IX226&lt;0.01,0,IF(Adm!$GS$4=Adm!$GS$8,IX226*$IX$15,IF(Adm!$GS$12=Adm!$GS$13,0,IX226*Adm!$GV$4)))</f>
        <v>0</v>
      </c>
      <c r="IT227" s="123"/>
      <c r="IU227" s="123">
        <f t="shared" si="553"/>
        <v>0</v>
      </c>
      <c r="IV227" s="123">
        <f t="shared" si="554"/>
        <v>0</v>
      </c>
      <c r="IW227" s="123"/>
      <c r="IX227" s="297">
        <f t="shared" si="555"/>
        <v>0</v>
      </c>
      <c r="IY227" s="74"/>
      <c r="IZ227" s="416">
        <f t="shared" si="556"/>
        <v>0</v>
      </c>
      <c r="JB227" s="90">
        <f t="shared" si="557"/>
        <v>11</v>
      </c>
      <c r="JC227" s="124">
        <f>IF(JB227=1,Cal!$BP$127,0)</f>
        <v>0</v>
      </c>
      <c r="JD227" s="178">
        <f>IF(JB227=1,Adm!$HI$4,0)</f>
        <v>0</v>
      </c>
    </row>
    <row r="228" spans="1:264">
      <c r="A228" s="26">
        <f t="shared" ca="1" si="456"/>
        <v>3</v>
      </c>
      <c r="C228" s="33">
        <f t="shared" si="457"/>
        <v>0</v>
      </c>
      <c r="D228" s="123">
        <f t="shared" si="489"/>
        <v>0</v>
      </c>
      <c r="E228" s="123">
        <f t="shared" si="433"/>
        <v>0</v>
      </c>
      <c r="F228" s="123">
        <f t="shared" si="443"/>
        <v>0</v>
      </c>
      <c r="G228" s="123">
        <f>IF(L227&lt;0.01,0,IF(Adm!$S$4=Adm!$S$8,L227*$L$15,L227*Adm!$V$4))</f>
        <v>0</v>
      </c>
      <c r="H228" s="123">
        <f>IF(L227&lt;0.01,0,IF(Adm!$S$5=Adm!$S$8,Adm!$AA$11*$L$16/1.16,IF(Adm!$B$4=Adm!$A$119,0,Adm!$AA$11*Adm!$X$4/1.16)))</f>
        <v>0</v>
      </c>
      <c r="I228" s="123">
        <f>IF(L227&lt;0.01,0,Cal!$AB$126/1.16)</f>
        <v>0</v>
      </c>
      <c r="J228" s="123">
        <f t="shared" si="458"/>
        <v>0</v>
      </c>
      <c r="K228" s="123">
        <f>IF(Adm!$G$4="si",MIN(L227+D228+G228+H228+I228-J228,V228),0)</f>
        <v>0</v>
      </c>
      <c r="L228" s="123">
        <f t="shared" si="490"/>
        <v>0</v>
      </c>
      <c r="M228" s="74"/>
      <c r="N228" s="74"/>
      <c r="O228" s="407">
        <f t="shared" si="491"/>
        <v>0</v>
      </c>
      <c r="R228" s="90">
        <f t="shared" si="492"/>
        <v>12</v>
      </c>
      <c r="S228" s="121">
        <f>IF(R228=1,Cal!$AB$127,0)</f>
        <v>0</v>
      </c>
      <c r="U228" s="70">
        <f t="shared" si="558"/>
        <v>0</v>
      </c>
      <c r="V228" s="2178">
        <f t="shared" ca="1" si="493"/>
        <v>0</v>
      </c>
      <c r="X228" s="398"/>
      <c r="Z228" s="268">
        <f t="shared" si="459"/>
        <v>0</v>
      </c>
      <c r="AA228" s="2176">
        <f t="shared" si="494"/>
        <v>0</v>
      </c>
      <c r="AB228" s="33">
        <f t="shared" si="495"/>
        <v>0</v>
      </c>
      <c r="AC228" s="33">
        <f t="shared" si="496"/>
        <v>0</v>
      </c>
      <c r="AD228" s="33">
        <f>IF(AI227&lt;0.01,0,IF(Adm!$S$4=Adm!$S$8,AI227*$AI$15,AI227*Adm!$V$4))</f>
        <v>0</v>
      </c>
      <c r="AE228" s="33"/>
      <c r="AF228" s="33"/>
      <c r="AG228" s="33">
        <f t="shared" si="460"/>
        <v>0</v>
      </c>
      <c r="AH228" s="33"/>
      <c r="AI228" s="401">
        <f t="shared" si="461"/>
        <v>0</v>
      </c>
      <c r="AK228" s="410">
        <f t="shared" si="462"/>
        <v>0</v>
      </c>
      <c r="AN228" s="90">
        <f t="shared" si="497"/>
        <v>12</v>
      </c>
      <c r="AO228" s="121">
        <f>IF(AN228=1,Cal!$AC$127,0)</f>
        <v>0</v>
      </c>
      <c r="AS228" s="200"/>
      <c r="AU228" s="268">
        <f t="shared" si="463"/>
        <v>0</v>
      </c>
      <c r="AV228" s="2177">
        <f t="shared" si="498"/>
        <v>0</v>
      </c>
      <c r="AW228" s="123">
        <f t="shared" si="464"/>
        <v>0</v>
      </c>
      <c r="AX228" s="123">
        <f t="shared" si="499"/>
        <v>0</v>
      </c>
      <c r="AY228" s="123">
        <f>IF(BC227&lt;0.01,0,IF(Adm!$S$4=Adm!$S$8,BC227*$BC$16,BC227*Adm!$V$4))</f>
        <v>0</v>
      </c>
      <c r="AZ228" s="123"/>
      <c r="BA228" s="123">
        <f>IF(BC227&lt;0.01,0,Adm!$Q$6)</f>
        <v>0</v>
      </c>
      <c r="BB228" s="123">
        <f t="shared" si="465"/>
        <v>0</v>
      </c>
      <c r="BC228" s="297">
        <f t="shared" si="500"/>
        <v>0</v>
      </c>
      <c r="BE228" s="425">
        <f t="shared" si="466"/>
        <v>0</v>
      </c>
      <c r="BH228" s="90">
        <f t="shared" si="501"/>
        <v>12</v>
      </c>
      <c r="BI228" s="121">
        <f>IF(BH228=1,Cal!$AD$127,0)</f>
        <v>0</v>
      </c>
      <c r="BM228" s="221"/>
      <c r="BO228" s="295">
        <f t="shared" ca="1" si="467"/>
        <v>3</v>
      </c>
      <c r="BP228" s="268">
        <f t="shared" si="468"/>
        <v>0</v>
      </c>
      <c r="BQ228" s="123">
        <f t="shared" si="502"/>
        <v>0</v>
      </c>
      <c r="BR228" s="123">
        <f t="shared" si="434"/>
        <v>0</v>
      </c>
      <c r="BS228" s="123">
        <f t="shared" si="444"/>
        <v>0</v>
      </c>
      <c r="BT228" s="123">
        <f>IF(BZ227&lt;0.01,0,IF(Plus!$F$22=Plus!$AN$4,BZ227*$BZ$15,IF(Plus!$F$22=Plus!$AN$3,BZ227*Plus!$F$23/1000,BZ227*VLOOKUP(Plus!$G$21,Plus!$AP$2:'Plus'!$AQ$5,2,0))))</f>
        <v>0</v>
      </c>
      <c r="BU228" s="123">
        <f>IF(BZ227&lt;0.01,0,IF(Plus!$F$24=Plus!$AO$3,Plus!$G$13*Plus!$AR$2/1.16,IF(Plus!$F$10=Plus!$AK$7,0,Plus!$G$13*Plus!$AR$2/1.16)))</f>
        <v>0</v>
      </c>
      <c r="BV228" s="123">
        <f>IF(BZ227&lt;0.01,0,Plus!$BD$2)</f>
        <v>0</v>
      </c>
      <c r="BW228" s="123"/>
      <c r="BX228" s="123">
        <f t="shared" si="469"/>
        <v>0</v>
      </c>
      <c r="BY228" s="123">
        <f>IF(Plus!$F$10=Plus!$AK$3,MIN(BZ227+BQ228+BT228+BU228+BV228-BX228,CJ228),0)</f>
        <v>0</v>
      </c>
      <c r="BZ228" s="297">
        <f t="shared" si="574"/>
        <v>0</v>
      </c>
      <c r="CA228" s="74"/>
      <c r="CB228" s="74"/>
      <c r="CC228" s="413">
        <f t="shared" si="503"/>
        <v>0</v>
      </c>
      <c r="CF228" s="90">
        <f t="shared" si="504"/>
        <v>12</v>
      </c>
      <c r="CG228" s="121">
        <f t="shared" si="559"/>
        <v>0</v>
      </c>
      <c r="CI228" s="70">
        <f t="shared" si="560"/>
        <v>0</v>
      </c>
      <c r="CJ228" s="2178">
        <f t="shared" ca="1" si="505"/>
        <v>0</v>
      </c>
      <c r="CL228" s="161"/>
      <c r="CN228" s="308">
        <f t="shared" ca="1" si="470"/>
        <v>3</v>
      </c>
      <c r="CO228" s="309">
        <f t="shared" si="506"/>
        <v>0</v>
      </c>
      <c r="CP228" s="268">
        <f t="shared" si="471"/>
        <v>0</v>
      </c>
      <c r="CQ228" s="123">
        <f t="shared" si="507"/>
        <v>0</v>
      </c>
      <c r="CR228" s="123">
        <f t="shared" si="435"/>
        <v>0</v>
      </c>
      <c r="CS228" s="123">
        <f t="shared" si="436"/>
        <v>0</v>
      </c>
      <c r="CT228" s="33">
        <f>IF(CZ227&lt;0.01,0,IF(Plus!$F$22=Plus!$AN$4,0,IF(Plus!$F$22=Plus!$AN$3,CZ227*Plus!$F$23/1000,CZ227*VLOOKUP(Plus!$G$21,Plus!$AP$2:'Plus'!$AQ$5,2,0))))</f>
        <v>0</v>
      </c>
      <c r="CU228" s="123">
        <f>IF(CZ227&lt;0.01,0,IF(Plus!$F$24=Plus!$AO$3,0,IF(OR(Plus!$F$10=Plus!$AK$7,Plus!$F$10=Plus!$AK$13),0,Plus!$G$13*Plus!$AR$2)))</f>
        <v>0</v>
      </c>
      <c r="CV228" s="123">
        <f>IF(CZ227&lt;0.01,0,IF(OR(Plus!$F$10=Plus!$AK$7,Plus!$F$10=Plus!$AK$13),0,Plus!$BD$2*1.16))</f>
        <v>0</v>
      </c>
      <c r="CW228" s="123">
        <f>IF(CZ227&lt;0.01,0,IF(Plus!$AS$2&gt;0,CQ228*Plus!$AS$3,0))</f>
        <v>0</v>
      </c>
      <c r="CX228" s="123">
        <f t="shared" si="508"/>
        <v>0</v>
      </c>
      <c r="CY228" s="123">
        <f>IF(Plus!$F$10=Plus!$AK$3,MIN(CZ227+CQ228+CT228+CU228+CV228-CX228,DK228),0)</f>
        <v>0</v>
      </c>
      <c r="CZ228" s="297">
        <f t="shared" si="440"/>
        <v>0</v>
      </c>
      <c r="DA228" s="306">
        <f>Plus!O269</f>
        <v>0</v>
      </c>
      <c r="DB228" s="74"/>
      <c r="DC228" s="74"/>
      <c r="DD228" s="407">
        <f t="shared" si="509"/>
        <v>0</v>
      </c>
      <c r="DG228" s="90">
        <f t="shared" si="510"/>
        <v>12</v>
      </c>
      <c r="DH228" s="121">
        <f t="shared" si="561"/>
        <v>0</v>
      </c>
      <c r="DJ228" s="149">
        <f t="shared" si="562"/>
        <v>0</v>
      </c>
      <c r="DK228" s="2179">
        <f t="shared" ca="1" si="511"/>
        <v>0</v>
      </c>
      <c r="DN228" s="120">
        <f t="shared" si="563"/>
        <v>0</v>
      </c>
      <c r="DO228" s="110">
        <f t="shared" si="512"/>
        <v>0</v>
      </c>
      <c r="DP228" s="110">
        <f t="shared" si="572"/>
        <v>0</v>
      </c>
      <c r="DQ228" s="109">
        <f t="shared" si="513"/>
        <v>0</v>
      </c>
      <c r="DR228" s="109">
        <f t="shared" si="514"/>
        <v>0</v>
      </c>
      <c r="DS228" s="113">
        <f t="shared" si="515"/>
        <v>0</v>
      </c>
      <c r="DU228" s="102">
        <f t="shared" si="516"/>
        <v>0</v>
      </c>
      <c r="DV228" s="211">
        <f t="shared" si="573"/>
        <v>204</v>
      </c>
      <c r="DW228" s="212">
        <f t="shared" si="517"/>
        <v>0</v>
      </c>
      <c r="DX228" s="212">
        <f t="shared" si="472"/>
        <v>0</v>
      </c>
      <c r="DY228" s="212">
        <f t="shared" si="564"/>
        <v>0</v>
      </c>
      <c r="DZ228" s="213">
        <f t="shared" si="473"/>
        <v>1000000</v>
      </c>
      <c r="ED228" s="182"/>
      <c r="EF228" s="308">
        <f t="shared" ca="1" si="474"/>
        <v>3</v>
      </c>
      <c r="EG228" s="309">
        <f t="shared" si="518"/>
        <v>0</v>
      </c>
      <c r="EH228" s="268">
        <f t="shared" si="475"/>
        <v>0</v>
      </c>
      <c r="EI228" s="33">
        <f t="shared" si="519"/>
        <v>0</v>
      </c>
      <c r="EJ228" s="33">
        <f t="shared" si="437"/>
        <v>0</v>
      </c>
      <c r="EK228" s="33">
        <f t="shared" si="445"/>
        <v>0</v>
      </c>
      <c r="EL228" s="33">
        <f>IF(ER227&lt;0.01,0,IF(Plus!$F$22=Plus!$AN$4,0,IF(Plus!$F$22=Plus!$AN$3,ER227*Plus!$F$23/1000,ER227*VLOOKUP(Plus!$G$21,Plus!$AP$2:'Plus'!$AQ$5,2,0))))</f>
        <v>0</v>
      </c>
      <c r="EM228" s="33">
        <f>IF(ER227&lt;0.01,0,IF(Plus!$F$24=Plus!$AO$3,0,IF(OR(Plus!$F$10=Plus!$AK$7,Plus!$F$10=Plus!$AK$13),0,Plus!$G$13*Plus!$AR$2)))</f>
        <v>0</v>
      </c>
      <c r="EN228" s="33">
        <f>IF(ER227&lt;0.01,0,IF(OR(Plus!$F$10=Plus!$AK$7,Plus!$F$10=Plus!$AK$13),0,Plus!$BD$2*1.16))</f>
        <v>0</v>
      </c>
      <c r="EO228" s="33">
        <f>IF(ER227&lt;0.01,0,IF(Plus!$AS$2&gt;0,EI228*Plus!$AS$3,0))</f>
        <v>0</v>
      </c>
      <c r="EP228" s="33">
        <f t="shared" si="520"/>
        <v>0</v>
      </c>
      <c r="EQ228" s="33">
        <f>IF(Plus!$F$10=Plus!$AK$3,MIN(ER227+EI228+EL228+EM228+EN228-EP228,FC228),0)</f>
        <v>0</v>
      </c>
      <c r="ER228" s="311">
        <f t="shared" si="577"/>
        <v>0</v>
      </c>
      <c r="ES228" s="340">
        <f>Plus!O269</f>
        <v>0</v>
      </c>
      <c r="ET228" s="74"/>
      <c r="EU228" s="74"/>
      <c r="EV228" s="416">
        <f t="shared" si="575"/>
        <v>0</v>
      </c>
      <c r="EY228" s="90">
        <f t="shared" si="521"/>
        <v>12</v>
      </c>
      <c r="EZ228" s="121">
        <f t="shared" si="565"/>
        <v>0</v>
      </c>
      <c r="FB228" s="149">
        <f t="shared" si="566"/>
        <v>0</v>
      </c>
      <c r="FC228" s="2179">
        <f t="shared" ca="1" si="522"/>
        <v>0</v>
      </c>
      <c r="FE228" s="120">
        <f t="shared" si="567"/>
        <v>0</v>
      </c>
      <c r="FF228" s="110">
        <f t="shared" si="523"/>
        <v>0</v>
      </c>
      <c r="FG228" s="110">
        <f t="shared" si="524"/>
        <v>0</v>
      </c>
      <c r="FH228" s="109">
        <f t="shared" si="525"/>
        <v>0</v>
      </c>
      <c r="FI228" s="109">
        <f t="shared" si="476"/>
        <v>0</v>
      </c>
      <c r="FJ228" s="113">
        <f t="shared" si="526"/>
        <v>0</v>
      </c>
      <c r="FL228" s="102">
        <f t="shared" si="527"/>
        <v>0</v>
      </c>
      <c r="FM228" s="211">
        <f t="shared" si="454"/>
        <v>204</v>
      </c>
      <c r="FN228" s="212">
        <f t="shared" si="528"/>
        <v>0</v>
      </c>
      <c r="FO228" s="212">
        <f t="shared" si="477"/>
        <v>0</v>
      </c>
      <c r="FP228" s="212">
        <f t="shared" si="529"/>
        <v>0</v>
      </c>
      <c r="FQ228" s="213">
        <f t="shared" si="478"/>
        <v>1000000</v>
      </c>
      <c r="FV228" s="359"/>
      <c r="FX228" s="308">
        <f t="shared" ca="1" si="479"/>
        <v>3</v>
      </c>
      <c r="FY228" s="309">
        <f t="shared" si="530"/>
        <v>0</v>
      </c>
      <c r="FZ228" s="268">
        <f t="shared" si="480"/>
        <v>0</v>
      </c>
      <c r="GA228" s="33">
        <f t="shared" si="531"/>
        <v>0</v>
      </c>
      <c r="GB228" s="33">
        <f t="shared" si="438"/>
        <v>0</v>
      </c>
      <c r="GC228" s="33">
        <f t="shared" si="439"/>
        <v>0</v>
      </c>
      <c r="GD228" s="33">
        <f>IF(GJ227&lt;0.01,0,IF(Plus!$F$22=Plus!$AN$4,0,IF(Plus!$F$22=Plus!$AN$3,GJ227*Plus!$F$23/1000,GJ227*VLOOKUP(Plus!$G$21,Plus!$AP$2:$AQ$5,2,0))))</f>
        <v>0</v>
      </c>
      <c r="GE228" s="33">
        <f>IF(GJ227&lt;0.01,0,IF(Plus!$F$24=Plus!$AO$3,0,IF(OR(Plus!$F$10=Plus!$AK$7,Plus!$F$10=Plus!$AK$13,Plus!$F$10=Plus!$AK$14),0,IF(OR(Plus!$F$10=Plus!$AK$10,Plus!$F$10=Plus!$AK$11),Plus!$G$13*Adm!$W$7,Plus!$G$13*Adm!$X$4))))</f>
        <v>0</v>
      </c>
      <c r="GF228" s="33">
        <f>IF(GJ227&lt;0.01,0,IF(OR(Plus!$F$10=Plus!$AK$7,Plus!$F$10=Plus!$AK$13),0,Plus!$BD$2*1.16))</f>
        <v>0</v>
      </c>
      <c r="GG228" s="33">
        <f>IF(GJ227&lt;0.01,0,IF(Plus!$AS$2&gt;0,GA228*Plus!$AS$3,0))</f>
        <v>0</v>
      </c>
      <c r="GH228" s="33">
        <f t="shared" si="532"/>
        <v>0</v>
      </c>
      <c r="GI228" s="33">
        <f>IF(Plus!$F$10=Plus!$AK$3,MIN(GJ227+GA228+GD228+GE228+GF228-GH228,GU228),0)</f>
        <v>0</v>
      </c>
      <c r="GJ228" s="311">
        <f t="shared" si="578"/>
        <v>0</v>
      </c>
      <c r="GK228" s="340">
        <f>Plus!O269</f>
        <v>0</v>
      </c>
      <c r="GL228" s="74"/>
      <c r="GM228" s="74"/>
      <c r="GN228" s="419">
        <f t="shared" si="576"/>
        <v>0</v>
      </c>
      <c r="GQ228" s="90">
        <f t="shared" si="533"/>
        <v>12</v>
      </c>
      <c r="GR228" s="121">
        <f t="shared" si="568"/>
        <v>0</v>
      </c>
      <c r="GT228" s="149">
        <f t="shared" si="569"/>
        <v>0</v>
      </c>
      <c r="GU228" s="2179">
        <f t="shared" ca="1" si="534"/>
        <v>0</v>
      </c>
      <c r="GW228" s="120">
        <f t="shared" si="570"/>
        <v>0</v>
      </c>
      <c r="GX228" s="110">
        <f t="shared" si="535"/>
        <v>0</v>
      </c>
      <c r="GY228" s="110">
        <f t="shared" si="536"/>
        <v>0</v>
      </c>
      <c r="GZ228" s="109">
        <f t="shared" si="537"/>
        <v>0</v>
      </c>
      <c r="HA228" s="109">
        <f t="shared" si="481"/>
        <v>0</v>
      </c>
      <c r="HB228" s="113">
        <f t="shared" si="538"/>
        <v>0</v>
      </c>
      <c r="HD228" s="102">
        <f t="shared" si="539"/>
        <v>0</v>
      </c>
      <c r="HE228" s="211">
        <f t="shared" si="455"/>
        <v>204</v>
      </c>
      <c r="HF228" s="212">
        <f t="shared" si="540"/>
        <v>0</v>
      </c>
      <c r="HG228" s="212">
        <f t="shared" si="482"/>
        <v>0</v>
      </c>
      <c r="HH228" s="212">
        <f t="shared" si="541"/>
        <v>0</v>
      </c>
      <c r="HI228" s="213">
        <f t="shared" si="483"/>
        <v>1000000</v>
      </c>
      <c r="HL228" s="182"/>
      <c r="HM228" s="26">
        <f t="shared" ca="1" si="484"/>
        <v>3</v>
      </c>
      <c r="HO228" s="268">
        <f t="shared" si="485"/>
        <v>0</v>
      </c>
      <c r="HP228" s="151">
        <f t="shared" si="448"/>
        <v>0</v>
      </c>
      <c r="HQ228" s="123">
        <f t="shared" si="542"/>
        <v>0</v>
      </c>
      <c r="HR228" s="123">
        <f t="shared" si="543"/>
        <v>0</v>
      </c>
      <c r="HS228" s="123">
        <f t="shared" si="544"/>
        <v>0</v>
      </c>
      <c r="HT228" s="123">
        <f>IF(HY227&lt;0.01,0,IF(Adm!$GS$4=Adm!$GS$8,HY227*$HY$15,IF(Adm!$GS$12=Adm!$GS$13,0,HY227*Adm!$GV$4)))</f>
        <v>0</v>
      </c>
      <c r="HU228" s="123">
        <f>IF(HY227&lt;0.01,0,IF(Adm!$GS$5=Adm!$GS$8,Cal!$BO$108*$HY$16/1.16,IF(Adm!$GS$12=Adm!$GS$13,0,Cal!$BO$108*Adm!$GW$4/1.16)))</f>
        <v>0</v>
      </c>
      <c r="HV228" s="123">
        <f t="shared" si="545"/>
        <v>0</v>
      </c>
      <c r="HW228" s="123">
        <f t="shared" si="486"/>
        <v>0</v>
      </c>
      <c r="HX228" s="123">
        <f>IF(Adm!$GH$6="si",MIN(HY227+HQ228+HT228+HU228+HV228-HW228,IH228),0)</f>
        <v>0</v>
      </c>
      <c r="HY228" s="297">
        <f t="shared" si="546"/>
        <v>0</v>
      </c>
      <c r="HZ228" s="74"/>
      <c r="IA228" s="407">
        <f t="shared" si="547"/>
        <v>0</v>
      </c>
      <c r="IC228" s="90">
        <f t="shared" si="548"/>
        <v>12</v>
      </c>
      <c r="ID228" s="124">
        <f>IF(IC228=1,Cal!$BO$127,0)</f>
        <v>0</v>
      </c>
      <c r="IE228" s="178">
        <f>IF(IC228=1,Adm!$HI$4,0)</f>
        <v>0</v>
      </c>
      <c r="IG228" s="70">
        <f t="shared" si="571"/>
        <v>0</v>
      </c>
      <c r="IH228" s="2178">
        <f t="shared" ca="1" si="549"/>
        <v>0</v>
      </c>
      <c r="IK228" s="217"/>
      <c r="IL228" s="26">
        <f t="shared" ca="1" si="487"/>
        <v>3</v>
      </c>
      <c r="IN228" s="268">
        <f t="shared" si="488"/>
        <v>0</v>
      </c>
      <c r="IO228" s="151">
        <f t="shared" si="449"/>
        <v>0</v>
      </c>
      <c r="IP228" s="123">
        <f t="shared" si="550"/>
        <v>0</v>
      </c>
      <c r="IQ228" s="123">
        <f t="shared" si="551"/>
        <v>0</v>
      </c>
      <c r="IR228" s="123">
        <f t="shared" si="552"/>
        <v>0</v>
      </c>
      <c r="IS228" s="123">
        <f>IF(IX227&lt;0.01,0,IF(Adm!$GS$4=Adm!$GS$8,IX227*$IX$15,IF(Adm!$GS$12=Adm!$GS$13,0,IX227*Adm!$GV$4)))</f>
        <v>0</v>
      </c>
      <c r="IT228" s="123"/>
      <c r="IU228" s="123">
        <f t="shared" si="553"/>
        <v>0</v>
      </c>
      <c r="IV228" s="123">
        <f t="shared" si="554"/>
        <v>0</v>
      </c>
      <c r="IW228" s="123"/>
      <c r="IX228" s="297">
        <f t="shared" si="555"/>
        <v>0</v>
      </c>
      <c r="IY228" s="74"/>
      <c r="IZ228" s="416">
        <f t="shared" si="556"/>
        <v>0</v>
      </c>
      <c r="JB228" s="90">
        <f t="shared" si="557"/>
        <v>12</v>
      </c>
      <c r="JC228" s="124">
        <f>IF(JB228=1,Cal!$BP$127,0)</f>
        <v>0</v>
      </c>
      <c r="JD228" s="178">
        <f>IF(JB228=1,Adm!$HI$4,0)</f>
        <v>0</v>
      </c>
    </row>
    <row r="229" spans="1:264">
      <c r="A229" s="26">
        <f t="shared" ca="1" si="456"/>
        <v>4</v>
      </c>
      <c r="C229" s="33">
        <f t="shared" si="457"/>
        <v>0</v>
      </c>
      <c r="D229" s="123">
        <f t="shared" si="489"/>
        <v>0</v>
      </c>
      <c r="E229" s="123">
        <f t="shared" si="433"/>
        <v>0</v>
      </c>
      <c r="F229" s="123">
        <f t="shared" si="443"/>
        <v>0</v>
      </c>
      <c r="G229" s="123">
        <f>IF(L228&lt;0.01,0,IF(Adm!$S$4=Adm!$S$8,L228*$L$15,L228*Adm!$V$4))</f>
        <v>0</v>
      </c>
      <c r="H229" s="123">
        <f>IF(L228&lt;0.01,0,IF(Adm!$S$5=Adm!$S$8,Adm!$AA$11*$L$16/1.16,IF(Adm!$B$4=Adm!$A$119,0,Adm!$AA$11*Adm!$X$4/1.16)))</f>
        <v>0</v>
      </c>
      <c r="I229" s="123">
        <f>IF(L228&lt;0.01,0,Cal!$AB$126/1.16)</f>
        <v>0</v>
      </c>
      <c r="J229" s="123">
        <f t="shared" si="458"/>
        <v>0</v>
      </c>
      <c r="K229" s="123">
        <f>IF(Adm!$G$4="si",MIN(L228+D229+G229+H229+I229-J229,V229),0)</f>
        <v>0</v>
      </c>
      <c r="L229" s="123">
        <f t="shared" si="490"/>
        <v>0</v>
      </c>
      <c r="M229" s="74"/>
      <c r="N229" s="74"/>
      <c r="O229" s="407">
        <f t="shared" si="491"/>
        <v>0</v>
      </c>
      <c r="R229" s="90">
        <f t="shared" si="492"/>
        <v>1</v>
      </c>
      <c r="S229" s="121">
        <f>IF(R229=1,Cal!$AB$127,0)</f>
        <v>0</v>
      </c>
      <c r="U229" s="70">
        <f t="shared" si="558"/>
        <v>0</v>
      </c>
      <c r="V229" s="2178">
        <f t="shared" ca="1" si="493"/>
        <v>0</v>
      </c>
      <c r="X229" s="398"/>
      <c r="Z229" s="268">
        <f t="shared" si="459"/>
        <v>0</v>
      </c>
      <c r="AA229" s="2176">
        <f t="shared" si="494"/>
        <v>0</v>
      </c>
      <c r="AB229" s="33">
        <f t="shared" si="495"/>
        <v>0</v>
      </c>
      <c r="AC229" s="33">
        <f t="shared" si="496"/>
        <v>0</v>
      </c>
      <c r="AD229" s="33">
        <f>IF(AI228&lt;0.01,0,IF(Adm!$S$4=Adm!$S$8,AI228*$AI$15,AI228*Adm!$V$4))</f>
        <v>0</v>
      </c>
      <c r="AE229" s="33"/>
      <c r="AF229" s="33"/>
      <c r="AG229" s="33">
        <f t="shared" si="460"/>
        <v>0</v>
      </c>
      <c r="AH229" s="33"/>
      <c r="AI229" s="401">
        <f t="shared" si="461"/>
        <v>0</v>
      </c>
      <c r="AK229" s="410">
        <f t="shared" si="462"/>
        <v>0</v>
      </c>
      <c r="AN229" s="90">
        <f t="shared" si="497"/>
        <v>1</v>
      </c>
      <c r="AO229" s="121">
        <f>IF(AN229=1,Cal!$AC$127,0)</f>
        <v>0</v>
      </c>
      <c r="AS229" s="200"/>
      <c r="AU229" s="268">
        <f t="shared" si="463"/>
        <v>0</v>
      </c>
      <c r="AV229" s="2177">
        <f t="shared" si="498"/>
        <v>0</v>
      </c>
      <c r="AW229" s="123">
        <f t="shared" si="464"/>
        <v>0</v>
      </c>
      <c r="AX229" s="123">
        <f t="shared" si="499"/>
        <v>0</v>
      </c>
      <c r="AY229" s="123">
        <f>IF(BC228&lt;0.01,0,IF(Adm!$S$4=Adm!$S$8,BC228*$BC$16,BC228*Adm!$V$4))</f>
        <v>0</v>
      </c>
      <c r="AZ229" s="123"/>
      <c r="BA229" s="123">
        <f>IF(BC228&lt;0.01,0,Adm!$Q$6)</f>
        <v>0</v>
      </c>
      <c r="BB229" s="123">
        <f t="shared" si="465"/>
        <v>0</v>
      </c>
      <c r="BC229" s="297">
        <f t="shared" si="500"/>
        <v>0</v>
      </c>
      <c r="BE229" s="425">
        <f t="shared" si="466"/>
        <v>0</v>
      </c>
      <c r="BH229" s="90">
        <f t="shared" si="501"/>
        <v>1</v>
      </c>
      <c r="BI229" s="121">
        <f>IF(BH229=1,Cal!$AD$127,0)</f>
        <v>0</v>
      </c>
      <c r="BM229" s="221"/>
      <c r="BO229" s="295">
        <f t="shared" ca="1" si="467"/>
        <v>4</v>
      </c>
      <c r="BP229" s="268">
        <f t="shared" si="468"/>
        <v>0</v>
      </c>
      <c r="BQ229" s="123">
        <f t="shared" si="502"/>
        <v>0</v>
      </c>
      <c r="BR229" s="123">
        <f t="shared" si="434"/>
        <v>0</v>
      </c>
      <c r="BS229" s="123">
        <f t="shared" si="444"/>
        <v>0</v>
      </c>
      <c r="BT229" s="123">
        <f>IF(BZ228&lt;0.01,0,IF(Plus!$F$22=Plus!$AN$4,BZ228*$BZ$15,IF(Plus!$F$22=Plus!$AN$3,BZ228*Plus!$F$23/1000,BZ228*VLOOKUP(Plus!$G$21,Plus!$AP$2:'Plus'!$AQ$5,2,0))))</f>
        <v>0</v>
      </c>
      <c r="BU229" s="123">
        <f>IF(BZ228&lt;0.01,0,IF(Plus!$F$24=Plus!$AO$3,Plus!$G$13*Plus!$AR$2/1.16,IF(Plus!$F$10=Plus!$AK$7,0,Plus!$G$13*Plus!$AR$2/1.16)))</f>
        <v>0</v>
      </c>
      <c r="BV229" s="123">
        <f>IF(BZ228&lt;0.01,0,Plus!$BD$2)</f>
        <v>0</v>
      </c>
      <c r="BW229" s="123"/>
      <c r="BX229" s="123">
        <f t="shared" si="469"/>
        <v>0</v>
      </c>
      <c r="BY229" s="123">
        <f>IF(Plus!$F$10=Plus!$AK$3,MIN(BZ228+BQ229+BT229+BU229+BV229-BX229,CJ229),0)</f>
        <v>0</v>
      </c>
      <c r="BZ229" s="297">
        <f t="shared" si="574"/>
        <v>0</v>
      </c>
      <c r="CA229" s="74"/>
      <c r="CB229" s="74"/>
      <c r="CC229" s="413">
        <f t="shared" si="503"/>
        <v>0</v>
      </c>
      <c r="CF229" s="90">
        <f t="shared" si="504"/>
        <v>1</v>
      </c>
      <c r="CG229" s="121">
        <f t="shared" si="559"/>
        <v>0</v>
      </c>
      <c r="CI229" s="70">
        <f t="shared" si="560"/>
        <v>0</v>
      </c>
      <c r="CJ229" s="2178">
        <f t="shared" ca="1" si="505"/>
        <v>0</v>
      </c>
      <c r="CL229" s="161"/>
      <c r="CN229" s="308">
        <f t="shared" ca="1" si="470"/>
        <v>4</v>
      </c>
      <c r="CO229" s="309">
        <f t="shared" si="506"/>
        <v>0</v>
      </c>
      <c r="CP229" s="268">
        <f t="shared" si="471"/>
        <v>0</v>
      </c>
      <c r="CQ229" s="123">
        <f t="shared" si="507"/>
        <v>0</v>
      </c>
      <c r="CR229" s="123">
        <f t="shared" si="435"/>
        <v>0</v>
      </c>
      <c r="CS229" s="123">
        <f t="shared" si="436"/>
        <v>0</v>
      </c>
      <c r="CT229" s="33">
        <f>IF(CZ228&lt;0.01,0,IF(Plus!$F$22=Plus!$AN$4,0,IF(Plus!$F$22=Plus!$AN$3,CZ228*Plus!$F$23/1000,CZ228*VLOOKUP(Plus!$G$21,Plus!$AP$2:'Plus'!$AQ$5,2,0))))</f>
        <v>0</v>
      </c>
      <c r="CU229" s="123">
        <f>IF(CZ228&lt;0.01,0,IF(Plus!$F$24=Plus!$AO$3,0,IF(OR(Plus!$F$10=Plus!$AK$7,Plus!$F$10=Plus!$AK$13),0,Plus!$G$13*Plus!$AR$2)))</f>
        <v>0</v>
      </c>
      <c r="CV229" s="123">
        <f>IF(CZ228&lt;0.01,0,IF(OR(Plus!$F$10=Plus!$AK$7,Plus!$F$10=Plus!$AK$13),0,Plus!$BD$2*1.16))</f>
        <v>0</v>
      </c>
      <c r="CW229" s="123">
        <f>IF(CZ228&lt;0.01,0,IF(Plus!$AS$2&gt;0,CQ229*Plus!$AS$3,0))</f>
        <v>0</v>
      </c>
      <c r="CX229" s="123">
        <f t="shared" si="508"/>
        <v>0</v>
      </c>
      <c r="CY229" s="123">
        <f>IF(Plus!$F$10=Plus!$AK$3,MIN(CZ228+CQ229+CT229+CU229+CV229-CX229,DK229),0)</f>
        <v>0</v>
      </c>
      <c r="CZ229" s="297">
        <f t="shared" si="440"/>
        <v>0</v>
      </c>
      <c r="DA229" s="306">
        <f>Plus!O270</f>
        <v>0</v>
      </c>
      <c r="DB229" s="74"/>
      <c r="DC229" s="74"/>
      <c r="DD229" s="407">
        <f t="shared" si="509"/>
        <v>0</v>
      </c>
      <c r="DG229" s="90">
        <f t="shared" si="510"/>
        <v>1</v>
      </c>
      <c r="DH229" s="121">
        <f t="shared" si="561"/>
        <v>0</v>
      </c>
      <c r="DJ229" s="149">
        <f t="shared" si="562"/>
        <v>0</v>
      </c>
      <c r="DK229" s="2179">
        <f t="shared" ca="1" si="511"/>
        <v>0</v>
      </c>
      <c r="DN229" s="120">
        <f t="shared" si="563"/>
        <v>0</v>
      </c>
      <c r="DO229" s="110">
        <f t="shared" si="512"/>
        <v>0</v>
      </c>
      <c r="DP229" s="110">
        <f t="shared" si="572"/>
        <v>0</v>
      </c>
      <c r="DQ229" s="109">
        <f t="shared" si="513"/>
        <v>0</v>
      </c>
      <c r="DR229" s="109">
        <f t="shared" si="514"/>
        <v>0</v>
      </c>
      <c r="DS229" s="113">
        <f t="shared" si="515"/>
        <v>0</v>
      </c>
      <c r="DU229" s="102">
        <f t="shared" si="516"/>
        <v>0</v>
      </c>
      <c r="DV229" s="333">
        <f t="shared" si="573"/>
        <v>205</v>
      </c>
      <c r="DW229" s="334">
        <f t="shared" si="517"/>
        <v>0</v>
      </c>
      <c r="DX229" s="334">
        <f t="shared" si="472"/>
        <v>0</v>
      </c>
      <c r="DY229" s="334">
        <f>MIN(DZ228+DW229,DY228*(1+$DW$20))</f>
        <v>0</v>
      </c>
      <c r="DZ229" s="213">
        <f t="shared" si="473"/>
        <v>1000000</v>
      </c>
      <c r="ED229" s="182"/>
      <c r="EF229" s="308">
        <f t="shared" ca="1" si="474"/>
        <v>4</v>
      </c>
      <c r="EG229" s="309">
        <f t="shared" si="518"/>
        <v>0</v>
      </c>
      <c r="EH229" s="268">
        <f t="shared" si="475"/>
        <v>0</v>
      </c>
      <c r="EI229" s="33">
        <f t="shared" si="519"/>
        <v>0</v>
      </c>
      <c r="EJ229" s="33">
        <f t="shared" si="437"/>
        <v>0</v>
      </c>
      <c r="EK229" s="33">
        <f t="shared" si="445"/>
        <v>0</v>
      </c>
      <c r="EL229" s="33">
        <f>IF(ER228&lt;0.01,0,IF(Plus!$F$22=Plus!$AN$4,0,IF(Plus!$F$22=Plus!$AN$3,ER228*Plus!$F$23/1000,ER228*VLOOKUP(Plus!$G$21,Plus!$AP$2:'Plus'!$AQ$5,2,0))))</f>
        <v>0</v>
      </c>
      <c r="EM229" s="33">
        <f>IF(ER228&lt;0.01,0,IF(Plus!$F$24=Plus!$AO$3,0,IF(OR(Plus!$F$10=Plus!$AK$7,Plus!$F$10=Plus!$AK$13),0,Plus!$G$13*Plus!$AR$2)))</f>
        <v>0</v>
      </c>
      <c r="EN229" s="33">
        <f>IF(ER228&lt;0.01,0,IF(OR(Plus!$F$10=Plus!$AK$7,Plus!$F$10=Plus!$AK$13),0,Plus!$BD$2*1.16))</f>
        <v>0</v>
      </c>
      <c r="EO229" s="33">
        <f>IF(ER228&lt;0.01,0,IF(Plus!$AS$2&gt;0,EI229*Plus!$AS$3,0))</f>
        <v>0</v>
      </c>
      <c r="EP229" s="33">
        <f t="shared" si="520"/>
        <v>0</v>
      </c>
      <c r="EQ229" s="33">
        <f>IF(Plus!$F$10=Plus!$AK$3,MIN(ER228+EI229+EL229+EM229+EN229-EP229,FC229),0)</f>
        <v>0</v>
      </c>
      <c r="ER229" s="311">
        <f t="shared" si="577"/>
        <v>0</v>
      </c>
      <c r="ES229" s="340">
        <f>Plus!O270</f>
        <v>0</v>
      </c>
      <c r="ET229" s="74"/>
      <c r="EU229" s="74"/>
      <c r="EV229" s="416">
        <f t="shared" si="575"/>
        <v>0</v>
      </c>
      <c r="EY229" s="90">
        <f t="shared" si="521"/>
        <v>1</v>
      </c>
      <c r="EZ229" s="121">
        <f t="shared" si="565"/>
        <v>0</v>
      </c>
      <c r="FB229" s="149">
        <f t="shared" si="566"/>
        <v>0</v>
      </c>
      <c r="FC229" s="2179">
        <f t="shared" ca="1" si="522"/>
        <v>0</v>
      </c>
      <c r="FE229" s="120">
        <f t="shared" si="567"/>
        <v>0</v>
      </c>
      <c r="FF229" s="110">
        <f t="shared" si="523"/>
        <v>0</v>
      </c>
      <c r="FG229" s="110">
        <f t="shared" si="524"/>
        <v>0</v>
      </c>
      <c r="FH229" s="109">
        <f t="shared" si="525"/>
        <v>0</v>
      </c>
      <c r="FI229" s="109">
        <f t="shared" si="476"/>
        <v>0</v>
      </c>
      <c r="FJ229" s="113">
        <f t="shared" si="526"/>
        <v>0</v>
      </c>
      <c r="FL229" s="102">
        <f t="shared" si="527"/>
        <v>0</v>
      </c>
      <c r="FM229" s="326">
        <f t="shared" si="454"/>
        <v>205</v>
      </c>
      <c r="FN229" s="327">
        <f t="shared" si="528"/>
        <v>0</v>
      </c>
      <c r="FO229" s="327">
        <f t="shared" si="477"/>
        <v>0</v>
      </c>
      <c r="FP229" s="327">
        <f>MIN(FQ228+FN229,FP228*(1+$FN$20))</f>
        <v>0</v>
      </c>
      <c r="FQ229" s="213">
        <f t="shared" si="478"/>
        <v>1000000</v>
      </c>
      <c r="FV229" s="359"/>
      <c r="FX229" s="308">
        <f t="shared" ca="1" si="479"/>
        <v>4</v>
      </c>
      <c r="FY229" s="309">
        <f t="shared" si="530"/>
        <v>0</v>
      </c>
      <c r="FZ229" s="268">
        <f t="shared" si="480"/>
        <v>0</v>
      </c>
      <c r="GA229" s="33">
        <f t="shared" si="531"/>
        <v>0</v>
      </c>
      <c r="GB229" s="33">
        <f t="shared" si="438"/>
        <v>0</v>
      </c>
      <c r="GC229" s="33">
        <f t="shared" si="439"/>
        <v>0</v>
      </c>
      <c r="GD229" s="33">
        <f>IF(GJ228&lt;0.01,0,IF(Plus!$F$22=Plus!$AN$4,0,IF(Plus!$F$22=Plus!$AN$3,GJ228*Plus!$F$23/1000,GJ228*VLOOKUP(Plus!$G$21,Plus!$AP$2:$AQ$5,2,0))))</f>
        <v>0</v>
      </c>
      <c r="GE229" s="33">
        <f>IF(GJ228&lt;0.01,0,IF(Plus!$F$24=Plus!$AO$3,0,IF(OR(Plus!$F$10=Plus!$AK$7,Plus!$F$10=Plus!$AK$13,Plus!$F$10=Plus!$AK$14),0,IF(OR(Plus!$F$10=Plus!$AK$10,Plus!$F$10=Plus!$AK$11),Plus!$G$13*Adm!$W$7,Plus!$G$13*Adm!$X$4))))</f>
        <v>0</v>
      </c>
      <c r="GF229" s="33">
        <f>IF(GJ228&lt;0.01,0,IF(OR(Plus!$F$10=Plus!$AK$7,Plus!$F$10=Plus!$AK$13),0,Plus!$BD$2*1.16))</f>
        <v>0</v>
      </c>
      <c r="GG229" s="33">
        <f>IF(GJ228&lt;0.01,0,IF(Plus!$AS$2&gt;0,GA229*Plus!$AS$3,0))</f>
        <v>0</v>
      </c>
      <c r="GH229" s="33">
        <f t="shared" si="532"/>
        <v>0</v>
      </c>
      <c r="GI229" s="33">
        <f>IF(Plus!$F$10=Plus!$AK$3,MIN(GJ228+GA229+GD229+GE229+GF229-GH229,GU229),0)</f>
        <v>0</v>
      </c>
      <c r="GJ229" s="311">
        <f t="shared" si="578"/>
        <v>0</v>
      </c>
      <c r="GK229" s="340">
        <f>Plus!O270</f>
        <v>0</v>
      </c>
      <c r="GL229" s="74"/>
      <c r="GM229" s="74"/>
      <c r="GN229" s="419">
        <f t="shared" si="576"/>
        <v>0</v>
      </c>
      <c r="GQ229" s="90">
        <f t="shared" si="533"/>
        <v>1</v>
      </c>
      <c r="GR229" s="121">
        <f t="shared" si="568"/>
        <v>0</v>
      </c>
      <c r="GT229" s="149">
        <f t="shared" si="569"/>
        <v>0</v>
      </c>
      <c r="GU229" s="2179">
        <f t="shared" ca="1" si="534"/>
        <v>0</v>
      </c>
      <c r="GW229" s="120">
        <f t="shared" si="570"/>
        <v>0</v>
      </c>
      <c r="GX229" s="110">
        <f t="shared" si="535"/>
        <v>0</v>
      </c>
      <c r="GY229" s="110">
        <f t="shared" si="536"/>
        <v>0</v>
      </c>
      <c r="GZ229" s="109">
        <f t="shared" si="537"/>
        <v>0</v>
      </c>
      <c r="HA229" s="109">
        <f t="shared" si="481"/>
        <v>0</v>
      </c>
      <c r="HB229" s="113">
        <f t="shared" si="538"/>
        <v>0</v>
      </c>
      <c r="HD229" s="102">
        <f t="shared" si="539"/>
        <v>0</v>
      </c>
      <c r="HE229" s="326">
        <f t="shared" si="455"/>
        <v>205</v>
      </c>
      <c r="HF229" s="327">
        <f t="shared" si="540"/>
        <v>0</v>
      </c>
      <c r="HG229" s="327">
        <f t="shared" si="482"/>
        <v>0</v>
      </c>
      <c r="HH229" s="327">
        <f>MIN(HI228+HF229,HH228*(1+$FN$20))</f>
        <v>0</v>
      </c>
      <c r="HI229" s="213">
        <f t="shared" si="483"/>
        <v>1000000</v>
      </c>
      <c r="HL229" s="182"/>
      <c r="HM229" s="26">
        <f t="shared" ca="1" si="484"/>
        <v>4</v>
      </c>
      <c r="HO229" s="268">
        <f t="shared" si="485"/>
        <v>0</v>
      </c>
      <c r="HP229" s="151">
        <f t="shared" si="448"/>
        <v>0</v>
      </c>
      <c r="HQ229" s="123">
        <f t="shared" si="542"/>
        <v>0</v>
      </c>
      <c r="HR229" s="123">
        <f t="shared" si="543"/>
        <v>0</v>
      </c>
      <c r="HS229" s="123">
        <f t="shared" si="544"/>
        <v>0</v>
      </c>
      <c r="HT229" s="123">
        <f>IF(HY228&lt;0.01,0,IF(Adm!$GS$4=Adm!$GS$8,HY228*$HY$15,IF(Adm!$GS$12=Adm!$GS$13,0,HY228*Adm!$GV$4)))</f>
        <v>0</v>
      </c>
      <c r="HU229" s="123">
        <f>IF(HY228&lt;0.01,0,IF(Adm!$GS$5=Adm!$GS$8,Cal!$BO$108*$HY$16/1.16,IF(Adm!$GS$12=Adm!$GS$13,0,Cal!$BO$108*Adm!$GW$4/1.16)))</f>
        <v>0</v>
      </c>
      <c r="HV229" s="123">
        <f t="shared" si="545"/>
        <v>0</v>
      </c>
      <c r="HW229" s="123">
        <f t="shared" si="486"/>
        <v>0</v>
      </c>
      <c r="HX229" s="123">
        <f>IF(Adm!$GH$6="si",MIN(HY228+HQ229+HT229+HU229+HV229-HW229,IH229),0)</f>
        <v>0</v>
      </c>
      <c r="HY229" s="297">
        <f t="shared" si="546"/>
        <v>0</v>
      </c>
      <c r="HZ229" s="74"/>
      <c r="IA229" s="407">
        <f t="shared" si="547"/>
        <v>0</v>
      </c>
      <c r="IC229" s="90">
        <f t="shared" si="548"/>
        <v>1</v>
      </c>
      <c r="ID229" s="124">
        <f>IF(IC229=1,Cal!$BO$127,0)</f>
        <v>0</v>
      </c>
      <c r="IE229" s="178">
        <f>IF(IC229=1,Adm!$HI$4,0)</f>
        <v>2.5000000000000001E-3</v>
      </c>
      <c r="IG229" s="70">
        <f t="shared" si="571"/>
        <v>0</v>
      </c>
      <c r="IH229" s="2178">
        <f t="shared" ca="1" si="549"/>
        <v>0</v>
      </c>
      <c r="IK229" s="217"/>
      <c r="IL229" s="26">
        <f t="shared" ca="1" si="487"/>
        <v>4</v>
      </c>
      <c r="IN229" s="268">
        <f t="shared" si="488"/>
        <v>0</v>
      </c>
      <c r="IO229" s="151">
        <f t="shared" si="449"/>
        <v>0</v>
      </c>
      <c r="IP229" s="123">
        <f t="shared" si="550"/>
        <v>0</v>
      </c>
      <c r="IQ229" s="123">
        <f t="shared" si="551"/>
        <v>0</v>
      </c>
      <c r="IR229" s="123">
        <f t="shared" si="552"/>
        <v>0</v>
      </c>
      <c r="IS229" s="123">
        <f>IF(IX228&lt;0.01,0,IF(Adm!$GS$4=Adm!$GS$8,IX228*$IX$15,IF(Adm!$GS$12=Adm!$GS$13,0,IX228*Adm!$GV$4)))</f>
        <v>0</v>
      </c>
      <c r="IT229" s="123"/>
      <c r="IU229" s="123">
        <f t="shared" si="553"/>
        <v>0</v>
      </c>
      <c r="IV229" s="123">
        <f t="shared" si="554"/>
        <v>0</v>
      </c>
      <c r="IW229" s="123"/>
      <c r="IX229" s="297">
        <f t="shared" si="555"/>
        <v>0</v>
      </c>
      <c r="IY229" s="74"/>
      <c r="IZ229" s="416">
        <f t="shared" si="556"/>
        <v>0</v>
      </c>
      <c r="JB229" s="90">
        <f t="shared" si="557"/>
        <v>1</v>
      </c>
      <c r="JC229" s="124">
        <f>IF(JB229=1,Cal!$BP$127,0)</f>
        <v>0</v>
      </c>
      <c r="JD229" s="178">
        <f>IF(JB229=1,Adm!$HI$4,0)</f>
        <v>2.5000000000000001E-3</v>
      </c>
    </row>
    <row r="230" spans="1:264">
      <c r="A230" s="26">
        <f t="shared" ca="1" si="456"/>
        <v>5</v>
      </c>
      <c r="C230" s="33">
        <f t="shared" si="457"/>
        <v>0</v>
      </c>
      <c r="D230" s="123">
        <f t="shared" si="489"/>
        <v>0</v>
      </c>
      <c r="E230" s="123">
        <f t="shared" ref="E230:E264" si="579">IF(L229&lt;0.01,0,F230-D230)</f>
        <v>0</v>
      </c>
      <c r="F230" s="123">
        <f t="shared" si="443"/>
        <v>0</v>
      </c>
      <c r="G230" s="123">
        <f>IF(L229&lt;0.01,0,IF(Adm!$S$4=Adm!$S$8,L229*$L$15,L229*Adm!$V$4))</f>
        <v>0</v>
      </c>
      <c r="H230" s="123">
        <f>IF(L229&lt;0.01,0,IF(Adm!$S$5=Adm!$S$8,Adm!$AA$11*$L$16/1.16,IF(Adm!$B$4=Adm!$A$119,0,Adm!$AA$11*Adm!$X$4/1.16)))</f>
        <v>0</v>
      </c>
      <c r="I230" s="123">
        <f>IF(L229&lt;0.01,0,Cal!$AB$126/1.16)</f>
        <v>0</v>
      </c>
      <c r="J230" s="123">
        <f t="shared" si="458"/>
        <v>0</v>
      </c>
      <c r="K230" s="123">
        <f>IF(Adm!$G$4="si",MIN(L229+D230+G230+H230+I230-J230,V230),0)</f>
        <v>0</v>
      </c>
      <c r="L230" s="123">
        <f t="shared" si="490"/>
        <v>0</v>
      </c>
      <c r="M230" s="74"/>
      <c r="N230" s="74"/>
      <c r="O230" s="407">
        <f t="shared" si="491"/>
        <v>0</v>
      </c>
      <c r="R230" s="90">
        <f t="shared" si="492"/>
        <v>2</v>
      </c>
      <c r="S230" s="121">
        <f>IF(R230=1,Cal!$AB$127,0)</f>
        <v>0</v>
      </c>
      <c r="U230" s="70">
        <f t="shared" si="558"/>
        <v>0</v>
      </c>
      <c r="V230" s="2178">
        <f t="shared" ca="1" si="493"/>
        <v>0</v>
      </c>
      <c r="X230" s="398"/>
      <c r="Z230" s="268">
        <f t="shared" si="459"/>
        <v>0</v>
      </c>
      <c r="AA230" s="2176">
        <f t="shared" si="494"/>
        <v>0</v>
      </c>
      <c r="AB230" s="33">
        <f t="shared" si="495"/>
        <v>0</v>
      </c>
      <c r="AC230" s="33">
        <f t="shared" si="496"/>
        <v>0</v>
      </c>
      <c r="AD230" s="33">
        <f>IF(AI229&lt;0.01,0,IF(Adm!$S$4=Adm!$S$8,AI229*$AI$15,AI229*Adm!$V$4))</f>
        <v>0</v>
      </c>
      <c r="AE230" s="33"/>
      <c r="AF230" s="33"/>
      <c r="AG230" s="33">
        <f t="shared" si="460"/>
        <v>0</v>
      </c>
      <c r="AH230" s="33"/>
      <c r="AI230" s="401">
        <f t="shared" si="461"/>
        <v>0</v>
      </c>
      <c r="AK230" s="410">
        <f t="shared" si="462"/>
        <v>0</v>
      </c>
      <c r="AN230" s="90">
        <f t="shared" si="497"/>
        <v>2</v>
      </c>
      <c r="AO230" s="121">
        <f>IF(AN230=1,Cal!$AC$127,0)</f>
        <v>0</v>
      </c>
      <c r="AS230" s="200"/>
      <c r="AU230" s="268">
        <f t="shared" si="463"/>
        <v>0</v>
      </c>
      <c r="AV230" s="2177">
        <f t="shared" si="498"/>
        <v>0</v>
      </c>
      <c r="AW230" s="123">
        <f t="shared" si="464"/>
        <v>0</v>
      </c>
      <c r="AX230" s="123">
        <f t="shared" si="499"/>
        <v>0</v>
      </c>
      <c r="AY230" s="123">
        <f>IF(BC229&lt;0.01,0,IF(Adm!$S$4=Adm!$S$8,BC229*$BC$16,BC229*Adm!$V$4))</f>
        <v>0</v>
      </c>
      <c r="AZ230" s="123"/>
      <c r="BA230" s="123">
        <f>IF(BC229&lt;0.01,0,Adm!$Q$6)</f>
        <v>0</v>
      </c>
      <c r="BB230" s="123">
        <f t="shared" si="465"/>
        <v>0</v>
      </c>
      <c r="BC230" s="297">
        <f t="shared" si="500"/>
        <v>0</v>
      </c>
      <c r="BE230" s="425">
        <f t="shared" si="466"/>
        <v>0</v>
      </c>
      <c r="BH230" s="90">
        <f t="shared" si="501"/>
        <v>2</v>
      </c>
      <c r="BI230" s="121">
        <f>IF(BH230=1,Cal!$AD$127,0)</f>
        <v>0</v>
      </c>
      <c r="BM230" s="221"/>
      <c r="BO230" s="295">
        <f t="shared" ca="1" si="467"/>
        <v>5</v>
      </c>
      <c r="BP230" s="268">
        <f t="shared" si="468"/>
        <v>0</v>
      </c>
      <c r="BQ230" s="123">
        <f t="shared" si="502"/>
        <v>0</v>
      </c>
      <c r="BR230" s="123">
        <f t="shared" ref="BR230:BR264" si="580">IF(BZ229&lt;0.01,0,BS230-BQ230)</f>
        <v>0</v>
      </c>
      <c r="BS230" s="123">
        <f t="shared" si="444"/>
        <v>0</v>
      </c>
      <c r="BT230" s="123">
        <f>IF(BZ229&lt;0.01,0,IF(Plus!$F$22=Plus!$AN$4,BZ229*$BZ$15,IF(Plus!$F$22=Plus!$AN$3,BZ229*Plus!$F$23/1000,BZ229*VLOOKUP(Plus!$G$21,Plus!$AP$2:'Plus'!$AQ$5,2,0))))</f>
        <v>0</v>
      </c>
      <c r="BU230" s="123">
        <f>IF(BZ229&lt;0.01,0,IF(Plus!$F$24=Plus!$AO$3,Plus!$G$13*Plus!$AR$2/1.16,IF(Plus!$F$10=Plus!$AK$7,0,Plus!$G$13*Plus!$AR$2/1.16)))</f>
        <v>0</v>
      </c>
      <c r="BV230" s="123">
        <f>IF(BZ229&lt;0.01,0,Plus!$BD$2)</f>
        <v>0</v>
      </c>
      <c r="BW230" s="123"/>
      <c r="BX230" s="123">
        <f t="shared" si="469"/>
        <v>0</v>
      </c>
      <c r="BY230" s="123">
        <f>IF(Plus!$F$10=Plus!$AK$3,MIN(BZ229+BQ230+BT230+BU230+BV230-BX230,CJ230),0)</f>
        <v>0</v>
      </c>
      <c r="BZ230" s="297">
        <f t="shared" si="574"/>
        <v>0</v>
      </c>
      <c r="CA230" s="74"/>
      <c r="CB230" s="74"/>
      <c r="CC230" s="413">
        <f t="shared" si="503"/>
        <v>0</v>
      </c>
      <c r="CF230" s="90">
        <f t="shared" si="504"/>
        <v>2</v>
      </c>
      <c r="CG230" s="121">
        <f t="shared" si="559"/>
        <v>0</v>
      </c>
      <c r="CI230" s="70">
        <f t="shared" si="560"/>
        <v>0</v>
      </c>
      <c r="CJ230" s="2178">
        <f t="shared" ca="1" si="505"/>
        <v>0</v>
      </c>
      <c r="CL230" s="161"/>
      <c r="CN230" s="308">
        <f t="shared" ca="1" si="470"/>
        <v>5</v>
      </c>
      <c r="CO230" s="309">
        <f t="shared" si="506"/>
        <v>0</v>
      </c>
      <c r="CP230" s="268">
        <f t="shared" si="471"/>
        <v>0</v>
      </c>
      <c r="CQ230" s="123">
        <f t="shared" si="507"/>
        <v>0</v>
      </c>
      <c r="CR230" s="123">
        <f t="shared" ref="CR230:CR264" si="581">IF(CZ229&lt;0.01,0,MIN(CZ229,CS230-CQ230))</f>
        <v>0</v>
      </c>
      <c r="CS230" s="123">
        <f t="shared" ref="CS230:CS264" si="582">IF(CZ228&lt;0.1,0,MIN(CZ229+CQ230,IF(DN230&gt;0,DN230,CS229*(1+DH230))))</f>
        <v>0</v>
      </c>
      <c r="CT230" s="33">
        <f>IF(CZ229&lt;0.01,0,IF(Plus!$F$22=Plus!$AN$4,0,IF(Plus!$F$22=Plus!$AN$3,CZ229*Plus!$F$23/1000,CZ229*VLOOKUP(Plus!$G$21,Plus!$AP$2:'Plus'!$AQ$5,2,0))))</f>
        <v>0</v>
      </c>
      <c r="CU230" s="123">
        <f>IF(CZ229&lt;0.01,0,IF(Plus!$F$24=Plus!$AO$3,0,IF(OR(Plus!$F$10=Plus!$AK$7,Plus!$F$10=Plus!$AK$13),0,Plus!$G$13*Plus!$AR$2)))</f>
        <v>0</v>
      </c>
      <c r="CV230" s="123">
        <f>IF(CZ229&lt;0.01,0,IF(OR(Plus!$F$10=Plus!$AK$7,Plus!$F$10=Plus!$AK$13),0,Plus!$BD$2*1.16))</f>
        <v>0</v>
      </c>
      <c r="CW230" s="123">
        <f>IF(CZ229&lt;0.01,0,IF(Plus!$AS$2&gt;0,CQ230*Plus!$AS$3,0))</f>
        <v>0</v>
      </c>
      <c r="CX230" s="123">
        <f t="shared" si="508"/>
        <v>0</v>
      </c>
      <c r="CY230" s="123">
        <f>IF(Plus!$F$10=Plus!$AK$3,MIN(CZ229+CQ230+CT230+CU230+CV230-CX230,DK230),0)</f>
        <v>0</v>
      </c>
      <c r="CZ230" s="297">
        <f t="shared" si="440"/>
        <v>0</v>
      </c>
      <c r="DA230" s="306">
        <f>Plus!O271</f>
        <v>0</v>
      </c>
      <c r="DB230" s="74"/>
      <c r="DC230" s="74"/>
      <c r="DD230" s="407">
        <f t="shared" si="509"/>
        <v>0</v>
      </c>
      <c r="DG230" s="90">
        <f t="shared" si="510"/>
        <v>2</v>
      </c>
      <c r="DH230" s="121">
        <f t="shared" si="561"/>
        <v>0</v>
      </c>
      <c r="DJ230" s="149">
        <f t="shared" si="562"/>
        <v>0</v>
      </c>
      <c r="DK230" s="2179">
        <f t="shared" ca="1" si="511"/>
        <v>0</v>
      </c>
      <c r="DN230" s="120">
        <f t="shared" si="563"/>
        <v>0</v>
      </c>
      <c r="DO230" s="110">
        <f t="shared" si="512"/>
        <v>0</v>
      </c>
      <c r="DP230" s="110">
        <f t="shared" si="572"/>
        <v>0</v>
      </c>
      <c r="DQ230" s="109">
        <f t="shared" si="513"/>
        <v>0</v>
      </c>
      <c r="DR230" s="109">
        <f t="shared" si="514"/>
        <v>0</v>
      </c>
      <c r="DS230" s="113">
        <f t="shared" si="515"/>
        <v>0</v>
      </c>
      <c r="DU230" s="102">
        <f t="shared" si="516"/>
        <v>0</v>
      </c>
      <c r="DV230" s="211">
        <f t="shared" si="573"/>
        <v>206</v>
      </c>
      <c r="DW230" s="212">
        <f t="shared" si="517"/>
        <v>0</v>
      </c>
      <c r="DX230" s="212">
        <f t="shared" si="472"/>
        <v>0</v>
      </c>
      <c r="DY230" s="212">
        <f t="shared" si="564"/>
        <v>0</v>
      </c>
      <c r="DZ230" s="213">
        <f t="shared" si="473"/>
        <v>1000000</v>
      </c>
      <c r="ED230" s="182"/>
      <c r="EF230" s="308">
        <f t="shared" ca="1" si="474"/>
        <v>5</v>
      </c>
      <c r="EG230" s="309">
        <f t="shared" si="518"/>
        <v>0</v>
      </c>
      <c r="EH230" s="268">
        <f t="shared" si="475"/>
        <v>0</v>
      </c>
      <c r="EI230" s="33">
        <f t="shared" si="519"/>
        <v>0</v>
      </c>
      <c r="EJ230" s="33">
        <f t="shared" ref="EJ230:EJ264" si="583">IF(ER229&lt;0.01,0,MIN(ER229,EK230-EI230))</f>
        <v>0</v>
      </c>
      <c r="EK230" s="33">
        <f t="shared" si="445"/>
        <v>0</v>
      </c>
      <c r="EL230" s="33">
        <f>IF(ER229&lt;0.01,0,IF(Plus!$F$22=Plus!$AN$4,0,IF(Plus!$F$22=Plus!$AN$3,ER229*Plus!$F$23/1000,ER229*VLOOKUP(Plus!$G$21,Plus!$AP$2:'Plus'!$AQ$5,2,0))))</f>
        <v>0</v>
      </c>
      <c r="EM230" s="33">
        <f>IF(ER229&lt;0.01,0,IF(Plus!$F$24=Plus!$AO$3,0,IF(OR(Plus!$F$10=Plus!$AK$7,Plus!$F$10=Plus!$AK$13),0,Plus!$G$13*Plus!$AR$2)))</f>
        <v>0</v>
      </c>
      <c r="EN230" s="33">
        <f>IF(ER229&lt;0.01,0,IF(OR(Plus!$F$10=Plus!$AK$7,Plus!$F$10=Plus!$AK$13),0,Plus!$BD$2*1.16))</f>
        <v>0</v>
      </c>
      <c r="EO230" s="33">
        <f>IF(ER229&lt;0.01,0,IF(Plus!$AS$2&gt;0,EI230*Plus!$AS$3,0))</f>
        <v>0</v>
      </c>
      <c r="EP230" s="33">
        <f t="shared" si="520"/>
        <v>0</v>
      </c>
      <c r="EQ230" s="33">
        <f>IF(Plus!$F$10=Plus!$AK$3,MIN(ER229+EI230+EL230+EM230+EN230-EP230,FC230),0)</f>
        <v>0</v>
      </c>
      <c r="ER230" s="311">
        <f t="shared" si="577"/>
        <v>0</v>
      </c>
      <c r="ES230" s="340">
        <f>Plus!O271</f>
        <v>0</v>
      </c>
      <c r="ET230" s="74"/>
      <c r="EU230" s="74"/>
      <c r="EV230" s="416">
        <f t="shared" si="575"/>
        <v>0</v>
      </c>
      <c r="EY230" s="90">
        <f t="shared" si="521"/>
        <v>2</v>
      </c>
      <c r="EZ230" s="121">
        <f t="shared" si="565"/>
        <v>0</v>
      </c>
      <c r="FB230" s="149">
        <f t="shared" si="566"/>
        <v>0</v>
      </c>
      <c r="FC230" s="2179">
        <f t="shared" ca="1" si="522"/>
        <v>0</v>
      </c>
      <c r="FE230" s="120">
        <f t="shared" si="567"/>
        <v>0</v>
      </c>
      <c r="FF230" s="110">
        <f t="shared" si="523"/>
        <v>0</v>
      </c>
      <c r="FG230" s="110">
        <f t="shared" si="524"/>
        <v>0</v>
      </c>
      <c r="FH230" s="109">
        <f t="shared" si="525"/>
        <v>0</v>
      </c>
      <c r="FI230" s="109">
        <f t="shared" si="476"/>
        <v>0</v>
      </c>
      <c r="FJ230" s="113">
        <f t="shared" si="526"/>
        <v>0</v>
      </c>
      <c r="FL230" s="102">
        <f t="shared" si="527"/>
        <v>0</v>
      </c>
      <c r="FM230" s="211">
        <f t="shared" si="454"/>
        <v>206</v>
      </c>
      <c r="FN230" s="212">
        <f t="shared" si="528"/>
        <v>0</v>
      </c>
      <c r="FO230" s="212">
        <f t="shared" si="477"/>
        <v>0</v>
      </c>
      <c r="FP230" s="212">
        <f t="shared" ref="FP230:FP240" si="584">MIN(FQ229+FN230,FP229)</f>
        <v>0</v>
      </c>
      <c r="FQ230" s="213">
        <f t="shared" si="478"/>
        <v>1000000</v>
      </c>
      <c r="FV230" s="359"/>
      <c r="FX230" s="308">
        <f t="shared" ca="1" si="479"/>
        <v>5</v>
      </c>
      <c r="FY230" s="309">
        <f t="shared" si="530"/>
        <v>0</v>
      </c>
      <c r="FZ230" s="268">
        <f t="shared" si="480"/>
        <v>0</v>
      </c>
      <c r="GA230" s="33">
        <f t="shared" si="531"/>
        <v>0</v>
      </c>
      <c r="GB230" s="33">
        <f t="shared" ref="GB230:GB264" si="585">IF(GJ229&lt;0.01,0,MIN(GJ229,GC230-GA230))</f>
        <v>0</v>
      </c>
      <c r="GC230" s="33">
        <f t="shared" ref="GC230:GC264" si="586">IF(GJ228&lt;0.1,0,MIN(GJ229+GA230,IF(GW230&gt;0,GW230,GC229*(1+GR230))))</f>
        <v>0</v>
      </c>
      <c r="GD230" s="33">
        <f>IF(GJ229&lt;0.01,0,IF(Plus!$F$22=Plus!$AN$4,0,IF(Plus!$F$22=Plus!$AN$3,GJ229*Plus!$F$23/1000,GJ229*VLOOKUP(Plus!$G$21,Plus!$AP$2:$AQ$5,2,0))))</f>
        <v>0</v>
      </c>
      <c r="GE230" s="33">
        <f>IF(GJ229&lt;0.01,0,IF(Plus!$F$24=Plus!$AO$3,0,IF(OR(Plus!$F$10=Plus!$AK$7,Plus!$F$10=Plus!$AK$13,Plus!$F$10=Plus!$AK$14),0,IF(OR(Plus!$F$10=Plus!$AK$10,Plus!$F$10=Plus!$AK$11),Plus!$G$13*Adm!$W$7,Plus!$G$13*Adm!$X$4))))</f>
        <v>0</v>
      </c>
      <c r="GF230" s="33">
        <f>IF(GJ229&lt;0.01,0,IF(OR(Plus!$F$10=Plus!$AK$7,Plus!$F$10=Plus!$AK$13),0,Plus!$BD$2*1.16))</f>
        <v>0</v>
      </c>
      <c r="GG230" s="33">
        <f>IF(GJ229&lt;0.01,0,IF(Plus!$AS$2&gt;0,GA230*Plus!$AS$3,0))</f>
        <v>0</v>
      </c>
      <c r="GH230" s="33">
        <f t="shared" si="532"/>
        <v>0</v>
      </c>
      <c r="GI230" s="33">
        <f>IF(Plus!$F$10=Plus!$AK$3,MIN(GJ229+GA230+GD230+GE230+GF230-GH230,GU230),0)</f>
        <v>0</v>
      </c>
      <c r="GJ230" s="311">
        <f t="shared" si="578"/>
        <v>0</v>
      </c>
      <c r="GK230" s="340">
        <f>Plus!O271</f>
        <v>0</v>
      </c>
      <c r="GL230" s="74"/>
      <c r="GM230" s="74"/>
      <c r="GN230" s="419">
        <f t="shared" si="576"/>
        <v>0</v>
      </c>
      <c r="GQ230" s="90">
        <f t="shared" si="533"/>
        <v>2</v>
      </c>
      <c r="GR230" s="121">
        <f t="shared" si="568"/>
        <v>0</v>
      </c>
      <c r="GT230" s="149">
        <f t="shared" si="569"/>
        <v>0</v>
      </c>
      <c r="GU230" s="2179">
        <f t="shared" ca="1" si="534"/>
        <v>0</v>
      </c>
      <c r="GW230" s="120">
        <f t="shared" si="570"/>
        <v>0</v>
      </c>
      <c r="GX230" s="110">
        <f t="shared" si="535"/>
        <v>0</v>
      </c>
      <c r="GY230" s="110">
        <f t="shared" si="536"/>
        <v>0</v>
      </c>
      <c r="GZ230" s="109">
        <f t="shared" si="537"/>
        <v>0</v>
      </c>
      <c r="HA230" s="109">
        <f t="shared" si="481"/>
        <v>0</v>
      </c>
      <c r="HB230" s="113">
        <f t="shared" si="538"/>
        <v>0</v>
      </c>
      <c r="HD230" s="102">
        <f t="shared" si="539"/>
        <v>0</v>
      </c>
      <c r="HE230" s="211">
        <f t="shared" si="455"/>
        <v>206</v>
      </c>
      <c r="HF230" s="212">
        <f t="shared" si="540"/>
        <v>0</v>
      </c>
      <c r="HG230" s="212">
        <f t="shared" si="482"/>
        <v>0</v>
      </c>
      <c r="HH230" s="212">
        <f t="shared" ref="HH230:HH240" si="587">MIN(HI229+HF230,HH229)</f>
        <v>0</v>
      </c>
      <c r="HI230" s="213">
        <f t="shared" si="483"/>
        <v>1000000</v>
      </c>
      <c r="HL230" s="182"/>
      <c r="HM230" s="26">
        <f t="shared" ca="1" si="484"/>
        <v>5</v>
      </c>
      <c r="HO230" s="268">
        <f t="shared" si="485"/>
        <v>0</v>
      </c>
      <c r="HP230" s="151">
        <f t="shared" si="448"/>
        <v>0</v>
      </c>
      <c r="HQ230" s="123">
        <f t="shared" si="542"/>
        <v>0</v>
      </c>
      <c r="HR230" s="123">
        <f t="shared" si="543"/>
        <v>0</v>
      </c>
      <c r="HS230" s="123">
        <f t="shared" si="544"/>
        <v>0</v>
      </c>
      <c r="HT230" s="123">
        <f>IF(HY229&lt;0.01,0,IF(Adm!$GS$4=Adm!$GS$8,HY229*$HY$15,IF(Adm!$GS$12=Adm!$GS$13,0,HY229*Adm!$GV$4)))</f>
        <v>0</v>
      </c>
      <c r="HU230" s="123">
        <f>IF(HY229&lt;0.01,0,IF(Adm!$GS$5=Adm!$GS$8,Cal!$BO$108*$HY$16/1.16,IF(Adm!$GS$12=Adm!$GS$13,0,Cal!$BO$108*Adm!$GW$4/1.16)))</f>
        <v>0</v>
      </c>
      <c r="HV230" s="123">
        <f t="shared" si="545"/>
        <v>0</v>
      </c>
      <c r="HW230" s="123">
        <f t="shared" si="486"/>
        <v>0</v>
      </c>
      <c r="HX230" s="123">
        <f>IF(Adm!$GH$6="si",MIN(HY229+HQ230+HT230+HU230+HV230-HW230,IH230),0)</f>
        <v>0</v>
      </c>
      <c r="HY230" s="297">
        <f t="shared" si="546"/>
        <v>0</v>
      </c>
      <c r="HZ230" s="74"/>
      <c r="IA230" s="407">
        <f t="shared" si="547"/>
        <v>0</v>
      </c>
      <c r="IC230" s="90">
        <f t="shared" si="548"/>
        <v>2</v>
      </c>
      <c r="ID230" s="124">
        <f>IF(IC230=1,Cal!$BO$127,0)</f>
        <v>0</v>
      </c>
      <c r="IE230" s="178">
        <f>IF(IC230=1,Adm!$HI$4,0)</f>
        <v>0</v>
      </c>
      <c r="IG230" s="70">
        <f t="shared" si="571"/>
        <v>0</v>
      </c>
      <c r="IH230" s="2178">
        <f t="shared" ca="1" si="549"/>
        <v>0</v>
      </c>
      <c r="IK230" s="217"/>
      <c r="IL230" s="26">
        <f t="shared" ca="1" si="487"/>
        <v>5</v>
      </c>
      <c r="IN230" s="268">
        <f t="shared" si="488"/>
        <v>0</v>
      </c>
      <c r="IO230" s="151">
        <f t="shared" si="449"/>
        <v>0</v>
      </c>
      <c r="IP230" s="123">
        <f t="shared" si="550"/>
        <v>0</v>
      </c>
      <c r="IQ230" s="123">
        <f t="shared" si="551"/>
        <v>0</v>
      </c>
      <c r="IR230" s="123">
        <f t="shared" si="552"/>
        <v>0</v>
      </c>
      <c r="IS230" s="123">
        <f>IF(IX229&lt;0.01,0,IF(Adm!$GS$4=Adm!$GS$8,IX229*$IX$15,IF(Adm!$GS$12=Adm!$GS$13,0,IX229*Adm!$GV$4)))</f>
        <v>0</v>
      </c>
      <c r="IT230" s="123"/>
      <c r="IU230" s="123">
        <f t="shared" si="553"/>
        <v>0</v>
      </c>
      <c r="IV230" s="123">
        <f t="shared" si="554"/>
        <v>0</v>
      </c>
      <c r="IW230" s="123"/>
      <c r="IX230" s="297">
        <f t="shared" si="555"/>
        <v>0</v>
      </c>
      <c r="IY230" s="74"/>
      <c r="IZ230" s="416">
        <f t="shared" si="556"/>
        <v>0</v>
      </c>
      <c r="JB230" s="90">
        <f t="shared" si="557"/>
        <v>2</v>
      </c>
      <c r="JC230" s="124">
        <f>IF(JB230=1,Cal!$BP$127,0)</f>
        <v>0</v>
      </c>
      <c r="JD230" s="178">
        <f>IF(JB230=1,Adm!$HI$4,0)</f>
        <v>0</v>
      </c>
    </row>
    <row r="231" spans="1:264">
      <c r="A231" s="26">
        <f t="shared" ca="1" si="456"/>
        <v>6</v>
      </c>
      <c r="C231" s="33">
        <f t="shared" si="457"/>
        <v>0</v>
      </c>
      <c r="D231" s="123">
        <f t="shared" si="489"/>
        <v>0</v>
      </c>
      <c r="E231" s="123">
        <f t="shared" si="579"/>
        <v>0</v>
      </c>
      <c r="F231" s="123">
        <f t="shared" si="443"/>
        <v>0</v>
      </c>
      <c r="G231" s="123">
        <f>IF(L230&lt;0.01,0,IF(Adm!$S$4=Adm!$S$8,L230*$L$15,L230*Adm!$V$4))</f>
        <v>0</v>
      </c>
      <c r="H231" s="123">
        <f>IF(L230&lt;0.01,0,IF(Adm!$S$5=Adm!$S$8,Adm!$AA$11*$L$16/1.16,IF(Adm!$B$4=Adm!$A$119,0,Adm!$AA$11*Adm!$X$4/1.16)))</f>
        <v>0</v>
      </c>
      <c r="I231" s="123">
        <f>IF(L230&lt;0.01,0,Cal!$AB$126/1.16)</f>
        <v>0</v>
      </c>
      <c r="J231" s="123">
        <f t="shared" si="458"/>
        <v>0</v>
      </c>
      <c r="K231" s="123">
        <f>IF(Adm!$G$4="si",MIN(L230+D231+G231+H231+I231-J231,V231),0)</f>
        <v>0</v>
      </c>
      <c r="L231" s="123">
        <f t="shared" si="490"/>
        <v>0</v>
      </c>
      <c r="M231" s="74"/>
      <c r="N231" s="74"/>
      <c r="O231" s="407">
        <f t="shared" si="491"/>
        <v>0</v>
      </c>
      <c r="R231" s="90">
        <f t="shared" si="492"/>
        <v>3</v>
      </c>
      <c r="S231" s="121">
        <f>IF(R231=1,Cal!$AB$127,0)</f>
        <v>0</v>
      </c>
      <c r="U231" s="70">
        <f t="shared" si="558"/>
        <v>0</v>
      </c>
      <c r="V231" s="2178">
        <f t="shared" ca="1" si="493"/>
        <v>0</v>
      </c>
      <c r="X231" s="398"/>
      <c r="Z231" s="268">
        <f t="shared" si="459"/>
        <v>0</v>
      </c>
      <c r="AA231" s="2176">
        <f t="shared" si="494"/>
        <v>0</v>
      </c>
      <c r="AB231" s="33">
        <f t="shared" si="495"/>
        <v>0</v>
      </c>
      <c r="AC231" s="33">
        <f t="shared" si="496"/>
        <v>0</v>
      </c>
      <c r="AD231" s="33">
        <f>IF(AI230&lt;0.01,0,IF(Adm!$S$4=Adm!$S$8,AI230*$AI$15,AI230*Adm!$V$4))</f>
        <v>0</v>
      </c>
      <c r="AE231" s="33"/>
      <c r="AF231" s="33"/>
      <c r="AG231" s="33">
        <f t="shared" si="460"/>
        <v>0</v>
      </c>
      <c r="AH231" s="33"/>
      <c r="AI231" s="401">
        <f t="shared" si="461"/>
        <v>0</v>
      </c>
      <c r="AK231" s="410">
        <f t="shared" si="462"/>
        <v>0</v>
      </c>
      <c r="AN231" s="90">
        <f t="shared" si="497"/>
        <v>3</v>
      </c>
      <c r="AO231" s="121">
        <f>IF(AN231=1,Cal!$AC$127,0)</f>
        <v>0</v>
      </c>
      <c r="AS231" s="200"/>
      <c r="AU231" s="268">
        <f t="shared" si="463"/>
        <v>0</v>
      </c>
      <c r="AV231" s="2177">
        <f t="shared" si="498"/>
        <v>0</v>
      </c>
      <c r="AW231" s="123">
        <f t="shared" si="464"/>
        <v>0</v>
      </c>
      <c r="AX231" s="123">
        <f t="shared" si="499"/>
        <v>0</v>
      </c>
      <c r="AY231" s="123">
        <f>IF(BC230&lt;0.01,0,IF(Adm!$S$4=Adm!$S$8,BC230*$BC$16,BC230*Adm!$V$4))</f>
        <v>0</v>
      </c>
      <c r="AZ231" s="123"/>
      <c r="BA231" s="123">
        <f>IF(BC230&lt;0.01,0,Adm!$Q$6)</f>
        <v>0</v>
      </c>
      <c r="BB231" s="123">
        <f t="shared" si="465"/>
        <v>0</v>
      </c>
      <c r="BC231" s="297">
        <f t="shared" si="500"/>
        <v>0</v>
      </c>
      <c r="BE231" s="425">
        <f t="shared" si="466"/>
        <v>0</v>
      </c>
      <c r="BH231" s="90">
        <f t="shared" si="501"/>
        <v>3</v>
      </c>
      <c r="BI231" s="121">
        <f>IF(BH231=1,Cal!$AD$127,0)</f>
        <v>0</v>
      </c>
      <c r="BM231" s="221"/>
      <c r="BO231" s="295">
        <f t="shared" ca="1" si="467"/>
        <v>6</v>
      </c>
      <c r="BP231" s="268">
        <f t="shared" si="468"/>
        <v>0</v>
      </c>
      <c r="BQ231" s="123">
        <f t="shared" si="502"/>
        <v>0</v>
      </c>
      <c r="BR231" s="123">
        <f t="shared" si="580"/>
        <v>0</v>
      </c>
      <c r="BS231" s="123">
        <f t="shared" si="444"/>
        <v>0</v>
      </c>
      <c r="BT231" s="123">
        <f>IF(BZ230&lt;0.01,0,IF(Plus!$F$22=Plus!$AN$4,BZ230*$BZ$15,IF(Plus!$F$22=Plus!$AN$3,BZ230*Plus!$F$23/1000,BZ230*VLOOKUP(Plus!$G$21,Plus!$AP$2:'Plus'!$AQ$5,2,0))))</f>
        <v>0</v>
      </c>
      <c r="BU231" s="123">
        <f>IF(BZ230&lt;0.01,0,IF(Plus!$F$24=Plus!$AO$3,Plus!$G$13*Plus!$AR$2/1.16,IF(Plus!$F$10=Plus!$AK$7,0,Plus!$G$13*Plus!$AR$2/1.16)))</f>
        <v>0</v>
      </c>
      <c r="BV231" s="123">
        <f>IF(BZ230&lt;0.01,0,Plus!$BD$2)</f>
        <v>0</v>
      </c>
      <c r="BW231" s="123"/>
      <c r="BX231" s="123">
        <f t="shared" si="469"/>
        <v>0</v>
      </c>
      <c r="BY231" s="123">
        <f>IF(Plus!$F$10=Plus!$AK$3,MIN(BZ230+BQ231+BT231+BU231+BV231-BX231,CJ231),0)</f>
        <v>0</v>
      </c>
      <c r="BZ231" s="297">
        <f t="shared" si="574"/>
        <v>0</v>
      </c>
      <c r="CA231" s="74"/>
      <c r="CB231" s="74"/>
      <c r="CC231" s="413">
        <f t="shared" si="503"/>
        <v>0</v>
      </c>
      <c r="CF231" s="90">
        <f t="shared" si="504"/>
        <v>3</v>
      </c>
      <c r="CG231" s="121">
        <f t="shared" si="559"/>
        <v>0</v>
      </c>
      <c r="CI231" s="70">
        <f t="shared" si="560"/>
        <v>0</v>
      </c>
      <c r="CJ231" s="2178">
        <f t="shared" ca="1" si="505"/>
        <v>0</v>
      </c>
      <c r="CL231" s="161"/>
      <c r="CN231" s="308">
        <f t="shared" ca="1" si="470"/>
        <v>6</v>
      </c>
      <c r="CO231" s="309">
        <f t="shared" si="506"/>
        <v>0</v>
      </c>
      <c r="CP231" s="268">
        <f t="shared" si="471"/>
        <v>0</v>
      </c>
      <c r="CQ231" s="123">
        <f t="shared" si="507"/>
        <v>0</v>
      </c>
      <c r="CR231" s="123">
        <f t="shared" si="581"/>
        <v>0</v>
      </c>
      <c r="CS231" s="123">
        <f t="shared" si="582"/>
        <v>0</v>
      </c>
      <c r="CT231" s="33">
        <f>IF(CZ230&lt;0.01,0,IF(Plus!$F$22=Plus!$AN$4,0,IF(Plus!$F$22=Plus!$AN$3,CZ230*Plus!$F$23/1000,CZ230*VLOOKUP(Plus!$G$21,Plus!$AP$2:'Plus'!$AQ$5,2,0))))</f>
        <v>0</v>
      </c>
      <c r="CU231" s="123">
        <f>IF(CZ230&lt;0.01,0,IF(Plus!$F$24=Plus!$AO$3,0,IF(OR(Plus!$F$10=Plus!$AK$7,Plus!$F$10=Plus!$AK$13),0,Plus!$G$13*Plus!$AR$2)))</f>
        <v>0</v>
      </c>
      <c r="CV231" s="123">
        <f>IF(CZ230&lt;0.01,0,IF(OR(Plus!$F$10=Plus!$AK$7,Plus!$F$10=Plus!$AK$13),0,Plus!$BD$2*1.16))</f>
        <v>0</v>
      </c>
      <c r="CW231" s="123">
        <f>IF(CZ230&lt;0.01,0,IF(Plus!$AS$2&gt;0,CQ231*Plus!$AS$3,0))</f>
        <v>0</v>
      </c>
      <c r="CX231" s="123">
        <f t="shared" si="508"/>
        <v>0</v>
      </c>
      <c r="CY231" s="123">
        <f>IF(Plus!$F$10=Plus!$AK$3,MIN(CZ230+CQ231+CT231+CU231+CV231-CX231,DK231),0)</f>
        <v>0</v>
      </c>
      <c r="CZ231" s="297">
        <f t="shared" si="440"/>
        <v>0</v>
      </c>
      <c r="DA231" s="306">
        <f>Plus!O272</f>
        <v>0</v>
      </c>
      <c r="DB231" s="74"/>
      <c r="DC231" s="74"/>
      <c r="DD231" s="407">
        <f t="shared" si="509"/>
        <v>0</v>
      </c>
      <c r="DG231" s="90">
        <f t="shared" si="510"/>
        <v>3</v>
      </c>
      <c r="DH231" s="121">
        <f t="shared" si="561"/>
        <v>0</v>
      </c>
      <c r="DJ231" s="149">
        <f t="shared" si="562"/>
        <v>0</v>
      </c>
      <c r="DK231" s="2179">
        <f t="shared" ca="1" si="511"/>
        <v>0</v>
      </c>
      <c r="DN231" s="120">
        <f t="shared" si="563"/>
        <v>0</v>
      </c>
      <c r="DO231" s="110">
        <f t="shared" si="512"/>
        <v>0</v>
      </c>
      <c r="DP231" s="110">
        <f t="shared" si="572"/>
        <v>0</v>
      </c>
      <c r="DQ231" s="109">
        <f t="shared" si="513"/>
        <v>0</v>
      </c>
      <c r="DR231" s="109">
        <f t="shared" si="514"/>
        <v>0</v>
      </c>
      <c r="DS231" s="113">
        <f t="shared" si="515"/>
        <v>0</v>
      </c>
      <c r="DU231" s="102">
        <f t="shared" si="516"/>
        <v>0</v>
      </c>
      <c r="DV231" s="211">
        <f t="shared" si="573"/>
        <v>207</v>
      </c>
      <c r="DW231" s="212">
        <f t="shared" si="517"/>
        <v>0</v>
      </c>
      <c r="DX231" s="212">
        <f t="shared" si="472"/>
        <v>0</v>
      </c>
      <c r="DY231" s="212">
        <f t="shared" si="564"/>
        <v>0</v>
      </c>
      <c r="DZ231" s="213">
        <f t="shared" si="473"/>
        <v>1000000</v>
      </c>
      <c r="ED231" s="182"/>
      <c r="EF231" s="308">
        <f t="shared" ca="1" si="474"/>
        <v>6</v>
      </c>
      <c r="EG231" s="309">
        <f t="shared" si="518"/>
        <v>0</v>
      </c>
      <c r="EH231" s="268">
        <f t="shared" si="475"/>
        <v>0</v>
      </c>
      <c r="EI231" s="33">
        <f t="shared" si="519"/>
        <v>0</v>
      </c>
      <c r="EJ231" s="33">
        <f t="shared" si="583"/>
        <v>0</v>
      </c>
      <c r="EK231" s="33">
        <f t="shared" si="445"/>
        <v>0</v>
      </c>
      <c r="EL231" s="33">
        <f>IF(ER230&lt;0.01,0,IF(Plus!$F$22=Plus!$AN$4,0,IF(Plus!$F$22=Plus!$AN$3,ER230*Plus!$F$23/1000,ER230*VLOOKUP(Plus!$G$21,Plus!$AP$2:'Plus'!$AQ$5,2,0))))</f>
        <v>0</v>
      </c>
      <c r="EM231" s="33">
        <f>IF(ER230&lt;0.01,0,IF(Plus!$F$24=Plus!$AO$3,0,IF(OR(Plus!$F$10=Plus!$AK$7,Plus!$F$10=Plus!$AK$13),0,Plus!$G$13*Plus!$AR$2)))</f>
        <v>0</v>
      </c>
      <c r="EN231" s="33">
        <f>IF(ER230&lt;0.01,0,IF(OR(Plus!$F$10=Plus!$AK$7,Plus!$F$10=Plus!$AK$13),0,Plus!$BD$2*1.16))</f>
        <v>0</v>
      </c>
      <c r="EO231" s="33">
        <f>IF(ER230&lt;0.01,0,IF(Plus!$AS$2&gt;0,EI231*Plus!$AS$3,0))</f>
        <v>0</v>
      </c>
      <c r="EP231" s="33">
        <f t="shared" si="520"/>
        <v>0</v>
      </c>
      <c r="EQ231" s="33">
        <f>IF(Plus!$F$10=Plus!$AK$3,MIN(ER230+EI231+EL231+EM231+EN231-EP231,FC231),0)</f>
        <v>0</v>
      </c>
      <c r="ER231" s="311">
        <f t="shared" si="577"/>
        <v>0</v>
      </c>
      <c r="ES231" s="340">
        <f>Plus!O272</f>
        <v>0</v>
      </c>
      <c r="ET231" s="74"/>
      <c r="EU231" s="74"/>
      <c r="EV231" s="416">
        <f t="shared" si="575"/>
        <v>0</v>
      </c>
      <c r="EY231" s="90">
        <f t="shared" si="521"/>
        <v>3</v>
      </c>
      <c r="EZ231" s="121">
        <f t="shared" si="565"/>
        <v>0</v>
      </c>
      <c r="FB231" s="149">
        <f t="shared" si="566"/>
        <v>0</v>
      </c>
      <c r="FC231" s="2179">
        <f t="shared" ca="1" si="522"/>
        <v>0</v>
      </c>
      <c r="FE231" s="120">
        <f t="shared" si="567"/>
        <v>0</v>
      </c>
      <c r="FF231" s="110">
        <f t="shared" si="523"/>
        <v>0</v>
      </c>
      <c r="FG231" s="110">
        <f t="shared" si="524"/>
        <v>0</v>
      </c>
      <c r="FH231" s="109">
        <f t="shared" si="525"/>
        <v>0</v>
      </c>
      <c r="FI231" s="109">
        <f t="shared" si="476"/>
        <v>0</v>
      </c>
      <c r="FJ231" s="113">
        <f t="shared" si="526"/>
        <v>0</v>
      </c>
      <c r="FL231" s="102">
        <f t="shared" si="527"/>
        <v>0</v>
      </c>
      <c r="FM231" s="211">
        <f t="shared" si="454"/>
        <v>207</v>
      </c>
      <c r="FN231" s="212">
        <f t="shared" si="528"/>
        <v>0</v>
      </c>
      <c r="FO231" s="212">
        <f t="shared" si="477"/>
        <v>0</v>
      </c>
      <c r="FP231" s="212">
        <f t="shared" si="584"/>
        <v>0</v>
      </c>
      <c r="FQ231" s="213">
        <f t="shared" si="478"/>
        <v>1000000</v>
      </c>
      <c r="FV231" s="359"/>
      <c r="FX231" s="308">
        <f t="shared" ca="1" si="479"/>
        <v>6</v>
      </c>
      <c r="FY231" s="309">
        <f t="shared" si="530"/>
        <v>0</v>
      </c>
      <c r="FZ231" s="268">
        <f t="shared" si="480"/>
        <v>0</v>
      </c>
      <c r="GA231" s="33">
        <f t="shared" si="531"/>
        <v>0</v>
      </c>
      <c r="GB231" s="33">
        <f t="shared" si="585"/>
        <v>0</v>
      </c>
      <c r="GC231" s="33">
        <f t="shared" si="586"/>
        <v>0</v>
      </c>
      <c r="GD231" s="33">
        <f>IF(GJ230&lt;0.01,0,IF(Plus!$F$22=Plus!$AN$4,0,IF(Plus!$F$22=Plus!$AN$3,GJ230*Plus!$F$23/1000,GJ230*VLOOKUP(Plus!$G$21,Plus!$AP$2:$AQ$5,2,0))))</f>
        <v>0</v>
      </c>
      <c r="GE231" s="33">
        <f>IF(GJ230&lt;0.01,0,IF(Plus!$F$24=Plus!$AO$3,0,IF(OR(Plus!$F$10=Plus!$AK$7,Plus!$F$10=Plus!$AK$13,Plus!$F$10=Plus!$AK$14),0,IF(OR(Plus!$F$10=Plus!$AK$10,Plus!$F$10=Plus!$AK$11),Plus!$G$13*Adm!$W$7,Plus!$G$13*Adm!$X$4))))</f>
        <v>0</v>
      </c>
      <c r="GF231" s="33">
        <f>IF(GJ230&lt;0.01,0,IF(OR(Plus!$F$10=Plus!$AK$7,Plus!$F$10=Plus!$AK$13),0,Plus!$BD$2*1.16))</f>
        <v>0</v>
      </c>
      <c r="GG231" s="33">
        <f>IF(GJ230&lt;0.01,0,IF(Plus!$AS$2&gt;0,GA231*Plus!$AS$3,0))</f>
        <v>0</v>
      </c>
      <c r="GH231" s="33">
        <f t="shared" si="532"/>
        <v>0</v>
      </c>
      <c r="GI231" s="33">
        <f>IF(Plus!$F$10=Plus!$AK$3,MIN(GJ230+GA231+GD231+GE231+GF231-GH231,GU231),0)</f>
        <v>0</v>
      </c>
      <c r="GJ231" s="311">
        <f t="shared" si="578"/>
        <v>0</v>
      </c>
      <c r="GK231" s="340">
        <f>Plus!O272</f>
        <v>0</v>
      </c>
      <c r="GL231" s="74"/>
      <c r="GM231" s="74"/>
      <c r="GN231" s="419">
        <f t="shared" si="576"/>
        <v>0</v>
      </c>
      <c r="GQ231" s="90">
        <f t="shared" si="533"/>
        <v>3</v>
      </c>
      <c r="GR231" s="121">
        <f t="shared" si="568"/>
        <v>0</v>
      </c>
      <c r="GT231" s="149">
        <f t="shared" si="569"/>
        <v>0</v>
      </c>
      <c r="GU231" s="2179">
        <f t="shared" ca="1" si="534"/>
        <v>0</v>
      </c>
      <c r="GW231" s="120">
        <f t="shared" si="570"/>
        <v>0</v>
      </c>
      <c r="GX231" s="110">
        <f t="shared" si="535"/>
        <v>0</v>
      </c>
      <c r="GY231" s="110">
        <f t="shared" si="536"/>
        <v>0</v>
      </c>
      <c r="GZ231" s="109">
        <f t="shared" si="537"/>
        <v>0</v>
      </c>
      <c r="HA231" s="109">
        <f t="shared" si="481"/>
        <v>0</v>
      </c>
      <c r="HB231" s="113">
        <f t="shared" si="538"/>
        <v>0</v>
      </c>
      <c r="HD231" s="102">
        <f t="shared" si="539"/>
        <v>0</v>
      </c>
      <c r="HE231" s="211">
        <f t="shared" si="455"/>
        <v>207</v>
      </c>
      <c r="HF231" s="212">
        <f t="shared" si="540"/>
        <v>0</v>
      </c>
      <c r="HG231" s="212">
        <f t="shared" si="482"/>
        <v>0</v>
      </c>
      <c r="HH231" s="212">
        <f t="shared" si="587"/>
        <v>0</v>
      </c>
      <c r="HI231" s="213">
        <f t="shared" si="483"/>
        <v>1000000</v>
      </c>
      <c r="HL231" s="182"/>
      <c r="HM231" s="26">
        <f t="shared" ca="1" si="484"/>
        <v>6</v>
      </c>
      <c r="HO231" s="268">
        <f t="shared" si="485"/>
        <v>0</v>
      </c>
      <c r="HP231" s="151">
        <f t="shared" si="448"/>
        <v>0</v>
      </c>
      <c r="HQ231" s="123">
        <f t="shared" si="542"/>
        <v>0</v>
      </c>
      <c r="HR231" s="123">
        <f t="shared" si="543"/>
        <v>0</v>
      </c>
      <c r="HS231" s="123">
        <f t="shared" si="544"/>
        <v>0</v>
      </c>
      <c r="HT231" s="123">
        <f>IF(HY230&lt;0.01,0,IF(Adm!$GS$4=Adm!$GS$8,HY230*$HY$15,IF(Adm!$GS$12=Adm!$GS$13,0,HY230*Adm!$GV$4)))</f>
        <v>0</v>
      </c>
      <c r="HU231" s="123">
        <f>IF(HY230&lt;0.01,0,IF(Adm!$GS$5=Adm!$GS$8,Cal!$BO$108*$HY$16/1.16,IF(Adm!$GS$12=Adm!$GS$13,0,Cal!$BO$108*Adm!$GW$4/1.16)))</f>
        <v>0</v>
      </c>
      <c r="HV231" s="123">
        <f t="shared" si="545"/>
        <v>0</v>
      </c>
      <c r="HW231" s="123">
        <f t="shared" si="486"/>
        <v>0</v>
      </c>
      <c r="HX231" s="123">
        <f>IF(Adm!$GH$6="si",MIN(HY230+HQ231+HT231+HU231+HV231-HW231,IH231),0)</f>
        <v>0</v>
      </c>
      <c r="HY231" s="297">
        <f t="shared" si="546"/>
        <v>0</v>
      </c>
      <c r="HZ231" s="74"/>
      <c r="IA231" s="407">
        <f t="shared" si="547"/>
        <v>0</v>
      </c>
      <c r="IC231" s="90">
        <f t="shared" si="548"/>
        <v>3</v>
      </c>
      <c r="ID231" s="124">
        <f>IF(IC231=1,Cal!$BO$127,0)</f>
        <v>0</v>
      </c>
      <c r="IE231" s="178">
        <f>IF(IC231=1,Adm!$HI$4,0)</f>
        <v>0</v>
      </c>
      <c r="IG231" s="70">
        <f t="shared" si="571"/>
        <v>0</v>
      </c>
      <c r="IH231" s="2178">
        <f t="shared" ca="1" si="549"/>
        <v>0</v>
      </c>
      <c r="IK231" s="217"/>
      <c r="IL231" s="26">
        <f t="shared" ca="1" si="487"/>
        <v>6</v>
      </c>
      <c r="IN231" s="268">
        <f t="shared" si="488"/>
        <v>0</v>
      </c>
      <c r="IO231" s="151">
        <f t="shared" si="449"/>
        <v>0</v>
      </c>
      <c r="IP231" s="123">
        <f t="shared" si="550"/>
        <v>0</v>
      </c>
      <c r="IQ231" s="123">
        <f t="shared" si="551"/>
        <v>0</v>
      </c>
      <c r="IR231" s="123">
        <f t="shared" si="552"/>
        <v>0</v>
      </c>
      <c r="IS231" s="123">
        <f>IF(IX230&lt;0.01,0,IF(Adm!$GS$4=Adm!$GS$8,IX230*$IX$15,IF(Adm!$GS$12=Adm!$GS$13,0,IX230*Adm!$GV$4)))</f>
        <v>0</v>
      </c>
      <c r="IT231" s="123"/>
      <c r="IU231" s="123">
        <f t="shared" si="553"/>
        <v>0</v>
      </c>
      <c r="IV231" s="123">
        <f t="shared" si="554"/>
        <v>0</v>
      </c>
      <c r="IW231" s="123"/>
      <c r="IX231" s="297">
        <f t="shared" si="555"/>
        <v>0</v>
      </c>
      <c r="IY231" s="74"/>
      <c r="IZ231" s="416">
        <f t="shared" si="556"/>
        <v>0</v>
      </c>
      <c r="JB231" s="90">
        <f t="shared" si="557"/>
        <v>3</v>
      </c>
      <c r="JC231" s="124">
        <f>IF(JB231=1,Cal!$BP$127,0)</f>
        <v>0</v>
      </c>
      <c r="JD231" s="178">
        <f>IF(JB231=1,Adm!$HI$4,0)</f>
        <v>0</v>
      </c>
    </row>
    <row r="232" spans="1:264">
      <c r="A232" s="26">
        <f t="shared" ca="1" si="456"/>
        <v>7</v>
      </c>
      <c r="C232" s="33">
        <f t="shared" si="457"/>
        <v>0</v>
      </c>
      <c r="D232" s="123">
        <f t="shared" si="489"/>
        <v>0</v>
      </c>
      <c r="E232" s="123">
        <f t="shared" si="579"/>
        <v>0</v>
      </c>
      <c r="F232" s="123">
        <f t="shared" si="443"/>
        <v>0</v>
      </c>
      <c r="G232" s="123">
        <f>IF(L231&lt;0.01,0,IF(Adm!$S$4=Adm!$S$8,L231*$L$15,L231*Adm!$V$4))</f>
        <v>0</v>
      </c>
      <c r="H232" s="123">
        <f>IF(L231&lt;0.01,0,IF(Adm!$S$5=Adm!$S$8,Adm!$AA$11*$L$16/1.16,IF(Adm!$B$4=Adm!$A$119,0,Adm!$AA$11*Adm!$X$4/1.16)))</f>
        <v>0</v>
      </c>
      <c r="I232" s="123">
        <f>IF(L231&lt;0.01,0,Cal!$AB$126/1.16)</f>
        <v>0</v>
      </c>
      <c r="J232" s="123">
        <f t="shared" si="458"/>
        <v>0</v>
      </c>
      <c r="K232" s="123">
        <f>IF(Adm!$G$4="si",MIN(L231+D232+G232+H232+I232-J232,V232),0)</f>
        <v>0</v>
      </c>
      <c r="L232" s="123">
        <f t="shared" si="490"/>
        <v>0</v>
      </c>
      <c r="M232" s="74"/>
      <c r="N232" s="74"/>
      <c r="O232" s="407">
        <f t="shared" si="491"/>
        <v>0</v>
      </c>
      <c r="R232" s="90">
        <f t="shared" si="492"/>
        <v>4</v>
      </c>
      <c r="S232" s="121">
        <f>IF(R232=1,Cal!$AB$127,0)</f>
        <v>0</v>
      </c>
      <c r="U232" s="70">
        <f t="shared" si="558"/>
        <v>0</v>
      </c>
      <c r="V232" s="2178">
        <f t="shared" ca="1" si="493"/>
        <v>0</v>
      </c>
      <c r="X232" s="398"/>
      <c r="Z232" s="268">
        <f t="shared" si="459"/>
        <v>0</v>
      </c>
      <c r="AA232" s="2176">
        <f t="shared" si="494"/>
        <v>0</v>
      </c>
      <c r="AB232" s="33">
        <f t="shared" si="495"/>
        <v>0</v>
      </c>
      <c r="AC232" s="33">
        <f t="shared" si="496"/>
        <v>0</v>
      </c>
      <c r="AD232" s="33">
        <f>IF(AI231&lt;0.01,0,IF(Adm!$S$4=Adm!$S$8,AI231*$AI$15,AI231*Adm!$V$4))</f>
        <v>0</v>
      </c>
      <c r="AE232" s="33"/>
      <c r="AF232" s="33"/>
      <c r="AG232" s="33">
        <f t="shared" si="460"/>
        <v>0</v>
      </c>
      <c r="AH232" s="33"/>
      <c r="AI232" s="401">
        <f t="shared" si="461"/>
        <v>0</v>
      </c>
      <c r="AK232" s="410">
        <f t="shared" si="462"/>
        <v>0</v>
      </c>
      <c r="AN232" s="90">
        <f t="shared" si="497"/>
        <v>4</v>
      </c>
      <c r="AO232" s="121">
        <f>IF(AN232=1,Cal!$AC$127,0)</f>
        <v>0</v>
      </c>
      <c r="AS232" s="200"/>
      <c r="AU232" s="268">
        <f t="shared" si="463"/>
        <v>0</v>
      </c>
      <c r="AV232" s="2177">
        <f t="shared" si="498"/>
        <v>0</v>
      </c>
      <c r="AW232" s="123">
        <f t="shared" si="464"/>
        <v>0</v>
      </c>
      <c r="AX232" s="123">
        <f t="shared" si="499"/>
        <v>0</v>
      </c>
      <c r="AY232" s="123">
        <f>IF(BC231&lt;0.01,0,IF(Adm!$S$4=Adm!$S$8,BC231*$BC$16,BC231*Adm!$V$4))</f>
        <v>0</v>
      </c>
      <c r="AZ232" s="123"/>
      <c r="BA232" s="123">
        <f>IF(BC231&lt;0.01,0,Adm!$Q$6)</f>
        <v>0</v>
      </c>
      <c r="BB232" s="123">
        <f t="shared" si="465"/>
        <v>0</v>
      </c>
      <c r="BC232" s="297">
        <f t="shared" si="500"/>
        <v>0</v>
      </c>
      <c r="BE232" s="425">
        <f t="shared" si="466"/>
        <v>0</v>
      </c>
      <c r="BH232" s="90">
        <f t="shared" si="501"/>
        <v>4</v>
      </c>
      <c r="BI232" s="121">
        <f>IF(BH232=1,Cal!$AD$127,0)</f>
        <v>0</v>
      </c>
      <c r="BM232" s="221"/>
      <c r="BO232" s="295">
        <f t="shared" ca="1" si="467"/>
        <v>7</v>
      </c>
      <c r="BP232" s="268">
        <f t="shared" si="468"/>
        <v>0</v>
      </c>
      <c r="BQ232" s="123">
        <f t="shared" si="502"/>
        <v>0</v>
      </c>
      <c r="BR232" s="123">
        <f t="shared" si="580"/>
        <v>0</v>
      </c>
      <c r="BS232" s="123">
        <f t="shared" si="444"/>
        <v>0</v>
      </c>
      <c r="BT232" s="123">
        <f>IF(BZ231&lt;0.01,0,IF(Plus!$F$22=Plus!$AN$4,BZ231*$BZ$15,IF(Plus!$F$22=Plus!$AN$3,BZ231*Plus!$F$23/1000,BZ231*VLOOKUP(Plus!$G$21,Plus!$AP$2:'Plus'!$AQ$5,2,0))))</f>
        <v>0</v>
      </c>
      <c r="BU232" s="123">
        <f>IF(BZ231&lt;0.01,0,IF(Plus!$F$24=Plus!$AO$3,Plus!$G$13*Plus!$AR$2/1.16,IF(Plus!$F$10=Plus!$AK$7,0,Plus!$G$13*Plus!$AR$2/1.16)))</f>
        <v>0</v>
      </c>
      <c r="BV232" s="123">
        <f>IF(BZ231&lt;0.01,0,Plus!$BD$2)</f>
        <v>0</v>
      </c>
      <c r="BW232" s="123"/>
      <c r="BX232" s="123">
        <f t="shared" si="469"/>
        <v>0</v>
      </c>
      <c r="BY232" s="123">
        <f>IF(Plus!$F$10=Plus!$AK$3,MIN(BZ231+BQ232+BT232+BU232+BV232-BX232,CJ232),0)</f>
        <v>0</v>
      </c>
      <c r="BZ232" s="297">
        <f t="shared" si="574"/>
        <v>0</v>
      </c>
      <c r="CA232" s="74"/>
      <c r="CB232" s="74"/>
      <c r="CC232" s="413">
        <f t="shared" si="503"/>
        <v>0</v>
      </c>
      <c r="CF232" s="90">
        <f t="shared" si="504"/>
        <v>4</v>
      </c>
      <c r="CG232" s="121">
        <f t="shared" si="559"/>
        <v>0</v>
      </c>
      <c r="CI232" s="70">
        <f t="shared" si="560"/>
        <v>0</v>
      </c>
      <c r="CJ232" s="2178">
        <f t="shared" ca="1" si="505"/>
        <v>0</v>
      </c>
      <c r="CL232" s="161"/>
      <c r="CN232" s="308">
        <f t="shared" ca="1" si="470"/>
        <v>7</v>
      </c>
      <c r="CO232" s="309">
        <f t="shared" si="506"/>
        <v>0</v>
      </c>
      <c r="CP232" s="268">
        <f t="shared" si="471"/>
        <v>0</v>
      </c>
      <c r="CQ232" s="123">
        <f t="shared" si="507"/>
        <v>0</v>
      </c>
      <c r="CR232" s="123">
        <f t="shared" si="581"/>
        <v>0</v>
      </c>
      <c r="CS232" s="123">
        <f t="shared" si="582"/>
        <v>0</v>
      </c>
      <c r="CT232" s="33">
        <f>IF(CZ231&lt;0.01,0,IF(Plus!$F$22=Plus!$AN$4,0,IF(Plus!$F$22=Plus!$AN$3,CZ231*Plus!$F$23/1000,CZ231*VLOOKUP(Plus!$G$21,Plus!$AP$2:'Plus'!$AQ$5,2,0))))</f>
        <v>0</v>
      </c>
      <c r="CU232" s="123">
        <f>IF(CZ231&lt;0.01,0,IF(Plus!$F$24=Plus!$AO$3,0,IF(OR(Plus!$F$10=Plus!$AK$7,Plus!$F$10=Plus!$AK$13),0,Plus!$G$13*Plus!$AR$2)))</f>
        <v>0</v>
      </c>
      <c r="CV232" s="123">
        <f>IF(CZ231&lt;0.01,0,IF(OR(Plus!$F$10=Plus!$AK$7,Plus!$F$10=Plus!$AK$13),0,Plus!$BD$2*1.16))</f>
        <v>0</v>
      </c>
      <c r="CW232" s="123">
        <f>IF(CZ231&lt;0.01,0,IF(Plus!$AS$2&gt;0,CQ232*Plus!$AS$3,0))</f>
        <v>0</v>
      </c>
      <c r="CX232" s="123">
        <f t="shared" si="508"/>
        <v>0</v>
      </c>
      <c r="CY232" s="123">
        <f>IF(Plus!$F$10=Plus!$AK$3,MIN(CZ231+CQ232+CT232+CU232+CV232-CX232,DK232),0)</f>
        <v>0</v>
      </c>
      <c r="CZ232" s="297">
        <f t="shared" si="440"/>
        <v>0</v>
      </c>
      <c r="DA232" s="306">
        <f>Plus!O273</f>
        <v>0</v>
      </c>
      <c r="DB232" s="74"/>
      <c r="DC232" s="74"/>
      <c r="DD232" s="407">
        <f t="shared" si="509"/>
        <v>0</v>
      </c>
      <c r="DG232" s="90">
        <f t="shared" si="510"/>
        <v>4</v>
      </c>
      <c r="DH232" s="121">
        <f t="shared" si="561"/>
        <v>0</v>
      </c>
      <c r="DJ232" s="149">
        <f t="shared" si="562"/>
        <v>0</v>
      </c>
      <c r="DK232" s="2179">
        <f t="shared" ca="1" si="511"/>
        <v>0</v>
      </c>
      <c r="DN232" s="120">
        <f t="shared" si="563"/>
        <v>0</v>
      </c>
      <c r="DO232" s="110">
        <f t="shared" si="512"/>
        <v>0</v>
      </c>
      <c r="DP232" s="110">
        <f t="shared" si="572"/>
        <v>0</v>
      </c>
      <c r="DQ232" s="109">
        <f t="shared" si="513"/>
        <v>0</v>
      </c>
      <c r="DR232" s="109">
        <f t="shared" si="514"/>
        <v>0</v>
      </c>
      <c r="DS232" s="113">
        <f t="shared" si="515"/>
        <v>0</v>
      </c>
      <c r="DU232" s="102">
        <f t="shared" si="516"/>
        <v>0</v>
      </c>
      <c r="DV232" s="211">
        <f t="shared" si="573"/>
        <v>208</v>
      </c>
      <c r="DW232" s="212">
        <f t="shared" si="517"/>
        <v>0</v>
      </c>
      <c r="DX232" s="212">
        <f t="shared" si="472"/>
        <v>0</v>
      </c>
      <c r="DY232" s="212">
        <f t="shared" si="564"/>
        <v>0</v>
      </c>
      <c r="DZ232" s="213">
        <f t="shared" si="473"/>
        <v>1000000</v>
      </c>
      <c r="ED232" s="182"/>
      <c r="EF232" s="308">
        <f t="shared" ca="1" si="474"/>
        <v>7</v>
      </c>
      <c r="EG232" s="309">
        <f t="shared" si="518"/>
        <v>0</v>
      </c>
      <c r="EH232" s="268">
        <f t="shared" si="475"/>
        <v>0</v>
      </c>
      <c r="EI232" s="33">
        <f t="shared" si="519"/>
        <v>0</v>
      </c>
      <c r="EJ232" s="33">
        <f t="shared" si="583"/>
        <v>0</v>
      </c>
      <c r="EK232" s="33">
        <f t="shared" si="445"/>
        <v>0</v>
      </c>
      <c r="EL232" s="33">
        <f>IF(ER231&lt;0.01,0,IF(Plus!$F$22=Plus!$AN$4,0,IF(Plus!$F$22=Plus!$AN$3,ER231*Plus!$F$23/1000,ER231*VLOOKUP(Plus!$G$21,Plus!$AP$2:'Plus'!$AQ$5,2,0))))</f>
        <v>0</v>
      </c>
      <c r="EM232" s="33">
        <f>IF(ER231&lt;0.01,0,IF(Plus!$F$24=Plus!$AO$3,0,IF(OR(Plus!$F$10=Plus!$AK$7,Plus!$F$10=Plus!$AK$13),0,Plus!$G$13*Plus!$AR$2)))</f>
        <v>0</v>
      </c>
      <c r="EN232" s="33">
        <f>IF(ER231&lt;0.01,0,IF(OR(Plus!$F$10=Plus!$AK$7,Plus!$F$10=Plus!$AK$13),0,Plus!$BD$2*1.16))</f>
        <v>0</v>
      </c>
      <c r="EO232" s="33">
        <f>IF(ER231&lt;0.01,0,IF(Plus!$AS$2&gt;0,EI232*Plus!$AS$3,0))</f>
        <v>0</v>
      </c>
      <c r="EP232" s="33">
        <f t="shared" si="520"/>
        <v>0</v>
      </c>
      <c r="EQ232" s="33">
        <f>IF(Plus!$F$10=Plus!$AK$3,MIN(ER231+EI232+EL232+EM232+EN232-EP232,FC232),0)</f>
        <v>0</v>
      </c>
      <c r="ER232" s="311">
        <f t="shared" si="577"/>
        <v>0</v>
      </c>
      <c r="ES232" s="340">
        <f>Plus!O273</f>
        <v>0</v>
      </c>
      <c r="ET232" s="74"/>
      <c r="EU232" s="74"/>
      <c r="EV232" s="416">
        <f t="shared" si="575"/>
        <v>0</v>
      </c>
      <c r="EY232" s="90">
        <f t="shared" si="521"/>
        <v>4</v>
      </c>
      <c r="EZ232" s="121">
        <f t="shared" si="565"/>
        <v>0</v>
      </c>
      <c r="FB232" s="149">
        <f t="shared" si="566"/>
        <v>0</v>
      </c>
      <c r="FC232" s="2179">
        <f t="shared" ca="1" si="522"/>
        <v>0</v>
      </c>
      <c r="FE232" s="120">
        <f t="shared" si="567"/>
        <v>0</v>
      </c>
      <c r="FF232" s="110">
        <f t="shared" si="523"/>
        <v>0</v>
      </c>
      <c r="FG232" s="110">
        <f t="shared" si="524"/>
        <v>0</v>
      </c>
      <c r="FH232" s="109">
        <f t="shared" si="525"/>
        <v>0</v>
      </c>
      <c r="FI232" s="109">
        <f t="shared" si="476"/>
        <v>0</v>
      </c>
      <c r="FJ232" s="113">
        <f t="shared" si="526"/>
        <v>0</v>
      </c>
      <c r="FL232" s="102">
        <f t="shared" si="527"/>
        <v>0</v>
      </c>
      <c r="FM232" s="211">
        <f t="shared" si="454"/>
        <v>208</v>
      </c>
      <c r="FN232" s="212">
        <f t="shared" si="528"/>
        <v>0</v>
      </c>
      <c r="FO232" s="212">
        <f t="shared" si="477"/>
        <v>0</v>
      </c>
      <c r="FP232" s="212">
        <f t="shared" si="584"/>
        <v>0</v>
      </c>
      <c r="FQ232" s="213">
        <f t="shared" si="478"/>
        <v>1000000</v>
      </c>
      <c r="FV232" s="359"/>
      <c r="FX232" s="308">
        <f t="shared" ca="1" si="479"/>
        <v>7</v>
      </c>
      <c r="FY232" s="309">
        <f t="shared" si="530"/>
        <v>0</v>
      </c>
      <c r="FZ232" s="268">
        <f t="shared" si="480"/>
        <v>0</v>
      </c>
      <c r="GA232" s="33">
        <f t="shared" si="531"/>
        <v>0</v>
      </c>
      <c r="GB232" s="33">
        <f t="shared" si="585"/>
        <v>0</v>
      </c>
      <c r="GC232" s="33">
        <f t="shared" si="586"/>
        <v>0</v>
      </c>
      <c r="GD232" s="33">
        <f>IF(GJ231&lt;0.01,0,IF(Plus!$F$22=Plus!$AN$4,0,IF(Plus!$F$22=Plus!$AN$3,GJ231*Plus!$F$23/1000,GJ231*VLOOKUP(Plus!$G$21,Plus!$AP$2:$AQ$5,2,0))))</f>
        <v>0</v>
      </c>
      <c r="GE232" s="33">
        <f>IF(GJ231&lt;0.01,0,IF(Plus!$F$24=Plus!$AO$3,0,IF(OR(Plus!$F$10=Plus!$AK$7,Plus!$F$10=Plus!$AK$13,Plus!$F$10=Plus!$AK$14),0,IF(OR(Plus!$F$10=Plus!$AK$10,Plus!$F$10=Plus!$AK$11),Plus!$G$13*Adm!$W$7,Plus!$G$13*Adm!$X$4))))</f>
        <v>0</v>
      </c>
      <c r="GF232" s="33">
        <f>IF(GJ231&lt;0.01,0,IF(OR(Plus!$F$10=Plus!$AK$7,Plus!$F$10=Plus!$AK$13),0,Plus!$BD$2*1.16))</f>
        <v>0</v>
      </c>
      <c r="GG232" s="33">
        <f>IF(GJ231&lt;0.01,0,IF(Plus!$AS$2&gt;0,GA232*Plus!$AS$3,0))</f>
        <v>0</v>
      </c>
      <c r="GH232" s="33">
        <f t="shared" si="532"/>
        <v>0</v>
      </c>
      <c r="GI232" s="33">
        <f>IF(Plus!$F$10=Plus!$AK$3,MIN(GJ231+GA232+GD232+GE232+GF232-GH232,GU232),0)</f>
        <v>0</v>
      </c>
      <c r="GJ232" s="311">
        <f t="shared" si="578"/>
        <v>0</v>
      </c>
      <c r="GK232" s="340">
        <f>Plus!O273</f>
        <v>0</v>
      </c>
      <c r="GL232" s="74"/>
      <c r="GM232" s="74"/>
      <c r="GN232" s="419">
        <f t="shared" si="576"/>
        <v>0</v>
      </c>
      <c r="GQ232" s="90">
        <f t="shared" si="533"/>
        <v>4</v>
      </c>
      <c r="GR232" s="121">
        <f t="shared" si="568"/>
        <v>0</v>
      </c>
      <c r="GT232" s="149">
        <f t="shared" si="569"/>
        <v>0</v>
      </c>
      <c r="GU232" s="2179">
        <f t="shared" ca="1" si="534"/>
        <v>0</v>
      </c>
      <c r="GW232" s="120">
        <f t="shared" si="570"/>
        <v>0</v>
      </c>
      <c r="GX232" s="110">
        <f t="shared" si="535"/>
        <v>0</v>
      </c>
      <c r="GY232" s="110">
        <f t="shared" si="536"/>
        <v>0</v>
      </c>
      <c r="GZ232" s="109">
        <f t="shared" si="537"/>
        <v>0</v>
      </c>
      <c r="HA232" s="109">
        <f t="shared" si="481"/>
        <v>0</v>
      </c>
      <c r="HB232" s="113">
        <f t="shared" si="538"/>
        <v>0</v>
      </c>
      <c r="HD232" s="102">
        <f t="shared" si="539"/>
        <v>0</v>
      </c>
      <c r="HE232" s="211">
        <f t="shared" si="455"/>
        <v>208</v>
      </c>
      <c r="HF232" s="212">
        <f t="shared" si="540"/>
        <v>0</v>
      </c>
      <c r="HG232" s="212">
        <f t="shared" si="482"/>
        <v>0</v>
      </c>
      <c r="HH232" s="212">
        <f t="shared" si="587"/>
        <v>0</v>
      </c>
      <c r="HI232" s="213">
        <f t="shared" si="483"/>
        <v>1000000</v>
      </c>
      <c r="HL232" s="182"/>
      <c r="HM232" s="26">
        <f t="shared" ca="1" si="484"/>
        <v>7</v>
      </c>
      <c r="HO232" s="268">
        <f t="shared" si="485"/>
        <v>0</v>
      </c>
      <c r="HP232" s="151">
        <f t="shared" si="448"/>
        <v>0</v>
      </c>
      <c r="HQ232" s="123">
        <f t="shared" si="542"/>
        <v>0</v>
      </c>
      <c r="HR232" s="123">
        <f t="shared" si="543"/>
        <v>0</v>
      </c>
      <c r="HS232" s="123">
        <f t="shared" si="544"/>
        <v>0</v>
      </c>
      <c r="HT232" s="123">
        <f>IF(HY231&lt;0.01,0,IF(Adm!$GS$4=Adm!$GS$8,HY231*$HY$15,IF(Adm!$GS$12=Adm!$GS$13,0,HY231*Adm!$GV$4)))</f>
        <v>0</v>
      </c>
      <c r="HU232" s="123">
        <f>IF(HY231&lt;0.01,0,IF(Adm!$GS$5=Adm!$GS$8,Cal!$BO$108*$HY$16/1.16,IF(Adm!$GS$12=Adm!$GS$13,0,Cal!$BO$108*Adm!$GW$4/1.16)))</f>
        <v>0</v>
      </c>
      <c r="HV232" s="123">
        <f t="shared" si="545"/>
        <v>0</v>
      </c>
      <c r="HW232" s="123">
        <f t="shared" si="486"/>
        <v>0</v>
      </c>
      <c r="HX232" s="123">
        <f>IF(Adm!$GH$6="si",MIN(HY231+HQ232+HT232+HU232+HV232-HW232,IH232),0)</f>
        <v>0</v>
      </c>
      <c r="HY232" s="297">
        <f t="shared" si="546"/>
        <v>0</v>
      </c>
      <c r="HZ232" s="74"/>
      <c r="IA232" s="407">
        <f t="shared" si="547"/>
        <v>0</v>
      </c>
      <c r="IC232" s="90">
        <f t="shared" si="548"/>
        <v>4</v>
      </c>
      <c r="ID232" s="124">
        <f>IF(IC232=1,Cal!$BO$127,0)</f>
        <v>0</v>
      </c>
      <c r="IE232" s="178">
        <f>IF(IC232=1,Adm!$HI$4,0)</f>
        <v>0</v>
      </c>
      <c r="IG232" s="70">
        <f t="shared" si="571"/>
        <v>0</v>
      </c>
      <c r="IH232" s="2178">
        <f t="shared" ca="1" si="549"/>
        <v>0</v>
      </c>
      <c r="IK232" s="217"/>
      <c r="IL232" s="26">
        <f t="shared" ca="1" si="487"/>
        <v>7</v>
      </c>
      <c r="IN232" s="268">
        <f t="shared" si="488"/>
        <v>0</v>
      </c>
      <c r="IO232" s="151">
        <f t="shared" si="449"/>
        <v>0</v>
      </c>
      <c r="IP232" s="123">
        <f t="shared" si="550"/>
        <v>0</v>
      </c>
      <c r="IQ232" s="123">
        <f t="shared" si="551"/>
        <v>0</v>
      </c>
      <c r="IR232" s="123">
        <f t="shared" si="552"/>
        <v>0</v>
      </c>
      <c r="IS232" s="123">
        <f>IF(IX231&lt;0.01,0,IF(Adm!$GS$4=Adm!$GS$8,IX231*$IX$15,IF(Adm!$GS$12=Adm!$GS$13,0,IX231*Adm!$GV$4)))</f>
        <v>0</v>
      </c>
      <c r="IT232" s="123"/>
      <c r="IU232" s="123">
        <f t="shared" si="553"/>
        <v>0</v>
      </c>
      <c r="IV232" s="123">
        <f t="shared" si="554"/>
        <v>0</v>
      </c>
      <c r="IW232" s="123"/>
      <c r="IX232" s="297">
        <f t="shared" si="555"/>
        <v>0</v>
      </c>
      <c r="IY232" s="74"/>
      <c r="IZ232" s="416">
        <f t="shared" si="556"/>
        <v>0</v>
      </c>
      <c r="JB232" s="90">
        <f t="shared" si="557"/>
        <v>4</v>
      </c>
      <c r="JC232" s="124">
        <f>IF(JB232=1,Cal!$BP$127,0)</f>
        <v>0</v>
      </c>
      <c r="JD232" s="178">
        <f>IF(JB232=1,Adm!$HI$4,0)</f>
        <v>0</v>
      </c>
    </row>
    <row r="233" spans="1:264">
      <c r="A233" s="26">
        <f t="shared" ca="1" si="456"/>
        <v>8</v>
      </c>
      <c r="C233" s="33">
        <f t="shared" si="457"/>
        <v>0</v>
      </c>
      <c r="D233" s="123">
        <f t="shared" si="489"/>
        <v>0</v>
      </c>
      <c r="E233" s="123">
        <f t="shared" si="579"/>
        <v>0</v>
      </c>
      <c r="F233" s="123">
        <f t="shared" si="443"/>
        <v>0</v>
      </c>
      <c r="G233" s="123">
        <f>IF(L232&lt;0.01,0,IF(Adm!$S$4=Adm!$S$8,L232*$L$15,L232*Adm!$V$4))</f>
        <v>0</v>
      </c>
      <c r="H233" s="123">
        <f>IF(L232&lt;0.01,0,IF(Adm!$S$5=Adm!$S$8,Adm!$AA$11*$L$16/1.16,IF(Adm!$B$4=Adm!$A$119,0,Adm!$AA$11*Adm!$X$4/1.16)))</f>
        <v>0</v>
      </c>
      <c r="I233" s="123">
        <f>IF(L232&lt;0.01,0,Cal!$AB$126/1.16)</f>
        <v>0</v>
      </c>
      <c r="J233" s="123">
        <f t="shared" si="458"/>
        <v>0</v>
      </c>
      <c r="K233" s="123">
        <f>IF(Adm!$G$4="si",MIN(L232+D233+G233+H233+I233-J233,V233),0)</f>
        <v>0</v>
      </c>
      <c r="L233" s="123">
        <f t="shared" si="490"/>
        <v>0</v>
      </c>
      <c r="M233" s="74"/>
      <c r="N233" s="74"/>
      <c r="O233" s="407">
        <f t="shared" si="491"/>
        <v>0</v>
      </c>
      <c r="R233" s="90">
        <f t="shared" si="492"/>
        <v>5</v>
      </c>
      <c r="S233" s="121">
        <f>IF(R233=1,Cal!$AB$127,0)</f>
        <v>0</v>
      </c>
      <c r="U233" s="70">
        <f t="shared" si="558"/>
        <v>0</v>
      </c>
      <c r="V233" s="2178">
        <f t="shared" ca="1" si="493"/>
        <v>0</v>
      </c>
      <c r="X233" s="398"/>
      <c r="Z233" s="268">
        <f t="shared" si="459"/>
        <v>0</v>
      </c>
      <c r="AA233" s="2176">
        <f t="shared" si="494"/>
        <v>0</v>
      </c>
      <c r="AB233" s="33">
        <f t="shared" si="495"/>
        <v>0</v>
      </c>
      <c r="AC233" s="33">
        <f t="shared" si="496"/>
        <v>0</v>
      </c>
      <c r="AD233" s="33">
        <f>IF(AI232&lt;0.01,0,IF(Adm!$S$4=Adm!$S$8,AI232*$AI$15,AI232*Adm!$V$4))</f>
        <v>0</v>
      </c>
      <c r="AE233" s="33"/>
      <c r="AF233" s="33"/>
      <c r="AG233" s="33">
        <f t="shared" si="460"/>
        <v>0</v>
      </c>
      <c r="AH233" s="33"/>
      <c r="AI233" s="401">
        <f t="shared" si="461"/>
        <v>0</v>
      </c>
      <c r="AK233" s="410">
        <f t="shared" si="462"/>
        <v>0</v>
      </c>
      <c r="AN233" s="90">
        <f t="shared" si="497"/>
        <v>5</v>
      </c>
      <c r="AO233" s="121">
        <f>IF(AN233=1,Cal!$AC$127,0)</f>
        <v>0</v>
      </c>
      <c r="AS233" s="200"/>
      <c r="AU233" s="268">
        <f t="shared" si="463"/>
        <v>0</v>
      </c>
      <c r="AV233" s="2177">
        <f t="shared" si="498"/>
        <v>0</v>
      </c>
      <c r="AW233" s="123">
        <f t="shared" si="464"/>
        <v>0</v>
      </c>
      <c r="AX233" s="123">
        <f t="shared" si="499"/>
        <v>0</v>
      </c>
      <c r="AY233" s="123">
        <f>IF(BC232&lt;0.01,0,IF(Adm!$S$4=Adm!$S$8,BC232*$BC$16,BC232*Adm!$V$4))</f>
        <v>0</v>
      </c>
      <c r="AZ233" s="123"/>
      <c r="BA233" s="123">
        <f>IF(BC232&lt;0.01,0,Adm!$Q$6)</f>
        <v>0</v>
      </c>
      <c r="BB233" s="123">
        <f t="shared" si="465"/>
        <v>0</v>
      </c>
      <c r="BC233" s="297">
        <f t="shared" si="500"/>
        <v>0</v>
      </c>
      <c r="BE233" s="425">
        <f t="shared" si="466"/>
        <v>0</v>
      </c>
      <c r="BH233" s="90">
        <f t="shared" si="501"/>
        <v>5</v>
      </c>
      <c r="BI233" s="121">
        <f>IF(BH233=1,Cal!$AD$127,0)</f>
        <v>0</v>
      </c>
      <c r="BM233" s="221"/>
      <c r="BO233" s="295">
        <f t="shared" ca="1" si="467"/>
        <v>8</v>
      </c>
      <c r="BP233" s="268">
        <f t="shared" si="468"/>
        <v>0</v>
      </c>
      <c r="BQ233" s="123">
        <f t="shared" si="502"/>
        <v>0</v>
      </c>
      <c r="BR233" s="123">
        <f t="shared" si="580"/>
        <v>0</v>
      </c>
      <c r="BS233" s="123">
        <f t="shared" si="444"/>
        <v>0</v>
      </c>
      <c r="BT233" s="123">
        <f>IF(BZ232&lt;0.01,0,IF(Plus!$F$22=Plus!$AN$4,BZ232*$BZ$15,IF(Plus!$F$22=Plus!$AN$3,BZ232*Plus!$F$23/1000,BZ232*VLOOKUP(Plus!$G$21,Plus!$AP$2:'Plus'!$AQ$5,2,0))))</f>
        <v>0</v>
      </c>
      <c r="BU233" s="123">
        <f>IF(BZ232&lt;0.01,0,IF(Plus!$F$24=Plus!$AO$3,Plus!$G$13*Plus!$AR$2/1.16,IF(Plus!$F$10=Plus!$AK$7,0,Plus!$G$13*Plus!$AR$2/1.16)))</f>
        <v>0</v>
      </c>
      <c r="BV233" s="123">
        <f>IF(BZ232&lt;0.01,0,Plus!$BD$2)</f>
        <v>0</v>
      </c>
      <c r="BW233" s="123"/>
      <c r="BX233" s="123">
        <f t="shared" si="469"/>
        <v>0</v>
      </c>
      <c r="BY233" s="123">
        <f>IF(Plus!$F$10=Plus!$AK$3,MIN(BZ232+BQ233+BT233+BU233+BV233-BX233,CJ233),0)</f>
        <v>0</v>
      </c>
      <c r="BZ233" s="297">
        <f t="shared" si="574"/>
        <v>0</v>
      </c>
      <c r="CA233" s="74"/>
      <c r="CB233" s="74"/>
      <c r="CC233" s="413">
        <f t="shared" si="503"/>
        <v>0</v>
      </c>
      <c r="CF233" s="90">
        <f t="shared" si="504"/>
        <v>5</v>
      </c>
      <c r="CG233" s="121">
        <f t="shared" si="559"/>
        <v>0</v>
      </c>
      <c r="CI233" s="70">
        <f t="shared" si="560"/>
        <v>0</v>
      </c>
      <c r="CJ233" s="2178">
        <f t="shared" ca="1" si="505"/>
        <v>0</v>
      </c>
      <c r="CL233" s="161"/>
      <c r="CN233" s="308">
        <f t="shared" ca="1" si="470"/>
        <v>8</v>
      </c>
      <c r="CO233" s="309">
        <f t="shared" si="506"/>
        <v>0</v>
      </c>
      <c r="CP233" s="268">
        <f t="shared" si="471"/>
        <v>0</v>
      </c>
      <c r="CQ233" s="123">
        <f t="shared" si="507"/>
        <v>0</v>
      </c>
      <c r="CR233" s="123">
        <f t="shared" si="581"/>
        <v>0</v>
      </c>
      <c r="CS233" s="123">
        <f t="shared" si="582"/>
        <v>0</v>
      </c>
      <c r="CT233" s="33">
        <f>IF(CZ232&lt;0.01,0,IF(Plus!$F$22=Plus!$AN$4,0,IF(Plus!$F$22=Plus!$AN$3,CZ232*Plus!$F$23/1000,CZ232*VLOOKUP(Plus!$G$21,Plus!$AP$2:'Plus'!$AQ$5,2,0))))</f>
        <v>0</v>
      </c>
      <c r="CU233" s="123">
        <f>IF(CZ232&lt;0.01,0,IF(Plus!$F$24=Plus!$AO$3,0,IF(OR(Plus!$F$10=Plus!$AK$7,Plus!$F$10=Plus!$AK$13),0,Plus!$G$13*Plus!$AR$2)))</f>
        <v>0</v>
      </c>
      <c r="CV233" s="123">
        <f>IF(CZ232&lt;0.01,0,IF(OR(Plus!$F$10=Plus!$AK$7,Plus!$F$10=Plus!$AK$13),0,Plus!$BD$2*1.16))</f>
        <v>0</v>
      </c>
      <c r="CW233" s="123">
        <f>IF(CZ232&lt;0.01,0,IF(Plus!$AS$2&gt;0,CQ233*Plus!$AS$3,0))</f>
        <v>0</v>
      </c>
      <c r="CX233" s="123">
        <f t="shared" si="508"/>
        <v>0</v>
      </c>
      <c r="CY233" s="123">
        <f>IF(Plus!$F$10=Plus!$AK$3,MIN(CZ232+CQ233+CT233+CU233+CV233-CX233,DK233),0)</f>
        <v>0</v>
      </c>
      <c r="CZ233" s="297">
        <f t="shared" si="440"/>
        <v>0</v>
      </c>
      <c r="DA233" s="306">
        <f>Plus!O274</f>
        <v>0</v>
      </c>
      <c r="DB233" s="74"/>
      <c r="DC233" s="74"/>
      <c r="DD233" s="407">
        <f t="shared" si="509"/>
        <v>0</v>
      </c>
      <c r="DG233" s="90">
        <f t="shared" si="510"/>
        <v>5</v>
      </c>
      <c r="DH233" s="121">
        <f t="shared" si="561"/>
        <v>0</v>
      </c>
      <c r="DJ233" s="149">
        <f t="shared" si="562"/>
        <v>0</v>
      </c>
      <c r="DK233" s="2179">
        <f t="shared" ca="1" si="511"/>
        <v>0</v>
      </c>
      <c r="DN233" s="120">
        <f t="shared" si="563"/>
        <v>0</v>
      </c>
      <c r="DO233" s="110">
        <f t="shared" si="512"/>
        <v>0</v>
      </c>
      <c r="DP233" s="110">
        <f t="shared" si="572"/>
        <v>0</v>
      </c>
      <c r="DQ233" s="109">
        <f t="shared" si="513"/>
        <v>0</v>
      </c>
      <c r="DR233" s="109">
        <f t="shared" si="514"/>
        <v>0</v>
      </c>
      <c r="DS233" s="113">
        <f t="shared" si="515"/>
        <v>0</v>
      </c>
      <c r="DU233" s="102">
        <f t="shared" si="516"/>
        <v>0</v>
      </c>
      <c r="DV233" s="211">
        <f t="shared" si="573"/>
        <v>209</v>
      </c>
      <c r="DW233" s="212">
        <f t="shared" si="517"/>
        <v>0</v>
      </c>
      <c r="DX233" s="212">
        <f t="shared" si="472"/>
        <v>0</v>
      </c>
      <c r="DY233" s="212">
        <f t="shared" si="564"/>
        <v>0</v>
      </c>
      <c r="DZ233" s="213">
        <f t="shared" si="473"/>
        <v>1000000</v>
      </c>
      <c r="ED233" s="182"/>
      <c r="EF233" s="308">
        <f t="shared" ca="1" si="474"/>
        <v>8</v>
      </c>
      <c r="EG233" s="309">
        <f t="shared" si="518"/>
        <v>0</v>
      </c>
      <c r="EH233" s="268">
        <f t="shared" si="475"/>
        <v>0</v>
      </c>
      <c r="EI233" s="33">
        <f t="shared" si="519"/>
        <v>0</v>
      </c>
      <c r="EJ233" s="33">
        <f t="shared" si="583"/>
        <v>0</v>
      </c>
      <c r="EK233" s="33">
        <f t="shared" si="445"/>
        <v>0</v>
      </c>
      <c r="EL233" s="33">
        <f>IF(ER232&lt;0.01,0,IF(Plus!$F$22=Plus!$AN$4,0,IF(Plus!$F$22=Plus!$AN$3,ER232*Plus!$F$23/1000,ER232*VLOOKUP(Plus!$G$21,Plus!$AP$2:'Plus'!$AQ$5,2,0))))</f>
        <v>0</v>
      </c>
      <c r="EM233" s="33">
        <f>IF(ER232&lt;0.01,0,IF(Plus!$F$24=Plus!$AO$3,0,IF(OR(Plus!$F$10=Plus!$AK$7,Plus!$F$10=Plus!$AK$13),0,Plus!$G$13*Plus!$AR$2)))</f>
        <v>0</v>
      </c>
      <c r="EN233" s="33">
        <f>IF(ER232&lt;0.01,0,IF(OR(Plus!$F$10=Plus!$AK$7,Plus!$F$10=Plus!$AK$13),0,Plus!$BD$2*1.16))</f>
        <v>0</v>
      </c>
      <c r="EO233" s="33">
        <f>IF(ER232&lt;0.01,0,IF(Plus!$AS$2&gt;0,EI233*Plus!$AS$3,0))</f>
        <v>0</v>
      </c>
      <c r="EP233" s="33">
        <f t="shared" si="520"/>
        <v>0</v>
      </c>
      <c r="EQ233" s="33">
        <f>IF(Plus!$F$10=Plus!$AK$3,MIN(ER232+EI233+EL233+EM233+EN233-EP233,FC233),0)</f>
        <v>0</v>
      </c>
      <c r="ER233" s="311">
        <f t="shared" si="577"/>
        <v>0</v>
      </c>
      <c r="ES233" s="340">
        <f>Plus!O274</f>
        <v>0</v>
      </c>
      <c r="ET233" s="74"/>
      <c r="EU233" s="74"/>
      <c r="EV233" s="416">
        <f t="shared" si="575"/>
        <v>0</v>
      </c>
      <c r="EY233" s="90">
        <f t="shared" si="521"/>
        <v>5</v>
      </c>
      <c r="EZ233" s="121">
        <f t="shared" si="565"/>
        <v>0</v>
      </c>
      <c r="FB233" s="149">
        <f t="shared" si="566"/>
        <v>0</v>
      </c>
      <c r="FC233" s="2179">
        <f t="shared" ca="1" si="522"/>
        <v>0</v>
      </c>
      <c r="FE233" s="120">
        <f t="shared" si="567"/>
        <v>0</v>
      </c>
      <c r="FF233" s="110">
        <f t="shared" si="523"/>
        <v>0</v>
      </c>
      <c r="FG233" s="110">
        <f t="shared" si="524"/>
        <v>0</v>
      </c>
      <c r="FH233" s="109">
        <f t="shared" si="525"/>
        <v>0</v>
      </c>
      <c r="FI233" s="109">
        <f t="shared" si="476"/>
        <v>0</v>
      </c>
      <c r="FJ233" s="113">
        <f t="shared" si="526"/>
        <v>0</v>
      </c>
      <c r="FL233" s="102">
        <f t="shared" si="527"/>
        <v>0</v>
      </c>
      <c r="FM233" s="211">
        <f t="shared" si="454"/>
        <v>209</v>
      </c>
      <c r="FN233" s="212">
        <f t="shared" si="528"/>
        <v>0</v>
      </c>
      <c r="FO233" s="212">
        <f t="shared" si="477"/>
        <v>0</v>
      </c>
      <c r="FP233" s="212">
        <f t="shared" si="584"/>
        <v>0</v>
      </c>
      <c r="FQ233" s="213">
        <f t="shared" si="478"/>
        <v>1000000</v>
      </c>
      <c r="FV233" s="359"/>
      <c r="FX233" s="308">
        <f t="shared" ca="1" si="479"/>
        <v>8</v>
      </c>
      <c r="FY233" s="309">
        <f t="shared" si="530"/>
        <v>0</v>
      </c>
      <c r="FZ233" s="268">
        <f t="shared" si="480"/>
        <v>0</v>
      </c>
      <c r="GA233" s="33">
        <f t="shared" si="531"/>
        <v>0</v>
      </c>
      <c r="GB233" s="33">
        <f t="shared" si="585"/>
        <v>0</v>
      </c>
      <c r="GC233" s="33">
        <f t="shared" si="586"/>
        <v>0</v>
      </c>
      <c r="GD233" s="33">
        <f>IF(GJ232&lt;0.01,0,IF(Plus!$F$22=Plus!$AN$4,0,IF(Plus!$F$22=Plus!$AN$3,GJ232*Plus!$F$23/1000,GJ232*VLOOKUP(Plus!$G$21,Plus!$AP$2:$AQ$5,2,0))))</f>
        <v>0</v>
      </c>
      <c r="GE233" s="33">
        <f>IF(GJ232&lt;0.01,0,IF(Plus!$F$24=Plus!$AO$3,0,IF(OR(Plus!$F$10=Plus!$AK$7,Plus!$F$10=Plus!$AK$13,Plus!$F$10=Plus!$AK$14),0,IF(OR(Plus!$F$10=Plus!$AK$10,Plus!$F$10=Plus!$AK$11),Plus!$G$13*Adm!$W$7,Plus!$G$13*Adm!$X$4))))</f>
        <v>0</v>
      </c>
      <c r="GF233" s="33">
        <f>IF(GJ232&lt;0.01,0,IF(OR(Plus!$F$10=Plus!$AK$7,Plus!$F$10=Plus!$AK$13),0,Plus!$BD$2*1.16))</f>
        <v>0</v>
      </c>
      <c r="GG233" s="33">
        <f>IF(GJ232&lt;0.01,0,IF(Plus!$AS$2&gt;0,GA233*Plus!$AS$3,0))</f>
        <v>0</v>
      </c>
      <c r="GH233" s="33">
        <f t="shared" si="532"/>
        <v>0</v>
      </c>
      <c r="GI233" s="33">
        <f>IF(Plus!$F$10=Plus!$AK$3,MIN(GJ232+GA233+GD233+GE233+GF233-GH233,GU233),0)</f>
        <v>0</v>
      </c>
      <c r="GJ233" s="311">
        <f t="shared" si="578"/>
        <v>0</v>
      </c>
      <c r="GK233" s="340">
        <f>Plus!O274</f>
        <v>0</v>
      </c>
      <c r="GL233" s="74"/>
      <c r="GM233" s="74"/>
      <c r="GN233" s="419">
        <f t="shared" si="576"/>
        <v>0</v>
      </c>
      <c r="GQ233" s="90">
        <f t="shared" si="533"/>
        <v>5</v>
      </c>
      <c r="GR233" s="121">
        <f t="shared" si="568"/>
        <v>0</v>
      </c>
      <c r="GT233" s="149">
        <f t="shared" si="569"/>
        <v>0</v>
      </c>
      <c r="GU233" s="2179">
        <f t="shared" ca="1" si="534"/>
        <v>0</v>
      </c>
      <c r="GW233" s="120">
        <f t="shared" si="570"/>
        <v>0</v>
      </c>
      <c r="GX233" s="110">
        <f t="shared" si="535"/>
        <v>0</v>
      </c>
      <c r="GY233" s="110">
        <f t="shared" si="536"/>
        <v>0</v>
      </c>
      <c r="GZ233" s="109">
        <f t="shared" si="537"/>
        <v>0</v>
      </c>
      <c r="HA233" s="109">
        <f t="shared" si="481"/>
        <v>0</v>
      </c>
      <c r="HB233" s="113">
        <f t="shared" si="538"/>
        <v>0</v>
      </c>
      <c r="HD233" s="102">
        <f t="shared" si="539"/>
        <v>0</v>
      </c>
      <c r="HE233" s="211">
        <f t="shared" si="455"/>
        <v>209</v>
      </c>
      <c r="HF233" s="212">
        <f t="shared" si="540"/>
        <v>0</v>
      </c>
      <c r="HG233" s="212">
        <f t="shared" si="482"/>
        <v>0</v>
      </c>
      <c r="HH233" s="212">
        <f t="shared" si="587"/>
        <v>0</v>
      </c>
      <c r="HI233" s="213">
        <f t="shared" si="483"/>
        <v>1000000</v>
      </c>
      <c r="HL233" s="182"/>
      <c r="HM233" s="26">
        <f t="shared" ca="1" si="484"/>
        <v>8</v>
      </c>
      <c r="HO233" s="268">
        <f t="shared" si="485"/>
        <v>0</v>
      </c>
      <c r="HP233" s="151">
        <f t="shared" si="448"/>
        <v>0</v>
      </c>
      <c r="HQ233" s="123">
        <f t="shared" si="542"/>
        <v>0</v>
      </c>
      <c r="HR233" s="123">
        <f t="shared" si="543"/>
        <v>0</v>
      </c>
      <c r="HS233" s="123">
        <f t="shared" si="544"/>
        <v>0</v>
      </c>
      <c r="HT233" s="123">
        <f>IF(HY232&lt;0.01,0,IF(Adm!$GS$4=Adm!$GS$8,HY232*$HY$15,IF(Adm!$GS$12=Adm!$GS$13,0,HY232*Adm!$GV$4)))</f>
        <v>0</v>
      </c>
      <c r="HU233" s="123">
        <f>IF(HY232&lt;0.01,0,IF(Adm!$GS$5=Adm!$GS$8,Cal!$BO$108*$HY$16/1.16,IF(Adm!$GS$12=Adm!$GS$13,0,Cal!$BO$108*Adm!$GW$4/1.16)))</f>
        <v>0</v>
      </c>
      <c r="HV233" s="123">
        <f t="shared" si="545"/>
        <v>0</v>
      </c>
      <c r="HW233" s="123">
        <f t="shared" si="486"/>
        <v>0</v>
      </c>
      <c r="HX233" s="123">
        <f>IF(Adm!$GH$6="si",MIN(HY232+HQ233+HT233+HU233+HV233-HW233,IH233),0)</f>
        <v>0</v>
      </c>
      <c r="HY233" s="297">
        <f t="shared" si="546"/>
        <v>0</v>
      </c>
      <c r="HZ233" s="74"/>
      <c r="IA233" s="407">
        <f t="shared" si="547"/>
        <v>0</v>
      </c>
      <c r="IC233" s="90">
        <f t="shared" si="548"/>
        <v>5</v>
      </c>
      <c r="ID233" s="124">
        <f>IF(IC233=1,Cal!$BO$127,0)</f>
        <v>0</v>
      </c>
      <c r="IE233" s="178">
        <f>IF(IC233=1,Adm!$HI$4,0)</f>
        <v>0</v>
      </c>
      <c r="IG233" s="70">
        <f t="shared" si="571"/>
        <v>0</v>
      </c>
      <c r="IH233" s="2178">
        <f t="shared" ca="1" si="549"/>
        <v>0</v>
      </c>
      <c r="IK233" s="217"/>
      <c r="IL233" s="26">
        <f t="shared" ca="1" si="487"/>
        <v>8</v>
      </c>
      <c r="IN233" s="268">
        <f t="shared" si="488"/>
        <v>0</v>
      </c>
      <c r="IO233" s="151">
        <f t="shared" si="449"/>
        <v>0</v>
      </c>
      <c r="IP233" s="123">
        <f t="shared" si="550"/>
        <v>0</v>
      </c>
      <c r="IQ233" s="123">
        <f t="shared" si="551"/>
        <v>0</v>
      </c>
      <c r="IR233" s="123">
        <f t="shared" si="552"/>
        <v>0</v>
      </c>
      <c r="IS233" s="123">
        <f>IF(IX232&lt;0.01,0,IF(Adm!$GS$4=Adm!$GS$8,IX232*$IX$15,IF(Adm!$GS$12=Adm!$GS$13,0,IX232*Adm!$GV$4)))</f>
        <v>0</v>
      </c>
      <c r="IT233" s="123"/>
      <c r="IU233" s="123">
        <f t="shared" si="553"/>
        <v>0</v>
      </c>
      <c r="IV233" s="123">
        <f t="shared" si="554"/>
        <v>0</v>
      </c>
      <c r="IW233" s="123"/>
      <c r="IX233" s="297">
        <f t="shared" si="555"/>
        <v>0</v>
      </c>
      <c r="IY233" s="74"/>
      <c r="IZ233" s="416">
        <f t="shared" si="556"/>
        <v>0</v>
      </c>
      <c r="JB233" s="90">
        <f t="shared" si="557"/>
        <v>5</v>
      </c>
      <c r="JC233" s="124">
        <f>IF(JB233=1,Cal!$BP$127,0)</f>
        <v>0</v>
      </c>
      <c r="JD233" s="178">
        <f>IF(JB233=1,Adm!$HI$4,0)</f>
        <v>0</v>
      </c>
    </row>
    <row r="234" spans="1:264">
      <c r="A234" s="26">
        <f t="shared" ca="1" si="456"/>
        <v>9</v>
      </c>
      <c r="C234" s="33">
        <f t="shared" si="457"/>
        <v>0</v>
      </c>
      <c r="D234" s="123">
        <f t="shared" si="489"/>
        <v>0</v>
      </c>
      <c r="E234" s="123">
        <f t="shared" si="579"/>
        <v>0</v>
      </c>
      <c r="F234" s="123">
        <f t="shared" si="443"/>
        <v>0</v>
      </c>
      <c r="G234" s="123">
        <f>IF(L233&lt;0.01,0,IF(Adm!$S$4=Adm!$S$8,L233*$L$15,L233*Adm!$V$4))</f>
        <v>0</v>
      </c>
      <c r="H234" s="123">
        <f>IF(L233&lt;0.01,0,IF(Adm!$S$5=Adm!$S$8,Adm!$AA$11*$L$16/1.16,IF(Adm!$B$4=Adm!$A$119,0,Adm!$AA$11*Adm!$X$4/1.16)))</f>
        <v>0</v>
      </c>
      <c r="I234" s="123">
        <f>IF(L233&lt;0.01,0,Cal!$AB$126/1.16)</f>
        <v>0</v>
      </c>
      <c r="J234" s="123">
        <f t="shared" si="458"/>
        <v>0</v>
      </c>
      <c r="K234" s="123">
        <f>IF(Adm!$G$4="si",MIN(L233+D234+G234+H234+I234-J234,V234),0)</f>
        <v>0</v>
      </c>
      <c r="L234" s="123">
        <f t="shared" si="490"/>
        <v>0</v>
      </c>
      <c r="M234" s="74"/>
      <c r="N234" s="74"/>
      <c r="O234" s="407">
        <f t="shared" si="491"/>
        <v>0</v>
      </c>
      <c r="R234" s="90">
        <f t="shared" si="492"/>
        <v>6</v>
      </c>
      <c r="S234" s="121">
        <f>IF(R234=1,Cal!$AB$127,0)</f>
        <v>0</v>
      </c>
      <c r="U234" s="70">
        <f t="shared" si="558"/>
        <v>0</v>
      </c>
      <c r="V234" s="2178">
        <f t="shared" ca="1" si="493"/>
        <v>0</v>
      </c>
      <c r="X234" s="398"/>
      <c r="Z234" s="268">
        <f t="shared" si="459"/>
        <v>0</v>
      </c>
      <c r="AA234" s="2176">
        <f t="shared" si="494"/>
        <v>0</v>
      </c>
      <c r="AB234" s="33">
        <f t="shared" si="495"/>
        <v>0</v>
      </c>
      <c r="AC234" s="33">
        <f t="shared" si="496"/>
        <v>0</v>
      </c>
      <c r="AD234" s="33">
        <f>IF(AI233&lt;0.01,0,IF(Adm!$S$4=Adm!$S$8,AI233*$AI$15,AI233*Adm!$V$4))</f>
        <v>0</v>
      </c>
      <c r="AE234" s="33"/>
      <c r="AF234" s="33"/>
      <c r="AG234" s="33">
        <f t="shared" si="460"/>
        <v>0</v>
      </c>
      <c r="AH234" s="33"/>
      <c r="AI234" s="401">
        <f t="shared" si="461"/>
        <v>0</v>
      </c>
      <c r="AK234" s="410">
        <f t="shared" si="462"/>
        <v>0</v>
      </c>
      <c r="AN234" s="90">
        <f t="shared" si="497"/>
        <v>6</v>
      </c>
      <c r="AO234" s="121">
        <f>IF(AN234=1,Cal!$AC$127,0)</f>
        <v>0</v>
      </c>
      <c r="AS234" s="200"/>
      <c r="AU234" s="268">
        <f t="shared" si="463"/>
        <v>0</v>
      </c>
      <c r="AV234" s="2177">
        <f t="shared" si="498"/>
        <v>0</v>
      </c>
      <c r="AW234" s="123">
        <f t="shared" si="464"/>
        <v>0</v>
      </c>
      <c r="AX234" s="123">
        <f t="shared" si="499"/>
        <v>0</v>
      </c>
      <c r="AY234" s="123">
        <f>IF(BC233&lt;0.01,0,IF(Adm!$S$4=Adm!$S$8,BC233*$BC$16,BC233*Adm!$V$4))</f>
        <v>0</v>
      </c>
      <c r="AZ234" s="123"/>
      <c r="BA234" s="123">
        <f>IF(BC233&lt;0.01,0,Adm!$Q$6)</f>
        <v>0</v>
      </c>
      <c r="BB234" s="123">
        <f t="shared" si="465"/>
        <v>0</v>
      </c>
      <c r="BC234" s="297">
        <f t="shared" si="500"/>
        <v>0</v>
      </c>
      <c r="BE234" s="425">
        <f t="shared" si="466"/>
        <v>0</v>
      </c>
      <c r="BH234" s="90">
        <f t="shared" si="501"/>
        <v>6</v>
      </c>
      <c r="BI234" s="121">
        <f>IF(BH234=1,Cal!$AD$127,0)</f>
        <v>0</v>
      </c>
      <c r="BM234" s="221"/>
      <c r="BO234" s="295">
        <f t="shared" ca="1" si="467"/>
        <v>9</v>
      </c>
      <c r="BP234" s="268">
        <f t="shared" si="468"/>
        <v>0</v>
      </c>
      <c r="BQ234" s="123">
        <f t="shared" si="502"/>
        <v>0</v>
      </c>
      <c r="BR234" s="123">
        <f t="shared" si="580"/>
        <v>0</v>
      </c>
      <c r="BS234" s="123">
        <f t="shared" si="444"/>
        <v>0</v>
      </c>
      <c r="BT234" s="123">
        <f>IF(BZ233&lt;0.01,0,IF(Plus!$F$22=Plus!$AN$4,BZ233*$BZ$15,IF(Plus!$F$22=Plus!$AN$3,BZ233*Plus!$F$23/1000,BZ233*VLOOKUP(Plus!$G$21,Plus!$AP$2:'Plus'!$AQ$5,2,0))))</f>
        <v>0</v>
      </c>
      <c r="BU234" s="123">
        <f>IF(BZ233&lt;0.01,0,IF(Plus!$F$24=Plus!$AO$3,Plus!$G$13*Plus!$AR$2/1.16,IF(Plus!$F$10=Plus!$AK$7,0,Plus!$G$13*Plus!$AR$2/1.16)))</f>
        <v>0</v>
      </c>
      <c r="BV234" s="123">
        <f>IF(BZ233&lt;0.01,0,Plus!$BD$2)</f>
        <v>0</v>
      </c>
      <c r="BW234" s="123"/>
      <c r="BX234" s="123">
        <f t="shared" si="469"/>
        <v>0</v>
      </c>
      <c r="BY234" s="123">
        <f>IF(Plus!$F$10=Plus!$AK$3,MIN(BZ233+BQ234+BT234+BU234+BV234-BX234,CJ234),0)</f>
        <v>0</v>
      </c>
      <c r="BZ234" s="297">
        <f t="shared" si="574"/>
        <v>0</v>
      </c>
      <c r="CA234" s="74"/>
      <c r="CB234" s="74"/>
      <c r="CC234" s="413">
        <f t="shared" si="503"/>
        <v>0</v>
      </c>
      <c r="CF234" s="90">
        <f t="shared" si="504"/>
        <v>6</v>
      </c>
      <c r="CG234" s="121">
        <f t="shared" si="559"/>
        <v>0</v>
      </c>
      <c r="CI234" s="70">
        <f t="shared" si="560"/>
        <v>0</v>
      </c>
      <c r="CJ234" s="2178">
        <f t="shared" ca="1" si="505"/>
        <v>0</v>
      </c>
      <c r="CL234" s="161"/>
      <c r="CN234" s="308">
        <f t="shared" ca="1" si="470"/>
        <v>9</v>
      </c>
      <c r="CO234" s="309">
        <f t="shared" si="506"/>
        <v>0</v>
      </c>
      <c r="CP234" s="268">
        <f t="shared" si="471"/>
        <v>0</v>
      </c>
      <c r="CQ234" s="123">
        <f t="shared" si="507"/>
        <v>0</v>
      </c>
      <c r="CR234" s="123">
        <f t="shared" si="581"/>
        <v>0</v>
      </c>
      <c r="CS234" s="123">
        <f t="shared" si="582"/>
        <v>0</v>
      </c>
      <c r="CT234" s="33">
        <f>IF(CZ233&lt;0.01,0,IF(Plus!$F$22=Plus!$AN$4,0,IF(Plus!$F$22=Plus!$AN$3,CZ233*Plus!$F$23/1000,CZ233*VLOOKUP(Plus!$G$21,Plus!$AP$2:'Plus'!$AQ$5,2,0))))</f>
        <v>0</v>
      </c>
      <c r="CU234" s="123">
        <f>IF(CZ233&lt;0.01,0,IF(Plus!$F$24=Plus!$AO$3,0,IF(OR(Plus!$F$10=Plus!$AK$7,Plus!$F$10=Plus!$AK$13),0,Plus!$G$13*Plus!$AR$2)))</f>
        <v>0</v>
      </c>
      <c r="CV234" s="123">
        <f>IF(CZ233&lt;0.01,0,IF(OR(Plus!$F$10=Plus!$AK$7,Plus!$F$10=Plus!$AK$13),0,Plus!$BD$2*1.16))</f>
        <v>0</v>
      </c>
      <c r="CW234" s="123">
        <f>IF(CZ233&lt;0.01,0,IF(Plus!$AS$2&gt;0,CQ234*Plus!$AS$3,0))</f>
        <v>0</v>
      </c>
      <c r="CX234" s="123">
        <f t="shared" si="508"/>
        <v>0</v>
      </c>
      <c r="CY234" s="123">
        <f>IF(Plus!$F$10=Plus!$AK$3,MIN(CZ233+CQ234+CT234+CU234+CV234-CX234,DK234),0)</f>
        <v>0</v>
      </c>
      <c r="CZ234" s="297">
        <f t="shared" ref="CZ234:CZ264" si="588">IF(CZ233&lt;0.01,0,CZ233-CR234-CY234-DA234)</f>
        <v>0</v>
      </c>
      <c r="DA234" s="306">
        <f>Plus!O275</f>
        <v>0</v>
      </c>
      <c r="DB234" s="74"/>
      <c r="DC234" s="74"/>
      <c r="DD234" s="407">
        <f t="shared" si="509"/>
        <v>0</v>
      </c>
      <c r="DG234" s="90">
        <f t="shared" si="510"/>
        <v>6</v>
      </c>
      <c r="DH234" s="121">
        <f t="shared" si="561"/>
        <v>0</v>
      </c>
      <c r="DJ234" s="149">
        <f t="shared" si="562"/>
        <v>0</v>
      </c>
      <c r="DK234" s="2179">
        <f t="shared" ca="1" si="511"/>
        <v>0</v>
      </c>
      <c r="DN234" s="120">
        <f t="shared" si="563"/>
        <v>0</v>
      </c>
      <c r="DO234" s="110">
        <f t="shared" si="512"/>
        <v>0</v>
      </c>
      <c r="DP234" s="110">
        <f t="shared" si="572"/>
        <v>0</v>
      </c>
      <c r="DQ234" s="109">
        <f t="shared" si="513"/>
        <v>0</v>
      </c>
      <c r="DR234" s="109">
        <f t="shared" si="514"/>
        <v>0</v>
      </c>
      <c r="DS234" s="113">
        <f t="shared" si="515"/>
        <v>0</v>
      </c>
      <c r="DU234" s="102">
        <f t="shared" si="516"/>
        <v>0</v>
      </c>
      <c r="DV234" s="211">
        <f t="shared" si="573"/>
        <v>210</v>
      </c>
      <c r="DW234" s="212">
        <f t="shared" si="517"/>
        <v>0</v>
      </c>
      <c r="DX234" s="212">
        <f t="shared" si="472"/>
        <v>0</v>
      </c>
      <c r="DY234" s="212">
        <f t="shared" si="564"/>
        <v>0</v>
      </c>
      <c r="DZ234" s="213">
        <f t="shared" si="473"/>
        <v>1000000</v>
      </c>
      <c r="ED234" s="182"/>
      <c r="EF234" s="308">
        <f t="shared" ca="1" si="474"/>
        <v>9</v>
      </c>
      <c r="EG234" s="309">
        <f t="shared" si="518"/>
        <v>0</v>
      </c>
      <c r="EH234" s="268">
        <f t="shared" si="475"/>
        <v>0</v>
      </c>
      <c r="EI234" s="33">
        <f t="shared" si="519"/>
        <v>0</v>
      </c>
      <c r="EJ234" s="33">
        <f t="shared" si="583"/>
        <v>0</v>
      </c>
      <c r="EK234" s="33">
        <f t="shared" si="445"/>
        <v>0</v>
      </c>
      <c r="EL234" s="33">
        <f>IF(ER233&lt;0.01,0,IF(Plus!$F$22=Plus!$AN$4,0,IF(Plus!$F$22=Plus!$AN$3,ER233*Plus!$F$23/1000,ER233*VLOOKUP(Plus!$G$21,Plus!$AP$2:'Plus'!$AQ$5,2,0))))</f>
        <v>0</v>
      </c>
      <c r="EM234" s="33">
        <f>IF(ER233&lt;0.01,0,IF(Plus!$F$24=Plus!$AO$3,0,IF(OR(Plus!$F$10=Plus!$AK$7,Plus!$F$10=Plus!$AK$13),0,Plus!$G$13*Plus!$AR$2)))</f>
        <v>0</v>
      </c>
      <c r="EN234" s="33">
        <f>IF(ER233&lt;0.01,0,IF(OR(Plus!$F$10=Plus!$AK$7,Plus!$F$10=Plus!$AK$13),0,Plus!$BD$2*1.16))</f>
        <v>0</v>
      </c>
      <c r="EO234" s="33">
        <f>IF(ER233&lt;0.01,0,IF(Plus!$AS$2&gt;0,EI234*Plus!$AS$3,0))</f>
        <v>0</v>
      </c>
      <c r="EP234" s="33">
        <f t="shared" si="520"/>
        <v>0</v>
      </c>
      <c r="EQ234" s="33">
        <f>IF(Plus!$F$10=Plus!$AK$3,MIN(ER233+EI234+EL234+EM234+EN234-EP234,FC234),0)</f>
        <v>0</v>
      </c>
      <c r="ER234" s="311">
        <f t="shared" si="577"/>
        <v>0</v>
      </c>
      <c r="ES234" s="340">
        <f>Plus!O275</f>
        <v>0</v>
      </c>
      <c r="ET234" s="74"/>
      <c r="EU234" s="74"/>
      <c r="EV234" s="416">
        <f t="shared" si="575"/>
        <v>0</v>
      </c>
      <c r="EY234" s="90">
        <f t="shared" si="521"/>
        <v>6</v>
      </c>
      <c r="EZ234" s="121">
        <f t="shared" si="565"/>
        <v>0</v>
      </c>
      <c r="FB234" s="149">
        <f t="shared" si="566"/>
        <v>0</v>
      </c>
      <c r="FC234" s="2179">
        <f t="shared" ca="1" si="522"/>
        <v>0</v>
      </c>
      <c r="FE234" s="120">
        <f t="shared" si="567"/>
        <v>0</v>
      </c>
      <c r="FF234" s="110">
        <f t="shared" si="523"/>
        <v>0</v>
      </c>
      <c r="FG234" s="110">
        <f t="shared" si="524"/>
        <v>0</v>
      </c>
      <c r="FH234" s="109">
        <f t="shared" si="525"/>
        <v>0</v>
      </c>
      <c r="FI234" s="109">
        <f t="shared" si="476"/>
        <v>0</v>
      </c>
      <c r="FJ234" s="113">
        <f t="shared" si="526"/>
        <v>0</v>
      </c>
      <c r="FL234" s="102">
        <f t="shared" si="527"/>
        <v>0</v>
      </c>
      <c r="FM234" s="211">
        <f t="shared" si="454"/>
        <v>210</v>
      </c>
      <c r="FN234" s="212">
        <f t="shared" si="528"/>
        <v>0</v>
      </c>
      <c r="FO234" s="212">
        <f t="shared" si="477"/>
        <v>0</v>
      </c>
      <c r="FP234" s="212">
        <f t="shared" si="584"/>
        <v>0</v>
      </c>
      <c r="FQ234" s="213">
        <f t="shared" si="478"/>
        <v>1000000</v>
      </c>
      <c r="FV234" s="359"/>
      <c r="FX234" s="308">
        <f t="shared" ca="1" si="479"/>
        <v>9</v>
      </c>
      <c r="FY234" s="309">
        <f t="shared" si="530"/>
        <v>0</v>
      </c>
      <c r="FZ234" s="268">
        <f t="shared" si="480"/>
        <v>0</v>
      </c>
      <c r="GA234" s="33">
        <f t="shared" si="531"/>
        <v>0</v>
      </c>
      <c r="GB234" s="33">
        <f t="shared" si="585"/>
        <v>0</v>
      </c>
      <c r="GC234" s="33">
        <f t="shared" si="586"/>
        <v>0</v>
      </c>
      <c r="GD234" s="33">
        <f>IF(GJ233&lt;0.01,0,IF(Plus!$F$22=Plus!$AN$4,0,IF(Plus!$F$22=Plus!$AN$3,GJ233*Plus!$F$23/1000,GJ233*VLOOKUP(Plus!$G$21,Plus!$AP$2:$AQ$5,2,0))))</f>
        <v>0</v>
      </c>
      <c r="GE234" s="33">
        <f>IF(GJ233&lt;0.01,0,IF(Plus!$F$24=Plus!$AO$3,0,IF(OR(Plus!$F$10=Plus!$AK$7,Plus!$F$10=Plus!$AK$13,Plus!$F$10=Plus!$AK$14),0,IF(OR(Plus!$F$10=Plus!$AK$10,Plus!$F$10=Plus!$AK$11),Plus!$G$13*Adm!$W$7,Plus!$G$13*Adm!$X$4))))</f>
        <v>0</v>
      </c>
      <c r="GF234" s="33">
        <f>IF(GJ233&lt;0.01,0,IF(OR(Plus!$F$10=Plus!$AK$7,Plus!$F$10=Plus!$AK$13),0,Plus!$BD$2*1.16))</f>
        <v>0</v>
      </c>
      <c r="GG234" s="33">
        <f>IF(GJ233&lt;0.01,0,IF(Plus!$AS$2&gt;0,GA234*Plus!$AS$3,0))</f>
        <v>0</v>
      </c>
      <c r="GH234" s="33">
        <f t="shared" si="532"/>
        <v>0</v>
      </c>
      <c r="GI234" s="33">
        <f>IF(Plus!$F$10=Plus!$AK$3,MIN(GJ233+GA234+GD234+GE234+GF234-GH234,GU234),0)</f>
        <v>0</v>
      </c>
      <c r="GJ234" s="311">
        <f t="shared" si="578"/>
        <v>0</v>
      </c>
      <c r="GK234" s="340">
        <f>Plus!O275</f>
        <v>0</v>
      </c>
      <c r="GL234" s="74"/>
      <c r="GM234" s="74"/>
      <c r="GN234" s="419">
        <f t="shared" si="576"/>
        <v>0</v>
      </c>
      <c r="GQ234" s="90">
        <f t="shared" si="533"/>
        <v>6</v>
      </c>
      <c r="GR234" s="121">
        <f t="shared" si="568"/>
        <v>0</v>
      </c>
      <c r="GT234" s="149">
        <f t="shared" si="569"/>
        <v>0</v>
      </c>
      <c r="GU234" s="2179">
        <f t="shared" ca="1" si="534"/>
        <v>0</v>
      </c>
      <c r="GW234" s="120">
        <f t="shared" si="570"/>
        <v>0</v>
      </c>
      <c r="GX234" s="110">
        <f t="shared" si="535"/>
        <v>0</v>
      </c>
      <c r="GY234" s="110">
        <f t="shared" si="536"/>
        <v>0</v>
      </c>
      <c r="GZ234" s="109">
        <f t="shared" si="537"/>
        <v>0</v>
      </c>
      <c r="HA234" s="109">
        <f t="shared" si="481"/>
        <v>0</v>
      </c>
      <c r="HB234" s="113">
        <f t="shared" si="538"/>
        <v>0</v>
      </c>
      <c r="HD234" s="102">
        <f t="shared" si="539"/>
        <v>0</v>
      </c>
      <c r="HE234" s="211">
        <f t="shared" si="455"/>
        <v>210</v>
      </c>
      <c r="HF234" s="212">
        <f t="shared" si="540"/>
        <v>0</v>
      </c>
      <c r="HG234" s="212">
        <f t="shared" si="482"/>
        <v>0</v>
      </c>
      <c r="HH234" s="212">
        <f t="shared" si="587"/>
        <v>0</v>
      </c>
      <c r="HI234" s="213">
        <f t="shared" si="483"/>
        <v>1000000</v>
      </c>
      <c r="HL234" s="182"/>
      <c r="HM234" s="26">
        <f t="shared" ca="1" si="484"/>
        <v>9</v>
      </c>
      <c r="HO234" s="268">
        <f t="shared" si="485"/>
        <v>0</v>
      </c>
      <c r="HP234" s="151">
        <f t="shared" si="448"/>
        <v>0</v>
      </c>
      <c r="HQ234" s="123">
        <f t="shared" si="542"/>
        <v>0</v>
      </c>
      <c r="HR234" s="123">
        <f t="shared" si="543"/>
        <v>0</v>
      </c>
      <c r="HS234" s="123">
        <f t="shared" si="544"/>
        <v>0</v>
      </c>
      <c r="HT234" s="123">
        <f>IF(HY233&lt;0.01,0,IF(Adm!$GS$4=Adm!$GS$8,HY233*$HY$15,IF(Adm!$GS$12=Adm!$GS$13,0,HY233*Adm!$GV$4)))</f>
        <v>0</v>
      </c>
      <c r="HU234" s="123">
        <f>IF(HY233&lt;0.01,0,IF(Adm!$GS$5=Adm!$GS$8,Cal!$BO$108*$HY$16/1.16,IF(Adm!$GS$12=Adm!$GS$13,0,Cal!$BO$108*Adm!$GW$4/1.16)))</f>
        <v>0</v>
      </c>
      <c r="HV234" s="123">
        <f t="shared" si="545"/>
        <v>0</v>
      </c>
      <c r="HW234" s="123">
        <f t="shared" si="486"/>
        <v>0</v>
      </c>
      <c r="HX234" s="123">
        <f>IF(Adm!$GH$6="si",MIN(HY233+HQ234+HT234+HU234+HV234-HW234,IH234),0)</f>
        <v>0</v>
      </c>
      <c r="HY234" s="297">
        <f t="shared" si="546"/>
        <v>0</v>
      </c>
      <c r="HZ234" s="74"/>
      <c r="IA234" s="407">
        <f t="shared" si="547"/>
        <v>0</v>
      </c>
      <c r="IC234" s="90">
        <f t="shared" si="548"/>
        <v>6</v>
      </c>
      <c r="ID234" s="124">
        <f>IF(IC234=1,Cal!$BO$127,0)</f>
        <v>0</v>
      </c>
      <c r="IE234" s="178">
        <f>IF(IC234=1,Adm!$HI$4,0)</f>
        <v>0</v>
      </c>
      <c r="IG234" s="70">
        <f t="shared" si="571"/>
        <v>0</v>
      </c>
      <c r="IH234" s="2178">
        <f t="shared" ca="1" si="549"/>
        <v>0</v>
      </c>
      <c r="IK234" s="217"/>
      <c r="IL234" s="26">
        <f t="shared" ca="1" si="487"/>
        <v>9</v>
      </c>
      <c r="IN234" s="268">
        <f t="shared" si="488"/>
        <v>0</v>
      </c>
      <c r="IO234" s="151">
        <f t="shared" si="449"/>
        <v>0</v>
      </c>
      <c r="IP234" s="123">
        <f t="shared" si="550"/>
        <v>0</v>
      </c>
      <c r="IQ234" s="123">
        <f t="shared" si="551"/>
        <v>0</v>
      </c>
      <c r="IR234" s="123">
        <f t="shared" si="552"/>
        <v>0</v>
      </c>
      <c r="IS234" s="123">
        <f>IF(IX233&lt;0.01,0,IF(Adm!$GS$4=Adm!$GS$8,IX233*$IX$15,IF(Adm!$GS$12=Adm!$GS$13,0,IX233*Adm!$GV$4)))</f>
        <v>0</v>
      </c>
      <c r="IT234" s="123"/>
      <c r="IU234" s="123">
        <f t="shared" si="553"/>
        <v>0</v>
      </c>
      <c r="IV234" s="123">
        <f t="shared" si="554"/>
        <v>0</v>
      </c>
      <c r="IW234" s="123"/>
      <c r="IX234" s="297">
        <f t="shared" si="555"/>
        <v>0</v>
      </c>
      <c r="IY234" s="74"/>
      <c r="IZ234" s="416">
        <f t="shared" si="556"/>
        <v>0</v>
      </c>
      <c r="JB234" s="90">
        <f t="shared" si="557"/>
        <v>6</v>
      </c>
      <c r="JC234" s="124">
        <f>IF(JB234=1,Cal!$BP$127,0)</f>
        <v>0</v>
      </c>
      <c r="JD234" s="178">
        <f>IF(JB234=1,Adm!$HI$4,0)</f>
        <v>0</v>
      </c>
    </row>
    <row r="235" spans="1:264">
      <c r="A235" s="26">
        <f t="shared" ca="1" si="456"/>
        <v>10</v>
      </c>
      <c r="C235" s="33">
        <f t="shared" si="457"/>
        <v>0</v>
      </c>
      <c r="D235" s="123">
        <f t="shared" si="489"/>
        <v>0</v>
      </c>
      <c r="E235" s="123">
        <f t="shared" si="579"/>
        <v>0</v>
      </c>
      <c r="F235" s="123">
        <f t="shared" si="443"/>
        <v>0</v>
      </c>
      <c r="G235" s="123">
        <f>IF(L234&lt;0.01,0,IF(Adm!$S$4=Adm!$S$8,L234*$L$15,L234*Adm!$V$4))</f>
        <v>0</v>
      </c>
      <c r="H235" s="123">
        <f>IF(L234&lt;0.01,0,IF(Adm!$S$5=Adm!$S$8,Adm!$AA$11*$L$16/1.16,IF(Adm!$B$4=Adm!$A$119,0,Adm!$AA$11*Adm!$X$4/1.16)))</f>
        <v>0</v>
      </c>
      <c r="I235" s="123">
        <f>IF(L234&lt;0.01,0,Cal!$AB$126/1.16)</f>
        <v>0</v>
      </c>
      <c r="J235" s="123">
        <f t="shared" si="458"/>
        <v>0</v>
      </c>
      <c r="K235" s="123">
        <f>IF(Adm!$G$4="si",MIN(L234+D235+G235+H235+I235-J235,V235),0)</f>
        <v>0</v>
      </c>
      <c r="L235" s="123">
        <f t="shared" si="490"/>
        <v>0</v>
      </c>
      <c r="M235" s="74"/>
      <c r="N235" s="74"/>
      <c r="O235" s="407">
        <f t="shared" si="491"/>
        <v>0</v>
      </c>
      <c r="R235" s="90">
        <f t="shared" si="492"/>
        <v>7</v>
      </c>
      <c r="S235" s="121">
        <f>IF(R235=1,Cal!$AB$127,0)</f>
        <v>0</v>
      </c>
      <c r="U235" s="70">
        <f t="shared" si="558"/>
        <v>0</v>
      </c>
      <c r="V235" s="2178">
        <f t="shared" ca="1" si="493"/>
        <v>0</v>
      </c>
      <c r="X235" s="398"/>
      <c r="Z235" s="268">
        <f t="shared" si="459"/>
        <v>0</v>
      </c>
      <c r="AA235" s="2176">
        <f t="shared" si="494"/>
        <v>0</v>
      </c>
      <c r="AB235" s="33">
        <f t="shared" si="495"/>
        <v>0</v>
      </c>
      <c r="AC235" s="33">
        <f t="shared" si="496"/>
        <v>0</v>
      </c>
      <c r="AD235" s="33">
        <f>IF(AI234&lt;0.01,0,IF(Adm!$S$4=Adm!$S$8,AI234*$AI$15,AI234*Adm!$V$4))</f>
        <v>0</v>
      </c>
      <c r="AE235" s="33"/>
      <c r="AF235" s="33"/>
      <c r="AG235" s="33">
        <f t="shared" si="460"/>
        <v>0</v>
      </c>
      <c r="AH235" s="33"/>
      <c r="AI235" s="401">
        <f t="shared" si="461"/>
        <v>0</v>
      </c>
      <c r="AK235" s="410">
        <f t="shared" si="462"/>
        <v>0</v>
      </c>
      <c r="AN235" s="90">
        <f t="shared" si="497"/>
        <v>7</v>
      </c>
      <c r="AO235" s="121">
        <f>IF(AN235=1,Cal!$AC$127,0)</f>
        <v>0</v>
      </c>
      <c r="AS235" s="200"/>
      <c r="AU235" s="268">
        <f t="shared" si="463"/>
        <v>0</v>
      </c>
      <c r="AV235" s="2177">
        <f t="shared" si="498"/>
        <v>0</v>
      </c>
      <c r="AW235" s="123">
        <f t="shared" si="464"/>
        <v>0</v>
      </c>
      <c r="AX235" s="123">
        <f t="shared" si="499"/>
        <v>0</v>
      </c>
      <c r="AY235" s="123">
        <f>IF(BC234&lt;0.01,0,IF(Adm!$S$4=Adm!$S$8,BC234*$BC$16,BC234*Adm!$V$4))</f>
        <v>0</v>
      </c>
      <c r="AZ235" s="123"/>
      <c r="BA235" s="123">
        <f>IF(BC234&lt;0.01,0,Adm!$Q$6)</f>
        <v>0</v>
      </c>
      <c r="BB235" s="123">
        <f t="shared" si="465"/>
        <v>0</v>
      </c>
      <c r="BC235" s="297">
        <f t="shared" si="500"/>
        <v>0</v>
      </c>
      <c r="BE235" s="425">
        <f t="shared" si="466"/>
        <v>0</v>
      </c>
      <c r="BH235" s="90">
        <f t="shared" si="501"/>
        <v>7</v>
      </c>
      <c r="BI235" s="121">
        <f>IF(BH235=1,Cal!$AD$127,0)</f>
        <v>0</v>
      </c>
      <c r="BM235" s="221"/>
      <c r="BO235" s="295">
        <f t="shared" ca="1" si="467"/>
        <v>10</v>
      </c>
      <c r="BP235" s="268">
        <f t="shared" si="468"/>
        <v>0</v>
      </c>
      <c r="BQ235" s="123">
        <f t="shared" si="502"/>
        <v>0</v>
      </c>
      <c r="BR235" s="123">
        <f t="shared" si="580"/>
        <v>0</v>
      </c>
      <c r="BS235" s="123">
        <f t="shared" si="444"/>
        <v>0</v>
      </c>
      <c r="BT235" s="123">
        <f>IF(BZ234&lt;0.01,0,IF(Plus!$F$22=Plus!$AN$4,BZ234*$BZ$15,IF(Plus!$F$22=Plus!$AN$3,BZ234*Plus!$F$23/1000,BZ234*VLOOKUP(Plus!$G$21,Plus!$AP$2:'Plus'!$AQ$5,2,0))))</f>
        <v>0</v>
      </c>
      <c r="BU235" s="123">
        <f>IF(BZ234&lt;0.01,0,IF(Plus!$F$24=Plus!$AO$3,Plus!$G$13*Plus!$AR$2/1.16,IF(Plus!$F$10=Plus!$AK$7,0,Plus!$G$13*Plus!$AR$2/1.16)))</f>
        <v>0</v>
      </c>
      <c r="BV235" s="123">
        <f>IF(BZ234&lt;0.01,0,Plus!$BD$2)</f>
        <v>0</v>
      </c>
      <c r="BW235" s="123"/>
      <c r="BX235" s="123">
        <f t="shared" si="469"/>
        <v>0</v>
      </c>
      <c r="BY235" s="123">
        <f>IF(Plus!$F$10=Plus!$AK$3,MIN(BZ234+BQ235+BT235+BU235+BV235-BX235,CJ235),0)</f>
        <v>0</v>
      </c>
      <c r="BZ235" s="297">
        <f t="shared" si="574"/>
        <v>0</v>
      </c>
      <c r="CA235" s="74"/>
      <c r="CB235" s="74"/>
      <c r="CC235" s="413">
        <f t="shared" si="503"/>
        <v>0</v>
      </c>
      <c r="CF235" s="90">
        <f t="shared" si="504"/>
        <v>7</v>
      </c>
      <c r="CG235" s="121">
        <f t="shared" si="559"/>
        <v>0</v>
      </c>
      <c r="CI235" s="70">
        <f t="shared" si="560"/>
        <v>0</v>
      </c>
      <c r="CJ235" s="2178">
        <f t="shared" ca="1" si="505"/>
        <v>0</v>
      </c>
      <c r="CL235" s="161"/>
      <c r="CN235" s="308">
        <f t="shared" ca="1" si="470"/>
        <v>10</v>
      </c>
      <c r="CO235" s="309">
        <f t="shared" si="506"/>
        <v>0</v>
      </c>
      <c r="CP235" s="268">
        <f t="shared" si="471"/>
        <v>0</v>
      </c>
      <c r="CQ235" s="123">
        <f t="shared" si="507"/>
        <v>0</v>
      </c>
      <c r="CR235" s="123">
        <f t="shared" si="581"/>
        <v>0</v>
      </c>
      <c r="CS235" s="123">
        <f t="shared" si="582"/>
        <v>0</v>
      </c>
      <c r="CT235" s="33">
        <f>IF(CZ234&lt;0.01,0,IF(Plus!$F$22=Plus!$AN$4,0,IF(Plus!$F$22=Plus!$AN$3,CZ234*Plus!$F$23/1000,CZ234*VLOOKUP(Plus!$G$21,Plus!$AP$2:'Plus'!$AQ$5,2,0))))</f>
        <v>0</v>
      </c>
      <c r="CU235" s="123">
        <f>IF(CZ234&lt;0.01,0,IF(Plus!$F$24=Plus!$AO$3,0,IF(OR(Plus!$F$10=Plus!$AK$7,Plus!$F$10=Plus!$AK$13),0,Plus!$G$13*Plus!$AR$2)))</f>
        <v>0</v>
      </c>
      <c r="CV235" s="123">
        <f>IF(CZ234&lt;0.01,0,IF(OR(Plus!$F$10=Plus!$AK$7,Plus!$F$10=Plus!$AK$13),0,Plus!$BD$2*1.16))</f>
        <v>0</v>
      </c>
      <c r="CW235" s="123">
        <f>IF(CZ234&lt;0.01,0,IF(Plus!$AS$2&gt;0,CQ235*Plus!$AS$3,0))</f>
        <v>0</v>
      </c>
      <c r="CX235" s="123">
        <f t="shared" si="508"/>
        <v>0</v>
      </c>
      <c r="CY235" s="123">
        <f>IF(Plus!$F$10=Plus!$AK$3,MIN(CZ234+CQ235+CT235+CU235+CV235-CX235,DK235),0)</f>
        <v>0</v>
      </c>
      <c r="CZ235" s="297">
        <f t="shared" si="588"/>
        <v>0</v>
      </c>
      <c r="DA235" s="306">
        <f>Plus!O276</f>
        <v>0</v>
      </c>
      <c r="DB235" s="74"/>
      <c r="DC235" s="74"/>
      <c r="DD235" s="407">
        <f t="shared" si="509"/>
        <v>0</v>
      </c>
      <c r="DG235" s="90">
        <f t="shared" si="510"/>
        <v>7</v>
      </c>
      <c r="DH235" s="121">
        <f t="shared" si="561"/>
        <v>0</v>
      </c>
      <c r="DJ235" s="149">
        <f t="shared" si="562"/>
        <v>0</v>
      </c>
      <c r="DK235" s="2179">
        <f t="shared" ca="1" si="511"/>
        <v>0</v>
      </c>
      <c r="DN235" s="120">
        <f t="shared" si="563"/>
        <v>0</v>
      </c>
      <c r="DO235" s="110">
        <f t="shared" si="512"/>
        <v>0</v>
      </c>
      <c r="DP235" s="110">
        <f t="shared" si="572"/>
        <v>0</v>
      </c>
      <c r="DQ235" s="109">
        <f t="shared" si="513"/>
        <v>0</v>
      </c>
      <c r="DR235" s="109">
        <f t="shared" si="514"/>
        <v>0</v>
      </c>
      <c r="DS235" s="113">
        <f t="shared" si="515"/>
        <v>0</v>
      </c>
      <c r="DU235" s="102">
        <f t="shared" si="516"/>
        <v>0</v>
      </c>
      <c r="DV235" s="211">
        <f t="shared" si="573"/>
        <v>211</v>
      </c>
      <c r="DW235" s="212">
        <f t="shared" si="517"/>
        <v>0</v>
      </c>
      <c r="DX235" s="212">
        <f t="shared" si="472"/>
        <v>0</v>
      </c>
      <c r="DY235" s="212">
        <f t="shared" si="564"/>
        <v>0</v>
      </c>
      <c r="DZ235" s="213">
        <f t="shared" si="473"/>
        <v>1000000</v>
      </c>
      <c r="ED235" s="182"/>
      <c r="EF235" s="308">
        <f t="shared" ca="1" si="474"/>
        <v>10</v>
      </c>
      <c r="EG235" s="309">
        <f t="shared" si="518"/>
        <v>0</v>
      </c>
      <c r="EH235" s="268">
        <f t="shared" si="475"/>
        <v>0</v>
      </c>
      <c r="EI235" s="33">
        <f t="shared" si="519"/>
        <v>0</v>
      </c>
      <c r="EJ235" s="33">
        <f t="shared" si="583"/>
        <v>0</v>
      </c>
      <c r="EK235" s="33">
        <f t="shared" si="445"/>
        <v>0</v>
      </c>
      <c r="EL235" s="33">
        <f>IF(ER234&lt;0.01,0,IF(Plus!$F$22=Plus!$AN$4,0,IF(Plus!$F$22=Plus!$AN$3,ER234*Plus!$F$23/1000,ER234*VLOOKUP(Plus!$G$21,Plus!$AP$2:'Plus'!$AQ$5,2,0))))</f>
        <v>0</v>
      </c>
      <c r="EM235" s="33">
        <f>IF(ER234&lt;0.01,0,IF(Plus!$F$24=Plus!$AO$3,0,IF(OR(Plus!$F$10=Plus!$AK$7,Plus!$F$10=Plus!$AK$13),0,Plus!$G$13*Plus!$AR$2)))</f>
        <v>0</v>
      </c>
      <c r="EN235" s="33">
        <f>IF(ER234&lt;0.01,0,IF(OR(Plus!$F$10=Plus!$AK$7,Plus!$F$10=Plus!$AK$13),0,Plus!$BD$2*1.16))</f>
        <v>0</v>
      </c>
      <c r="EO235" s="33">
        <f>IF(ER234&lt;0.01,0,IF(Plus!$AS$2&gt;0,EI235*Plus!$AS$3,0))</f>
        <v>0</v>
      </c>
      <c r="EP235" s="33">
        <f t="shared" si="520"/>
        <v>0</v>
      </c>
      <c r="EQ235" s="33">
        <f>IF(Plus!$F$10=Plus!$AK$3,MIN(ER234+EI235+EL235+EM235+EN235-EP235,FC235),0)</f>
        <v>0</v>
      </c>
      <c r="ER235" s="311">
        <f t="shared" si="577"/>
        <v>0</v>
      </c>
      <c r="ES235" s="340">
        <f>Plus!O276</f>
        <v>0</v>
      </c>
      <c r="ET235" s="74"/>
      <c r="EU235" s="74"/>
      <c r="EV235" s="416">
        <f t="shared" si="575"/>
        <v>0</v>
      </c>
      <c r="EY235" s="90">
        <f t="shared" si="521"/>
        <v>7</v>
      </c>
      <c r="EZ235" s="121">
        <f t="shared" si="565"/>
        <v>0</v>
      </c>
      <c r="FB235" s="149">
        <f t="shared" si="566"/>
        <v>0</v>
      </c>
      <c r="FC235" s="2179">
        <f t="shared" ca="1" si="522"/>
        <v>0</v>
      </c>
      <c r="FE235" s="120">
        <f t="shared" si="567"/>
        <v>0</v>
      </c>
      <c r="FF235" s="110">
        <f t="shared" si="523"/>
        <v>0</v>
      </c>
      <c r="FG235" s="110">
        <f t="shared" si="524"/>
        <v>0</v>
      </c>
      <c r="FH235" s="109">
        <f t="shared" si="525"/>
        <v>0</v>
      </c>
      <c r="FI235" s="109">
        <f t="shared" si="476"/>
        <v>0</v>
      </c>
      <c r="FJ235" s="113">
        <f t="shared" si="526"/>
        <v>0</v>
      </c>
      <c r="FL235" s="102">
        <f t="shared" si="527"/>
        <v>0</v>
      </c>
      <c r="FM235" s="211">
        <f t="shared" si="454"/>
        <v>211</v>
      </c>
      <c r="FN235" s="212">
        <f t="shared" si="528"/>
        <v>0</v>
      </c>
      <c r="FO235" s="212">
        <f t="shared" si="477"/>
        <v>0</v>
      </c>
      <c r="FP235" s="212">
        <f t="shared" si="584"/>
        <v>0</v>
      </c>
      <c r="FQ235" s="213">
        <f t="shared" si="478"/>
        <v>1000000</v>
      </c>
      <c r="FV235" s="359"/>
      <c r="FX235" s="308">
        <f t="shared" ca="1" si="479"/>
        <v>10</v>
      </c>
      <c r="FY235" s="309">
        <f t="shared" si="530"/>
        <v>0</v>
      </c>
      <c r="FZ235" s="268">
        <f t="shared" si="480"/>
        <v>0</v>
      </c>
      <c r="GA235" s="33">
        <f t="shared" si="531"/>
        <v>0</v>
      </c>
      <c r="GB235" s="33">
        <f t="shared" si="585"/>
        <v>0</v>
      </c>
      <c r="GC235" s="33">
        <f t="shared" si="586"/>
        <v>0</v>
      </c>
      <c r="GD235" s="33">
        <f>IF(GJ234&lt;0.01,0,IF(Plus!$F$22=Plus!$AN$4,0,IF(Plus!$F$22=Plus!$AN$3,GJ234*Plus!$F$23/1000,GJ234*VLOOKUP(Plus!$G$21,Plus!$AP$2:$AQ$5,2,0))))</f>
        <v>0</v>
      </c>
      <c r="GE235" s="33">
        <f>IF(GJ234&lt;0.01,0,IF(Plus!$F$24=Plus!$AO$3,0,IF(OR(Plus!$F$10=Plus!$AK$7,Plus!$F$10=Plus!$AK$13,Plus!$F$10=Plus!$AK$14),0,IF(OR(Plus!$F$10=Plus!$AK$10,Plus!$F$10=Plus!$AK$11),Plus!$G$13*Adm!$W$7,Plus!$G$13*Adm!$X$4))))</f>
        <v>0</v>
      </c>
      <c r="GF235" s="33">
        <f>IF(GJ234&lt;0.01,0,IF(OR(Plus!$F$10=Plus!$AK$7,Plus!$F$10=Plus!$AK$13),0,Plus!$BD$2*1.16))</f>
        <v>0</v>
      </c>
      <c r="GG235" s="33">
        <f>IF(GJ234&lt;0.01,0,IF(Plus!$AS$2&gt;0,GA235*Plus!$AS$3,0))</f>
        <v>0</v>
      </c>
      <c r="GH235" s="33">
        <f t="shared" si="532"/>
        <v>0</v>
      </c>
      <c r="GI235" s="33">
        <f>IF(Plus!$F$10=Plus!$AK$3,MIN(GJ234+GA235+GD235+GE235+GF235-GH235,GU235),0)</f>
        <v>0</v>
      </c>
      <c r="GJ235" s="311">
        <f t="shared" si="578"/>
        <v>0</v>
      </c>
      <c r="GK235" s="340">
        <f>Plus!O276</f>
        <v>0</v>
      </c>
      <c r="GL235" s="74"/>
      <c r="GM235" s="74"/>
      <c r="GN235" s="419">
        <f t="shared" si="576"/>
        <v>0</v>
      </c>
      <c r="GQ235" s="90">
        <f t="shared" si="533"/>
        <v>7</v>
      </c>
      <c r="GR235" s="121">
        <f t="shared" si="568"/>
        <v>0</v>
      </c>
      <c r="GT235" s="149">
        <f t="shared" si="569"/>
        <v>0</v>
      </c>
      <c r="GU235" s="2179">
        <f t="shared" ca="1" si="534"/>
        <v>0</v>
      </c>
      <c r="GW235" s="120">
        <f t="shared" si="570"/>
        <v>0</v>
      </c>
      <c r="GX235" s="110">
        <f t="shared" si="535"/>
        <v>0</v>
      </c>
      <c r="GY235" s="110">
        <f t="shared" si="536"/>
        <v>0</v>
      </c>
      <c r="GZ235" s="109">
        <f t="shared" si="537"/>
        <v>0</v>
      </c>
      <c r="HA235" s="109">
        <f t="shared" si="481"/>
        <v>0</v>
      </c>
      <c r="HB235" s="113">
        <f t="shared" si="538"/>
        <v>0</v>
      </c>
      <c r="HD235" s="102">
        <f t="shared" si="539"/>
        <v>0</v>
      </c>
      <c r="HE235" s="211">
        <f t="shared" si="455"/>
        <v>211</v>
      </c>
      <c r="HF235" s="212">
        <f t="shared" si="540"/>
        <v>0</v>
      </c>
      <c r="HG235" s="212">
        <f t="shared" si="482"/>
        <v>0</v>
      </c>
      <c r="HH235" s="212">
        <f t="shared" si="587"/>
        <v>0</v>
      </c>
      <c r="HI235" s="213">
        <f t="shared" si="483"/>
        <v>1000000</v>
      </c>
      <c r="HL235" s="182"/>
      <c r="HM235" s="26">
        <f t="shared" ca="1" si="484"/>
        <v>10</v>
      </c>
      <c r="HO235" s="268">
        <f t="shared" si="485"/>
        <v>0</v>
      </c>
      <c r="HP235" s="151">
        <f t="shared" si="448"/>
        <v>0</v>
      </c>
      <c r="HQ235" s="123">
        <f t="shared" si="542"/>
        <v>0</v>
      </c>
      <c r="HR235" s="123">
        <f t="shared" si="543"/>
        <v>0</v>
      </c>
      <c r="HS235" s="123">
        <f t="shared" si="544"/>
        <v>0</v>
      </c>
      <c r="HT235" s="123">
        <f>IF(HY234&lt;0.01,0,IF(Adm!$GS$4=Adm!$GS$8,HY234*$HY$15,IF(Adm!$GS$12=Adm!$GS$13,0,HY234*Adm!$GV$4)))</f>
        <v>0</v>
      </c>
      <c r="HU235" s="123">
        <f>IF(HY234&lt;0.01,0,IF(Adm!$GS$5=Adm!$GS$8,Cal!$BO$108*$HY$16/1.16,IF(Adm!$GS$12=Adm!$GS$13,0,Cal!$BO$108*Adm!$GW$4/1.16)))</f>
        <v>0</v>
      </c>
      <c r="HV235" s="123">
        <f t="shared" si="545"/>
        <v>0</v>
      </c>
      <c r="HW235" s="123">
        <f t="shared" si="486"/>
        <v>0</v>
      </c>
      <c r="HX235" s="123">
        <f>IF(Adm!$GH$6="si",MIN(HY234+HQ235+HT235+HU235+HV235-HW235,IH235),0)</f>
        <v>0</v>
      </c>
      <c r="HY235" s="297">
        <f t="shared" si="546"/>
        <v>0</v>
      </c>
      <c r="HZ235" s="74"/>
      <c r="IA235" s="407">
        <f t="shared" si="547"/>
        <v>0</v>
      </c>
      <c r="IC235" s="90">
        <f t="shared" si="548"/>
        <v>7</v>
      </c>
      <c r="ID235" s="124">
        <f>IF(IC235=1,Cal!$BO$127,0)</f>
        <v>0</v>
      </c>
      <c r="IE235" s="178">
        <f>IF(IC235=1,Adm!$HI$4,0)</f>
        <v>0</v>
      </c>
      <c r="IG235" s="70">
        <f t="shared" si="571"/>
        <v>0</v>
      </c>
      <c r="IH235" s="2178">
        <f t="shared" ca="1" si="549"/>
        <v>0</v>
      </c>
      <c r="IK235" s="217"/>
      <c r="IL235" s="26">
        <f t="shared" ca="1" si="487"/>
        <v>10</v>
      </c>
      <c r="IN235" s="268">
        <f t="shared" si="488"/>
        <v>0</v>
      </c>
      <c r="IO235" s="151">
        <f t="shared" si="449"/>
        <v>0</v>
      </c>
      <c r="IP235" s="123">
        <f t="shared" si="550"/>
        <v>0</v>
      </c>
      <c r="IQ235" s="123">
        <f t="shared" si="551"/>
        <v>0</v>
      </c>
      <c r="IR235" s="123">
        <f t="shared" si="552"/>
        <v>0</v>
      </c>
      <c r="IS235" s="123">
        <f>IF(IX234&lt;0.01,0,IF(Adm!$GS$4=Adm!$GS$8,IX234*$IX$15,IF(Adm!$GS$12=Adm!$GS$13,0,IX234*Adm!$GV$4)))</f>
        <v>0</v>
      </c>
      <c r="IT235" s="123"/>
      <c r="IU235" s="123">
        <f t="shared" si="553"/>
        <v>0</v>
      </c>
      <c r="IV235" s="123">
        <f t="shared" si="554"/>
        <v>0</v>
      </c>
      <c r="IW235" s="123"/>
      <c r="IX235" s="297">
        <f t="shared" si="555"/>
        <v>0</v>
      </c>
      <c r="IY235" s="74"/>
      <c r="IZ235" s="416">
        <f t="shared" si="556"/>
        <v>0</v>
      </c>
      <c r="JB235" s="90">
        <f t="shared" si="557"/>
        <v>7</v>
      </c>
      <c r="JC235" s="124">
        <f>IF(JB235=1,Cal!$BP$127,0)</f>
        <v>0</v>
      </c>
      <c r="JD235" s="178">
        <f>IF(JB235=1,Adm!$HI$4,0)</f>
        <v>0</v>
      </c>
    </row>
    <row r="236" spans="1:264">
      <c r="A236" s="26">
        <f t="shared" ca="1" si="456"/>
        <v>11</v>
      </c>
      <c r="C236" s="33">
        <f t="shared" si="457"/>
        <v>0</v>
      </c>
      <c r="D236" s="123">
        <f t="shared" si="489"/>
        <v>0</v>
      </c>
      <c r="E236" s="123">
        <f t="shared" si="579"/>
        <v>0</v>
      </c>
      <c r="F236" s="123">
        <f t="shared" ref="F236:F264" si="589">IF(L235&lt;0.1,0,MIN(L235+D236,F235*(1+S236)))</f>
        <v>0</v>
      </c>
      <c r="G236" s="123">
        <f>IF(L235&lt;0.01,0,IF(Adm!$S$4=Adm!$S$8,L235*$L$15,L235*Adm!$V$4))</f>
        <v>0</v>
      </c>
      <c r="H236" s="123">
        <f>IF(L235&lt;0.01,0,IF(Adm!$S$5=Adm!$S$8,Adm!$AA$11*$L$16/1.16,IF(Adm!$B$4=Adm!$A$119,0,Adm!$AA$11*Adm!$X$4/1.16)))</f>
        <v>0</v>
      </c>
      <c r="I236" s="123">
        <f>IF(L235&lt;0.01,0,Cal!$AB$126/1.16)</f>
        <v>0</v>
      </c>
      <c r="J236" s="123">
        <f t="shared" si="458"/>
        <v>0</v>
      </c>
      <c r="K236" s="123">
        <f>IF(Adm!$G$4="si",MIN(L235+D236+G236+H236+I236-J236,V236),0)</f>
        <v>0</v>
      </c>
      <c r="L236" s="123">
        <f t="shared" si="490"/>
        <v>0</v>
      </c>
      <c r="M236" s="74"/>
      <c r="N236" s="74"/>
      <c r="O236" s="407">
        <f t="shared" si="491"/>
        <v>0</v>
      </c>
      <c r="R236" s="90">
        <f t="shared" si="492"/>
        <v>8</v>
      </c>
      <c r="S236" s="121">
        <f>IF(R236=1,Cal!$AB$127,0)</f>
        <v>0</v>
      </c>
      <c r="U236" s="70">
        <f t="shared" si="558"/>
        <v>0</v>
      </c>
      <c r="V236" s="2178">
        <f t="shared" ca="1" si="493"/>
        <v>0</v>
      </c>
      <c r="X236" s="398"/>
      <c r="Z236" s="268">
        <f t="shared" si="459"/>
        <v>0</v>
      </c>
      <c r="AA236" s="2176">
        <f t="shared" si="494"/>
        <v>0</v>
      </c>
      <c r="AB236" s="33">
        <f t="shared" si="495"/>
        <v>0</v>
      </c>
      <c r="AC236" s="33">
        <f t="shared" si="496"/>
        <v>0</v>
      </c>
      <c r="AD236" s="33">
        <f>IF(AI235&lt;0.01,0,IF(Adm!$S$4=Adm!$S$8,AI235*$AI$15,AI235*Adm!$V$4))</f>
        <v>0</v>
      </c>
      <c r="AE236" s="33"/>
      <c r="AF236" s="33"/>
      <c r="AG236" s="33">
        <f t="shared" si="460"/>
        <v>0</v>
      </c>
      <c r="AH236" s="33"/>
      <c r="AI236" s="401">
        <f t="shared" si="461"/>
        <v>0</v>
      </c>
      <c r="AK236" s="410">
        <f t="shared" si="462"/>
        <v>0</v>
      </c>
      <c r="AN236" s="90">
        <f t="shared" si="497"/>
        <v>8</v>
      </c>
      <c r="AO236" s="121">
        <f>IF(AN236=1,Cal!$AC$127,0)</f>
        <v>0</v>
      </c>
      <c r="AS236" s="200"/>
      <c r="AU236" s="268">
        <f t="shared" si="463"/>
        <v>0</v>
      </c>
      <c r="AV236" s="2177">
        <f t="shared" si="498"/>
        <v>0</v>
      </c>
      <c r="AW236" s="123">
        <f t="shared" si="464"/>
        <v>0</v>
      </c>
      <c r="AX236" s="123">
        <f t="shared" si="499"/>
        <v>0</v>
      </c>
      <c r="AY236" s="123">
        <f>IF(BC235&lt;0.01,0,IF(Adm!$S$4=Adm!$S$8,BC235*$BC$16,BC235*Adm!$V$4))</f>
        <v>0</v>
      </c>
      <c r="AZ236" s="123"/>
      <c r="BA236" s="123">
        <f>IF(BC235&lt;0.01,0,Adm!$Q$6)</f>
        <v>0</v>
      </c>
      <c r="BB236" s="123">
        <f t="shared" si="465"/>
        <v>0</v>
      </c>
      <c r="BC236" s="297">
        <f t="shared" si="500"/>
        <v>0</v>
      </c>
      <c r="BE236" s="425">
        <f t="shared" si="466"/>
        <v>0</v>
      </c>
      <c r="BH236" s="90">
        <f t="shared" si="501"/>
        <v>8</v>
      </c>
      <c r="BI236" s="121">
        <f>IF(BH236=1,Cal!$AD$127,0)</f>
        <v>0</v>
      </c>
      <c r="BM236" s="221"/>
      <c r="BO236" s="295">
        <f t="shared" ca="1" si="467"/>
        <v>11</v>
      </c>
      <c r="BP236" s="268">
        <f t="shared" si="468"/>
        <v>0</v>
      </c>
      <c r="BQ236" s="123">
        <f t="shared" si="502"/>
        <v>0</v>
      </c>
      <c r="BR236" s="123">
        <f t="shared" si="580"/>
        <v>0</v>
      </c>
      <c r="BS236" s="123">
        <f t="shared" ref="BS236:BS264" si="590">IF(BZ235&lt;0.1,0,MIN(BZ235+BQ236,BS235*(1+CG236)))</f>
        <v>0</v>
      </c>
      <c r="BT236" s="123">
        <f>IF(BZ235&lt;0.01,0,IF(Plus!$F$22=Plus!$AN$4,BZ235*$BZ$15,IF(Plus!$F$22=Plus!$AN$3,BZ235*Plus!$F$23/1000,BZ235*VLOOKUP(Plus!$G$21,Plus!$AP$2:'Plus'!$AQ$5,2,0))))</f>
        <v>0</v>
      </c>
      <c r="BU236" s="123">
        <f>IF(BZ235&lt;0.01,0,IF(Plus!$F$24=Plus!$AO$3,Plus!$G$13*Plus!$AR$2/1.16,IF(Plus!$F$10=Plus!$AK$7,0,Plus!$G$13*Plus!$AR$2/1.16)))</f>
        <v>0</v>
      </c>
      <c r="BV236" s="123">
        <f>IF(BZ235&lt;0.01,0,Plus!$BD$2)</f>
        <v>0</v>
      </c>
      <c r="BW236" s="123"/>
      <c r="BX236" s="123">
        <f t="shared" si="469"/>
        <v>0</v>
      </c>
      <c r="BY236" s="123">
        <f>IF(Plus!$F$10=Plus!$AK$3,MIN(BZ235+BQ236+BT236+BU236+BV236-BX236,CJ236),0)</f>
        <v>0</v>
      </c>
      <c r="BZ236" s="297">
        <f t="shared" si="574"/>
        <v>0</v>
      </c>
      <c r="CA236" s="74"/>
      <c r="CB236" s="74"/>
      <c r="CC236" s="413">
        <f t="shared" si="503"/>
        <v>0</v>
      </c>
      <c r="CF236" s="90">
        <f t="shared" si="504"/>
        <v>8</v>
      </c>
      <c r="CG236" s="121">
        <f t="shared" si="559"/>
        <v>0</v>
      </c>
      <c r="CI236" s="70">
        <f t="shared" si="560"/>
        <v>0</v>
      </c>
      <c r="CJ236" s="2178">
        <f t="shared" ca="1" si="505"/>
        <v>0</v>
      </c>
      <c r="CL236" s="161"/>
      <c r="CN236" s="308">
        <f t="shared" ca="1" si="470"/>
        <v>11</v>
      </c>
      <c r="CO236" s="309">
        <f t="shared" si="506"/>
        <v>0</v>
      </c>
      <c r="CP236" s="268">
        <f t="shared" si="471"/>
        <v>0</v>
      </c>
      <c r="CQ236" s="123">
        <f t="shared" si="507"/>
        <v>0</v>
      </c>
      <c r="CR236" s="123">
        <f t="shared" si="581"/>
        <v>0</v>
      </c>
      <c r="CS236" s="123">
        <f t="shared" si="582"/>
        <v>0</v>
      </c>
      <c r="CT236" s="33">
        <f>IF(CZ235&lt;0.01,0,IF(Plus!$F$22=Plus!$AN$4,0,IF(Plus!$F$22=Plus!$AN$3,CZ235*Plus!$F$23/1000,CZ235*VLOOKUP(Plus!$G$21,Plus!$AP$2:'Plus'!$AQ$5,2,0))))</f>
        <v>0</v>
      </c>
      <c r="CU236" s="123">
        <f>IF(CZ235&lt;0.01,0,IF(Plus!$F$24=Plus!$AO$3,0,IF(OR(Plus!$F$10=Plus!$AK$7,Plus!$F$10=Plus!$AK$13),0,Plus!$G$13*Plus!$AR$2)))</f>
        <v>0</v>
      </c>
      <c r="CV236" s="123">
        <f>IF(CZ235&lt;0.01,0,IF(OR(Plus!$F$10=Plus!$AK$7,Plus!$F$10=Plus!$AK$13),0,Plus!$BD$2*1.16))</f>
        <v>0</v>
      </c>
      <c r="CW236" s="123">
        <f>IF(CZ235&lt;0.01,0,IF(Plus!$AS$2&gt;0,CQ236*Plus!$AS$3,0))</f>
        <v>0</v>
      </c>
      <c r="CX236" s="123">
        <f t="shared" si="508"/>
        <v>0</v>
      </c>
      <c r="CY236" s="123">
        <f>IF(Plus!$F$10=Plus!$AK$3,MIN(CZ235+CQ236+CT236+CU236+CV236-CX236,DK236),0)</f>
        <v>0</v>
      </c>
      <c r="CZ236" s="297">
        <f t="shared" si="588"/>
        <v>0</v>
      </c>
      <c r="DA236" s="306">
        <f>Plus!O277</f>
        <v>0</v>
      </c>
      <c r="DB236" s="74"/>
      <c r="DC236" s="74"/>
      <c r="DD236" s="407">
        <f t="shared" si="509"/>
        <v>0</v>
      </c>
      <c r="DG236" s="90">
        <f t="shared" si="510"/>
        <v>8</v>
      </c>
      <c r="DH236" s="121">
        <f t="shared" si="561"/>
        <v>0</v>
      </c>
      <c r="DJ236" s="149">
        <f t="shared" si="562"/>
        <v>0</v>
      </c>
      <c r="DK236" s="2179">
        <f t="shared" ca="1" si="511"/>
        <v>0</v>
      </c>
      <c r="DN236" s="120">
        <f t="shared" si="563"/>
        <v>0</v>
      </c>
      <c r="DO236" s="110">
        <f t="shared" si="512"/>
        <v>0</v>
      </c>
      <c r="DP236" s="110">
        <f t="shared" si="572"/>
        <v>0</v>
      </c>
      <c r="DQ236" s="109">
        <f t="shared" si="513"/>
        <v>0</v>
      </c>
      <c r="DR236" s="109">
        <f t="shared" si="514"/>
        <v>0</v>
      </c>
      <c r="DS236" s="113">
        <f t="shared" si="515"/>
        <v>0</v>
      </c>
      <c r="DU236" s="102">
        <f t="shared" si="516"/>
        <v>0</v>
      </c>
      <c r="DV236" s="211">
        <f t="shared" si="573"/>
        <v>212</v>
      </c>
      <c r="DW236" s="212">
        <f t="shared" si="517"/>
        <v>0</v>
      </c>
      <c r="DX236" s="212">
        <f t="shared" si="472"/>
        <v>0</v>
      </c>
      <c r="DY236" s="212">
        <f t="shared" si="564"/>
        <v>0</v>
      </c>
      <c r="DZ236" s="213">
        <f t="shared" si="473"/>
        <v>1000000</v>
      </c>
      <c r="ED236" s="182"/>
      <c r="EF236" s="308">
        <f t="shared" ca="1" si="474"/>
        <v>11</v>
      </c>
      <c r="EG236" s="309">
        <f t="shared" si="518"/>
        <v>0</v>
      </c>
      <c r="EH236" s="268">
        <f t="shared" si="475"/>
        <v>0</v>
      </c>
      <c r="EI236" s="33">
        <f t="shared" si="519"/>
        <v>0</v>
      </c>
      <c r="EJ236" s="33">
        <f t="shared" si="583"/>
        <v>0</v>
      </c>
      <c r="EK236" s="33">
        <f t="shared" ref="EK236:EK264" si="591">IF(ER234&lt;0.1,0,MIN(ER235+EI236,IF(FE236&gt;0,FE236,EK235*(1+EZ236))))</f>
        <v>0</v>
      </c>
      <c r="EL236" s="33">
        <f>IF(ER235&lt;0.01,0,IF(Plus!$F$22=Plus!$AN$4,0,IF(Plus!$F$22=Plus!$AN$3,ER235*Plus!$F$23/1000,ER235*VLOOKUP(Plus!$G$21,Plus!$AP$2:'Plus'!$AQ$5,2,0))))</f>
        <v>0</v>
      </c>
      <c r="EM236" s="33">
        <f>IF(ER235&lt;0.01,0,IF(Plus!$F$24=Plus!$AO$3,0,IF(OR(Plus!$F$10=Plus!$AK$7,Plus!$F$10=Plus!$AK$13),0,Plus!$G$13*Plus!$AR$2)))</f>
        <v>0</v>
      </c>
      <c r="EN236" s="33">
        <f>IF(ER235&lt;0.01,0,IF(OR(Plus!$F$10=Plus!$AK$7,Plus!$F$10=Plus!$AK$13),0,Plus!$BD$2*1.16))</f>
        <v>0</v>
      </c>
      <c r="EO236" s="33">
        <f>IF(ER235&lt;0.01,0,IF(Plus!$AS$2&gt;0,EI236*Plus!$AS$3,0))</f>
        <v>0</v>
      </c>
      <c r="EP236" s="33">
        <f t="shared" si="520"/>
        <v>0</v>
      </c>
      <c r="EQ236" s="33">
        <f>IF(Plus!$F$10=Plus!$AK$3,MIN(ER235+EI236+EL236+EM236+EN236-EP236,FC236),0)</f>
        <v>0</v>
      </c>
      <c r="ER236" s="311">
        <f t="shared" si="577"/>
        <v>0</v>
      </c>
      <c r="ES236" s="340">
        <f>Plus!O277</f>
        <v>0</v>
      </c>
      <c r="ET236" s="74"/>
      <c r="EU236" s="74"/>
      <c r="EV236" s="416">
        <f t="shared" si="575"/>
        <v>0</v>
      </c>
      <c r="EY236" s="90">
        <f t="shared" si="521"/>
        <v>8</v>
      </c>
      <c r="EZ236" s="121">
        <f t="shared" si="565"/>
        <v>0</v>
      </c>
      <c r="FB236" s="149">
        <f t="shared" si="566"/>
        <v>0</v>
      </c>
      <c r="FC236" s="2179">
        <f t="shared" ca="1" si="522"/>
        <v>0</v>
      </c>
      <c r="FE236" s="120">
        <f t="shared" si="567"/>
        <v>0</v>
      </c>
      <c r="FF236" s="110">
        <f t="shared" si="523"/>
        <v>0</v>
      </c>
      <c r="FG236" s="110">
        <f t="shared" si="524"/>
        <v>0</v>
      </c>
      <c r="FH236" s="109">
        <f t="shared" si="525"/>
        <v>0</v>
      </c>
      <c r="FI236" s="109">
        <f t="shared" si="476"/>
        <v>0</v>
      </c>
      <c r="FJ236" s="113">
        <f t="shared" si="526"/>
        <v>0</v>
      </c>
      <c r="FL236" s="102">
        <f t="shared" si="527"/>
        <v>0</v>
      </c>
      <c r="FM236" s="211">
        <f t="shared" si="454"/>
        <v>212</v>
      </c>
      <c r="FN236" s="212">
        <f t="shared" si="528"/>
        <v>0</v>
      </c>
      <c r="FO236" s="212">
        <f t="shared" si="477"/>
        <v>0</v>
      </c>
      <c r="FP236" s="212">
        <f t="shared" si="584"/>
        <v>0</v>
      </c>
      <c r="FQ236" s="213">
        <f t="shared" si="478"/>
        <v>1000000</v>
      </c>
      <c r="FV236" s="359"/>
      <c r="FX236" s="308">
        <f t="shared" ca="1" si="479"/>
        <v>11</v>
      </c>
      <c r="FY236" s="309">
        <f t="shared" si="530"/>
        <v>0</v>
      </c>
      <c r="FZ236" s="268">
        <f t="shared" si="480"/>
        <v>0</v>
      </c>
      <c r="GA236" s="33">
        <f t="shared" si="531"/>
        <v>0</v>
      </c>
      <c r="GB236" s="33">
        <f t="shared" si="585"/>
        <v>0</v>
      </c>
      <c r="GC236" s="33">
        <f t="shared" si="586"/>
        <v>0</v>
      </c>
      <c r="GD236" s="33">
        <f>IF(GJ235&lt;0.01,0,IF(Plus!$F$22=Plus!$AN$4,0,IF(Plus!$F$22=Plus!$AN$3,GJ235*Plus!$F$23/1000,GJ235*VLOOKUP(Plus!$G$21,Plus!$AP$2:$AQ$5,2,0))))</f>
        <v>0</v>
      </c>
      <c r="GE236" s="33">
        <f>IF(GJ235&lt;0.01,0,IF(Plus!$F$24=Plus!$AO$3,0,IF(OR(Plus!$F$10=Plus!$AK$7,Plus!$F$10=Plus!$AK$13,Plus!$F$10=Plus!$AK$14),0,IF(OR(Plus!$F$10=Plus!$AK$10,Plus!$F$10=Plus!$AK$11),Plus!$G$13*Adm!$W$7,Plus!$G$13*Adm!$X$4))))</f>
        <v>0</v>
      </c>
      <c r="GF236" s="33">
        <f>IF(GJ235&lt;0.01,0,IF(OR(Plus!$F$10=Plus!$AK$7,Plus!$F$10=Plus!$AK$13),0,Plus!$BD$2*1.16))</f>
        <v>0</v>
      </c>
      <c r="GG236" s="33">
        <f>IF(GJ235&lt;0.01,0,IF(Plus!$AS$2&gt;0,GA236*Plus!$AS$3,0))</f>
        <v>0</v>
      </c>
      <c r="GH236" s="33">
        <f t="shared" si="532"/>
        <v>0</v>
      </c>
      <c r="GI236" s="33">
        <f>IF(Plus!$F$10=Plus!$AK$3,MIN(GJ235+GA236+GD236+GE236+GF236-GH236,GU236),0)</f>
        <v>0</v>
      </c>
      <c r="GJ236" s="311">
        <f t="shared" si="578"/>
        <v>0</v>
      </c>
      <c r="GK236" s="340">
        <f>Plus!O277</f>
        <v>0</v>
      </c>
      <c r="GL236" s="74"/>
      <c r="GM236" s="74"/>
      <c r="GN236" s="419">
        <f t="shared" si="576"/>
        <v>0</v>
      </c>
      <c r="GQ236" s="90">
        <f t="shared" si="533"/>
        <v>8</v>
      </c>
      <c r="GR236" s="121">
        <f t="shared" si="568"/>
        <v>0</v>
      </c>
      <c r="GT236" s="149">
        <f t="shared" si="569"/>
        <v>0</v>
      </c>
      <c r="GU236" s="2179">
        <f t="shared" ca="1" si="534"/>
        <v>0</v>
      </c>
      <c r="GW236" s="120">
        <f t="shared" si="570"/>
        <v>0</v>
      </c>
      <c r="GX236" s="110">
        <f t="shared" si="535"/>
        <v>0</v>
      </c>
      <c r="GY236" s="110">
        <f t="shared" si="536"/>
        <v>0</v>
      </c>
      <c r="GZ236" s="109">
        <f t="shared" si="537"/>
        <v>0</v>
      </c>
      <c r="HA236" s="109">
        <f t="shared" si="481"/>
        <v>0</v>
      </c>
      <c r="HB236" s="113">
        <f t="shared" si="538"/>
        <v>0</v>
      </c>
      <c r="HD236" s="102">
        <f t="shared" si="539"/>
        <v>0</v>
      </c>
      <c r="HE236" s="211">
        <f t="shared" si="455"/>
        <v>212</v>
      </c>
      <c r="HF236" s="212">
        <f t="shared" si="540"/>
        <v>0</v>
      </c>
      <c r="HG236" s="212">
        <f t="shared" si="482"/>
        <v>0</v>
      </c>
      <c r="HH236" s="212">
        <f t="shared" si="587"/>
        <v>0</v>
      </c>
      <c r="HI236" s="213">
        <f t="shared" si="483"/>
        <v>1000000</v>
      </c>
      <c r="HL236" s="182"/>
      <c r="HM236" s="26">
        <f t="shared" ca="1" si="484"/>
        <v>11</v>
      </c>
      <c r="HO236" s="268">
        <f t="shared" si="485"/>
        <v>0</v>
      </c>
      <c r="HP236" s="151">
        <f t="shared" si="448"/>
        <v>0</v>
      </c>
      <c r="HQ236" s="123">
        <f t="shared" si="542"/>
        <v>0</v>
      </c>
      <c r="HR236" s="123">
        <f t="shared" si="543"/>
        <v>0</v>
      </c>
      <c r="HS236" s="123">
        <f t="shared" si="544"/>
        <v>0</v>
      </c>
      <c r="HT236" s="123">
        <f>IF(HY235&lt;0.01,0,IF(Adm!$GS$4=Adm!$GS$8,HY235*$HY$15,IF(Adm!$GS$12=Adm!$GS$13,0,HY235*Adm!$GV$4)))</f>
        <v>0</v>
      </c>
      <c r="HU236" s="123">
        <f>IF(HY235&lt;0.01,0,IF(Adm!$GS$5=Adm!$GS$8,Cal!$BO$108*$HY$16/1.16,IF(Adm!$GS$12=Adm!$GS$13,0,Cal!$BO$108*Adm!$GW$4/1.16)))</f>
        <v>0</v>
      </c>
      <c r="HV236" s="123">
        <f t="shared" si="545"/>
        <v>0</v>
      </c>
      <c r="HW236" s="123">
        <f t="shared" si="486"/>
        <v>0</v>
      </c>
      <c r="HX236" s="123">
        <f>IF(Adm!$GH$6="si",MIN(HY235+HQ236+HT236+HU236+HV236-HW236,IH236),0)</f>
        <v>0</v>
      </c>
      <c r="HY236" s="297">
        <f t="shared" si="546"/>
        <v>0</v>
      </c>
      <c r="HZ236" s="74"/>
      <c r="IA236" s="407">
        <f t="shared" si="547"/>
        <v>0</v>
      </c>
      <c r="IC236" s="90">
        <f t="shared" si="548"/>
        <v>8</v>
      </c>
      <c r="ID236" s="124">
        <f>IF(IC236=1,Cal!$BO$127,0)</f>
        <v>0</v>
      </c>
      <c r="IE236" s="178">
        <f>IF(IC236=1,Adm!$HI$4,0)</f>
        <v>0</v>
      </c>
      <c r="IG236" s="70">
        <f t="shared" si="571"/>
        <v>0</v>
      </c>
      <c r="IH236" s="2178">
        <f t="shared" ca="1" si="549"/>
        <v>0</v>
      </c>
      <c r="IK236" s="217"/>
      <c r="IL236" s="26">
        <f t="shared" ca="1" si="487"/>
        <v>11</v>
      </c>
      <c r="IN236" s="268">
        <f t="shared" si="488"/>
        <v>0</v>
      </c>
      <c r="IO236" s="151">
        <f t="shared" si="449"/>
        <v>0</v>
      </c>
      <c r="IP236" s="123">
        <f t="shared" si="550"/>
        <v>0</v>
      </c>
      <c r="IQ236" s="123">
        <f t="shared" si="551"/>
        <v>0</v>
      </c>
      <c r="IR236" s="123">
        <f t="shared" si="552"/>
        <v>0</v>
      </c>
      <c r="IS236" s="123">
        <f>IF(IX235&lt;0.01,0,IF(Adm!$GS$4=Adm!$GS$8,IX235*$IX$15,IF(Adm!$GS$12=Adm!$GS$13,0,IX235*Adm!$GV$4)))</f>
        <v>0</v>
      </c>
      <c r="IT236" s="123"/>
      <c r="IU236" s="123">
        <f t="shared" si="553"/>
        <v>0</v>
      </c>
      <c r="IV236" s="123">
        <f t="shared" si="554"/>
        <v>0</v>
      </c>
      <c r="IW236" s="123"/>
      <c r="IX236" s="297">
        <f t="shared" si="555"/>
        <v>0</v>
      </c>
      <c r="IY236" s="74"/>
      <c r="IZ236" s="416">
        <f t="shared" si="556"/>
        <v>0</v>
      </c>
      <c r="JB236" s="90">
        <f t="shared" si="557"/>
        <v>8</v>
      </c>
      <c r="JC236" s="124">
        <f>IF(JB236=1,Cal!$BP$127,0)</f>
        <v>0</v>
      </c>
      <c r="JD236" s="178">
        <f>IF(JB236=1,Adm!$HI$4,0)</f>
        <v>0</v>
      </c>
    </row>
    <row r="237" spans="1:264">
      <c r="A237" s="26">
        <f t="shared" ca="1" si="456"/>
        <v>12</v>
      </c>
      <c r="C237" s="33">
        <f t="shared" si="457"/>
        <v>0</v>
      </c>
      <c r="D237" s="123">
        <f t="shared" si="489"/>
        <v>0</v>
      </c>
      <c r="E237" s="123">
        <f t="shared" si="579"/>
        <v>0</v>
      </c>
      <c r="F237" s="123">
        <f t="shared" si="589"/>
        <v>0</v>
      </c>
      <c r="G237" s="123">
        <f>IF(L236&lt;0.01,0,IF(Adm!$S$4=Adm!$S$8,L236*$L$15,L236*Adm!$V$4))</f>
        <v>0</v>
      </c>
      <c r="H237" s="123">
        <f>IF(L236&lt;0.01,0,IF(Adm!$S$5=Adm!$S$8,Adm!$AA$11*$L$16/1.16,IF(Adm!$B$4=Adm!$A$119,0,Adm!$AA$11*Adm!$X$4/1.16)))</f>
        <v>0</v>
      </c>
      <c r="I237" s="123">
        <f>IF(L236&lt;0.01,0,Cal!$AB$126/1.16)</f>
        <v>0</v>
      </c>
      <c r="J237" s="123">
        <f t="shared" si="458"/>
        <v>0</v>
      </c>
      <c r="K237" s="123">
        <f>IF(Adm!$G$4="si",MIN(L236+D237+G237+H237+I237-J237,V237),0)</f>
        <v>0</v>
      </c>
      <c r="L237" s="123">
        <f t="shared" si="490"/>
        <v>0</v>
      </c>
      <c r="M237" s="74"/>
      <c r="N237" s="74"/>
      <c r="O237" s="407">
        <f t="shared" si="491"/>
        <v>0</v>
      </c>
      <c r="R237" s="90">
        <f t="shared" si="492"/>
        <v>9</v>
      </c>
      <c r="S237" s="121">
        <f>IF(R237=1,Cal!$AB$127,0)</f>
        <v>0</v>
      </c>
      <c r="U237" s="70">
        <f t="shared" si="558"/>
        <v>0</v>
      </c>
      <c r="V237" s="2178">
        <f t="shared" ca="1" si="493"/>
        <v>0</v>
      </c>
      <c r="X237" s="398"/>
      <c r="Z237" s="268">
        <f t="shared" si="459"/>
        <v>0</v>
      </c>
      <c r="AA237" s="2176">
        <f t="shared" si="494"/>
        <v>0</v>
      </c>
      <c r="AB237" s="33">
        <f t="shared" si="495"/>
        <v>0</v>
      </c>
      <c r="AC237" s="33">
        <f t="shared" si="496"/>
        <v>0</v>
      </c>
      <c r="AD237" s="33">
        <f>IF(AI236&lt;0.01,0,IF(Adm!$S$4=Adm!$S$8,AI236*$AI$15,AI236*Adm!$V$4))</f>
        <v>0</v>
      </c>
      <c r="AE237" s="33"/>
      <c r="AF237" s="33"/>
      <c r="AG237" s="33">
        <f t="shared" si="460"/>
        <v>0</v>
      </c>
      <c r="AH237" s="33"/>
      <c r="AI237" s="401">
        <f t="shared" si="461"/>
        <v>0</v>
      </c>
      <c r="AK237" s="410">
        <f t="shared" si="462"/>
        <v>0</v>
      </c>
      <c r="AN237" s="90">
        <f t="shared" si="497"/>
        <v>9</v>
      </c>
      <c r="AO237" s="121">
        <f>IF(AN237=1,Cal!$AC$127,0)</f>
        <v>0</v>
      </c>
      <c r="AS237" s="200"/>
      <c r="AU237" s="268">
        <f t="shared" si="463"/>
        <v>0</v>
      </c>
      <c r="AV237" s="2177">
        <f t="shared" si="498"/>
        <v>0</v>
      </c>
      <c r="AW237" s="123">
        <f t="shared" si="464"/>
        <v>0</v>
      </c>
      <c r="AX237" s="123">
        <f t="shared" si="499"/>
        <v>0</v>
      </c>
      <c r="AY237" s="123">
        <f>IF(BC236&lt;0.01,0,IF(Adm!$S$4=Adm!$S$8,BC236*$BC$16,BC236*Adm!$V$4))</f>
        <v>0</v>
      </c>
      <c r="AZ237" s="123"/>
      <c r="BA237" s="123">
        <f>IF(BC236&lt;0.01,0,Adm!$Q$6)</f>
        <v>0</v>
      </c>
      <c r="BB237" s="123">
        <f t="shared" si="465"/>
        <v>0</v>
      </c>
      <c r="BC237" s="297">
        <f t="shared" si="500"/>
        <v>0</v>
      </c>
      <c r="BE237" s="425">
        <f t="shared" si="466"/>
        <v>0</v>
      </c>
      <c r="BH237" s="90">
        <f t="shared" si="501"/>
        <v>9</v>
      </c>
      <c r="BI237" s="121">
        <f>IF(BH237=1,Cal!$AD$127,0)</f>
        <v>0</v>
      </c>
      <c r="BM237" s="221"/>
      <c r="BO237" s="295">
        <f t="shared" ca="1" si="467"/>
        <v>12</v>
      </c>
      <c r="BP237" s="268">
        <f t="shared" si="468"/>
        <v>0</v>
      </c>
      <c r="BQ237" s="123">
        <f t="shared" si="502"/>
        <v>0</v>
      </c>
      <c r="BR237" s="123">
        <f t="shared" si="580"/>
        <v>0</v>
      </c>
      <c r="BS237" s="123">
        <f t="shared" si="590"/>
        <v>0</v>
      </c>
      <c r="BT237" s="123">
        <f>IF(BZ236&lt;0.01,0,IF(Plus!$F$22=Plus!$AN$4,BZ236*$BZ$15,IF(Plus!$F$22=Plus!$AN$3,BZ236*Plus!$F$23/1000,BZ236*VLOOKUP(Plus!$G$21,Plus!$AP$2:'Plus'!$AQ$5,2,0))))</f>
        <v>0</v>
      </c>
      <c r="BU237" s="123">
        <f>IF(BZ236&lt;0.01,0,IF(Plus!$F$24=Plus!$AO$3,Plus!$G$13*Plus!$AR$2/1.16,IF(Plus!$F$10=Plus!$AK$7,0,Plus!$G$13*Plus!$AR$2/1.16)))</f>
        <v>0</v>
      </c>
      <c r="BV237" s="123">
        <f>IF(BZ236&lt;0.01,0,Plus!$BD$2)</f>
        <v>0</v>
      </c>
      <c r="BW237" s="123"/>
      <c r="BX237" s="123">
        <f t="shared" si="469"/>
        <v>0</v>
      </c>
      <c r="BY237" s="123">
        <f>IF(Plus!$F$10=Plus!$AK$3,MIN(BZ236+BQ237+BT237+BU237+BV237-BX237,CJ237),0)</f>
        <v>0</v>
      </c>
      <c r="BZ237" s="297">
        <f t="shared" si="574"/>
        <v>0</v>
      </c>
      <c r="CA237" s="74"/>
      <c r="CB237" s="74"/>
      <c r="CC237" s="413">
        <f t="shared" si="503"/>
        <v>0</v>
      </c>
      <c r="CF237" s="90">
        <f t="shared" si="504"/>
        <v>9</v>
      </c>
      <c r="CG237" s="121">
        <f t="shared" si="559"/>
        <v>0</v>
      </c>
      <c r="CI237" s="70">
        <f t="shared" si="560"/>
        <v>0</v>
      </c>
      <c r="CJ237" s="2178">
        <f t="shared" ca="1" si="505"/>
        <v>0</v>
      </c>
      <c r="CL237" s="161"/>
      <c r="CN237" s="308">
        <f t="shared" ca="1" si="470"/>
        <v>12</v>
      </c>
      <c r="CO237" s="309">
        <f t="shared" si="506"/>
        <v>0</v>
      </c>
      <c r="CP237" s="268">
        <f t="shared" si="471"/>
        <v>0</v>
      </c>
      <c r="CQ237" s="123">
        <f t="shared" si="507"/>
        <v>0</v>
      </c>
      <c r="CR237" s="123">
        <f t="shared" si="581"/>
        <v>0</v>
      </c>
      <c r="CS237" s="123">
        <f t="shared" si="582"/>
        <v>0</v>
      </c>
      <c r="CT237" s="33">
        <f>IF(CZ236&lt;0.01,0,IF(Plus!$F$22=Plus!$AN$4,0,IF(Plus!$F$22=Plus!$AN$3,CZ236*Plus!$F$23/1000,CZ236*VLOOKUP(Plus!$G$21,Plus!$AP$2:'Plus'!$AQ$5,2,0))))</f>
        <v>0</v>
      </c>
      <c r="CU237" s="123">
        <f>IF(CZ236&lt;0.01,0,IF(Plus!$F$24=Plus!$AO$3,0,IF(OR(Plus!$F$10=Plus!$AK$7,Plus!$F$10=Plus!$AK$13),0,Plus!$G$13*Plus!$AR$2)))</f>
        <v>0</v>
      </c>
      <c r="CV237" s="123">
        <f>IF(CZ236&lt;0.01,0,IF(OR(Plus!$F$10=Plus!$AK$7,Plus!$F$10=Plus!$AK$13),0,Plus!$BD$2*1.16))</f>
        <v>0</v>
      </c>
      <c r="CW237" s="123">
        <f>IF(CZ236&lt;0.01,0,IF(Plus!$AS$2&gt;0,CQ237*Plus!$AS$3,0))</f>
        <v>0</v>
      </c>
      <c r="CX237" s="123">
        <f t="shared" si="508"/>
        <v>0</v>
      </c>
      <c r="CY237" s="123">
        <f>IF(Plus!$F$10=Plus!$AK$3,MIN(CZ236+CQ237+CT237+CU237+CV237-CX237,DK237),0)</f>
        <v>0</v>
      </c>
      <c r="CZ237" s="297">
        <f t="shared" si="588"/>
        <v>0</v>
      </c>
      <c r="DA237" s="306">
        <f>Plus!O278</f>
        <v>0</v>
      </c>
      <c r="DB237" s="74"/>
      <c r="DC237" s="74"/>
      <c r="DD237" s="407">
        <f t="shared" si="509"/>
        <v>0</v>
      </c>
      <c r="DG237" s="90">
        <f t="shared" si="510"/>
        <v>9</v>
      </c>
      <c r="DH237" s="121">
        <f t="shared" si="561"/>
        <v>0</v>
      </c>
      <c r="DJ237" s="149">
        <f t="shared" si="562"/>
        <v>0</v>
      </c>
      <c r="DK237" s="2179">
        <f t="shared" ca="1" si="511"/>
        <v>0</v>
      </c>
      <c r="DN237" s="120">
        <f t="shared" si="563"/>
        <v>0</v>
      </c>
      <c r="DO237" s="110">
        <f t="shared" si="512"/>
        <v>0</v>
      </c>
      <c r="DP237" s="110">
        <f t="shared" si="572"/>
        <v>0</v>
      </c>
      <c r="DQ237" s="109">
        <f t="shared" si="513"/>
        <v>0</v>
      </c>
      <c r="DR237" s="109">
        <f t="shared" si="514"/>
        <v>0</v>
      </c>
      <c r="DS237" s="113">
        <f t="shared" si="515"/>
        <v>0</v>
      </c>
      <c r="DU237" s="102">
        <f t="shared" si="516"/>
        <v>0</v>
      </c>
      <c r="DV237" s="211">
        <f t="shared" si="573"/>
        <v>213</v>
      </c>
      <c r="DW237" s="212">
        <f t="shared" si="517"/>
        <v>0</v>
      </c>
      <c r="DX237" s="212">
        <f t="shared" si="472"/>
        <v>0</v>
      </c>
      <c r="DY237" s="212">
        <f t="shared" si="564"/>
        <v>0</v>
      </c>
      <c r="DZ237" s="213">
        <f t="shared" si="473"/>
        <v>1000000</v>
      </c>
      <c r="ED237" s="182"/>
      <c r="EF237" s="308">
        <f t="shared" ca="1" si="474"/>
        <v>12</v>
      </c>
      <c r="EG237" s="309">
        <f t="shared" si="518"/>
        <v>0</v>
      </c>
      <c r="EH237" s="268">
        <f t="shared" si="475"/>
        <v>0</v>
      </c>
      <c r="EI237" s="33">
        <f t="shared" si="519"/>
        <v>0</v>
      </c>
      <c r="EJ237" s="33">
        <f t="shared" si="583"/>
        <v>0</v>
      </c>
      <c r="EK237" s="33">
        <f t="shared" si="591"/>
        <v>0</v>
      </c>
      <c r="EL237" s="33">
        <f>IF(ER236&lt;0.01,0,IF(Plus!$F$22=Plus!$AN$4,0,IF(Plus!$F$22=Plus!$AN$3,ER236*Plus!$F$23/1000,ER236*VLOOKUP(Plus!$G$21,Plus!$AP$2:'Plus'!$AQ$5,2,0))))</f>
        <v>0</v>
      </c>
      <c r="EM237" s="33">
        <f>IF(ER236&lt;0.01,0,IF(Plus!$F$24=Plus!$AO$3,0,IF(OR(Plus!$F$10=Plus!$AK$7,Plus!$F$10=Plus!$AK$13),0,Plus!$G$13*Plus!$AR$2)))</f>
        <v>0</v>
      </c>
      <c r="EN237" s="33">
        <f>IF(ER236&lt;0.01,0,IF(OR(Plus!$F$10=Plus!$AK$7,Plus!$F$10=Plus!$AK$13),0,Plus!$BD$2*1.16))</f>
        <v>0</v>
      </c>
      <c r="EO237" s="33">
        <f>IF(ER236&lt;0.01,0,IF(Plus!$AS$2&gt;0,EI237*Plus!$AS$3,0))</f>
        <v>0</v>
      </c>
      <c r="EP237" s="33">
        <f t="shared" si="520"/>
        <v>0</v>
      </c>
      <c r="EQ237" s="33">
        <f>IF(Plus!$F$10=Plus!$AK$3,MIN(ER236+EI237+EL237+EM237+EN237-EP237,FC237),0)</f>
        <v>0</v>
      </c>
      <c r="ER237" s="311">
        <f t="shared" si="577"/>
        <v>0</v>
      </c>
      <c r="ES237" s="340">
        <f>Plus!O278</f>
        <v>0</v>
      </c>
      <c r="ET237" s="74"/>
      <c r="EU237" s="74"/>
      <c r="EV237" s="416">
        <f t="shared" si="575"/>
        <v>0</v>
      </c>
      <c r="EY237" s="90">
        <f t="shared" si="521"/>
        <v>9</v>
      </c>
      <c r="EZ237" s="121">
        <f t="shared" si="565"/>
        <v>0</v>
      </c>
      <c r="FB237" s="149">
        <f t="shared" si="566"/>
        <v>0</v>
      </c>
      <c r="FC237" s="2179">
        <f t="shared" ca="1" si="522"/>
        <v>0</v>
      </c>
      <c r="FE237" s="120">
        <f t="shared" si="567"/>
        <v>0</v>
      </c>
      <c r="FF237" s="110">
        <f t="shared" si="523"/>
        <v>0</v>
      </c>
      <c r="FG237" s="110">
        <f t="shared" si="524"/>
        <v>0</v>
      </c>
      <c r="FH237" s="109">
        <f t="shared" si="525"/>
        <v>0</v>
      </c>
      <c r="FI237" s="109">
        <f t="shared" si="476"/>
        <v>0</v>
      </c>
      <c r="FJ237" s="113">
        <f t="shared" si="526"/>
        <v>0</v>
      </c>
      <c r="FL237" s="102">
        <f t="shared" si="527"/>
        <v>0</v>
      </c>
      <c r="FM237" s="211">
        <f t="shared" si="454"/>
        <v>213</v>
      </c>
      <c r="FN237" s="212">
        <f t="shared" si="528"/>
        <v>0</v>
      </c>
      <c r="FO237" s="212">
        <f t="shared" si="477"/>
        <v>0</v>
      </c>
      <c r="FP237" s="212">
        <f t="shared" si="584"/>
        <v>0</v>
      </c>
      <c r="FQ237" s="213">
        <f t="shared" si="478"/>
        <v>1000000</v>
      </c>
      <c r="FV237" s="359"/>
      <c r="FX237" s="308">
        <f t="shared" ca="1" si="479"/>
        <v>12</v>
      </c>
      <c r="FY237" s="309">
        <f t="shared" si="530"/>
        <v>0</v>
      </c>
      <c r="FZ237" s="268">
        <f t="shared" si="480"/>
        <v>0</v>
      </c>
      <c r="GA237" s="33">
        <f t="shared" si="531"/>
        <v>0</v>
      </c>
      <c r="GB237" s="33">
        <f t="shared" si="585"/>
        <v>0</v>
      </c>
      <c r="GC237" s="33">
        <f t="shared" si="586"/>
        <v>0</v>
      </c>
      <c r="GD237" s="33">
        <f>IF(GJ236&lt;0.01,0,IF(Plus!$F$22=Plus!$AN$4,0,IF(Plus!$F$22=Plus!$AN$3,GJ236*Plus!$F$23/1000,GJ236*VLOOKUP(Plus!$G$21,Plus!$AP$2:$AQ$5,2,0))))</f>
        <v>0</v>
      </c>
      <c r="GE237" s="33">
        <f>IF(GJ236&lt;0.01,0,IF(Plus!$F$24=Plus!$AO$3,0,IF(OR(Plus!$F$10=Plus!$AK$7,Plus!$F$10=Plus!$AK$13,Plus!$F$10=Plus!$AK$14),0,IF(OR(Plus!$F$10=Plus!$AK$10,Plus!$F$10=Plus!$AK$11),Plus!$G$13*Adm!$W$7,Plus!$G$13*Adm!$X$4))))</f>
        <v>0</v>
      </c>
      <c r="GF237" s="33">
        <f>IF(GJ236&lt;0.01,0,IF(OR(Plus!$F$10=Plus!$AK$7,Plus!$F$10=Plus!$AK$13),0,Plus!$BD$2*1.16))</f>
        <v>0</v>
      </c>
      <c r="GG237" s="33">
        <f>IF(GJ236&lt;0.01,0,IF(Plus!$AS$2&gt;0,GA237*Plus!$AS$3,0))</f>
        <v>0</v>
      </c>
      <c r="GH237" s="33">
        <f t="shared" si="532"/>
        <v>0</v>
      </c>
      <c r="GI237" s="33">
        <f>IF(Plus!$F$10=Plus!$AK$3,MIN(GJ236+GA237+GD237+GE237+GF237-GH237,GU237),0)</f>
        <v>0</v>
      </c>
      <c r="GJ237" s="311">
        <f t="shared" si="578"/>
        <v>0</v>
      </c>
      <c r="GK237" s="340">
        <f>Plus!O278</f>
        <v>0</v>
      </c>
      <c r="GL237" s="74"/>
      <c r="GM237" s="74"/>
      <c r="GN237" s="419">
        <f t="shared" si="576"/>
        <v>0</v>
      </c>
      <c r="GQ237" s="90">
        <f t="shared" si="533"/>
        <v>9</v>
      </c>
      <c r="GR237" s="121">
        <f t="shared" si="568"/>
        <v>0</v>
      </c>
      <c r="GT237" s="149">
        <f t="shared" si="569"/>
        <v>0</v>
      </c>
      <c r="GU237" s="2179">
        <f t="shared" ca="1" si="534"/>
        <v>0</v>
      </c>
      <c r="GW237" s="120">
        <f t="shared" si="570"/>
        <v>0</v>
      </c>
      <c r="GX237" s="110">
        <f t="shared" si="535"/>
        <v>0</v>
      </c>
      <c r="GY237" s="110">
        <f t="shared" si="536"/>
        <v>0</v>
      </c>
      <c r="GZ237" s="109">
        <f t="shared" si="537"/>
        <v>0</v>
      </c>
      <c r="HA237" s="109">
        <f t="shared" si="481"/>
        <v>0</v>
      </c>
      <c r="HB237" s="113">
        <f t="shared" si="538"/>
        <v>0</v>
      </c>
      <c r="HD237" s="102">
        <f t="shared" si="539"/>
        <v>0</v>
      </c>
      <c r="HE237" s="211">
        <f t="shared" si="455"/>
        <v>213</v>
      </c>
      <c r="HF237" s="212">
        <f t="shared" si="540"/>
        <v>0</v>
      </c>
      <c r="HG237" s="212">
        <f t="shared" si="482"/>
        <v>0</v>
      </c>
      <c r="HH237" s="212">
        <f t="shared" si="587"/>
        <v>0</v>
      </c>
      <c r="HI237" s="213">
        <f t="shared" si="483"/>
        <v>1000000</v>
      </c>
      <c r="HL237" s="182"/>
      <c r="HM237" s="26">
        <f t="shared" ca="1" si="484"/>
        <v>12</v>
      </c>
      <c r="HO237" s="268">
        <f t="shared" si="485"/>
        <v>0</v>
      </c>
      <c r="HP237" s="151">
        <f t="shared" si="448"/>
        <v>0</v>
      </c>
      <c r="HQ237" s="123">
        <f t="shared" si="542"/>
        <v>0</v>
      </c>
      <c r="HR237" s="123">
        <f t="shared" si="543"/>
        <v>0</v>
      </c>
      <c r="HS237" s="123">
        <f t="shared" si="544"/>
        <v>0</v>
      </c>
      <c r="HT237" s="123">
        <f>IF(HY236&lt;0.01,0,IF(Adm!$GS$4=Adm!$GS$8,HY236*$HY$15,IF(Adm!$GS$12=Adm!$GS$13,0,HY236*Adm!$GV$4)))</f>
        <v>0</v>
      </c>
      <c r="HU237" s="123">
        <f>IF(HY236&lt;0.01,0,IF(Adm!$GS$5=Adm!$GS$8,Cal!$BO$108*$HY$16/1.16,IF(Adm!$GS$12=Adm!$GS$13,0,Cal!$BO$108*Adm!$GW$4/1.16)))</f>
        <v>0</v>
      </c>
      <c r="HV237" s="123">
        <f t="shared" si="545"/>
        <v>0</v>
      </c>
      <c r="HW237" s="123">
        <f t="shared" si="486"/>
        <v>0</v>
      </c>
      <c r="HX237" s="123">
        <f>IF(Adm!$GH$6="si",MIN(HY236+HQ237+HT237+HU237+HV237-HW237,IH237),0)</f>
        <v>0</v>
      </c>
      <c r="HY237" s="297">
        <f t="shared" si="546"/>
        <v>0</v>
      </c>
      <c r="HZ237" s="74"/>
      <c r="IA237" s="407">
        <f t="shared" si="547"/>
        <v>0</v>
      </c>
      <c r="IC237" s="90">
        <f t="shared" si="548"/>
        <v>9</v>
      </c>
      <c r="ID237" s="124">
        <f>IF(IC237=1,Cal!$BO$127,0)</f>
        <v>0</v>
      </c>
      <c r="IE237" s="178">
        <f>IF(IC237=1,Adm!$HI$4,0)</f>
        <v>0</v>
      </c>
      <c r="IG237" s="70">
        <f t="shared" si="571"/>
        <v>0</v>
      </c>
      <c r="IH237" s="2178">
        <f t="shared" ca="1" si="549"/>
        <v>0</v>
      </c>
      <c r="IK237" s="217"/>
      <c r="IL237" s="26">
        <f t="shared" ca="1" si="487"/>
        <v>12</v>
      </c>
      <c r="IN237" s="268">
        <f t="shared" si="488"/>
        <v>0</v>
      </c>
      <c r="IO237" s="151">
        <f t="shared" si="449"/>
        <v>0</v>
      </c>
      <c r="IP237" s="123">
        <f t="shared" si="550"/>
        <v>0</v>
      </c>
      <c r="IQ237" s="123">
        <f t="shared" si="551"/>
        <v>0</v>
      </c>
      <c r="IR237" s="123">
        <f t="shared" si="552"/>
        <v>0</v>
      </c>
      <c r="IS237" s="123">
        <f>IF(IX236&lt;0.01,0,IF(Adm!$GS$4=Adm!$GS$8,IX236*$IX$15,IF(Adm!$GS$12=Adm!$GS$13,0,IX236*Adm!$GV$4)))</f>
        <v>0</v>
      </c>
      <c r="IT237" s="123"/>
      <c r="IU237" s="123">
        <f t="shared" si="553"/>
        <v>0</v>
      </c>
      <c r="IV237" s="123">
        <f t="shared" si="554"/>
        <v>0</v>
      </c>
      <c r="IW237" s="123"/>
      <c r="IX237" s="297">
        <f t="shared" si="555"/>
        <v>0</v>
      </c>
      <c r="IY237" s="74"/>
      <c r="IZ237" s="416">
        <f t="shared" si="556"/>
        <v>0</v>
      </c>
      <c r="JB237" s="90">
        <f t="shared" si="557"/>
        <v>9</v>
      </c>
      <c r="JC237" s="124">
        <f>IF(JB237=1,Cal!$BP$127,0)</f>
        <v>0</v>
      </c>
      <c r="JD237" s="178">
        <f>IF(JB237=1,Adm!$HI$4,0)</f>
        <v>0</v>
      </c>
    </row>
    <row r="238" spans="1:264">
      <c r="A238" s="26">
        <f t="shared" ca="1" si="456"/>
        <v>1</v>
      </c>
      <c r="C238" s="33">
        <f t="shared" si="457"/>
        <v>0</v>
      </c>
      <c r="D238" s="123">
        <f t="shared" si="489"/>
        <v>0</v>
      </c>
      <c r="E238" s="123">
        <f t="shared" si="579"/>
        <v>0</v>
      </c>
      <c r="F238" s="123">
        <f t="shared" si="589"/>
        <v>0</v>
      </c>
      <c r="G238" s="123">
        <f>IF(L237&lt;0.01,0,IF(Adm!$S$4=Adm!$S$8,L237*$L$15,L237*Adm!$V$4))</f>
        <v>0</v>
      </c>
      <c r="H238" s="123">
        <f>IF(L237&lt;0.01,0,IF(Adm!$S$5=Adm!$S$8,Adm!$AA$11*$L$16/1.16,IF(Adm!$B$4=Adm!$A$119,0,Adm!$AA$11*Adm!$X$4/1.16)))</f>
        <v>0</v>
      </c>
      <c r="I238" s="123">
        <f>IF(L237&lt;0.01,0,Cal!$AB$126/1.16)</f>
        <v>0</v>
      </c>
      <c r="J238" s="123">
        <f t="shared" si="458"/>
        <v>0</v>
      </c>
      <c r="K238" s="123">
        <f>IF(Adm!$G$4="si",MIN(L237+D238+G238+H238+I238-J238,V238),0)</f>
        <v>0</v>
      </c>
      <c r="L238" s="123">
        <f t="shared" si="490"/>
        <v>0</v>
      </c>
      <c r="M238" s="74"/>
      <c r="N238" s="74"/>
      <c r="O238" s="407">
        <f t="shared" si="491"/>
        <v>0</v>
      </c>
      <c r="R238" s="90">
        <f t="shared" si="492"/>
        <v>10</v>
      </c>
      <c r="S238" s="121">
        <f>IF(R238=1,Cal!$AB$127,0)</f>
        <v>0</v>
      </c>
      <c r="U238" s="70">
        <f t="shared" si="558"/>
        <v>0</v>
      </c>
      <c r="V238" s="2178">
        <f t="shared" ca="1" si="493"/>
        <v>0</v>
      </c>
      <c r="X238" s="398"/>
      <c r="Z238" s="268">
        <f t="shared" si="459"/>
        <v>0</v>
      </c>
      <c r="AA238" s="2176">
        <f t="shared" si="494"/>
        <v>0</v>
      </c>
      <c r="AB238" s="33">
        <f t="shared" si="495"/>
        <v>0</v>
      </c>
      <c r="AC238" s="33">
        <f t="shared" si="496"/>
        <v>0</v>
      </c>
      <c r="AD238" s="33">
        <f>IF(AI237&lt;0.01,0,IF(Adm!$S$4=Adm!$S$8,AI237*$AI$15,AI237*Adm!$V$4))</f>
        <v>0</v>
      </c>
      <c r="AE238" s="33"/>
      <c r="AF238" s="33"/>
      <c r="AG238" s="33">
        <f t="shared" si="460"/>
        <v>0</v>
      </c>
      <c r="AH238" s="33"/>
      <c r="AI238" s="401">
        <f t="shared" si="461"/>
        <v>0</v>
      </c>
      <c r="AK238" s="410">
        <f t="shared" si="462"/>
        <v>0</v>
      </c>
      <c r="AN238" s="90">
        <f t="shared" si="497"/>
        <v>10</v>
      </c>
      <c r="AO238" s="121">
        <f>IF(AN238=1,Cal!$AC$127,0)</f>
        <v>0</v>
      </c>
      <c r="AS238" s="200"/>
      <c r="AU238" s="268">
        <f t="shared" si="463"/>
        <v>0</v>
      </c>
      <c r="AV238" s="2177">
        <f t="shared" si="498"/>
        <v>0</v>
      </c>
      <c r="AW238" s="123">
        <f t="shared" si="464"/>
        <v>0</v>
      </c>
      <c r="AX238" s="123">
        <f t="shared" si="499"/>
        <v>0</v>
      </c>
      <c r="AY238" s="123">
        <f>IF(BC237&lt;0.01,0,IF(Adm!$S$4=Adm!$S$8,BC237*$BC$16,BC237*Adm!$V$4))</f>
        <v>0</v>
      </c>
      <c r="AZ238" s="123"/>
      <c r="BA238" s="123">
        <f>IF(BC237&lt;0.01,0,Adm!$Q$6)</f>
        <v>0</v>
      </c>
      <c r="BB238" s="123">
        <f t="shared" si="465"/>
        <v>0</v>
      </c>
      <c r="BC238" s="297">
        <f t="shared" si="500"/>
        <v>0</v>
      </c>
      <c r="BE238" s="425">
        <f t="shared" si="466"/>
        <v>0</v>
      </c>
      <c r="BH238" s="90">
        <f t="shared" si="501"/>
        <v>10</v>
      </c>
      <c r="BI238" s="121">
        <f>IF(BH238=1,Cal!$AD$127,0)</f>
        <v>0</v>
      </c>
      <c r="BM238" s="221"/>
      <c r="BO238" s="295">
        <f t="shared" ca="1" si="467"/>
        <v>1</v>
      </c>
      <c r="BP238" s="268">
        <f t="shared" si="468"/>
        <v>0</v>
      </c>
      <c r="BQ238" s="123">
        <f t="shared" si="502"/>
        <v>0</v>
      </c>
      <c r="BR238" s="123">
        <f t="shared" si="580"/>
        <v>0</v>
      </c>
      <c r="BS238" s="123">
        <f t="shared" si="590"/>
        <v>0</v>
      </c>
      <c r="BT238" s="123">
        <f>IF(BZ237&lt;0.01,0,IF(Plus!$F$22=Plus!$AN$4,BZ237*$BZ$15,IF(Plus!$F$22=Plus!$AN$3,BZ237*Plus!$F$23/1000,BZ237*VLOOKUP(Plus!$G$21,Plus!$AP$2:'Plus'!$AQ$5,2,0))))</f>
        <v>0</v>
      </c>
      <c r="BU238" s="123">
        <f>IF(BZ237&lt;0.01,0,IF(Plus!$F$24=Plus!$AO$3,Plus!$G$13*Plus!$AR$2/1.16,IF(Plus!$F$10=Plus!$AK$7,0,Plus!$G$13*Plus!$AR$2/1.16)))</f>
        <v>0</v>
      </c>
      <c r="BV238" s="123">
        <f>IF(BZ237&lt;0.01,0,Plus!$BD$2)</f>
        <v>0</v>
      </c>
      <c r="BW238" s="123"/>
      <c r="BX238" s="123">
        <f t="shared" si="469"/>
        <v>0</v>
      </c>
      <c r="BY238" s="123">
        <f>IF(Plus!$F$10=Plus!$AK$3,MIN(BZ237+BQ238+BT238+BU238+BV238-BX238,CJ238),0)</f>
        <v>0</v>
      </c>
      <c r="BZ238" s="297">
        <f t="shared" si="574"/>
        <v>0</v>
      </c>
      <c r="CA238" s="74"/>
      <c r="CB238" s="74"/>
      <c r="CC238" s="413">
        <f t="shared" si="503"/>
        <v>0</v>
      </c>
      <c r="CF238" s="90">
        <f t="shared" si="504"/>
        <v>10</v>
      </c>
      <c r="CG238" s="121">
        <f t="shared" si="559"/>
        <v>0</v>
      </c>
      <c r="CI238" s="70">
        <f t="shared" si="560"/>
        <v>0</v>
      </c>
      <c r="CJ238" s="2178">
        <f t="shared" ca="1" si="505"/>
        <v>0</v>
      </c>
      <c r="CL238" s="161"/>
      <c r="CN238" s="308">
        <f t="shared" ca="1" si="470"/>
        <v>1</v>
      </c>
      <c r="CO238" s="309">
        <f t="shared" si="506"/>
        <v>0</v>
      </c>
      <c r="CP238" s="268">
        <f t="shared" si="471"/>
        <v>0</v>
      </c>
      <c r="CQ238" s="123">
        <f t="shared" si="507"/>
        <v>0</v>
      </c>
      <c r="CR238" s="123">
        <f t="shared" si="581"/>
        <v>0</v>
      </c>
      <c r="CS238" s="123">
        <f t="shared" si="582"/>
        <v>0</v>
      </c>
      <c r="CT238" s="33">
        <f>IF(CZ237&lt;0.01,0,IF(Plus!$F$22=Plus!$AN$4,0,IF(Plus!$F$22=Plus!$AN$3,CZ237*Plus!$F$23/1000,CZ237*VLOOKUP(Plus!$G$21,Plus!$AP$2:'Plus'!$AQ$5,2,0))))</f>
        <v>0</v>
      </c>
      <c r="CU238" s="123">
        <f>IF(CZ237&lt;0.01,0,IF(Plus!$F$24=Plus!$AO$3,0,IF(OR(Plus!$F$10=Plus!$AK$7,Plus!$F$10=Plus!$AK$13),0,Plus!$G$13*Plus!$AR$2)))</f>
        <v>0</v>
      </c>
      <c r="CV238" s="123">
        <f>IF(CZ237&lt;0.01,0,IF(OR(Plus!$F$10=Plus!$AK$7,Plus!$F$10=Plus!$AK$13),0,Plus!$BD$2*1.16))</f>
        <v>0</v>
      </c>
      <c r="CW238" s="123">
        <f>IF(CZ237&lt;0.01,0,IF(Plus!$AS$2&gt;0,CQ238*Plus!$AS$3,0))</f>
        <v>0</v>
      </c>
      <c r="CX238" s="123">
        <f t="shared" si="508"/>
        <v>0</v>
      </c>
      <c r="CY238" s="123">
        <f>IF(Plus!$F$10=Plus!$AK$3,MIN(CZ237+CQ238+CT238+CU238+CV238-CX238,DK238),0)</f>
        <v>0</v>
      </c>
      <c r="CZ238" s="297">
        <f t="shared" si="588"/>
        <v>0</v>
      </c>
      <c r="DA238" s="306">
        <f>Plus!O279</f>
        <v>0</v>
      </c>
      <c r="DB238" s="74"/>
      <c r="DC238" s="74"/>
      <c r="DD238" s="407">
        <f t="shared" si="509"/>
        <v>0</v>
      </c>
      <c r="DG238" s="90">
        <f t="shared" si="510"/>
        <v>10</v>
      </c>
      <c r="DH238" s="121">
        <f t="shared" si="561"/>
        <v>0</v>
      </c>
      <c r="DJ238" s="149">
        <f t="shared" si="562"/>
        <v>0</v>
      </c>
      <c r="DK238" s="2179">
        <f t="shared" ca="1" si="511"/>
        <v>0</v>
      </c>
      <c r="DN238" s="120">
        <f t="shared" si="563"/>
        <v>0</v>
      </c>
      <c r="DO238" s="110">
        <f t="shared" si="512"/>
        <v>0</v>
      </c>
      <c r="DP238" s="110">
        <f t="shared" si="572"/>
        <v>0</v>
      </c>
      <c r="DQ238" s="109">
        <f t="shared" si="513"/>
        <v>0</v>
      </c>
      <c r="DR238" s="109">
        <f t="shared" si="514"/>
        <v>0</v>
      </c>
      <c r="DS238" s="113">
        <f t="shared" si="515"/>
        <v>0</v>
      </c>
      <c r="DU238" s="102">
        <f t="shared" si="516"/>
        <v>0</v>
      </c>
      <c r="DV238" s="211">
        <f t="shared" si="573"/>
        <v>214</v>
      </c>
      <c r="DW238" s="212">
        <f t="shared" si="517"/>
        <v>0</v>
      </c>
      <c r="DX238" s="212">
        <f t="shared" si="472"/>
        <v>0</v>
      </c>
      <c r="DY238" s="212">
        <f t="shared" si="564"/>
        <v>0</v>
      </c>
      <c r="DZ238" s="213">
        <f t="shared" si="473"/>
        <v>1000000</v>
      </c>
      <c r="ED238" s="182"/>
      <c r="EF238" s="308">
        <f t="shared" ca="1" si="474"/>
        <v>1</v>
      </c>
      <c r="EG238" s="309">
        <f t="shared" si="518"/>
        <v>0</v>
      </c>
      <c r="EH238" s="268">
        <f t="shared" si="475"/>
        <v>0</v>
      </c>
      <c r="EI238" s="33">
        <f t="shared" si="519"/>
        <v>0</v>
      </c>
      <c r="EJ238" s="33">
        <f t="shared" si="583"/>
        <v>0</v>
      </c>
      <c r="EK238" s="33">
        <f t="shared" si="591"/>
        <v>0</v>
      </c>
      <c r="EL238" s="33">
        <f>IF(ER237&lt;0.01,0,IF(Plus!$F$22=Plus!$AN$4,0,IF(Plus!$F$22=Plus!$AN$3,ER237*Plus!$F$23/1000,ER237*VLOOKUP(Plus!$G$21,Plus!$AP$2:'Plus'!$AQ$5,2,0))))</f>
        <v>0</v>
      </c>
      <c r="EM238" s="33">
        <f>IF(ER237&lt;0.01,0,IF(Plus!$F$24=Plus!$AO$3,0,IF(OR(Plus!$F$10=Plus!$AK$7,Plus!$F$10=Plus!$AK$13),0,Plus!$G$13*Plus!$AR$2)))</f>
        <v>0</v>
      </c>
      <c r="EN238" s="33">
        <f>IF(ER237&lt;0.01,0,IF(OR(Plus!$F$10=Plus!$AK$7,Plus!$F$10=Plus!$AK$13),0,Plus!$BD$2*1.16))</f>
        <v>0</v>
      </c>
      <c r="EO238" s="33">
        <f>IF(ER237&lt;0.01,0,IF(Plus!$AS$2&gt;0,EI238*Plus!$AS$3,0))</f>
        <v>0</v>
      </c>
      <c r="EP238" s="33">
        <f t="shared" si="520"/>
        <v>0</v>
      </c>
      <c r="EQ238" s="33">
        <f>IF(Plus!$F$10=Plus!$AK$3,MIN(ER237+EI238+EL238+EM238+EN238-EP238,FC238),0)</f>
        <v>0</v>
      </c>
      <c r="ER238" s="311">
        <f t="shared" si="577"/>
        <v>0</v>
      </c>
      <c r="ES238" s="340">
        <f>Plus!O279</f>
        <v>0</v>
      </c>
      <c r="ET238" s="74"/>
      <c r="EU238" s="74"/>
      <c r="EV238" s="416">
        <f t="shared" si="575"/>
        <v>0</v>
      </c>
      <c r="EY238" s="90">
        <f t="shared" si="521"/>
        <v>10</v>
      </c>
      <c r="EZ238" s="121">
        <f t="shared" si="565"/>
        <v>0</v>
      </c>
      <c r="FB238" s="149">
        <f t="shared" si="566"/>
        <v>0</v>
      </c>
      <c r="FC238" s="2179">
        <f t="shared" ca="1" si="522"/>
        <v>0</v>
      </c>
      <c r="FE238" s="120">
        <f t="shared" si="567"/>
        <v>0</v>
      </c>
      <c r="FF238" s="110">
        <f t="shared" si="523"/>
        <v>0</v>
      </c>
      <c r="FG238" s="110">
        <f t="shared" si="524"/>
        <v>0</v>
      </c>
      <c r="FH238" s="109">
        <f t="shared" si="525"/>
        <v>0</v>
      </c>
      <c r="FI238" s="109">
        <f t="shared" si="476"/>
        <v>0</v>
      </c>
      <c r="FJ238" s="113">
        <f t="shared" si="526"/>
        <v>0</v>
      </c>
      <c r="FL238" s="102">
        <f t="shared" si="527"/>
        <v>0</v>
      </c>
      <c r="FM238" s="211">
        <f t="shared" si="454"/>
        <v>214</v>
      </c>
      <c r="FN238" s="212">
        <f t="shared" si="528"/>
        <v>0</v>
      </c>
      <c r="FO238" s="212">
        <f t="shared" si="477"/>
        <v>0</v>
      </c>
      <c r="FP238" s="212">
        <f t="shared" si="584"/>
        <v>0</v>
      </c>
      <c r="FQ238" s="213">
        <f t="shared" si="478"/>
        <v>1000000</v>
      </c>
      <c r="FV238" s="359"/>
      <c r="FX238" s="308">
        <f t="shared" ca="1" si="479"/>
        <v>1</v>
      </c>
      <c r="FY238" s="309">
        <f t="shared" si="530"/>
        <v>0</v>
      </c>
      <c r="FZ238" s="268">
        <f t="shared" si="480"/>
        <v>0</v>
      </c>
      <c r="GA238" s="33">
        <f t="shared" si="531"/>
        <v>0</v>
      </c>
      <c r="GB238" s="33">
        <f t="shared" si="585"/>
        <v>0</v>
      </c>
      <c r="GC238" s="33">
        <f t="shared" si="586"/>
        <v>0</v>
      </c>
      <c r="GD238" s="33">
        <f>IF(GJ237&lt;0.01,0,IF(Plus!$F$22=Plus!$AN$4,0,IF(Plus!$F$22=Plus!$AN$3,GJ237*Plus!$F$23/1000,GJ237*VLOOKUP(Plus!$G$21,Plus!$AP$2:$AQ$5,2,0))))</f>
        <v>0</v>
      </c>
      <c r="GE238" s="33">
        <f>IF(GJ237&lt;0.01,0,IF(Plus!$F$24=Plus!$AO$3,0,IF(OR(Plus!$F$10=Plus!$AK$7,Plus!$F$10=Plus!$AK$13,Plus!$F$10=Plus!$AK$14),0,IF(OR(Plus!$F$10=Plus!$AK$10,Plus!$F$10=Plus!$AK$11),Plus!$G$13*Adm!$W$7,Plus!$G$13*Adm!$X$4))))</f>
        <v>0</v>
      </c>
      <c r="GF238" s="33">
        <f>IF(GJ237&lt;0.01,0,IF(OR(Plus!$F$10=Plus!$AK$7,Plus!$F$10=Plus!$AK$13),0,Plus!$BD$2*1.16))</f>
        <v>0</v>
      </c>
      <c r="GG238" s="33">
        <f>IF(GJ237&lt;0.01,0,IF(Plus!$AS$2&gt;0,GA238*Plus!$AS$3,0))</f>
        <v>0</v>
      </c>
      <c r="GH238" s="33">
        <f t="shared" si="532"/>
        <v>0</v>
      </c>
      <c r="GI238" s="33">
        <f>IF(Plus!$F$10=Plus!$AK$3,MIN(GJ237+GA238+GD238+GE238+GF238-GH238,GU238),0)</f>
        <v>0</v>
      </c>
      <c r="GJ238" s="311">
        <f t="shared" si="578"/>
        <v>0</v>
      </c>
      <c r="GK238" s="340">
        <f>Plus!O279</f>
        <v>0</v>
      </c>
      <c r="GL238" s="74"/>
      <c r="GM238" s="74"/>
      <c r="GN238" s="419">
        <f t="shared" si="576"/>
        <v>0</v>
      </c>
      <c r="GQ238" s="90">
        <f t="shared" si="533"/>
        <v>10</v>
      </c>
      <c r="GR238" s="121">
        <f t="shared" si="568"/>
        <v>0</v>
      </c>
      <c r="GT238" s="149">
        <f t="shared" si="569"/>
        <v>0</v>
      </c>
      <c r="GU238" s="2179">
        <f t="shared" ca="1" si="534"/>
        <v>0</v>
      </c>
      <c r="GW238" s="120">
        <f t="shared" si="570"/>
        <v>0</v>
      </c>
      <c r="GX238" s="110">
        <f t="shared" si="535"/>
        <v>0</v>
      </c>
      <c r="GY238" s="110">
        <f t="shared" si="536"/>
        <v>0</v>
      </c>
      <c r="GZ238" s="109">
        <f t="shared" si="537"/>
        <v>0</v>
      </c>
      <c r="HA238" s="109">
        <f t="shared" si="481"/>
        <v>0</v>
      </c>
      <c r="HB238" s="113">
        <f t="shared" si="538"/>
        <v>0</v>
      </c>
      <c r="HD238" s="102">
        <f t="shared" si="539"/>
        <v>0</v>
      </c>
      <c r="HE238" s="211">
        <f t="shared" si="455"/>
        <v>214</v>
      </c>
      <c r="HF238" s="212">
        <f t="shared" si="540"/>
        <v>0</v>
      </c>
      <c r="HG238" s="212">
        <f t="shared" si="482"/>
        <v>0</v>
      </c>
      <c r="HH238" s="212">
        <f t="shared" si="587"/>
        <v>0</v>
      </c>
      <c r="HI238" s="213">
        <f t="shared" si="483"/>
        <v>1000000</v>
      </c>
      <c r="HL238" s="182"/>
      <c r="HM238" s="26">
        <f t="shared" ca="1" si="484"/>
        <v>1</v>
      </c>
      <c r="HO238" s="268">
        <f t="shared" si="485"/>
        <v>0</v>
      </c>
      <c r="HP238" s="151">
        <f t="shared" si="448"/>
        <v>0</v>
      </c>
      <c r="HQ238" s="123">
        <f t="shared" si="542"/>
        <v>0</v>
      </c>
      <c r="HR238" s="123">
        <f t="shared" si="543"/>
        <v>0</v>
      </c>
      <c r="HS238" s="123">
        <f t="shared" si="544"/>
        <v>0</v>
      </c>
      <c r="HT238" s="123">
        <f>IF(HY237&lt;0.01,0,IF(Adm!$GS$4=Adm!$GS$8,HY237*$HY$15,IF(Adm!$GS$12=Adm!$GS$13,0,HY237*Adm!$GV$4)))</f>
        <v>0</v>
      </c>
      <c r="HU238" s="123">
        <f>IF(HY237&lt;0.01,0,IF(Adm!$GS$5=Adm!$GS$8,Cal!$BO$108*$HY$16/1.16,IF(Adm!$GS$12=Adm!$GS$13,0,Cal!$BO$108*Adm!$GW$4/1.16)))</f>
        <v>0</v>
      </c>
      <c r="HV238" s="123">
        <f t="shared" si="545"/>
        <v>0</v>
      </c>
      <c r="HW238" s="123">
        <f t="shared" si="486"/>
        <v>0</v>
      </c>
      <c r="HX238" s="123">
        <f>IF(Adm!$GH$6="si",MIN(HY237+HQ238+HT238+HU238+HV238-HW238,IH238),0)</f>
        <v>0</v>
      </c>
      <c r="HY238" s="297">
        <f t="shared" si="546"/>
        <v>0</v>
      </c>
      <c r="HZ238" s="74"/>
      <c r="IA238" s="407">
        <f t="shared" si="547"/>
        <v>0</v>
      </c>
      <c r="IC238" s="90">
        <f t="shared" si="548"/>
        <v>10</v>
      </c>
      <c r="ID238" s="124">
        <f>IF(IC238=1,Cal!$BO$127,0)</f>
        <v>0</v>
      </c>
      <c r="IE238" s="178">
        <f>IF(IC238=1,Adm!$HI$4,0)</f>
        <v>0</v>
      </c>
      <c r="IG238" s="70">
        <f t="shared" si="571"/>
        <v>0</v>
      </c>
      <c r="IH238" s="2178">
        <f t="shared" ca="1" si="549"/>
        <v>0</v>
      </c>
      <c r="IK238" s="217"/>
      <c r="IL238" s="26">
        <f t="shared" ca="1" si="487"/>
        <v>1</v>
      </c>
      <c r="IN238" s="268">
        <f t="shared" si="488"/>
        <v>0</v>
      </c>
      <c r="IO238" s="151">
        <f t="shared" si="449"/>
        <v>0</v>
      </c>
      <c r="IP238" s="123">
        <f t="shared" si="550"/>
        <v>0</v>
      </c>
      <c r="IQ238" s="123">
        <f t="shared" si="551"/>
        <v>0</v>
      </c>
      <c r="IR238" s="123">
        <f t="shared" si="552"/>
        <v>0</v>
      </c>
      <c r="IS238" s="123">
        <f>IF(IX237&lt;0.01,0,IF(Adm!$GS$4=Adm!$GS$8,IX237*$IX$15,IF(Adm!$GS$12=Adm!$GS$13,0,IX237*Adm!$GV$4)))</f>
        <v>0</v>
      </c>
      <c r="IT238" s="123"/>
      <c r="IU238" s="123">
        <f t="shared" si="553"/>
        <v>0</v>
      </c>
      <c r="IV238" s="123">
        <f t="shared" si="554"/>
        <v>0</v>
      </c>
      <c r="IW238" s="123"/>
      <c r="IX238" s="297">
        <f t="shared" si="555"/>
        <v>0</v>
      </c>
      <c r="IY238" s="74"/>
      <c r="IZ238" s="416">
        <f t="shared" si="556"/>
        <v>0</v>
      </c>
      <c r="JB238" s="90">
        <f t="shared" si="557"/>
        <v>10</v>
      </c>
      <c r="JC238" s="124">
        <f>IF(JB238=1,Cal!$BP$127,0)</f>
        <v>0</v>
      </c>
      <c r="JD238" s="178">
        <f>IF(JB238=1,Adm!$HI$4,0)</f>
        <v>0</v>
      </c>
    </row>
    <row r="239" spans="1:264">
      <c r="A239" s="26">
        <f t="shared" ca="1" si="456"/>
        <v>2</v>
      </c>
      <c r="C239" s="33">
        <f t="shared" si="457"/>
        <v>0</v>
      </c>
      <c r="D239" s="123">
        <f t="shared" si="489"/>
        <v>0</v>
      </c>
      <c r="E239" s="123">
        <f t="shared" si="579"/>
        <v>0</v>
      </c>
      <c r="F239" s="123">
        <f t="shared" si="589"/>
        <v>0</v>
      </c>
      <c r="G239" s="123">
        <f>IF(L238&lt;0.01,0,IF(Adm!$S$4=Adm!$S$8,L238*$L$15,L238*Adm!$V$4))</f>
        <v>0</v>
      </c>
      <c r="H239" s="123">
        <f>IF(L238&lt;0.01,0,IF(Adm!$S$5=Adm!$S$8,Adm!$AA$11*$L$16/1.16,IF(Adm!$B$4=Adm!$A$119,0,Adm!$AA$11*Adm!$X$4/1.16)))</f>
        <v>0</v>
      </c>
      <c r="I239" s="123">
        <f>IF(L238&lt;0.01,0,Cal!$AB$126/1.16)</f>
        <v>0</v>
      </c>
      <c r="J239" s="123">
        <f t="shared" si="458"/>
        <v>0</v>
      </c>
      <c r="K239" s="123">
        <f>IF(Adm!$G$4="si",MIN(L238+D239+G239+H239+I239-J239,V239),0)</f>
        <v>0</v>
      </c>
      <c r="L239" s="123">
        <f t="shared" si="490"/>
        <v>0</v>
      </c>
      <c r="M239" s="74"/>
      <c r="N239" s="74"/>
      <c r="O239" s="407">
        <f t="shared" si="491"/>
        <v>0</v>
      </c>
      <c r="R239" s="90">
        <f t="shared" si="492"/>
        <v>11</v>
      </c>
      <c r="S239" s="121">
        <f>IF(R239=1,Cal!$AB$127,0)</f>
        <v>0</v>
      </c>
      <c r="U239" s="70">
        <f t="shared" si="558"/>
        <v>0</v>
      </c>
      <c r="V239" s="2178">
        <f t="shared" ca="1" si="493"/>
        <v>0</v>
      </c>
      <c r="X239" s="398"/>
      <c r="Z239" s="268">
        <f t="shared" si="459"/>
        <v>0</v>
      </c>
      <c r="AA239" s="2176">
        <f t="shared" si="494"/>
        <v>0</v>
      </c>
      <c r="AB239" s="33">
        <f t="shared" si="495"/>
        <v>0</v>
      </c>
      <c r="AC239" s="33">
        <f t="shared" si="496"/>
        <v>0</v>
      </c>
      <c r="AD239" s="33">
        <f>IF(AI238&lt;0.01,0,IF(Adm!$S$4=Adm!$S$8,AI238*$AI$15,AI238*Adm!$V$4))</f>
        <v>0</v>
      </c>
      <c r="AE239" s="33"/>
      <c r="AF239" s="33"/>
      <c r="AG239" s="33">
        <f t="shared" si="460"/>
        <v>0</v>
      </c>
      <c r="AH239" s="33"/>
      <c r="AI239" s="401">
        <f t="shared" si="461"/>
        <v>0</v>
      </c>
      <c r="AK239" s="410">
        <f t="shared" si="462"/>
        <v>0</v>
      </c>
      <c r="AN239" s="90">
        <f t="shared" si="497"/>
        <v>11</v>
      </c>
      <c r="AO239" s="121">
        <f>IF(AN239=1,Cal!$AC$127,0)</f>
        <v>0</v>
      </c>
      <c r="AS239" s="200"/>
      <c r="AU239" s="268">
        <f t="shared" si="463"/>
        <v>0</v>
      </c>
      <c r="AV239" s="2177">
        <f t="shared" si="498"/>
        <v>0</v>
      </c>
      <c r="AW239" s="123">
        <f t="shared" si="464"/>
        <v>0</v>
      </c>
      <c r="AX239" s="123">
        <f t="shared" si="499"/>
        <v>0</v>
      </c>
      <c r="AY239" s="123">
        <f>IF(BC238&lt;0.01,0,IF(Adm!$S$4=Adm!$S$8,BC238*$BC$16,BC238*Adm!$V$4))</f>
        <v>0</v>
      </c>
      <c r="AZ239" s="123"/>
      <c r="BA239" s="123">
        <f>IF(BC238&lt;0.01,0,Adm!$Q$6)</f>
        <v>0</v>
      </c>
      <c r="BB239" s="123">
        <f t="shared" si="465"/>
        <v>0</v>
      </c>
      <c r="BC239" s="297">
        <f t="shared" si="500"/>
        <v>0</v>
      </c>
      <c r="BE239" s="425">
        <f t="shared" si="466"/>
        <v>0</v>
      </c>
      <c r="BH239" s="90">
        <f t="shared" si="501"/>
        <v>11</v>
      </c>
      <c r="BI239" s="121">
        <f>IF(BH239=1,Cal!$AD$127,0)</f>
        <v>0</v>
      </c>
      <c r="BM239" s="221"/>
      <c r="BO239" s="295">
        <f t="shared" ca="1" si="467"/>
        <v>2</v>
      </c>
      <c r="BP239" s="268">
        <f t="shared" si="468"/>
        <v>0</v>
      </c>
      <c r="BQ239" s="123">
        <f t="shared" si="502"/>
        <v>0</v>
      </c>
      <c r="BR239" s="123">
        <f t="shared" si="580"/>
        <v>0</v>
      </c>
      <c r="BS239" s="123">
        <f t="shared" si="590"/>
        <v>0</v>
      </c>
      <c r="BT239" s="123">
        <f>IF(BZ238&lt;0.01,0,IF(Plus!$F$22=Plus!$AN$4,BZ238*$BZ$15,IF(Plus!$F$22=Plus!$AN$3,BZ238*Plus!$F$23/1000,BZ238*VLOOKUP(Plus!$G$21,Plus!$AP$2:'Plus'!$AQ$5,2,0))))</f>
        <v>0</v>
      </c>
      <c r="BU239" s="123">
        <f>IF(BZ238&lt;0.01,0,IF(Plus!$F$24=Plus!$AO$3,Plus!$G$13*Plus!$AR$2/1.16,IF(Plus!$F$10=Plus!$AK$7,0,Plus!$G$13*Plus!$AR$2/1.16)))</f>
        <v>0</v>
      </c>
      <c r="BV239" s="123">
        <f>IF(BZ238&lt;0.01,0,Plus!$BD$2)</f>
        <v>0</v>
      </c>
      <c r="BW239" s="123"/>
      <c r="BX239" s="123">
        <f t="shared" si="469"/>
        <v>0</v>
      </c>
      <c r="BY239" s="123">
        <f>IF(Plus!$F$10=Plus!$AK$3,MIN(BZ238+BQ239+BT239+BU239+BV239-BX239,CJ239),0)</f>
        <v>0</v>
      </c>
      <c r="BZ239" s="297">
        <f t="shared" si="574"/>
        <v>0</v>
      </c>
      <c r="CA239" s="74"/>
      <c r="CB239" s="74"/>
      <c r="CC239" s="413">
        <f t="shared" si="503"/>
        <v>0</v>
      </c>
      <c r="CF239" s="90">
        <f t="shared" si="504"/>
        <v>11</v>
      </c>
      <c r="CG239" s="121">
        <f t="shared" si="559"/>
        <v>0</v>
      </c>
      <c r="CI239" s="70">
        <f t="shared" si="560"/>
        <v>0</v>
      </c>
      <c r="CJ239" s="2178">
        <f t="shared" ca="1" si="505"/>
        <v>0</v>
      </c>
      <c r="CL239" s="161"/>
      <c r="CN239" s="308">
        <f t="shared" ca="1" si="470"/>
        <v>2</v>
      </c>
      <c r="CO239" s="309">
        <f t="shared" si="506"/>
        <v>0</v>
      </c>
      <c r="CP239" s="268">
        <f t="shared" si="471"/>
        <v>0</v>
      </c>
      <c r="CQ239" s="123">
        <f t="shared" si="507"/>
        <v>0</v>
      </c>
      <c r="CR239" s="123">
        <f t="shared" si="581"/>
        <v>0</v>
      </c>
      <c r="CS239" s="123">
        <f t="shared" si="582"/>
        <v>0</v>
      </c>
      <c r="CT239" s="33">
        <f>IF(CZ238&lt;0.01,0,IF(Plus!$F$22=Plus!$AN$4,0,IF(Plus!$F$22=Plus!$AN$3,CZ238*Plus!$F$23/1000,CZ238*VLOOKUP(Plus!$G$21,Plus!$AP$2:'Plus'!$AQ$5,2,0))))</f>
        <v>0</v>
      </c>
      <c r="CU239" s="123">
        <f>IF(CZ238&lt;0.01,0,IF(Plus!$F$24=Plus!$AO$3,0,IF(OR(Plus!$F$10=Plus!$AK$7,Plus!$F$10=Plus!$AK$13),0,Plus!$G$13*Plus!$AR$2)))</f>
        <v>0</v>
      </c>
      <c r="CV239" s="123">
        <f>IF(CZ238&lt;0.01,0,IF(OR(Plus!$F$10=Plus!$AK$7,Plus!$F$10=Plus!$AK$13),0,Plus!$BD$2*1.16))</f>
        <v>0</v>
      </c>
      <c r="CW239" s="123">
        <f>IF(CZ238&lt;0.01,0,IF(Plus!$AS$2&gt;0,CQ239*Plus!$AS$3,0))</f>
        <v>0</v>
      </c>
      <c r="CX239" s="123">
        <f t="shared" si="508"/>
        <v>0</v>
      </c>
      <c r="CY239" s="123">
        <f>IF(Plus!$F$10=Plus!$AK$3,MIN(CZ238+CQ239+CT239+CU239+CV239-CX239,DK239),0)</f>
        <v>0</v>
      </c>
      <c r="CZ239" s="297">
        <f t="shared" si="588"/>
        <v>0</v>
      </c>
      <c r="DA239" s="306">
        <f>Plus!O280</f>
        <v>0</v>
      </c>
      <c r="DB239" s="74"/>
      <c r="DC239" s="74"/>
      <c r="DD239" s="407">
        <f t="shared" si="509"/>
        <v>0</v>
      </c>
      <c r="DG239" s="90">
        <f t="shared" si="510"/>
        <v>11</v>
      </c>
      <c r="DH239" s="121">
        <f t="shared" si="561"/>
        <v>0</v>
      </c>
      <c r="DJ239" s="149">
        <f t="shared" si="562"/>
        <v>0</v>
      </c>
      <c r="DK239" s="2179">
        <f t="shared" ca="1" si="511"/>
        <v>0</v>
      </c>
      <c r="DN239" s="120">
        <f t="shared" si="563"/>
        <v>0</v>
      </c>
      <c r="DO239" s="110">
        <f t="shared" si="512"/>
        <v>0</v>
      </c>
      <c r="DP239" s="110">
        <f t="shared" si="572"/>
        <v>0</v>
      </c>
      <c r="DQ239" s="109">
        <f t="shared" si="513"/>
        <v>0</v>
      </c>
      <c r="DR239" s="109">
        <f t="shared" si="514"/>
        <v>0</v>
      </c>
      <c r="DS239" s="113">
        <f t="shared" si="515"/>
        <v>0</v>
      </c>
      <c r="DU239" s="102">
        <f t="shared" si="516"/>
        <v>0</v>
      </c>
      <c r="DV239" s="211">
        <f t="shared" si="573"/>
        <v>215</v>
      </c>
      <c r="DW239" s="212">
        <f t="shared" si="517"/>
        <v>0</v>
      </c>
      <c r="DX239" s="212">
        <f t="shared" si="472"/>
        <v>0</v>
      </c>
      <c r="DY239" s="212">
        <f t="shared" si="564"/>
        <v>0</v>
      </c>
      <c r="DZ239" s="213">
        <f t="shared" si="473"/>
        <v>1000000</v>
      </c>
      <c r="ED239" s="182"/>
      <c r="EF239" s="308">
        <f t="shared" ca="1" si="474"/>
        <v>2</v>
      </c>
      <c r="EG239" s="309">
        <f t="shared" si="518"/>
        <v>0</v>
      </c>
      <c r="EH239" s="268">
        <f t="shared" si="475"/>
        <v>0</v>
      </c>
      <c r="EI239" s="33">
        <f t="shared" si="519"/>
        <v>0</v>
      </c>
      <c r="EJ239" s="33">
        <f t="shared" si="583"/>
        <v>0</v>
      </c>
      <c r="EK239" s="33">
        <f t="shared" si="591"/>
        <v>0</v>
      </c>
      <c r="EL239" s="33">
        <f>IF(ER238&lt;0.01,0,IF(Plus!$F$22=Plus!$AN$4,0,IF(Plus!$F$22=Plus!$AN$3,ER238*Plus!$F$23/1000,ER238*VLOOKUP(Plus!$G$21,Plus!$AP$2:'Plus'!$AQ$5,2,0))))</f>
        <v>0</v>
      </c>
      <c r="EM239" s="33">
        <f>IF(ER238&lt;0.01,0,IF(Plus!$F$24=Plus!$AO$3,0,IF(OR(Plus!$F$10=Plus!$AK$7,Plus!$F$10=Plus!$AK$13),0,Plus!$G$13*Plus!$AR$2)))</f>
        <v>0</v>
      </c>
      <c r="EN239" s="33">
        <f>IF(ER238&lt;0.01,0,IF(OR(Plus!$F$10=Plus!$AK$7,Plus!$F$10=Plus!$AK$13),0,Plus!$BD$2*1.16))</f>
        <v>0</v>
      </c>
      <c r="EO239" s="33">
        <f>IF(ER238&lt;0.01,0,IF(Plus!$AS$2&gt;0,EI239*Plus!$AS$3,0))</f>
        <v>0</v>
      </c>
      <c r="EP239" s="33">
        <f t="shared" si="520"/>
        <v>0</v>
      </c>
      <c r="EQ239" s="33">
        <f>IF(Plus!$F$10=Plus!$AK$3,MIN(ER238+EI239+EL239+EM239+EN239-EP239,FC239),0)</f>
        <v>0</v>
      </c>
      <c r="ER239" s="311">
        <f t="shared" si="577"/>
        <v>0</v>
      </c>
      <c r="ES239" s="340">
        <f>Plus!O280</f>
        <v>0</v>
      </c>
      <c r="ET239" s="74"/>
      <c r="EU239" s="74"/>
      <c r="EV239" s="416">
        <f t="shared" si="575"/>
        <v>0</v>
      </c>
      <c r="EY239" s="90">
        <f t="shared" si="521"/>
        <v>11</v>
      </c>
      <c r="EZ239" s="121">
        <f t="shared" si="565"/>
        <v>0</v>
      </c>
      <c r="FB239" s="149">
        <f t="shared" si="566"/>
        <v>0</v>
      </c>
      <c r="FC239" s="2179">
        <f t="shared" ca="1" si="522"/>
        <v>0</v>
      </c>
      <c r="FE239" s="120">
        <f t="shared" si="567"/>
        <v>0</v>
      </c>
      <c r="FF239" s="110">
        <f t="shared" si="523"/>
        <v>0</v>
      </c>
      <c r="FG239" s="110">
        <f t="shared" si="524"/>
        <v>0</v>
      </c>
      <c r="FH239" s="109">
        <f t="shared" si="525"/>
        <v>0</v>
      </c>
      <c r="FI239" s="109">
        <f t="shared" si="476"/>
        <v>0</v>
      </c>
      <c r="FJ239" s="113">
        <f t="shared" si="526"/>
        <v>0</v>
      </c>
      <c r="FL239" s="102">
        <f t="shared" si="527"/>
        <v>0</v>
      </c>
      <c r="FM239" s="211">
        <f t="shared" si="454"/>
        <v>215</v>
      </c>
      <c r="FN239" s="212">
        <f t="shared" si="528"/>
        <v>0</v>
      </c>
      <c r="FO239" s="212">
        <f t="shared" si="477"/>
        <v>0</v>
      </c>
      <c r="FP239" s="212">
        <f t="shared" si="584"/>
        <v>0</v>
      </c>
      <c r="FQ239" s="213">
        <f t="shared" si="478"/>
        <v>1000000</v>
      </c>
      <c r="FV239" s="359"/>
      <c r="FX239" s="308">
        <f t="shared" ca="1" si="479"/>
        <v>2</v>
      </c>
      <c r="FY239" s="309">
        <f t="shared" si="530"/>
        <v>0</v>
      </c>
      <c r="FZ239" s="268">
        <f t="shared" si="480"/>
        <v>0</v>
      </c>
      <c r="GA239" s="33">
        <f t="shared" si="531"/>
        <v>0</v>
      </c>
      <c r="GB239" s="33">
        <f t="shared" si="585"/>
        <v>0</v>
      </c>
      <c r="GC239" s="33">
        <f t="shared" si="586"/>
        <v>0</v>
      </c>
      <c r="GD239" s="33">
        <f>IF(GJ238&lt;0.01,0,IF(Plus!$F$22=Plus!$AN$4,0,IF(Plus!$F$22=Plus!$AN$3,GJ238*Plus!$F$23/1000,GJ238*VLOOKUP(Plus!$G$21,Plus!$AP$2:$AQ$5,2,0))))</f>
        <v>0</v>
      </c>
      <c r="GE239" s="33">
        <f>IF(GJ238&lt;0.01,0,IF(Plus!$F$24=Plus!$AO$3,0,IF(OR(Plus!$F$10=Plus!$AK$7,Plus!$F$10=Plus!$AK$13,Plus!$F$10=Plus!$AK$14),0,IF(OR(Plus!$F$10=Plus!$AK$10,Plus!$F$10=Plus!$AK$11),Plus!$G$13*Adm!$W$7,Plus!$G$13*Adm!$X$4))))</f>
        <v>0</v>
      </c>
      <c r="GF239" s="33">
        <f>IF(GJ238&lt;0.01,0,IF(OR(Plus!$F$10=Plus!$AK$7,Plus!$F$10=Plus!$AK$13),0,Plus!$BD$2*1.16))</f>
        <v>0</v>
      </c>
      <c r="GG239" s="33">
        <f>IF(GJ238&lt;0.01,0,IF(Plus!$AS$2&gt;0,GA239*Plus!$AS$3,0))</f>
        <v>0</v>
      </c>
      <c r="GH239" s="33">
        <f t="shared" si="532"/>
        <v>0</v>
      </c>
      <c r="GI239" s="33">
        <f>IF(Plus!$F$10=Plus!$AK$3,MIN(GJ238+GA239+GD239+GE239+GF239-GH239,GU239),0)</f>
        <v>0</v>
      </c>
      <c r="GJ239" s="311">
        <f t="shared" si="578"/>
        <v>0</v>
      </c>
      <c r="GK239" s="340">
        <f>Plus!O280</f>
        <v>0</v>
      </c>
      <c r="GL239" s="74"/>
      <c r="GM239" s="74"/>
      <c r="GN239" s="419">
        <f t="shared" si="576"/>
        <v>0</v>
      </c>
      <c r="GQ239" s="90">
        <f t="shared" si="533"/>
        <v>11</v>
      </c>
      <c r="GR239" s="121">
        <f t="shared" si="568"/>
        <v>0</v>
      </c>
      <c r="GT239" s="149">
        <f t="shared" si="569"/>
        <v>0</v>
      </c>
      <c r="GU239" s="2179">
        <f t="shared" ca="1" si="534"/>
        <v>0</v>
      </c>
      <c r="GW239" s="120">
        <f t="shared" si="570"/>
        <v>0</v>
      </c>
      <c r="GX239" s="110">
        <f t="shared" si="535"/>
        <v>0</v>
      </c>
      <c r="GY239" s="110">
        <f t="shared" si="536"/>
        <v>0</v>
      </c>
      <c r="GZ239" s="109">
        <f t="shared" si="537"/>
        <v>0</v>
      </c>
      <c r="HA239" s="109">
        <f t="shared" si="481"/>
        <v>0</v>
      </c>
      <c r="HB239" s="113">
        <f t="shared" si="538"/>
        <v>0</v>
      </c>
      <c r="HD239" s="102">
        <f t="shared" si="539"/>
        <v>0</v>
      </c>
      <c r="HE239" s="211">
        <f t="shared" si="455"/>
        <v>215</v>
      </c>
      <c r="HF239" s="212">
        <f t="shared" si="540"/>
        <v>0</v>
      </c>
      <c r="HG239" s="212">
        <f t="shared" si="482"/>
        <v>0</v>
      </c>
      <c r="HH239" s="212">
        <f t="shared" si="587"/>
        <v>0</v>
      </c>
      <c r="HI239" s="213">
        <f t="shared" si="483"/>
        <v>1000000</v>
      </c>
      <c r="HL239" s="182"/>
      <c r="HM239" s="26">
        <f t="shared" ca="1" si="484"/>
        <v>2</v>
      </c>
      <c r="HO239" s="268">
        <f t="shared" si="485"/>
        <v>0</v>
      </c>
      <c r="HP239" s="151">
        <f t="shared" si="448"/>
        <v>0</v>
      </c>
      <c r="HQ239" s="123">
        <f t="shared" si="542"/>
        <v>0</v>
      </c>
      <c r="HR239" s="123">
        <f t="shared" si="543"/>
        <v>0</v>
      </c>
      <c r="HS239" s="123">
        <f t="shared" si="544"/>
        <v>0</v>
      </c>
      <c r="HT239" s="123">
        <f>IF(HY238&lt;0.01,0,IF(Adm!$GS$4=Adm!$GS$8,HY238*$HY$15,IF(Adm!$GS$12=Adm!$GS$13,0,HY238*Adm!$GV$4)))</f>
        <v>0</v>
      </c>
      <c r="HU239" s="123">
        <f>IF(HY238&lt;0.01,0,IF(Adm!$GS$5=Adm!$GS$8,Cal!$BO$108*$HY$16/1.16,IF(Adm!$GS$12=Adm!$GS$13,0,Cal!$BO$108*Adm!$GW$4/1.16)))</f>
        <v>0</v>
      </c>
      <c r="HV239" s="123">
        <f t="shared" si="545"/>
        <v>0</v>
      </c>
      <c r="HW239" s="123">
        <f t="shared" si="486"/>
        <v>0</v>
      </c>
      <c r="HX239" s="123">
        <f>IF(Adm!$GH$6="si",MIN(HY238+HQ239+HT239+HU239+HV239-HW239,IH239),0)</f>
        <v>0</v>
      </c>
      <c r="HY239" s="297">
        <f t="shared" si="546"/>
        <v>0</v>
      </c>
      <c r="HZ239" s="74"/>
      <c r="IA239" s="407">
        <f t="shared" si="547"/>
        <v>0</v>
      </c>
      <c r="IC239" s="90">
        <f t="shared" si="548"/>
        <v>11</v>
      </c>
      <c r="ID239" s="124">
        <f>IF(IC239=1,Cal!$BO$127,0)</f>
        <v>0</v>
      </c>
      <c r="IE239" s="178">
        <f>IF(IC239=1,Adm!$HI$4,0)</f>
        <v>0</v>
      </c>
      <c r="IG239" s="70">
        <f t="shared" si="571"/>
        <v>0</v>
      </c>
      <c r="IH239" s="2178">
        <f t="shared" ca="1" si="549"/>
        <v>0</v>
      </c>
      <c r="IK239" s="217"/>
      <c r="IL239" s="26">
        <f t="shared" ca="1" si="487"/>
        <v>2</v>
      </c>
      <c r="IN239" s="268">
        <f t="shared" si="488"/>
        <v>0</v>
      </c>
      <c r="IO239" s="151">
        <f t="shared" si="449"/>
        <v>0</v>
      </c>
      <c r="IP239" s="123">
        <f t="shared" si="550"/>
        <v>0</v>
      </c>
      <c r="IQ239" s="123">
        <f t="shared" si="551"/>
        <v>0</v>
      </c>
      <c r="IR239" s="123">
        <f t="shared" si="552"/>
        <v>0</v>
      </c>
      <c r="IS239" s="123">
        <f>IF(IX238&lt;0.01,0,IF(Adm!$GS$4=Adm!$GS$8,IX238*$IX$15,IF(Adm!$GS$12=Adm!$GS$13,0,IX238*Adm!$GV$4)))</f>
        <v>0</v>
      </c>
      <c r="IT239" s="123"/>
      <c r="IU239" s="123">
        <f t="shared" si="553"/>
        <v>0</v>
      </c>
      <c r="IV239" s="123">
        <f t="shared" si="554"/>
        <v>0</v>
      </c>
      <c r="IW239" s="123"/>
      <c r="IX239" s="297">
        <f t="shared" si="555"/>
        <v>0</v>
      </c>
      <c r="IY239" s="74"/>
      <c r="IZ239" s="416">
        <f t="shared" si="556"/>
        <v>0</v>
      </c>
      <c r="JB239" s="90">
        <f t="shared" si="557"/>
        <v>11</v>
      </c>
      <c r="JC239" s="124">
        <f>IF(JB239=1,Cal!$BP$127,0)</f>
        <v>0</v>
      </c>
      <c r="JD239" s="178">
        <f>IF(JB239=1,Adm!$HI$4,0)</f>
        <v>0</v>
      </c>
    </row>
    <row r="240" spans="1:264">
      <c r="A240" s="26">
        <f t="shared" ca="1" si="456"/>
        <v>3</v>
      </c>
      <c r="C240" s="33">
        <f t="shared" si="457"/>
        <v>0</v>
      </c>
      <c r="D240" s="123">
        <f t="shared" si="489"/>
        <v>0</v>
      </c>
      <c r="E240" s="123">
        <f t="shared" si="579"/>
        <v>0</v>
      </c>
      <c r="F240" s="123">
        <f t="shared" si="589"/>
        <v>0</v>
      </c>
      <c r="G240" s="123">
        <f>IF(L239&lt;0.01,0,IF(Adm!$S$4=Adm!$S$8,L239*$L$15,L239*Adm!$V$4))</f>
        <v>0</v>
      </c>
      <c r="H240" s="123">
        <f>IF(L239&lt;0.01,0,IF(Adm!$S$5=Adm!$S$8,Adm!$AA$11*$L$16/1.16,IF(Adm!$B$4=Adm!$A$119,0,Adm!$AA$11*Adm!$X$4/1.16)))</f>
        <v>0</v>
      </c>
      <c r="I240" s="123">
        <f>IF(L239&lt;0.01,0,Cal!$AB$126/1.16)</f>
        <v>0</v>
      </c>
      <c r="J240" s="123">
        <f t="shared" si="458"/>
        <v>0</v>
      </c>
      <c r="K240" s="123">
        <f>IF(Adm!$G$4="si",MIN(L239+D240+G240+H240+I240-J240,V240),0)</f>
        <v>0</v>
      </c>
      <c r="L240" s="123">
        <f t="shared" si="490"/>
        <v>0</v>
      </c>
      <c r="M240" s="74"/>
      <c r="N240" s="74"/>
      <c r="O240" s="407">
        <f t="shared" si="491"/>
        <v>0</v>
      </c>
      <c r="R240" s="90">
        <f t="shared" si="492"/>
        <v>12</v>
      </c>
      <c r="S240" s="121">
        <f>IF(R240=1,Cal!$AB$127,0)</f>
        <v>0</v>
      </c>
      <c r="U240" s="70">
        <f t="shared" si="558"/>
        <v>0</v>
      </c>
      <c r="V240" s="2178">
        <f t="shared" ca="1" si="493"/>
        <v>0</v>
      </c>
      <c r="X240" s="398"/>
      <c r="Z240" s="268">
        <f t="shared" si="459"/>
        <v>0</v>
      </c>
      <c r="AA240" s="2176">
        <f t="shared" si="494"/>
        <v>0</v>
      </c>
      <c r="AB240" s="33">
        <f t="shared" si="495"/>
        <v>0</v>
      </c>
      <c r="AC240" s="33">
        <f t="shared" si="496"/>
        <v>0</v>
      </c>
      <c r="AD240" s="33">
        <f>IF(AI239&lt;0.01,0,IF(Adm!$S$4=Adm!$S$8,AI239*$AI$15,AI239*Adm!$V$4))</f>
        <v>0</v>
      </c>
      <c r="AE240" s="33"/>
      <c r="AF240" s="33"/>
      <c r="AG240" s="33">
        <f t="shared" si="460"/>
        <v>0</v>
      </c>
      <c r="AH240" s="33"/>
      <c r="AI240" s="401">
        <f t="shared" si="461"/>
        <v>0</v>
      </c>
      <c r="AK240" s="410">
        <f t="shared" si="462"/>
        <v>0</v>
      </c>
      <c r="AN240" s="90">
        <f t="shared" si="497"/>
        <v>12</v>
      </c>
      <c r="AO240" s="121">
        <f>IF(AN240=1,Cal!$AC$127,0)</f>
        <v>0</v>
      </c>
      <c r="AS240" s="200"/>
      <c r="AU240" s="268">
        <f t="shared" si="463"/>
        <v>0</v>
      </c>
      <c r="AV240" s="2177">
        <f t="shared" si="498"/>
        <v>0</v>
      </c>
      <c r="AW240" s="123">
        <f t="shared" si="464"/>
        <v>0</v>
      </c>
      <c r="AX240" s="123">
        <f t="shared" si="499"/>
        <v>0</v>
      </c>
      <c r="AY240" s="123">
        <f>IF(BC239&lt;0.01,0,IF(Adm!$S$4=Adm!$S$8,BC239*$BC$16,BC239*Adm!$V$4))</f>
        <v>0</v>
      </c>
      <c r="AZ240" s="123"/>
      <c r="BA240" s="123">
        <f>IF(BC239&lt;0.01,0,Adm!$Q$6)</f>
        <v>0</v>
      </c>
      <c r="BB240" s="123">
        <f t="shared" si="465"/>
        <v>0</v>
      </c>
      <c r="BC240" s="297">
        <f t="shared" si="500"/>
        <v>0</v>
      </c>
      <c r="BE240" s="425">
        <f t="shared" si="466"/>
        <v>0</v>
      </c>
      <c r="BH240" s="90">
        <f t="shared" si="501"/>
        <v>12</v>
      </c>
      <c r="BI240" s="121">
        <f>IF(BH240=1,Cal!$AD$127,0)</f>
        <v>0</v>
      </c>
      <c r="BM240" s="221"/>
      <c r="BO240" s="295">
        <f t="shared" ca="1" si="467"/>
        <v>3</v>
      </c>
      <c r="BP240" s="268">
        <f t="shared" si="468"/>
        <v>0</v>
      </c>
      <c r="BQ240" s="123">
        <f t="shared" si="502"/>
        <v>0</v>
      </c>
      <c r="BR240" s="123">
        <f t="shared" si="580"/>
        <v>0</v>
      </c>
      <c r="BS240" s="123">
        <f t="shared" si="590"/>
        <v>0</v>
      </c>
      <c r="BT240" s="123">
        <f>IF(BZ239&lt;0.01,0,IF(Plus!$F$22=Plus!$AN$4,BZ239*$BZ$15,IF(Plus!$F$22=Plus!$AN$3,BZ239*Plus!$F$23/1000,BZ239*VLOOKUP(Plus!$G$21,Plus!$AP$2:'Plus'!$AQ$5,2,0))))</f>
        <v>0</v>
      </c>
      <c r="BU240" s="123">
        <f>IF(BZ239&lt;0.01,0,IF(Plus!$F$24=Plus!$AO$3,Plus!$G$13*Plus!$AR$2/1.16,IF(Plus!$F$10=Plus!$AK$7,0,Plus!$G$13*Plus!$AR$2/1.16)))</f>
        <v>0</v>
      </c>
      <c r="BV240" s="123">
        <f>IF(BZ239&lt;0.01,0,Plus!$BD$2)</f>
        <v>0</v>
      </c>
      <c r="BW240" s="123"/>
      <c r="BX240" s="123">
        <f t="shared" si="469"/>
        <v>0</v>
      </c>
      <c r="BY240" s="123">
        <f>IF(Plus!$F$10=Plus!$AK$3,MIN(BZ239+BQ240+BT240+BU240+BV240-BX240,CJ240),0)</f>
        <v>0</v>
      </c>
      <c r="BZ240" s="297">
        <f t="shared" si="574"/>
        <v>0</v>
      </c>
      <c r="CA240" s="74"/>
      <c r="CB240" s="74"/>
      <c r="CC240" s="413">
        <f t="shared" si="503"/>
        <v>0</v>
      </c>
      <c r="CF240" s="90">
        <f t="shared" si="504"/>
        <v>12</v>
      </c>
      <c r="CG240" s="121">
        <f t="shared" si="559"/>
        <v>0</v>
      </c>
      <c r="CI240" s="70">
        <f t="shared" si="560"/>
        <v>0</v>
      </c>
      <c r="CJ240" s="2178">
        <f t="shared" ca="1" si="505"/>
        <v>0</v>
      </c>
      <c r="CL240" s="161"/>
      <c r="CN240" s="308">
        <f t="shared" ca="1" si="470"/>
        <v>3</v>
      </c>
      <c r="CO240" s="309">
        <f t="shared" si="506"/>
        <v>0</v>
      </c>
      <c r="CP240" s="268">
        <f t="shared" si="471"/>
        <v>0</v>
      </c>
      <c r="CQ240" s="123">
        <f t="shared" si="507"/>
        <v>0</v>
      </c>
      <c r="CR240" s="123">
        <f t="shared" si="581"/>
        <v>0</v>
      </c>
      <c r="CS240" s="123">
        <f t="shared" si="582"/>
        <v>0</v>
      </c>
      <c r="CT240" s="33">
        <f>IF(CZ239&lt;0.01,0,IF(Plus!$F$22=Plus!$AN$4,0,IF(Plus!$F$22=Plus!$AN$3,CZ239*Plus!$F$23/1000,CZ239*VLOOKUP(Plus!$G$21,Plus!$AP$2:'Plus'!$AQ$5,2,0))))</f>
        <v>0</v>
      </c>
      <c r="CU240" s="123">
        <f>IF(CZ239&lt;0.01,0,IF(Plus!$F$24=Plus!$AO$3,0,IF(OR(Plus!$F$10=Plus!$AK$7,Plus!$F$10=Plus!$AK$13),0,Plus!$G$13*Plus!$AR$2)))</f>
        <v>0</v>
      </c>
      <c r="CV240" s="123">
        <f>IF(CZ239&lt;0.01,0,IF(OR(Plus!$F$10=Plus!$AK$7,Plus!$F$10=Plus!$AK$13),0,Plus!$BD$2*1.16))</f>
        <v>0</v>
      </c>
      <c r="CW240" s="123">
        <f>IF(CZ239&lt;0.01,0,IF(Plus!$AS$2&gt;0,CQ240*Plus!$AS$3,0))</f>
        <v>0</v>
      </c>
      <c r="CX240" s="123">
        <f t="shared" si="508"/>
        <v>0</v>
      </c>
      <c r="CY240" s="123">
        <f>IF(Plus!$F$10=Plus!$AK$3,MIN(CZ239+CQ240+CT240+CU240+CV240-CX240,DK240),0)</f>
        <v>0</v>
      </c>
      <c r="CZ240" s="297">
        <f t="shared" si="588"/>
        <v>0</v>
      </c>
      <c r="DA240" s="306">
        <f>Plus!O281</f>
        <v>0</v>
      </c>
      <c r="DB240" s="74"/>
      <c r="DC240" s="74"/>
      <c r="DD240" s="407">
        <f t="shared" si="509"/>
        <v>0</v>
      </c>
      <c r="DG240" s="90">
        <f t="shared" si="510"/>
        <v>12</v>
      </c>
      <c r="DH240" s="121">
        <f t="shared" si="561"/>
        <v>0</v>
      </c>
      <c r="DJ240" s="149">
        <f t="shared" si="562"/>
        <v>0</v>
      </c>
      <c r="DK240" s="2179">
        <f t="shared" ca="1" si="511"/>
        <v>0</v>
      </c>
      <c r="DN240" s="120">
        <f t="shared" si="563"/>
        <v>0</v>
      </c>
      <c r="DO240" s="110">
        <f t="shared" si="512"/>
        <v>0</v>
      </c>
      <c r="DP240" s="110">
        <f t="shared" si="572"/>
        <v>0</v>
      </c>
      <c r="DQ240" s="109">
        <f t="shared" si="513"/>
        <v>0</v>
      </c>
      <c r="DR240" s="109">
        <f t="shared" si="514"/>
        <v>0</v>
      </c>
      <c r="DS240" s="113">
        <f t="shared" si="515"/>
        <v>0</v>
      </c>
      <c r="DU240" s="102">
        <f t="shared" si="516"/>
        <v>0</v>
      </c>
      <c r="DV240" s="211">
        <f t="shared" si="573"/>
        <v>216</v>
      </c>
      <c r="DW240" s="212">
        <f t="shared" si="517"/>
        <v>0</v>
      </c>
      <c r="DX240" s="212">
        <f t="shared" si="472"/>
        <v>0</v>
      </c>
      <c r="DY240" s="212">
        <f t="shared" si="564"/>
        <v>0</v>
      </c>
      <c r="DZ240" s="213">
        <f t="shared" si="473"/>
        <v>1000000</v>
      </c>
      <c r="ED240" s="182"/>
      <c r="EF240" s="308">
        <f t="shared" ca="1" si="474"/>
        <v>3</v>
      </c>
      <c r="EG240" s="309">
        <f t="shared" si="518"/>
        <v>0</v>
      </c>
      <c r="EH240" s="268">
        <f t="shared" si="475"/>
        <v>0</v>
      </c>
      <c r="EI240" s="33">
        <f t="shared" si="519"/>
        <v>0</v>
      </c>
      <c r="EJ240" s="33">
        <f t="shared" si="583"/>
        <v>0</v>
      </c>
      <c r="EK240" s="33">
        <f t="shared" si="591"/>
        <v>0</v>
      </c>
      <c r="EL240" s="33">
        <f>IF(ER239&lt;0.01,0,IF(Plus!$F$22=Plus!$AN$4,0,IF(Plus!$F$22=Plus!$AN$3,ER239*Plus!$F$23/1000,ER239*VLOOKUP(Plus!$G$21,Plus!$AP$2:'Plus'!$AQ$5,2,0))))</f>
        <v>0</v>
      </c>
      <c r="EM240" s="33">
        <f>IF(ER239&lt;0.01,0,IF(Plus!$F$24=Plus!$AO$3,0,IF(OR(Plus!$F$10=Plus!$AK$7,Plus!$F$10=Plus!$AK$13),0,Plus!$G$13*Plus!$AR$2)))</f>
        <v>0</v>
      </c>
      <c r="EN240" s="33">
        <f>IF(ER239&lt;0.01,0,IF(OR(Plus!$F$10=Plus!$AK$7,Plus!$F$10=Plus!$AK$13),0,Plus!$BD$2*1.16))</f>
        <v>0</v>
      </c>
      <c r="EO240" s="33">
        <f>IF(ER239&lt;0.01,0,IF(Plus!$AS$2&gt;0,EI240*Plus!$AS$3,0))</f>
        <v>0</v>
      </c>
      <c r="EP240" s="33">
        <f t="shared" si="520"/>
        <v>0</v>
      </c>
      <c r="EQ240" s="33">
        <f>IF(Plus!$F$10=Plus!$AK$3,MIN(ER239+EI240+EL240+EM240+EN240-EP240,FC240),0)</f>
        <v>0</v>
      </c>
      <c r="ER240" s="311">
        <f t="shared" si="577"/>
        <v>0</v>
      </c>
      <c r="ES240" s="340">
        <f>Plus!O281</f>
        <v>0</v>
      </c>
      <c r="ET240" s="74"/>
      <c r="EU240" s="74"/>
      <c r="EV240" s="416">
        <f t="shared" si="575"/>
        <v>0</v>
      </c>
      <c r="EY240" s="90">
        <f t="shared" si="521"/>
        <v>12</v>
      </c>
      <c r="EZ240" s="121">
        <f t="shared" si="565"/>
        <v>0</v>
      </c>
      <c r="FB240" s="149">
        <f t="shared" si="566"/>
        <v>0</v>
      </c>
      <c r="FC240" s="2179">
        <f t="shared" ca="1" si="522"/>
        <v>0</v>
      </c>
      <c r="FE240" s="120">
        <f t="shared" si="567"/>
        <v>0</v>
      </c>
      <c r="FF240" s="110">
        <f t="shared" si="523"/>
        <v>0</v>
      </c>
      <c r="FG240" s="110">
        <f t="shared" si="524"/>
        <v>0</v>
      </c>
      <c r="FH240" s="109">
        <f t="shared" si="525"/>
        <v>0</v>
      </c>
      <c r="FI240" s="109">
        <f t="shared" si="476"/>
        <v>0</v>
      </c>
      <c r="FJ240" s="113">
        <f t="shared" si="526"/>
        <v>0</v>
      </c>
      <c r="FL240" s="102">
        <f t="shared" si="527"/>
        <v>0</v>
      </c>
      <c r="FM240" s="211">
        <f t="shared" si="454"/>
        <v>216</v>
      </c>
      <c r="FN240" s="212">
        <f t="shared" si="528"/>
        <v>0</v>
      </c>
      <c r="FO240" s="212">
        <f t="shared" si="477"/>
        <v>0</v>
      </c>
      <c r="FP240" s="212">
        <f t="shared" si="584"/>
        <v>0</v>
      </c>
      <c r="FQ240" s="213">
        <f t="shared" si="478"/>
        <v>1000000</v>
      </c>
      <c r="FV240" s="359"/>
      <c r="FX240" s="308">
        <f t="shared" ca="1" si="479"/>
        <v>3</v>
      </c>
      <c r="FY240" s="309">
        <f t="shared" si="530"/>
        <v>0</v>
      </c>
      <c r="FZ240" s="268">
        <f t="shared" si="480"/>
        <v>0</v>
      </c>
      <c r="GA240" s="33">
        <f t="shared" si="531"/>
        <v>0</v>
      </c>
      <c r="GB240" s="33">
        <f t="shared" si="585"/>
        <v>0</v>
      </c>
      <c r="GC240" s="33">
        <f t="shared" si="586"/>
        <v>0</v>
      </c>
      <c r="GD240" s="33">
        <f>IF(GJ239&lt;0.01,0,IF(Plus!$F$22=Plus!$AN$4,0,IF(Plus!$F$22=Plus!$AN$3,GJ239*Plus!$F$23/1000,GJ239*VLOOKUP(Plus!$G$21,Plus!$AP$2:$AQ$5,2,0))))</f>
        <v>0</v>
      </c>
      <c r="GE240" s="33">
        <f>IF(GJ239&lt;0.01,0,IF(Plus!$F$24=Plus!$AO$3,0,IF(OR(Plus!$F$10=Plus!$AK$7,Plus!$F$10=Plus!$AK$13,Plus!$F$10=Plus!$AK$14),0,IF(OR(Plus!$F$10=Plus!$AK$10,Plus!$F$10=Plus!$AK$11),Plus!$G$13*Adm!$W$7,Plus!$G$13*Adm!$X$4))))</f>
        <v>0</v>
      </c>
      <c r="GF240" s="33">
        <f>IF(GJ239&lt;0.01,0,IF(OR(Plus!$F$10=Plus!$AK$7,Plus!$F$10=Plus!$AK$13),0,Plus!$BD$2*1.16))</f>
        <v>0</v>
      </c>
      <c r="GG240" s="33">
        <f>IF(GJ239&lt;0.01,0,IF(Plus!$AS$2&gt;0,GA240*Plus!$AS$3,0))</f>
        <v>0</v>
      </c>
      <c r="GH240" s="33">
        <f t="shared" si="532"/>
        <v>0</v>
      </c>
      <c r="GI240" s="33">
        <f>IF(Plus!$F$10=Plus!$AK$3,MIN(GJ239+GA240+GD240+GE240+GF240-GH240,GU240),0)</f>
        <v>0</v>
      </c>
      <c r="GJ240" s="311">
        <f t="shared" si="578"/>
        <v>0</v>
      </c>
      <c r="GK240" s="340">
        <f>Plus!O281</f>
        <v>0</v>
      </c>
      <c r="GL240" s="74"/>
      <c r="GM240" s="74"/>
      <c r="GN240" s="419">
        <f t="shared" si="576"/>
        <v>0</v>
      </c>
      <c r="GQ240" s="90">
        <f t="shared" si="533"/>
        <v>12</v>
      </c>
      <c r="GR240" s="121">
        <f t="shared" si="568"/>
        <v>0</v>
      </c>
      <c r="GT240" s="149">
        <f t="shared" si="569"/>
        <v>0</v>
      </c>
      <c r="GU240" s="2179">
        <f t="shared" ca="1" si="534"/>
        <v>0</v>
      </c>
      <c r="GW240" s="120">
        <f t="shared" si="570"/>
        <v>0</v>
      </c>
      <c r="GX240" s="110">
        <f t="shared" si="535"/>
        <v>0</v>
      </c>
      <c r="GY240" s="110">
        <f t="shared" si="536"/>
        <v>0</v>
      </c>
      <c r="GZ240" s="109">
        <f t="shared" si="537"/>
        <v>0</v>
      </c>
      <c r="HA240" s="109">
        <f t="shared" si="481"/>
        <v>0</v>
      </c>
      <c r="HB240" s="113">
        <f t="shared" si="538"/>
        <v>0</v>
      </c>
      <c r="HD240" s="102">
        <f t="shared" si="539"/>
        <v>0</v>
      </c>
      <c r="HE240" s="211">
        <f t="shared" si="455"/>
        <v>216</v>
      </c>
      <c r="HF240" s="212">
        <f t="shared" si="540"/>
        <v>0</v>
      </c>
      <c r="HG240" s="212">
        <f t="shared" si="482"/>
        <v>0</v>
      </c>
      <c r="HH240" s="212">
        <f t="shared" si="587"/>
        <v>0</v>
      </c>
      <c r="HI240" s="213">
        <f t="shared" si="483"/>
        <v>1000000</v>
      </c>
      <c r="HL240" s="182"/>
      <c r="HM240" s="26">
        <f t="shared" ca="1" si="484"/>
        <v>3</v>
      </c>
      <c r="HO240" s="268">
        <f t="shared" si="485"/>
        <v>0</v>
      </c>
      <c r="HP240" s="151">
        <f t="shared" si="448"/>
        <v>0</v>
      </c>
      <c r="HQ240" s="123">
        <f t="shared" si="542"/>
        <v>0</v>
      </c>
      <c r="HR240" s="123">
        <f t="shared" si="543"/>
        <v>0</v>
      </c>
      <c r="HS240" s="123">
        <f t="shared" si="544"/>
        <v>0</v>
      </c>
      <c r="HT240" s="123">
        <f>IF(HY239&lt;0.01,0,IF(Adm!$GS$4=Adm!$GS$8,HY239*$HY$15,IF(Adm!$GS$12=Adm!$GS$13,0,HY239*Adm!$GV$4)))</f>
        <v>0</v>
      </c>
      <c r="HU240" s="123">
        <f>IF(HY239&lt;0.01,0,IF(Adm!$GS$5=Adm!$GS$8,Cal!$BO$108*$HY$16/1.16,IF(Adm!$GS$12=Adm!$GS$13,0,Cal!$BO$108*Adm!$GW$4/1.16)))</f>
        <v>0</v>
      </c>
      <c r="HV240" s="123">
        <f t="shared" si="545"/>
        <v>0</v>
      </c>
      <c r="HW240" s="123">
        <f t="shared" si="486"/>
        <v>0</v>
      </c>
      <c r="HX240" s="123">
        <f>IF(Adm!$GH$6="si",MIN(HY239+HQ240+HT240+HU240+HV240-HW240,IH240),0)</f>
        <v>0</v>
      </c>
      <c r="HY240" s="297">
        <f t="shared" si="546"/>
        <v>0</v>
      </c>
      <c r="HZ240" s="74"/>
      <c r="IA240" s="407">
        <f t="shared" si="547"/>
        <v>0</v>
      </c>
      <c r="IC240" s="90">
        <f t="shared" si="548"/>
        <v>12</v>
      </c>
      <c r="ID240" s="124">
        <f>IF(IC240=1,Cal!$BO$127,0)</f>
        <v>0</v>
      </c>
      <c r="IE240" s="178">
        <f>IF(IC240=1,Adm!$HI$4,0)</f>
        <v>0</v>
      </c>
      <c r="IG240" s="70">
        <f t="shared" si="571"/>
        <v>0</v>
      </c>
      <c r="IH240" s="2178">
        <f t="shared" ca="1" si="549"/>
        <v>0</v>
      </c>
      <c r="IK240" s="217"/>
      <c r="IL240" s="26">
        <f t="shared" ca="1" si="487"/>
        <v>3</v>
      </c>
      <c r="IN240" s="268">
        <f t="shared" si="488"/>
        <v>0</v>
      </c>
      <c r="IO240" s="151">
        <f t="shared" si="449"/>
        <v>0</v>
      </c>
      <c r="IP240" s="123">
        <f t="shared" si="550"/>
        <v>0</v>
      </c>
      <c r="IQ240" s="123">
        <f t="shared" si="551"/>
        <v>0</v>
      </c>
      <c r="IR240" s="123">
        <f t="shared" si="552"/>
        <v>0</v>
      </c>
      <c r="IS240" s="123">
        <f>IF(IX239&lt;0.01,0,IF(Adm!$GS$4=Adm!$GS$8,IX239*$IX$15,IF(Adm!$GS$12=Adm!$GS$13,0,IX239*Adm!$GV$4)))</f>
        <v>0</v>
      </c>
      <c r="IT240" s="123"/>
      <c r="IU240" s="123">
        <f t="shared" si="553"/>
        <v>0</v>
      </c>
      <c r="IV240" s="123">
        <f t="shared" si="554"/>
        <v>0</v>
      </c>
      <c r="IW240" s="123"/>
      <c r="IX240" s="297">
        <f t="shared" si="555"/>
        <v>0</v>
      </c>
      <c r="IY240" s="74"/>
      <c r="IZ240" s="416">
        <f t="shared" si="556"/>
        <v>0</v>
      </c>
      <c r="JB240" s="90">
        <f t="shared" si="557"/>
        <v>12</v>
      </c>
      <c r="JC240" s="124">
        <f>IF(JB240=1,Cal!$BP$127,0)</f>
        <v>0</v>
      </c>
      <c r="JD240" s="178">
        <f>IF(JB240=1,Adm!$HI$4,0)</f>
        <v>0</v>
      </c>
    </row>
    <row r="241" spans="1:264">
      <c r="A241" s="26">
        <f t="shared" ca="1" si="456"/>
        <v>4</v>
      </c>
      <c r="C241" s="33">
        <f t="shared" si="457"/>
        <v>0</v>
      </c>
      <c r="D241" s="123">
        <f t="shared" si="489"/>
        <v>0</v>
      </c>
      <c r="E241" s="123">
        <f t="shared" si="579"/>
        <v>0</v>
      </c>
      <c r="F241" s="123">
        <f t="shared" si="589"/>
        <v>0</v>
      </c>
      <c r="G241" s="123">
        <f>IF(L240&lt;0.01,0,IF(Adm!$S$4=Adm!$S$8,L240*$L$15,L240*Adm!$V$4))</f>
        <v>0</v>
      </c>
      <c r="H241" s="123">
        <f>IF(L240&lt;0.01,0,IF(Adm!$S$5=Adm!$S$8,Adm!$AA$11*$L$16/1.16,IF(Adm!$B$4=Adm!$A$119,0,Adm!$AA$11*Adm!$X$4/1.16)))</f>
        <v>0</v>
      </c>
      <c r="I241" s="123">
        <f>IF(L240&lt;0.01,0,Cal!$AB$126/1.16)</f>
        <v>0</v>
      </c>
      <c r="J241" s="123">
        <f t="shared" si="458"/>
        <v>0</v>
      </c>
      <c r="K241" s="123">
        <f>IF(Adm!$G$4="si",MIN(L240+D241+G241+H241+I241-J241,V241),0)</f>
        <v>0</v>
      </c>
      <c r="L241" s="123">
        <f t="shared" si="490"/>
        <v>0</v>
      </c>
      <c r="M241" s="74"/>
      <c r="N241" s="74"/>
      <c r="O241" s="407">
        <f t="shared" si="491"/>
        <v>0</v>
      </c>
      <c r="R241" s="90">
        <f t="shared" si="492"/>
        <v>1</v>
      </c>
      <c r="S241" s="121">
        <f>IF(R241=1,Cal!$AB$127,0)</f>
        <v>0</v>
      </c>
      <c r="U241" s="70">
        <f t="shared" si="558"/>
        <v>0</v>
      </c>
      <c r="V241" s="2178">
        <f t="shared" ca="1" si="493"/>
        <v>0</v>
      </c>
      <c r="X241" s="398"/>
      <c r="Z241" s="268">
        <f t="shared" si="459"/>
        <v>0</v>
      </c>
      <c r="AA241" s="2176">
        <f t="shared" si="494"/>
        <v>0</v>
      </c>
      <c r="AB241" s="33">
        <f t="shared" si="495"/>
        <v>0</v>
      </c>
      <c r="AC241" s="33">
        <f t="shared" si="496"/>
        <v>0</v>
      </c>
      <c r="AD241" s="33">
        <f>IF(AI240&lt;0.01,0,IF(Adm!$S$4=Adm!$S$8,AI240*$AI$15,AI240*Adm!$V$4))</f>
        <v>0</v>
      </c>
      <c r="AE241" s="33"/>
      <c r="AF241" s="33"/>
      <c r="AG241" s="33">
        <f t="shared" si="460"/>
        <v>0</v>
      </c>
      <c r="AH241" s="33"/>
      <c r="AI241" s="401">
        <f t="shared" si="461"/>
        <v>0</v>
      </c>
      <c r="AK241" s="410">
        <f t="shared" si="462"/>
        <v>0</v>
      </c>
      <c r="AN241" s="90">
        <f t="shared" si="497"/>
        <v>1</v>
      </c>
      <c r="AO241" s="121">
        <f>IF(AN241=1,Cal!$AC$127,0)</f>
        <v>0</v>
      </c>
      <c r="AS241" s="200"/>
      <c r="AU241" s="268">
        <f t="shared" si="463"/>
        <v>0</v>
      </c>
      <c r="AV241" s="2177">
        <f t="shared" si="498"/>
        <v>0</v>
      </c>
      <c r="AW241" s="123">
        <f t="shared" si="464"/>
        <v>0</v>
      </c>
      <c r="AX241" s="123">
        <f t="shared" si="499"/>
        <v>0</v>
      </c>
      <c r="AY241" s="123">
        <f>IF(BC240&lt;0.01,0,IF(Adm!$S$4=Adm!$S$8,BC240*$BC$16,BC240*Adm!$V$4))</f>
        <v>0</v>
      </c>
      <c r="AZ241" s="123"/>
      <c r="BA241" s="123">
        <f>IF(BC240&lt;0.01,0,Adm!$Q$6)</f>
        <v>0</v>
      </c>
      <c r="BB241" s="123">
        <f t="shared" si="465"/>
        <v>0</v>
      </c>
      <c r="BC241" s="297">
        <f t="shared" si="500"/>
        <v>0</v>
      </c>
      <c r="BE241" s="425">
        <f t="shared" si="466"/>
        <v>0</v>
      </c>
      <c r="BH241" s="90">
        <f t="shared" si="501"/>
        <v>1</v>
      </c>
      <c r="BI241" s="121">
        <f>IF(BH241=1,Cal!$AD$127,0)</f>
        <v>0</v>
      </c>
      <c r="BM241" s="221"/>
      <c r="BO241" s="295">
        <f t="shared" ca="1" si="467"/>
        <v>4</v>
      </c>
      <c r="BP241" s="268">
        <f t="shared" si="468"/>
        <v>0</v>
      </c>
      <c r="BQ241" s="123">
        <f t="shared" si="502"/>
        <v>0</v>
      </c>
      <c r="BR241" s="123">
        <f t="shared" si="580"/>
        <v>0</v>
      </c>
      <c r="BS241" s="123">
        <f t="shared" si="590"/>
        <v>0</v>
      </c>
      <c r="BT241" s="123">
        <f>IF(BZ240&lt;0.01,0,IF(Plus!$F$22=Plus!$AN$4,BZ240*$BZ$15,IF(Plus!$F$22=Plus!$AN$3,BZ240*Plus!$F$23/1000,BZ240*VLOOKUP(Plus!$G$21,Plus!$AP$2:'Plus'!$AQ$5,2,0))))</f>
        <v>0</v>
      </c>
      <c r="BU241" s="123">
        <f>IF(BZ240&lt;0.01,0,IF(Plus!$F$24=Plus!$AO$3,Plus!$G$13*Plus!$AR$2/1.16,IF(Plus!$F$10=Plus!$AK$7,0,Plus!$G$13*Plus!$AR$2/1.16)))</f>
        <v>0</v>
      </c>
      <c r="BV241" s="123">
        <f>IF(BZ240&lt;0.01,0,Plus!$BD$2)</f>
        <v>0</v>
      </c>
      <c r="BW241" s="123"/>
      <c r="BX241" s="123">
        <f t="shared" si="469"/>
        <v>0</v>
      </c>
      <c r="BY241" s="123">
        <f>IF(Plus!$F$10=Plus!$AK$3,MIN(BZ240+BQ241+BT241+BU241+BV241-BX241,CJ241),0)</f>
        <v>0</v>
      </c>
      <c r="BZ241" s="297">
        <f t="shared" si="574"/>
        <v>0</v>
      </c>
      <c r="CA241" s="74"/>
      <c r="CB241" s="74"/>
      <c r="CC241" s="413">
        <f t="shared" si="503"/>
        <v>0</v>
      </c>
      <c r="CF241" s="90">
        <f t="shared" si="504"/>
        <v>1</v>
      </c>
      <c r="CG241" s="121">
        <f t="shared" si="559"/>
        <v>0</v>
      </c>
      <c r="CI241" s="70">
        <f t="shared" si="560"/>
        <v>0</v>
      </c>
      <c r="CJ241" s="2178">
        <f t="shared" ca="1" si="505"/>
        <v>0</v>
      </c>
      <c r="CL241" s="161"/>
      <c r="CN241" s="308">
        <f t="shared" ca="1" si="470"/>
        <v>4</v>
      </c>
      <c r="CO241" s="309">
        <f t="shared" si="506"/>
        <v>0</v>
      </c>
      <c r="CP241" s="268">
        <f t="shared" si="471"/>
        <v>0</v>
      </c>
      <c r="CQ241" s="123">
        <f t="shared" si="507"/>
        <v>0</v>
      </c>
      <c r="CR241" s="123">
        <f t="shared" si="581"/>
        <v>0</v>
      </c>
      <c r="CS241" s="123">
        <f t="shared" si="582"/>
        <v>0</v>
      </c>
      <c r="CT241" s="33">
        <f>IF(CZ240&lt;0.01,0,IF(Plus!$F$22=Plus!$AN$4,0,IF(Plus!$F$22=Plus!$AN$3,CZ240*Plus!$F$23/1000,CZ240*VLOOKUP(Plus!$G$21,Plus!$AP$2:'Plus'!$AQ$5,2,0))))</f>
        <v>0</v>
      </c>
      <c r="CU241" s="123">
        <f>IF(CZ240&lt;0.01,0,IF(Plus!$F$24=Plus!$AO$3,0,IF(OR(Plus!$F$10=Plus!$AK$7,Plus!$F$10=Plus!$AK$13),0,Plus!$G$13*Plus!$AR$2)))</f>
        <v>0</v>
      </c>
      <c r="CV241" s="123">
        <f>IF(CZ240&lt;0.01,0,IF(OR(Plus!$F$10=Plus!$AK$7,Plus!$F$10=Plus!$AK$13),0,Plus!$BD$2*1.16))</f>
        <v>0</v>
      </c>
      <c r="CW241" s="123">
        <f>IF(CZ240&lt;0.01,0,IF(Plus!$AS$2&gt;0,CQ241*Plus!$AS$3,0))</f>
        <v>0</v>
      </c>
      <c r="CX241" s="123">
        <f t="shared" si="508"/>
        <v>0</v>
      </c>
      <c r="CY241" s="123">
        <f>IF(Plus!$F$10=Plus!$AK$3,MIN(CZ240+CQ241+CT241+CU241+CV241-CX241,DK241),0)</f>
        <v>0</v>
      </c>
      <c r="CZ241" s="297">
        <f t="shared" si="588"/>
        <v>0</v>
      </c>
      <c r="DA241" s="306">
        <f>Plus!O282</f>
        <v>0</v>
      </c>
      <c r="DB241" s="74"/>
      <c r="DC241" s="74"/>
      <c r="DD241" s="407">
        <f t="shared" si="509"/>
        <v>0</v>
      </c>
      <c r="DG241" s="90">
        <f t="shared" si="510"/>
        <v>1</v>
      </c>
      <c r="DH241" s="121">
        <f t="shared" si="561"/>
        <v>0</v>
      </c>
      <c r="DJ241" s="149">
        <f t="shared" si="562"/>
        <v>0</v>
      </c>
      <c r="DK241" s="2179">
        <f t="shared" ca="1" si="511"/>
        <v>0</v>
      </c>
      <c r="DN241" s="120">
        <f t="shared" si="563"/>
        <v>0</v>
      </c>
      <c r="DO241" s="110">
        <f t="shared" si="512"/>
        <v>0</v>
      </c>
      <c r="DP241" s="110">
        <f t="shared" si="572"/>
        <v>0</v>
      </c>
      <c r="DQ241" s="109">
        <f t="shared" si="513"/>
        <v>0</v>
      </c>
      <c r="DR241" s="109">
        <f t="shared" si="514"/>
        <v>0</v>
      </c>
      <c r="DS241" s="113">
        <f t="shared" si="515"/>
        <v>0</v>
      </c>
      <c r="DU241" s="102">
        <f t="shared" si="516"/>
        <v>0</v>
      </c>
      <c r="DV241" s="333">
        <f t="shared" si="573"/>
        <v>217</v>
      </c>
      <c r="DW241" s="334">
        <f t="shared" si="517"/>
        <v>0</v>
      </c>
      <c r="DX241" s="334">
        <f t="shared" si="472"/>
        <v>0</v>
      </c>
      <c r="DY241" s="334">
        <f>MIN(DZ240+DW241,DY240*(1+$DW$20))</f>
        <v>0</v>
      </c>
      <c r="DZ241" s="213">
        <f t="shared" si="473"/>
        <v>1000000</v>
      </c>
      <c r="ED241" s="182"/>
      <c r="EF241" s="308">
        <f t="shared" ca="1" si="474"/>
        <v>4</v>
      </c>
      <c r="EG241" s="309">
        <f t="shared" si="518"/>
        <v>0</v>
      </c>
      <c r="EH241" s="268">
        <f t="shared" si="475"/>
        <v>0</v>
      </c>
      <c r="EI241" s="33">
        <f t="shared" si="519"/>
        <v>0</v>
      </c>
      <c r="EJ241" s="33">
        <f t="shared" si="583"/>
        <v>0</v>
      </c>
      <c r="EK241" s="33">
        <f t="shared" si="591"/>
        <v>0</v>
      </c>
      <c r="EL241" s="33">
        <f>IF(ER240&lt;0.01,0,IF(Plus!$F$22=Plus!$AN$4,0,IF(Plus!$F$22=Plus!$AN$3,ER240*Plus!$F$23/1000,ER240*VLOOKUP(Plus!$G$21,Plus!$AP$2:'Plus'!$AQ$5,2,0))))</f>
        <v>0</v>
      </c>
      <c r="EM241" s="33">
        <f>IF(ER240&lt;0.01,0,IF(Plus!$F$24=Plus!$AO$3,0,IF(OR(Plus!$F$10=Plus!$AK$7,Plus!$F$10=Plus!$AK$13),0,Plus!$G$13*Plus!$AR$2)))</f>
        <v>0</v>
      </c>
      <c r="EN241" s="33">
        <f>IF(ER240&lt;0.01,0,IF(OR(Plus!$F$10=Plus!$AK$7,Plus!$F$10=Plus!$AK$13),0,Plus!$BD$2*1.16))</f>
        <v>0</v>
      </c>
      <c r="EO241" s="33">
        <f>IF(ER240&lt;0.01,0,IF(Plus!$AS$2&gt;0,EI241*Plus!$AS$3,0))</f>
        <v>0</v>
      </c>
      <c r="EP241" s="33">
        <f t="shared" si="520"/>
        <v>0</v>
      </c>
      <c r="EQ241" s="33">
        <f>IF(Plus!$F$10=Plus!$AK$3,MIN(ER240+EI241+EL241+EM241+EN241-EP241,FC241),0)</f>
        <v>0</v>
      </c>
      <c r="ER241" s="311">
        <f t="shared" si="577"/>
        <v>0</v>
      </c>
      <c r="ES241" s="340">
        <f>Plus!O282</f>
        <v>0</v>
      </c>
      <c r="ET241" s="74"/>
      <c r="EU241" s="74"/>
      <c r="EV241" s="416">
        <f t="shared" si="575"/>
        <v>0</v>
      </c>
      <c r="EY241" s="90">
        <f t="shared" si="521"/>
        <v>1</v>
      </c>
      <c r="EZ241" s="121">
        <f t="shared" si="565"/>
        <v>0</v>
      </c>
      <c r="FB241" s="149">
        <f t="shared" si="566"/>
        <v>0</v>
      </c>
      <c r="FC241" s="2179">
        <f t="shared" ca="1" si="522"/>
        <v>0</v>
      </c>
      <c r="FE241" s="120">
        <f t="shared" si="567"/>
        <v>0</v>
      </c>
      <c r="FF241" s="110">
        <f t="shared" si="523"/>
        <v>0</v>
      </c>
      <c r="FG241" s="110">
        <f t="shared" si="524"/>
        <v>0</v>
      </c>
      <c r="FH241" s="109">
        <f t="shared" si="525"/>
        <v>0</v>
      </c>
      <c r="FI241" s="109">
        <f t="shared" si="476"/>
        <v>0</v>
      </c>
      <c r="FJ241" s="113">
        <f t="shared" si="526"/>
        <v>0</v>
      </c>
      <c r="FL241" s="102">
        <f t="shared" si="527"/>
        <v>0</v>
      </c>
      <c r="FM241" s="326">
        <f t="shared" si="454"/>
        <v>217</v>
      </c>
      <c r="FN241" s="327">
        <f t="shared" si="528"/>
        <v>0</v>
      </c>
      <c r="FO241" s="327">
        <f t="shared" si="477"/>
        <v>0</v>
      </c>
      <c r="FP241" s="327">
        <f>MIN(FQ240+FN241,FP240*(1+$FN$20))</f>
        <v>0</v>
      </c>
      <c r="FQ241" s="213">
        <f t="shared" si="478"/>
        <v>1000000</v>
      </c>
      <c r="FV241" s="359"/>
      <c r="FX241" s="308">
        <f t="shared" ca="1" si="479"/>
        <v>4</v>
      </c>
      <c r="FY241" s="309">
        <f t="shared" si="530"/>
        <v>0</v>
      </c>
      <c r="FZ241" s="268">
        <f t="shared" si="480"/>
        <v>0</v>
      </c>
      <c r="GA241" s="33">
        <f t="shared" si="531"/>
        <v>0</v>
      </c>
      <c r="GB241" s="33">
        <f t="shared" si="585"/>
        <v>0</v>
      </c>
      <c r="GC241" s="33">
        <f t="shared" si="586"/>
        <v>0</v>
      </c>
      <c r="GD241" s="33">
        <f>IF(GJ240&lt;0.01,0,IF(Plus!$F$22=Plus!$AN$4,0,IF(Plus!$F$22=Plus!$AN$3,GJ240*Plus!$F$23/1000,GJ240*VLOOKUP(Plus!$G$21,Plus!$AP$2:$AQ$5,2,0))))</f>
        <v>0</v>
      </c>
      <c r="GE241" s="33">
        <f>IF(GJ240&lt;0.01,0,IF(Plus!$F$24=Plus!$AO$3,0,IF(OR(Plus!$F$10=Plus!$AK$7,Plus!$F$10=Plus!$AK$13,Plus!$F$10=Plus!$AK$14),0,IF(OR(Plus!$F$10=Plus!$AK$10,Plus!$F$10=Plus!$AK$11),Plus!$G$13*Adm!$W$7,Plus!$G$13*Adm!$X$4))))</f>
        <v>0</v>
      </c>
      <c r="GF241" s="33">
        <f>IF(GJ240&lt;0.01,0,IF(OR(Plus!$F$10=Plus!$AK$7,Plus!$F$10=Plus!$AK$13),0,Plus!$BD$2*1.16))</f>
        <v>0</v>
      </c>
      <c r="GG241" s="33">
        <f>IF(GJ240&lt;0.01,0,IF(Plus!$AS$2&gt;0,GA241*Plus!$AS$3,0))</f>
        <v>0</v>
      </c>
      <c r="GH241" s="33">
        <f t="shared" si="532"/>
        <v>0</v>
      </c>
      <c r="GI241" s="33">
        <f>IF(Plus!$F$10=Plus!$AK$3,MIN(GJ240+GA241+GD241+GE241+GF241-GH241,GU241),0)</f>
        <v>0</v>
      </c>
      <c r="GJ241" s="311">
        <f t="shared" si="578"/>
        <v>0</v>
      </c>
      <c r="GK241" s="340">
        <f>Plus!O282</f>
        <v>0</v>
      </c>
      <c r="GL241" s="74"/>
      <c r="GM241" s="74"/>
      <c r="GN241" s="419">
        <f t="shared" si="576"/>
        <v>0</v>
      </c>
      <c r="GQ241" s="90">
        <f t="shared" si="533"/>
        <v>1</v>
      </c>
      <c r="GR241" s="121">
        <f t="shared" si="568"/>
        <v>0</v>
      </c>
      <c r="GT241" s="149">
        <f t="shared" si="569"/>
        <v>0</v>
      </c>
      <c r="GU241" s="2179">
        <f t="shared" ca="1" si="534"/>
        <v>0</v>
      </c>
      <c r="GW241" s="120">
        <f t="shared" si="570"/>
        <v>0</v>
      </c>
      <c r="GX241" s="110">
        <f t="shared" si="535"/>
        <v>0</v>
      </c>
      <c r="GY241" s="110">
        <f t="shared" si="536"/>
        <v>0</v>
      </c>
      <c r="GZ241" s="109">
        <f t="shared" si="537"/>
        <v>0</v>
      </c>
      <c r="HA241" s="109">
        <f t="shared" si="481"/>
        <v>0</v>
      </c>
      <c r="HB241" s="113">
        <f t="shared" si="538"/>
        <v>0</v>
      </c>
      <c r="HD241" s="102">
        <f t="shared" si="539"/>
        <v>0</v>
      </c>
      <c r="HE241" s="326">
        <f t="shared" si="455"/>
        <v>217</v>
      </c>
      <c r="HF241" s="327">
        <f t="shared" si="540"/>
        <v>0</v>
      </c>
      <c r="HG241" s="327">
        <f t="shared" si="482"/>
        <v>0</v>
      </c>
      <c r="HH241" s="327">
        <f>MIN(HI240+HF241,HH240*(1+$FN$20))</f>
        <v>0</v>
      </c>
      <c r="HI241" s="213">
        <f t="shared" si="483"/>
        <v>1000000</v>
      </c>
      <c r="HL241" s="182"/>
      <c r="HM241" s="26">
        <f t="shared" ca="1" si="484"/>
        <v>4</v>
      </c>
      <c r="HO241" s="268">
        <f t="shared" si="485"/>
        <v>0</v>
      </c>
      <c r="HP241" s="151">
        <f t="shared" si="448"/>
        <v>0</v>
      </c>
      <c r="HQ241" s="123">
        <f t="shared" si="542"/>
        <v>0</v>
      </c>
      <c r="HR241" s="123">
        <f t="shared" si="543"/>
        <v>0</v>
      </c>
      <c r="HS241" s="123">
        <f t="shared" si="544"/>
        <v>0</v>
      </c>
      <c r="HT241" s="123">
        <f>IF(HY240&lt;0.01,0,IF(Adm!$GS$4=Adm!$GS$8,HY240*$HY$15,IF(Adm!$GS$12=Adm!$GS$13,0,HY240*Adm!$GV$4)))</f>
        <v>0</v>
      </c>
      <c r="HU241" s="123">
        <f>IF(HY240&lt;0.01,0,IF(Adm!$GS$5=Adm!$GS$8,Cal!$BO$108*$HY$16/1.16,IF(Adm!$GS$12=Adm!$GS$13,0,Cal!$BO$108*Adm!$GW$4/1.16)))</f>
        <v>0</v>
      </c>
      <c r="HV241" s="123">
        <f t="shared" si="545"/>
        <v>0</v>
      </c>
      <c r="HW241" s="123">
        <f t="shared" si="486"/>
        <v>0</v>
      </c>
      <c r="HX241" s="123">
        <f>IF(Adm!$GH$6="si",MIN(HY240+HQ241+HT241+HU241+HV241-HW241,IH241),0)</f>
        <v>0</v>
      </c>
      <c r="HY241" s="297">
        <f t="shared" si="546"/>
        <v>0</v>
      </c>
      <c r="HZ241" s="74"/>
      <c r="IA241" s="407">
        <f t="shared" si="547"/>
        <v>0</v>
      </c>
      <c r="IC241" s="90">
        <f t="shared" si="548"/>
        <v>1</v>
      </c>
      <c r="ID241" s="124">
        <f>IF(IC241=1,Cal!$BO$127,0)</f>
        <v>0</v>
      </c>
      <c r="IE241" s="178">
        <f>IF(IC241=1,Adm!$HI$4,0)</f>
        <v>2.5000000000000001E-3</v>
      </c>
      <c r="IG241" s="70">
        <f t="shared" si="571"/>
        <v>0</v>
      </c>
      <c r="IH241" s="2178">
        <f t="shared" ca="1" si="549"/>
        <v>0</v>
      </c>
      <c r="IK241" s="217"/>
      <c r="IL241" s="26">
        <f t="shared" ca="1" si="487"/>
        <v>4</v>
      </c>
      <c r="IN241" s="268">
        <f t="shared" si="488"/>
        <v>0</v>
      </c>
      <c r="IO241" s="151">
        <f t="shared" si="449"/>
        <v>0</v>
      </c>
      <c r="IP241" s="123">
        <f t="shared" si="550"/>
        <v>0</v>
      </c>
      <c r="IQ241" s="123">
        <f t="shared" si="551"/>
        <v>0</v>
      </c>
      <c r="IR241" s="123">
        <f t="shared" si="552"/>
        <v>0</v>
      </c>
      <c r="IS241" s="123">
        <f>IF(IX240&lt;0.01,0,IF(Adm!$GS$4=Adm!$GS$8,IX240*$IX$15,IF(Adm!$GS$12=Adm!$GS$13,0,IX240*Adm!$GV$4)))</f>
        <v>0</v>
      </c>
      <c r="IT241" s="123"/>
      <c r="IU241" s="123">
        <f t="shared" si="553"/>
        <v>0</v>
      </c>
      <c r="IV241" s="123">
        <f t="shared" si="554"/>
        <v>0</v>
      </c>
      <c r="IW241" s="123"/>
      <c r="IX241" s="297">
        <f t="shared" si="555"/>
        <v>0</v>
      </c>
      <c r="IY241" s="74"/>
      <c r="IZ241" s="416">
        <f t="shared" si="556"/>
        <v>0</v>
      </c>
      <c r="JB241" s="90">
        <f t="shared" si="557"/>
        <v>1</v>
      </c>
      <c r="JC241" s="124">
        <f>IF(JB241=1,Cal!$BP$127,0)</f>
        <v>0</v>
      </c>
      <c r="JD241" s="178">
        <f>IF(JB241=1,Adm!$HI$4,0)</f>
        <v>2.5000000000000001E-3</v>
      </c>
    </row>
    <row r="242" spans="1:264">
      <c r="A242" s="26">
        <f t="shared" ca="1" si="456"/>
        <v>5</v>
      </c>
      <c r="C242" s="33">
        <f t="shared" si="457"/>
        <v>0</v>
      </c>
      <c r="D242" s="123">
        <f t="shared" si="489"/>
        <v>0</v>
      </c>
      <c r="E242" s="123">
        <f t="shared" si="579"/>
        <v>0</v>
      </c>
      <c r="F242" s="123">
        <f t="shared" si="589"/>
        <v>0</v>
      </c>
      <c r="G242" s="123">
        <f>IF(L241&lt;0.01,0,IF(Adm!$S$4=Adm!$S$8,L241*$L$15,L241*Adm!$V$4))</f>
        <v>0</v>
      </c>
      <c r="H242" s="123">
        <f>IF(L241&lt;0.01,0,IF(Adm!$S$5=Adm!$S$8,Adm!$AA$11*$L$16/1.16,IF(Adm!$B$4=Adm!$A$119,0,Adm!$AA$11*Adm!$X$4/1.16)))</f>
        <v>0</v>
      </c>
      <c r="I242" s="123">
        <f>IF(L241&lt;0.01,0,Cal!$AB$126/1.16)</f>
        <v>0</v>
      </c>
      <c r="J242" s="123">
        <f t="shared" si="458"/>
        <v>0</v>
      </c>
      <c r="K242" s="123">
        <f>IF(Adm!$G$4="si",MIN(L241+D242+G242+H242+I242-J242,V242),0)</f>
        <v>0</v>
      </c>
      <c r="L242" s="123">
        <f t="shared" si="490"/>
        <v>0</v>
      </c>
      <c r="M242" s="74"/>
      <c r="N242" s="74"/>
      <c r="O242" s="407">
        <f t="shared" si="491"/>
        <v>0</v>
      </c>
      <c r="R242" s="90">
        <f t="shared" si="492"/>
        <v>2</v>
      </c>
      <c r="S242" s="121">
        <f>IF(R242=1,Cal!$AB$127,0)</f>
        <v>0</v>
      </c>
      <c r="U242" s="70">
        <f t="shared" si="558"/>
        <v>0</v>
      </c>
      <c r="V242" s="2178">
        <f t="shared" ca="1" si="493"/>
        <v>0</v>
      </c>
      <c r="X242" s="398"/>
      <c r="Z242" s="268">
        <f t="shared" si="459"/>
        <v>0</v>
      </c>
      <c r="AA242" s="2176">
        <f t="shared" si="494"/>
        <v>0</v>
      </c>
      <c r="AB242" s="33">
        <f t="shared" si="495"/>
        <v>0</v>
      </c>
      <c r="AC242" s="33">
        <f t="shared" si="496"/>
        <v>0</v>
      </c>
      <c r="AD242" s="33">
        <f>IF(AI241&lt;0.01,0,IF(Adm!$S$4=Adm!$S$8,AI241*$AI$15,AI241*Adm!$V$4))</f>
        <v>0</v>
      </c>
      <c r="AE242" s="33"/>
      <c r="AF242" s="33"/>
      <c r="AG242" s="33">
        <f t="shared" si="460"/>
        <v>0</v>
      </c>
      <c r="AH242" s="33"/>
      <c r="AI242" s="401">
        <f t="shared" si="461"/>
        <v>0</v>
      </c>
      <c r="AK242" s="410">
        <f t="shared" si="462"/>
        <v>0</v>
      </c>
      <c r="AN242" s="90">
        <f t="shared" si="497"/>
        <v>2</v>
      </c>
      <c r="AO242" s="121">
        <f>IF(AN242=1,Cal!$AC$127,0)</f>
        <v>0</v>
      </c>
      <c r="AS242" s="200"/>
      <c r="AU242" s="268">
        <f t="shared" si="463"/>
        <v>0</v>
      </c>
      <c r="AV242" s="2177">
        <f t="shared" si="498"/>
        <v>0</v>
      </c>
      <c r="AW242" s="123">
        <f t="shared" si="464"/>
        <v>0</v>
      </c>
      <c r="AX242" s="123">
        <f t="shared" si="499"/>
        <v>0</v>
      </c>
      <c r="AY242" s="123">
        <f>IF(BC241&lt;0.01,0,IF(Adm!$S$4=Adm!$S$8,BC241*$BC$16,BC241*Adm!$V$4))</f>
        <v>0</v>
      </c>
      <c r="AZ242" s="123"/>
      <c r="BA242" s="123">
        <f>IF(BC241&lt;0.01,0,Adm!$Q$6)</f>
        <v>0</v>
      </c>
      <c r="BB242" s="123">
        <f t="shared" si="465"/>
        <v>0</v>
      </c>
      <c r="BC242" s="297">
        <f t="shared" si="500"/>
        <v>0</v>
      </c>
      <c r="BE242" s="425">
        <f t="shared" si="466"/>
        <v>0</v>
      </c>
      <c r="BH242" s="90">
        <f t="shared" si="501"/>
        <v>2</v>
      </c>
      <c r="BI242" s="121">
        <f>IF(BH242=1,Cal!$AD$127,0)</f>
        <v>0</v>
      </c>
      <c r="BM242" s="221"/>
      <c r="BO242" s="295">
        <f t="shared" ca="1" si="467"/>
        <v>5</v>
      </c>
      <c r="BP242" s="268">
        <f t="shared" si="468"/>
        <v>0</v>
      </c>
      <c r="BQ242" s="123">
        <f t="shared" si="502"/>
        <v>0</v>
      </c>
      <c r="BR242" s="123">
        <f t="shared" si="580"/>
        <v>0</v>
      </c>
      <c r="BS242" s="123">
        <f t="shared" si="590"/>
        <v>0</v>
      </c>
      <c r="BT242" s="123">
        <f>IF(BZ241&lt;0.01,0,IF(Plus!$F$22=Plus!$AN$4,BZ241*$BZ$15,IF(Plus!$F$22=Plus!$AN$3,BZ241*Plus!$F$23/1000,BZ241*VLOOKUP(Plus!$G$21,Plus!$AP$2:'Plus'!$AQ$5,2,0))))</f>
        <v>0</v>
      </c>
      <c r="BU242" s="123">
        <f>IF(BZ241&lt;0.01,0,IF(Plus!$F$24=Plus!$AO$3,Plus!$G$13*Plus!$AR$2/1.16,IF(Plus!$F$10=Plus!$AK$7,0,Plus!$G$13*Plus!$AR$2/1.16)))</f>
        <v>0</v>
      </c>
      <c r="BV242" s="123">
        <f>IF(BZ241&lt;0.01,0,Plus!$BD$2)</f>
        <v>0</v>
      </c>
      <c r="BW242" s="123"/>
      <c r="BX242" s="123">
        <f t="shared" si="469"/>
        <v>0</v>
      </c>
      <c r="BY242" s="123">
        <f>IF(Plus!$F$10=Plus!$AK$3,MIN(BZ241+BQ242+BT242+BU242+BV242-BX242,CJ242),0)</f>
        <v>0</v>
      </c>
      <c r="BZ242" s="297">
        <f t="shared" si="574"/>
        <v>0</v>
      </c>
      <c r="CA242" s="74"/>
      <c r="CB242" s="74"/>
      <c r="CC242" s="413">
        <f t="shared" si="503"/>
        <v>0</v>
      </c>
      <c r="CF242" s="90">
        <f t="shared" si="504"/>
        <v>2</v>
      </c>
      <c r="CG242" s="121">
        <f t="shared" si="559"/>
        <v>0</v>
      </c>
      <c r="CI242" s="70">
        <f t="shared" si="560"/>
        <v>0</v>
      </c>
      <c r="CJ242" s="2178">
        <f t="shared" ca="1" si="505"/>
        <v>0</v>
      </c>
      <c r="CL242" s="161"/>
      <c r="CN242" s="308">
        <f t="shared" ca="1" si="470"/>
        <v>5</v>
      </c>
      <c r="CO242" s="309">
        <f t="shared" si="506"/>
        <v>0</v>
      </c>
      <c r="CP242" s="268">
        <f t="shared" si="471"/>
        <v>0</v>
      </c>
      <c r="CQ242" s="123">
        <f t="shared" si="507"/>
        <v>0</v>
      </c>
      <c r="CR242" s="123">
        <f t="shared" si="581"/>
        <v>0</v>
      </c>
      <c r="CS242" s="123">
        <f t="shared" si="582"/>
        <v>0</v>
      </c>
      <c r="CT242" s="33">
        <f>IF(CZ241&lt;0.01,0,IF(Plus!$F$22=Plus!$AN$4,0,IF(Plus!$F$22=Plus!$AN$3,CZ241*Plus!$F$23/1000,CZ241*VLOOKUP(Plus!$G$21,Plus!$AP$2:'Plus'!$AQ$5,2,0))))</f>
        <v>0</v>
      </c>
      <c r="CU242" s="123">
        <f>IF(CZ241&lt;0.01,0,IF(Plus!$F$24=Plus!$AO$3,0,IF(OR(Plus!$F$10=Plus!$AK$7,Plus!$F$10=Plus!$AK$13),0,Plus!$G$13*Plus!$AR$2)))</f>
        <v>0</v>
      </c>
      <c r="CV242" s="123">
        <f>IF(CZ241&lt;0.01,0,IF(OR(Plus!$F$10=Plus!$AK$7,Plus!$F$10=Plus!$AK$13),0,Plus!$BD$2*1.16))</f>
        <v>0</v>
      </c>
      <c r="CW242" s="123">
        <f>IF(CZ241&lt;0.01,0,IF(Plus!$AS$2&gt;0,CQ242*Plus!$AS$3,0))</f>
        <v>0</v>
      </c>
      <c r="CX242" s="123">
        <f t="shared" si="508"/>
        <v>0</v>
      </c>
      <c r="CY242" s="123">
        <f>IF(Plus!$F$10=Plus!$AK$3,MIN(CZ241+CQ242+CT242+CU242+CV242-CX242,DK242),0)</f>
        <v>0</v>
      </c>
      <c r="CZ242" s="297">
        <f t="shared" si="588"/>
        <v>0</v>
      </c>
      <c r="DA242" s="306">
        <f>Plus!O283</f>
        <v>0</v>
      </c>
      <c r="DB242" s="74"/>
      <c r="DC242" s="74"/>
      <c r="DD242" s="407">
        <f t="shared" si="509"/>
        <v>0</v>
      </c>
      <c r="DG242" s="90">
        <f t="shared" si="510"/>
        <v>2</v>
      </c>
      <c r="DH242" s="121">
        <f t="shared" si="561"/>
        <v>0</v>
      </c>
      <c r="DJ242" s="149">
        <f t="shared" si="562"/>
        <v>0</v>
      </c>
      <c r="DK242" s="2179">
        <f t="shared" ca="1" si="511"/>
        <v>0</v>
      </c>
      <c r="DN242" s="120">
        <f t="shared" si="563"/>
        <v>0</v>
      </c>
      <c r="DO242" s="110">
        <f t="shared" si="512"/>
        <v>0</v>
      </c>
      <c r="DP242" s="110">
        <f t="shared" si="572"/>
        <v>0</v>
      </c>
      <c r="DQ242" s="109">
        <f t="shared" si="513"/>
        <v>0</v>
      </c>
      <c r="DR242" s="109">
        <f t="shared" si="514"/>
        <v>0</v>
      </c>
      <c r="DS242" s="113">
        <f t="shared" si="515"/>
        <v>0</v>
      </c>
      <c r="DU242" s="102">
        <f t="shared" si="516"/>
        <v>0</v>
      </c>
      <c r="DV242" s="211">
        <f t="shared" si="573"/>
        <v>218</v>
      </c>
      <c r="DW242" s="212">
        <f t="shared" si="517"/>
        <v>0</v>
      </c>
      <c r="DX242" s="212">
        <f t="shared" si="472"/>
        <v>0</v>
      </c>
      <c r="DY242" s="212">
        <f t="shared" si="564"/>
        <v>0</v>
      </c>
      <c r="DZ242" s="213">
        <f t="shared" si="473"/>
        <v>1000000</v>
      </c>
      <c r="ED242" s="182"/>
      <c r="EF242" s="308">
        <f t="shared" ca="1" si="474"/>
        <v>5</v>
      </c>
      <c r="EG242" s="309">
        <f t="shared" si="518"/>
        <v>0</v>
      </c>
      <c r="EH242" s="268">
        <f t="shared" si="475"/>
        <v>0</v>
      </c>
      <c r="EI242" s="33">
        <f t="shared" si="519"/>
        <v>0</v>
      </c>
      <c r="EJ242" s="33">
        <f t="shared" si="583"/>
        <v>0</v>
      </c>
      <c r="EK242" s="33">
        <f t="shared" si="591"/>
        <v>0</v>
      </c>
      <c r="EL242" s="33">
        <f>IF(ER241&lt;0.01,0,IF(Plus!$F$22=Plus!$AN$4,0,IF(Plus!$F$22=Plus!$AN$3,ER241*Plus!$F$23/1000,ER241*VLOOKUP(Plus!$G$21,Plus!$AP$2:'Plus'!$AQ$5,2,0))))</f>
        <v>0</v>
      </c>
      <c r="EM242" s="33">
        <f>IF(ER241&lt;0.01,0,IF(Plus!$F$24=Plus!$AO$3,0,IF(OR(Plus!$F$10=Plus!$AK$7,Plus!$F$10=Plus!$AK$13),0,Plus!$G$13*Plus!$AR$2)))</f>
        <v>0</v>
      </c>
      <c r="EN242" s="33">
        <f>IF(ER241&lt;0.01,0,IF(OR(Plus!$F$10=Plus!$AK$7,Plus!$F$10=Plus!$AK$13),0,Plus!$BD$2*1.16))</f>
        <v>0</v>
      </c>
      <c r="EO242" s="33">
        <f>IF(ER241&lt;0.01,0,IF(Plus!$AS$2&gt;0,EI242*Plus!$AS$3,0))</f>
        <v>0</v>
      </c>
      <c r="EP242" s="33">
        <f t="shared" si="520"/>
        <v>0</v>
      </c>
      <c r="EQ242" s="33">
        <f>IF(Plus!$F$10=Plus!$AK$3,MIN(ER241+EI242+EL242+EM242+EN242-EP242,FC242),0)</f>
        <v>0</v>
      </c>
      <c r="ER242" s="311">
        <f t="shared" si="577"/>
        <v>0</v>
      </c>
      <c r="ES242" s="340">
        <f>Plus!O283</f>
        <v>0</v>
      </c>
      <c r="ET242" s="74"/>
      <c r="EU242" s="74"/>
      <c r="EV242" s="416">
        <f t="shared" si="575"/>
        <v>0</v>
      </c>
      <c r="EY242" s="90">
        <f t="shared" si="521"/>
        <v>2</v>
      </c>
      <c r="EZ242" s="121">
        <f t="shared" si="565"/>
        <v>0</v>
      </c>
      <c r="FB242" s="149">
        <f t="shared" si="566"/>
        <v>0</v>
      </c>
      <c r="FC242" s="2179">
        <f t="shared" ca="1" si="522"/>
        <v>0</v>
      </c>
      <c r="FE242" s="120">
        <f t="shared" si="567"/>
        <v>0</v>
      </c>
      <c r="FF242" s="110">
        <f t="shared" si="523"/>
        <v>0</v>
      </c>
      <c r="FG242" s="110">
        <f t="shared" si="524"/>
        <v>0</v>
      </c>
      <c r="FH242" s="109">
        <f t="shared" si="525"/>
        <v>0</v>
      </c>
      <c r="FI242" s="109">
        <f t="shared" si="476"/>
        <v>0</v>
      </c>
      <c r="FJ242" s="113">
        <f t="shared" si="526"/>
        <v>0</v>
      </c>
      <c r="FL242" s="102">
        <f t="shared" si="527"/>
        <v>0</v>
      </c>
      <c r="FM242" s="211">
        <f t="shared" si="454"/>
        <v>218</v>
      </c>
      <c r="FN242" s="212">
        <f t="shared" si="528"/>
        <v>0</v>
      </c>
      <c r="FO242" s="212">
        <f t="shared" si="477"/>
        <v>0</v>
      </c>
      <c r="FP242" s="212">
        <f t="shared" ref="FP242:FP252" si="592">MIN(FQ241+FN242,FP241)</f>
        <v>0</v>
      </c>
      <c r="FQ242" s="213">
        <f t="shared" si="478"/>
        <v>1000000</v>
      </c>
      <c r="FV242" s="359"/>
      <c r="FX242" s="308">
        <f t="shared" ca="1" si="479"/>
        <v>5</v>
      </c>
      <c r="FY242" s="309">
        <f t="shared" si="530"/>
        <v>0</v>
      </c>
      <c r="FZ242" s="268">
        <f t="shared" si="480"/>
        <v>0</v>
      </c>
      <c r="GA242" s="33">
        <f t="shared" si="531"/>
        <v>0</v>
      </c>
      <c r="GB242" s="33">
        <f t="shared" si="585"/>
        <v>0</v>
      </c>
      <c r="GC242" s="33">
        <f t="shared" si="586"/>
        <v>0</v>
      </c>
      <c r="GD242" s="33">
        <f>IF(GJ241&lt;0.01,0,IF(Plus!$F$22=Plus!$AN$4,0,IF(Plus!$F$22=Plus!$AN$3,GJ241*Plus!$F$23/1000,GJ241*VLOOKUP(Plus!$G$21,Plus!$AP$2:$AQ$5,2,0))))</f>
        <v>0</v>
      </c>
      <c r="GE242" s="33">
        <f>IF(GJ241&lt;0.01,0,IF(Plus!$F$24=Plus!$AO$3,0,IF(OR(Plus!$F$10=Plus!$AK$7,Plus!$F$10=Plus!$AK$13,Plus!$F$10=Plus!$AK$14),0,IF(OR(Plus!$F$10=Plus!$AK$10,Plus!$F$10=Plus!$AK$11),Plus!$G$13*Adm!$W$7,Plus!$G$13*Adm!$X$4))))</f>
        <v>0</v>
      </c>
      <c r="GF242" s="33">
        <f>IF(GJ241&lt;0.01,0,IF(OR(Plus!$F$10=Plus!$AK$7,Plus!$F$10=Plus!$AK$13),0,Plus!$BD$2*1.16))</f>
        <v>0</v>
      </c>
      <c r="GG242" s="33">
        <f>IF(GJ241&lt;0.01,0,IF(Plus!$AS$2&gt;0,GA242*Plus!$AS$3,0))</f>
        <v>0</v>
      </c>
      <c r="GH242" s="33">
        <f t="shared" si="532"/>
        <v>0</v>
      </c>
      <c r="GI242" s="33">
        <f>IF(Plus!$F$10=Plus!$AK$3,MIN(GJ241+GA242+GD242+GE242+GF242-GH242,GU242),0)</f>
        <v>0</v>
      </c>
      <c r="GJ242" s="311">
        <f t="shared" si="578"/>
        <v>0</v>
      </c>
      <c r="GK242" s="340">
        <f>Plus!O283</f>
        <v>0</v>
      </c>
      <c r="GL242" s="74"/>
      <c r="GM242" s="74"/>
      <c r="GN242" s="419">
        <f t="shared" si="576"/>
        <v>0</v>
      </c>
      <c r="GQ242" s="90">
        <f t="shared" si="533"/>
        <v>2</v>
      </c>
      <c r="GR242" s="121">
        <f t="shared" si="568"/>
        <v>0</v>
      </c>
      <c r="GT242" s="149">
        <f t="shared" si="569"/>
        <v>0</v>
      </c>
      <c r="GU242" s="2179">
        <f t="shared" ca="1" si="534"/>
        <v>0</v>
      </c>
      <c r="GW242" s="120">
        <f t="shared" si="570"/>
        <v>0</v>
      </c>
      <c r="GX242" s="110">
        <f t="shared" si="535"/>
        <v>0</v>
      </c>
      <c r="GY242" s="110">
        <f t="shared" si="536"/>
        <v>0</v>
      </c>
      <c r="GZ242" s="109">
        <f t="shared" si="537"/>
        <v>0</v>
      </c>
      <c r="HA242" s="109">
        <f t="shared" si="481"/>
        <v>0</v>
      </c>
      <c r="HB242" s="113">
        <f t="shared" si="538"/>
        <v>0</v>
      </c>
      <c r="HD242" s="102">
        <f t="shared" si="539"/>
        <v>0</v>
      </c>
      <c r="HE242" s="211">
        <f t="shared" si="455"/>
        <v>218</v>
      </c>
      <c r="HF242" s="212">
        <f t="shared" si="540"/>
        <v>0</v>
      </c>
      <c r="HG242" s="212">
        <f t="shared" si="482"/>
        <v>0</v>
      </c>
      <c r="HH242" s="212">
        <f t="shared" ref="HH242:HH252" si="593">MIN(HI241+HF242,HH241)</f>
        <v>0</v>
      </c>
      <c r="HI242" s="213">
        <f t="shared" si="483"/>
        <v>1000000</v>
      </c>
      <c r="HL242" s="182"/>
      <c r="HM242" s="26">
        <f t="shared" ca="1" si="484"/>
        <v>5</v>
      </c>
      <c r="HO242" s="268">
        <f t="shared" si="485"/>
        <v>0</v>
      </c>
      <c r="HP242" s="151">
        <f t="shared" si="448"/>
        <v>0</v>
      </c>
      <c r="HQ242" s="123">
        <f t="shared" si="542"/>
        <v>0</v>
      </c>
      <c r="HR242" s="123">
        <f t="shared" si="543"/>
        <v>0</v>
      </c>
      <c r="HS242" s="123">
        <f t="shared" si="544"/>
        <v>0</v>
      </c>
      <c r="HT242" s="123">
        <f>IF(HY241&lt;0.01,0,IF(Adm!$GS$4=Adm!$GS$8,HY241*$HY$15,IF(Adm!$GS$12=Adm!$GS$13,0,HY241*Adm!$GV$4)))</f>
        <v>0</v>
      </c>
      <c r="HU242" s="123">
        <f>IF(HY241&lt;0.01,0,IF(Adm!$GS$5=Adm!$GS$8,Cal!$BO$108*$HY$16/1.16,IF(Adm!$GS$12=Adm!$GS$13,0,Cal!$BO$108*Adm!$GW$4/1.16)))</f>
        <v>0</v>
      </c>
      <c r="HV242" s="123">
        <f t="shared" si="545"/>
        <v>0</v>
      </c>
      <c r="HW242" s="123">
        <f t="shared" si="486"/>
        <v>0</v>
      </c>
      <c r="HX242" s="123">
        <f>IF(Adm!$GH$6="si",MIN(HY241+HQ242+HT242+HU242+HV242-HW242,IH242),0)</f>
        <v>0</v>
      </c>
      <c r="HY242" s="297">
        <f t="shared" si="546"/>
        <v>0</v>
      </c>
      <c r="HZ242" s="74"/>
      <c r="IA242" s="407">
        <f t="shared" si="547"/>
        <v>0</v>
      </c>
      <c r="IC242" s="90">
        <f t="shared" si="548"/>
        <v>2</v>
      </c>
      <c r="ID242" s="124">
        <f>IF(IC242=1,Cal!$BO$127,0)</f>
        <v>0</v>
      </c>
      <c r="IE242" s="178">
        <f>IF(IC242=1,Adm!$HI$4,0)</f>
        <v>0</v>
      </c>
      <c r="IG242" s="70">
        <f t="shared" si="571"/>
        <v>0</v>
      </c>
      <c r="IH242" s="2178">
        <f t="shared" ca="1" si="549"/>
        <v>0</v>
      </c>
      <c r="IK242" s="217"/>
      <c r="IL242" s="26">
        <f t="shared" ca="1" si="487"/>
        <v>5</v>
      </c>
      <c r="IN242" s="268">
        <f t="shared" si="488"/>
        <v>0</v>
      </c>
      <c r="IO242" s="151">
        <f t="shared" si="449"/>
        <v>0</v>
      </c>
      <c r="IP242" s="123">
        <f t="shared" si="550"/>
        <v>0</v>
      </c>
      <c r="IQ242" s="123">
        <f t="shared" si="551"/>
        <v>0</v>
      </c>
      <c r="IR242" s="123">
        <f t="shared" si="552"/>
        <v>0</v>
      </c>
      <c r="IS242" s="123">
        <f>IF(IX241&lt;0.01,0,IF(Adm!$GS$4=Adm!$GS$8,IX241*$IX$15,IF(Adm!$GS$12=Adm!$GS$13,0,IX241*Adm!$GV$4)))</f>
        <v>0</v>
      </c>
      <c r="IT242" s="123"/>
      <c r="IU242" s="123">
        <f t="shared" si="553"/>
        <v>0</v>
      </c>
      <c r="IV242" s="123">
        <f t="shared" si="554"/>
        <v>0</v>
      </c>
      <c r="IW242" s="123"/>
      <c r="IX242" s="297">
        <f t="shared" si="555"/>
        <v>0</v>
      </c>
      <c r="IY242" s="74"/>
      <c r="IZ242" s="416">
        <f t="shared" si="556"/>
        <v>0</v>
      </c>
      <c r="JB242" s="90">
        <f t="shared" si="557"/>
        <v>2</v>
      </c>
      <c r="JC242" s="124">
        <f>IF(JB242=1,Cal!$BP$127,0)</f>
        <v>0</v>
      </c>
      <c r="JD242" s="178">
        <f>IF(JB242=1,Adm!$HI$4,0)</f>
        <v>0</v>
      </c>
    </row>
    <row r="243" spans="1:264">
      <c r="A243" s="26">
        <f t="shared" ca="1" si="456"/>
        <v>6</v>
      </c>
      <c r="C243" s="33">
        <f t="shared" si="457"/>
        <v>0</v>
      </c>
      <c r="D243" s="123">
        <f t="shared" si="489"/>
        <v>0</v>
      </c>
      <c r="E243" s="123">
        <f t="shared" si="579"/>
        <v>0</v>
      </c>
      <c r="F243" s="123">
        <f t="shared" si="589"/>
        <v>0</v>
      </c>
      <c r="G243" s="123">
        <f>IF(L242&lt;0.01,0,IF(Adm!$S$4=Adm!$S$8,L242*$L$15,L242*Adm!$V$4))</f>
        <v>0</v>
      </c>
      <c r="H243" s="123">
        <f>IF(L242&lt;0.01,0,IF(Adm!$S$5=Adm!$S$8,Adm!$AA$11*$L$16/1.16,IF(Adm!$B$4=Adm!$A$119,0,Adm!$AA$11*Adm!$X$4/1.16)))</f>
        <v>0</v>
      </c>
      <c r="I243" s="123">
        <f>IF(L242&lt;0.01,0,Cal!$AB$126/1.16)</f>
        <v>0</v>
      </c>
      <c r="J243" s="123">
        <f t="shared" si="458"/>
        <v>0</v>
      </c>
      <c r="K243" s="123">
        <f>IF(Adm!$G$4="si",MIN(L242+D243+G243+H243+I243-J243,V243),0)</f>
        <v>0</v>
      </c>
      <c r="L243" s="123">
        <f t="shared" si="490"/>
        <v>0</v>
      </c>
      <c r="M243" s="74"/>
      <c r="N243" s="74"/>
      <c r="O243" s="407">
        <f t="shared" si="491"/>
        <v>0</v>
      </c>
      <c r="R243" s="90">
        <f t="shared" si="492"/>
        <v>3</v>
      </c>
      <c r="S243" s="121">
        <f>IF(R243=1,Cal!$AB$127,0)</f>
        <v>0</v>
      </c>
      <c r="U243" s="70">
        <f t="shared" si="558"/>
        <v>0</v>
      </c>
      <c r="V243" s="2178">
        <f t="shared" ca="1" si="493"/>
        <v>0</v>
      </c>
      <c r="X243" s="398"/>
      <c r="Z243" s="268">
        <f t="shared" si="459"/>
        <v>0</v>
      </c>
      <c r="AA243" s="2176">
        <f t="shared" si="494"/>
        <v>0</v>
      </c>
      <c r="AB243" s="33">
        <f t="shared" si="495"/>
        <v>0</v>
      </c>
      <c r="AC243" s="33">
        <f t="shared" si="496"/>
        <v>0</v>
      </c>
      <c r="AD243" s="33">
        <f>IF(AI242&lt;0.01,0,IF(Adm!$S$4=Adm!$S$8,AI242*$AI$15,AI242*Adm!$V$4))</f>
        <v>0</v>
      </c>
      <c r="AE243" s="33"/>
      <c r="AF243" s="33"/>
      <c r="AG243" s="33">
        <f t="shared" si="460"/>
        <v>0</v>
      </c>
      <c r="AH243" s="33"/>
      <c r="AI243" s="401">
        <f t="shared" si="461"/>
        <v>0</v>
      </c>
      <c r="AK243" s="410">
        <f t="shared" si="462"/>
        <v>0</v>
      </c>
      <c r="AN243" s="90">
        <f t="shared" si="497"/>
        <v>3</v>
      </c>
      <c r="AO243" s="121">
        <f>IF(AN243=1,Cal!$AC$127,0)</f>
        <v>0</v>
      </c>
      <c r="AS243" s="200"/>
      <c r="AU243" s="268">
        <f t="shared" si="463"/>
        <v>0</v>
      </c>
      <c r="AV243" s="2177">
        <f t="shared" si="498"/>
        <v>0</v>
      </c>
      <c r="AW243" s="123">
        <f t="shared" si="464"/>
        <v>0</v>
      </c>
      <c r="AX243" s="123">
        <f t="shared" si="499"/>
        <v>0</v>
      </c>
      <c r="AY243" s="123">
        <f>IF(BC242&lt;0.01,0,IF(Adm!$S$4=Adm!$S$8,BC242*$BC$16,BC242*Adm!$V$4))</f>
        <v>0</v>
      </c>
      <c r="AZ243" s="123"/>
      <c r="BA243" s="123">
        <f>IF(BC242&lt;0.01,0,Adm!$Q$6)</f>
        <v>0</v>
      </c>
      <c r="BB243" s="123">
        <f t="shared" si="465"/>
        <v>0</v>
      </c>
      <c r="BC243" s="297">
        <f t="shared" si="500"/>
        <v>0</v>
      </c>
      <c r="BE243" s="425">
        <f t="shared" si="466"/>
        <v>0</v>
      </c>
      <c r="BH243" s="90">
        <f t="shared" si="501"/>
        <v>3</v>
      </c>
      <c r="BI243" s="121">
        <f>IF(BH243=1,Cal!$AD$127,0)</f>
        <v>0</v>
      </c>
      <c r="BM243" s="221"/>
      <c r="BO243" s="295">
        <f t="shared" ca="1" si="467"/>
        <v>6</v>
      </c>
      <c r="BP243" s="268">
        <f t="shared" si="468"/>
        <v>0</v>
      </c>
      <c r="BQ243" s="123">
        <f t="shared" si="502"/>
        <v>0</v>
      </c>
      <c r="BR243" s="123">
        <f t="shared" si="580"/>
        <v>0</v>
      </c>
      <c r="BS243" s="123">
        <f t="shared" si="590"/>
        <v>0</v>
      </c>
      <c r="BT243" s="123">
        <f>IF(BZ242&lt;0.01,0,IF(Plus!$F$22=Plus!$AN$4,BZ242*$BZ$15,IF(Plus!$F$22=Plus!$AN$3,BZ242*Plus!$F$23/1000,BZ242*VLOOKUP(Plus!$G$21,Plus!$AP$2:'Plus'!$AQ$5,2,0))))</f>
        <v>0</v>
      </c>
      <c r="BU243" s="123">
        <f>IF(BZ242&lt;0.01,0,IF(Plus!$F$24=Plus!$AO$3,Plus!$G$13*Plus!$AR$2/1.16,IF(Plus!$F$10=Plus!$AK$7,0,Plus!$G$13*Plus!$AR$2/1.16)))</f>
        <v>0</v>
      </c>
      <c r="BV243" s="123">
        <f>IF(BZ242&lt;0.01,0,Plus!$BD$2)</f>
        <v>0</v>
      </c>
      <c r="BW243" s="123"/>
      <c r="BX243" s="123">
        <f t="shared" si="469"/>
        <v>0</v>
      </c>
      <c r="BY243" s="123">
        <f>IF(Plus!$F$10=Plus!$AK$3,MIN(BZ242+BQ243+BT243+BU243+BV243-BX243,CJ243),0)</f>
        <v>0</v>
      </c>
      <c r="BZ243" s="297">
        <f t="shared" si="574"/>
        <v>0</v>
      </c>
      <c r="CA243" s="74"/>
      <c r="CB243" s="74"/>
      <c r="CC243" s="413">
        <f t="shared" si="503"/>
        <v>0</v>
      </c>
      <c r="CF243" s="90">
        <f t="shared" si="504"/>
        <v>3</v>
      </c>
      <c r="CG243" s="121">
        <f t="shared" si="559"/>
        <v>0</v>
      </c>
      <c r="CI243" s="70">
        <f t="shared" si="560"/>
        <v>0</v>
      </c>
      <c r="CJ243" s="2178">
        <f t="shared" ca="1" si="505"/>
        <v>0</v>
      </c>
      <c r="CL243" s="161"/>
      <c r="CN243" s="308">
        <f t="shared" ca="1" si="470"/>
        <v>6</v>
      </c>
      <c r="CO243" s="309">
        <f t="shared" si="506"/>
        <v>0</v>
      </c>
      <c r="CP243" s="268">
        <f t="shared" si="471"/>
        <v>0</v>
      </c>
      <c r="CQ243" s="123">
        <f t="shared" si="507"/>
        <v>0</v>
      </c>
      <c r="CR243" s="123">
        <f t="shared" si="581"/>
        <v>0</v>
      </c>
      <c r="CS243" s="123">
        <f t="shared" si="582"/>
        <v>0</v>
      </c>
      <c r="CT243" s="33">
        <f>IF(CZ242&lt;0.01,0,IF(Plus!$F$22=Plus!$AN$4,0,IF(Plus!$F$22=Plus!$AN$3,CZ242*Plus!$F$23/1000,CZ242*VLOOKUP(Plus!$G$21,Plus!$AP$2:'Plus'!$AQ$5,2,0))))</f>
        <v>0</v>
      </c>
      <c r="CU243" s="123">
        <f>IF(CZ242&lt;0.01,0,IF(Plus!$F$24=Plus!$AO$3,0,IF(OR(Plus!$F$10=Plus!$AK$7,Plus!$F$10=Plus!$AK$13),0,Plus!$G$13*Plus!$AR$2)))</f>
        <v>0</v>
      </c>
      <c r="CV243" s="123">
        <f>IF(CZ242&lt;0.01,0,IF(OR(Plus!$F$10=Plus!$AK$7,Plus!$F$10=Plus!$AK$13),0,Plus!$BD$2*1.16))</f>
        <v>0</v>
      </c>
      <c r="CW243" s="123">
        <f>IF(CZ242&lt;0.01,0,IF(Plus!$AS$2&gt;0,CQ243*Plus!$AS$3,0))</f>
        <v>0</v>
      </c>
      <c r="CX243" s="123">
        <f t="shared" si="508"/>
        <v>0</v>
      </c>
      <c r="CY243" s="123">
        <f>IF(Plus!$F$10=Plus!$AK$3,MIN(CZ242+CQ243+CT243+CU243+CV243-CX243,DK243),0)</f>
        <v>0</v>
      </c>
      <c r="CZ243" s="297">
        <f t="shared" si="588"/>
        <v>0</v>
      </c>
      <c r="DA243" s="306">
        <f>Plus!O284</f>
        <v>0</v>
      </c>
      <c r="DB243" s="74"/>
      <c r="DC243" s="74"/>
      <c r="DD243" s="407">
        <f t="shared" si="509"/>
        <v>0</v>
      </c>
      <c r="DG243" s="90">
        <f t="shared" si="510"/>
        <v>3</v>
      </c>
      <c r="DH243" s="121">
        <f t="shared" si="561"/>
        <v>0</v>
      </c>
      <c r="DJ243" s="149">
        <f t="shared" si="562"/>
        <v>0</v>
      </c>
      <c r="DK243" s="2179">
        <f t="shared" ca="1" si="511"/>
        <v>0</v>
      </c>
      <c r="DN243" s="120">
        <f t="shared" si="563"/>
        <v>0</v>
      </c>
      <c r="DO243" s="110">
        <f t="shared" si="512"/>
        <v>0</v>
      </c>
      <c r="DP243" s="110">
        <f t="shared" si="572"/>
        <v>0</v>
      </c>
      <c r="DQ243" s="109">
        <f t="shared" si="513"/>
        <v>0</v>
      </c>
      <c r="DR243" s="109">
        <f t="shared" si="514"/>
        <v>0</v>
      </c>
      <c r="DS243" s="113">
        <f t="shared" si="515"/>
        <v>0</v>
      </c>
      <c r="DU243" s="102">
        <f t="shared" si="516"/>
        <v>0</v>
      </c>
      <c r="DV243" s="211">
        <f t="shared" si="573"/>
        <v>219</v>
      </c>
      <c r="DW243" s="212">
        <f t="shared" si="517"/>
        <v>0</v>
      </c>
      <c r="DX243" s="212">
        <f t="shared" si="472"/>
        <v>0</v>
      </c>
      <c r="DY243" s="212">
        <f t="shared" si="564"/>
        <v>0</v>
      </c>
      <c r="DZ243" s="213">
        <f t="shared" si="473"/>
        <v>1000000</v>
      </c>
      <c r="ED243" s="182"/>
      <c r="EF243" s="308">
        <f t="shared" ca="1" si="474"/>
        <v>6</v>
      </c>
      <c r="EG243" s="309">
        <f t="shared" si="518"/>
        <v>0</v>
      </c>
      <c r="EH243" s="268">
        <f t="shared" si="475"/>
        <v>0</v>
      </c>
      <c r="EI243" s="33">
        <f t="shared" si="519"/>
        <v>0</v>
      </c>
      <c r="EJ243" s="33">
        <f t="shared" si="583"/>
        <v>0</v>
      </c>
      <c r="EK243" s="33">
        <f t="shared" si="591"/>
        <v>0</v>
      </c>
      <c r="EL243" s="33">
        <f>IF(ER242&lt;0.01,0,IF(Plus!$F$22=Plus!$AN$4,0,IF(Plus!$F$22=Plus!$AN$3,ER242*Plus!$F$23/1000,ER242*VLOOKUP(Plus!$G$21,Plus!$AP$2:'Plus'!$AQ$5,2,0))))</f>
        <v>0</v>
      </c>
      <c r="EM243" s="33">
        <f>IF(ER242&lt;0.01,0,IF(Plus!$F$24=Plus!$AO$3,0,IF(OR(Plus!$F$10=Plus!$AK$7,Plus!$F$10=Plus!$AK$13),0,Plus!$G$13*Plus!$AR$2)))</f>
        <v>0</v>
      </c>
      <c r="EN243" s="33">
        <f>IF(ER242&lt;0.01,0,IF(OR(Plus!$F$10=Plus!$AK$7,Plus!$F$10=Plus!$AK$13),0,Plus!$BD$2*1.16))</f>
        <v>0</v>
      </c>
      <c r="EO243" s="33">
        <f>IF(ER242&lt;0.01,0,IF(Plus!$AS$2&gt;0,EI243*Plus!$AS$3,0))</f>
        <v>0</v>
      </c>
      <c r="EP243" s="33">
        <f t="shared" si="520"/>
        <v>0</v>
      </c>
      <c r="EQ243" s="33">
        <f>IF(Plus!$F$10=Plus!$AK$3,MIN(ER242+EI243+EL243+EM243+EN243-EP243,FC243),0)</f>
        <v>0</v>
      </c>
      <c r="ER243" s="311">
        <f t="shared" si="577"/>
        <v>0</v>
      </c>
      <c r="ES243" s="340">
        <f>Plus!O284</f>
        <v>0</v>
      </c>
      <c r="ET243" s="74"/>
      <c r="EU243" s="74"/>
      <c r="EV243" s="416">
        <f t="shared" si="575"/>
        <v>0</v>
      </c>
      <c r="EY243" s="90">
        <f t="shared" si="521"/>
        <v>3</v>
      </c>
      <c r="EZ243" s="121">
        <f t="shared" si="565"/>
        <v>0</v>
      </c>
      <c r="FB243" s="149">
        <f t="shared" si="566"/>
        <v>0</v>
      </c>
      <c r="FC243" s="2179">
        <f t="shared" ca="1" si="522"/>
        <v>0</v>
      </c>
      <c r="FE243" s="120">
        <f t="shared" si="567"/>
        <v>0</v>
      </c>
      <c r="FF243" s="110">
        <f t="shared" si="523"/>
        <v>0</v>
      </c>
      <c r="FG243" s="110">
        <f t="shared" si="524"/>
        <v>0</v>
      </c>
      <c r="FH243" s="109">
        <f t="shared" si="525"/>
        <v>0</v>
      </c>
      <c r="FI243" s="109">
        <f t="shared" si="476"/>
        <v>0</v>
      </c>
      <c r="FJ243" s="113">
        <f t="shared" si="526"/>
        <v>0</v>
      </c>
      <c r="FL243" s="102">
        <f t="shared" si="527"/>
        <v>0</v>
      </c>
      <c r="FM243" s="211">
        <f t="shared" si="454"/>
        <v>219</v>
      </c>
      <c r="FN243" s="212">
        <f t="shared" si="528"/>
        <v>0</v>
      </c>
      <c r="FO243" s="212">
        <f t="shared" si="477"/>
        <v>0</v>
      </c>
      <c r="FP243" s="212">
        <f t="shared" si="592"/>
        <v>0</v>
      </c>
      <c r="FQ243" s="213">
        <f t="shared" si="478"/>
        <v>1000000</v>
      </c>
      <c r="FV243" s="359"/>
      <c r="FX243" s="308">
        <f t="shared" ca="1" si="479"/>
        <v>6</v>
      </c>
      <c r="FY243" s="309">
        <f t="shared" si="530"/>
        <v>0</v>
      </c>
      <c r="FZ243" s="268">
        <f t="shared" si="480"/>
        <v>0</v>
      </c>
      <c r="GA243" s="33">
        <f t="shared" si="531"/>
        <v>0</v>
      </c>
      <c r="GB243" s="33">
        <f t="shared" si="585"/>
        <v>0</v>
      </c>
      <c r="GC243" s="33">
        <f t="shared" si="586"/>
        <v>0</v>
      </c>
      <c r="GD243" s="33">
        <f>IF(GJ242&lt;0.01,0,IF(Plus!$F$22=Plus!$AN$4,0,IF(Plus!$F$22=Plus!$AN$3,GJ242*Plus!$F$23/1000,GJ242*VLOOKUP(Plus!$G$21,Plus!$AP$2:$AQ$5,2,0))))</f>
        <v>0</v>
      </c>
      <c r="GE243" s="33">
        <f>IF(GJ242&lt;0.01,0,IF(Plus!$F$24=Plus!$AO$3,0,IF(OR(Plus!$F$10=Plus!$AK$7,Plus!$F$10=Plus!$AK$13,Plus!$F$10=Plus!$AK$14),0,IF(OR(Plus!$F$10=Plus!$AK$10,Plus!$F$10=Plus!$AK$11),Plus!$G$13*Adm!$W$7,Plus!$G$13*Adm!$X$4))))</f>
        <v>0</v>
      </c>
      <c r="GF243" s="33">
        <f>IF(GJ242&lt;0.01,0,IF(OR(Plus!$F$10=Plus!$AK$7,Plus!$F$10=Plus!$AK$13),0,Plus!$BD$2*1.16))</f>
        <v>0</v>
      </c>
      <c r="GG243" s="33">
        <f>IF(GJ242&lt;0.01,0,IF(Plus!$AS$2&gt;0,GA243*Plus!$AS$3,0))</f>
        <v>0</v>
      </c>
      <c r="GH243" s="33">
        <f t="shared" si="532"/>
        <v>0</v>
      </c>
      <c r="GI243" s="33">
        <f>IF(Plus!$F$10=Plus!$AK$3,MIN(GJ242+GA243+GD243+GE243+GF243-GH243,GU243),0)</f>
        <v>0</v>
      </c>
      <c r="GJ243" s="311">
        <f t="shared" si="578"/>
        <v>0</v>
      </c>
      <c r="GK243" s="340">
        <f>Plus!O284</f>
        <v>0</v>
      </c>
      <c r="GL243" s="74"/>
      <c r="GM243" s="74"/>
      <c r="GN243" s="419">
        <f t="shared" si="576"/>
        <v>0</v>
      </c>
      <c r="GQ243" s="90">
        <f t="shared" si="533"/>
        <v>3</v>
      </c>
      <c r="GR243" s="121">
        <f t="shared" si="568"/>
        <v>0</v>
      </c>
      <c r="GT243" s="149">
        <f t="shared" si="569"/>
        <v>0</v>
      </c>
      <c r="GU243" s="2179">
        <f t="shared" ca="1" si="534"/>
        <v>0</v>
      </c>
      <c r="GW243" s="120">
        <f t="shared" si="570"/>
        <v>0</v>
      </c>
      <c r="GX243" s="110">
        <f t="shared" si="535"/>
        <v>0</v>
      </c>
      <c r="GY243" s="110">
        <f t="shared" si="536"/>
        <v>0</v>
      </c>
      <c r="GZ243" s="109">
        <f t="shared" si="537"/>
        <v>0</v>
      </c>
      <c r="HA243" s="109">
        <f t="shared" si="481"/>
        <v>0</v>
      </c>
      <c r="HB243" s="113">
        <f t="shared" si="538"/>
        <v>0</v>
      </c>
      <c r="HD243" s="102">
        <f t="shared" si="539"/>
        <v>0</v>
      </c>
      <c r="HE243" s="211">
        <f t="shared" si="455"/>
        <v>219</v>
      </c>
      <c r="HF243" s="212">
        <f t="shared" si="540"/>
        <v>0</v>
      </c>
      <c r="HG243" s="212">
        <f t="shared" si="482"/>
        <v>0</v>
      </c>
      <c r="HH243" s="212">
        <f t="shared" si="593"/>
        <v>0</v>
      </c>
      <c r="HI243" s="213">
        <f t="shared" si="483"/>
        <v>1000000</v>
      </c>
      <c r="HL243" s="182"/>
      <c r="HM243" s="26">
        <f t="shared" ca="1" si="484"/>
        <v>6</v>
      </c>
      <c r="HO243" s="268">
        <f t="shared" si="485"/>
        <v>0</v>
      </c>
      <c r="HP243" s="151">
        <f t="shared" si="448"/>
        <v>0</v>
      </c>
      <c r="HQ243" s="123">
        <f t="shared" si="542"/>
        <v>0</v>
      </c>
      <c r="HR243" s="123">
        <f t="shared" si="543"/>
        <v>0</v>
      </c>
      <c r="HS243" s="123">
        <f t="shared" si="544"/>
        <v>0</v>
      </c>
      <c r="HT243" s="123">
        <f>IF(HY242&lt;0.01,0,IF(Adm!$GS$4=Adm!$GS$8,HY242*$HY$15,IF(Adm!$GS$12=Adm!$GS$13,0,HY242*Adm!$GV$4)))</f>
        <v>0</v>
      </c>
      <c r="HU243" s="123">
        <f>IF(HY242&lt;0.01,0,IF(Adm!$GS$5=Adm!$GS$8,Cal!$BO$108*$HY$16/1.16,IF(Adm!$GS$12=Adm!$GS$13,0,Cal!$BO$108*Adm!$GW$4/1.16)))</f>
        <v>0</v>
      </c>
      <c r="HV243" s="123">
        <f t="shared" si="545"/>
        <v>0</v>
      </c>
      <c r="HW243" s="123">
        <f t="shared" si="486"/>
        <v>0</v>
      </c>
      <c r="HX243" s="123">
        <f>IF(Adm!$GH$6="si",MIN(HY242+HQ243+HT243+HU243+HV243-HW243,IH243),0)</f>
        <v>0</v>
      </c>
      <c r="HY243" s="297">
        <f t="shared" si="546"/>
        <v>0</v>
      </c>
      <c r="HZ243" s="74"/>
      <c r="IA243" s="407">
        <f t="shared" si="547"/>
        <v>0</v>
      </c>
      <c r="IC243" s="90">
        <f t="shared" si="548"/>
        <v>3</v>
      </c>
      <c r="ID243" s="124">
        <f>IF(IC243=1,Cal!$BO$127,0)</f>
        <v>0</v>
      </c>
      <c r="IE243" s="178">
        <f>IF(IC243=1,Adm!$HI$4,0)</f>
        <v>0</v>
      </c>
      <c r="IG243" s="70">
        <f t="shared" si="571"/>
        <v>0</v>
      </c>
      <c r="IH243" s="2178">
        <f t="shared" ca="1" si="549"/>
        <v>0</v>
      </c>
      <c r="IK243" s="217"/>
      <c r="IL243" s="26">
        <f t="shared" ca="1" si="487"/>
        <v>6</v>
      </c>
      <c r="IN243" s="268">
        <f t="shared" si="488"/>
        <v>0</v>
      </c>
      <c r="IO243" s="151">
        <f t="shared" si="449"/>
        <v>0</v>
      </c>
      <c r="IP243" s="123">
        <f t="shared" si="550"/>
        <v>0</v>
      </c>
      <c r="IQ243" s="123">
        <f t="shared" si="551"/>
        <v>0</v>
      </c>
      <c r="IR243" s="123">
        <f t="shared" si="552"/>
        <v>0</v>
      </c>
      <c r="IS243" s="123">
        <f>IF(IX242&lt;0.01,0,IF(Adm!$GS$4=Adm!$GS$8,IX242*$IX$15,IF(Adm!$GS$12=Adm!$GS$13,0,IX242*Adm!$GV$4)))</f>
        <v>0</v>
      </c>
      <c r="IT243" s="123"/>
      <c r="IU243" s="123">
        <f t="shared" si="553"/>
        <v>0</v>
      </c>
      <c r="IV243" s="123">
        <f t="shared" si="554"/>
        <v>0</v>
      </c>
      <c r="IW243" s="123"/>
      <c r="IX243" s="297">
        <f t="shared" si="555"/>
        <v>0</v>
      </c>
      <c r="IY243" s="74"/>
      <c r="IZ243" s="416">
        <f t="shared" si="556"/>
        <v>0</v>
      </c>
      <c r="JB243" s="90">
        <f t="shared" si="557"/>
        <v>3</v>
      </c>
      <c r="JC243" s="124">
        <f>IF(JB243=1,Cal!$BP$127,0)</f>
        <v>0</v>
      </c>
      <c r="JD243" s="178">
        <f>IF(JB243=1,Adm!$HI$4,0)</f>
        <v>0</v>
      </c>
    </row>
    <row r="244" spans="1:264">
      <c r="A244" s="26">
        <f t="shared" ca="1" si="456"/>
        <v>7</v>
      </c>
      <c r="C244" s="33">
        <f t="shared" si="457"/>
        <v>0</v>
      </c>
      <c r="D244" s="123">
        <f t="shared" si="489"/>
        <v>0</v>
      </c>
      <c r="E244" s="123">
        <f t="shared" si="579"/>
        <v>0</v>
      </c>
      <c r="F244" s="123">
        <f t="shared" si="589"/>
        <v>0</v>
      </c>
      <c r="G244" s="123">
        <f>IF(L243&lt;0.01,0,IF(Adm!$S$4=Adm!$S$8,L243*$L$15,L243*Adm!$V$4))</f>
        <v>0</v>
      </c>
      <c r="H244" s="123">
        <f>IF(L243&lt;0.01,0,IF(Adm!$S$5=Adm!$S$8,Adm!$AA$11*$L$16/1.16,IF(Adm!$B$4=Adm!$A$119,0,Adm!$AA$11*Adm!$X$4/1.16)))</f>
        <v>0</v>
      </c>
      <c r="I244" s="123">
        <f>IF(L243&lt;0.01,0,Cal!$AB$126/1.16)</f>
        <v>0</v>
      </c>
      <c r="J244" s="123">
        <f t="shared" si="458"/>
        <v>0</v>
      </c>
      <c r="K244" s="123">
        <f>IF(Adm!$G$4="si",MIN(L243+D244+G244+H244+I244-J244,V244),0)</f>
        <v>0</v>
      </c>
      <c r="L244" s="123">
        <f t="shared" si="490"/>
        <v>0</v>
      </c>
      <c r="M244" s="74"/>
      <c r="N244" s="74"/>
      <c r="O244" s="407">
        <f t="shared" si="491"/>
        <v>0</v>
      </c>
      <c r="R244" s="90">
        <f t="shared" si="492"/>
        <v>4</v>
      </c>
      <c r="S244" s="121">
        <f>IF(R244=1,Cal!$AB$127,0)</f>
        <v>0</v>
      </c>
      <c r="U244" s="70">
        <f t="shared" si="558"/>
        <v>0</v>
      </c>
      <c r="V244" s="2178">
        <f t="shared" ca="1" si="493"/>
        <v>0</v>
      </c>
      <c r="X244" s="398"/>
      <c r="Z244" s="268">
        <f t="shared" si="459"/>
        <v>0</v>
      </c>
      <c r="AA244" s="2176">
        <f t="shared" si="494"/>
        <v>0</v>
      </c>
      <c r="AB244" s="33">
        <f t="shared" si="495"/>
        <v>0</v>
      </c>
      <c r="AC244" s="33">
        <f t="shared" si="496"/>
        <v>0</v>
      </c>
      <c r="AD244" s="33">
        <f>IF(AI243&lt;0.01,0,IF(Adm!$S$4=Adm!$S$8,AI243*$AI$15,AI243*Adm!$V$4))</f>
        <v>0</v>
      </c>
      <c r="AE244" s="33"/>
      <c r="AF244" s="33"/>
      <c r="AG244" s="33">
        <f t="shared" si="460"/>
        <v>0</v>
      </c>
      <c r="AH244" s="33"/>
      <c r="AI244" s="401">
        <f t="shared" si="461"/>
        <v>0</v>
      </c>
      <c r="AK244" s="410">
        <f t="shared" si="462"/>
        <v>0</v>
      </c>
      <c r="AN244" s="90">
        <f t="shared" si="497"/>
        <v>4</v>
      </c>
      <c r="AO244" s="121">
        <f>IF(AN244=1,Cal!$AC$127,0)</f>
        <v>0</v>
      </c>
      <c r="AS244" s="200"/>
      <c r="AU244" s="268">
        <f t="shared" si="463"/>
        <v>0</v>
      </c>
      <c r="AV244" s="2177">
        <f t="shared" si="498"/>
        <v>0</v>
      </c>
      <c r="AW244" s="123">
        <f t="shared" si="464"/>
        <v>0</v>
      </c>
      <c r="AX244" s="123">
        <f t="shared" si="499"/>
        <v>0</v>
      </c>
      <c r="AY244" s="123">
        <f>IF(BC243&lt;0.01,0,IF(Adm!$S$4=Adm!$S$8,BC243*$BC$16,BC243*Adm!$V$4))</f>
        <v>0</v>
      </c>
      <c r="AZ244" s="123"/>
      <c r="BA244" s="123">
        <f>IF(BC243&lt;0.01,0,Adm!$Q$6)</f>
        <v>0</v>
      </c>
      <c r="BB244" s="123">
        <f t="shared" si="465"/>
        <v>0</v>
      </c>
      <c r="BC244" s="297">
        <f t="shared" si="500"/>
        <v>0</v>
      </c>
      <c r="BE244" s="425">
        <f t="shared" si="466"/>
        <v>0</v>
      </c>
      <c r="BH244" s="90">
        <f t="shared" si="501"/>
        <v>4</v>
      </c>
      <c r="BI244" s="121">
        <f>IF(BH244=1,Cal!$AD$127,0)</f>
        <v>0</v>
      </c>
      <c r="BM244" s="221"/>
      <c r="BO244" s="295">
        <f t="shared" ca="1" si="467"/>
        <v>7</v>
      </c>
      <c r="BP244" s="268">
        <f t="shared" si="468"/>
        <v>0</v>
      </c>
      <c r="BQ244" s="123">
        <f t="shared" si="502"/>
        <v>0</v>
      </c>
      <c r="BR244" s="123">
        <f t="shared" si="580"/>
        <v>0</v>
      </c>
      <c r="BS244" s="123">
        <f t="shared" si="590"/>
        <v>0</v>
      </c>
      <c r="BT244" s="123">
        <f>IF(BZ243&lt;0.01,0,IF(Plus!$F$22=Plus!$AN$4,BZ243*$BZ$15,IF(Plus!$F$22=Plus!$AN$3,BZ243*Plus!$F$23/1000,BZ243*VLOOKUP(Plus!$G$21,Plus!$AP$2:'Plus'!$AQ$5,2,0))))</f>
        <v>0</v>
      </c>
      <c r="BU244" s="123">
        <f>IF(BZ243&lt;0.01,0,IF(Plus!$F$24=Plus!$AO$3,Plus!$G$13*Plus!$AR$2/1.16,IF(Plus!$F$10=Plus!$AK$7,0,Plus!$G$13*Plus!$AR$2/1.16)))</f>
        <v>0</v>
      </c>
      <c r="BV244" s="123">
        <f>IF(BZ243&lt;0.01,0,Plus!$BD$2)</f>
        <v>0</v>
      </c>
      <c r="BW244" s="123"/>
      <c r="BX244" s="123">
        <f t="shared" si="469"/>
        <v>0</v>
      </c>
      <c r="BY244" s="123">
        <f>IF(Plus!$F$10=Plus!$AK$3,MIN(BZ243+BQ244+BT244+BU244+BV244-BX244,CJ244),0)</f>
        <v>0</v>
      </c>
      <c r="BZ244" s="297">
        <f t="shared" si="574"/>
        <v>0</v>
      </c>
      <c r="CA244" s="74"/>
      <c r="CB244" s="74"/>
      <c r="CC244" s="413">
        <f t="shared" si="503"/>
        <v>0</v>
      </c>
      <c r="CF244" s="90">
        <f t="shared" si="504"/>
        <v>4</v>
      </c>
      <c r="CG244" s="121">
        <f t="shared" si="559"/>
        <v>0</v>
      </c>
      <c r="CI244" s="70">
        <f t="shared" si="560"/>
        <v>0</v>
      </c>
      <c r="CJ244" s="2178">
        <f t="shared" ca="1" si="505"/>
        <v>0</v>
      </c>
      <c r="CL244" s="161"/>
      <c r="CN244" s="308">
        <f t="shared" ca="1" si="470"/>
        <v>7</v>
      </c>
      <c r="CO244" s="309">
        <f t="shared" si="506"/>
        <v>0</v>
      </c>
      <c r="CP244" s="268">
        <f t="shared" si="471"/>
        <v>0</v>
      </c>
      <c r="CQ244" s="123">
        <f t="shared" si="507"/>
        <v>0</v>
      </c>
      <c r="CR244" s="123">
        <f t="shared" si="581"/>
        <v>0</v>
      </c>
      <c r="CS244" s="123">
        <f t="shared" si="582"/>
        <v>0</v>
      </c>
      <c r="CT244" s="33">
        <f>IF(CZ243&lt;0.01,0,IF(Plus!$F$22=Plus!$AN$4,0,IF(Plus!$F$22=Plus!$AN$3,CZ243*Plus!$F$23/1000,CZ243*VLOOKUP(Plus!$G$21,Plus!$AP$2:'Plus'!$AQ$5,2,0))))</f>
        <v>0</v>
      </c>
      <c r="CU244" s="123">
        <f>IF(CZ243&lt;0.01,0,IF(Plus!$F$24=Plus!$AO$3,0,IF(OR(Plus!$F$10=Plus!$AK$7,Plus!$F$10=Plus!$AK$13),0,Plus!$G$13*Plus!$AR$2)))</f>
        <v>0</v>
      </c>
      <c r="CV244" s="123">
        <f>IF(CZ243&lt;0.01,0,IF(OR(Plus!$F$10=Plus!$AK$7,Plus!$F$10=Plus!$AK$13),0,Plus!$BD$2*1.16))</f>
        <v>0</v>
      </c>
      <c r="CW244" s="123">
        <f>IF(CZ243&lt;0.01,0,IF(Plus!$AS$2&gt;0,CQ244*Plus!$AS$3,0))</f>
        <v>0</v>
      </c>
      <c r="CX244" s="123">
        <f t="shared" si="508"/>
        <v>0</v>
      </c>
      <c r="CY244" s="123">
        <f>IF(Plus!$F$10=Plus!$AK$3,MIN(CZ243+CQ244+CT244+CU244+CV244-CX244,DK244),0)</f>
        <v>0</v>
      </c>
      <c r="CZ244" s="297">
        <f t="shared" si="588"/>
        <v>0</v>
      </c>
      <c r="DA244" s="306">
        <f>Plus!O285</f>
        <v>0</v>
      </c>
      <c r="DB244" s="74"/>
      <c r="DC244" s="74"/>
      <c r="DD244" s="407">
        <f t="shared" si="509"/>
        <v>0</v>
      </c>
      <c r="DG244" s="90">
        <f t="shared" si="510"/>
        <v>4</v>
      </c>
      <c r="DH244" s="121">
        <f t="shared" si="561"/>
        <v>0</v>
      </c>
      <c r="DJ244" s="149">
        <f t="shared" si="562"/>
        <v>0</v>
      </c>
      <c r="DK244" s="2179">
        <f t="shared" ca="1" si="511"/>
        <v>0</v>
      </c>
      <c r="DN244" s="120">
        <f t="shared" si="563"/>
        <v>0</v>
      </c>
      <c r="DO244" s="110">
        <f t="shared" si="512"/>
        <v>0</v>
      </c>
      <c r="DP244" s="110">
        <f t="shared" si="572"/>
        <v>0</v>
      </c>
      <c r="DQ244" s="109">
        <f t="shared" si="513"/>
        <v>0</v>
      </c>
      <c r="DR244" s="109">
        <f t="shared" si="514"/>
        <v>0</v>
      </c>
      <c r="DS244" s="113">
        <f t="shared" si="515"/>
        <v>0</v>
      </c>
      <c r="DU244" s="102">
        <f t="shared" si="516"/>
        <v>0</v>
      </c>
      <c r="DV244" s="211">
        <f t="shared" si="573"/>
        <v>220</v>
      </c>
      <c r="DW244" s="212">
        <f t="shared" si="517"/>
        <v>0</v>
      </c>
      <c r="DX244" s="212">
        <f t="shared" si="472"/>
        <v>0</v>
      </c>
      <c r="DY244" s="212">
        <f t="shared" si="564"/>
        <v>0</v>
      </c>
      <c r="DZ244" s="213">
        <f t="shared" si="473"/>
        <v>1000000</v>
      </c>
      <c r="ED244" s="182"/>
      <c r="EF244" s="308">
        <f t="shared" ca="1" si="474"/>
        <v>7</v>
      </c>
      <c r="EG244" s="309">
        <f t="shared" si="518"/>
        <v>0</v>
      </c>
      <c r="EH244" s="268">
        <f t="shared" si="475"/>
        <v>0</v>
      </c>
      <c r="EI244" s="33">
        <f t="shared" si="519"/>
        <v>0</v>
      </c>
      <c r="EJ244" s="33">
        <f t="shared" si="583"/>
        <v>0</v>
      </c>
      <c r="EK244" s="33">
        <f t="shared" si="591"/>
        <v>0</v>
      </c>
      <c r="EL244" s="33">
        <f>IF(ER243&lt;0.01,0,IF(Plus!$F$22=Plus!$AN$4,0,IF(Plus!$F$22=Plus!$AN$3,ER243*Plus!$F$23/1000,ER243*VLOOKUP(Plus!$G$21,Plus!$AP$2:'Plus'!$AQ$5,2,0))))</f>
        <v>0</v>
      </c>
      <c r="EM244" s="33">
        <f>IF(ER243&lt;0.01,0,IF(Plus!$F$24=Plus!$AO$3,0,IF(OR(Plus!$F$10=Plus!$AK$7,Plus!$F$10=Plus!$AK$13),0,Plus!$G$13*Plus!$AR$2)))</f>
        <v>0</v>
      </c>
      <c r="EN244" s="33">
        <f>IF(ER243&lt;0.01,0,IF(OR(Plus!$F$10=Plus!$AK$7,Plus!$F$10=Plus!$AK$13),0,Plus!$BD$2*1.16))</f>
        <v>0</v>
      </c>
      <c r="EO244" s="33">
        <f>IF(ER243&lt;0.01,0,IF(Plus!$AS$2&gt;0,EI244*Plus!$AS$3,0))</f>
        <v>0</v>
      </c>
      <c r="EP244" s="33">
        <f t="shared" si="520"/>
        <v>0</v>
      </c>
      <c r="EQ244" s="33">
        <f>IF(Plus!$F$10=Plus!$AK$3,MIN(ER243+EI244+EL244+EM244+EN244-EP244,FC244),0)</f>
        <v>0</v>
      </c>
      <c r="ER244" s="311">
        <f t="shared" si="577"/>
        <v>0</v>
      </c>
      <c r="ES244" s="340">
        <f>Plus!O285</f>
        <v>0</v>
      </c>
      <c r="ET244" s="74"/>
      <c r="EU244" s="74"/>
      <c r="EV244" s="416">
        <f t="shared" si="575"/>
        <v>0</v>
      </c>
      <c r="EY244" s="90">
        <f t="shared" si="521"/>
        <v>4</v>
      </c>
      <c r="EZ244" s="121">
        <f t="shared" si="565"/>
        <v>0</v>
      </c>
      <c r="FB244" s="149">
        <f t="shared" si="566"/>
        <v>0</v>
      </c>
      <c r="FC244" s="2179">
        <f t="shared" ca="1" si="522"/>
        <v>0</v>
      </c>
      <c r="FE244" s="120">
        <f t="shared" si="567"/>
        <v>0</v>
      </c>
      <c r="FF244" s="110">
        <f t="shared" si="523"/>
        <v>0</v>
      </c>
      <c r="FG244" s="110">
        <f t="shared" si="524"/>
        <v>0</v>
      </c>
      <c r="FH244" s="109">
        <f t="shared" si="525"/>
        <v>0</v>
      </c>
      <c r="FI244" s="109">
        <f t="shared" si="476"/>
        <v>0</v>
      </c>
      <c r="FJ244" s="113">
        <f t="shared" si="526"/>
        <v>0</v>
      </c>
      <c r="FL244" s="102">
        <f t="shared" si="527"/>
        <v>0</v>
      </c>
      <c r="FM244" s="211">
        <f t="shared" si="454"/>
        <v>220</v>
      </c>
      <c r="FN244" s="212">
        <f t="shared" si="528"/>
        <v>0</v>
      </c>
      <c r="FO244" s="212">
        <f t="shared" si="477"/>
        <v>0</v>
      </c>
      <c r="FP244" s="212">
        <f t="shared" si="592"/>
        <v>0</v>
      </c>
      <c r="FQ244" s="213">
        <f t="shared" si="478"/>
        <v>1000000</v>
      </c>
      <c r="FV244" s="359"/>
      <c r="FX244" s="308">
        <f t="shared" ca="1" si="479"/>
        <v>7</v>
      </c>
      <c r="FY244" s="309">
        <f t="shared" si="530"/>
        <v>0</v>
      </c>
      <c r="FZ244" s="268">
        <f t="shared" si="480"/>
        <v>0</v>
      </c>
      <c r="GA244" s="33">
        <f t="shared" si="531"/>
        <v>0</v>
      </c>
      <c r="GB244" s="33">
        <f t="shared" si="585"/>
        <v>0</v>
      </c>
      <c r="GC244" s="33">
        <f t="shared" si="586"/>
        <v>0</v>
      </c>
      <c r="GD244" s="33">
        <f>IF(GJ243&lt;0.01,0,IF(Plus!$F$22=Plus!$AN$4,0,IF(Plus!$F$22=Plus!$AN$3,GJ243*Plus!$F$23/1000,GJ243*VLOOKUP(Plus!$G$21,Plus!$AP$2:$AQ$5,2,0))))</f>
        <v>0</v>
      </c>
      <c r="GE244" s="33">
        <f>IF(GJ243&lt;0.01,0,IF(Plus!$F$24=Plus!$AO$3,0,IF(OR(Plus!$F$10=Plus!$AK$7,Plus!$F$10=Plus!$AK$13,Plus!$F$10=Plus!$AK$14),0,IF(OR(Plus!$F$10=Plus!$AK$10,Plus!$F$10=Plus!$AK$11),Plus!$G$13*Adm!$W$7,Plus!$G$13*Adm!$X$4))))</f>
        <v>0</v>
      </c>
      <c r="GF244" s="33">
        <f>IF(GJ243&lt;0.01,0,IF(OR(Plus!$F$10=Plus!$AK$7,Plus!$F$10=Plus!$AK$13),0,Plus!$BD$2*1.16))</f>
        <v>0</v>
      </c>
      <c r="GG244" s="33">
        <f>IF(GJ243&lt;0.01,0,IF(Plus!$AS$2&gt;0,GA244*Plus!$AS$3,0))</f>
        <v>0</v>
      </c>
      <c r="GH244" s="33">
        <f t="shared" si="532"/>
        <v>0</v>
      </c>
      <c r="GI244" s="33">
        <f>IF(Plus!$F$10=Plus!$AK$3,MIN(GJ243+GA244+GD244+GE244+GF244-GH244,GU244),0)</f>
        <v>0</v>
      </c>
      <c r="GJ244" s="311">
        <f t="shared" si="578"/>
        <v>0</v>
      </c>
      <c r="GK244" s="340">
        <f>Plus!O285</f>
        <v>0</v>
      </c>
      <c r="GL244" s="74"/>
      <c r="GM244" s="74"/>
      <c r="GN244" s="419">
        <f t="shared" si="576"/>
        <v>0</v>
      </c>
      <c r="GQ244" s="90">
        <f t="shared" si="533"/>
        <v>4</v>
      </c>
      <c r="GR244" s="121">
        <f t="shared" si="568"/>
        <v>0</v>
      </c>
      <c r="GT244" s="149">
        <f t="shared" si="569"/>
        <v>0</v>
      </c>
      <c r="GU244" s="2179">
        <f t="shared" ca="1" si="534"/>
        <v>0</v>
      </c>
      <c r="GW244" s="120">
        <f t="shared" si="570"/>
        <v>0</v>
      </c>
      <c r="GX244" s="110">
        <f t="shared" si="535"/>
        <v>0</v>
      </c>
      <c r="GY244" s="110">
        <f t="shared" si="536"/>
        <v>0</v>
      </c>
      <c r="GZ244" s="109">
        <f t="shared" si="537"/>
        <v>0</v>
      </c>
      <c r="HA244" s="109">
        <f t="shared" si="481"/>
        <v>0</v>
      </c>
      <c r="HB244" s="113">
        <f t="shared" si="538"/>
        <v>0</v>
      </c>
      <c r="HD244" s="102">
        <f t="shared" si="539"/>
        <v>0</v>
      </c>
      <c r="HE244" s="211">
        <f t="shared" si="455"/>
        <v>220</v>
      </c>
      <c r="HF244" s="212">
        <f t="shared" si="540"/>
        <v>0</v>
      </c>
      <c r="HG244" s="212">
        <f t="shared" si="482"/>
        <v>0</v>
      </c>
      <c r="HH244" s="212">
        <f t="shared" si="593"/>
        <v>0</v>
      </c>
      <c r="HI244" s="213">
        <f t="shared" si="483"/>
        <v>1000000</v>
      </c>
      <c r="HL244" s="182"/>
      <c r="HM244" s="26">
        <f t="shared" ca="1" si="484"/>
        <v>7</v>
      </c>
      <c r="HO244" s="268">
        <f t="shared" si="485"/>
        <v>0</v>
      </c>
      <c r="HP244" s="151">
        <f t="shared" si="448"/>
        <v>0</v>
      </c>
      <c r="HQ244" s="123">
        <f t="shared" si="542"/>
        <v>0</v>
      </c>
      <c r="HR244" s="123">
        <f t="shared" si="543"/>
        <v>0</v>
      </c>
      <c r="HS244" s="123">
        <f t="shared" si="544"/>
        <v>0</v>
      </c>
      <c r="HT244" s="123">
        <f>IF(HY243&lt;0.01,0,IF(Adm!$GS$4=Adm!$GS$8,HY243*$HY$15,IF(Adm!$GS$12=Adm!$GS$13,0,HY243*Adm!$GV$4)))</f>
        <v>0</v>
      </c>
      <c r="HU244" s="123">
        <f>IF(HY243&lt;0.01,0,IF(Adm!$GS$5=Adm!$GS$8,Cal!$BO$108*$HY$16/1.16,IF(Adm!$GS$12=Adm!$GS$13,0,Cal!$BO$108*Adm!$GW$4/1.16)))</f>
        <v>0</v>
      </c>
      <c r="HV244" s="123">
        <f t="shared" si="545"/>
        <v>0</v>
      </c>
      <c r="HW244" s="123">
        <f t="shared" si="486"/>
        <v>0</v>
      </c>
      <c r="HX244" s="123">
        <f>IF(Adm!$GH$6="si",MIN(HY243+HQ244+HT244+HU244+HV244-HW244,IH244),0)</f>
        <v>0</v>
      </c>
      <c r="HY244" s="297">
        <f t="shared" si="546"/>
        <v>0</v>
      </c>
      <c r="HZ244" s="74"/>
      <c r="IA244" s="407">
        <f t="shared" si="547"/>
        <v>0</v>
      </c>
      <c r="IC244" s="90">
        <f t="shared" si="548"/>
        <v>4</v>
      </c>
      <c r="ID244" s="124">
        <f>IF(IC244=1,Cal!$BO$127,0)</f>
        <v>0</v>
      </c>
      <c r="IE244" s="178">
        <f>IF(IC244=1,Adm!$HI$4,0)</f>
        <v>0</v>
      </c>
      <c r="IG244" s="70">
        <f t="shared" si="571"/>
        <v>0</v>
      </c>
      <c r="IH244" s="2178">
        <f t="shared" ca="1" si="549"/>
        <v>0</v>
      </c>
      <c r="IK244" s="217"/>
      <c r="IL244" s="26">
        <f t="shared" ca="1" si="487"/>
        <v>7</v>
      </c>
      <c r="IN244" s="268">
        <f t="shared" si="488"/>
        <v>0</v>
      </c>
      <c r="IO244" s="151">
        <f t="shared" si="449"/>
        <v>0</v>
      </c>
      <c r="IP244" s="123">
        <f t="shared" si="550"/>
        <v>0</v>
      </c>
      <c r="IQ244" s="123">
        <f t="shared" si="551"/>
        <v>0</v>
      </c>
      <c r="IR244" s="123">
        <f t="shared" si="552"/>
        <v>0</v>
      </c>
      <c r="IS244" s="123">
        <f>IF(IX243&lt;0.01,0,IF(Adm!$GS$4=Adm!$GS$8,IX243*$IX$15,IF(Adm!$GS$12=Adm!$GS$13,0,IX243*Adm!$GV$4)))</f>
        <v>0</v>
      </c>
      <c r="IT244" s="123"/>
      <c r="IU244" s="123">
        <f t="shared" si="553"/>
        <v>0</v>
      </c>
      <c r="IV244" s="123">
        <f t="shared" si="554"/>
        <v>0</v>
      </c>
      <c r="IW244" s="123"/>
      <c r="IX244" s="297">
        <f t="shared" si="555"/>
        <v>0</v>
      </c>
      <c r="IY244" s="74"/>
      <c r="IZ244" s="416">
        <f t="shared" si="556"/>
        <v>0</v>
      </c>
      <c r="JB244" s="90">
        <f t="shared" si="557"/>
        <v>4</v>
      </c>
      <c r="JC244" s="124">
        <f>IF(JB244=1,Cal!$BP$127,0)</f>
        <v>0</v>
      </c>
      <c r="JD244" s="178">
        <f>IF(JB244=1,Adm!$HI$4,0)</f>
        <v>0</v>
      </c>
    </row>
    <row r="245" spans="1:264">
      <c r="A245" s="26">
        <f t="shared" ca="1" si="456"/>
        <v>8</v>
      </c>
      <c r="C245" s="33">
        <f t="shared" si="457"/>
        <v>0</v>
      </c>
      <c r="D245" s="123">
        <f t="shared" si="489"/>
        <v>0</v>
      </c>
      <c r="E245" s="123">
        <f t="shared" si="579"/>
        <v>0</v>
      </c>
      <c r="F245" s="123">
        <f t="shared" si="589"/>
        <v>0</v>
      </c>
      <c r="G245" s="123">
        <f>IF(L244&lt;0.01,0,IF(Adm!$S$4=Adm!$S$8,L244*$L$15,L244*Adm!$V$4))</f>
        <v>0</v>
      </c>
      <c r="H245" s="123">
        <f>IF(L244&lt;0.01,0,IF(Adm!$S$5=Adm!$S$8,Adm!$AA$11*$L$16/1.16,IF(Adm!$B$4=Adm!$A$119,0,Adm!$AA$11*Adm!$X$4/1.16)))</f>
        <v>0</v>
      </c>
      <c r="I245" s="123">
        <f>IF(L244&lt;0.01,0,Cal!$AB$126/1.16)</f>
        <v>0</v>
      </c>
      <c r="J245" s="123">
        <f t="shared" si="458"/>
        <v>0</v>
      </c>
      <c r="K245" s="123">
        <f>IF(Adm!$G$4="si",MIN(L244+D245+G245+H245+I245-J245,V245),0)</f>
        <v>0</v>
      </c>
      <c r="L245" s="123">
        <f t="shared" si="490"/>
        <v>0</v>
      </c>
      <c r="M245" s="74"/>
      <c r="N245" s="74"/>
      <c r="O245" s="407">
        <f t="shared" si="491"/>
        <v>0</v>
      </c>
      <c r="R245" s="90">
        <f t="shared" si="492"/>
        <v>5</v>
      </c>
      <c r="S245" s="121">
        <f>IF(R245=1,Cal!$AB$127,0)</f>
        <v>0</v>
      </c>
      <c r="U245" s="70">
        <f t="shared" si="558"/>
        <v>0</v>
      </c>
      <c r="V245" s="2178">
        <f t="shared" ca="1" si="493"/>
        <v>0</v>
      </c>
      <c r="X245" s="398"/>
      <c r="Z245" s="268">
        <f t="shared" si="459"/>
        <v>0</v>
      </c>
      <c r="AA245" s="2176">
        <f t="shared" si="494"/>
        <v>0</v>
      </c>
      <c r="AB245" s="33">
        <f t="shared" si="495"/>
        <v>0</v>
      </c>
      <c r="AC245" s="33">
        <f t="shared" si="496"/>
        <v>0</v>
      </c>
      <c r="AD245" s="33">
        <f>IF(AI244&lt;0.01,0,IF(Adm!$S$4=Adm!$S$8,AI244*$AI$15,AI244*Adm!$V$4))</f>
        <v>0</v>
      </c>
      <c r="AE245" s="33"/>
      <c r="AF245" s="33"/>
      <c r="AG245" s="33">
        <f t="shared" si="460"/>
        <v>0</v>
      </c>
      <c r="AH245" s="33"/>
      <c r="AI245" s="401">
        <f t="shared" si="461"/>
        <v>0</v>
      </c>
      <c r="AK245" s="410">
        <f t="shared" si="462"/>
        <v>0</v>
      </c>
      <c r="AN245" s="90">
        <f t="shared" si="497"/>
        <v>5</v>
      </c>
      <c r="AO245" s="121">
        <f>IF(AN245=1,Cal!$AC$127,0)</f>
        <v>0</v>
      </c>
      <c r="AS245" s="200"/>
      <c r="AU245" s="268">
        <f t="shared" si="463"/>
        <v>0</v>
      </c>
      <c r="AV245" s="2177">
        <f t="shared" si="498"/>
        <v>0</v>
      </c>
      <c r="AW245" s="123">
        <f t="shared" si="464"/>
        <v>0</v>
      </c>
      <c r="AX245" s="123">
        <f t="shared" si="499"/>
        <v>0</v>
      </c>
      <c r="AY245" s="123">
        <f>IF(BC244&lt;0.01,0,IF(Adm!$S$4=Adm!$S$8,BC244*$BC$16,BC244*Adm!$V$4))</f>
        <v>0</v>
      </c>
      <c r="AZ245" s="123"/>
      <c r="BA245" s="123">
        <f>IF(BC244&lt;0.01,0,Adm!$Q$6)</f>
        <v>0</v>
      </c>
      <c r="BB245" s="123">
        <f t="shared" si="465"/>
        <v>0</v>
      </c>
      <c r="BC245" s="297">
        <f t="shared" si="500"/>
        <v>0</v>
      </c>
      <c r="BE245" s="425">
        <f t="shared" si="466"/>
        <v>0</v>
      </c>
      <c r="BH245" s="90">
        <f t="shared" si="501"/>
        <v>5</v>
      </c>
      <c r="BI245" s="121">
        <f>IF(BH245=1,Cal!$AD$127,0)</f>
        <v>0</v>
      </c>
      <c r="BM245" s="221"/>
      <c r="BO245" s="295">
        <f t="shared" ca="1" si="467"/>
        <v>8</v>
      </c>
      <c r="BP245" s="268">
        <f t="shared" si="468"/>
        <v>0</v>
      </c>
      <c r="BQ245" s="123">
        <f t="shared" si="502"/>
        <v>0</v>
      </c>
      <c r="BR245" s="123">
        <f t="shared" si="580"/>
        <v>0</v>
      </c>
      <c r="BS245" s="123">
        <f t="shared" si="590"/>
        <v>0</v>
      </c>
      <c r="BT245" s="123">
        <f>IF(BZ244&lt;0.01,0,IF(Plus!$F$22=Plus!$AN$4,BZ244*$BZ$15,IF(Plus!$F$22=Plus!$AN$3,BZ244*Plus!$F$23/1000,BZ244*VLOOKUP(Plus!$G$21,Plus!$AP$2:'Plus'!$AQ$5,2,0))))</f>
        <v>0</v>
      </c>
      <c r="BU245" s="123">
        <f>IF(BZ244&lt;0.01,0,IF(Plus!$F$24=Plus!$AO$3,Plus!$G$13*Plus!$AR$2/1.16,IF(Plus!$F$10=Plus!$AK$7,0,Plus!$G$13*Plus!$AR$2/1.16)))</f>
        <v>0</v>
      </c>
      <c r="BV245" s="123">
        <f>IF(BZ244&lt;0.01,0,Plus!$BD$2)</f>
        <v>0</v>
      </c>
      <c r="BW245" s="123"/>
      <c r="BX245" s="123">
        <f t="shared" si="469"/>
        <v>0</v>
      </c>
      <c r="BY245" s="123">
        <f>IF(Plus!$F$10=Plus!$AK$3,MIN(BZ244+BQ245+BT245+BU245+BV245-BX245,CJ245),0)</f>
        <v>0</v>
      </c>
      <c r="BZ245" s="297">
        <f t="shared" si="574"/>
        <v>0</v>
      </c>
      <c r="CA245" s="74"/>
      <c r="CB245" s="74"/>
      <c r="CC245" s="413">
        <f t="shared" si="503"/>
        <v>0</v>
      </c>
      <c r="CF245" s="90">
        <f t="shared" si="504"/>
        <v>5</v>
      </c>
      <c r="CG245" s="121">
        <f t="shared" si="559"/>
        <v>0</v>
      </c>
      <c r="CI245" s="70">
        <f t="shared" si="560"/>
        <v>0</v>
      </c>
      <c r="CJ245" s="2178">
        <f t="shared" ca="1" si="505"/>
        <v>0</v>
      </c>
      <c r="CL245" s="161"/>
      <c r="CN245" s="308">
        <f t="shared" ca="1" si="470"/>
        <v>8</v>
      </c>
      <c r="CO245" s="309">
        <f t="shared" si="506"/>
        <v>0</v>
      </c>
      <c r="CP245" s="268">
        <f t="shared" si="471"/>
        <v>0</v>
      </c>
      <c r="CQ245" s="123">
        <f t="shared" si="507"/>
        <v>0</v>
      </c>
      <c r="CR245" s="123">
        <f t="shared" si="581"/>
        <v>0</v>
      </c>
      <c r="CS245" s="123">
        <f t="shared" si="582"/>
        <v>0</v>
      </c>
      <c r="CT245" s="33">
        <f>IF(CZ244&lt;0.01,0,IF(Plus!$F$22=Plus!$AN$4,0,IF(Plus!$F$22=Plus!$AN$3,CZ244*Plus!$F$23/1000,CZ244*VLOOKUP(Plus!$G$21,Plus!$AP$2:'Plus'!$AQ$5,2,0))))</f>
        <v>0</v>
      </c>
      <c r="CU245" s="123">
        <f>IF(CZ244&lt;0.01,0,IF(Plus!$F$24=Plus!$AO$3,0,IF(OR(Plus!$F$10=Plus!$AK$7,Plus!$F$10=Plus!$AK$13),0,Plus!$G$13*Plus!$AR$2)))</f>
        <v>0</v>
      </c>
      <c r="CV245" s="123">
        <f>IF(CZ244&lt;0.01,0,IF(OR(Plus!$F$10=Plus!$AK$7,Plus!$F$10=Plus!$AK$13),0,Plus!$BD$2*1.16))</f>
        <v>0</v>
      </c>
      <c r="CW245" s="123">
        <f>IF(CZ244&lt;0.01,0,IF(Plus!$AS$2&gt;0,CQ245*Plus!$AS$3,0))</f>
        <v>0</v>
      </c>
      <c r="CX245" s="123">
        <f t="shared" si="508"/>
        <v>0</v>
      </c>
      <c r="CY245" s="123">
        <f>IF(Plus!$F$10=Plus!$AK$3,MIN(CZ244+CQ245+CT245+CU245+CV245-CX245,DK245),0)</f>
        <v>0</v>
      </c>
      <c r="CZ245" s="297">
        <f t="shared" si="588"/>
        <v>0</v>
      </c>
      <c r="DA245" s="306">
        <f>Plus!O286</f>
        <v>0</v>
      </c>
      <c r="DB245" s="74"/>
      <c r="DC245" s="74"/>
      <c r="DD245" s="407">
        <f t="shared" si="509"/>
        <v>0</v>
      </c>
      <c r="DG245" s="90">
        <f t="shared" si="510"/>
        <v>5</v>
      </c>
      <c r="DH245" s="121">
        <f t="shared" si="561"/>
        <v>0</v>
      </c>
      <c r="DJ245" s="149">
        <f t="shared" si="562"/>
        <v>0</v>
      </c>
      <c r="DK245" s="2179">
        <f t="shared" ca="1" si="511"/>
        <v>0</v>
      </c>
      <c r="DN245" s="120">
        <f t="shared" si="563"/>
        <v>0</v>
      </c>
      <c r="DO245" s="110">
        <f t="shared" si="512"/>
        <v>0</v>
      </c>
      <c r="DP245" s="110">
        <f t="shared" si="572"/>
        <v>0</v>
      </c>
      <c r="DQ245" s="109">
        <f t="shared" si="513"/>
        <v>0</v>
      </c>
      <c r="DR245" s="109">
        <f t="shared" si="514"/>
        <v>0</v>
      </c>
      <c r="DS245" s="113">
        <f t="shared" si="515"/>
        <v>0</v>
      </c>
      <c r="DU245" s="102">
        <f t="shared" si="516"/>
        <v>0</v>
      </c>
      <c r="DV245" s="211">
        <f t="shared" si="573"/>
        <v>221</v>
      </c>
      <c r="DW245" s="212">
        <f t="shared" si="517"/>
        <v>0</v>
      </c>
      <c r="DX245" s="212">
        <f t="shared" si="472"/>
        <v>0</v>
      </c>
      <c r="DY245" s="212">
        <f t="shared" si="564"/>
        <v>0</v>
      </c>
      <c r="DZ245" s="213">
        <f t="shared" si="473"/>
        <v>1000000</v>
      </c>
      <c r="ED245" s="182"/>
      <c r="EF245" s="308">
        <f t="shared" ca="1" si="474"/>
        <v>8</v>
      </c>
      <c r="EG245" s="309">
        <f t="shared" si="518"/>
        <v>0</v>
      </c>
      <c r="EH245" s="268">
        <f t="shared" si="475"/>
        <v>0</v>
      </c>
      <c r="EI245" s="33">
        <f t="shared" si="519"/>
        <v>0</v>
      </c>
      <c r="EJ245" s="33">
        <f t="shared" si="583"/>
        <v>0</v>
      </c>
      <c r="EK245" s="33">
        <f t="shared" si="591"/>
        <v>0</v>
      </c>
      <c r="EL245" s="33">
        <f>IF(ER244&lt;0.01,0,IF(Plus!$F$22=Plus!$AN$4,0,IF(Plus!$F$22=Plus!$AN$3,ER244*Plus!$F$23/1000,ER244*VLOOKUP(Plus!$G$21,Plus!$AP$2:'Plus'!$AQ$5,2,0))))</f>
        <v>0</v>
      </c>
      <c r="EM245" s="33">
        <f>IF(ER244&lt;0.01,0,IF(Plus!$F$24=Plus!$AO$3,0,IF(OR(Plus!$F$10=Plus!$AK$7,Plus!$F$10=Plus!$AK$13),0,Plus!$G$13*Plus!$AR$2)))</f>
        <v>0</v>
      </c>
      <c r="EN245" s="33">
        <f>IF(ER244&lt;0.01,0,IF(OR(Plus!$F$10=Plus!$AK$7,Plus!$F$10=Plus!$AK$13),0,Plus!$BD$2*1.16))</f>
        <v>0</v>
      </c>
      <c r="EO245" s="33">
        <f>IF(ER244&lt;0.01,0,IF(Plus!$AS$2&gt;0,EI245*Plus!$AS$3,0))</f>
        <v>0</v>
      </c>
      <c r="EP245" s="33">
        <f t="shared" si="520"/>
        <v>0</v>
      </c>
      <c r="EQ245" s="33">
        <f>IF(Plus!$F$10=Plus!$AK$3,MIN(ER244+EI245+EL245+EM245+EN245-EP245,FC245),0)</f>
        <v>0</v>
      </c>
      <c r="ER245" s="311">
        <f t="shared" si="577"/>
        <v>0</v>
      </c>
      <c r="ES245" s="340">
        <f>Plus!O286</f>
        <v>0</v>
      </c>
      <c r="ET245" s="74"/>
      <c r="EU245" s="74"/>
      <c r="EV245" s="416">
        <f t="shared" si="575"/>
        <v>0</v>
      </c>
      <c r="EY245" s="90">
        <f t="shared" si="521"/>
        <v>5</v>
      </c>
      <c r="EZ245" s="121">
        <f t="shared" si="565"/>
        <v>0</v>
      </c>
      <c r="FB245" s="149">
        <f t="shared" si="566"/>
        <v>0</v>
      </c>
      <c r="FC245" s="2179">
        <f t="shared" ca="1" si="522"/>
        <v>0</v>
      </c>
      <c r="FE245" s="120">
        <f t="shared" si="567"/>
        <v>0</v>
      </c>
      <c r="FF245" s="110">
        <f t="shared" si="523"/>
        <v>0</v>
      </c>
      <c r="FG245" s="110">
        <f t="shared" si="524"/>
        <v>0</v>
      </c>
      <c r="FH245" s="109">
        <f t="shared" si="525"/>
        <v>0</v>
      </c>
      <c r="FI245" s="109">
        <f t="shared" si="476"/>
        <v>0</v>
      </c>
      <c r="FJ245" s="113">
        <f t="shared" si="526"/>
        <v>0</v>
      </c>
      <c r="FL245" s="102">
        <f t="shared" si="527"/>
        <v>0</v>
      </c>
      <c r="FM245" s="211">
        <f t="shared" si="454"/>
        <v>221</v>
      </c>
      <c r="FN245" s="212">
        <f t="shared" si="528"/>
        <v>0</v>
      </c>
      <c r="FO245" s="212">
        <f t="shared" si="477"/>
        <v>0</v>
      </c>
      <c r="FP245" s="212">
        <f t="shared" si="592"/>
        <v>0</v>
      </c>
      <c r="FQ245" s="213">
        <f t="shared" si="478"/>
        <v>1000000</v>
      </c>
      <c r="FV245" s="359"/>
      <c r="FX245" s="308">
        <f t="shared" ca="1" si="479"/>
        <v>8</v>
      </c>
      <c r="FY245" s="309">
        <f t="shared" si="530"/>
        <v>0</v>
      </c>
      <c r="FZ245" s="268">
        <f t="shared" si="480"/>
        <v>0</v>
      </c>
      <c r="GA245" s="33">
        <f t="shared" si="531"/>
        <v>0</v>
      </c>
      <c r="GB245" s="33">
        <f t="shared" si="585"/>
        <v>0</v>
      </c>
      <c r="GC245" s="33">
        <f t="shared" si="586"/>
        <v>0</v>
      </c>
      <c r="GD245" s="33">
        <f>IF(GJ244&lt;0.01,0,IF(Plus!$F$22=Plus!$AN$4,0,IF(Plus!$F$22=Plus!$AN$3,GJ244*Plus!$F$23/1000,GJ244*VLOOKUP(Plus!$G$21,Plus!$AP$2:$AQ$5,2,0))))</f>
        <v>0</v>
      </c>
      <c r="GE245" s="33">
        <f>IF(GJ244&lt;0.01,0,IF(Plus!$F$24=Plus!$AO$3,0,IF(OR(Plus!$F$10=Plus!$AK$7,Plus!$F$10=Plus!$AK$13,Plus!$F$10=Plus!$AK$14),0,IF(OR(Plus!$F$10=Plus!$AK$10,Plus!$F$10=Plus!$AK$11),Plus!$G$13*Adm!$W$7,Plus!$G$13*Adm!$X$4))))</f>
        <v>0</v>
      </c>
      <c r="GF245" s="33">
        <f>IF(GJ244&lt;0.01,0,IF(OR(Plus!$F$10=Plus!$AK$7,Plus!$F$10=Plus!$AK$13),0,Plus!$BD$2*1.16))</f>
        <v>0</v>
      </c>
      <c r="GG245" s="33">
        <f>IF(GJ244&lt;0.01,0,IF(Plus!$AS$2&gt;0,GA245*Plus!$AS$3,0))</f>
        <v>0</v>
      </c>
      <c r="GH245" s="33">
        <f t="shared" si="532"/>
        <v>0</v>
      </c>
      <c r="GI245" s="33">
        <f>IF(Plus!$F$10=Plus!$AK$3,MIN(GJ244+GA245+GD245+GE245+GF245-GH245,GU245),0)</f>
        <v>0</v>
      </c>
      <c r="GJ245" s="311">
        <f t="shared" si="578"/>
        <v>0</v>
      </c>
      <c r="GK245" s="340">
        <f>Plus!O286</f>
        <v>0</v>
      </c>
      <c r="GL245" s="74"/>
      <c r="GM245" s="74"/>
      <c r="GN245" s="419">
        <f t="shared" si="576"/>
        <v>0</v>
      </c>
      <c r="GQ245" s="90">
        <f t="shared" si="533"/>
        <v>5</v>
      </c>
      <c r="GR245" s="121">
        <f t="shared" si="568"/>
        <v>0</v>
      </c>
      <c r="GT245" s="149">
        <f t="shared" si="569"/>
        <v>0</v>
      </c>
      <c r="GU245" s="2179">
        <f t="shared" ca="1" si="534"/>
        <v>0</v>
      </c>
      <c r="GW245" s="120">
        <f t="shared" si="570"/>
        <v>0</v>
      </c>
      <c r="GX245" s="110">
        <f t="shared" si="535"/>
        <v>0</v>
      </c>
      <c r="GY245" s="110">
        <f t="shared" si="536"/>
        <v>0</v>
      </c>
      <c r="GZ245" s="109">
        <f t="shared" si="537"/>
        <v>0</v>
      </c>
      <c r="HA245" s="109">
        <f t="shared" si="481"/>
        <v>0</v>
      </c>
      <c r="HB245" s="113">
        <f t="shared" si="538"/>
        <v>0</v>
      </c>
      <c r="HD245" s="102">
        <f t="shared" si="539"/>
        <v>0</v>
      </c>
      <c r="HE245" s="211">
        <f t="shared" si="455"/>
        <v>221</v>
      </c>
      <c r="HF245" s="212">
        <f t="shared" si="540"/>
        <v>0</v>
      </c>
      <c r="HG245" s="212">
        <f t="shared" si="482"/>
        <v>0</v>
      </c>
      <c r="HH245" s="212">
        <f t="shared" si="593"/>
        <v>0</v>
      </c>
      <c r="HI245" s="213">
        <f t="shared" si="483"/>
        <v>1000000</v>
      </c>
      <c r="HL245" s="182"/>
      <c r="HM245" s="26">
        <f t="shared" ca="1" si="484"/>
        <v>8</v>
      </c>
      <c r="HO245" s="268">
        <f t="shared" si="485"/>
        <v>0</v>
      </c>
      <c r="HP245" s="151">
        <f t="shared" si="448"/>
        <v>0</v>
      </c>
      <c r="HQ245" s="123">
        <f t="shared" si="542"/>
        <v>0</v>
      </c>
      <c r="HR245" s="123">
        <f t="shared" si="543"/>
        <v>0</v>
      </c>
      <c r="HS245" s="123">
        <f t="shared" si="544"/>
        <v>0</v>
      </c>
      <c r="HT245" s="123">
        <f>IF(HY244&lt;0.01,0,IF(Adm!$GS$4=Adm!$GS$8,HY244*$HY$15,IF(Adm!$GS$12=Adm!$GS$13,0,HY244*Adm!$GV$4)))</f>
        <v>0</v>
      </c>
      <c r="HU245" s="123">
        <f>IF(HY244&lt;0.01,0,IF(Adm!$GS$5=Adm!$GS$8,Cal!$BO$108*$HY$16/1.16,IF(Adm!$GS$12=Adm!$GS$13,0,Cal!$BO$108*Adm!$GW$4/1.16)))</f>
        <v>0</v>
      </c>
      <c r="HV245" s="123">
        <f t="shared" si="545"/>
        <v>0</v>
      </c>
      <c r="HW245" s="123">
        <f t="shared" si="486"/>
        <v>0</v>
      </c>
      <c r="HX245" s="123">
        <f>IF(Adm!$GH$6="si",MIN(HY244+HQ245+HT245+HU245+HV245-HW245,IH245),0)</f>
        <v>0</v>
      </c>
      <c r="HY245" s="297">
        <f t="shared" si="546"/>
        <v>0</v>
      </c>
      <c r="HZ245" s="74"/>
      <c r="IA245" s="407">
        <f t="shared" si="547"/>
        <v>0</v>
      </c>
      <c r="IC245" s="90">
        <f t="shared" si="548"/>
        <v>5</v>
      </c>
      <c r="ID245" s="124">
        <f>IF(IC245=1,Cal!$BO$127,0)</f>
        <v>0</v>
      </c>
      <c r="IE245" s="178">
        <f>IF(IC245=1,Adm!$HI$4,0)</f>
        <v>0</v>
      </c>
      <c r="IG245" s="70">
        <f t="shared" si="571"/>
        <v>0</v>
      </c>
      <c r="IH245" s="2178">
        <f t="shared" ca="1" si="549"/>
        <v>0</v>
      </c>
      <c r="IK245" s="217"/>
      <c r="IL245" s="26">
        <f t="shared" ca="1" si="487"/>
        <v>8</v>
      </c>
      <c r="IN245" s="268">
        <f t="shared" si="488"/>
        <v>0</v>
      </c>
      <c r="IO245" s="151">
        <f t="shared" si="449"/>
        <v>0</v>
      </c>
      <c r="IP245" s="123">
        <f t="shared" si="550"/>
        <v>0</v>
      </c>
      <c r="IQ245" s="123">
        <f t="shared" si="551"/>
        <v>0</v>
      </c>
      <c r="IR245" s="123">
        <f t="shared" si="552"/>
        <v>0</v>
      </c>
      <c r="IS245" s="123">
        <f>IF(IX244&lt;0.01,0,IF(Adm!$GS$4=Adm!$GS$8,IX244*$IX$15,IF(Adm!$GS$12=Adm!$GS$13,0,IX244*Adm!$GV$4)))</f>
        <v>0</v>
      </c>
      <c r="IT245" s="123"/>
      <c r="IU245" s="123">
        <f t="shared" si="553"/>
        <v>0</v>
      </c>
      <c r="IV245" s="123">
        <f t="shared" si="554"/>
        <v>0</v>
      </c>
      <c r="IW245" s="123"/>
      <c r="IX245" s="297">
        <f t="shared" si="555"/>
        <v>0</v>
      </c>
      <c r="IY245" s="74"/>
      <c r="IZ245" s="416">
        <f t="shared" si="556"/>
        <v>0</v>
      </c>
      <c r="JB245" s="90">
        <f t="shared" si="557"/>
        <v>5</v>
      </c>
      <c r="JC245" s="124">
        <f>IF(JB245=1,Cal!$BP$127,0)</f>
        <v>0</v>
      </c>
      <c r="JD245" s="178">
        <f>IF(JB245=1,Adm!$HI$4,0)</f>
        <v>0</v>
      </c>
    </row>
    <row r="246" spans="1:264">
      <c r="A246" s="26">
        <f t="shared" ca="1" si="456"/>
        <v>9</v>
      </c>
      <c r="C246" s="33">
        <f t="shared" si="457"/>
        <v>0</v>
      </c>
      <c r="D246" s="123">
        <f t="shared" si="489"/>
        <v>0</v>
      </c>
      <c r="E246" s="123">
        <f t="shared" si="579"/>
        <v>0</v>
      </c>
      <c r="F246" s="123">
        <f t="shared" si="589"/>
        <v>0</v>
      </c>
      <c r="G246" s="123">
        <f>IF(L245&lt;0.01,0,IF(Adm!$S$4=Adm!$S$8,L245*$L$15,L245*Adm!$V$4))</f>
        <v>0</v>
      </c>
      <c r="H246" s="123">
        <f>IF(L245&lt;0.01,0,IF(Adm!$S$5=Adm!$S$8,Adm!$AA$11*$L$16/1.16,IF(Adm!$B$4=Adm!$A$119,0,Adm!$AA$11*Adm!$X$4/1.16)))</f>
        <v>0</v>
      </c>
      <c r="I246" s="123">
        <f>IF(L245&lt;0.01,0,Cal!$AB$126/1.16)</f>
        <v>0</v>
      </c>
      <c r="J246" s="123">
        <f t="shared" si="458"/>
        <v>0</v>
      </c>
      <c r="K246" s="123">
        <f>IF(Adm!$G$4="si",MIN(L245+D246+G246+H246+I246-J246,V246),0)</f>
        <v>0</v>
      </c>
      <c r="L246" s="123">
        <f t="shared" si="490"/>
        <v>0</v>
      </c>
      <c r="M246" s="74"/>
      <c r="N246" s="74"/>
      <c r="O246" s="407">
        <f t="shared" si="491"/>
        <v>0</v>
      </c>
      <c r="R246" s="90">
        <f t="shared" si="492"/>
        <v>6</v>
      </c>
      <c r="S246" s="121">
        <f>IF(R246=1,Cal!$AB$127,0)</f>
        <v>0</v>
      </c>
      <c r="U246" s="70">
        <f t="shared" si="558"/>
        <v>0</v>
      </c>
      <c r="V246" s="2178">
        <f t="shared" ca="1" si="493"/>
        <v>0</v>
      </c>
      <c r="X246" s="398"/>
      <c r="Z246" s="268">
        <f t="shared" si="459"/>
        <v>0</v>
      </c>
      <c r="AA246" s="2176">
        <f t="shared" si="494"/>
        <v>0</v>
      </c>
      <c r="AB246" s="33">
        <f t="shared" si="495"/>
        <v>0</v>
      </c>
      <c r="AC246" s="33">
        <f t="shared" si="496"/>
        <v>0</v>
      </c>
      <c r="AD246" s="33">
        <f>IF(AI245&lt;0.01,0,IF(Adm!$S$4=Adm!$S$8,AI245*$AI$15,AI245*Adm!$V$4))</f>
        <v>0</v>
      </c>
      <c r="AE246" s="33"/>
      <c r="AF246" s="33"/>
      <c r="AG246" s="33">
        <f t="shared" si="460"/>
        <v>0</v>
      </c>
      <c r="AH246" s="33"/>
      <c r="AI246" s="401">
        <f t="shared" si="461"/>
        <v>0</v>
      </c>
      <c r="AK246" s="410">
        <f t="shared" si="462"/>
        <v>0</v>
      </c>
      <c r="AN246" s="90">
        <f t="shared" si="497"/>
        <v>6</v>
      </c>
      <c r="AO246" s="121">
        <f>IF(AN246=1,Cal!$AC$127,0)</f>
        <v>0</v>
      </c>
      <c r="AS246" s="200"/>
      <c r="AU246" s="268">
        <f t="shared" si="463"/>
        <v>0</v>
      </c>
      <c r="AV246" s="2177">
        <f t="shared" si="498"/>
        <v>0</v>
      </c>
      <c r="AW246" s="123">
        <f t="shared" si="464"/>
        <v>0</v>
      </c>
      <c r="AX246" s="123">
        <f t="shared" si="499"/>
        <v>0</v>
      </c>
      <c r="AY246" s="123">
        <f>IF(BC245&lt;0.01,0,IF(Adm!$S$4=Adm!$S$8,BC245*$BC$16,BC245*Adm!$V$4))</f>
        <v>0</v>
      </c>
      <c r="AZ246" s="123"/>
      <c r="BA246" s="123">
        <f>IF(BC245&lt;0.01,0,Adm!$Q$6)</f>
        <v>0</v>
      </c>
      <c r="BB246" s="123">
        <f t="shared" si="465"/>
        <v>0</v>
      </c>
      <c r="BC246" s="297">
        <f t="shared" si="500"/>
        <v>0</v>
      </c>
      <c r="BE246" s="425">
        <f t="shared" si="466"/>
        <v>0</v>
      </c>
      <c r="BH246" s="90">
        <f t="shared" si="501"/>
        <v>6</v>
      </c>
      <c r="BI246" s="121">
        <f>IF(BH246=1,Cal!$AD$127,0)</f>
        <v>0</v>
      </c>
      <c r="BM246" s="221"/>
      <c r="BO246" s="295">
        <f t="shared" ca="1" si="467"/>
        <v>9</v>
      </c>
      <c r="BP246" s="268">
        <f t="shared" si="468"/>
        <v>0</v>
      </c>
      <c r="BQ246" s="123">
        <f t="shared" si="502"/>
        <v>0</v>
      </c>
      <c r="BR246" s="123">
        <f t="shared" si="580"/>
        <v>0</v>
      </c>
      <c r="BS246" s="123">
        <f t="shared" si="590"/>
        <v>0</v>
      </c>
      <c r="BT246" s="123">
        <f>IF(BZ245&lt;0.01,0,IF(Plus!$F$22=Plus!$AN$4,BZ245*$BZ$15,IF(Plus!$F$22=Plus!$AN$3,BZ245*Plus!$F$23/1000,BZ245*VLOOKUP(Plus!$G$21,Plus!$AP$2:'Plus'!$AQ$5,2,0))))</f>
        <v>0</v>
      </c>
      <c r="BU246" s="123">
        <f>IF(BZ245&lt;0.01,0,IF(Plus!$F$24=Plus!$AO$3,Plus!$G$13*Plus!$AR$2/1.16,IF(Plus!$F$10=Plus!$AK$7,0,Plus!$G$13*Plus!$AR$2/1.16)))</f>
        <v>0</v>
      </c>
      <c r="BV246" s="123">
        <f>IF(BZ245&lt;0.01,0,Plus!$BD$2)</f>
        <v>0</v>
      </c>
      <c r="BW246" s="123"/>
      <c r="BX246" s="123">
        <f t="shared" si="469"/>
        <v>0</v>
      </c>
      <c r="BY246" s="123">
        <f>IF(Plus!$F$10=Plus!$AK$3,MIN(BZ245+BQ246+BT246+BU246+BV246-BX246,CJ246),0)</f>
        <v>0</v>
      </c>
      <c r="BZ246" s="297">
        <f t="shared" si="574"/>
        <v>0</v>
      </c>
      <c r="CA246" s="74"/>
      <c r="CB246" s="74"/>
      <c r="CC246" s="413">
        <f t="shared" si="503"/>
        <v>0</v>
      </c>
      <c r="CF246" s="90">
        <f t="shared" si="504"/>
        <v>6</v>
      </c>
      <c r="CG246" s="121">
        <f t="shared" si="559"/>
        <v>0</v>
      </c>
      <c r="CI246" s="70">
        <f t="shared" si="560"/>
        <v>0</v>
      </c>
      <c r="CJ246" s="2178">
        <f t="shared" ca="1" si="505"/>
        <v>0</v>
      </c>
      <c r="CL246" s="161"/>
      <c r="CN246" s="308">
        <f t="shared" ca="1" si="470"/>
        <v>9</v>
      </c>
      <c r="CO246" s="309">
        <f t="shared" si="506"/>
        <v>0</v>
      </c>
      <c r="CP246" s="268">
        <f t="shared" si="471"/>
        <v>0</v>
      </c>
      <c r="CQ246" s="123">
        <f t="shared" si="507"/>
        <v>0</v>
      </c>
      <c r="CR246" s="123">
        <f t="shared" si="581"/>
        <v>0</v>
      </c>
      <c r="CS246" s="123">
        <f t="shared" si="582"/>
        <v>0</v>
      </c>
      <c r="CT246" s="33">
        <f>IF(CZ245&lt;0.01,0,IF(Plus!$F$22=Plus!$AN$4,0,IF(Plus!$F$22=Plus!$AN$3,CZ245*Plus!$F$23/1000,CZ245*VLOOKUP(Plus!$G$21,Plus!$AP$2:'Plus'!$AQ$5,2,0))))</f>
        <v>0</v>
      </c>
      <c r="CU246" s="123">
        <f>IF(CZ245&lt;0.01,0,IF(Plus!$F$24=Plus!$AO$3,0,IF(OR(Plus!$F$10=Plus!$AK$7,Plus!$F$10=Plus!$AK$13),0,Plus!$G$13*Plus!$AR$2)))</f>
        <v>0</v>
      </c>
      <c r="CV246" s="123">
        <f>IF(CZ245&lt;0.01,0,IF(OR(Plus!$F$10=Plus!$AK$7,Plus!$F$10=Plus!$AK$13),0,Plus!$BD$2*1.16))</f>
        <v>0</v>
      </c>
      <c r="CW246" s="123">
        <f>IF(CZ245&lt;0.01,0,IF(Plus!$AS$2&gt;0,CQ246*Plus!$AS$3,0))</f>
        <v>0</v>
      </c>
      <c r="CX246" s="123">
        <f t="shared" si="508"/>
        <v>0</v>
      </c>
      <c r="CY246" s="123">
        <f>IF(Plus!$F$10=Plus!$AK$3,MIN(CZ245+CQ246+CT246+CU246+CV246-CX246,DK246),0)</f>
        <v>0</v>
      </c>
      <c r="CZ246" s="297">
        <f t="shared" si="588"/>
        <v>0</v>
      </c>
      <c r="DA246" s="306">
        <f>Plus!O287</f>
        <v>0</v>
      </c>
      <c r="DB246" s="74"/>
      <c r="DC246" s="74"/>
      <c r="DD246" s="407">
        <f t="shared" si="509"/>
        <v>0</v>
      </c>
      <c r="DG246" s="90">
        <f t="shared" si="510"/>
        <v>6</v>
      </c>
      <c r="DH246" s="121">
        <f t="shared" si="561"/>
        <v>0</v>
      </c>
      <c r="DJ246" s="149">
        <f t="shared" si="562"/>
        <v>0</v>
      </c>
      <c r="DK246" s="2179">
        <f t="shared" ca="1" si="511"/>
        <v>0</v>
      </c>
      <c r="DN246" s="120">
        <f t="shared" si="563"/>
        <v>0</v>
      </c>
      <c r="DO246" s="110">
        <f t="shared" si="512"/>
        <v>0</v>
      </c>
      <c r="DP246" s="110">
        <f t="shared" si="572"/>
        <v>0</v>
      </c>
      <c r="DQ246" s="109">
        <f t="shared" si="513"/>
        <v>0</v>
      </c>
      <c r="DR246" s="109">
        <f t="shared" si="514"/>
        <v>0</v>
      </c>
      <c r="DS246" s="113">
        <f t="shared" si="515"/>
        <v>0</v>
      </c>
      <c r="DU246" s="102">
        <f t="shared" si="516"/>
        <v>0</v>
      </c>
      <c r="DV246" s="211">
        <f t="shared" si="573"/>
        <v>222</v>
      </c>
      <c r="DW246" s="212">
        <f t="shared" si="517"/>
        <v>0</v>
      </c>
      <c r="DX246" s="212">
        <f t="shared" si="472"/>
        <v>0</v>
      </c>
      <c r="DY246" s="212">
        <f t="shared" si="564"/>
        <v>0</v>
      </c>
      <c r="DZ246" s="213">
        <f t="shared" si="473"/>
        <v>1000000</v>
      </c>
      <c r="ED246" s="182"/>
      <c r="EF246" s="308">
        <f t="shared" ca="1" si="474"/>
        <v>9</v>
      </c>
      <c r="EG246" s="309">
        <f t="shared" si="518"/>
        <v>0</v>
      </c>
      <c r="EH246" s="268">
        <f t="shared" si="475"/>
        <v>0</v>
      </c>
      <c r="EI246" s="33">
        <f t="shared" si="519"/>
        <v>0</v>
      </c>
      <c r="EJ246" s="33">
        <f t="shared" si="583"/>
        <v>0</v>
      </c>
      <c r="EK246" s="33">
        <f t="shared" si="591"/>
        <v>0</v>
      </c>
      <c r="EL246" s="33">
        <f>IF(ER245&lt;0.01,0,IF(Plus!$F$22=Plus!$AN$4,0,IF(Plus!$F$22=Plus!$AN$3,ER245*Plus!$F$23/1000,ER245*VLOOKUP(Plus!$G$21,Plus!$AP$2:'Plus'!$AQ$5,2,0))))</f>
        <v>0</v>
      </c>
      <c r="EM246" s="33">
        <f>IF(ER245&lt;0.01,0,IF(Plus!$F$24=Plus!$AO$3,0,IF(OR(Plus!$F$10=Plus!$AK$7,Plus!$F$10=Plus!$AK$13),0,Plus!$G$13*Plus!$AR$2)))</f>
        <v>0</v>
      </c>
      <c r="EN246" s="33">
        <f>IF(ER245&lt;0.01,0,IF(OR(Plus!$F$10=Plus!$AK$7,Plus!$F$10=Plus!$AK$13),0,Plus!$BD$2*1.16))</f>
        <v>0</v>
      </c>
      <c r="EO246" s="33">
        <f>IF(ER245&lt;0.01,0,IF(Plus!$AS$2&gt;0,EI246*Plus!$AS$3,0))</f>
        <v>0</v>
      </c>
      <c r="EP246" s="33">
        <f t="shared" si="520"/>
        <v>0</v>
      </c>
      <c r="EQ246" s="33">
        <f>IF(Plus!$F$10=Plus!$AK$3,MIN(ER245+EI246+EL246+EM246+EN246-EP246,FC246),0)</f>
        <v>0</v>
      </c>
      <c r="ER246" s="311">
        <f t="shared" si="577"/>
        <v>0</v>
      </c>
      <c r="ES246" s="340">
        <f>Plus!O287</f>
        <v>0</v>
      </c>
      <c r="ET246" s="74"/>
      <c r="EU246" s="74"/>
      <c r="EV246" s="416">
        <f t="shared" si="575"/>
        <v>0</v>
      </c>
      <c r="EY246" s="90">
        <f t="shared" si="521"/>
        <v>6</v>
      </c>
      <c r="EZ246" s="121">
        <f t="shared" si="565"/>
        <v>0</v>
      </c>
      <c r="FB246" s="149">
        <f t="shared" si="566"/>
        <v>0</v>
      </c>
      <c r="FC246" s="2179">
        <f t="shared" ca="1" si="522"/>
        <v>0</v>
      </c>
      <c r="FE246" s="120">
        <f t="shared" si="567"/>
        <v>0</v>
      </c>
      <c r="FF246" s="110">
        <f t="shared" si="523"/>
        <v>0</v>
      </c>
      <c r="FG246" s="110">
        <f t="shared" si="524"/>
        <v>0</v>
      </c>
      <c r="FH246" s="109">
        <f t="shared" si="525"/>
        <v>0</v>
      </c>
      <c r="FI246" s="109">
        <f t="shared" si="476"/>
        <v>0</v>
      </c>
      <c r="FJ246" s="113">
        <f t="shared" si="526"/>
        <v>0</v>
      </c>
      <c r="FL246" s="102">
        <f t="shared" si="527"/>
        <v>0</v>
      </c>
      <c r="FM246" s="211">
        <f t="shared" si="454"/>
        <v>222</v>
      </c>
      <c r="FN246" s="212">
        <f t="shared" si="528"/>
        <v>0</v>
      </c>
      <c r="FO246" s="212">
        <f t="shared" si="477"/>
        <v>0</v>
      </c>
      <c r="FP246" s="212">
        <f t="shared" si="592"/>
        <v>0</v>
      </c>
      <c r="FQ246" s="213">
        <f t="shared" si="478"/>
        <v>1000000</v>
      </c>
      <c r="FV246" s="359"/>
      <c r="FX246" s="308">
        <f t="shared" ca="1" si="479"/>
        <v>9</v>
      </c>
      <c r="FY246" s="309">
        <f t="shared" si="530"/>
        <v>0</v>
      </c>
      <c r="FZ246" s="268">
        <f t="shared" si="480"/>
        <v>0</v>
      </c>
      <c r="GA246" s="33">
        <f t="shared" si="531"/>
        <v>0</v>
      </c>
      <c r="GB246" s="33">
        <f t="shared" si="585"/>
        <v>0</v>
      </c>
      <c r="GC246" s="33">
        <f t="shared" si="586"/>
        <v>0</v>
      </c>
      <c r="GD246" s="33">
        <f>IF(GJ245&lt;0.01,0,IF(Plus!$F$22=Plus!$AN$4,0,IF(Plus!$F$22=Plus!$AN$3,GJ245*Plus!$F$23/1000,GJ245*VLOOKUP(Plus!$G$21,Plus!$AP$2:$AQ$5,2,0))))</f>
        <v>0</v>
      </c>
      <c r="GE246" s="33">
        <f>IF(GJ245&lt;0.01,0,IF(Plus!$F$24=Plus!$AO$3,0,IF(OR(Plus!$F$10=Plus!$AK$7,Plus!$F$10=Plus!$AK$13,Plus!$F$10=Plus!$AK$14),0,IF(OR(Plus!$F$10=Plus!$AK$10,Plus!$F$10=Plus!$AK$11),Plus!$G$13*Adm!$W$7,Plus!$G$13*Adm!$X$4))))</f>
        <v>0</v>
      </c>
      <c r="GF246" s="33">
        <f>IF(GJ245&lt;0.01,0,IF(OR(Plus!$F$10=Plus!$AK$7,Plus!$F$10=Plus!$AK$13),0,Plus!$BD$2*1.16))</f>
        <v>0</v>
      </c>
      <c r="GG246" s="33">
        <f>IF(GJ245&lt;0.01,0,IF(Plus!$AS$2&gt;0,GA246*Plus!$AS$3,0))</f>
        <v>0</v>
      </c>
      <c r="GH246" s="33">
        <f t="shared" si="532"/>
        <v>0</v>
      </c>
      <c r="GI246" s="33">
        <f>IF(Plus!$F$10=Plus!$AK$3,MIN(GJ245+GA246+GD246+GE246+GF246-GH246,GU246),0)</f>
        <v>0</v>
      </c>
      <c r="GJ246" s="311">
        <f t="shared" si="578"/>
        <v>0</v>
      </c>
      <c r="GK246" s="340">
        <f>Plus!O287</f>
        <v>0</v>
      </c>
      <c r="GL246" s="74"/>
      <c r="GM246" s="74"/>
      <c r="GN246" s="419">
        <f t="shared" si="576"/>
        <v>0</v>
      </c>
      <c r="GQ246" s="90">
        <f t="shared" si="533"/>
        <v>6</v>
      </c>
      <c r="GR246" s="121">
        <f t="shared" si="568"/>
        <v>0</v>
      </c>
      <c r="GT246" s="149">
        <f t="shared" si="569"/>
        <v>0</v>
      </c>
      <c r="GU246" s="2179">
        <f t="shared" ca="1" si="534"/>
        <v>0</v>
      </c>
      <c r="GW246" s="120">
        <f t="shared" si="570"/>
        <v>0</v>
      </c>
      <c r="GX246" s="110">
        <f t="shared" si="535"/>
        <v>0</v>
      </c>
      <c r="GY246" s="110">
        <f t="shared" si="536"/>
        <v>0</v>
      </c>
      <c r="GZ246" s="109">
        <f t="shared" si="537"/>
        <v>0</v>
      </c>
      <c r="HA246" s="109">
        <f t="shared" si="481"/>
        <v>0</v>
      </c>
      <c r="HB246" s="113">
        <f t="shared" si="538"/>
        <v>0</v>
      </c>
      <c r="HD246" s="102">
        <f t="shared" si="539"/>
        <v>0</v>
      </c>
      <c r="HE246" s="211">
        <f t="shared" si="455"/>
        <v>222</v>
      </c>
      <c r="HF246" s="212">
        <f t="shared" si="540"/>
        <v>0</v>
      </c>
      <c r="HG246" s="212">
        <f t="shared" si="482"/>
        <v>0</v>
      </c>
      <c r="HH246" s="212">
        <f t="shared" si="593"/>
        <v>0</v>
      </c>
      <c r="HI246" s="213">
        <f t="shared" si="483"/>
        <v>1000000</v>
      </c>
      <c r="HL246" s="182"/>
      <c r="HM246" s="26">
        <f t="shared" ca="1" si="484"/>
        <v>9</v>
      </c>
      <c r="HO246" s="268">
        <f t="shared" si="485"/>
        <v>0</v>
      </c>
      <c r="HP246" s="151">
        <f t="shared" si="448"/>
        <v>0</v>
      </c>
      <c r="HQ246" s="123">
        <f t="shared" si="542"/>
        <v>0</v>
      </c>
      <c r="HR246" s="123">
        <f t="shared" si="543"/>
        <v>0</v>
      </c>
      <c r="HS246" s="123">
        <f t="shared" si="544"/>
        <v>0</v>
      </c>
      <c r="HT246" s="123">
        <f>IF(HY245&lt;0.01,0,IF(Adm!$GS$4=Adm!$GS$8,HY245*$HY$15,IF(Adm!$GS$12=Adm!$GS$13,0,HY245*Adm!$GV$4)))</f>
        <v>0</v>
      </c>
      <c r="HU246" s="123">
        <f>IF(HY245&lt;0.01,0,IF(Adm!$GS$5=Adm!$GS$8,Cal!$BO$108*$HY$16/1.16,IF(Adm!$GS$12=Adm!$GS$13,0,Cal!$BO$108*Adm!$GW$4/1.16)))</f>
        <v>0</v>
      </c>
      <c r="HV246" s="123">
        <f t="shared" si="545"/>
        <v>0</v>
      </c>
      <c r="HW246" s="123">
        <f t="shared" si="486"/>
        <v>0</v>
      </c>
      <c r="HX246" s="123">
        <f>IF(Adm!$GH$6="si",MIN(HY245+HQ246+HT246+HU246+HV246-HW246,IH246),0)</f>
        <v>0</v>
      </c>
      <c r="HY246" s="297">
        <f t="shared" si="546"/>
        <v>0</v>
      </c>
      <c r="HZ246" s="74"/>
      <c r="IA246" s="407">
        <f t="shared" si="547"/>
        <v>0</v>
      </c>
      <c r="IC246" s="90">
        <f t="shared" si="548"/>
        <v>6</v>
      </c>
      <c r="ID246" s="124">
        <f>IF(IC246=1,Cal!$BO$127,0)</f>
        <v>0</v>
      </c>
      <c r="IE246" s="178">
        <f>IF(IC246=1,Adm!$HI$4,0)</f>
        <v>0</v>
      </c>
      <c r="IG246" s="70">
        <f t="shared" si="571"/>
        <v>0</v>
      </c>
      <c r="IH246" s="2178">
        <f t="shared" ca="1" si="549"/>
        <v>0</v>
      </c>
      <c r="IK246" s="217"/>
      <c r="IL246" s="26">
        <f t="shared" ca="1" si="487"/>
        <v>9</v>
      </c>
      <c r="IN246" s="268">
        <f t="shared" si="488"/>
        <v>0</v>
      </c>
      <c r="IO246" s="151">
        <f t="shared" si="449"/>
        <v>0</v>
      </c>
      <c r="IP246" s="123">
        <f t="shared" si="550"/>
        <v>0</v>
      </c>
      <c r="IQ246" s="123">
        <f t="shared" si="551"/>
        <v>0</v>
      </c>
      <c r="IR246" s="123">
        <f t="shared" si="552"/>
        <v>0</v>
      </c>
      <c r="IS246" s="123">
        <f>IF(IX245&lt;0.01,0,IF(Adm!$GS$4=Adm!$GS$8,IX245*$IX$15,IF(Adm!$GS$12=Adm!$GS$13,0,IX245*Adm!$GV$4)))</f>
        <v>0</v>
      </c>
      <c r="IT246" s="123"/>
      <c r="IU246" s="123">
        <f t="shared" si="553"/>
        <v>0</v>
      </c>
      <c r="IV246" s="123">
        <f t="shared" si="554"/>
        <v>0</v>
      </c>
      <c r="IW246" s="123"/>
      <c r="IX246" s="297">
        <f t="shared" si="555"/>
        <v>0</v>
      </c>
      <c r="IY246" s="74"/>
      <c r="IZ246" s="416">
        <f t="shared" si="556"/>
        <v>0</v>
      </c>
      <c r="JB246" s="90">
        <f t="shared" si="557"/>
        <v>6</v>
      </c>
      <c r="JC246" s="124">
        <f>IF(JB246=1,Cal!$BP$127,0)</f>
        <v>0</v>
      </c>
      <c r="JD246" s="178">
        <f>IF(JB246=1,Adm!$HI$4,0)</f>
        <v>0</v>
      </c>
    </row>
    <row r="247" spans="1:264">
      <c r="A247" s="26">
        <f t="shared" ca="1" si="456"/>
        <v>10</v>
      </c>
      <c r="C247" s="33">
        <f t="shared" si="457"/>
        <v>0</v>
      </c>
      <c r="D247" s="123">
        <f t="shared" si="489"/>
        <v>0</v>
      </c>
      <c r="E247" s="123">
        <f t="shared" si="579"/>
        <v>0</v>
      </c>
      <c r="F247" s="123">
        <f t="shared" si="589"/>
        <v>0</v>
      </c>
      <c r="G247" s="123">
        <f>IF(L246&lt;0.01,0,IF(Adm!$S$4=Adm!$S$8,L246*$L$15,L246*Adm!$V$4))</f>
        <v>0</v>
      </c>
      <c r="H247" s="123">
        <f>IF(L246&lt;0.01,0,IF(Adm!$S$5=Adm!$S$8,Adm!$AA$11*$L$16/1.16,IF(Adm!$B$4=Adm!$A$119,0,Adm!$AA$11*Adm!$X$4/1.16)))</f>
        <v>0</v>
      </c>
      <c r="I247" s="123">
        <f>IF(L246&lt;0.01,0,Cal!$AB$126/1.16)</f>
        <v>0</v>
      </c>
      <c r="J247" s="123">
        <f t="shared" si="458"/>
        <v>0</v>
      </c>
      <c r="K247" s="123">
        <f>IF(Adm!$G$4="si",MIN(L246+D247+G247+H247+I247-J247,V247),0)</f>
        <v>0</v>
      </c>
      <c r="L247" s="123">
        <f t="shared" si="490"/>
        <v>0</v>
      </c>
      <c r="M247" s="74"/>
      <c r="N247" s="74"/>
      <c r="O247" s="407">
        <f t="shared" si="491"/>
        <v>0</v>
      </c>
      <c r="R247" s="90">
        <f t="shared" si="492"/>
        <v>7</v>
      </c>
      <c r="S247" s="121">
        <f>IF(R247=1,Cal!$AB$127,0)</f>
        <v>0</v>
      </c>
      <c r="U247" s="70">
        <f t="shared" si="558"/>
        <v>0</v>
      </c>
      <c r="V247" s="2178">
        <f t="shared" ca="1" si="493"/>
        <v>0</v>
      </c>
      <c r="X247" s="398"/>
      <c r="Z247" s="268">
        <f t="shared" si="459"/>
        <v>0</v>
      </c>
      <c r="AA247" s="2176">
        <f t="shared" si="494"/>
        <v>0</v>
      </c>
      <c r="AB247" s="33">
        <f t="shared" si="495"/>
        <v>0</v>
      </c>
      <c r="AC247" s="33">
        <f t="shared" si="496"/>
        <v>0</v>
      </c>
      <c r="AD247" s="33">
        <f>IF(AI246&lt;0.01,0,IF(Adm!$S$4=Adm!$S$8,AI246*$AI$15,AI246*Adm!$V$4))</f>
        <v>0</v>
      </c>
      <c r="AE247" s="33"/>
      <c r="AF247" s="33"/>
      <c r="AG247" s="33">
        <f t="shared" si="460"/>
        <v>0</v>
      </c>
      <c r="AH247" s="33"/>
      <c r="AI247" s="401">
        <f t="shared" si="461"/>
        <v>0</v>
      </c>
      <c r="AK247" s="410">
        <f t="shared" si="462"/>
        <v>0</v>
      </c>
      <c r="AN247" s="90">
        <f t="shared" si="497"/>
        <v>7</v>
      </c>
      <c r="AO247" s="121">
        <f>IF(AN247=1,Cal!$AC$127,0)</f>
        <v>0</v>
      </c>
      <c r="AS247" s="200"/>
      <c r="AU247" s="268">
        <f t="shared" si="463"/>
        <v>0</v>
      </c>
      <c r="AV247" s="2177">
        <f t="shared" si="498"/>
        <v>0</v>
      </c>
      <c r="AW247" s="123">
        <f t="shared" si="464"/>
        <v>0</v>
      </c>
      <c r="AX247" s="123">
        <f t="shared" si="499"/>
        <v>0</v>
      </c>
      <c r="AY247" s="123">
        <f>IF(BC246&lt;0.01,0,IF(Adm!$S$4=Adm!$S$8,BC246*$BC$16,BC246*Adm!$V$4))</f>
        <v>0</v>
      </c>
      <c r="AZ247" s="123"/>
      <c r="BA247" s="123">
        <f>IF(BC246&lt;0.01,0,Adm!$Q$6)</f>
        <v>0</v>
      </c>
      <c r="BB247" s="123">
        <f t="shared" si="465"/>
        <v>0</v>
      </c>
      <c r="BC247" s="297">
        <f t="shared" si="500"/>
        <v>0</v>
      </c>
      <c r="BE247" s="425">
        <f t="shared" si="466"/>
        <v>0</v>
      </c>
      <c r="BH247" s="90">
        <f t="shared" si="501"/>
        <v>7</v>
      </c>
      <c r="BI247" s="121">
        <f>IF(BH247=1,Cal!$AD$127,0)</f>
        <v>0</v>
      </c>
      <c r="BM247" s="221"/>
      <c r="BO247" s="295">
        <f t="shared" ca="1" si="467"/>
        <v>10</v>
      </c>
      <c r="BP247" s="268">
        <f t="shared" si="468"/>
        <v>0</v>
      </c>
      <c r="BQ247" s="123">
        <f t="shared" si="502"/>
        <v>0</v>
      </c>
      <c r="BR247" s="123">
        <f t="shared" si="580"/>
        <v>0</v>
      </c>
      <c r="BS247" s="123">
        <f t="shared" si="590"/>
        <v>0</v>
      </c>
      <c r="BT247" s="123">
        <f>IF(BZ246&lt;0.01,0,IF(Plus!$F$22=Plus!$AN$4,BZ246*$BZ$15,IF(Plus!$F$22=Plus!$AN$3,BZ246*Plus!$F$23/1000,BZ246*VLOOKUP(Plus!$G$21,Plus!$AP$2:'Plus'!$AQ$5,2,0))))</f>
        <v>0</v>
      </c>
      <c r="BU247" s="123">
        <f>IF(BZ246&lt;0.01,0,IF(Plus!$F$24=Plus!$AO$3,Plus!$G$13*Plus!$AR$2/1.16,IF(Plus!$F$10=Plus!$AK$7,0,Plus!$G$13*Plus!$AR$2/1.16)))</f>
        <v>0</v>
      </c>
      <c r="BV247" s="123">
        <f>IF(BZ246&lt;0.01,0,Plus!$BD$2)</f>
        <v>0</v>
      </c>
      <c r="BW247" s="123"/>
      <c r="BX247" s="123">
        <f t="shared" si="469"/>
        <v>0</v>
      </c>
      <c r="BY247" s="123">
        <f>IF(Plus!$F$10=Plus!$AK$3,MIN(BZ246+BQ247+BT247+BU247+BV247-BX247,CJ247),0)</f>
        <v>0</v>
      </c>
      <c r="BZ247" s="297">
        <f t="shared" si="574"/>
        <v>0</v>
      </c>
      <c r="CA247" s="74"/>
      <c r="CB247" s="74"/>
      <c r="CC247" s="413">
        <f t="shared" si="503"/>
        <v>0</v>
      </c>
      <c r="CF247" s="90">
        <f t="shared" si="504"/>
        <v>7</v>
      </c>
      <c r="CG247" s="121">
        <f t="shared" si="559"/>
        <v>0</v>
      </c>
      <c r="CI247" s="70">
        <f t="shared" si="560"/>
        <v>0</v>
      </c>
      <c r="CJ247" s="2178">
        <f t="shared" ca="1" si="505"/>
        <v>0</v>
      </c>
      <c r="CL247" s="161"/>
      <c r="CN247" s="308">
        <f t="shared" ca="1" si="470"/>
        <v>10</v>
      </c>
      <c r="CO247" s="309">
        <f t="shared" si="506"/>
        <v>0</v>
      </c>
      <c r="CP247" s="268">
        <f t="shared" si="471"/>
        <v>0</v>
      </c>
      <c r="CQ247" s="123">
        <f t="shared" si="507"/>
        <v>0</v>
      </c>
      <c r="CR247" s="123">
        <f t="shared" si="581"/>
        <v>0</v>
      </c>
      <c r="CS247" s="123">
        <f t="shared" si="582"/>
        <v>0</v>
      </c>
      <c r="CT247" s="33">
        <f>IF(CZ246&lt;0.01,0,IF(Plus!$F$22=Plus!$AN$4,0,IF(Plus!$F$22=Plus!$AN$3,CZ246*Plus!$F$23/1000,CZ246*VLOOKUP(Plus!$G$21,Plus!$AP$2:'Plus'!$AQ$5,2,0))))</f>
        <v>0</v>
      </c>
      <c r="CU247" s="123">
        <f>IF(CZ246&lt;0.01,0,IF(Plus!$F$24=Plus!$AO$3,0,IF(OR(Plus!$F$10=Plus!$AK$7,Plus!$F$10=Plus!$AK$13),0,Plus!$G$13*Plus!$AR$2)))</f>
        <v>0</v>
      </c>
      <c r="CV247" s="123">
        <f>IF(CZ246&lt;0.01,0,IF(OR(Plus!$F$10=Plus!$AK$7,Plus!$F$10=Plus!$AK$13),0,Plus!$BD$2*1.16))</f>
        <v>0</v>
      </c>
      <c r="CW247" s="123">
        <f>IF(CZ246&lt;0.01,0,IF(Plus!$AS$2&gt;0,CQ247*Plus!$AS$3,0))</f>
        <v>0</v>
      </c>
      <c r="CX247" s="123">
        <f t="shared" si="508"/>
        <v>0</v>
      </c>
      <c r="CY247" s="123">
        <f>IF(Plus!$F$10=Plus!$AK$3,MIN(CZ246+CQ247+CT247+CU247+CV247-CX247,DK247),0)</f>
        <v>0</v>
      </c>
      <c r="CZ247" s="297">
        <f t="shared" si="588"/>
        <v>0</v>
      </c>
      <c r="DA247" s="306">
        <f>Plus!O288</f>
        <v>0</v>
      </c>
      <c r="DB247" s="74"/>
      <c r="DC247" s="74"/>
      <c r="DD247" s="407">
        <f t="shared" si="509"/>
        <v>0</v>
      </c>
      <c r="DG247" s="90">
        <f t="shared" si="510"/>
        <v>7</v>
      </c>
      <c r="DH247" s="121">
        <f t="shared" si="561"/>
        <v>0</v>
      </c>
      <c r="DJ247" s="149">
        <f t="shared" si="562"/>
        <v>0</v>
      </c>
      <c r="DK247" s="2179">
        <f t="shared" ca="1" si="511"/>
        <v>0</v>
      </c>
      <c r="DN247" s="120">
        <f t="shared" si="563"/>
        <v>0</v>
      </c>
      <c r="DO247" s="110">
        <f t="shared" si="512"/>
        <v>0</v>
      </c>
      <c r="DP247" s="110">
        <f t="shared" si="572"/>
        <v>0</v>
      </c>
      <c r="DQ247" s="109">
        <f t="shared" si="513"/>
        <v>0</v>
      </c>
      <c r="DR247" s="109">
        <f t="shared" si="514"/>
        <v>0</v>
      </c>
      <c r="DS247" s="113">
        <f t="shared" si="515"/>
        <v>0</v>
      </c>
      <c r="DU247" s="102">
        <f t="shared" si="516"/>
        <v>0</v>
      </c>
      <c r="DV247" s="211">
        <f t="shared" si="573"/>
        <v>223</v>
      </c>
      <c r="DW247" s="212">
        <f t="shared" si="517"/>
        <v>0</v>
      </c>
      <c r="DX247" s="212">
        <f t="shared" si="472"/>
        <v>0</v>
      </c>
      <c r="DY247" s="212">
        <f t="shared" si="564"/>
        <v>0</v>
      </c>
      <c r="DZ247" s="213">
        <f t="shared" si="473"/>
        <v>1000000</v>
      </c>
      <c r="ED247" s="182"/>
      <c r="EF247" s="308">
        <f t="shared" ca="1" si="474"/>
        <v>10</v>
      </c>
      <c r="EG247" s="309">
        <f t="shared" si="518"/>
        <v>0</v>
      </c>
      <c r="EH247" s="268">
        <f t="shared" si="475"/>
        <v>0</v>
      </c>
      <c r="EI247" s="33">
        <f t="shared" si="519"/>
        <v>0</v>
      </c>
      <c r="EJ247" s="33">
        <f t="shared" si="583"/>
        <v>0</v>
      </c>
      <c r="EK247" s="33">
        <f t="shared" si="591"/>
        <v>0</v>
      </c>
      <c r="EL247" s="33">
        <f>IF(ER246&lt;0.01,0,IF(Plus!$F$22=Plus!$AN$4,0,IF(Plus!$F$22=Plus!$AN$3,ER246*Plus!$F$23/1000,ER246*VLOOKUP(Plus!$G$21,Plus!$AP$2:'Plus'!$AQ$5,2,0))))</f>
        <v>0</v>
      </c>
      <c r="EM247" s="33">
        <f>IF(ER246&lt;0.01,0,IF(Plus!$F$24=Plus!$AO$3,0,IF(OR(Plus!$F$10=Plus!$AK$7,Plus!$F$10=Plus!$AK$13),0,Plus!$G$13*Plus!$AR$2)))</f>
        <v>0</v>
      </c>
      <c r="EN247" s="33">
        <f>IF(ER246&lt;0.01,0,IF(OR(Plus!$F$10=Plus!$AK$7,Plus!$F$10=Plus!$AK$13),0,Plus!$BD$2*1.16))</f>
        <v>0</v>
      </c>
      <c r="EO247" s="33">
        <f>IF(ER246&lt;0.01,0,IF(Plus!$AS$2&gt;0,EI247*Plus!$AS$3,0))</f>
        <v>0</v>
      </c>
      <c r="EP247" s="33">
        <f t="shared" si="520"/>
        <v>0</v>
      </c>
      <c r="EQ247" s="33">
        <f>IF(Plus!$F$10=Plus!$AK$3,MIN(ER246+EI247+EL247+EM247+EN247-EP247,FC247),0)</f>
        <v>0</v>
      </c>
      <c r="ER247" s="311">
        <f t="shared" si="577"/>
        <v>0</v>
      </c>
      <c r="ES247" s="340">
        <f>Plus!O288</f>
        <v>0</v>
      </c>
      <c r="ET247" s="74"/>
      <c r="EU247" s="74"/>
      <c r="EV247" s="416">
        <f t="shared" si="575"/>
        <v>0</v>
      </c>
      <c r="EY247" s="90">
        <f t="shared" si="521"/>
        <v>7</v>
      </c>
      <c r="EZ247" s="121">
        <f t="shared" si="565"/>
        <v>0</v>
      </c>
      <c r="FB247" s="149">
        <f t="shared" si="566"/>
        <v>0</v>
      </c>
      <c r="FC247" s="2179">
        <f t="shared" ca="1" si="522"/>
        <v>0</v>
      </c>
      <c r="FE247" s="120">
        <f t="shared" si="567"/>
        <v>0</v>
      </c>
      <c r="FF247" s="110">
        <f t="shared" si="523"/>
        <v>0</v>
      </c>
      <c r="FG247" s="110">
        <f t="shared" si="524"/>
        <v>0</v>
      </c>
      <c r="FH247" s="109">
        <f t="shared" si="525"/>
        <v>0</v>
      </c>
      <c r="FI247" s="109">
        <f t="shared" si="476"/>
        <v>0</v>
      </c>
      <c r="FJ247" s="113">
        <f t="shared" si="526"/>
        <v>0</v>
      </c>
      <c r="FL247" s="102">
        <f t="shared" si="527"/>
        <v>0</v>
      </c>
      <c r="FM247" s="211">
        <f t="shared" si="454"/>
        <v>223</v>
      </c>
      <c r="FN247" s="212">
        <f t="shared" si="528"/>
        <v>0</v>
      </c>
      <c r="FO247" s="212">
        <f t="shared" si="477"/>
        <v>0</v>
      </c>
      <c r="FP247" s="212">
        <f t="shared" si="592"/>
        <v>0</v>
      </c>
      <c r="FQ247" s="213">
        <f t="shared" si="478"/>
        <v>1000000</v>
      </c>
      <c r="FV247" s="359"/>
      <c r="FX247" s="308">
        <f t="shared" ca="1" si="479"/>
        <v>10</v>
      </c>
      <c r="FY247" s="309">
        <f t="shared" si="530"/>
        <v>0</v>
      </c>
      <c r="FZ247" s="268">
        <f t="shared" si="480"/>
        <v>0</v>
      </c>
      <c r="GA247" s="33">
        <f t="shared" si="531"/>
        <v>0</v>
      </c>
      <c r="GB247" s="33">
        <f t="shared" si="585"/>
        <v>0</v>
      </c>
      <c r="GC247" s="33">
        <f t="shared" si="586"/>
        <v>0</v>
      </c>
      <c r="GD247" s="33">
        <f>IF(GJ246&lt;0.01,0,IF(Plus!$F$22=Plus!$AN$4,0,IF(Plus!$F$22=Plus!$AN$3,GJ246*Plus!$F$23/1000,GJ246*VLOOKUP(Plus!$G$21,Plus!$AP$2:$AQ$5,2,0))))</f>
        <v>0</v>
      </c>
      <c r="GE247" s="33">
        <f>IF(GJ246&lt;0.01,0,IF(Plus!$F$24=Plus!$AO$3,0,IF(OR(Plus!$F$10=Plus!$AK$7,Plus!$F$10=Plus!$AK$13,Plus!$F$10=Plus!$AK$14),0,IF(OR(Plus!$F$10=Plus!$AK$10,Plus!$F$10=Plus!$AK$11),Plus!$G$13*Adm!$W$7,Plus!$G$13*Adm!$X$4))))</f>
        <v>0</v>
      </c>
      <c r="GF247" s="33">
        <f>IF(GJ246&lt;0.01,0,IF(OR(Plus!$F$10=Plus!$AK$7,Plus!$F$10=Plus!$AK$13),0,Plus!$BD$2*1.16))</f>
        <v>0</v>
      </c>
      <c r="GG247" s="33">
        <f>IF(GJ246&lt;0.01,0,IF(Plus!$AS$2&gt;0,GA247*Plus!$AS$3,0))</f>
        <v>0</v>
      </c>
      <c r="GH247" s="33">
        <f t="shared" si="532"/>
        <v>0</v>
      </c>
      <c r="GI247" s="33">
        <f>IF(Plus!$F$10=Plus!$AK$3,MIN(GJ246+GA247+GD247+GE247+GF247-GH247,GU247),0)</f>
        <v>0</v>
      </c>
      <c r="GJ247" s="311">
        <f t="shared" si="578"/>
        <v>0</v>
      </c>
      <c r="GK247" s="340">
        <f>Plus!O288</f>
        <v>0</v>
      </c>
      <c r="GL247" s="74"/>
      <c r="GM247" s="74"/>
      <c r="GN247" s="419">
        <f t="shared" si="576"/>
        <v>0</v>
      </c>
      <c r="GQ247" s="90">
        <f t="shared" si="533"/>
        <v>7</v>
      </c>
      <c r="GR247" s="121">
        <f t="shared" si="568"/>
        <v>0</v>
      </c>
      <c r="GT247" s="149">
        <f t="shared" si="569"/>
        <v>0</v>
      </c>
      <c r="GU247" s="2179">
        <f t="shared" ca="1" si="534"/>
        <v>0</v>
      </c>
      <c r="GW247" s="120">
        <f t="shared" si="570"/>
        <v>0</v>
      </c>
      <c r="GX247" s="110">
        <f t="shared" si="535"/>
        <v>0</v>
      </c>
      <c r="GY247" s="110">
        <f t="shared" si="536"/>
        <v>0</v>
      </c>
      <c r="GZ247" s="109">
        <f t="shared" si="537"/>
        <v>0</v>
      </c>
      <c r="HA247" s="109">
        <f t="shared" si="481"/>
        <v>0</v>
      </c>
      <c r="HB247" s="113">
        <f t="shared" si="538"/>
        <v>0</v>
      </c>
      <c r="HD247" s="102">
        <f t="shared" si="539"/>
        <v>0</v>
      </c>
      <c r="HE247" s="211">
        <f t="shared" si="455"/>
        <v>223</v>
      </c>
      <c r="HF247" s="212">
        <f t="shared" si="540"/>
        <v>0</v>
      </c>
      <c r="HG247" s="212">
        <f t="shared" si="482"/>
        <v>0</v>
      </c>
      <c r="HH247" s="212">
        <f t="shared" si="593"/>
        <v>0</v>
      </c>
      <c r="HI247" s="213">
        <f t="shared" si="483"/>
        <v>1000000</v>
      </c>
      <c r="HL247" s="182"/>
      <c r="HM247" s="26">
        <f t="shared" ca="1" si="484"/>
        <v>10</v>
      </c>
      <c r="HO247" s="268">
        <f t="shared" si="485"/>
        <v>0</v>
      </c>
      <c r="HP247" s="151">
        <f t="shared" si="448"/>
        <v>0</v>
      </c>
      <c r="HQ247" s="123">
        <f t="shared" si="542"/>
        <v>0</v>
      </c>
      <c r="HR247" s="123">
        <f t="shared" si="543"/>
        <v>0</v>
      </c>
      <c r="HS247" s="123">
        <f t="shared" si="544"/>
        <v>0</v>
      </c>
      <c r="HT247" s="123">
        <f>IF(HY246&lt;0.01,0,IF(Adm!$GS$4=Adm!$GS$8,HY246*$HY$15,IF(Adm!$GS$12=Adm!$GS$13,0,HY246*Adm!$GV$4)))</f>
        <v>0</v>
      </c>
      <c r="HU247" s="123">
        <f>IF(HY246&lt;0.01,0,IF(Adm!$GS$5=Adm!$GS$8,Cal!$BO$108*$HY$16/1.16,IF(Adm!$GS$12=Adm!$GS$13,0,Cal!$BO$108*Adm!$GW$4/1.16)))</f>
        <v>0</v>
      </c>
      <c r="HV247" s="123">
        <f t="shared" si="545"/>
        <v>0</v>
      </c>
      <c r="HW247" s="123">
        <f t="shared" si="486"/>
        <v>0</v>
      </c>
      <c r="HX247" s="123">
        <f>IF(Adm!$GH$6="si",MIN(HY246+HQ247+HT247+HU247+HV247-HW247,IH247),0)</f>
        <v>0</v>
      </c>
      <c r="HY247" s="297">
        <f t="shared" si="546"/>
        <v>0</v>
      </c>
      <c r="HZ247" s="74"/>
      <c r="IA247" s="407">
        <f t="shared" si="547"/>
        <v>0</v>
      </c>
      <c r="IC247" s="90">
        <f t="shared" si="548"/>
        <v>7</v>
      </c>
      <c r="ID247" s="124">
        <f>IF(IC247=1,Cal!$BO$127,0)</f>
        <v>0</v>
      </c>
      <c r="IE247" s="178">
        <f>IF(IC247=1,Adm!$HI$4,0)</f>
        <v>0</v>
      </c>
      <c r="IG247" s="70">
        <f t="shared" si="571"/>
        <v>0</v>
      </c>
      <c r="IH247" s="2178">
        <f t="shared" ca="1" si="549"/>
        <v>0</v>
      </c>
      <c r="IK247" s="217"/>
      <c r="IL247" s="26">
        <f t="shared" ca="1" si="487"/>
        <v>10</v>
      </c>
      <c r="IN247" s="268">
        <f t="shared" si="488"/>
        <v>0</v>
      </c>
      <c r="IO247" s="151">
        <f t="shared" si="449"/>
        <v>0</v>
      </c>
      <c r="IP247" s="123">
        <f t="shared" si="550"/>
        <v>0</v>
      </c>
      <c r="IQ247" s="123">
        <f t="shared" si="551"/>
        <v>0</v>
      </c>
      <c r="IR247" s="123">
        <f t="shared" si="552"/>
        <v>0</v>
      </c>
      <c r="IS247" s="123">
        <f>IF(IX246&lt;0.01,0,IF(Adm!$GS$4=Adm!$GS$8,IX246*$IX$15,IF(Adm!$GS$12=Adm!$GS$13,0,IX246*Adm!$GV$4)))</f>
        <v>0</v>
      </c>
      <c r="IT247" s="123"/>
      <c r="IU247" s="123">
        <f t="shared" si="553"/>
        <v>0</v>
      </c>
      <c r="IV247" s="123">
        <f t="shared" si="554"/>
        <v>0</v>
      </c>
      <c r="IW247" s="123"/>
      <c r="IX247" s="297">
        <f t="shared" si="555"/>
        <v>0</v>
      </c>
      <c r="IY247" s="74"/>
      <c r="IZ247" s="416">
        <f t="shared" si="556"/>
        <v>0</v>
      </c>
      <c r="JB247" s="90">
        <f t="shared" si="557"/>
        <v>7</v>
      </c>
      <c r="JC247" s="124">
        <f>IF(JB247=1,Cal!$BP$127,0)</f>
        <v>0</v>
      </c>
      <c r="JD247" s="178">
        <f>IF(JB247=1,Adm!$HI$4,0)</f>
        <v>0</v>
      </c>
    </row>
    <row r="248" spans="1:264">
      <c r="A248" s="26">
        <f t="shared" ca="1" si="456"/>
        <v>11</v>
      </c>
      <c r="C248" s="33">
        <f t="shared" si="457"/>
        <v>0</v>
      </c>
      <c r="D248" s="123">
        <f t="shared" si="489"/>
        <v>0</v>
      </c>
      <c r="E248" s="123">
        <f t="shared" si="579"/>
        <v>0</v>
      </c>
      <c r="F248" s="123">
        <f t="shared" si="589"/>
        <v>0</v>
      </c>
      <c r="G248" s="123">
        <f>IF(L247&lt;0.01,0,IF(Adm!$S$4=Adm!$S$8,L247*$L$15,L247*Adm!$V$4))</f>
        <v>0</v>
      </c>
      <c r="H248" s="123">
        <f>IF(L247&lt;0.01,0,IF(Adm!$S$5=Adm!$S$8,Adm!$AA$11*$L$16/1.16,IF(Adm!$B$4=Adm!$A$119,0,Adm!$AA$11*Adm!$X$4/1.16)))</f>
        <v>0</v>
      </c>
      <c r="I248" s="123">
        <f>IF(L247&lt;0.01,0,Cal!$AB$126/1.16)</f>
        <v>0</v>
      </c>
      <c r="J248" s="123">
        <f t="shared" si="458"/>
        <v>0</v>
      </c>
      <c r="K248" s="123">
        <f>IF(Adm!$G$4="si",MIN(L247+D248+G248+H248+I248-J248,V248),0)</f>
        <v>0</v>
      </c>
      <c r="L248" s="123">
        <f t="shared" si="490"/>
        <v>0</v>
      </c>
      <c r="M248" s="74"/>
      <c r="N248" s="74"/>
      <c r="O248" s="407">
        <f t="shared" si="491"/>
        <v>0</v>
      </c>
      <c r="R248" s="90">
        <f t="shared" si="492"/>
        <v>8</v>
      </c>
      <c r="S248" s="121">
        <f>IF(R248=1,Cal!$AB$127,0)</f>
        <v>0</v>
      </c>
      <c r="U248" s="70">
        <f t="shared" si="558"/>
        <v>0</v>
      </c>
      <c r="V248" s="2178">
        <f t="shared" ca="1" si="493"/>
        <v>0</v>
      </c>
      <c r="X248" s="398"/>
      <c r="Z248" s="268">
        <f t="shared" si="459"/>
        <v>0</v>
      </c>
      <c r="AA248" s="2176">
        <f t="shared" si="494"/>
        <v>0</v>
      </c>
      <c r="AB248" s="33">
        <f t="shared" si="495"/>
        <v>0</v>
      </c>
      <c r="AC248" s="33">
        <f t="shared" si="496"/>
        <v>0</v>
      </c>
      <c r="AD248" s="33">
        <f>IF(AI247&lt;0.01,0,IF(Adm!$S$4=Adm!$S$8,AI247*$AI$15,AI247*Adm!$V$4))</f>
        <v>0</v>
      </c>
      <c r="AE248" s="33"/>
      <c r="AF248" s="33"/>
      <c r="AG248" s="33">
        <f t="shared" si="460"/>
        <v>0</v>
      </c>
      <c r="AH248" s="33"/>
      <c r="AI248" s="401">
        <f t="shared" si="461"/>
        <v>0</v>
      </c>
      <c r="AK248" s="410">
        <f t="shared" si="462"/>
        <v>0</v>
      </c>
      <c r="AN248" s="90">
        <f t="shared" si="497"/>
        <v>8</v>
      </c>
      <c r="AO248" s="121">
        <f>IF(AN248=1,Cal!$AC$127,0)</f>
        <v>0</v>
      </c>
      <c r="AS248" s="200"/>
      <c r="AU248" s="268">
        <f t="shared" si="463"/>
        <v>0</v>
      </c>
      <c r="AV248" s="2177">
        <f t="shared" si="498"/>
        <v>0</v>
      </c>
      <c r="AW248" s="123">
        <f t="shared" si="464"/>
        <v>0</v>
      </c>
      <c r="AX248" s="123">
        <f t="shared" si="499"/>
        <v>0</v>
      </c>
      <c r="AY248" s="123">
        <f>IF(BC247&lt;0.01,0,IF(Adm!$S$4=Adm!$S$8,BC247*$BC$16,BC247*Adm!$V$4))</f>
        <v>0</v>
      </c>
      <c r="AZ248" s="123"/>
      <c r="BA248" s="123">
        <f>IF(BC247&lt;0.01,0,Adm!$Q$6)</f>
        <v>0</v>
      </c>
      <c r="BB248" s="123">
        <f t="shared" si="465"/>
        <v>0</v>
      </c>
      <c r="BC248" s="297">
        <f t="shared" si="500"/>
        <v>0</v>
      </c>
      <c r="BE248" s="425">
        <f t="shared" si="466"/>
        <v>0</v>
      </c>
      <c r="BH248" s="90">
        <f t="shared" si="501"/>
        <v>8</v>
      </c>
      <c r="BI248" s="121">
        <f>IF(BH248=1,Cal!$AD$127,0)</f>
        <v>0</v>
      </c>
      <c r="BM248" s="221"/>
      <c r="BO248" s="295">
        <f t="shared" ca="1" si="467"/>
        <v>11</v>
      </c>
      <c r="BP248" s="268">
        <f t="shared" si="468"/>
        <v>0</v>
      </c>
      <c r="BQ248" s="123">
        <f t="shared" si="502"/>
        <v>0</v>
      </c>
      <c r="BR248" s="123">
        <f t="shared" si="580"/>
        <v>0</v>
      </c>
      <c r="BS248" s="123">
        <f t="shared" si="590"/>
        <v>0</v>
      </c>
      <c r="BT248" s="123">
        <f>IF(BZ247&lt;0.01,0,IF(Plus!$F$22=Plus!$AN$4,BZ247*$BZ$15,IF(Plus!$F$22=Plus!$AN$3,BZ247*Plus!$F$23/1000,BZ247*VLOOKUP(Plus!$G$21,Plus!$AP$2:'Plus'!$AQ$5,2,0))))</f>
        <v>0</v>
      </c>
      <c r="BU248" s="123">
        <f>IF(BZ247&lt;0.01,0,IF(Plus!$F$24=Plus!$AO$3,Plus!$G$13*Plus!$AR$2/1.16,IF(Plus!$F$10=Plus!$AK$7,0,Plus!$G$13*Plus!$AR$2/1.16)))</f>
        <v>0</v>
      </c>
      <c r="BV248" s="123">
        <f>IF(BZ247&lt;0.01,0,Plus!$BD$2)</f>
        <v>0</v>
      </c>
      <c r="BW248" s="123"/>
      <c r="BX248" s="123">
        <f t="shared" si="469"/>
        <v>0</v>
      </c>
      <c r="BY248" s="123">
        <f>IF(Plus!$F$10=Plus!$AK$3,MIN(BZ247+BQ248+BT248+BU248+BV248-BX248,CJ248),0)</f>
        <v>0</v>
      </c>
      <c r="BZ248" s="297">
        <f t="shared" si="574"/>
        <v>0</v>
      </c>
      <c r="CA248" s="74"/>
      <c r="CB248" s="74"/>
      <c r="CC248" s="413">
        <f t="shared" si="503"/>
        <v>0</v>
      </c>
      <c r="CF248" s="90">
        <f t="shared" si="504"/>
        <v>8</v>
      </c>
      <c r="CG248" s="121">
        <f t="shared" si="559"/>
        <v>0</v>
      </c>
      <c r="CI248" s="70">
        <f t="shared" si="560"/>
        <v>0</v>
      </c>
      <c r="CJ248" s="2178">
        <f t="shared" ca="1" si="505"/>
        <v>0</v>
      </c>
      <c r="CL248" s="161"/>
      <c r="CN248" s="308">
        <f t="shared" ca="1" si="470"/>
        <v>11</v>
      </c>
      <c r="CO248" s="309">
        <f t="shared" si="506"/>
        <v>0</v>
      </c>
      <c r="CP248" s="268">
        <f t="shared" si="471"/>
        <v>0</v>
      </c>
      <c r="CQ248" s="123">
        <f t="shared" si="507"/>
        <v>0</v>
      </c>
      <c r="CR248" s="123">
        <f t="shared" si="581"/>
        <v>0</v>
      </c>
      <c r="CS248" s="123">
        <f t="shared" si="582"/>
        <v>0</v>
      </c>
      <c r="CT248" s="33">
        <f>IF(CZ247&lt;0.01,0,IF(Plus!$F$22=Plus!$AN$4,0,IF(Plus!$F$22=Plus!$AN$3,CZ247*Plus!$F$23/1000,CZ247*VLOOKUP(Plus!$G$21,Plus!$AP$2:'Plus'!$AQ$5,2,0))))</f>
        <v>0</v>
      </c>
      <c r="CU248" s="123">
        <f>IF(CZ247&lt;0.01,0,IF(Plus!$F$24=Plus!$AO$3,0,IF(OR(Plus!$F$10=Plus!$AK$7,Plus!$F$10=Plus!$AK$13),0,Plus!$G$13*Plus!$AR$2)))</f>
        <v>0</v>
      </c>
      <c r="CV248" s="123">
        <f>IF(CZ247&lt;0.01,0,IF(OR(Plus!$F$10=Plus!$AK$7,Plus!$F$10=Plus!$AK$13),0,Plus!$BD$2*1.16))</f>
        <v>0</v>
      </c>
      <c r="CW248" s="123">
        <f>IF(CZ247&lt;0.01,0,IF(Plus!$AS$2&gt;0,CQ248*Plus!$AS$3,0))</f>
        <v>0</v>
      </c>
      <c r="CX248" s="123">
        <f t="shared" si="508"/>
        <v>0</v>
      </c>
      <c r="CY248" s="123">
        <f>IF(Plus!$F$10=Plus!$AK$3,MIN(CZ247+CQ248+CT248+CU248+CV248-CX248,DK248),0)</f>
        <v>0</v>
      </c>
      <c r="CZ248" s="297">
        <f t="shared" si="588"/>
        <v>0</v>
      </c>
      <c r="DA248" s="306">
        <f>Plus!O289</f>
        <v>0</v>
      </c>
      <c r="DB248" s="74"/>
      <c r="DC248" s="74"/>
      <c r="DD248" s="407">
        <f t="shared" si="509"/>
        <v>0</v>
      </c>
      <c r="DG248" s="90">
        <f t="shared" si="510"/>
        <v>8</v>
      </c>
      <c r="DH248" s="121">
        <f t="shared" si="561"/>
        <v>0</v>
      </c>
      <c r="DJ248" s="149">
        <f t="shared" si="562"/>
        <v>0</v>
      </c>
      <c r="DK248" s="2179">
        <f t="shared" ca="1" si="511"/>
        <v>0</v>
      </c>
      <c r="DN248" s="120">
        <f t="shared" si="563"/>
        <v>0</v>
      </c>
      <c r="DO248" s="110">
        <f t="shared" si="512"/>
        <v>0</v>
      </c>
      <c r="DP248" s="110">
        <f t="shared" si="572"/>
        <v>0</v>
      </c>
      <c r="DQ248" s="109">
        <f t="shared" si="513"/>
        <v>0</v>
      </c>
      <c r="DR248" s="109">
        <f t="shared" si="514"/>
        <v>0</v>
      </c>
      <c r="DS248" s="113">
        <f t="shared" si="515"/>
        <v>0</v>
      </c>
      <c r="DU248" s="102">
        <f t="shared" si="516"/>
        <v>0</v>
      </c>
      <c r="DV248" s="211">
        <f t="shared" si="573"/>
        <v>224</v>
      </c>
      <c r="DW248" s="212">
        <f t="shared" si="517"/>
        <v>0</v>
      </c>
      <c r="DX248" s="212">
        <f t="shared" si="472"/>
        <v>0</v>
      </c>
      <c r="DY248" s="212">
        <f t="shared" si="564"/>
        <v>0</v>
      </c>
      <c r="DZ248" s="213">
        <f t="shared" si="473"/>
        <v>1000000</v>
      </c>
      <c r="ED248" s="182"/>
      <c r="EF248" s="308">
        <f t="shared" ca="1" si="474"/>
        <v>11</v>
      </c>
      <c r="EG248" s="309">
        <f t="shared" si="518"/>
        <v>0</v>
      </c>
      <c r="EH248" s="268">
        <f t="shared" si="475"/>
        <v>0</v>
      </c>
      <c r="EI248" s="33">
        <f t="shared" si="519"/>
        <v>0</v>
      </c>
      <c r="EJ248" s="33">
        <f t="shared" si="583"/>
        <v>0</v>
      </c>
      <c r="EK248" s="33">
        <f t="shared" si="591"/>
        <v>0</v>
      </c>
      <c r="EL248" s="33">
        <f>IF(ER247&lt;0.01,0,IF(Plus!$F$22=Plus!$AN$4,0,IF(Plus!$F$22=Plus!$AN$3,ER247*Plus!$F$23/1000,ER247*VLOOKUP(Plus!$G$21,Plus!$AP$2:'Plus'!$AQ$5,2,0))))</f>
        <v>0</v>
      </c>
      <c r="EM248" s="33">
        <f>IF(ER247&lt;0.01,0,IF(Plus!$F$24=Plus!$AO$3,0,IF(OR(Plus!$F$10=Plus!$AK$7,Plus!$F$10=Plus!$AK$13),0,Plus!$G$13*Plus!$AR$2)))</f>
        <v>0</v>
      </c>
      <c r="EN248" s="33">
        <f>IF(ER247&lt;0.01,0,IF(OR(Plus!$F$10=Plus!$AK$7,Plus!$F$10=Plus!$AK$13),0,Plus!$BD$2*1.16))</f>
        <v>0</v>
      </c>
      <c r="EO248" s="33">
        <f>IF(ER247&lt;0.01,0,IF(Plus!$AS$2&gt;0,EI248*Plus!$AS$3,0))</f>
        <v>0</v>
      </c>
      <c r="EP248" s="33">
        <f t="shared" si="520"/>
        <v>0</v>
      </c>
      <c r="EQ248" s="33">
        <f>IF(Plus!$F$10=Plus!$AK$3,MIN(ER247+EI248+EL248+EM248+EN248-EP248,FC248),0)</f>
        <v>0</v>
      </c>
      <c r="ER248" s="311">
        <f t="shared" si="577"/>
        <v>0</v>
      </c>
      <c r="ES248" s="340">
        <f>Plus!O289</f>
        <v>0</v>
      </c>
      <c r="ET248" s="74"/>
      <c r="EU248" s="74"/>
      <c r="EV248" s="416">
        <f t="shared" si="575"/>
        <v>0</v>
      </c>
      <c r="EY248" s="90">
        <f t="shared" si="521"/>
        <v>8</v>
      </c>
      <c r="EZ248" s="121">
        <f t="shared" si="565"/>
        <v>0</v>
      </c>
      <c r="FB248" s="149">
        <f t="shared" si="566"/>
        <v>0</v>
      </c>
      <c r="FC248" s="2179">
        <f t="shared" ca="1" si="522"/>
        <v>0</v>
      </c>
      <c r="FE248" s="120">
        <f t="shared" si="567"/>
        <v>0</v>
      </c>
      <c r="FF248" s="110">
        <f t="shared" si="523"/>
        <v>0</v>
      </c>
      <c r="FG248" s="110">
        <f t="shared" si="524"/>
        <v>0</v>
      </c>
      <c r="FH248" s="109">
        <f t="shared" si="525"/>
        <v>0</v>
      </c>
      <c r="FI248" s="109">
        <f t="shared" si="476"/>
        <v>0</v>
      </c>
      <c r="FJ248" s="113">
        <f t="shared" si="526"/>
        <v>0</v>
      </c>
      <c r="FL248" s="102">
        <f t="shared" si="527"/>
        <v>0</v>
      </c>
      <c r="FM248" s="211">
        <f t="shared" si="454"/>
        <v>224</v>
      </c>
      <c r="FN248" s="212">
        <f t="shared" si="528"/>
        <v>0</v>
      </c>
      <c r="FO248" s="212">
        <f t="shared" si="477"/>
        <v>0</v>
      </c>
      <c r="FP248" s="212">
        <f t="shared" si="592"/>
        <v>0</v>
      </c>
      <c r="FQ248" s="213">
        <f t="shared" si="478"/>
        <v>1000000</v>
      </c>
      <c r="FV248" s="359"/>
      <c r="FX248" s="308">
        <f t="shared" ca="1" si="479"/>
        <v>11</v>
      </c>
      <c r="FY248" s="309">
        <f t="shared" si="530"/>
        <v>0</v>
      </c>
      <c r="FZ248" s="268">
        <f t="shared" si="480"/>
        <v>0</v>
      </c>
      <c r="GA248" s="33">
        <f t="shared" si="531"/>
        <v>0</v>
      </c>
      <c r="GB248" s="33">
        <f t="shared" si="585"/>
        <v>0</v>
      </c>
      <c r="GC248" s="33">
        <f t="shared" si="586"/>
        <v>0</v>
      </c>
      <c r="GD248" s="33">
        <f>IF(GJ247&lt;0.01,0,IF(Plus!$F$22=Plus!$AN$4,0,IF(Plus!$F$22=Plus!$AN$3,GJ247*Plus!$F$23/1000,GJ247*VLOOKUP(Plus!$G$21,Plus!$AP$2:$AQ$5,2,0))))</f>
        <v>0</v>
      </c>
      <c r="GE248" s="33">
        <f>IF(GJ247&lt;0.01,0,IF(Plus!$F$24=Plus!$AO$3,0,IF(OR(Plus!$F$10=Plus!$AK$7,Plus!$F$10=Plus!$AK$13,Plus!$F$10=Plus!$AK$14),0,IF(OR(Plus!$F$10=Plus!$AK$10,Plus!$F$10=Plus!$AK$11),Plus!$G$13*Adm!$W$7,Plus!$G$13*Adm!$X$4))))</f>
        <v>0</v>
      </c>
      <c r="GF248" s="33">
        <f>IF(GJ247&lt;0.01,0,IF(OR(Plus!$F$10=Plus!$AK$7,Plus!$F$10=Plus!$AK$13),0,Plus!$BD$2*1.16))</f>
        <v>0</v>
      </c>
      <c r="GG248" s="33">
        <f>IF(GJ247&lt;0.01,0,IF(Plus!$AS$2&gt;0,GA248*Plus!$AS$3,0))</f>
        <v>0</v>
      </c>
      <c r="GH248" s="33">
        <f t="shared" si="532"/>
        <v>0</v>
      </c>
      <c r="GI248" s="33">
        <f>IF(Plus!$F$10=Plus!$AK$3,MIN(GJ247+GA248+GD248+GE248+GF248-GH248,GU248),0)</f>
        <v>0</v>
      </c>
      <c r="GJ248" s="311">
        <f t="shared" si="578"/>
        <v>0</v>
      </c>
      <c r="GK248" s="340">
        <f>Plus!O289</f>
        <v>0</v>
      </c>
      <c r="GL248" s="74"/>
      <c r="GM248" s="74"/>
      <c r="GN248" s="419">
        <f t="shared" si="576"/>
        <v>0</v>
      </c>
      <c r="GQ248" s="90">
        <f t="shared" si="533"/>
        <v>8</v>
      </c>
      <c r="GR248" s="121">
        <f t="shared" si="568"/>
        <v>0</v>
      </c>
      <c r="GT248" s="149">
        <f t="shared" si="569"/>
        <v>0</v>
      </c>
      <c r="GU248" s="2179">
        <f t="shared" ca="1" si="534"/>
        <v>0</v>
      </c>
      <c r="GW248" s="120">
        <f t="shared" si="570"/>
        <v>0</v>
      </c>
      <c r="GX248" s="110">
        <f t="shared" si="535"/>
        <v>0</v>
      </c>
      <c r="GY248" s="110">
        <f t="shared" si="536"/>
        <v>0</v>
      </c>
      <c r="GZ248" s="109">
        <f t="shared" si="537"/>
        <v>0</v>
      </c>
      <c r="HA248" s="109">
        <f t="shared" si="481"/>
        <v>0</v>
      </c>
      <c r="HB248" s="113">
        <f t="shared" si="538"/>
        <v>0</v>
      </c>
      <c r="HD248" s="102">
        <f t="shared" si="539"/>
        <v>0</v>
      </c>
      <c r="HE248" s="211">
        <f t="shared" si="455"/>
        <v>224</v>
      </c>
      <c r="HF248" s="212">
        <f t="shared" si="540"/>
        <v>0</v>
      </c>
      <c r="HG248" s="212">
        <f t="shared" si="482"/>
        <v>0</v>
      </c>
      <c r="HH248" s="212">
        <f t="shared" si="593"/>
        <v>0</v>
      </c>
      <c r="HI248" s="213">
        <f t="shared" si="483"/>
        <v>1000000</v>
      </c>
      <c r="HL248" s="182"/>
      <c r="HM248" s="26">
        <f t="shared" ca="1" si="484"/>
        <v>11</v>
      </c>
      <c r="HO248" s="268">
        <f t="shared" si="485"/>
        <v>0</v>
      </c>
      <c r="HP248" s="151">
        <f t="shared" si="448"/>
        <v>0</v>
      </c>
      <c r="HQ248" s="123">
        <f t="shared" si="542"/>
        <v>0</v>
      </c>
      <c r="HR248" s="123">
        <f t="shared" si="543"/>
        <v>0</v>
      </c>
      <c r="HS248" s="123">
        <f t="shared" si="544"/>
        <v>0</v>
      </c>
      <c r="HT248" s="123">
        <f>IF(HY247&lt;0.01,0,IF(Adm!$GS$4=Adm!$GS$8,HY247*$HY$15,IF(Adm!$GS$12=Adm!$GS$13,0,HY247*Adm!$GV$4)))</f>
        <v>0</v>
      </c>
      <c r="HU248" s="123">
        <f>IF(HY247&lt;0.01,0,IF(Adm!$GS$5=Adm!$GS$8,Cal!$BO$108*$HY$16/1.16,IF(Adm!$GS$12=Adm!$GS$13,0,Cal!$BO$108*Adm!$GW$4/1.16)))</f>
        <v>0</v>
      </c>
      <c r="HV248" s="123">
        <f t="shared" si="545"/>
        <v>0</v>
      </c>
      <c r="HW248" s="123">
        <f t="shared" si="486"/>
        <v>0</v>
      </c>
      <c r="HX248" s="123">
        <f>IF(Adm!$GH$6="si",MIN(HY247+HQ248+HT248+HU248+HV248-HW248,IH248),0)</f>
        <v>0</v>
      </c>
      <c r="HY248" s="297">
        <f t="shared" si="546"/>
        <v>0</v>
      </c>
      <c r="HZ248" s="74"/>
      <c r="IA248" s="407">
        <f t="shared" si="547"/>
        <v>0</v>
      </c>
      <c r="IC248" s="90">
        <f t="shared" si="548"/>
        <v>8</v>
      </c>
      <c r="ID248" s="124">
        <f>IF(IC248=1,Cal!$BO$127,0)</f>
        <v>0</v>
      </c>
      <c r="IE248" s="178">
        <f>IF(IC248=1,Adm!$HI$4,0)</f>
        <v>0</v>
      </c>
      <c r="IG248" s="70">
        <f t="shared" si="571"/>
        <v>0</v>
      </c>
      <c r="IH248" s="2178">
        <f t="shared" ca="1" si="549"/>
        <v>0</v>
      </c>
      <c r="IK248" s="217"/>
      <c r="IL248" s="26">
        <f t="shared" ca="1" si="487"/>
        <v>11</v>
      </c>
      <c r="IN248" s="268">
        <f t="shared" si="488"/>
        <v>0</v>
      </c>
      <c r="IO248" s="151">
        <f t="shared" si="449"/>
        <v>0</v>
      </c>
      <c r="IP248" s="123">
        <f t="shared" si="550"/>
        <v>0</v>
      </c>
      <c r="IQ248" s="123">
        <f t="shared" si="551"/>
        <v>0</v>
      </c>
      <c r="IR248" s="123">
        <f t="shared" si="552"/>
        <v>0</v>
      </c>
      <c r="IS248" s="123">
        <f>IF(IX247&lt;0.01,0,IF(Adm!$GS$4=Adm!$GS$8,IX247*$IX$15,IF(Adm!$GS$12=Adm!$GS$13,0,IX247*Adm!$GV$4)))</f>
        <v>0</v>
      </c>
      <c r="IT248" s="123"/>
      <c r="IU248" s="123">
        <f t="shared" si="553"/>
        <v>0</v>
      </c>
      <c r="IV248" s="123">
        <f t="shared" si="554"/>
        <v>0</v>
      </c>
      <c r="IW248" s="123"/>
      <c r="IX248" s="297">
        <f t="shared" si="555"/>
        <v>0</v>
      </c>
      <c r="IY248" s="74"/>
      <c r="IZ248" s="416">
        <f t="shared" si="556"/>
        <v>0</v>
      </c>
      <c r="JB248" s="90">
        <f t="shared" si="557"/>
        <v>8</v>
      </c>
      <c r="JC248" s="124">
        <f>IF(JB248=1,Cal!$BP$127,0)</f>
        <v>0</v>
      </c>
      <c r="JD248" s="178">
        <f>IF(JB248=1,Adm!$HI$4,0)</f>
        <v>0</v>
      </c>
    </row>
    <row r="249" spans="1:264">
      <c r="A249" s="26">
        <f t="shared" ca="1" si="456"/>
        <v>12</v>
      </c>
      <c r="C249" s="33">
        <f t="shared" si="457"/>
        <v>0</v>
      </c>
      <c r="D249" s="123">
        <f t="shared" si="489"/>
        <v>0</v>
      </c>
      <c r="E249" s="123">
        <f t="shared" si="579"/>
        <v>0</v>
      </c>
      <c r="F249" s="123">
        <f t="shared" si="589"/>
        <v>0</v>
      </c>
      <c r="G249" s="123">
        <f>IF(L248&lt;0.01,0,IF(Adm!$S$4=Adm!$S$8,L248*$L$15,L248*Adm!$V$4))</f>
        <v>0</v>
      </c>
      <c r="H249" s="123">
        <f>IF(L248&lt;0.01,0,IF(Adm!$S$5=Adm!$S$8,Adm!$AA$11*$L$16/1.16,IF(Adm!$B$4=Adm!$A$119,0,Adm!$AA$11*Adm!$X$4/1.16)))</f>
        <v>0</v>
      </c>
      <c r="I249" s="123">
        <f>IF(L248&lt;0.01,0,Cal!$AB$126/1.16)</f>
        <v>0</v>
      </c>
      <c r="J249" s="123">
        <f t="shared" si="458"/>
        <v>0</v>
      </c>
      <c r="K249" s="123">
        <f>IF(Adm!$G$4="si",MIN(L248+D249+G249+H249+I249-J249,V249),0)</f>
        <v>0</v>
      </c>
      <c r="L249" s="123">
        <f t="shared" si="490"/>
        <v>0</v>
      </c>
      <c r="M249" s="74"/>
      <c r="N249" s="74"/>
      <c r="O249" s="407">
        <f t="shared" si="491"/>
        <v>0</v>
      </c>
      <c r="R249" s="90">
        <f t="shared" si="492"/>
        <v>9</v>
      </c>
      <c r="S249" s="121">
        <f>IF(R249=1,Cal!$AB$127,0)</f>
        <v>0</v>
      </c>
      <c r="U249" s="70">
        <f t="shared" si="558"/>
        <v>0</v>
      </c>
      <c r="V249" s="2178">
        <f t="shared" ca="1" si="493"/>
        <v>0</v>
      </c>
      <c r="X249" s="398"/>
      <c r="Z249" s="268">
        <f t="shared" si="459"/>
        <v>0</v>
      </c>
      <c r="AA249" s="2176">
        <f t="shared" si="494"/>
        <v>0</v>
      </c>
      <c r="AB249" s="33">
        <f t="shared" si="495"/>
        <v>0</v>
      </c>
      <c r="AC249" s="33">
        <f t="shared" si="496"/>
        <v>0</v>
      </c>
      <c r="AD249" s="33">
        <f>IF(AI248&lt;0.01,0,IF(Adm!$S$4=Adm!$S$8,AI248*$AI$15,AI248*Adm!$V$4))</f>
        <v>0</v>
      </c>
      <c r="AE249" s="33"/>
      <c r="AF249" s="33"/>
      <c r="AG249" s="33">
        <f t="shared" si="460"/>
        <v>0</v>
      </c>
      <c r="AH249" s="33"/>
      <c r="AI249" s="401">
        <f t="shared" si="461"/>
        <v>0</v>
      </c>
      <c r="AK249" s="410">
        <f t="shared" si="462"/>
        <v>0</v>
      </c>
      <c r="AN249" s="90">
        <f t="shared" si="497"/>
        <v>9</v>
      </c>
      <c r="AO249" s="121">
        <f>IF(AN249=1,Cal!$AC$127,0)</f>
        <v>0</v>
      </c>
      <c r="AS249" s="200"/>
      <c r="AU249" s="268">
        <f t="shared" si="463"/>
        <v>0</v>
      </c>
      <c r="AV249" s="2177">
        <f t="shared" si="498"/>
        <v>0</v>
      </c>
      <c r="AW249" s="123">
        <f t="shared" si="464"/>
        <v>0</v>
      </c>
      <c r="AX249" s="123">
        <f t="shared" si="499"/>
        <v>0</v>
      </c>
      <c r="AY249" s="123">
        <f>IF(BC248&lt;0.01,0,IF(Adm!$S$4=Adm!$S$8,BC248*$BC$16,BC248*Adm!$V$4))</f>
        <v>0</v>
      </c>
      <c r="AZ249" s="123"/>
      <c r="BA249" s="123">
        <f>IF(BC248&lt;0.01,0,Adm!$Q$6)</f>
        <v>0</v>
      </c>
      <c r="BB249" s="123">
        <f t="shared" si="465"/>
        <v>0</v>
      </c>
      <c r="BC249" s="297">
        <f t="shared" si="500"/>
        <v>0</v>
      </c>
      <c r="BE249" s="425">
        <f t="shared" si="466"/>
        <v>0</v>
      </c>
      <c r="BH249" s="90">
        <f t="shared" si="501"/>
        <v>9</v>
      </c>
      <c r="BI249" s="121">
        <f>IF(BH249=1,Cal!$AD$127,0)</f>
        <v>0</v>
      </c>
      <c r="BM249" s="221"/>
      <c r="BO249" s="295">
        <f t="shared" ca="1" si="467"/>
        <v>12</v>
      </c>
      <c r="BP249" s="268">
        <f t="shared" si="468"/>
        <v>0</v>
      </c>
      <c r="BQ249" s="123">
        <f t="shared" si="502"/>
        <v>0</v>
      </c>
      <c r="BR249" s="123">
        <f t="shared" si="580"/>
        <v>0</v>
      </c>
      <c r="BS249" s="123">
        <f t="shared" si="590"/>
        <v>0</v>
      </c>
      <c r="BT249" s="123">
        <f>IF(BZ248&lt;0.01,0,IF(Plus!$F$22=Plus!$AN$4,BZ248*$BZ$15,IF(Plus!$F$22=Plus!$AN$3,BZ248*Plus!$F$23/1000,BZ248*VLOOKUP(Plus!$G$21,Plus!$AP$2:'Plus'!$AQ$5,2,0))))</f>
        <v>0</v>
      </c>
      <c r="BU249" s="123">
        <f>IF(BZ248&lt;0.01,0,IF(Plus!$F$24=Plus!$AO$3,Plus!$G$13*Plus!$AR$2/1.16,IF(Plus!$F$10=Plus!$AK$7,0,Plus!$G$13*Plus!$AR$2/1.16)))</f>
        <v>0</v>
      </c>
      <c r="BV249" s="123">
        <f>IF(BZ248&lt;0.01,0,Plus!$BD$2)</f>
        <v>0</v>
      </c>
      <c r="BW249" s="123"/>
      <c r="BX249" s="123">
        <f t="shared" si="469"/>
        <v>0</v>
      </c>
      <c r="BY249" s="123">
        <f>IF(Plus!$F$10=Plus!$AK$3,MIN(BZ248+BQ249+BT249+BU249+BV249-BX249,CJ249),0)</f>
        <v>0</v>
      </c>
      <c r="BZ249" s="297">
        <f t="shared" si="574"/>
        <v>0</v>
      </c>
      <c r="CA249" s="74"/>
      <c r="CB249" s="74"/>
      <c r="CC249" s="413">
        <f t="shared" si="503"/>
        <v>0</v>
      </c>
      <c r="CF249" s="90">
        <f t="shared" si="504"/>
        <v>9</v>
      </c>
      <c r="CG249" s="121">
        <f t="shared" si="559"/>
        <v>0</v>
      </c>
      <c r="CI249" s="70">
        <f t="shared" si="560"/>
        <v>0</v>
      </c>
      <c r="CJ249" s="2178">
        <f t="shared" ca="1" si="505"/>
        <v>0</v>
      </c>
      <c r="CL249" s="161"/>
      <c r="CN249" s="308">
        <f t="shared" ca="1" si="470"/>
        <v>12</v>
      </c>
      <c r="CO249" s="309">
        <f t="shared" si="506"/>
        <v>0</v>
      </c>
      <c r="CP249" s="268">
        <f t="shared" si="471"/>
        <v>0</v>
      </c>
      <c r="CQ249" s="123">
        <f t="shared" si="507"/>
        <v>0</v>
      </c>
      <c r="CR249" s="123">
        <f t="shared" si="581"/>
        <v>0</v>
      </c>
      <c r="CS249" s="123">
        <f t="shared" si="582"/>
        <v>0</v>
      </c>
      <c r="CT249" s="33">
        <f>IF(CZ248&lt;0.01,0,IF(Plus!$F$22=Plus!$AN$4,0,IF(Plus!$F$22=Plus!$AN$3,CZ248*Plus!$F$23/1000,CZ248*VLOOKUP(Plus!$G$21,Plus!$AP$2:'Plus'!$AQ$5,2,0))))</f>
        <v>0</v>
      </c>
      <c r="CU249" s="123">
        <f>IF(CZ248&lt;0.01,0,IF(Plus!$F$24=Plus!$AO$3,0,IF(OR(Plus!$F$10=Plus!$AK$7,Plus!$F$10=Plus!$AK$13),0,Plus!$G$13*Plus!$AR$2)))</f>
        <v>0</v>
      </c>
      <c r="CV249" s="123">
        <f>IF(CZ248&lt;0.01,0,IF(OR(Plus!$F$10=Plus!$AK$7,Plus!$F$10=Plus!$AK$13),0,Plus!$BD$2*1.16))</f>
        <v>0</v>
      </c>
      <c r="CW249" s="123">
        <f>IF(CZ248&lt;0.01,0,IF(Plus!$AS$2&gt;0,CQ249*Plus!$AS$3,0))</f>
        <v>0</v>
      </c>
      <c r="CX249" s="123">
        <f t="shared" si="508"/>
        <v>0</v>
      </c>
      <c r="CY249" s="123">
        <f>IF(Plus!$F$10=Plus!$AK$3,MIN(CZ248+CQ249+CT249+CU249+CV249-CX249,DK249),0)</f>
        <v>0</v>
      </c>
      <c r="CZ249" s="297">
        <f t="shared" si="588"/>
        <v>0</v>
      </c>
      <c r="DA249" s="306">
        <f>Plus!O290</f>
        <v>0</v>
      </c>
      <c r="DB249" s="74"/>
      <c r="DC249" s="74"/>
      <c r="DD249" s="407">
        <f t="shared" si="509"/>
        <v>0</v>
      </c>
      <c r="DG249" s="90">
        <f t="shared" si="510"/>
        <v>9</v>
      </c>
      <c r="DH249" s="121">
        <f t="shared" si="561"/>
        <v>0</v>
      </c>
      <c r="DJ249" s="149">
        <f t="shared" si="562"/>
        <v>0</v>
      </c>
      <c r="DK249" s="2179">
        <f t="shared" ca="1" si="511"/>
        <v>0</v>
      </c>
      <c r="DN249" s="120">
        <f t="shared" si="563"/>
        <v>0</v>
      </c>
      <c r="DO249" s="110">
        <f t="shared" si="512"/>
        <v>0</v>
      </c>
      <c r="DP249" s="110">
        <f t="shared" si="572"/>
        <v>0</v>
      </c>
      <c r="DQ249" s="109">
        <f t="shared" si="513"/>
        <v>0</v>
      </c>
      <c r="DR249" s="109">
        <f t="shared" si="514"/>
        <v>0</v>
      </c>
      <c r="DS249" s="113">
        <f t="shared" si="515"/>
        <v>0</v>
      </c>
      <c r="DU249" s="102">
        <f t="shared" si="516"/>
        <v>0</v>
      </c>
      <c r="DV249" s="211">
        <f t="shared" si="573"/>
        <v>225</v>
      </c>
      <c r="DW249" s="212">
        <f t="shared" si="517"/>
        <v>0</v>
      </c>
      <c r="DX249" s="212">
        <f t="shared" si="472"/>
        <v>0</v>
      </c>
      <c r="DY249" s="212">
        <f t="shared" si="564"/>
        <v>0</v>
      </c>
      <c r="DZ249" s="213">
        <f t="shared" si="473"/>
        <v>1000000</v>
      </c>
      <c r="ED249" s="182"/>
      <c r="EF249" s="308">
        <f t="shared" ca="1" si="474"/>
        <v>12</v>
      </c>
      <c r="EG249" s="309">
        <f t="shared" si="518"/>
        <v>0</v>
      </c>
      <c r="EH249" s="268">
        <f t="shared" si="475"/>
        <v>0</v>
      </c>
      <c r="EI249" s="33">
        <f t="shared" si="519"/>
        <v>0</v>
      </c>
      <c r="EJ249" s="33">
        <f t="shared" si="583"/>
        <v>0</v>
      </c>
      <c r="EK249" s="33">
        <f t="shared" si="591"/>
        <v>0</v>
      </c>
      <c r="EL249" s="33">
        <f>IF(ER248&lt;0.01,0,IF(Plus!$F$22=Plus!$AN$4,0,IF(Plus!$F$22=Plus!$AN$3,ER248*Plus!$F$23/1000,ER248*VLOOKUP(Plus!$G$21,Plus!$AP$2:'Plus'!$AQ$5,2,0))))</f>
        <v>0</v>
      </c>
      <c r="EM249" s="33">
        <f>IF(ER248&lt;0.01,0,IF(Plus!$F$24=Plus!$AO$3,0,IF(OR(Plus!$F$10=Plus!$AK$7,Plus!$F$10=Plus!$AK$13),0,Plus!$G$13*Plus!$AR$2)))</f>
        <v>0</v>
      </c>
      <c r="EN249" s="33">
        <f>IF(ER248&lt;0.01,0,IF(OR(Plus!$F$10=Plus!$AK$7,Plus!$F$10=Plus!$AK$13),0,Plus!$BD$2*1.16))</f>
        <v>0</v>
      </c>
      <c r="EO249" s="33">
        <f>IF(ER248&lt;0.01,0,IF(Plus!$AS$2&gt;0,EI249*Plus!$AS$3,0))</f>
        <v>0</v>
      </c>
      <c r="EP249" s="33">
        <f t="shared" si="520"/>
        <v>0</v>
      </c>
      <c r="EQ249" s="33">
        <f>IF(Plus!$F$10=Plus!$AK$3,MIN(ER248+EI249+EL249+EM249+EN249-EP249,FC249),0)</f>
        <v>0</v>
      </c>
      <c r="ER249" s="311">
        <f t="shared" si="577"/>
        <v>0</v>
      </c>
      <c r="ES249" s="340">
        <f>Plus!O290</f>
        <v>0</v>
      </c>
      <c r="ET249" s="74"/>
      <c r="EU249" s="74"/>
      <c r="EV249" s="416">
        <f t="shared" si="575"/>
        <v>0</v>
      </c>
      <c r="EY249" s="90">
        <f t="shared" si="521"/>
        <v>9</v>
      </c>
      <c r="EZ249" s="121">
        <f t="shared" si="565"/>
        <v>0</v>
      </c>
      <c r="FB249" s="149">
        <f t="shared" si="566"/>
        <v>0</v>
      </c>
      <c r="FC249" s="2179">
        <f t="shared" ca="1" si="522"/>
        <v>0</v>
      </c>
      <c r="FE249" s="120">
        <f t="shared" si="567"/>
        <v>0</v>
      </c>
      <c r="FF249" s="110">
        <f t="shared" si="523"/>
        <v>0</v>
      </c>
      <c r="FG249" s="110">
        <f t="shared" si="524"/>
        <v>0</v>
      </c>
      <c r="FH249" s="109">
        <f t="shared" si="525"/>
        <v>0</v>
      </c>
      <c r="FI249" s="109">
        <f t="shared" si="476"/>
        <v>0</v>
      </c>
      <c r="FJ249" s="113">
        <f t="shared" si="526"/>
        <v>0</v>
      </c>
      <c r="FL249" s="102">
        <f t="shared" si="527"/>
        <v>0</v>
      </c>
      <c r="FM249" s="211">
        <f t="shared" si="454"/>
        <v>225</v>
      </c>
      <c r="FN249" s="212">
        <f t="shared" si="528"/>
        <v>0</v>
      </c>
      <c r="FO249" s="212">
        <f t="shared" si="477"/>
        <v>0</v>
      </c>
      <c r="FP249" s="212">
        <f t="shared" si="592"/>
        <v>0</v>
      </c>
      <c r="FQ249" s="213">
        <f t="shared" si="478"/>
        <v>1000000</v>
      </c>
      <c r="FV249" s="359"/>
      <c r="FX249" s="308">
        <f t="shared" ca="1" si="479"/>
        <v>12</v>
      </c>
      <c r="FY249" s="309">
        <f t="shared" si="530"/>
        <v>0</v>
      </c>
      <c r="FZ249" s="268">
        <f t="shared" si="480"/>
        <v>0</v>
      </c>
      <c r="GA249" s="33">
        <f t="shared" si="531"/>
        <v>0</v>
      </c>
      <c r="GB249" s="33">
        <f t="shared" si="585"/>
        <v>0</v>
      </c>
      <c r="GC249" s="33">
        <f t="shared" si="586"/>
        <v>0</v>
      </c>
      <c r="GD249" s="33">
        <f>IF(GJ248&lt;0.01,0,IF(Plus!$F$22=Plus!$AN$4,0,IF(Plus!$F$22=Plus!$AN$3,GJ248*Plus!$F$23/1000,GJ248*VLOOKUP(Plus!$G$21,Plus!$AP$2:$AQ$5,2,0))))</f>
        <v>0</v>
      </c>
      <c r="GE249" s="33">
        <f>IF(GJ248&lt;0.01,0,IF(Plus!$F$24=Plus!$AO$3,0,IF(OR(Plus!$F$10=Plus!$AK$7,Plus!$F$10=Plus!$AK$13,Plus!$F$10=Plus!$AK$14),0,IF(OR(Plus!$F$10=Plus!$AK$10,Plus!$F$10=Plus!$AK$11),Plus!$G$13*Adm!$W$7,Plus!$G$13*Adm!$X$4))))</f>
        <v>0</v>
      </c>
      <c r="GF249" s="33">
        <f>IF(GJ248&lt;0.01,0,IF(OR(Plus!$F$10=Plus!$AK$7,Plus!$F$10=Plus!$AK$13),0,Plus!$BD$2*1.16))</f>
        <v>0</v>
      </c>
      <c r="GG249" s="33">
        <f>IF(GJ248&lt;0.01,0,IF(Plus!$AS$2&gt;0,GA249*Plus!$AS$3,0))</f>
        <v>0</v>
      </c>
      <c r="GH249" s="33">
        <f t="shared" si="532"/>
        <v>0</v>
      </c>
      <c r="GI249" s="33">
        <f>IF(Plus!$F$10=Plus!$AK$3,MIN(GJ248+GA249+GD249+GE249+GF249-GH249,GU249),0)</f>
        <v>0</v>
      </c>
      <c r="GJ249" s="311">
        <f t="shared" si="578"/>
        <v>0</v>
      </c>
      <c r="GK249" s="340">
        <f>Plus!O290</f>
        <v>0</v>
      </c>
      <c r="GL249" s="74"/>
      <c r="GM249" s="74"/>
      <c r="GN249" s="419">
        <f t="shared" si="576"/>
        <v>0</v>
      </c>
      <c r="GQ249" s="90">
        <f t="shared" si="533"/>
        <v>9</v>
      </c>
      <c r="GR249" s="121">
        <f t="shared" si="568"/>
        <v>0</v>
      </c>
      <c r="GT249" s="149">
        <f t="shared" si="569"/>
        <v>0</v>
      </c>
      <c r="GU249" s="2179">
        <f t="shared" ca="1" si="534"/>
        <v>0</v>
      </c>
      <c r="GW249" s="120">
        <f t="shared" si="570"/>
        <v>0</v>
      </c>
      <c r="GX249" s="110">
        <f t="shared" si="535"/>
        <v>0</v>
      </c>
      <c r="GY249" s="110">
        <f t="shared" si="536"/>
        <v>0</v>
      </c>
      <c r="GZ249" s="109">
        <f t="shared" si="537"/>
        <v>0</v>
      </c>
      <c r="HA249" s="109">
        <f t="shared" si="481"/>
        <v>0</v>
      </c>
      <c r="HB249" s="113">
        <f t="shared" si="538"/>
        <v>0</v>
      </c>
      <c r="HD249" s="102">
        <f t="shared" si="539"/>
        <v>0</v>
      </c>
      <c r="HE249" s="211">
        <f t="shared" si="455"/>
        <v>225</v>
      </c>
      <c r="HF249" s="212">
        <f t="shared" si="540"/>
        <v>0</v>
      </c>
      <c r="HG249" s="212">
        <f t="shared" si="482"/>
        <v>0</v>
      </c>
      <c r="HH249" s="212">
        <f t="shared" si="593"/>
        <v>0</v>
      </c>
      <c r="HI249" s="213">
        <f t="shared" si="483"/>
        <v>1000000</v>
      </c>
      <c r="HL249" s="182"/>
      <c r="HM249" s="26">
        <f t="shared" ca="1" si="484"/>
        <v>12</v>
      </c>
      <c r="HO249" s="268">
        <f t="shared" si="485"/>
        <v>0</v>
      </c>
      <c r="HP249" s="151">
        <f t="shared" si="448"/>
        <v>0</v>
      </c>
      <c r="HQ249" s="123">
        <f t="shared" si="542"/>
        <v>0</v>
      </c>
      <c r="HR249" s="123">
        <f t="shared" si="543"/>
        <v>0</v>
      </c>
      <c r="HS249" s="123">
        <f t="shared" si="544"/>
        <v>0</v>
      </c>
      <c r="HT249" s="123">
        <f>IF(HY248&lt;0.01,0,IF(Adm!$GS$4=Adm!$GS$8,HY248*$HY$15,IF(Adm!$GS$12=Adm!$GS$13,0,HY248*Adm!$GV$4)))</f>
        <v>0</v>
      </c>
      <c r="HU249" s="123">
        <f>IF(HY248&lt;0.01,0,IF(Adm!$GS$5=Adm!$GS$8,Cal!$BO$108*$HY$16/1.16,IF(Adm!$GS$12=Adm!$GS$13,0,Cal!$BO$108*Adm!$GW$4/1.16)))</f>
        <v>0</v>
      </c>
      <c r="HV249" s="123">
        <f t="shared" si="545"/>
        <v>0</v>
      </c>
      <c r="HW249" s="123">
        <f t="shared" si="486"/>
        <v>0</v>
      </c>
      <c r="HX249" s="123">
        <f>IF(Adm!$GH$6="si",MIN(HY248+HQ249+HT249+HU249+HV249-HW249,IH249),0)</f>
        <v>0</v>
      </c>
      <c r="HY249" s="297">
        <f t="shared" si="546"/>
        <v>0</v>
      </c>
      <c r="HZ249" s="74"/>
      <c r="IA249" s="407">
        <f t="shared" si="547"/>
        <v>0</v>
      </c>
      <c r="IC249" s="90">
        <f t="shared" si="548"/>
        <v>9</v>
      </c>
      <c r="ID249" s="124">
        <f>IF(IC249=1,Cal!$BO$127,0)</f>
        <v>0</v>
      </c>
      <c r="IE249" s="178">
        <f>IF(IC249=1,Adm!$HI$4,0)</f>
        <v>0</v>
      </c>
      <c r="IG249" s="70">
        <f t="shared" si="571"/>
        <v>0</v>
      </c>
      <c r="IH249" s="2178">
        <f t="shared" ca="1" si="549"/>
        <v>0</v>
      </c>
      <c r="IK249" s="217"/>
      <c r="IL249" s="26">
        <f t="shared" ca="1" si="487"/>
        <v>12</v>
      </c>
      <c r="IN249" s="268">
        <f t="shared" si="488"/>
        <v>0</v>
      </c>
      <c r="IO249" s="151">
        <f t="shared" si="449"/>
        <v>0</v>
      </c>
      <c r="IP249" s="123">
        <f t="shared" si="550"/>
        <v>0</v>
      </c>
      <c r="IQ249" s="123">
        <f t="shared" si="551"/>
        <v>0</v>
      </c>
      <c r="IR249" s="123">
        <f t="shared" si="552"/>
        <v>0</v>
      </c>
      <c r="IS249" s="123">
        <f>IF(IX248&lt;0.01,0,IF(Adm!$GS$4=Adm!$GS$8,IX248*$IX$15,IF(Adm!$GS$12=Adm!$GS$13,0,IX248*Adm!$GV$4)))</f>
        <v>0</v>
      </c>
      <c r="IT249" s="123"/>
      <c r="IU249" s="123">
        <f t="shared" si="553"/>
        <v>0</v>
      </c>
      <c r="IV249" s="123">
        <f t="shared" si="554"/>
        <v>0</v>
      </c>
      <c r="IW249" s="123"/>
      <c r="IX249" s="297">
        <f t="shared" si="555"/>
        <v>0</v>
      </c>
      <c r="IY249" s="74"/>
      <c r="IZ249" s="416">
        <f t="shared" si="556"/>
        <v>0</v>
      </c>
      <c r="JB249" s="90">
        <f t="shared" si="557"/>
        <v>9</v>
      </c>
      <c r="JC249" s="124">
        <f>IF(JB249=1,Cal!$BP$127,0)</f>
        <v>0</v>
      </c>
      <c r="JD249" s="178">
        <f>IF(JB249=1,Adm!$HI$4,0)</f>
        <v>0</v>
      </c>
    </row>
    <row r="250" spans="1:264">
      <c r="A250" s="26">
        <f t="shared" ca="1" si="456"/>
        <v>1</v>
      </c>
      <c r="C250" s="33">
        <f t="shared" si="457"/>
        <v>0</v>
      </c>
      <c r="D250" s="123">
        <f t="shared" si="489"/>
        <v>0</v>
      </c>
      <c r="E250" s="123">
        <f t="shared" si="579"/>
        <v>0</v>
      </c>
      <c r="F250" s="123">
        <f t="shared" si="589"/>
        <v>0</v>
      </c>
      <c r="G250" s="123">
        <f>IF(L249&lt;0.01,0,IF(Adm!$S$4=Adm!$S$8,L249*$L$15,L249*Adm!$V$4))</f>
        <v>0</v>
      </c>
      <c r="H250" s="123">
        <f>IF(L249&lt;0.01,0,IF(Adm!$S$5=Adm!$S$8,Adm!$AA$11*$L$16/1.16,IF(Adm!$B$4=Adm!$A$119,0,Adm!$AA$11*Adm!$X$4/1.16)))</f>
        <v>0</v>
      </c>
      <c r="I250" s="123">
        <f>IF(L249&lt;0.01,0,Cal!$AB$126/1.16)</f>
        <v>0</v>
      </c>
      <c r="J250" s="123">
        <f t="shared" si="458"/>
        <v>0</v>
      </c>
      <c r="K250" s="123">
        <f>IF(Adm!$G$4="si",MIN(L249+D250+G250+H250+I250-J250,V250),0)</f>
        <v>0</v>
      </c>
      <c r="L250" s="123">
        <f t="shared" si="490"/>
        <v>0</v>
      </c>
      <c r="M250" s="74"/>
      <c r="N250" s="74"/>
      <c r="O250" s="407">
        <f t="shared" si="491"/>
        <v>0</v>
      </c>
      <c r="R250" s="90">
        <f t="shared" si="492"/>
        <v>10</v>
      </c>
      <c r="S250" s="121">
        <f>IF(R250=1,Cal!$AB$127,0)</f>
        <v>0</v>
      </c>
      <c r="U250" s="70">
        <f t="shared" si="558"/>
        <v>0</v>
      </c>
      <c r="V250" s="2178">
        <f t="shared" ca="1" si="493"/>
        <v>0</v>
      </c>
      <c r="X250" s="398"/>
      <c r="Z250" s="268">
        <f t="shared" si="459"/>
        <v>0</v>
      </c>
      <c r="AA250" s="2176">
        <f t="shared" si="494"/>
        <v>0</v>
      </c>
      <c r="AB250" s="33">
        <f t="shared" si="495"/>
        <v>0</v>
      </c>
      <c r="AC250" s="33">
        <f t="shared" si="496"/>
        <v>0</v>
      </c>
      <c r="AD250" s="33">
        <f>IF(AI249&lt;0.01,0,IF(Adm!$S$4=Adm!$S$8,AI249*$AI$15,AI249*Adm!$V$4))</f>
        <v>0</v>
      </c>
      <c r="AE250" s="33"/>
      <c r="AF250" s="33"/>
      <c r="AG250" s="33">
        <f t="shared" si="460"/>
        <v>0</v>
      </c>
      <c r="AH250" s="33"/>
      <c r="AI250" s="401">
        <f t="shared" si="461"/>
        <v>0</v>
      </c>
      <c r="AK250" s="410">
        <f t="shared" si="462"/>
        <v>0</v>
      </c>
      <c r="AN250" s="90">
        <f t="shared" si="497"/>
        <v>10</v>
      </c>
      <c r="AO250" s="121">
        <f>IF(AN250=1,Cal!$AC$127,0)</f>
        <v>0</v>
      </c>
      <c r="AS250" s="200"/>
      <c r="AU250" s="268">
        <f t="shared" si="463"/>
        <v>0</v>
      </c>
      <c r="AV250" s="2177">
        <f t="shared" si="498"/>
        <v>0</v>
      </c>
      <c r="AW250" s="123">
        <f t="shared" si="464"/>
        <v>0</v>
      </c>
      <c r="AX250" s="123">
        <f t="shared" si="499"/>
        <v>0</v>
      </c>
      <c r="AY250" s="123">
        <f>IF(BC249&lt;0.01,0,IF(Adm!$S$4=Adm!$S$8,BC249*$BC$16,BC249*Adm!$V$4))</f>
        <v>0</v>
      </c>
      <c r="AZ250" s="123"/>
      <c r="BA250" s="123">
        <f>IF(BC249&lt;0.01,0,Adm!$Q$6)</f>
        <v>0</v>
      </c>
      <c r="BB250" s="123">
        <f t="shared" si="465"/>
        <v>0</v>
      </c>
      <c r="BC250" s="297">
        <f t="shared" si="500"/>
        <v>0</v>
      </c>
      <c r="BE250" s="425">
        <f t="shared" si="466"/>
        <v>0</v>
      </c>
      <c r="BH250" s="90">
        <f t="shared" si="501"/>
        <v>10</v>
      </c>
      <c r="BI250" s="121">
        <f>IF(BH250=1,Cal!$AD$127,0)</f>
        <v>0</v>
      </c>
      <c r="BM250" s="221"/>
      <c r="BO250" s="295">
        <f t="shared" ca="1" si="467"/>
        <v>1</v>
      </c>
      <c r="BP250" s="268">
        <f t="shared" si="468"/>
        <v>0</v>
      </c>
      <c r="BQ250" s="123">
        <f t="shared" si="502"/>
        <v>0</v>
      </c>
      <c r="BR250" s="123">
        <f t="shared" si="580"/>
        <v>0</v>
      </c>
      <c r="BS250" s="123">
        <f t="shared" si="590"/>
        <v>0</v>
      </c>
      <c r="BT250" s="123">
        <f>IF(BZ249&lt;0.01,0,IF(Plus!$F$22=Plus!$AN$4,BZ249*$BZ$15,IF(Plus!$F$22=Plus!$AN$3,BZ249*Plus!$F$23/1000,BZ249*VLOOKUP(Plus!$G$21,Plus!$AP$2:'Plus'!$AQ$5,2,0))))</f>
        <v>0</v>
      </c>
      <c r="BU250" s="123">
        <f>IF(BZ249&lt;0.01,0,IF(Plus!$F$24=Plus!$AO$3,Plus!$G$13*Plus!$AR$2/1.16,IF(Plus!$F$10=Plus!$AK$7,0,Plus!$G$13*Plus!$AR$2/1.16)))</f>
        <v>0</v>
      </c>
      <c r="BV250" s="123">
        <f>IF(BZ249&lt;0.01,0,Plus!$BD$2)</f>
        <v>0</v>
      </c>
      <c r="BW250" s="123"/>
      <c r="BX250" s="123">
        <f t="shared" si="469"/>
        <v>0</v>
      </c>
      <c r="BY250" s="123">
        <f>IF(Plus!$F$10=Plus!$AK$3,MIN(BZ249+BQ250+BT250+BU250+BV250-BX250,CJ250),0)</f>
        <v>0</v>
      </c>
      <c r="BZ250" s="297">
        <f t="shared" si="574"/>
        <v>0</v>
      </c>
      <c r="CA250" s="74"/>
      <c r="CB250" s="74"/>
      <c r="CC250" s="413">
        <f t="shared" si="503"/>
        <v>0</v>
      </c>
      <c r="CF250" s="90">
        <f t="shared" si="504"/>
        <v>10</v>
      </c>
      <c r="CG250" s="121">
        <f t="shared" si="559"/>
        <v>0</v>
      </c>
      <c r="CI250" s="70">
        <f t="shared" si="560"/>
        <v>0</v>
      </c>
      <c r="CJ250" s="2178">
        <f t="shared" ca="1" si="505"/>
        <v>0</v>
      </c>
      <c r="CL250" s="161"/>
      <c r="CN250" s="308">
        <f t="shared" ca="1" si="470"/>
        <v>1</v>
      </c>
      <c r="CO250" s="309">
        <f t="shared" si="506"/>
        <v>0</v>
      </c>
      <c r="CP250" s="268">
        <f t="shared" si="471"/>
        <v>0</v>
      </c>
      <c r="CQ250" s="123">
        <f t="shared" si="507"/>
        <v>0</v>
      </c>
      <c r="CR250" s="123">
        <f t="shared" si="581"/>
        <v>0</v>
      </c>
      <c r="CS250" s="123">
        <f t="shared" si="582"/>
        <v>0</v>
      </c>
      <c r="CT250" s="33">
        <f>IF(CZ249&lt;0.01,0,IF(Plus!$F$22=Plus!$AN$4,0,IF(Plus!$F$22=Plus!$AN$3,CZ249*Plus!$F$23/1000,CZ249*VLOOKUP(Plus!$G$21,Plus!$AP$2:'Plus'!$AQ$5,2,0))))</f>
        <v>0</v>
      </c>
      <c r="CU250" s="123">
        <f>IF(CZ249&lt;0.01,0,IF(Plus!$F$24=Plus!$AO$3,0,IF(OR(Plus!$F$10=Plus!$AK$7,Plus!$F$10=Plus!$AK$13),0,Plus!$G$13*Plus!$AR$2)))</f>
        <v>0</v>
      </c>
      <c r="CV250" s="123">
        <f>IF(CZ249&lt;0.01,0,IF(OR(Plus!$F$10=Plus!$AK$7,Plus!$F$10=Plus!$AK$13),0,Plus!$BD$2*1.16))</f>
        <v>0</v>
      </c>
      <c r="CW250" s="123">
        <f>IF(CZ249&lt;0.01,0,IF(Plus!$AS$2&gt;0,CQ250*Plus!$AS$3,0))</f>
        <v>0</v>
      </c>
      <c r="CX250" s="123">
        <f t="shared" si="508"/>
        <v>0</v>
      </c>
      <c r="CY250" s="123">
        <f>IF(Plus!$F$10=Plus!$AK$3,MIN(CZ249+CQ250+CT250+CU250+CV250-CX250,DK250),0)</f>
        <v>0</v>
      </c>
      <c r="CZ250" s="297">
        <f t="shared" si="588"/>
        <v>0</v>
      </c>
      <c r="DA250" s="306">
        <f>Plus!O291</f>
        <v>0</v>
      </c>
      <c r="DB250" s="74"/>
      <c r="DC250" s="74"/>
      <c r="DD250" s="407">
        <f t="shared" si="509"/>
        <v>0</v>
      </c>
      <c r="DG250" s="90">
        <f t="shared" si="510"/>
        <v>10</v>
      </c>
      <c r="DH250" s="121">
        <f t="shared" si="561"/>
        <v>0</v>
      </c>
      <c r="DJ250" s="149">
        <f t="shared" si="562"/>
        <v>0</v>
      </c>
      <c r="DK250" s="2179">
        <f t="shared" ca="1" si="511"/>
        <v>0</v>
      </c>
      <c r="DN250" s="120">
        <f t="shared" si="563"/>
        <v>0</v>
      </c>
      <c r="DO250" s="110">
        <f t="shared" si="512"/>
        <v>0</v>
      </c>
      <c r="DP250" s="110">
        <f t="shared" si="572"/>
        <v>0</v>
      </c>
      <c r="DQ250" s="109">
        <f t="shared" si="513"/>
        <v>0</v>
      </c>
      <c r="DR250" s="109">
        <f t="shared" si="514"/>
        <v>0</v>
      </c>
      <c r="DS250" s="113">
        <f t="shared" si="515"/>
        <v>0</v>
      </c>
      <c r="DU250" s="102">
        <f t="shared" si="516"/>
        <v>0</v>
      </c>
      <c r="DV250" s="211">
        <f t="shared" si="573"/>
        <v>226</v>
      </c>
      <c r="DW250" s="212">
        <f t="shared" si="517"/>
        <v>0</v>
      </c>
      <c r="DX250" s="212">
        <f t="shared" si="472"/>
        <v>0</v>
      </c>
      <c r="DY250" s="212">
        <f t="shared" si="564"/>
        <v>0</v>
      </c>
      <c r="DZ250" s="213">
        <f t="shared" si="473"/>
        <v>1000000</v>
      </c>
      <c r="ED250" s="182"/>
      <c r="EF250" s="308">
        <f t="shared" ca="1" si="474"/>
        <v>1</v>
      </c>
      <c r="EG250" s="309">
        <f t="shared" si="518"/>
        <v>0</v>
      </c>
      <c r="EH250" s="268">
        <f t="shared" si="475"/>
        <v>0</v>
      </c>
      <c r="EI250" s="33">
        <f t="shared" si="519"/>
        <v>0</v>
      </c>
      <c r="EJ250" s="33">
        <f t="shared" si="583"/>
        <v>0</v>
      </c>
      <c r="EK250" s="33">
        <f t="shared" si="591"/>
        <v>0</v>
      </c>
      <c r="EL250" s="33">
        <f>IF(ER249&lt;0.01,0,IF(Plus!$F$22=Plus!$AN$4,0,IF(Plus!$F$22=Plus!$AN$3,ER249*Plus!$F$23/1000,ER249*VLOOKUP(Plus!$G$21,Plus!$AP$2:'Plus'!$AQ$5,2,0))))</f>
        <v>0</v>
      </c>
      <c r="EM250" s="33">
        <f>IF(ER249&lt;0.01,0,IF(Plus!$F$24=Plus!$AO$3,0,IF(OR(Plus!$F$10=Plus!$AK$7,Plus!$F$10=Plus!$AK$13),0,Plus!$G$13*Plus!$AR$2)))</f>
        <v>0</v>
      </c>
      <c r="EN250" s="33">
        <f>IF(ER249&lt;0.01,0,IF(OR(Plus!$F$10=Plus!$AK$7,Plus!$F$10=Plus!$AK$13),0,Plus!$BD$2*1.16))</f>
        <v>0</v>
      </c>
      <c r="EO250" s="33">
        <f>IF(ER249&lt;0.01,0,IF(Plus!$AS$2&gt;0,EI250*Plus!$AS$3,0))</f>
        <v>0</v>
      </c>
      <c r="EP250" s="33">
        <f t="shared" si="520"/>
        <v>0</v>
      </c>
      <c r="EQ250" s="33">
        <f>IF(Plus!$F$10=Plus!$AK$3,MIN(ER249+EI250+EL250+EM250+EN250-EP250,FC250),0)</f>
        <v>0</v>
      </c>
      <c r="ER250" s="311">
        <f t="shared" si="577"/>
        <v>0</v>
      </c>
      <c r="ES250" s="340">
        <f>Plus!O291</f>
        <v>0</v>
      </c>
      <c r="ET250" s="74"/>
      <c r="EU250" s="74"/>
      <c r="EV250" s="416">
        <f t="shared" si="575"/>
        <v>0</v>
      </c>
      <c r="EY250" s="90">
        <f t="shared" si="521"/>
        <v>10</v>
      </c>
      <c r="EZ250" s="121">
        <f t="shared" si="565"/>
        <v>0</v>
      </c>
      <c r="FB250" s="149">
        <f t="shared" si="566"/>
        <v>0</v>
      </c>
      <c r="FC250" s="2179">
        <f t="shared" ca="1" si="522"/>
        <v>0</v>
      </c>
      <c r="FE250" s="120">
        <f t="shared" si="567"/>
        <v>0</v>
      </c>
      <c r="FF250" s="110">
        <f t="shared" si="523"/>
        <v>0</v>
      </c>
      <c r="FG250" s="110">
        <f t="shared" si="524"/>
        <v>0</v>
      </c>
      <c r="FH250" s="109">
        <f t="shared" si="525"/>
        <v>0</v>
      </c>
      <c r="FI250" s="109">
        <f t="shared" si="476"/>
        <v>0</v>
      </c>
      <c r="FJ250" s="113">
        <f t="shared" si="526"/>
        <v>0</v>
      </c>
      <c r="FL250" s="102">
        <f t="shared" si="527"/>
        <v>0</v>
      </c>
      <c r="FM250" s="211">
        <f t="shared" si="454"/>
        <v>226</v>
      </c>
      <c r="FN250" s="212">
        <f t="shared" si="528"/>
        <v>0</v>
      </c>
      <c r="FO250" s="212">
        <f t="shared" si="477"/>
        <v>0</v>
      </c>
      <c r="FP250" s="212">
        <f t="shared" si="592"/>
        <v>0</v>
      </c>
      <c r="FQ250" s="213">
        <f t="shared" si="478"/>
        <v>1000000</v>
      </c>
      <c r="FV250" s="359"/>
      <c r="FX250" s="308">
        <f t="shared" ca="1" si="479"/>
        <v>1</v>
      </c>
      <c r="FY250" s="309">
        <f t="shared" si="530"/>
        <v>0</v>
      </c>
      <c r="FZ250" s="268">
        <f t="shared" si="480"/>
        <v>0</v>
      </c>
      <c r="GA250" s="33">
        <f t="shared" si="531"/>
        <v>0</v>
      </c>
      <c r="GB250" s="33">
        <f t="shared" si="585"/>
        <v>0</v>
      </c>
      <c r="GC250" s="33">
        <f t="shared" si="586"/>
        <v>0</v>
      </c>
      <c r="GD250" s="33">
        <f>IF(GJ249&lt;0.01,0,IF(Plus!$F$22=Plus!$AN$4,0,IF(Plus!$F$22=Plus!$AN$3,GJ249*Plus!$F$23/1000,GJ249*VLOOKUP(Plus!$G$21,Plus!$AP$2:$AQ$5,2,0))))</f>
        <v>0</v>
      </c>
      <c r="GE250" s="33">
        <f>IF(GJ249&lt;0.01,0,IF(Plus!$F$24=Plus!$AO$3,0,IF(OR(Plus!$F$10=Plus!$AK$7,Plus!$F$10=Plus!$AK$13,Plus!$F$10=Plus!$AK$14),0,IF(OR(Plus!$F$10=Plus!$AK$10,Plus!$F$10=Plus!$AK$11),Plus!$G$13*Adm!$W$7,Plus!$G$13*Adm!$X$4))))</f>
        <v>0</v>
      </c>
      <c r="GF250" s="33">
        <f>IF(GJ249&lt;0.01,0,IF(OR(Plus!$F$10=Plus!$AK$7,Plus!$F$10=Plus!$AK$13),0,Plus!$BD$2*1.16))</f>
        <v>0</v>
      </c>
      <c r="GG250" s="33">
        <f>IF(GJ249&lt;0.01,0,IF(Plus!$AS$2&gt;0,GA250*Plus!$AS$3,0))</f>
        <v>0</v>
      </c>
      <c r="GH250" s="33">
        <f t="shared" si="532"/>
        <v>0</v>
      </c>
      <c r="GI250" s="33">
        <f>IF(Plus!$F$10=Plus!$AK$3,MIN(GJ249+GA250+GD250+GE250+GF250-GH250,GU250),0)</f>
        <v>0</v>
      </c>
      <c r="GJ250" s="311">
        <f t="shared" si="578"/>
        <v>0</v>
      </c>
      <c r="GK250" s="340">
        <f>Plus!O291</f>
        <v>0</v>
      </c>
      <c r="GL250" s="74"/>
      <c r="GM250" s="74"/>
      <c r="GN250" s="419">
        <f t="shared" si="576"/>
        <v>0</v>
      </c>
      <c r="GQ250" s="90">
        <f t="shared" si="533"/>
        <v>10</v>
      </c>
      <c r="GR250" s="121">
        <f t="shared" si="568"/>
        <v>0</v>
      </c>
      <c r="GT250" s="149">
        <f t="shared" si="569"/>
        <v>0</v>
      </c>
      <c r="GU250" s="2179">
        <f t="shared" ca="1" si="534"/>
        <v>0</v>
      </c>
      <c r="GW250" s="120">
        <f t="shared" si="570"/>
        <v>0</v>
      </c>
      <c r="GX250" s="110">
        <f t="shared" si="535"/>
        <v>0</v>
      </c>
      <c r="GY250" s="110">
        <f t="shared" si="536"/>
        <v>0</v>
      </c>
      <c r="GZ250" s="109">
        <f t="shared" si="537"/>
        <v>0</v>
      </c>
      <c r="HA250" s="109">
        <f t="shared" si="481"/>
        <v>0</v>
      </c>
      <c r="HB250" s="113">
        <f t="shared" si="538"/>
        <v>0</v>
      </c>
      <c r="HD250" s="102">
        <f t="shared" si="539"/>
        <v>0</v>
      </c>
      <c r="HE250" s="211">
        <f t="shared" si="455"/>
        <v>226</v>
      </c>
      <c r="HF250" s="212">
        <f t="shared" si="540"/>
        <v>0</v>
      </c>
      <c r="HG250" s="212">
        <f t="shared" si="482"/>
        <v>0</v>
      </c>
      <c r="HH250" s="212">
        <f t="shared" si="593"/>
        <v>0</v>
      </c>
      <c r="HI250" s="213">
        <f t="shared" si="483"/>
        <v>1000000</v>
      </c>
      <c r="HL250" s="182"/>
      <c r="HM250" s="26">
        <f t="shared" ca="1" si="484"/>
        <v>1</v>
      </c>
      <c r="HO250" s="268">
        <f t="shared" si="485"/>
        <v>0</v>
      </c>
      <c r="HP250" s="151">
        <f t="shared" si="448"/>
        <v>0</v>
      </c>
      <c r="HQ250" s="123">
        <f t="shared" si="542"/>
        <v>0</v>
      </c>
      <c r="HR250" s="123">
        <f t="shared" si="543"/>
        <v>0</v>
      </c>
      <c r="HS250" s="123">
        <f t="shared" si="544"/>
        <v>0</v>
      </c>
      <c r="HT250" s="123">
        <f>IF(HY249&lt;0.01,0,IF(Adm!$GS$4=Adm!$GS$8,HY249*$HY$15,IF(Adm!$GS$12=Adm!$GS$13,0,HY249*Adm!$GV$4)))</f>
        <v>0</v>
      </c>
      <c r="HU250" s="123">
        <f>IF(HY249&lt;0.01,0,IF(Adm!$GS$5=Adm!$GS$8,Cal!$BO$108*$HY$16/1.16,IF(Adm!$GS$12=Adm!$GS$13,0,Cal!$BO$108*Adm!$GW$4/1.16)))</f>
        <v>0</v>
      </c>
      <c r="HV250" s="123">
        <f t="shared" si="545"/>
        <v>0</v>
      </c>
      <c r="HW250" s="123">
        <f t="shared" si="486"/>
        <v>0</v>
      </c>
      <c r="HX250" s="123">
        <f>IF(Adm!$GH$6="si",MIN(HY249+HQ250+HT250+HU250+HV250-HW250,IH250),0)</f>
        <v>0</v>
      </c>
      <c r="HY250" s="297">
        <f t="shared" si="546"/>
        <v>0</v>
      </c>
      <c r="HZ250" s="74"/>
      <c r="IA250" s="407">
        <f t="shared" si="547"/>
        <v>0</v>
      </c>
      <c r="IC250" s="90">
        <f t="shared" si="548"/>
        <v>10</v>
      </c>
      <c r="ID250" s="124">
        <f>IF(IC250=1,Cal!$BO$127,0)</f>
        <v>0</v>
      </c>
      <c r="IE250" s="178">
        <f>IF(IC250=1,Adm!$HI$4,0)</f>
        <v>0</v>
      </c>
      <c r="IG250" s="70">
        <f t="shared" si="571"/>
        <v>0</v>
      </c>
      <c r="IH250" s="2178">
        <f t="shared" ca="1" si="549"/>
        <v>0</v>
      </c>
      <c r="IK250" s="217"/>
      <c r="IL250" s="26">
        <f t="shared" ca="1" si="487"/>
        <v>1</v>
      </c>
      <c r="IN250" s="268">
        <f t="shared" si="488"/>
        <v>0</v>
      </c>
      <c r="IO250" s="151">
        <f t="shared" si="449"/>
        <v>0</v>
      </c>
      <c r="IP250" s="123">
        <f t="shared" si="550"/>
        <v>0</v>
      </c>
      <c r="IQ250" s="123">
        <f t="shared" si="551"/>
        <v>0</v>
      </c>
      <c r="IR250" s="123">
        <f t="shared" si="552"/>
        <v>0</v>
      </c>
      <c r="IS250" s="123">
        <f>IF(IX249&lt;0.01,0,IF(Adm!$GS$4=Adm!$GS$8,IX249*$IX$15,IF(Adm!$GS$12=Adm!$GS$13,0,IX249*Adm!$GV$4)))</f>
        <v>0</v>
      </c>
      <c r="IT250" s="123"/>
      <c r="IU250" s="123">
        <f t="shared" si="553"/>
        <v>0</v>
      </c>
      <c r="IV250" s="123">
        <f t="shared" si="554"/>
        <v>0</v>
      </c>
      <c r="IW250" s="123"/>
      <c r="IX250" s="297">
        <f t="shared" si="555"/>
        <v>0</v>
      </c>
      <c r="IY250" s="74"/>
      <c r="IZ250" s="416">
        <f t="shared" si="556"/>
        <v>0</v>
      </c>
      <c r="JB250" s="90">
        <f t="shared" si="557"/>
        <v>10</v>
      </c>
      <c r="JC250" s="124">
        <f>IF(JB250=1,Cal!$BP$127,0)</f>
        <v>0</v>
      </c>
      <c r="JD250" s="178">
        <f>IF(JB250=1,Adm!$HI$4,0)</f>
        <v>0</v>
      </c>
    </row>
    <row r="251" spans="1:264">
      <c r="A251" s="26">
        <f t="shared" ca="1" si="456"/>
        <v>2</v>
      </c>
      <c r="C251" s="33">
        <f t="shared" si="457"/>
        <v>0</v>
      </c>
      <c r="D251" s="123">
        <f t="shared" si="489"/>
        <v>0</v>
      </c>
      <c r="E251" s="123">
        <f t="shared" si="579"/>
        <v>0</v>
      </c>
      <c r="F251" s="123">
        <f t="shared" si="589"/>
        <v>0</v>
      </c>
      <c r="G251" s="123">
        <f>IF(L250&lt;0.01,0,IF(Adm!$S$4=Adm!$S$8,L250*$L$15,L250*Adm!$V$4))</f>
        <v>0</v>
      </c>
      <c r="H251" s="123">
        <f>IF(L250&lt;0.01,0,IF(Adm!$S$5=Adm!$S$8,Adm!$AA$11*$L$16/1.16,IF(Adm!$B$4=Adm!$A$119,0,Adm!$AA$11*Adm!$X$4/1.16)))</f>
        <v>0</v>
      </c>
      <c r="I251" s="123">
        <f>IF(L250&lt;0.01,0,Cal!$AB$126/1.16)</f>
        <v>0</v>
      </c>
      <c r="J251" s="123">
        <f t="shared" si="458"/>
        <v>0</v>
      </c>
      <c r="K251" s="123">
        <f>IF(Adm!$G$4="si",MIN(L250+D251+G251+H251+I251-J251,V251),0)</f>
        <v>0</v>
      </c>
      <c r="L251" s="123">
        <f t="shared" si="490"/>
        <v>0</v>
      </c>
      <c r="M251" s="74"/>
      <c r="N251" s="74"/>
      <c r="O251" s="407">
        <f t="shared" si="491"/>
        <v>0</v>
      </c>
      <c r="R251" s="90">
        <f t="shared" si="492"/>
        <v>11</v>
      </c>
      <c r="S251" s="121">
        <f>IF(R251=1,Cal!$AB$127,0)</f>
        <v>0</v>
      </c>
      <c r="U251" s="70">
        <f t="shared" si="558"/>
        <v>0</v>
      </c>
      <c r="V251" s="2178">
        <f t="shared" ca="1" si="493"/>
        <v>0</v>
      </c>
      <c r="X251" s="398"/>
      <c r="Z251" s="268">
        <f t="shared" si="459"/>
        <v>0</v>
      </c>
      <c r="AA251" s="2176">
        <f t="shared" si="494"/>
        <v>0</v>
      </c>
      <c r="AB251" s="33">
        <f t="shared" si="495"/>
        <v>0</v>
      </c>
      <c r="AC251" s="33">
        <f t="shared" si="496"/>
        <v>0</v>
      </c>
      <c r="AD251" s="33">
        <f>IF(AI250&lt;0.01,0,IF(Adm!$S$4=Adm!$S$8,AI250*$AI$15,AI250*Adm!$V$4))</f>
        <v>0</v>
      </c>
      <c r="AE251" s="33"/>
      <c r="AF251" s="33"/>
      <c r="AG251" s="33">
        <f t="shared" si="460"/>
        <v>0</v>
      </c>
      <c r="AH251" s="33"/>
      <c r="AI251" s="401">
        <f t="shared" si="461"/>
        <v>0</v>
      </c>
      <c r="AK251" s="410">
        <f t="shared" si="462"/>
        <v>0</v>
      </c>
      <c r="AN251" s="90">
        <f t="shared" si="497"/>
        <v>11</v>
      </c>
      <c r="AO251" s="121">
        <f>IF(AN251=1,Cal!$AC$127,0)</f>
        <v>0</v>
      </c>
      <c r="AS251" s="200"/>
      <c r="AU251" s="268">
        <f t="shared" si="463"/>
        <v>0</v>
      </c>
      <c r="AV251" s="2177">
        <f t="shared" si="498"/>
        <v>0</v>
      </c>
      <c r="AW251" s="123">
        <f t="shared" si="464"/>
        <v>0</v>
      </c>
      <c r="AX251" s="123">
        <f t="shared" si="499"/>
        <v>0</v>
      </c>
      <c r="AY251" s="123">
        <f>IF(BC250&lt;0.01,0,IF(Adm!$S$4=Adm!$S$8,BC250*$BC$16,BC250*Adm!$V$4))</f>
        <v>0</v>
      </c>
      <c r="AZ251" s="123"/>
      <c r="BA251" s="123">
        <f>IF(BC250&lt;0.01,0,Adm!$Q$6)</f>
        <v>0</v>
      </c>
      <c r="BB251" s="123">
        <f t="shared" si="465"/>
        <v>0</v>
      </c>
      <c r="BC251" s="297">
        <f t="shared" si="500"/>
        <v>0</v>
      </c>
      <c r="BE251" s="425">
        <f t="shared" si="466"/>
        <v>0</v>
      </c>
      <c r="BH251" s="90">
        <f t="shared" si="501"/>
        <v>11</v>
      </c>
      <c r="BI251" s="121">
        <f>IF(BH251=1,Cal!$AD$127,0)</f>
        <v>0</v>
      </c>
      <c r="BM251" s="221"/>
      <c r="BO251" s="295">
        <f t="shared" ca="1" si="467"/>
        <v>2</v>
      </c>
      <c r="BP251" s="268">
        <f t="shared" si="468"/>
        <v>0</v>
      </c>
      <c r="BQ251" s="123">
        <f t="shared" si="502"/>
        <v>0</v>
      </c>
      <c r="BR251" s="123">
        <f t="shared" si="580"/>
        <v>0</v>
      </c>
      <c r="BS251" s="123">
        <f t="shared" si="590"/>
        <v>0</v>
      </c>
      <c r="BT251" s="123">
        <f>IF(BZ250&lt;0.01,0,IF(Plus!$F$22=Plus!$AN$4,BZ250*$BZ$15,IF(Plus!$F$22=Plus!$AN$3,BZ250*Plus!$F$23/1000,BZ250*VLOOKUP(Plus!$G$21,Plus!$AP$2:'Plus'!$AQ$5,2,0))))</f>
        <v>0</v>
      </c>
      <c r="BU251" s="123">
        <f>IF(BZ250&lt;0.01,0,IF(Plus!$F$24=Plus!$AO$3,Plus!$G$13*Plus!$AR$2/1.16,IF(Plus!$F$10=Plus!$AK$7,0,Plus!$G$13*Plus!$AR$2/1.16)))</f>
        <v>0</v>
      </c>
      <c r="BV251" s="123">
        <f>IF(BZ250&lt;0.01,0,Plus!$BD$2)</f>
        <v>0</v>
      </c>
      <c r="BW251" s="123"/>
      <c r="BX251" s="123">
        <f t="shared" si="469"/>
        <v>0</v>
      </c>
      <c r="BY251" s="123">
        <f>IF(Plus!$F$10=Plus!$AK$3,MIN(BZ250+BQ251+BT251+BU251+BV251-BX251,CJ251),0)</f>
        <v>0</v>
      </c>
      <c r="BZ251" s="297">
        <f t="shared" si="574"/>
        <v>0</v>
      </c>
      <c r="CA251" s="74"/>
      <c r="CB251" s="74"/>
      <c r="CC251" s="413">
        <f t="shared" si="503"/>
        <v>0</v>
      </c>
      <c r="CF251" s="90">
        <f t="shared" si="504"/>
        <v>11</v>
      </c>
      <c r="CG251" s="121">
        <f t="shared" si="559"/>
        <v>0</v>
      </c>
      <c r="CI251" s="70">
        <f t="shared" si="560"/>
        <v>0</v>
      </c>
      <c r="CJ251" s="2178">
        <f t="shared" ca="1" si="505"/>
        <v>0</v>
      </c>
      <c r="CL251" s="161"/>
      <c r="CN251" s="308">
        <f t="shared" ca="1" si="470"/>
        <v>2</v>
      </c>
      <c r="CO251" s="309">
        <f t="shared" si="506"/>
        <v>0</v>
      </c>
      <c r="CP251" s="268">
        <f t="shared" si="471"/>
        <v>0</v>
      </c>
      <c r="CQ251" s="123">
        <f t="shared" si="507"/>
        <v>0</v>
      </c>
      <c r="CR251" s="123">
        <f t="shared" si="581"/>
        <v>0</v>
      </c>
      <c r="CS251" s="123">
        <f t="shared" si="582"/>
        <v>0</v>
      </c>
      <c r="CT251" s="33">
        <f>IF(CZ250&lt;0.01,0,IF(Plus!$F$22=Plus!$AN$4,0,IF(Plus!$F$22=Plus!$AN$3,CZ250*Plus!$F$23/1000,CZ250*VLOOKUP(Plus!$G$21,Plus!$AP$2:'Plus'!$AQ$5,2,0))))</f>
        <v>0</v>
      </c>
      <c r="CU251" s="123">
        <f>IF(CZ250&lt;0.01,0,IF(Plus!$F$24=Plus!$AO$3,0,IF(OR(Plus!$F$10=Plus!$AK$7,Plus!$F$10=Plus!$AK$13),0,Plus!$G$13*Plus!$AR$2)))</f>
        <v>0</v>
      </c>
      <c r="CV251" s="123">
        <f>IF(CZ250&lt;0.01,0,IF(OR(Plus!$F$10=Plus!$AK$7,Plus!$F$10=Plus!$AK$13),0,Plus!$BD$2*1.16))</f>
        <v>0</v>
      </c>
      <c r="CW251" s="123">
        <f>IF(CZ250&lt;0.01,0,IF(Plus!$AS$2&gt;0,CQ251*Plus!$AS$3,0))</f>
        <v>0</v>
      </c>
      <c r="CX251" s="123">
        <f t="shared" si="508"/>
        <v>0</v>
      </c>
      <c r="CY251" s="123">
        <f>IF(Plus!$F$10=Plus!$AK$3,MIN(CZ250+CQ251+CT251+CU251+CV251-CX251,DK251),0)</f>
        <v>0</v>
      </c>
      <c r="CZ251" s="297">
        <f t="shared" si="588"/>
        <v>0</v>
      </c>
      <c r="DA251" s="306">
        <f>Plus!O292</f>
        <v>0</v>
      </c>
      <c r="DB251" s="74"/>
      <c r="DC251" s="74"/>
      <c r="DD251" s="407">
        <f t="shared" si="509"/>
        <v>0</v>
      </c>
      <c r="DG251" s="90">
        <f t="shared" si="510"/>
        <v>11</v>
      </c>
      <c r="DH251" s="121">
        <f t="shared" si="561"/>
        <v>0</v>
      </c>
      <c r="DJ251" s="149">
        <f t="shared" si="562"/>
        <v>0</v>
      </c>
      <c r="DK251" s="2179">
        <f t="shared" ca="1" si="511"/>
        <v>0</v>
      </c>
      <c r="DN251" s="120">
        <f t="shared" si="563"/>
        <v>0</v>
      </c>
      <c r="DO251" s="110">
        <f t="shared" si="512"/>
        <v>0</v>
      </c>
      <c r="DP251" s="110">
        <f t="shared" si="572"/>
        <v>0</v>
      </c>
      <c r="DQ251" s="109">
        <f t="shared" si="513"/>
        <v>0</v>
      </c>
      <c r="DR251" s="109">
        <f t="shared" si="514"/>
        <v>0</v>
      </c>
      <c r="DS251" s="113">
        <f t="shared" si="515"/>
        <v>0</v>
      </c>
      <c r="DU251" s="102">
        <f t="shared" si="516"/>
        <v>0</v>
      </c>
      <c r="DV251" s="211">
        <f t="shared" si="573"/>
        <v>227</v>
      </c>
      <c r="DW251" s="212">
        <f t="shared" si="517"/>
        <v>0</v>
      </c>
      <c r="DX251" s="212">
        <f t="shared" si="472"/>
        <v>0</v>
      </c>
      <c r="DY251" s="212">
        <f t="shared" si="564"/>
        <v>0</v>
      </c>
      <c r="DZ251" s="213">
        <f t="shared" si="473"/>
        <v>1000000</v>
      </c>
      <c r="ED251" s="182"/>
      <c r="EF251" s="308">
        <f t="shared" ca="1" si="474"/>
        <v>2</v>
      </c>
      <c r="EG251" s="309">
        <f t="shared" si="518"/>
        <v>0</v>
      </c>
      <c r="EH251" s="268">
        <f t="shared" si="475"/>
        <v>0</v>
      </c>
      <c r="EI251" s="33">
        <f t="shared" si="519"/>
        <v>0</v>
      </c>
      <c r="EJ251" s="33">
        <f t="shared" si="583"/>
        <v>0</v>
      </c>
      <c r="EK251" s="33">
        <f t="shared" si="591"/>
        <v>0</v>
      </c>
      <c r="EL251" s="33">
        <f>IF(ER250&lt;0.01,0,IF(Plus!$F$22=Plus!$AN$4,0,IF(Plus!$F$22=Plus!$AN$3,ER250*Plus!$F$23/1000,ER250*VLOOKUP(Plus!$G$21,Plus!$AP$2:'Plus'!$AQ$5,2,0))))</f>
        <v>0</v>
      </c>
      <c r="EM251" s="33">
        <f>IF(ER250&lt;0.01,0,IF(Plus!$F$24=Plus!$AO$3,0,IF(OR(Plus!$F$10=Plus!$AK$7,Plus!$F$10=Plus!$AK$13),0,Plus!$G$13*Plus!$AR$2)))</f>
        <v>0</v>
      </c>
      <c r="EN251" s="33">
        <f>IF(ER250&lt;0.01,0,IF(OR(Plus!$F$10=Plus!$AK$7,Plus!$F$10=Plus!$AK$13),0,Plus!$BD$2*1.16))</f>
        <v>0</v>
      </c>
      <c r="EO251" s="33">
        <f>IF(ER250&lt;0.01,0,IF(Plus!$AS$2&gt;0,EI251*Plus!$AS$3,0))</f>
        <v>0</v>
      </c>
      <c r="EP251" s="33">
        <f t="shared" si="520"/>
        <v>0</v>
      </c>
      <c r="EQ251" s="33">
        <f>IF(Plus!$F$10=Plus!$AK$3,MIN(ER250+EI251+EL251+EM251+EN251-EP251,FC251),0)</f>
        <v>0</v>
      </c>
      <c r="ER251" s="311">
        <f t="shared" si="577"/>
        <v>0</v>
      </c>
      <c r="ES251" s="340">
        <f>Plus!O292</f>
        <v>0</v>
      </c>
      <c r="ET251" s="74"/>
      <c r="EU251" s="74"/>
      <c r="EV251" s="416">
        <f t="shared" si="575"/>
        <v>0</v>
      </c>
      <c r="EY251" s="90">
        <f t="shared" si="521"/>
        <v>11</v>
      </c>
      <c r="EZ251" s="121">
        <f t="shared" si="565"/>
        <v>0</v>
      </c>
      <c r="FB251" s="149">
        <f t="shared" si="566"/>
        <v>0</v>
      </c>
      <c r="FC251" s="2179">
        <f t="shared" ca="1" si="522"/>
        <v>0</v>
      </c>
      <c r="FE251" s="120">
        <f t="shared" si="567"/>
        <v>0</v>
      </c>
      <c r="FF251" s="110">
        <f t="shared" si="523"/>
        <v>0</v>
      </c>
      <c r="FG251" s="110">
        <f t="shared" si="524"/>
        <v>0</v>
      </c>
      <c r="FH251" s="109">
        <f t="shared" si="525"/>
        <v>0</v>
      </c>
      <c r="FI251" s="109">
        <f t="shared" si="476"/>
        <v>0</v>
      </c>
      <c r="FJ251" s="113">
        <f t="shared" si="526"/>
        <v>0</v>
      </c>
      <c r="FL251" s="102">
        <f t="shared" si="527"/>
        <v>0</v>
      </c>
      <c r="FM251" s="211">
        <f t="shared" si="454"/>
        <v>227</v>
      </c>
      <c r="FN251" s="212">
        <f t="shared" si="528"/>
        <v>0</v>
      </c>
      <c r="FO251" s="212">
        <f t="shared" si="477"/>
        <v>0</v>
      </c>
      <c r="FP251" s="212">
        <f t="shared" si="592"/>
        <v>0</v>
      </c>
      <c r="FQ251" s="213">
        <f t="shared" si="478"/>
        <v>1000000</v>
      </c>
      <c r="FV251" s="359"/>
      <c r="FX251" s="308">
        <f t="shared" ca="1" si="479"/>
        <v>2</v>
      </c>
      <c r="FY251" s="309">
        <f t="shared" si="530"/>
        <v>0</v>
      </c>
      <c r="FZ251" s="268">
        <f t="shared" si="480"/>
        <v>0</v>
      </c>
      <c r="GA251" s="33">
        <f t="shared" si="531"/>
        <v>0</v>
      </c>
      <c r="GB251" s="33">
        <f t="shared" si="585"/>
        <v>0</v>
      </c>
      <c r="GC251" s="33">
        <f t="shared" si="586"/>
        <v>0</v>
      </c>
      <c r="GD251" s="33">
        <f>IF(GJ250&lt;0.01,0,IF(Plus!$F$22=Plus!$AN$4,0,IF(Plus!$F$22=Plus!$AN$3,GJ250*Plus!$F$23/1000,GJ250*VLOOKUP(Plus!$G$21,Plus!$AP$2:$AQ$5,2,0))))</f>
        <v>0</v>
      </c>
      <c r="GE251" s="33">
        <f>IF(GJ250&lt;0.01,0,IF(Plus!$F$24=Plus!$AO$3,0,IF(OR(Plus!$F$10=Plus!$AK$7,Plus!$F$10=Plus!$AK$13,Plus!$F$10=Plus!$AK$14),0,IF(OR(Plus!$F$10=Plus!$AK$10,Plus!$F$10=Plus!$AK$11),Plus!$G$13*Adm!$W$7,Plus!$G$13*Adm!$X$4))))</f>
        <v>0</v>
      </c>
      <c r="GF251" s="33">
        <f>IF(GJ250&lt;0.01,0,IF(OR(Plus!$F$10=Plus!$AK$7,Plus!$F$10=Plus!$AK$13),0,Plus!$BD$2*1.16))</f>
        <v>0</v>
      </c>
      <c r="GG251" s="33">
        <f>IF(GJ250&lt;0.01,0,IF(Plus!$AS$2&gt;0,GA251*Plus!$AS$3,0))</f>
        <v>0</v>
      </c>
      <c r="GH251" s="33">
        <f t="shared" si="532"/>
        <v>0</v>
      </c>
      <c r="GI251" s="33">
        <f>IF(Plus!$F$10=Plus!$AK$3,MIN(GJ250+GA251+GD251+GE251+GF251-GH251,GU251),0)</f>
        <v>0</v>
      </c>
      <c r="GJ251" s="311">
        <f t="shared" si="578"/>
        <v>0</v>
      </c>
      <c r="GK251" s="340">
        <f>Plus!O292</f>
        <v>0</v>
      </c>
      <c r="GL251" s="74"/>
      <c r="GM251" s="74"/>
      <c r="GN251" s="419">
        <f t="shared" si="576"/>
        <v>0</v>
      </c>
      <c r="GQ251" s="90">
        <f t="shared" si="533"/>
        <v>11</v>
      </c>
      <c r="GR251" s="121">
        <f t="shared" si="568"/>
        <v>0</v>
      </c>
      <c r="GT251" s="149">
        <f t="shared" si="569"/>
        <v>0</v>
      </c>
      <c r="GU251" s="2179">
        <f t="shared" ca="1" si="534"/>
        <v>0</v>
      </c>
      <c r="GW251" s="120">
        <f t="shared" si="570"/>
        <v>0</v>
      </c>
      <c r="GX251" s="110">
        <f t="shared" si="535"/>
        <v>0</v>
      </c>
      <c r="GY251" s="110">
        <f t="shared" si="536"/>
        <v>0</v>
      </c>
      <c r="GZ251" s="109">
        <f t="shared" si="537"/>
        <v>0</v>
      </c>
      <c r="HA251" s="109">
        <f t="shared" si="481"/>
        <v>0</v>
      </c>
      <c r="HB251" s="113">
        <f t="shared" si="538"/>
        <v>0</v>
      </c>
      <c r="HD251" s="102">
        <f t="shared" si="539"/>
        <v>0</v>
      </c>
      <c r="HE251" s="211">
        <f t="shared" si="455"/>
        <v>227</v>
      </c>
      <c r="HF251" s="212">
        <f t="shared" si="540"/>
        <v>0</v>
      </c>
      <c r="HG251" s="212">
        <f t="shared" si="482"/>
        <v>0</v>
      </c>
      <c r="HH251" s="212">
        <f t="shared" si="593"/>
        <v>0</v>
      </c>
      <c r="HI251" s="213">
        <f t="shared" si="483"/>
        <v>1000000</v>
      </c>
      <c r="HL251" s="182"/>
      <c r="HM251" s="26">
        <f t="shared" ca="1" si="484"/>
        <v>2</v>
      </c>
      <c r="HO251" s="268">
        <f t="shared" si="485"/>
        <v>0</v>
      </c>
      <c r="HP251" s="151">
        <f t="shared" si="448"/>
        <v>0</v>
      </c>
      <c r="HQ251" s="123">
        <f t="shared" si="542"/>
        <v>0</v>
      </c>
      <c r="HR251" s="123">
        <f t="shared" si="543"/>
        <v>0</v>
      </c>
      <c r="HS251" s="123">
        <f t="shared" si="544"/>
        <v>0</v>
      </c>
      <c r="HT251" s="123">
        <f>IF(HY250&lt;0.01,0,IF(Adm!$GS$4=Adm!$GS$8,HY250*$HY$15,IF(Adm!$GS$12=Adm!$GS$13,0,HY250*Adm!$GV$4)))</f>
        <v>0</v>
      </c>
      <c r="HU251" s="123">
        <f>IF(HY250&lt;0.01,0,IF(Adm!$GS$5=Adm!$GS$8,Cal!$BO$108*$HY$16/1.16,IF(Adm!$GS$12=Adm!$GS$13,0,Cal!$BO$108*Adm!$GW$4/1.16)))</f>
        <v>0</v>
      </c>
      <c r="HV251" s="123">
        <f t="shared" si="545"/>
        <v>0</v>
      </c>
      <c r="HW251" s="123">
        <f t="shared" si="486"/>
        <v>0</v>
      </c>
      <c r="HX251" s="123">
        <f>IF(Adm!$GH$6="si",MIN(HY250+HQ251+HT251+HU251+HV251-HW251,IH251),0)</f>
        <v>0</v>
      </c>
      <c r="HY251" s="297">
        <f t="shared" si="546"/>
        <v>0</v>
      </c>
      <c r="HZ251" s="74"/>
      <c r="IA251" s="407">
        <f t="shared" si="547"/>
        <v>0</v>
      </c>
      <c r="IC251" s="90">
        <f t="shared" si="548"/>
        <v>11</v>
      </c>
      <c r="ID251" s="124">
        <f>IF(IC251=1,Cal!$BO$127,0)</f>
        <v>0</v>
      </c>
      <c r="IE251" s="178">
        <f>IF(IC251=1,Adm!$HI$4,0)</f>
        <v>0</v>
      </c>
      <c r="IG251" s="70">
        <f t="shared" si="571"/>
        <v>0</v>
      </c>
      <c r="IH251" s="2178">
        <f t="shared" ca="1" si="549"/>
        <v>0</v>
      </c>
      <c r="IK251" s="217"/>
      <c r="IL251" s="26">
        <f t="shared" ca="1" si="487"/>
        <v>2</v>
      </c>
      <c r="IN251" s="268">
        <f t="shared" si="488"/>
        <v>0</v>
      </c>
      <c r="IO251" s="151">
        <f t="shared" si="449"/>
        <v>0</v>
      </c>
      <c r="IP251" s="123">
        <f t="shared" si="550"/>
        <v>0</v>
      </c>
      <c r="IQ251" s="123">
        <f t="shared" si="551"/>
        <v>0</v>
      </c>
      <c r="IR251" s="123">
        <f t="shared" si="552"/>
        <v>0</v>
      </c>
      <c r="IS251" s="123">
        <f>IF(IX250&lt;0.01,0,IF(Adm!$GS$4=Adm!$GS$8,IX250*$IX$15,IF(Adm!$GS$12=Adm!$GS$13,0,IX250*Adm!$GV$4)))</f>
        <v>0</v>
      </c>
      <c r="IT251" s="123"/>
      <c r="IU251" s="123">
        <f t="shared" si="553"/>
        <v>0</v>
      </c>
      <c r="IV251" s="123">
        <f t="shared" si="554"/>
        <v>0</v>
      </c>
      <c r="IW251" s="123"/>
      <c r="IX251" s="297">
        <f t="shared" si="555"/>
        <v>0</v>
      </c>
      <c r="IY251" s="74"/>
      <c r="IZ251" s="416">
        <f t="shared" si="556"/>
        <v>0</v>
      </c>
      <c r="JB251" s="90">
        <f t="shared" si="557"/>
        <v>11</v>
      </c>
      <c r="JC251" s="124">
        <f>IF(JB251=1,Cal!$BP$127,0)</f>
        <v>0</v>
      </c>
      <c r="JD251" s="178">
        <f>IF(JB251=1,Adm!$HI$4,0)</f>
        <v>0</v>
      </c>
    </row>
    <row r="252" spans="1:264">
      <c r="A252" s="26">
        <f t="shared" ca="1" si="456"/>
        <v>3</v>
      </c>
      <c r="C252" s="33">
        <f t="shared" si="457"/>
        <v>0</v>
      </c>
      <c r="D252" s="123">
        <f t="shared" si="489"/>
        <v>0</v>
      </c>
      <c r="E252" s="123">
        <f t="shared" si="579"/>
        <v>0</v>
      </c>
      <c r="F252" s="123">
        <f t="shared" si="589"/>
        <v>0</v>
      </c>
      <c r="G252" s="123">
        <f>IF(L251&lt;0.01,0,IF(Adm!$S$4=Adm!$S$8,L251*$L$15,L251*Adm!$V$4))</f>
        <v>0</v>
      </c>
      <c r="H252" s="123">
        <f>IF(L251&lt;0.01,0,IF(Adm!$S$5=Adm!$S$8,Adm!$AA$11*$L$16/1.16,IF(Adm!$B$4=Adm!$A$119,0,Adm!$AA$11*Adm!$X$4/1.16)))</f>
        <v>0</v>
      </c>
      <c r="I252" s="123">
        <f>IF(L251&lt;0.01,0,Cal!$AB$126/1.16)</f>
        <v>0</v>
      </c>
      <c r="J252" s="123">
        <f t="shared" si="458"/>
        <v>0</v>
      </c>
      <c r="K252" s="123">
        <f>IF(Adm!$G$4="si",MIN(L251+D252+G252+H252+I252-J252,V252),0)</f>
        <v>0</v>
      </c>
      <c r="L252" s="123">
        <f t="shared" si="490"/>
        <v>0</v>
      </c>
      <c r="M252" s="74"/>
      <c r="N252" s="74"/>
      <c r="O252" s="407">
        <f t="shared" si="491"/>
        <v>0</v>
      </c>
      <c r="R252" s="90">
        <f t="shared" si="492"/>
        <v>12</v>
      </c>
      <c r="S252" s="121">
        <f>IF(R252=1,Cal!$AB$127,0)</f>
        <v>0</v>
      </c>
      <c r="U252" s="70">
        <f t="shared" si="558"/>
        <v>0</v>
      </c>
      <c r="V252" s="2178">
        <f t="shared" ca="1" si="493"/>
        <v>0</v>
      </c>
      <c r="X252" s="398"/>
      <c r="Z252" s="268">
        <f t="shared" si="459"/>
        <v>0</v>
      </c>
      <c r="AA252" s="2176">
        <f t="shared" si="494"/>
        <v>0</v>
      </c>
      <c r="AB252" s="33">
        <f t="shared" si="495"/>
        <v>0</v>
      </c>
      <c r="AC252" s="33">
        <f t="shared" si="496"/>
        <v>0</v>
      </c>
      <c r="AD252" s="33">
        <f>IF(AI251&lt;0.01,0,IF(Adm!$S$4=Adm!$S$8,AI251*$AI$15,AI251*Adm!$V$4))</f>
        <v>0</v>
      </c>
      <c r="AE252" s="33"/>
      <c r="AF252" s="33"/>
      <c r="AG252" s="33">
        <f t="shared" si="460"/>
        <v>0</v>
      </c>
      <c r="AH252" s="33"/>
      <c r="AI252" s="401">
        <f t="shared" si="461"/>
        <v>0</v>
      </c>
      <c r="AK252" s="410">
        <f t="shared" si="462"/>
        <v>0</v>
      </c>
      <c r="AN252" s="90">
        <f t="shared" si="497"/>
        <v>12</v>
      </c>
      <c r="AO252" s="121">
        <f>IF(AN252=1,Cal!$AC$127,0)</f>
        <v>0</v>
      </c>
      <c r="AS252" s="200"/>
      <c r="AU252" s="268">
        <f t="shared" si="463"/>
        <v>0</v>
      </c>
      <c r="AV252" s="2177">
        <f t="shared" si="498"/>
        <v>0</v>
      </c>
      <c r="AW252" s="123">
        <f t="shared" si="464"/>
        <v>0</v>
      </c>
      <c r="AX252" s="123">
        <f t="shared" si="499"/>
        <v>0</v>
      </c>
      <c r="AY252" s="123">
        <f>IF(BC251&lt;0.01,0,IF(Adm!$S$4=Adm!$S$8,BC251*$BC$16,BC251*Adm!$V$4))</f>
        <v>0</v>
      </c>
      <c r="AZ252" s="123"/>
      <c r="BA252" s="123">
        <f>IF(BC251&lt;0.01,0,Adm!$Q$6)</f>
        <v>0</v>
      </c>
      <c r="BB252" s="123">
        <f t="shared" si="465"/>
        <v>0</v>
      </c>
      <c r="BC252" s="297">
        <f t="shared" si="500"/>
        <v>0</v>
      </c>
      <c r="BE252" s="425">
        <f t="shared" si="466"/>
        <v>0</v>
      </c>
      <c r="BH252" s="90">
        <f t="shared" si="501"/>
        <v>12</v>
      </c>
      <c r="BI252" s="121">
        <f>IF(BH252=1,Cal!$AD$127,0)</f>
        <v>0</v>
      </c>
      <c r="BM252" s="221"/>
      <c r="BO252" s="295">
        <f t="shared" ca="1" si="467"/>
        <v>3</v>
      </c>
      <c r="BP252" s="268">
        <f t="shared" si="468"/>
        <v>0</v>
      </c>
      <c r="BQ252" s="123">
        <f t="shared" si="502"/>
        <v>0</v>
      </c>
      <c r="BR252" s="123">
        <f t="shared" si="580"/>
        <v>0</v>
      </c>
      <c r="BS252" s="123">
        <f t="shared" si="590"/>
        <v>0</v>
      </c>
      <c r="BT252" s="123">
        <f>IF(BZ251&lt;0.01,0,IF(Plus!$F$22=Plus!$AN$4,BZ251*$BZ$15,IF(Plus!$F$22=Plus!$AN$3,BZ251*Plus!$F$23/1000,BZ251*VLOOKUP(Plus!$G$21,Plus!$AP$2:'Plus'!$AQ$5,2,0))))</f>
        <v>0</v>
      </c>
      <c r="BU252" s="123">
        <f>IF(BZ251&lt;0.01,0,IF(Plus!$F$24=Plus!$AO$3,Plus!$G$13*Plus!$AR$2/1.16,IF(Plus!$F$10=Plus!$AK$7,0,Plus!$G$13*Plus!$AR$2/1.16)))</f>
        <v>0</v>
      </c>
      <c r="BV252" s="123">
        <f>IF(BZ251&lt;0.01,0,Plus!$BD$2)</f>
        <v>0</v>
      </c>
      <c r="BW252" s="123"/>
      <c r="BX252" s="123">
        <f t="shared" si="469"/>
        <v>0</v>
      </c>
      <c r="BY252" s="123">
        <f>IF(Plus!$F$10=Plus!$AK$3,MIN(BZ251+BQ252+BT252+BU252+BV252-BX252,CJ252),0)</f>
        <v>0</v>
      </c>
      <c r="BZ252" s="297">
        <f t="shared" si="574"/>
        <v>0</v>
      </c>
      <c r="CA252" s="74"/>
      <c r="CB252" s="74"/>
      <c r="CC252" s="413">
        <f t="shared" si="503"/>
        <v>0</v>
      </c>
      <c r="CF252" s="90">
        <f t="shared" si="504"/>
        <v>12</v>
      </c>
      <c r="CG252" s="121">
        <f t="shared" si="559"/>
        <v>0</v>
      </c>
      <c r="CI252" s="70">
        <f t="shared" si="560"/>
        <v>0</v>
      </c>
      <c r="CJ252" s="2178">
        <f t="shared" ca="1" si="505"/>
        <v>0</v>
      </c>
      <c r="CL252" s="161"/>
      <c r="CN252" s="308">
        <f t="shared" ca="1" si="470"/>
        <v>3</v>
      </c>
      <c r="CO252" s="309">
        <f t="shared" si="506"/>
        <v>0</v>
      </c>
      <c r="CP252" s="268">
        <f t="shared" si="471"/>
        <v>0</v>
      </c>
      <c r="CQ252" s="123">
        <f t="shared" si="507"/>
        <v>0</v>
      </c>
      <c r="CR252" s="123">
        <f t="shared" si="581"/>
        <v>0</v>
      </c>
      <c r="CS252" s="123">
        <f t="shared" si="582"/>
        <v>0</v>
      </c>
      <c r="CT252" s="33">
        <f>IF(CZ251&lt;0.01,0,IF(Plus!$F$22=Plus!$AN$4,0,IF(Plus!$F$22=Plus!$AN$3,CZ251*Plus!$F$23/1000,CZ251*VLOOKUP(Plus!$G$21,Plus!$AP$2:'Plus'!$AQ$5,2,0))))</f>
        <v>0</v>
      </c>
      <c r="CU252" s="123">
        <f>IF(CZ251&lt;0.01,0,IF(Plus!$F$24=Plus!$AO$3,0,IF(OR(Plus!$F$10=Plus!$AK$7,Plus!$F$10=Plus!$AK$13),0,Plus!$G$13*Plus!$AR$2)))</f>
        <v>0</v>
      </c>
      <c r="CV252" s="123">
        <f>IF(CZ251&lt;0.01,0,IF(OR(Plus!$F$10=Plus!$AK$7,Plus!$F$10=Plus!$AK$13),0,Plus!$BD$2*1.16))</f>
        <v>0</v>
      </c>
      <c r="CW252" s="123">
        <f>IF(CZ251&lt;0.01,0,IF(Plus!$AS$2&gt;0,CQ252*Plus!$AS$3,0))</f>
        <v>0</v>
      </c>
      <c r="CX252" s="123">
        <f t="shared" si="508"/>
        <v>0</v>
      </c>
      <c r="CY252" s="123">
        <f>IF(Plus!$F$10=Plus!$AK$3,MIN(CZ251+CQ252+CT252+CU252+CV252-CX252,DK252),0)</f>
        <v>0</v>
      </c>
      <c r="CZ252" s="297">
        <f t="shared" si="588"/>
        <v>0</v>
      </c>
      <c r="DA252" s="306">
        <f>Plus!O293</f>
        <v>0</v>
      </c>
      <c r="DB252" s="74"/>
      <c r="DC252" s="74"/>
      <c r="DD252" s="407">
        <f t="shared" si="509"/>
        <v>0</v>
      </c>
      <c r="DG252" s="90">
        <f t="shared" si="510"/>
        <v>12</v>
      </c>
      <c r="DH252" s="121">
        <f t="shared" si="561"/>
        <v>0</v>
      </c>
      <c r="DJ252" s="149">
        <f t="shared" si="562"/>
        <v>0</v>
      </c>
      <c r="DK252" s="2179">
        <f t="shared" ca="1" si="511"/>
        <v>0</v>
      </c>
      <c r="DN252" s="120">
        <f t="shared" si="563"/>
        <v>0</v>
      </c>
      <c r="DO252" s="110">
        <f t="shared" si="512"/>
        <v>0</v>
      </c>
      <c r="DP252" s="110">
        <f t="shared" si="572"/>
        <v>0</v>
      </c>
      <c r="DQ252" s="109">
        <f t="shared" si="513"/>
        <v>0</v>
      </c>
      <c r="DR252" s="109">
        <f t="shared" si="514"/>
        <v>0</v>
      </c>
      <c r="DS252" s="113">
        <f t="shared" si="515"/>
        <v>0</v>
      </c>
      <c r="DU252" s="102">
        <f t="shared" si="516"/>
        <v>0</v>
      </c>
      <c r="DV252" s="211">
        <f t="shared" si="573"/>
        <v>228</v>
      </c>
      <c r="DW252" s="212">
        <f t="shared" si="517"/>
        <v>0</v>
      </c>
      <c r="DX252" s="212">
        <f t="shared" si="472"/>
        <v>0</v>
      </c>
      <c r="DY252" s="212">
        <f t="shared" si="564"/>
        <v>0</v>
      </c>
      <c r="DZ252" s="213">
        <f t="shared" si="473"/>
        <v>1000000</v>
      </c>
      <c r="ED252" s="182"/>
      <c r="EF252" s="308">
        <f t="shared" ca="1" si="474"/>
        <v>3</v>
      </c>
      <c r="EG252" s="309">
        <f t="shared" si="518"/>
        <v>0</v>
      </c>
      <c r="EH252" s="268">
        <f t="shared" si="475"/>
        <v>0</v>
      </c>
      <c r="EI252" s="33">
        <f t="shared" si="519"/>
        <v>0</v>
      </c>
      <c r="EJ252" s="33">
        <f t="shared" si="583"/>
        <v>0</v>
      </c>
      <c r="EK252" s="33">
        <f t="shared" si="591"/>
        <v>0</v>
      </c>
      <c r="EL252" s="33">
        <f>IF(ER251&lt;0.01,0,IF(Plus!$F$22=Plus!$AN$4,0,IF(Plus!$F$22=Plus!$AN$3,ER251*Plus!$F$23/1000,ER251*VLOOKUP(Plus!$G$21,Plus!$AP$2:'Plus'!$AQ$5,2,0))))</f>
        <v>0</v>
      </c>
      <c r="EM252" s="33">
        <f>IF(ER251&lt;0.01,0,IF(Plus!$F$24=Plus!$AO$3,0,IF(OR(Plus!$F$10=Plus!$AK$7,Plus!$F$10=Plus!$AK$13),0,Plus!$G$13*Plus!$AR$2)))</f>
        <v>0</v>
      </c>
      <c r="EN252" s="33">
        <f>IF(ER251&lt;0.01,0,IF(OR(Plus!$F$10=Plus!$AK$7,Plus!$F$10=Plus!$AK$13),0,Plus!$BD$2*1.16))</f>
        <v>0</v>
      </c>
      <c r="EO252" s="33">
        <f>IF(ER251&lt;0.01,0,IF(Plus!$AS$2&gt;0,EI252*Plus!$AS$3,0))</f>
        <v>0</v>
      </c>
      <c r="EP252" s="33">
        <f t="shared" si="520"/>
        <v>0</v>
      </c>
      <c r="EQ252" s="33">
        <f>IF(Plus!$F$10=Plus!$AK$3,MIN(ER251+EI252+EL252+EM252+EN252-EP252,FC252),0)</f>
        <v>0</v>
      </c>
      <c r="ER252" s="311">
        <f t="shared" si="577"/>
        <v>0</v>
      </c>
      <c r="ES252" s="340">
        <f>Plus!O293</f>
        <v>0</v>
      </c>
      <c r="ET252" s="74"/>
      <c r="EU252" s="74"/>
      <c r="EV252" s="416">
        <f t="shared" si="575"/>
        <v>0</v>
      </c>
      <c r="EY252" s="90">
        <f t="shared" si="521"/>
        <v>12</v>
      </c>
      <c r="EZ252" s="121">
        <f t="shared" si="565"/>
        <v>0</v>
      </c>
      <c r="FB252" s="149">
        <f t="shared" si="566"/>
        <v>0</v>
      </c>
      <c r="FC252" s="2179">
        <f t="shared" ca="1" si="522"/>
        <v>0</v>
      </c>
      <c r="FE252" s="120">
        <f t="shared" si="567"/>
        <v>0</v>
      </c>
      <c r="FF252" s="110">
        <f t="shared" si="523"/>
        <v>0</v>
      </c>
      <c r="FG252" s="110">
        <f t="shared" si="524"/>
        <v>0</v>
      </c>
      <c r="FH252" s="109">
        <f t="shared" si="525"/>
        <v>0</v>
      </c>
      <c r="FI252" s="109">
        <f t="shared" si="476"/>
        <v>0</v>
      </c>
      <c r="FJ252" s="113">
        <f t="shared" si="526"/>
        <v>0</v>
      </c>
      <c r="FL252" s="102">
        <f t="shared" si="527"/>
        <v>0</v>
      </c>
      <c r="FM252" s="211">
        <f t="shared" si="454"/>
        <v>228</v>
      </c>
      <c r="FN252" s="212">
        <f t="shared" si="528"/>
        <v>0</v>
      </c>
      <c r="FO252" s="212">
        <f t="shared" si="477"/>
        <v>0</v>
      </c>
      <c r="FP252" s="212">
        <f t="shared" si="592"/>
        <v>0</v>
      </c>
      <c r="FQ252" s="213">
        <f t="shared" si="478"/>
        <v>1000000</v>
      </c>
      <c r="FV252" s="359"/>
      <c r="FX252" s="308">
        <f t="shared" ca="1" si="479"/>
        <v>3</v>
      </c>
      <c r="FY252" s="309">
        <f t="shared" si="530"/>
        <v>0</v>
      </c>
      <c r="FZ252" s="268">
        <f t="shared" si="480"/>
        <v>0</v>
      </c>
      <c r="GA252" s="33">
        <f t="shared" si="531"/>
        <v>0</v>
      </c>
      <c r="GB252" s="33">
        <f t="shared" si="585"/>
        <v>0</v>
      </c>
      <c r="GC252" s="33">
        <f t="shared" si="586"/>
        <v>0</v>
      </c>
      <c r="GD252" s="33">
        <f>IF(GJ251&lt;0.01,0,IF(Plus!$F$22=Plus!$AN$4,0,IF(Plus!$F$22=Plus!$AN$3,GJ251*Plus!$F$23/1000,GJ251*VLOOKUP(Plus!$G$21,Plus!$AP$2:$AQ$5,2,0))))</f>
        <v>0</v>
      </c>
      <c r="GE252" s="33">
        <f>IF(GJ251&lt;0.01,0,IF(Plus!$F$24=Plus!$AO$3,0,IF(OR(Plus!$F$10=Plus!$AK$7,Plus!$F$10=Plus!$AK$13,Plus!$F$10=Plus!$AK$14),0,IF(OR(Plus!$F$10=Plus!$AK$10,Plus!$F$10=Plus!$AK$11),Plus!$G$13*Adm!$W$7,Plus!$G$13*Adm!$X$4))))</f>
        <v>0</v>
      </c>
      <c r="GF252" s="33">
        <f>IF(GJ251&lt;0.01,0,IF(OR(Plus!$F$10=Plus!$AK$7,Plus!$F$10=Plus!$AK$13),0,Plus!$BD$2*1.16))</f>
        <v>0</v>
      </c>
      <c r="GG252" s="33">
        <f>IF(GJ251&lt;0.01,0,IF(Plus!$AS$2&gt;0,GA252*Plus!$AS$3,0))</f>
        <v>0</v>
      </c>
      <c r="GH252" s="33">
        <f t="shared" si="532"/>
        <v>0</v>
      </c>
      <c r="GI252" s="33">
        <f>IF(Plus!$F$10=Plus!$AK$3,MIN(GJ251+GA252+GD252+GE252+GF252-GH252,GU252),0)</f>
        <v>0</v>
      </c>
      <c r="GJ252" s="311">
        <f t="shared" si="578"/>
        <v>0</v>
      </c>
      <c r="GK252" s="340">
        <f>Plus!O293</f>
        <v>0</v>
      </c>
      <c r="GL252" s="74"/>
      <c r="GM252" s="74"/>
      <c r="GN252" s="419">
        <f t="shared" si="576"/>
        <v>0</v>
      </c>
      <c r="GQ252" s="90">
        <f t="shared" si="533"/>
        <v>12</v>
      </c>
      <c r="GR252" s="121">
        <f t="shared" si="568"/>
        <v>0</v>
      </c>
      <c r="GT252" s="149">
        <f t="shared" si="569"/>
        <v>0</v>
      </c>
      <c r="GU252" s="2179">
        <f t="shared" ca="1" si="534"/>
        <v>0</v>
      </c>
      <c r="GW252" s="120">
        <f t="shared" si="570"/>
        <v>0</v>
      </c>
      <c r="GX252" s="110">
        <f t="shared" si="535"/>
        <v>0</v>
      </c>
      <c r="GY252" s="110">
        <f t="shared" si="536"/>
        <v>0</v>
      </c>
      <c r="GZ252" s="109">
        <f t="shared" si="537"/>
        <v>0</v>
      </c>
      <c r="HA252" s="109">
        <f t="shared" si="481"/>
        <v>0</v>
      </c>
      <c r="HB252" s="113">
        <f t="shared" si="538"/>
        <v>0</v>
      </c>
      <c r="HD252" s="102">
        <f t="shared" si="539"/>
        <v>0</v>
      </c>
      <c r="HE252" s="211">
        <f t="shared" si="455"/>
        <v>228</v>
      </c>
      <c r="HF252" s="212">
        <f t="shared" si="540"/>
        <v>0</v>
      </c>
      <c r="HG252" s="212">
        <f t="shared" si="482"/>
        <v>0</v>
      </c>
      <c r="HH252" s="212">
        <f t="shared" si="593"/>
        <v>0</v>
      </c>
      <c r="HI252" s="213">
        <f t="shared" si="483"/>
        <v>1000000</v>
      </c>
      <c r="HL252" s="182"/>
      <c r="HM252" s="26">
        <f t="shared" ca="1" si="484"/>
        <v>3</v>
      </c>
      <c r="HO252" s="268">
        <f t="shared" si="485"/>
        <v>0</v>
      </c>
      <c r="HP252" s="151">
        <f t="shared" si="448"/>
        <v>0</v>
      </c>
      <c r="HQ252" s="123">
        <f t="shared" si="542"/>
        <v>0</v>
      </c>
      <c r="HR252" s="123">
        <f t="shared" si="543"/>
        <v>0</v>
      </c>
      <c r="HS252" s="123">
        <f t="shared" si="544"/>
        <v>0</v>
      </c>
      <c r="HT252" s="123">
        <f>IF(HY251&lt;0.01,0,IF(Adm!$GS$4=Adm!$GS$8,HY251*$HY$15,IF(Adm!$GS$12=Adm!$GS$13,0,HY251*Adm!$GV$4)))</f>
        <v>0</v>
      </c>
      <c r="HU252" s="123">
        <f>IF(HY251&lt;0.01,0,IF(Adm!$GS$5=Adm!$GS$8,Cal!$BO$108*$HY$16/1.16,IF(Adm!$GS$12=Adm!$GS$13,0,Cal!$BO$108*Adm!$GW$4/1.16)))</f>
        <v>0</v>
      </c>
      <c r="HV252" s="123">
        <f t="shared" si="545"/>
        <v>0</v>
      </c>
      <c r="HW252" s="123">
        <f t="shared" si="486"/>
        <v>0</v>
      </c>
      <c r="HX252" s="123">
        <f>IF(Adm!$GH$6="si",MIN(HY251+HQ252+HT252+HU252+HV252-HW252,IH252),0)</f>
        <v>0</v>
      </c>
      <c r="HY252" s="297">
        <f t="shared" si="546"/>
        <v>0</v>
      </c>
      <c r="HZ252" s="74"/>
      <c r="IA252" s="407">
        <f t="shared" si="547"/>
        <v>0</v>
      </c>
      <c r="IC252" s="90">
        <f t="shared" si="548"/>
        <v>12</v>
      </c>
      <c r="ID252" s="124">
        <f>IF(IC252=1,Cal!$BO$127,0)</f>
        <v>0</v>
      </c>
      <c r="IE252" s="178">
        <f>IF(IC252=1,Adm!$HI$4,0)</f>
        <v>0</v>
      </c>
      <c r="IG252" s="70">
        <f t="shared" si="571"/>
        <v>0</v>
      </c>
      <c r="IH252" s="2178">
        <f t="shared" ca="1" si="549"/>
        <v>0</v>
      </c>
      <c r="IK252" s="217"/>
      <c r="IL252" s="26">
        <f t="shared" ca="1" si="487"/>
        <v>3</v>
      </c>
      <c r="IN252" s="268">
        <f t="shared" si="488"/>
        <v>0</v>
      </c>
      <c r="IO252" s="151">
        <f t="shared" si="449"/>
        <v>0</v>
      </c>
      <c r="IP252" s="123">
        <f t="shared" si="550"/>
        <v>0</v>
      </c>
      <c r="IQ252" s="123">
        <f t="shared" si="551"/>
        <v>0</v>
      </c>
      <c r="IR252" s="123">
        <f t="shared" si="552"/>
        <v>0</v>
      </c>
      <c r="IS252" s="123">
        <f>IF(IX251&lt;0.01,0,IF(Adm!$GS$4=Adm!$GS$8,IX251*$IX$15,IF(Adm!$GS$12=Adm!$GS$13,0,IX251*Adm!$GV$4)))</f>
        <v>0</v>
      </c>
      <c r="IT252" s="123"/>
      <c r="IU252" s="123">
        <f t="shared" si="553"/>
        <v>0</v>
      </c>
      <c r="IV252" s="123">
        <f t="shared" si="554"/>
        <v>0</v>
      </c>
      <c r="IW252" s="123"/>
      <c r="IX252" s="297">
        <f t="shared" si="555"/>
        <v>0</v>
      </c>
      <c r="IY252" s="74"/>
      <c r="IZ252" s="416">
        <f t="shared" si="556"/>
        <v>0</v>
      </c>
      <c r="JB252" s="90">
        <f t="shared" si="557"/>
        <v>12</v>
      </c>
      <c r="JC252" s="124">
        <f>IF(JB252=1,Cal!$BP$127,0)</f>
        <v>0</v>
      </c>
      <c r="JD252" s="178">
        <f>IF(JB252=1,Adm!$HI$4,0)</f>
        <v>0</v>
      </c>
    </row>
    <row r="253" spans="1:264">
      <c r="A253" s="26">
        <f t="shared" ca="1" si="456"/>
        <v>4</v>
      </c>
      <c r="C253" s="33">
        <f t="shared" si="457"/>
        <v>0</v>
      </c>
      <c r="D253" s="123">
        <f t="shared" si="489"/>
        <v>0</v>
      </c>
      <c r="E253" s="123">
        <f t="shared" si="579"/>
        <v>0</v>
      </c>
      <c r="F253" s="123">
        <f t="shared" si="589"/>
        <v>0</v>
      </c>
      <c r="G253" s="123">
        <f>IF(L252&lt;0.01,0,IF(Adm!$S$4=Adm!$S$8,L252*$L$15,L252*Adm!$V$4))</f>
        <v>0</v>
      </c>
      <c r="H253" s="123">
        <f>IF(L252&lt;0.01,0,IF(Adm!$S$5=Adm!$S$8,Adm!$AA$11*$L$16/1.16,IF(Adm!$B$4=Adm!$A$119,0,Adm!$AA$11*Adm!$X$4/1.16)))</f>
        <v>0</v>
      </c>
      <c r="I253" s="123">
        <f>IF(L252&lt;0.01,0,Cal!$AB$126/1.16)</f>
        <v>0</v>
      </c>
      <c r="J253" s="123">
        <f t="shared" si="458"/>
        <v>0</v>
      </c>
      <c r="K253" s="123">
        <f>IF(Adm!$G$4="si",MIN(L252+D253+G253+H253+I253-J253,V253),0)</f>
        <v>0</v>
      </c>
      <c r="L253" s="123">
        <f t="shared" si="490"/>
        <v>0</v>
      </c>
      <c r="M253" s="74"/>
      <c r="N253" s="74"/>
      <c r="O253" s="407">
        <f t="shared" si="491"/>
        <v>0</v>
      </c>
      <c r="R253" s="90">
        <f t="shared" si="492"/>
        <v>1</v>
      </c>
      <c r="S253" s="121">
        <f>IF(R253=1,Cal!$AB$127,0)</f>
        <v>0</v>
      </c>
      <c r="U253" s="70">
        <f t="shared" si="558"/>
        <v>0</v>
      </c>
      <c r="V253" s="2178">
        <f t="shared" ca="1" si="493"/>
        <v>0</v>
      </c>
      <c r="X253" s="398"/>
      <c r="Z253" s="268">
        <f t="shared" si="459"/>
        <v>0</v>
      </c>
      <c r="AA253" s="2176">
        <f t="shared" si="494"/>
        <v>0</v>
      </c>
      <c r="AB253" s="33">
        <f t="shared" si="495"/>
        <v>0</v>
      </c>
      <c r="AC253" s="33">
        <f t="shared" si="496"/>
        <v>0</v>
      </c>
      <c r="AD253" s="33">
        <f>IF(AI252&lt;0.01,0,IF(Adm!$S$4=Adm!$S$8,AI252*$AI$15,AI252*Adm!$V$4))</f>
        <v>0</v>
      </c>
      <c r="AE253" s="33"/>
      <c r="AF253" s="33"/>
      <c r="AG253" s="33">
        <f t="shared" si="460"/>
        <v>0</v>
      </c>
      <c r="AH253" s="33"/>
      <c r="AI253" s="401">
        <f t="shared" si="461"/>
        <v>0</v>
      </c>
      <c r="AK253" s="410">
        <f t="shared" si="462"/>
        <v>0</v>
      </c>
      <c r="AN253" s="90">
        <f t="shared" si="497"/>
        <v>1</v>
      </c>
      <c r="AO253" s="121">
        <f>IF(AN253=1,Cal!$AC$127,0)</f>
        <v>0</v>
      </c>
      <c r="AS253" s="200"/>
      <c r="AU253" s="268">
        <f t="shared" si="463"/>
        <v>0</v>
      </c>
      <c r="AV253" s="2177">
        <f t="shared" si="498"/>
        <v>0</v>
      </c>
      <c r="AW253" s="123">
        <f t="shared" si="464"/>
        <v>0</v>
      </c>
      <c r="AX253" s="123">
        <f t="shared" si="499"/>
        <v>0</v>
      </c>
      <c r="AY253" s="123">
        <f>IF(BC252&lt;0.01,0,IF(Adm!$S$4=Adm!$S$8,BC252*$BC$16,BC252*Adm!$V$4))</f>
        <v>0</v>
      </c>
      <c r="AZ253" s="123"/>
      <c r="BA253" s="123">
        <f>IF(BC252&lt;0.01,0,Adm!$Q$6)</f>
        <v>0</v>
      </c>
      <c r="BB253" s="123">
        <f t="shared" si="465"/>
        <v>0</v>
      </c>
      <c r="BC253" s="297">
        <f t="shared" si="500"/>
        <v>0</v>
      </c>
      <c r="BE253" s="425">
        <f t="shared" si="466"/>
        <v>0</v>
      </c>
      <c r="BH253" s="90">
        <f t="shared" si="501"/>
        <v>1</v>
      </c>
      <c r="BI253" s="121">
        <f>IF(BH253=1,Cal!$AD$127,0)</f>
        <v>0</v>
      </c>
      <c r="BM253" s="221"/>
      <c r="BO253" s="295">
        <f t="shared" ca="1" si="467"/>
        <v>4</v>
      </c>
      <c r="BP253" s="268">
        <f t="shared" si="468"/>
        <v>0</v>
      </c>
      <c r="BQ253" s="123">
        <f t="shared" si="502"/>
        <v>0</v>
      </c>
      <c r="BR253" s="123">
        <f t="shared" si="580"/>
        <v>0</v>
      </c>
      <c r="BS253" s="123">
        <f t="shared" si="590"/>
        <v>0</v>
      </c>
      <c r="BT253" s="123">
        <f>IF(BZ252&lt;0.01,0,IF(Plus!$F$22=Plus!$AN$4,BZ252*$BZ$15,IF(Plus!$F$22=Plus!$AN$3,BZ252*Plus!$F$23/1000,BZ252*VLOOKUP(Plus!$G$21,Plus!$AP$2:'Plus'!$AQ$5,2,0))))</f>
        <v>0</v>
      </c>
      <c r="BU253" s="123">
        <f>IF(BZ252&lt;0.01,0,IF(Plus!$F$24=Plus!$AO$3,Plus!$G$13*Plus!$AR$2/1.16,IF(Plus!$F$10=Plus!$AK$7,0,Plus!$G$13*Plus!$AR$2/1.16)))</f>
        <v>0</v>
      </c>
      <c r="BV253" s="123">
        <f>IF(BZ252&lt;0.01,0,Plus!$BD$2)</f>
        <v>0</v>
      </c>
      <c r="BW253" s="123"/>
      <c r="BX253" s="123">
        <f t="shared" si="469"/>
        <v>0</v>
      </c>
      <c r="BY253" s="123">
        <f>IF(Plus!$F$10=Plus!$AK$3,MIN(BZ252+BQ253+BT253+BU253+BV253-BX253,CJ253),0)</f>
        <v>0</v>
      </c>
      <c r="BZ253" s="297">
        <f t="shared" si="574"/>
        <v>0</v>
      </c>
      <c r="CA253" s="74"/>
      <c r="CB253" s="74"/>
      <c r="CC253" s="413">
        <f t="shared" si="503"/>
        <v>0</v>
      </c>
      <c r="CF253" s="90">
        <f t="shared" si="504"/>
        <v>1</v>
      </c>
      <c r="CG253" s="121">
        <f t="shared" si="559"/>
        <v>0</v>
      </c>
      <c r="CI253" s="70">
        <f t="shared" si="560"/>
        <v>0</v>
      </c>
      <c r="CJ253" s="2178">
        <f t="shared" ca="1" si="505"/>
        <v>0</v>
      </c>
      <c r="CL253" s="161"/>
      <c r="CN253" s="308">
        <f t="shared" ca="1" si="470"/>
        <v>4</v>
      </c>
      <c r="CO253" s="309">
        <f t="shared" si="506"/>
        <v>0</v>
      </c>
      <c r="CP253" s="268">
        <f t="shared" si="471"/>
        <v>0</v>
      </c>
      <c r="CQ253" s="123">
        <f t="shared" si="507"/>
        <v>0</v>
      </c>
      <c r="CR253" s="123">
        <f t="shared" si="581"/>
        <v>0</v>
      </c>
      <c r="CS253" s="123">
        <f t="shared" si="582"/>
        <v>0</v>
      </c>
      <c r="CT253" s="33">
        <f>IF(CZ252&lt;0.01,0,IF(Plus!$F$22=Plus!$AN$4,0,IF(Plus!$F$22=Plus!$AN$3,CZ252*Plus!$F$23/1000,CZ252*VLOOKUP(Plus!$G$21,Plus!$AP$2:'Plus'!$AQ$5,2,0))))</f>
        <v>0</v>
      </c>
      <c r="CU253" s="123">
        <f>IF(CZ252&lt;0.01,0,IF(Plus!$F$24=Plus!$AO$3,0,IF(OR(Plus!$F$10=Plus!$AK$7,Plus!$F$10=Plus!$AK$13),0,Plus!$G$13*Plus!$AR$2)))</f>
        <v>0</v>
      </c>
      <c r="CV253" s="123">
        <f>IF(CZ252&lt;0.01,0,IF(OR(Plus!$F$10=Plus!$AK$7,Plus!$F$10=Plus!$AK$13),0,Plus!$BD$2*1.16))</f>
        <v>0</v>
      </c>
      <c r="CW253" s="123">
        <f>IF(CZ252&lt;0.01,0,IF(Plus!$AS$2&gt;0,CQ253*Plus!$AS$3,0))</f>
        <v>0</v>
      </c>
      <c r="CX253" s="123">
        <f t="shared" si="508"/>
        <v>0</v>
      </c>
      <c r="CY253" s="123">
        <f>IF(Plus!$F$10=Plus!$AK$3,MIN(CZ252+CQ253+CT253+CU253+CV253-CX253,DK253),0)</f>
        <v>0</v>
      </c>
      <c r="CZ253" s="297">
        <f t="shared" si="588"/>
        <v>0</v>
      </c>
      <c r="DA253" s="306">
        <f>Plus!O294</f>
        <v>0</v>
      </c>
      <c r="DB253" s="74"/>
      <c r="DC253" s="74"/>
      <c r="DD253" s="407">
        <f t="shared" si="509"/>
        <v>0</v>
      </c>
      <c r="DG253" s="90">
        <f t="shared" si="510"/>
        <v>1</v>
      </c>
      <c r="DH253" s="121">
        <f t="shared" si="561"/>
        <v>0</v>
      </c>
      <c r="DJ253" s="149">
        <f t="shared" si="562"/>
        <v>0</v>
      </c>
      <c r="DK253" s="2179">
        <f t="shared" ca="1" si="511"/>
        <v>0</v>
      </c>
      <c r="DN253" s="120">
        <f t="shared" si="563"/>
        <v>0</v>
      </c>
      <c r="DO253" s="110">
        <f t="shared" si="512"/>
        <v>0</v>
      </c>
      <c r="DP253" s="110">
        <f t="shared" si="572"/>
        <v>0</v>
      </c>
      <c r="DQ253" s="109">
        <f t="shared" si="513"/>
        <v>0</v>
      </c>
      <c r="DR253" s="109">
        <f t="shared" si="514"/>
        <v>0</v>
      </c>
      <c r="DS253" s="113">
        <f t="shared" si="515"/>
        <v>0</v>
      </c>
      <c r="DU253" s="102">
        <f t="shared" si="516"/>
        <v>0</v>
      </c>
      <c r="DV253" s="333">
        <f t="shared" si="573"/>
        <v>229</v>
      </c>
      <c r="DW253" s="334">
        <f t="shared" si="517"/>
        <v>0</v>
      </c>
      <c r="DX253" s="334">
        <f t="shared" si="472"/>
        <v>0</v>
      </c>
      <c r="DY253" s="334">
        <f>MIN(DZ252+DW253,DY252*(1+$DW$20))</f>
        <v>0</v>
      </c>
      <c r="DZ253" s="213">
        <f t="shared" si="473"/>
        <v>1000000</v>
      </c>
      <c r="ED253" s="182"/>
      <c r="EF253" s="308">
        <f t="shared" ca="1" si="474"/>
        <v>4</v>
      </c>
      <c r="EG253" s="309">
        <f t="shared" si="518"/>
        <v>0</v>
      </c>
      <c r="EH253" s="268">
        <f t="shared" si="475"/>
        <v>0</v>
      </c>
      <c r="EI253" s="33">
        <f t="shared" si="519"/>
        <v>0</v>
      </c>
      <c r="EJ253" s="33">
        <f t="shared" si="583"/>
        <v>0</v>
      </c>
      <c r="EK253" s="33">
        <f t="shared" si="591"/>
        <v>0</v>
      </c>
      <c r="EL253" s="33">
        <f>IF(ER252&lt;0.01,0,IF(Plus!$F$22=Plus!$AN$4,0,IF(Plus!$F$22=Plus!$AN$3,ER252*Plus!$F$23/1000,ER252*VLOOKUP(Plus!$G$21,Plus!$AP$2:'Plus'!$AQ$5,2,0))))</f>
        <v>0</v>
      </c>
      <c r="EM253" s="33">
        <f>IF(ER252&lt;0.01,0,IF(Plus!$F$24=Plus!$AO$3,0,IF(OR(Plus!$F$10=Plus!$AK$7,Plus!$F$10=Plus!$AK$13),0,Plus!$G$13*Plus!$AR$2)))</f>
        <v>0</v>
      </c>
      <c r="EN253" s="33">
        <f>IF(ER252&lt;0.01,0,IF(OR(Plus!$F$10=Plus!$AK$7,Plus!$F$10=Plus!$AK$13),0,Plus!$BD$2*1.16))</f>
        <v>0</v>
      </c>
      <c r="EO253" s="33">
        <f>IF(ER252&lt;0.01,0,IF(Plus!$AS$2&gt;0,EI253*Plus!$AS$3,0))</f>
        <v>0</v>
      </c>
      <c r="EP253" s="33">
        <f t="shared" si="520"/>
        <v>0</v>
      </c>
      <c r="EQ253" s="33">
        <f>IF(Plus!$F$10=Plus!$AK$3,MIN(ER252+EI253+EL253+EM253+EN253-EP253,FC253),0)</f>
        <v>0</v>
      </c>
      <c r="ER253" s="311">
        <f t="shared" si="577"/>
        <v>0</v>
      </c>
      <c r="ES253" s="340">
        <f>Plus!O294</f>
        <v>0</v>
      </c>
      <c r="ET253" s="74"/>
      <c r="EU253" s="74"/>
      <c r="EV253" s="416">
        <f t="shared" si="575"/>
        <v>0</v>
      </c>
      <c r="EY253" s="90">
        <f t="shared" si="521"/>
        <v>1</v>
      </c>
      <c r="EZ253" s="121">
        <f t="shared" si="565"/>
        <v>0</v>
      </c>
      <c r="FB253" s="149">
        <f t="shared" si="566"/>
        <v>0</v>
      </c>
      <c r="FC253" s="2179">
        <f t="shared" ca="1" si="522"/>
        <v>0</v>
      </c>
      <c r="FE253" s="120">
        <f t="shared" si="567"/>
        <v>0</v>
      </c>
      <c r="FF253" s="110">
        <f t="shared" si="523"/>
        <v>0</v>
      </c>
      <c r="FG253" s="110">
        <f t="shared" si="524"/>
        <v>0</v>
      </c>
      <c r="FH253" s="109">
        <f t="shared" si="525"/>
        <v>0</v>
      </c>
      <c r="FI253" s="109">
        <f t="shared" si="476"/>
        <v>0</v>
      </c>
      <c r="FJ253" s="113">
        <f t="shared" si="526"/>
        <v>0</v>
      </c>
      <c r="FL253" s="102">
        <f t="shared" si="527"/>
        <v>0</v>
      </c>
      <c r="FM253" s="326">
        <f t="shared" si="454"/>
        <v>229</v>
      </c>
      <c r="FN253" s="327">
        <f t="shared" si="528"/>
        <v>0</v>
      </c>
      <c r="FO253" s="327">
        <f t="shared" si="477"/>
        <v>0</v>
      </c>
      <c r="FP253" s="327">
        <f>MIN(FQ252+FN253,FP252*(1+$FN$20))</f>
        <v>0</v>
      </c>
      <c r="FQ253" s="213">
        <f t="shared" si="478"/>
        <v>1000000</v>
      </c>
      <c r="FV253" s="359"/>
      <c r="FX253" s="308">
        <f t="shared" ca="1" si="479"/>
        <v>4</v>
      </c>
      <c r="FY253" s="309">
        <f t="shared" si="530"/>
        <v>0</v>
      </c>
      <c r="FZ253" s="268">
        <f t="shared" si="480"/>
        <v>0</v>
      </c>
      <c r="GA253" s="33">
        <f t="shared" si="531"/>
        <v>0</v>
      </c>
      <c r="GB253" s="33">
        <f t="shared" si="585"/>
        <v>0</v>
      </c>
      <c r="GC253" s="33">
        <f t="shared" si="586"/>
        <v>0</v>
      </c>
      <c r="GD253" s="33">
        <f>IF(GJ252&lt;0.01,0,IF(Plus!$F$22=Plus!$AN$4,0,IF(Plus!$F$22=Plus!$AN$3,GJ252*Plus!$F$23/1000,GJ252*VLOOKUP(Plus!$G$21,Plus!$AP$2:$AQ$5,2,0))))</f>
        <v>0</v>
      </c>
      <c r="GE253" s="33">
        <f>IF(GJ252&lt;0.01,0,IF(Plus!$F$24=Plus!$AO$3,0,IF(OR(Plus!$F$10=Plus!$AK$7,Plus!$F$10=Plus!$AK$13,Plus!$F$10=Plus!$AK$14),0,IF(OR(Plus!$F$10=Plus!$AK$10,Plus!$F$10=Plus!$AK$11),Plus!$G$13*Adm!$W$7,Plus!$G$13*Adm!$X$4))))</f>
        <v>0</v>
      </c>
      <c r="GF253" s="33">
        <f>IF(GJ252&lt;0.01,0,IF(OR(Plus!$F$10=Plus!$AK$7,Plus!$F$10=Plus!$AK$13),0,Plus!$BD$2*1.16))</f>
        <v>0</v>
      </c>
      <c r="GG253" s="33">
        <f>IF(GJ252&lt;0.01,0,IF(Plus!$AS$2&gt;0,GA253*Plus!$AS$3,0))</f>
        <v>0</v>
      </c>
      <c r="GH253" s="33">
        <f t="shared" si="532"/>
        <v>0</v>
      </c>
      <c r="GI253" s="33">
        <f>IF(Plus!$F$10=Plus!$AK$3,MIN(GJ252+GA253+GD253+GE253+GF253-GH253,GU253),0)</f>
        <v>0</v>
      </c>
      <c r="GJ253" s="311">
        <f t="shared" si="578"/>
        <v>0</v>
      </c>
      <c r="GK253" s="340">
        <f>Plus!O294</f>
        <v>0</v>
      </c>
      <c r="GL253" s="74"/>
      <c r="GM253" s="74"/>
      <c r="GN253" s="419">
        <f t="shared" si="576"/>
        <v>0</v>
      </c>
      <c r="GQ253" s="90">
        <f t="shared" si="533"/>
        <v>1</v>
      </c>
      <c r="GR253" s="121">
        <f t="shared" si="568"/>
        <v>0</v>
      </c>
      <c r="GT253" s="149">
        <f t="shared" si="569"/>
        <v>0</v>
      </c>
      <c r="GU253" s="2179">
        <f t="shared" ca="1" si="534"/>
        <v>0</v>
      </c>
      <c r="GW253" s="120">
        <f t="shared" si="570"/>
        <v>0</v>
      </c>
      <c r="GX253" s="110">
        <f t="shared" si="535"/>
        <v>0</v>
      </c>
      <c r="GY253" s="110">
        <f t="shared" si="536"/>
        <v>0</v>
      </c>
      <c r="GZ253" s="109">
        <f t="shared" si="537"/>
        <v>0</v>
      </c>
      <c r="HA253" s="109">
        <f t="shared" si="481"/>
        <v>0</v>
      </c>
      <c r="HB253" s="113">
        <f t="shared" si="538"/>
        <v>0</v>
      </c>
      <c r="HD253" s="102">
        <f t="shared" si="539"/>
        <v>0</v>
      </c>
      <c r="HE253" s="326">
        <f t="shared" si="455"/>
        <v>229</v>
      </c>
      <c r="HF253" s="327">
        <f t="shared" si="540"/>
        <v>0</v>
      </c>
      <c r="HG253" s="327">
        <f t="shared" si="482"/>
        <v>0</v>
      </c>
      <c r="HH253" s="327">
        <f>MIN(HI252+HF253,HH252*(1+$FN$20))</f>
        <v>0</v>
      </c>
      <c r="HI253" s="213">
        <f t="shared" si="483"/>
        <v>1000000</v>
      </c>
      <c r="HL253" s="182"/>
      <c r="HM253" s="26">
        <f t="shared" ca="1" si="484"/>
        <v>4</v>
      </c>
      <c r="HO253" s="268">
        <f t="shared" si="485"/>
        <v>0</v>
      </c>
      <c r="HP253" s="151">
        <f t="shared" ref="HP253:HP264" si="594">IF(HY252&lt;0.01,0,IF(HP252=$HT$10,HP252,IF(HP252-IE253&lt;=$HT$10,HP252-IE253,HP252-IE253)))</f>
        <v>0</v>
      </c>
      <c r="HQ253" s="123">
        <f t="shared" si="542"/>
        <v>0</v>
      </c>
      <c r="HR253" s="123">
        <f t="shared" si="543"/>
        <v>0</v>
      </c>
      <c r="HS253" s="123">
        <f t="shared" si="544"/>
        <v>0</v>
      </c>
      <c r="HT253" s="123">
        <f>IF(HY252&lt;0.01,0,IF(Adm!$GS$4=Adm!$GS$8,HY252*$HY$15,IF(Adm!$GS$12=Adm!$GS$13,0,HY252*Adm!$GV$4)))</f>
        <v>0</v>
      </c>
      <c r="HU253" s="123">
        <f>IF(HY252&lt;0.01,0,IF(Adm!$GS$5=Adm!$GS$8,Cal!$BO$108*$HY$16/1.16,IF(Adm!$GS$12=Adm!$GS$13,0,Cal!$BO$108*Adm!$GW$4/1.16)))</f>
        <v>0</v>
      </c>
      <c r="HV253" s="123">
        <f t="shared" si="545"/>
        <v>0</v>
      </c>
      <c r="HW253" s="123">
        <f t="shared" si="486"/>
        <v>0</v>
      </c>
      <c r="HX253" s="123">
        <f>IF(Adm!$GH$6="si",MIN(HY252+HQ253+HT253+HU253+HV253-HW253,IH253),0)</f>
        <v>0</v>
      </c>
      <c r="HY253" s="297">
        <f t="shared" si="546"/>
        <v>0</v>
      </c>
      <c r="HZ253" s="74"/>
      <c r="IA253" s="407">
        <f t="shared" si="547"/>
        <v>0</v>
      </c>
      <c r="IC253" s="90">
        <f t="shared" si="548"/>
        <v>1</v>
      </c>
      <c r="ID253" s="124">
        <f>IF(IC253=1,Cal!$BO$127,0)</f>
        <v>0</v>
      </c>
      <c r="IE253" s="178">
        <f>IF(IC253=1,Adm!$HI$4,0)</f>
        <v>2.5000000000000001E-3</v>
      </c>
      <c r="IG253" s="70">
        <f t="shared" si="571"/>
        <v>0</v>
      </c>
      <c r="IH253" s="2178">
        <f t="shared" ca="1" si="549"/>
        <v>0</v>
      </c>
      <c r="IK253" s="217"/>
      <c r="IL253" s="26">
        <f t="shared" ca="1" si="487"/>
        <v>4</v>
      </c>
      <c r="IN253" s="268">
        <f t="shared" si="488"/>
        <v>0</v>
      </c>
      <c r="IO253" s="151">
        <f t="shared" ref="IO253:IO264" si="595">IF(IX252&lt;0.01,0,IF(IO252=$HT$10,IO252,IF(IO252-JD253&lt;=$HT$10,IO252-JD253,IO252-JD253)))</f>
        <v>0</v>
      </c>
      <c r="IP253" s="123">
        <f t="shared" si="550"/>
        <v>0</v>
      </c>
      <c r="IQ253" s="123">
        <f t="shared" si="551"/>
        <v>0</v>
      </c>
      <c r="IR253" s="123">
        <f t="shared" si="552"/>
        <v>0</v>
      </c>
      <c r="IS253" s="123">
        <f>IF(IX252&lt;0.01,0,IF(Adm!$GS$4=Adm!$GS$8,IX252*$IX$15,IF(Adm!$GS$12=Adm!$GS$13,0,IX252*Adm!$GV$4)))</f>
        <v>0</v>
      </c>
      <c r="IT253" s="123"/>
      <c r="IU253" s="123">
        <f t="shared" si="553"/>
        <v>0</v>
      </c>
      <c r="IV253" s="123">
        <f t="shared" si="554"/>
        <v>0</v>
      </c>
      <c r="IW253" s="123"/>
      <c r="IX253" s="297">
        <f t="shared" si="555"/>
        <v>0</v>
      </c>
      <c r="IY253" s="74"/>
      <c r="IZ253" s="416">
        <f t="shared" si="556"/>
        <v>0</v>
      </c>
      <c r="JB253" s="90">
        <f t="shared" si="557"/>
        <v>1</v>
      </c>
      <c r="JC253" s="124">
        <f>IF(JB253=1,Cal!$BP$127,0)</f>
        <v>0</v>
      </c>
      <c r="JD253" s="178">
        <f>IF(JB253=1,Adm!$HI$4,0)</f>
        <v>2.5000000000000001E-3</v>
      </c>
    </row>
    <row r="254" spans="1:264">
      <c r="A254" s="26">
        <f t="shared" ca="1" si="456"/>
        <v>5</v>
      </c>
      <c r="C254" s="33">
        <f t="shared" si="457"/>
        <v>0</v>
      </c>
      <c r="D254" s="123">
        <f t="shared" si="489"/>
        <v>0</v>
      </c>
      <c r="E254" s="123">
        <f t="shared" si="579"/>
        <v>0</v>
      </c>
      <c r="F254" s="123">
        <f t="shared" si="589"/>
        <v>0</v>
      </c>
      <c r="G254" s="123">
        <f>IF(L253&lt;0.01,0,IF(Adm!$S$4=Adm!$S$8,L253*$L$15,L253*Adm!$V$4))</f>
        <v>0</v>
      </c>
      <c r="H254" s="123">
        <f>IF(L253&lt;0.01,0,IF(Adm!$S$5=Adm!$S$8,Adm!$AA$11*$L$16/1.16,IF(Adm!$B$4=Adm!$A$119,0,Adm!$AA$11*Adm!$X$4/1.16)))</f>
        <v>0</v>
      </c>
      <c r="I254" s="123">
        <f>IF(L253&lt;0.01,0,Cal!$AB$126/1.16)</f>
        <v>0</v>
      </c>
      <c r="J254" s="123">
        <f t="shared" si="458"/>
        <v>0</v>
      </c>
      <c r="K254" s="123">
        <f>IF(Adm!$G$4="si",MIN(L253+D254+G254+H254+I254-J254,V254),0)</f>
        <v>0</v>
      </c>
      <c r="L254" s="123">
        <f t="shared" si="490"/>
        <v>0</v>
      </c>
      <c r="M254" s="74"/>
      <c r="N254" s="74"/>
      <c r="O254" s="407">
        <f t="shared" si="491"/>
        <v>0</v>
      </c>
      <c r="R254" s="90">
        <f t="shared" si="492"/>
        <v>2</v>
      </c>
      <c r="S254" s="121">
        <f>IF(R254=1,Cal!$AB$127,0)</f>
        <v>0</v>
      </c>
      <c r="U254" s="70">
        <f t="shared" si="558"/>
        <v>0</v>
      </c>
      <c r="V254" s="2178">
        <f t="shared" ca="1" si="493"/>
        <v>0</v>
      </c>
      <c r="X254" s="398"/>
      <c r="Z254" s="268">
        <f t="shared" si="459"/>
        <v>0</v>
      </c>
      <c r="AA254" s="2176">
        <f t="shared" si="494"/>
        <v>0</v>
      </c>
      <c r="AB254" s="33">
        <f t="shared" si="495"/>
        <v>0</v>
      </c>
      <c r="AC254" s="33">
        <f t="shared" si="496"/>
        <v>0</v>
      </c>
      <c r="AD254" s="33">
        <f>IF(AI253&lt;0.01,0,IF(Adm!$S$4=Adm!$S$8,AI253*$AI$15,AI253*Adm!$V$4))</f>
        <v>0</v>
      </c>
      <c r="AE254" s="33"/>
      <c r="AF254" s="33"/>
      <c r="AG254" s="33">
        <f t="shared" si="460"/>
        <v>0</v>
      </c>
      <c r="AH254" s="33"/>
      <c r="AI254" s="401">
        <f t="shared" si="461"/>
        <v>0</v>
      </c>
      <c r="AK254" s="410">
        <f t="shared" si="462"/>
        <v>0</v>
      </c>
      <c r="AN254" s="90">
        <f t="shared" si="497"/>
        <v>2</v>
      </c>
      <c r="AO254" s="121">
        <f>IF(AN254=1,Cal!$AC$127,0)</f>
        <v>0</v>
      </c>
      <c r="AS254" s="200"/>
      <c r="AU254" s="268">
        <f t="shared" si="463"/>
        <v>0</v>
      </c>
      <c r="AV254" s="2177">
        <f t="shared" si="498"/>
        <v>0</v>
      </c>
      <c r="AW254" s="123">
        <f t="shared" si="464"/>
        <v>0</v>
      </c>
      <c r="AX254" s="123">
        <f t="shared" si="499"/>
        <v>0</v>
      </c>
      <c r="AY254" s="123">
        <f>IF(BC253&lt;0.01,0,IF(Adm!$S$4=Adm!$S$8,BC253*$BC$16,BC253*Adm!$V$4))</f>
        <v>0</v>
      </c>
      <c r="AZ254" s="123"/>
      <c r="BA254" s="123">
        <f>IF(BC253&lt;0.01,0,Adm!$Q$6)</f>
        <v>0</v>
      </c>
      <c r="BB254" s="123">
        <f t="shared" si="465"/>
        <v>0</v>
      </c>
      <c r="BC254" s="297">
        <f t="shared" si="500"/>
        <v>0</v>
      </c>
      <c r="BE254" s="425">
        <f t="shared" si="466"/>
        <v>0</v>
      </c>
      <c r="BH254" s="90">
        <f t="shared" si="501"/>
        <v>2</v>
      </c>
      <c r="BI254" s="121">
        <f>IF(BH254=1,Cal!$AD$127,0)</f>
        <v>0</v>
      </c>
      <c r="BM254" s="221"/>
      <c r="BO254" s="295">
        <f t="shared" ca="1" si="467"/>
        <v>5</v>
      </c>
      <c r="BP254" s="268">
        <f t="shared" si="468"/>
        <v>0</v>
      </c>
      <c r="BQ254" s="123">
        <f t="shared" si="502"/>
        <v>0</v>
      </c>
      <c r="BR254" s="123">
        <f t="shared" si="580"/>
        <v>0</v>
      </c>
      <c r="BS254" s="123">
        <f t="shared" si="590"/>
        <v>0</v>
      </c>
      <c r="BT254" s="123">
        <f>IF(BZ253&lt;0.01,0,IF(Plus!$F$22=Plus!$AN$4,BZ253*$BZ$15,IF(Plus!$F$22=Plus!$AN$3,BZ253*Plus!$F$23/1000,BZ253*VLOOKUP(Plus!$G$21,Plus!$AP$2:'Plus'!$AQ$5,2,0))))</f>
        <v>0</v>
      </c>
      <c r="BU254" s="123">
        <f>IF(BZ253&lt;0.01,0,IF(Plus!$F$24=Plus!$AO$3,Plus!$G$13*Plus!$AR$2/1.16,IF(Plus!$F$10=Plus!$AK$7,0,Plus!$G$13*Plus!$AR$2/1.16)))</f>
        <v>0</v>
      </c>
      <c r="BV254" s="123">
        <f>IF(BZ253&lt;0.01,0,Plus!$BD$2)</f>
        <v>0</v>
      </c>
      <c r="BW254" s="123"/>
      <c r="BX254" s="123">
        <f t="shared" si="469"/>
        <v>0</v>
      </c>
      <c r="BY254" s="123">
        <f>IF(Plus!$F$10=Plus!$AK$3,MIN(BZ253+BQ254+BT254+BU254+BV254-BX254,CJ254),0)</f>
        <v>0</v>
      </c>
      <c r="BZ254" s="297">
        <f t="shared" si="574"/>
        <v>0</v>
      </c>
      <c r="CA254" s="74"/>
      <c r="CB254" s="74"/>
      <c r="CC254" s="413">
        <f t="shared" si="503"/>
        <v>0</v>
      </c>
      <c r="CF254" s="90">
        <f t="shared" si="504"/>
        <v>2</v>
      </c>
      <c r="CG254" s="121">
        <f t="shared" si="559"/>
        <v>0</v>
      </c>
      <c r="CI254" s="70">
        <f t="shared" si="560"/>
        <v>0</v>
      </c>
      <c r="CJ254" s="2178">
        <f t="shared" ca="1" si="505"/>
        <v>0</v>
      </c>
      <c r="CL254" s="161"/>
      <c r="CN254" s="308">
        <f t="shared" ca="1" si="470"/>
        <v>5</v>
      </c>
      <c r="CO254" s="309">
        <f t="shared" si="506"/>
        <v>0</v>
      </c>
      <c r="CP254" s="268">
        <f t="shared" si="471"/>
        <v>0</v>
      </c>
      <c r="CQ254" s="123">
        <f t="shared" si="507"/>
        <v>0</v>
      </c>
      <c r="CR254" s="123">
        <f t="shared" si="581"/>
        <v>0</v>
      </c>
      <c r="CS254" s="123">
        <f t="shared" si="582"/>
        <v>0</v>
      </c>
      <c r="CT254" s="33">
        <f>IF(CZ253&lt;0.01,0,IF(Plus!$F$22=Plus!$AN$4,0,IF(Plus!$F$22=Plus!$AN$3,CZ253*Plus!$F$23/1000,CZ253*VLOOKUP(Plus!$G$21,Plus!$AP$2:'Plus'!$AQ$5,2,0))))</f>
        <v>0</v>
      </c>
      <c r="CU254" s="123">
        <f>IF(CZ253&lt;0.01,0,IF(Plus!$F$24=Plus!$AO$3,0,IF(OR(Plus!$F$10=Plus!$AK$7,Plus!$F$10=Plus!$AK$13),0,Plus!$G$13*Plus!$AR$2)))</f>
        <v>0</v>
      </c>
      <c r="CV254" s="123">
        <f>IF(CZ253&lt;0.01,0,IF(OR(Plus!$F$10=Plus!$AK$7,Plus!$F$10=Plus!$AK$13),0,Plus!$BD$2*1.16))</f>
        <v>0</v>
      </c>
      <c r="CW254" s="123">
        <f>IF(CZ253&lt;0.01,0,IF(Plus!$AS$2&gt;0,CQ254*Plus!$AS$3,0))</f>
        <v>0</v>
      </c>
      <c r="CX254" s="123">
        <f t="shared" si="508"/>
        <v>0</v>
      </c>
      <c r="CY254" s="123">
        <f>IF(Plus!$F$10=Plus!$AK$3,MIN(CZ253+CQ254+CT254+CU254+CV254-CX254,DK254),0)</f>
        <v>0</v>
      </c>
      <c r="CZ254" s="297">
        <f t="shared" si="588"/>
        <v>0</v>
      </c>
      <c r="DA254" s="306">
        <f>Plus!O295</f>
        <v>0</v>
      </c>
      <c r="DB254" s="74"/>
      <c r="DC254" s="74"/>
      <c r="DD254" s="407">
        <f t="shared" si="509"/>
        <v>0</v>
      </c>
      <c r="DG254" s="90">
        <f t="shared" si="510"/>
        <v>2</v>
      </c>
      <c r="DH254" s="121">
        <f t="shared" si="561"/>
        <v>0</v>
      </c>
      <c r="DJ254" s="149">
        <f t="shared" si="562"/>
        <v>0</v>
      </c>
      <c r="DK254" s="2179">
        <f t="shared" ca="1" si="511"/>
        <v>0</v>
      </c>
      <c r="DN254" s="120">
        <f t="shared" si="563"/>
        <v>0</v>
      </c>
      <c r="DO254" s="110">
        <f t="shared" si="512"/>
        <v>0</v>
      </c>
      <c r="DP254" s="110">
        <f t="shared" si="572"/>
        <v>0</v>
      </c>
      <c r="DQ254" s="109">
        <f t="shared" si="513"/>
        <v>0</v>
      </c>
      <c r="DR254" s="109">
        <f t="shared" si="514"/>
        <v>0</v>
      </c>
      <c r="DS254" s="113">
        <f t="shared" si="515"/>
        <v>0</v>
      </c>
      <c r="DU254" s="102">
        <f t="shared" si="516"/>
        <v>0</v>
      </c>
      <c r="DV254" s="211">
        <f t="shared" si="573"/>
        <v>230</v>
      </c>
      <c r="DW254" s="212">
        <f t="shared" si="517"/>
        <v>0</v>
      </c>
      <c r="DX254" s="212">
        <f t="shared" si="472"/>
        <v>0</v>
      </c>
      <c r="DY254" s="212">
        <f t="shared" si="564"/>
        <v>0</v>
      </c>
      <c r="DZ254" s="213">
        <f t="shared" si="473"/>
        <v>1000000</v>
      </c>
      <c r="ED254" s="182"/>
      <c r="EF254" s="308">
        <f t="shared" ca="1" si="474"/>
        <v>5</v>
      </c>
      <c r="EG254" s="309">
        <f t="shared" si="518"/>
        <v>0</v>
      </c>
      <c r="EH254" s="268">
        <f t="shared" si="475"/>
        <v>0</v>
      </c>
      <c r="EI254" s="33">
        <f t="shared" si="519"/>
        <v>0</v>
      </c>
      <c r="EJ254" s="33">
        <f t="shared" si="583"/>
        <v>0</v>
      </c>
      <c r="EK254" s="33">
        <f t="shared" si="591"/>
        <v>0</v>
      </c>
      <c r="EL254" s="33">
        <f>IF(ER253&lt;0.01,0,IF(Plus!$F$22=Plus!$AN$4,0,IF(Plus!$F$22=Plus!$AN$3,ER253*Plus!$F$23/1000,ER253*VLOOKUP(Plus!$G$21,Plus!$AP$2:'Plus'!$AQ$5,2,0))))</f>
        <v>0</v>
      </c>
      <c r="EM254" s="33">
        <f>IF(ER253&lt;0.01,0,IF(Plus!$F$24=Plus!$AO$3,0,IF(OR(Plus!$F$10=Plus!$AK$7,Plus!$F$10=Plus!$AK$13),0,Plus!$G$13*Plus!$AR$2)))</f>
        <v>0</v>
      </c>
      <c r="EN254" s="33">
        <f>IF(ER253&lt;0.01,0,IF(OR(Plus!$F$10=Plus!$AK$7,Plus!$F$10=Plus!$AK$13),0,Plus!$BD$2*1.16))</f>
        <v>0</v>
      </c>
      <c r="EO254" s="33">
        <f>IF(ER253&lt;0.01,0,IF(Plus!$AS$2&gt;0,EI254*Plus!$AS$3,0))</f>
        <v>0</v>
      </c>
      <c r="EP254" s="33">
        <f t="shared" si="520"/>
        <v>0</v>
      </c>
      <c r="EQ254" s="33">
        <f>IF(Plus!$F$10=Plus!$AK$3,MIN(ER253+EI254+EL254+EM254+EN254-EP254,FC254),0)</f>
        <v>0</v>
      </c>
      <c r="ER254" s="311">
        <f t="shared" si="577"/>
        <v>0</v>
      </c>
      <c r="ES254" s="340">
        <f>Plus!O295</f>
        <v>0</v>
      </c>
      <c r="ET254" s="74"/>
      <c r="EU254" s="74"/>
      <c r="EV254" s="416">
        <f t="shared" si="575"/>
        <v>0</v>
      </c>
      <c r="EY254" s="90">
        <f t="shared" si="521"/>
        <v>2</v>
      </c>
      <c r="EZ254" s="121">
        <f t="shared" si="565"/>
        <v>0</v>
      </c>
      <c r="FB254" s="149">
        <f t="shared" si="566"/>
        <v>0</v>
      </c>
      <c r="FC254" s="2179">
        <f t="shared" ca="1" si="522"/>
        <v>0</v>
      </c>
      <c r="FE254" s="120">
        <f t="shared" si="567"/>
        <v>0</v>
      </c>
      <c r="FF254" s="110">
        <f t="shared" si="523"/>
        <v>0</v>
      </c>
      <c r="FG254" s="110">
        <f t="shared" si="524"/>
        <v>0</v>
      </c>
      <c r="FH254" s="109">
        <f t="shared" si="525"/>
        <v>0</v>
      </c>
      <c r="FI254" s="109">
        <f t="shared" si="476"/>
        <v>0</v>
      </c>
      <c r="FJ254" s="113">
        <f t="shared" si="526"/>
        <v>0</v>
      </c>
      <c r="FL254" s="102">
        <f t="shared" si="527"/>
        <v>0</v>
      </c>
      <c r="FM254" s="211">
        <f t="shared" si="454"/>
        <v>230</v>
      </c>
      <c r="FN254" s="212">
        <f t="shared" si="528"/>
        <v>0</v>
      </c>
      <c r="FO254" s="212">
        <f t="shared" si="477"/>
        <v>0</v>
      </c>
      <c r="FP254" s="212">
        <f t="shared" ref="FP254:FP264" si="596">MIN(FQ253+FN254,FP253)</f>
        <v>0</v>
      </c>
      <c r="FQ254" s="213">
        <f t="shared" si="478"/>
        <v>1000000</v>
      </c>
      <c r="FV254" s="359"/>
      <c r="FX254" s="308">
        <f t="shared" ca="1" si="479"/>
        <v>5</v>
      </c>
      <c r="FY254" s="309">
        <f t="shared" si="530"/>
        <v>0</v>
      </c>
      <c r="FZ254" s="268">
        <f t="shared" si="480"/>
        <v>0</v>
      </c>
      <c r="GA254" s="33">
        <f t="shared" si="531"/>
        <v>0</v>
      </c>
      <c r="GB254" s="33">
        <f t="shared" si="585"/>
        <v>0</v>
      </c>
      <c r="GC254" s="33">
        <f t="shared" si="586"/>
        <v>0</v>
      </c>
      <c r="GD254" s="33">
        <f>IF(GJ253&lt;0.01,0,IF(Plus!$F$22=Plus!$AN$4,0,IF(Plus!$F$22=Plus!$AN$3,GJ253*Plus!$F$23/1000,GJ253*VLOOKUP(Plus!$G$21,Plus!$AP$2:$AQ$5,2,0))))</f>
        <v>0</v>
      </c>
      <c r="GE254" s="33">
        <f>IF(GJ253&lt;0.01,0,IF(Plus!$F$24=Plus!$AO$3,0,IF(OR(Plus!$F$10=Plus!$AK$7,Plus!$F$10=Plus!$AK$13,Plus!$F$10=Plus!$AK$14),0,IF(OR(Plus!$F$10=Plus!$AK$10,Plus!$F$10=Plus!$AK$11),Plus!$G$13*Adm!$W$7,Plus!$G$13*Adm!$X$4))))</f>
        <v>0</v>
      </c>
      <c r="GF254" s="33">
        <f>IF(GJ253&lt;0.01,0,IF(OR(Plus!$F$10=Plus!$AK$7,Plus!$F$10=Plus!$AK$13),0,Plus!$BD$2*1.16))</f>
        <v>0</v>
      </c>
      <c r="GG254" s="33">
        <f>IF(GJ253&lt;0.01,0,IF(Plus!$AS$2&gt;0,GA254*Plus!$AS$3,0))</f>
        <v>0</v>
      </c>
      <c r="GH254" s="33">
        <f t="shared" si="532"/>
        <v>0</v>
      </c>
      <c r="GI254" s="33">
        <f>IF(Plus!$F$10=Plus!$AK$3,MIN(GJ253+GA254+GD254+GE254+GF254-GH254,GU254),0)</f>
        <v>0</v>
      </c>
      <c r="GJ254" s="311">
        <f t="shared" si="578"/>
        <v>0</v>
      </c>
      <c r="GK254" s="340">
        <f>Plus!O295</f>
        <v>0</v>
      </c>
      <c r="GL254" s="74"/>
      <c r="GM254" s="74"/>
      <c r="GN254" s="419">
        <f t="shared" si="576"/>
        <v>0</v>
      </c>
      <c r="GQ254" s="90">
        <f t="shared" si="533"/>
        <v>2</v>
      </c>
      <c r="GR254" s="121">
        <f t="shared" si="568"/>
        <v>0</v>
      </c>
      <c r="GT254" s="149">
        <f t="shared" si="569"/>
        <v>0</v>
      </c>
      <c r="GU254" s="2179">
        <f t="shared" ca="1" si="534"/>
        <v>0</v>
      </c>
      <c r="GW254" s="120">
        <f t="shared" si="570"/>
        <v>0</v>
      </c>
      <c r="GX254" s="110">
        <f t="shared" si="535"/>
        <v>0</v>
      </c>
      <c r="GY254" s="110">
        <f t="shared" si="536"/>
        <v>0</v>
      </c>
      <c r="GZ254" s="109">
        <f t="shared" si="537"/>
        <v>0</v>
      </c>
      <c r="HA254" s="109">
        <f t="shared" si="481"/>
        <v>0</v>
      </c>
      <c r="HB254" s="113">
        <f t="shared" si="538"/>
        <v>0</v>
      </c>
      <c r="HD254" s="102">
        <f t="shared" si="539"/>
        <v>0</v>
      </c>
      <c r="HE254" s="211">
        <f t="shared" si="455"/>
        <v>230</v>
      </c>
      <c r="HF254" s="212">
        <f t="shared" si="540"/>
        <v>0</v>
      </c>
      <c r="HG254" s="212">
        <f t="shared" si="482"/>
        <v>0</v>
      </c>
      <c r="HH254" s="212">
        <f t="shared" ref="HH254:HH264" si="597">MIN(HI253+HF254,HH253)</f>
        <v>0</v>
      </c>
      <c r="HI254" s="213">
        <f t="shared" si="483"/>
        <v>1000000</v>
      </c>
      <c r="HL254" s="182"/>
      <c r="HM254" s="26">
        <f t="shared" ca="1" si="484"/>
        <v>5</v>
      </c>
      <c r="HO254" s="268">
        <f t="shared" si="485"/>
        <v>0</v>
      </c>
      <c r="HP254" s="151">
        <f t="shared" si="594"/>
        <v>0</v>
      </c>
      <c r="HQ254" s="123">
        <f t="shared" si="542"/>
        <v>0</v>
      </c>
      <c r="HR254" s="123">
        <f t="shared" si="543"/>
        <v>0</v>
      </c>
      <c r="HS254" s="123">
        <f t="shared" si="544"/>
        <v>0</v>
      </c>
      <c r="HT254" s="123">
        <f>IF(HY253&lt;0.01,0,IF(Adm!$GS$4=Adm!$GS$8,HY253*$HY$15,IF(Adm!$GS$12=Adm!$GS$13,0,HY253*Adm!$GV$4)))</f>
        <v>0</v>
      </c>
      <c r="HU254" s="123">
        <f>IF(HY253&lt;0.01,0,IF(Adm!$GS$5=Adm!$GS$8,Cal!$BO$108*$HY$16/1.16,IF(Adm!$GS$12=Adm!$GS$13,0,Cal!$BO$108*Adm!$GW$4/1.16)))</f>
        <v>0</v>
      </c>
      <c r="HV254" s="123">
        <f t="shared" si="545"/>
        <v>0</v>
      </c>
      <c r="HW254" s="123">
        <f t="shared" si="486"/>
        <v>0</v>
      </c>
      <c r="HX254" s="123">
        <f>IF(Adm!$GH$6="si",MIN(HY253+HQ254+HT254+HU254+HV254-HW254,IH254),0)</f>
        <v>0</v>
      </c>
      <c r="HY254" s="297">
        <f t="shared" si="546"/>
        <v>0</v>
      </c>
      <c r="HZ254" s="74"/>
      <c r="IA254" s="407">
        <f t="shared" si="547"/>
        <v>0</v>
      </c>
      <c r="IC254" s="90">
        <f t="shared" si="548"/>
        <v>2</v>
      </c>
      <c r="ID254" s="124">
        <f>IF(IC254=1,Cal!$BO$127,0)</f>
        <v>0</v>
      </c>
      <c r="IE254" s="178">
        <f>IF(IC254=1,Adm!$HI$4,0)</f>
        <v>0</v>
      </c>
      <c r="IG254" s="70">
        <f t="shared" si="571"/>
        <v>0</v>
      </c>
      <c r="IH254" s="2178">
        <f t="shared" ca="1" si="549"/>
        <v>0</v>
      </c>
      <c r="IK254" s="217"/>
      <c r="IL254" s="26">
        <f t="shared" ca="1" si="487"/>
        <v>5</v>
      </c>
      <c r="IN254" s="268">
        <f t="shared" si="488"/>
        <v>0</v>
      </c>
      <c r="IO254" s="151">
        <f t="shared" si="595"/>
        <v>0</v>
      </c>
      <c r="IP254" s="123">
        <f t="shared" si="550"/>
        <v>0</v>
      </c>
      <c r="IQ254" s="123">
        <f t="shared" si="551"/>
        <v>0</v>
      </c>
      <c r="IR254" s="123">
        <f t="shared" si="552"/>
        <v>0</v>
      </c>
      <c r="IS254" s="123">
        <f>IF(IX253&lt;0.01,0,IF(Adm!$GS$4=Adm!$GS$8,IX253*$IX$15,IF(Adm!$GS$12=Adm!$GS$13,0,IX253*Adm!$GV$4)))</f>
        <v>0</v>
      </c>
      <c r="IT254" s="123"/>
      <c r="IU254" s="123">
        <f t="shared" si="553"/>
        <v>0</v>
      </c>
      <c r="IV254" s="123">
        <f t="shared" si="554"/>
        <v>0</v>
      </c>
      <c r="IW254" s="123"/>
      <c r="IX254" s="297">
        <f t="shared" si="555"/>
        <v>0</v>
      </c>
      <c r="IY254" s="74"/>
      <c r="IZ254" s="416">
        <f t="shared" si="556"/>
        <v>0</v>
      </c>
      <c r="JB254" s="90">
        <f t="shared" si="557"/>
        <v>2</v>
      </c>
      <c r="JC254" s="124">
        <f>IF(JB254=1,Cal!$BP$127,0)</f>
        <v>0</v>
      </c>
      <c r="JD254" s="178">
        <f>IF(JB254=1,Adm!$HI$4,0)</f>
        <v>0</v>
      </c>
    </row>
    <row r="255" spans="1:264">
      <c r="A255" s="26">
        <f t="shared" ca="1" si="456"/>
        <v>6</v>
      </c>
      <c r="C255" s="33">
        <f t="shared" si="457"/>
        <v>0</v>
      </c>
      <c r="D255" s="123">
        <f t="shared" si="489"/>
        <v>0</v>
      </c>
      <c r="E255" s="123">
        <f t="shared" si="579"/>
        <v>0</v>
      </c>
      <c r="F255" s="123">
        <f t="shared" si="589"/>
        <v>0</v>
      </c>
      <c r="G255" s="123">
        <f>IF(L254&lt;0.01,0,IF(Adm!$S$4=Adm!$S$8,L254*$L$15,L254*Adm!$V$4))</f>
        <v>0</v>
      </c>
      <c r="H255" s="123">
        <f>IF(L254&lt;0.01,0,IF(Adm!$S$5=Adm!$S$8,Adm!$AA$11*$L$16/1.16,IF(Adm!$B$4=Adm!$A$119,0,Adm!$AA$11*Adm!$X$4/1.16)))</f>
        <v>0</v>
      </c>
      <c r="I255" s="123">
        <f>IF(L254&lt;0.01,0,Cal!$AB$126/1.16)</f>
        <v>0</v>
      </c>
      <c r="J255" s="123">
        <f t="shared" si="458"/>
        <v>0</v>
      </c>
      <c r="K255" s="123">
        <f>IF(Adm!$G$4="si",MIN(L254+D255+G255+H255+I255-J255,V255),0)</f>
        <v>0</v>
      </c>
      <c r="L255" s="123">
        <f t="shared" si="490"/>
        <v>0</v>
      </c>
      <c r="M255" s="74"/>
      <c r="N255" s="74"/>
      <c r="O255" s="407">
        <f t="shared" si="491"/>
        <v>0</v>
      </c>
      <c r="R255" s="90">
        <f t="shared" si="492"/>
        <v>3</v>
      </c>
      <c r="S255" s="121">
        <f>IF(R255=1,Cal!$AB$127,0)</f>
        <v>0</v>
      </c>
      <c r="U255" s="70">
        <f t="shared" si="558"/>
        <v>0</v>
      </c>
      <c r="V255" s="2178">
        <f t="shared" ca="1" si="493"/>
        <v>0</v>
      </c>
      <c r="X255" s="398"/>
      <c r="Z255" s="268">
        <f t="shared" si="459"/>
        <v>0</v>
      </c>
      <c r="AA255" s="2176">
        <f t="shared" si="494"/>
        <v>0</v>
      </c>
      <c r="AB255" s="33">
        <f t="shared" si="495"/>
        <v>0</v>
      </c>
      <c r="AC255" s="33">
        <f t="shared" si="496"/>
        <v>0</v>
      </c>
      <c r="AD255" s="33">
        <f>IF(AI254&lt;0.01,0,IF(Adm!$S$4=Adm!$S$8,AI254*$AI$15,AI254*Adm!$V$4))</f>
        <v>0</v>
      </c>
      <c r="AE255" s="33"/>
      <c r="AF255" s="33"/>
      <c r="AG255" s="33">
        <f t="shared" si="460"/>
        <v>0</v>
      </c>
      <c r="AH255" s="33"/>
      <c r="AI255" s="401">
        <f t="shared" si="461"/>
        <v>0</v>
      </c>
      <c r="AK255" s="410">
        <f t="shared" si="462"/>
        <v>0</v>
      </c>
      <c r="AN255" s="90">
        <f t="shared" si="497"/>
        <v>3</v>
      </c>
      <c r="AO255" s="121">
        <f>IF(AN255=1,Cal!$AC$127,0)</f>
        <v>0</v>
      </c>
      <c r="AS255" s="200"/>
      <c r="AU255" s="268">
        <f t="shared" si="463"/>
        <v>0</v>
      </c>
      <c r="AV255" s="2177">
        <f t="shared" si="498"/>
        <v>0</v>
      </c>
      <c r="AW255" s="123">
        <f t="shared" si="464"/>
        <v>0</v>
      </c>
      <c r="AX255" s="123">
        <f t="shared" si="499"/>
        <v>0</v>
      </c>
      <c r="AY255" s="123">
        <f>IF(BC254&lt;0.01,0,IF(Adm!$S$4=Adm!$S$8,BC254*$BC$16,BC254*Adm!$V$4))</f>
        <v>0</v>
      </c>
      <c r="AZ255" s="123"/>
      <c r="BA255" s="123">
        <f>IF(BC254&lt;0.01,0,Adm!$Q$6)</f>
        <v>0</v>
      </c>
      <c r="BB255" s="123">
        <f t="shared" si="465"/>
        <v>0</v>
      </c>
      <c r="BC255" s="297">
        <f t="shared" si="500"/>
        <v>0</v>
      </c>
      <c r="BE255" s="425">
        <f t="shared" si="466"/>
        <v>0</v>
      </c>
      <c r="BH255" s="90">
        <f t="shared" si="501"/>
        <v>3</v>
      </c>
      <c r="BI255" s="121">
        <f>IF(BH255=1,Cal!$AD$127,0)</f>
        <v>0</v>
      </c>
      <c r="BM255" s="221"/>
      <c r="BO255" s="295">
        <f t="shared" ca="1" si="467"/>
        <v>6</v>
      </c>
      <c r="BP255" s="268">
        <f t="shared" si="468"/>
        <v>0</v>
      </c>
      <c r="BQ255" s="123">
        <f t="shared" si="502"/>
        <v>0</v>
      </c>
      <c r="BR255" s="123">
        <f t="shared" si="580"/>
        <v>0</v>
      </c>
      <c r="BS255" s="123">
        <f t="shared" si="590"/>
        <v>0</v>
      </c>
      <c r="BT255" s="123">
        <f>IF(BZ254&lt;0.01,0,IF(Plus!$F$22=Plus!$AN$4,BZ254*$BZ$15,IF(Plus!$F$22=Plus!$AN$3,BZ254*Plus!$F$23/1000,BZ254*VLOOKUP(Plus!$G$21,Plus!$AP$2:'Plus'!$AQ$5,2,0))))</f>
        <v>0</v>
      </c>
      <c r="BU255" s="123">
        <f>IF(BZ254&lt;0.01,0,IF(Plus!$F$24=Plus!$AO$3,Plus!$G$13*Plus!$AR$2/1.16,IF(Plus!$F$10=Plus!$AK$7,0,Plus!$G$13*Plus!$AR$2/1.16)))</f>
        <v>0</v>
      </c>
      <c r="BV255" s="123">
        <f>IF(BZ254&lt;0.01,0,Plus!$BD$2)</f>
        <v>0</v>
      </c>
      <c r="BW255" s="123"/>
      <c r="BX255" s="123">
        <f t="shared" si="469"/>
        <v>0</v>
      </c>
      <c r="BY255" s="123">
        <f>IF(Plus!$F$10=Plus!$AK$3,MIN(BZ254+BQ255+BT255+BU255+BV255-BX255,CJ255),0)</f>
        <v>0</v>
      </c>
      <c r="BZ255" s="297">
        <f t="shared" si="574"/>
        <v>0</v>
      </c>
      <c r="CA255" s="74"/>
      <c r="CB255" s="74"/>
      <c r="CC255" s="413">
        <f t="shared" si="503"/>
        <v>0</v>
      </c>
      <c r="CF255" s="90">
        <f t="shared" si="504"/>
        <v>3</v>
      </c>
      <c r="CG255" s="121">
        <f t="shared" si="559"/>
        <v>0</v>
      </c>
      <c r="CI255" s="70">
        <f t="shared" si="560"/>
        <v>0</v>
      </c>
      <c r="CJ255" s="2178">
        <f t="shared" ca="1" si="505"/>
        <v>0</v>
      </c>
      <c r="CL255" s="161"/>
      <c r="CN255" s="308">
        <f t="shared" ca="1" si="470"/>
        <v>6</v>
      </c>
      <c r="CO255" s="309">
        <f t="shared" si="506"/>
        <v>0</v>
      </c>
      <c r="CP255" s="268">
        <f t="shared" si="471"/>
        <v>0</v>
      </c>
      <c r="CQ255" s="123">
        <f t="shared" si="507"/>
        <v>0</v>
      </c>
      <c r="CR255" s="123">
        <f t="shared" si="581"/>
        <v>0</v>
      </c>
      <c r="CS255" s="123">
        <f t="shared" si="582"/>
        <v>0</v>
      </c>
      <c r="CT255" s="33">
        <f>IF(CZ254&lt;0.01,0,IF(Plus!$F$22=Plus!$AN$4,0,IF(Plus!$F$22=Plus!$AN$3,CZ254*Plus!$F$23/1000,CZ254*VLOOKUP(Plus!$G$21,Plus!$AP$2:'Plus'!$AQ$5,2,0))))</f>
        <v>0</v>
      </c>
      <c r="CU255" s="123">
        <f>IF(CZ254&lt;0.01,0,IF(Plus!$F$24=Plus!$AO$3,0,IF(OR(Plus!$F$10=Plus!$AK$7,Plus!$F$10=Plus!$AK$13),0,Plus!$G$13*Plus!$AR$2)))</f>
        <v>0</v>
      </c>
      <c r="CV255" s="123">
        <f>IF(CZ254&lt;0.01,0,IF(OR(Plus!$F$10=Plus!$AK$7,Plus!$F$10=Plus!$AK$13),0,Plus!$BD$2*1.16))</f>
        <v>0</v>
      </c>
      <c r="CW255" s="123">
        <f>IF(CZ254&lt;0.01,0,IF(Plus!$AS$2&gt;0,CQ255*Plus!$AS$3,0))</f>
        <v>0</v>
      </c>
      <c r="CX255" s="123">
        <f t="shared" si="508"/>
        <v>0</v>
      </c>
      <c r="CY255" s="123">
        <f>IF(Plus!$F$10=Plus!$AK$3,MIN(CZ254+CQ255+CT255+CU255+CV255-CX255,DK255),0)</f>
        <v>0</v>
      </c>
      <c r="CZ255" s="297">
        <f t="shared" si="588"/>
        <v>0</v>
      </c>
      <c r="DA255" s="306">
        <f>Plus!O296</f>
        <v>0</v>
      </c>
      <c r="DB255" s="74"/>
      <c r="DC255" s="74"/>
      <c r="DD255" s="407">
        <f t="shared" si="509"/>
        <v>0</v>
      </c>
      <c r="DG255" s="90">
        <f t="shared" si="510"/>
        <v>3</v>
      </c>
      <c r="DH255" s="121">
        <f t="shared" si="561"/>
        <v>0</v>
      </c>
      <c r="DJ255" s="149">
        <f t="shared" si="562"/>
        <v>0</v>
      </c>
      <c r="DK255" s="2179">
        <f t="shared" ca="1" si="511"/>
        <v>0</v>
      </c>
      <c r="DN255" s="120">
        <f t="shared" si="563"/>
        <v>0</v>
      </c>
      <c r="DO255" s="110">
        <f t="shared" si="512"/>
        <v>0</v>
      </c>
      <c r="DP255" s="110">
        <f t="shared" si="572"/>
        <v>0</v>
      </c>
      <c r="DQ255" s="109">
        <f t="shared" si="513"/>
        <v>0</v>
      </c>
      <c r="DR255" s="109">
        <f t="shared" si="514"/>
        <v>0</v>
      </c>
      <c r="DS255" s="113">
        <f t="shared" si="515"/>
        <v>0</v>
      </c>
      <c r="DU255" s="102">
        <f t="shared" si="516"/>
        <v>0</v>
      </c>
      <c r="DV255" s="211">
        <f t="shared" si="573"/>
        <v>231</v>
      </c>
      <c r="DW255" s="212">
        <f t="shared" si="517"/>
        <v>0</v>
      </c>
      <c r="DX255" s="212">
        <f t="shared" si="472"/>
        <v>0</v>
      </c>
      <c r="DY255" s="212">
        <f t="shared" si="564"/>
        <v>0</v>
      </c>
      <c r="DZ255" s="213">
        <f t="shared" si="473"/>
        <v>1000000</v>
      </c>
      <c r="ED255" s="182"/>
      <c r="EF255" s="308">
        <f t="shared" ca="1" si="474"/>
        <v>6</v>
      </c>
      <c r="EG255" s="309">
        <f t="shared" si="518"/>
        <v>0</v>
      </c>
      <c r="EH255" s="268">
        <f t="shared" si="475"/>
        <v>0</v>
      </c>
      <c r="EI255" s="33">
        <f t="shared" si="519"/>
        <v>0</v>
      </c>
      <c r="EJ255" s="33">
        <f t="shared" si="583"/>
        <v>0</v>
      </c>
      <c r="EK255" s="33">
        <f t="shared" si="591"/>
        <v>0</v>
      </c>
      <c r="EL255" s="33">
        <f>IF(ER254&lt;0.01,0,IF(Plus!$F$22=Plus!$AN$4,0,IF(Plus!$F$22=Plus!$AN$3,ER254*Plus!$F$23/1000,ER254*VLOOKUP(Plus!$G$21,Plus!$AP$2:'Plus'!$AQ$5,2,0))))</f>
        <v>0</v>
      </c>
      <c r="EM255" s="33">
        <f>IF(ER254&lt;0.01,0,IF(Plus!$F$24=Plus!$AO$3,0,IF(OR(Plus!$F$10=Plus!$AK$7,Plus!$F$10=Plus!$AK$13),0,Plus!$G$13*Plus!$AR$2)))</f>
        <v>0</v>
      </c>
      <c r="EN255" s="33">
        <f>IF(ER254&lt;0.01,0,IF(OR(Plus!$F$10=Plus!$AK$7,Plus!$F$10=Plus!$AK$13),0,Plus!$BD$2*1.16))</f>
        <v>0</v>
      </c>
      <c r="EO255" s="33">
        <f>IF(ER254&lt;0.01,0,IF(Plus!$AS$2&gt;0,EI255*Plus!$AS$3,0))</f>
        <v>0</v>
      </c>
      <c r="EP255" s="33">
        <f t="shared" si="520"/>
        <v>0</v>
      </c>
      <c r="EQ255" s="33">
        <f>IF(Plus!$F$10=Plus!$AK$3,MIN(ER254+EI255+EL255+EM255+EN255-EP255,FC255),0)</f>
        <v>0</v>
      </c>
      <c r="ER255" s="311">
        <f t="shared" si="577"/>
        <v>0</v>
      </c>
      <c r="ES255" s="340">
        <f>Plus!O296</f>
        <v>0</v>
      </c>
      <c r="ET255" s="74"/>
      <c r="EU255" s="74"/>
      <c r="EV255" s="416">
        <f t="shared" si="575"/>
        <v>0</v>
      </c>
      <c r="EY255" s="90">
        <f t="shared" si="521"/>
        <v>3</v>
      </c>
      <c r="EZ255" s="121">
        <f t="shared" si="565"/>
        <v>0</v>
      </c>
      <c r="FB255" s="149">
        <f t="shared" si="566"/>
        <v>0</v>
      </c>
      <c r="FC255" s="2179">
        <f t="shared" ca="1" si="522"/>
        <v>0</v>
      </c>
      <c r="FE255" s="120">
        <f t="shared" si="567"/>
        <v>0</v>
      </c>
      <c r="FF255" s="110">
        <f t="shared" si="523"/>
        <v>0</v>
      </c>
      <c r="FG255" s="110">
        <f t="shared" si="524"/>
        <v>0</v>
      </c>
      <c r="FH255" s="109">
        <f t="shared" si="525"/>
        <v>0</v>
      </c>
      <c r="FI255" s="109">
        <f t="shared" si="476"/>
        <v>0</v>
      </c>
      <c r="FJ255" s="113">
        <f t="shared" si="526"/>
        <v>0</v>
      </c>
      <c r="FL255" s="102">
        <f t="shared" si="527"/>
        <v>0</v>
      </c>
      <c r="FM255" s="211">
        <f t="shared" si="454"/>
        <v>231</v>
      </c>
      <c r="FN255" s="212">
        <f t="shared" si="528"/>
        <v>0</v>
      </c>
      <c r="FO255" s="212">
        <f t="shared" si="477"/>
        <v>0</v>
      </c>
      <c r="FP255" s="212">
        <f t="shared" si="596"/>
        <v>0</v>
      </c>
      <c r="FQ255" s="213">
        <f t="shared" si="478"/>
        <v>1000000</v>
      </c>
      <c r="FV255" s="359"/>
      <c r="FX255" s="308">
        <f t="shared" ca="1" si="479"/>
        <v>6</v>
      </c>
      <c r="FY255" s="309">
        <f t="shared" si="530"/>
        <v>0</v>
      </c>
      <c r="FZ255" s="268">
        <f t="shared" si="480"/>
        <v>0</v>
      </c>
      <c r="GA255" s="33">
        <f t="shared" si="531"/>
        <v>0</v>
      </c>
      <c r="GB255" s="33">
        <f t="shared" si="585"/>
        <v>0</v>
      </c>
      <c r="GC255" s="33">
        <f t="shared" si="586"/>
        <v>0</v>
      </c>
      <c r="GD255" s="33">
        <f>IF(GJ254&lt;0.01,0,IF(Plus!$F$22=Plus!$AN$4,0,IF(Plus!$F$22=Plus!$AN$3,GJ254*Plus!$F$23/1000,GJ254*VLOOKUP(Plus!$G$21,Plus!$AP$2:$AQ$5,2,0))))</f>
        <v>0</v>
      </c>
      <c r="GE255" s="33">
        <f>IF(GJ254&lt;0.01,0,IF(Plus!$F$24=Plus!$AO$3,0,IF(OR(Plus!$F$10=Plus!$AK$7,Plus!$F$10=Plus!$AK$13,Plus!$F$10=Plus!$AK$14),0,IF(OR(Plus!$F$10=Plus!$AK$10,Plus!$F$10=Plus!$AK$11),Plus!$G$13*Adm!$W$7,Plus!$G$13*Adm!$X$4))))</f>
        <v>0</v>
      </c>
      <c r="GF255" s="33">
        <f>IF(GJ254&lt;0.01,0,IF(OR(Plus!$F$10=Plus!$AK$7,Plus!$F$10=Plus!$AK$13),0,Plus!$BD$2*1.16))</f>
        <v>0</v>
      </c>
      <c r="GG255" s="33">
        <f>IF(GJ254&lt;0.01,0,IF(Plus!$AS$2&gt;0,GA255*Plus!$AS$3,0))</f>
        <v>0</v>
      </c>
      <c r="GH255" s="33">
        <f t="shared" si="532"/>
        <v>0</v>
      </c>
      <c r="GI255" s="33">
        <f>IF(Plus!$F$10=Plus!$AK$3,MIN(GJ254+GA255+GD255+GE255+GF255-GH255,GU255),0)</f>
        <v>0</v>
      </c>
      <c r="GJ255" s="311">
        <f t="shared" si="578"/>
        <v>0</v>
      </c>
      <c r="GK255" s="340">
        <f>Plus!O296</f>
        <v>0</v>
      </c>
      <c r="GL255" s="74"/>
      <c r="GM255" s="74"/>
      <c r="GN255" s="419">
        <f t="shared" si="576"/>
        <v>0</v>
      </c>
      <c r="GQ255" s="90">
        <f t="shared" si="533"/>
        <v>3</v>
      </c>
      <c r="GR255" s="121">
        <f t="shared" si="568"/>
        <v>0</v>
      </c>
      <c r="GT255" s="149">
        <f t="shared" si="569"/>
        <v>0</v>
      </c>
      <c r="GU255" s="2179">
        <f t="shared" ca="1" si="534"/>
        <v>0</v>
      </c>
      <c r="GW255" s="120">
        <f t="shared" si="570"/>
        <v>0</v>
      </c>
      <c r="GX255" s="110">
        <f t="shared" si="535"/>
        <v>0</v>
      </c>
      <c r="GY255" s="110">
        <f t="shared" si="536"/>
        <v>0</v>
      </c>
      <c r="GZ255" s="109">
        <f t="shared" si="537"/>
        <v>0</v>
      </c>
      <c r="HA255" s="109">
        <f t="shared" si="481"/>
        <v>0</v>
      </c>
      <c r="HB255" s="113">
        <f t="shared" si="538"/>
        <v>0</v>
      </c>
      <c r="HD255" s="102">
        <f t="shared" si="539"/>
        <v>0</v>
      </c>
      <c r="HE255" s="211">
        <f t="shared" si="455"/>
        <v>231</v>
      </c>
      <c r="HF255" s="212">
        <f t="shared" si="540"/>
        <v>0</v>
      </c>
      <c r="HG255" s="212">
        <f t="shared" si="482"/>
        <v>0</v>
      </c>
      <c r="HH255" s="212">
        <f t="shared" si="597"/>
        <v>0</v>
      </c>
      <c r="HI255" s="213">
        <f t="shared" si="483"/>
        <v>1000000</v>
      </c>
      <c r="HL255" s="182"/>
      <c r="HM255" s="26">
        <f t="shared" ca="1" si="484"/>
        <v>6</v>
      </c>
      <c r="HO255" s="268">
        <f t="shared" si="485"/>
        <v>0</v>
      </c>
      <c r="HP255" s="151">
        <f t="shared" si="594"/>
        <v>0</v>
      </c>
      <c r="HQ255" s="123">
        <f t="shared" si="542"/>
        <v>0</v>
      </c>
      <c r="HR255" s="123">
        <f t="shared" si="543"/>
        <v>0</v>
      </c>
      <c r="HS255" s="123">
        <f t="shared" si="544"/>
        <v>0</v>
      </c>
      <c r="HT255" s="123">
        <f>IF(HY254&lt;0.01,0,IF(Adm!$GS$4=Adm!$GS$8,HY254*$HY$15,IF(Adm!$GS$12=Adm!$GS$13,0,HY254*Adm!$GV$4)))</f>
        <v>0</v>
      </c>
      <c r="HU255" s="123">
        <f>IF(HY254&lt;0.01,0,IF(Adm!$GS$5=Adm!$GS$8,Cal!$BO$108*$HY$16/1.16,IF(Adm!$GS$12=Adm!$GS$13,0,Cal!$BO$108*Adm!$GW$4/1.16)))</f>
        <v>0</v>
      </c>
      <c r="HV255" s="123">
        <f t="shared" si="545"/>
        <v>0</v>
      </c>
      <c r="HW255" s="123">
        <f t="shared" si="486"/>
        <v>0</v>
      </c>
      <c r="HX255" s="123">
        <f>IF(Adm!$GH$6="si",MIN(HY254+HQ255+HT255+HU255+HV255-HW255,IH255),0)</f>
        <v>0</v>
      </c>
      <c r="HY255" s="297">
        <f t="shared" si="546"/>
        <v>0</v>
      </c>
      <c r="HZ255" s="74"/>
      <c r="IA255" s="407">
        <f t="shared" si="547"/>
        <v>0</v>
      </c>
      <c r="IC255" s="90">
        <f t="shared" si="548"/>
        <v>3</v>
      </c>
      <c r="ID255" s="124">
        <f>IF(IC255=1,Cal!$BO$127,0)</f>
        <v>0</v>
      </c>
      <c r="IE255" s="178">
        <f>IF(IC255=1,Adm!$HI$4,0)</f>
        <v>0</v>
      </c>
      <c r="IG255" s="70">
        <f t="shared" si="571"/>
        <v>0</v>
      </c>
      <c r="IH255" s="2178">
        <f t="shared" ca="1" si="549"/>
        <v>0</v>
      </c>
      <c r="IK255" s="217"/>
      <c r="IL255" s="26">
        <f t="shared" ca="1" si="487"/>
        <v>6</v>
      </c>
      <c r="IN255" s="268">
        <f t="shared" si="488"/>
        <v>0</v>
      </c>
      <c r="IO255" s="151">
        <f t="shared" si="595"/>
        <v>0</v>
      </c>
      <c r="IP255" s="123">
        <f t="shared" si="550"/>
        <v>0</v>
      </c>
      <c r="IQ255" s="123">
        <f t="shared" si="551"/>
        <v>0</v>
      </c>
      <c r="IR255" s="123">
        <f t="shared" si="552"/>
        <v>0</v>
      </c>
      <c r="IS255" s="123">
        <f>IF(IX254&lt;0.01,0,IF(Adm!$GS$4=Adm!$GS$8,IX254*$IX$15,IF(Adm!$GS$12=Adm!$GS$13,0,IX254*Adm!$GV$4)))</f>
        <v>0</v>
      </c>
      <c r="IT255" s="123"/>
      <c r="IU255" s="123">
        <f t="shared" si="553"/>
        <v>0</v>
      </c>
      <c r="IV255" s="123">
        <f t="shared" si="554"/>
        <v>0</v>
      </c>
      <c r="IW255" s="123"/>
      <c r="IX255" s="297">
        <f t="shared" si="555"/>
        <v>0</v>
      </c>
      <c r="IY255" s="74"/>
      <c r="IZ255" s="416">
        <f t="shared" si="556"/>
        <v>0</v>
      </c>
      <c r="JB255" s="90">
        <f t="shared" si="557"/>
        <v>3</v>
      </c>
      <c r="JC255" s="124">
        <f>IF(JB255=1,Cal!$BP$127,0)</f>
        <v>0</v>
      </c>
      <c r="JD255" s="178">
        <f>IF(JB255=1,Adm!$HI$4,0)</f>
        <v>0</v>
      </c>
    </row>
    <row r="256" spans="1:264">
      <c r="A256" s="26">
        <f t="shared" ca="1" si="456"/>
        <v>7</v>
      </c>
      <c r="C256" s="33">
        <f t="shared" si="457"/>
        <v>0</v>
      </c>
      <c r="D256" s="123">
        <f t="shared" si="489"/>
        <v>0</v>
      </c>
      <c r="E256" s="123">
        <f t="shared" si="579"/>
        <v>0</v>
      </c>
      <c r="F256" s="123">
        <f t="shared" si="589"/>
        <v>0</v>
      </c>
      <c r="G256" s="123">
        <f>IF(L255&lt;0.01,0,IF(Adm!$S$4=Adm!$S$8,L255*$L$15,L255*Adm!$V$4))</f>
        <v>0</v>
      </c>
      <c r="H256" s="123">
        <f>IF(L255&lt;0.01,0,IF(Adm!$S$5=Adm!$S$8,Adm!$AA$11*$L$16/1.16,IF(Adm!$B$4=Adm!$A$119,0,Adm!$AA$11*Adm!$X$4/1.16)))</f>
        <v>0</v>
      </c>
      <c r="I256" s="123">
        <f>IF(L255&lt;0.01,0,Cal!$AB$126/1.16)</f>
        <v>0</v>
      </c>
      <c r="J256" s="123">
        <f t="shared" si="458"/>
        <v>0</v>
      </c>
      <c r="K256" s="123">
        <f>IF(Adm!$G$4="si",MIN(L255+D256+G256+H256+I256-J256,V256),0)</f>
        <v>0</v>
      </c>
      <c r="L256" s="123">
        <f t="shared" si="490"/>
        <v>0</v>
      </c>
      <c r="M256" s="74"/>
      <c r="N256" s="74"/>
      <c r="O256" s="407">
        <f t="shared" si="491"/>
        <v>0</v>
      </c>
      <c r="R256" s="90">
        <f t="shared" si="492"/>
        <v>4</v>
      </c>
      <c r="S256" s="121">
        <f>IF(R256=1,Cal!$AB$127,0)</f>
        <v>0</v>
      </c>
      <c r="U256" s="70">
        <f t="shared" si="558"/>
        <v>0</v>
      </c>
      <c r="V256" s="2178">
        <f t="shared" ca="1" si="493"/>
        <v>0</v>
      </c>
      <c r="X256" s="398"/>
      <c r="Z256" s="268">
        <f t="shared" si="459"/>
        <v>0</v>
      </c>
      <c r="AA256" s="2176">
        <f t="shared" si="494"/>
        <v>0</v>
      </c>
      <c r="AB256" s="33">
        <f t="shared" si="495"/>
        <v>0</v>
      </c>
      <c r="AC256" s="33">
        <f t="shared" si="496"/>
        <v>0</v>
      </c>
      <c r="AD256" s="33">
        <f>IF(AI255&lt;0.01,0,IF(Adm!$S$4=Adm!$S$8,AI255*$AI$15,AI255*Adm!$V$4))</f>
        <v>0</v>
      </c>
      <c r="AE256" s="33"/>
      <c r="AF256" s="33"/>
      <c r="AG256" s="33">
        <f t="shared" si="460"/>
        <v>0</v>
      </c>
      <c r="AH256" s="33"/>
      <c r="AI256" s="401">
        <f t="shared" si="461"/>
        <v>0</v>
      </c>
      <c r="AK256" s="410">
        <f t="shared" si="462"/>
        <v>0</v>
      </c>
      <c r="AN256" s="90">
        <f t="shared" si="497"/>
        <v>4</v>
      </c>
      <c r="AO256" s="121">
        <f>IF(AN256=1,Cal!$AC$127,0)</f>
        <v>0</v>
      </c>
      <c r="AS256" s="200"/>
      <c r="AU256" s="268">
        <f t="shared" si="463"/>
        <v>0</v>
      </c>
      <c r="AV256" s="2177">
        <f t="shared" si="498"/>
        <v>0</v>
      </c>
      <c r="AW256" s="123">
        <f t="shared" si="464"/>
        <v>0</v>
      </c>
      <c r="AX256" s="123">
        <f t="shared" si="499"/>
        <v>0</v>
      </c>
      <c r="AY256" s="123">
        <f>IF(BC255&lt;0.01,0,IF(Adm!$S$4=Adm!$S$8,BC255*$BC$16,BC255*Adm!$V$4))</f>
        <v>0</v>
      </c>
      <c r="AZ256" s="123"/>
      <c r="BA256" s="123">
        <f>IF(BC255&lt;0.01,0,Adm!$Q$6)</f>
        <v>0</v>
      </c>
      <c r="BB256" s="123">
        <f t="shared" si="465"/>
        <v>0</v>
      </c>
      <c r="BC256" s="297">
        <f t="shared" si="500"/>
        <v>0</v>
      </c>
      <c r="BE256" s="425">
        <f t="shared" si="466"/>
        <v>0</v>
      </c>
      <c r="BH256" s="90">
        <f t="shared" si="501"/>
        <v>4</v>
      </c>
      <c r="BI256" s="121">
        <f>IF(BH256=1,Cal!$AD$127,0)</f>
        <v>0</v>
      </c>
      <c r="BM256" s="221"/>
      <c r="BO256" s="295">
        <f t="shared" ca="1" si="467"/>
        <v>7</v>
      </c>
      <c r="BP256" s="268">
        <f t="shared" si="468"/>
        <v>0</v>
      </c>
      <c r="BQ256" s="123">
        <f t="shared" si="502"/>
        <v>0</v>
      </c>
      <c r="BR256" s="123">
        <f t="shared" si="580"/>
        <v>0</v>
      </c>
      <c r="BS256" s="123">
        <f t="shared" si="590"/>
        <v>0</v>
      </c>
      <c r="BT256" s="123">
        <f>IF(BZ255&lt;0.01,0,IF(Plus!$F$22=Plus!$AN$4,BZ255*$BZ$15,IF(Plus!$F$22=Plus!$AN$3,BZ255*Plus!$F$23/1000,BZ255*VLOOKUP(Plus!$G$21,Plus!$AP$2:'Plus'!$AQ$5,2,0))))</f>
        <v>0</v>
      </c>
      <c r="BU256" s="123">
        <f>IF(BZ255&lt;0.01,0,IF(Plus!$F$24=Plus!$AO$3,Plus!$G$13*Plus!$AR$2/1.16,IF(Plus!$F$10=Plus!$AK$7,0,Plus!$G$13*Plus!$AR$2/1.16)))</f>
        <v>0</v>
      </c>
      <c r="BV256" s="123">
        <f>IF(BZ255&lt;0.01,0,Plus!$BD$2)</f>
        <v>0</v>
      </c>
      <c r="BW256" s="123"/>
      <c r="BX256" s="123">
        <f t="shared" si="469"/>
        <v>0</v>
      </c>
      <c r="BY256" s="123">
        <f>IF(Plus!$F$10=Plus!$AK$3,MIN(BZ255+BQ256+BT256+BU256+BV256-BX256,CJ256),0)</f>
        <v>0</v>
      </c>
      <c r="BZ256" s="297">
        <f t="shared" si="574"/>
        <v>0</v>
      </c>
      <c r="CA256" s="74"/>
      <c r="CB256" s="74"/>
      <c r="CC256" s="413">
        <f t="shared" si="503"/>
        <v>0</v>
      </c>
      <c r="CF256" s="90">
        <f t="shared" si="504"/>
        <v>4</v>
      </c>
      <c r="CG256" s="121">
        <f t="shared" si="559"/>
        <v>0</v>
      </c>
      <c r="CI256" s="70">
        <f t="shared" si="560"/>
        <v>0</v>
      </c>
      <c r="CJ256" s="2178">
        <f t="shared" ca="1" si="505"/>
        <v>0</v>
      </c>
      <c r="CL256" s="161"/>
      <c r="CN256" s="308">
        <f t="shared" ca="1" si="470"/>
        <v>7</v>
      </c>
      <c r="CO256" s="309">
        <f t="shared" si="506"/>
        <v>0</v>
      </c>
      <c r="CP256" s="268">
        <f t="shared" si="471"/>
        <v>0</v>
      </c>
      <c r="CQ256" s="123">
        <f t="shared" si="507"/>
        <v>0</v>
      </c>
      <c r="CR256" s="123">
        <f t="shared" si="581"/>
        <v>0</v>
      </c>
      <c r="CS256" s="123">
        <f t="shared" si="582"/>
        <v>0</v>
      </c>
      <c r="CT256" s="33">
        <f>IF(CZ255&lt;0.01,0,IF(Plus!$F$22=Plus!$AN$4,0,IF(Plus!$F$22=Plus!$AN$3,CZ255*Plus!$F$23/1000,CZ255*VLOOKUP(Plus!$G$21,Plus!$AP$2:'Plus'!$AQ$5,2,0))))</f>
        <v>0</v>
      </c>
      <c r="CU256" s="123">
        <f>IF(CZ255&lt;0.01,0,IF(Plus!$F$24=Plus!$AO$3,0,IF(OR(Plus!$F$10=Plus!$AK$7,Plus!$F$10=Plus!$AK$13),0,Plus!$G$13*Plus!$AR$2)))</f>
        <v>0</v>
      </c>
      <c r="CV256" s="123">
        <f>IF(CZ255&lt;0.01,0,IF(OR(Plus!$F$10=Plus!$AK$7,Plus!$F$10=Plus!$AK$13),0,Plus!$BD$2*1.16))</f>
        <v>0</v>
      </c>
      <c r="CW256" s="123">
        <f>IF(CZ255&lt;0.01,0,IF(Plus!$AS$2&gt;0,CQ256*Plus!$AS$3,0))</f>
        <v>0</v>
      </c>
      <c r="CX256" s="123">
        <f t="shared" si="508"/>
        <v>0</v>
      </c>
      <c r="CY256" s="123">
        <f>IF(Plus!$F$10=Plus!$AK$3,MIN(CZ255+CQ256+CT256+CU256+CV256-CX256,DK256),0)</f>
        <v>0</v>
      </c>
      <c r="CZ256" s="297">
        <f t="shared" si="588"/>
        <v>0</v>
      </c>
      <c r="DA256" s="306">
        <f>Plus!O297</f>
        <v>0</v>
      </c>
      <c r="DB256" s="74"/>
      <c r="DC256" s="74"/>
      <c r="DD256" s="407">
        <f t="shared" si="509"/>
        <v>0</v>
      </c>
      <c r="DG256" s="90">
        <f t="shared" si="510"/>
        <v>4</v>
      </c>
      <c r="DH256" s="121">
        <f t="shared" si="561"/>
        <v>0</v>
      </c>
      <c r="DJ256" s="149">
        <f t="shared" si="562"/>
        <v>0</v>
      </c>
      <c r="DK256" s="2179">
        <f t="shared" ca="1" si="511"/>
        <v>0</v>
      </c>
      <c r="DN256" s="120">
        <f t="shared" si="563"/>
        <v>0</v>
      </c>
      <c r="DO256" s="110">
        <f t="shared" si="512"/>
        <v>0</v>
      </c>
      <c r="DP256" s="110">
        <f t="shared" si="572"/>
        <v>0</v>
      </c>
      <c r="DQ256" s="109">
        <f t="shared" si="513"/>
        <v>0</v>
      </c>
      <c r="DR256" s="109">
        <f t="shared" si="514"/>
        <v>0</v>
      </c>
      <c r="DS256" s="113">
        <f t="shared" si="515"/>
        <v>0</v>
      </c>
      <c r="DU256" s="102">
        <f t="shared" si="516"/>
        <v>0</v>
      </c>
      <c r="DV256" s="211">
        <f t="shared" si="573"/>
        <v>232</v>
      </c>
      <c r="DW256" s="212">
        <f t="shared" si="517"/>
        <v>0</v>
      </c>
      <c r="DX256" s="212">
        <f t="shared" si="472"/>
        <v>0</v>
      </c>
      <c r="DY256" s="212">
        <f t="shared" si="564"/>
        <v>0</v>
      </c>
      <c r="DZ256" s="213">
        <f t="shared" si="473"/>
        <v>1000000</v>
      </c>
      <c r="ED256" s="182"/>
      <c r="EF256" s="308">
        <f t="shared" ca="1" si="474"/>
        <v>7</v>
      </c>
      <c r="EG256" s="309">
        <f t="shared" si="518"/>
        <v>0</v>
      </c>
      <c r="EH256" s="268">
        <f t="shared" si="475"/>
        <v>0</v>
      </c>
      <c r="EI256" s="33">
        <f t="shared" si="519"/>
        <v>0</v>
      </c>
      <c r="EJ256" s="33">
        <f t="shared" si="583"/>
        <v>0</v>
      </c>
      <c r="EK256" s="33">
        <f t="shared" si="591"/>
        <v>0</v>
      </c>
      <c r="EL256" s="33">
        <f>IF(ER255&lt;0.01,0,IF(Plus!$F$22=Plus!$AN$4,0,IF(Plus!$F$22=Plus!$AN$3,ER255*Plus!$F$23/1000,ER255*VLOOKUP(Plus!$G$21,Plus!$AP$2:'Plus'!$AQ$5,2,0))))</f>
        <v>0</v>
      </c>
      <c r="EM256" s="33">
        <f>IF(ER255&lt;0.01,0,IF(Plus!$F$24=Plus!$AO$3,0,IF(OR(Plus!$F$10=Plus!$AK$7,Plus!$F$10=Plus!$AK$13),0,Plus!$G$13*Plus!$AR$2)))</f>
        <v>0</v>
      </c>
      <c r="EN256" s="33">
        <f>IF(ER255&lt;0.01,0,IF(OR(Plus!$F$10=Plus!$AK$7,Plus!$F$10=Plus!$AK$13),0,Plus!$BD$2*1.16))</f>
        <v>0</v>
      </c>
      <c r="EO256" s="33">
        <f>IF(ER255&lt;0.01,0,IF(Plus!$AS$2&gt;0,EI256*Plus!$AS$3,0))</f>
        <v>0</v>
      </c>
      <c r="EP256" s="33">
        <f t="shared" si="520"/>
        <v>0</v>
      </c>
      <c r="EQ256" s="33">
        <f>IF(Plus!$F$10=Plus!$AK$3,MIN(ER255+EI256+EL256+EM256+EN256-EP256,FC256),0)</f>
        <v>0</v>
      </c>
      <c r="ER256" s="311">
        <f t="shared" si="577"/>
        <v>0</v>
      </c>
      <c r="ES256" s="340">
        <f>Plus!O297</f>
        <v>0</v>
      </c>
      <c r="ET256" s="74"/>
      <c r="EU256" s="74"/>
      <c r="EV256" s="416">
        <f t="shared" si="575"/>
        <v>0</v>
      </c>
      <c r="EY256" s="90">
        <f t="shared" si="521"/>
        <v>4</v>
      </c>
      <c r="EZ256" s="121">
        <f t="shared" si="565"/>
        <v>0</v>
      </c>
      <c r="FB256" s="149">
        <f t="shared" si="566"/>
        <v>0</v>
      </c>
      <c r="FC256" s="2179">
        <f t="shared" ca="1" si="522"/>
        <v>0</v>
      </c>
      <c r="FE256" s="120">
        <f t="shared" si="567"/>
        <v>0</v>
      </c>
      <c r="FF256" s="110">
        <f t="shared" si="523"/>
        <v>0</v>
      </c>
      <c r="FG256" s="110">
        <f t="shared" si="524"/>
        <v>0</v>
      </c>
      <c r="FH256" s="109">
        <f t="shared" si="525"/>
        <v>0</v>
      </c>
      <c r="FI256" s="109">
        <f t="shared" si="476"/>
        <v>0</v>
      </c>
      <c r="FJ256" s="113">
        <f t="shared" si="526"/>
        <v>0</v>
      </c>
      <c r="FL256" s="102">
        <f t="shared" si="527"/>
        <v>0</v>
      </c>
      <c r="FM256" s="211">
        <f t="shared" si="454"/>
        <v>232</v>
      </c>
      <c r="FN256" s="212">
        <f t="shared" si="528"/>
        <v>0</v>
      </c>
      <c r="FO256" s="212">
        <f t="shared" si="477"/>
        <v>0</v>
      </c>
      <c r="FP256" s="212">
        <f t="shared" si="596"/>
        <v>0</v>
      </c>
      <c r="FQ256" s="213">
        <f t="shared" si="478"/>
        <v>1000000</v>
      </c>
      <c r="FV256" s="359"/>
      <c r="FX256" s="308">
        <f t="shared" ca="1" si="479"/>
        <v>7</v>
      </c>
      <c r="FY256" s="309">
        <f t="shared" si="530"/>
        <v>0</v>
      </c>
      <c r="FZ256" s="268">
        <f t="shared" si="480"/>
        <v>0</v>
      </c>
      <c r="GA256" s="33">
        <f t="shared" si="531"/>
        <v>0</v>
      </c>
      <c r="GB256" s="33">
        <f t="shared" si="585"/>
        <v>0</v>
      </c>
      <c r="GC256" s="33">
        <f t="shared" si="586"/>
        <v>0</v>
      </c>
      <c r="GD256" s="33">
        <f>IF(GJ255&lt;0.01,0,IF(Plus!$F$22=Plus!$AN$4,0,IF(Plus!$F$22=Plus!$AN$3,GJ255*Plus!$F$23/1000,GJ255*VLOOKUP(Plus!$G$21,Plus!$AP$2:$AQ$5,2,0))))</f>
        <v>0</v>
      </c>
      <c r="GE256" s="33">
        <f>IF(GJ255&lt;0.01,0,IF(Plus!$F$24=Plus!$AO$3,0,IF(OR(Plus!$F$10=Plus!$AK$7,Plus!$F$10=Plus!$AK$13,Plus!$F$10=Plus!$AK$14),0,IF(OR(Plus!$F$10=Plus!$AK$10,Plus!$F$10=Plus!$AK$11),Plus!$G$13*Adm!$W$7,Plus!$G$13*Adm!$X$4))))</f>
        <v>0</v>
      </c>
      <c r="GF256" s="33">
        <f>IF(GJ255&lt;0.01,0,IF(OR(Plus!$F$10=Plus!$AK$7,Plus!$F$10=Plus!$AK$13),0,Plus!$BD$2*1.16))</f>
        <v>0</v>
      </c>
      <c r="GG256" s="33">
        <f>IF(GJ255&lt;0.01,0,IF(Plus!$AS$2&gt;0,GA256*Plus!$AS$3,0))</f>
        <v>0</v>
      </c>
      <c r="GH256" s="33">
        <f t="shared" si="532"/>
        <v>0</v>
      </c>
      <c r="GI256" s="33">
        <f>IF(Plus!$F$10=Plus!$AK$3,MIN(GJ255+GA256+GD256+GE256+GF256-GH256,GU256),0)</f>
        <v>0</v>
      </c>
      <c r="GJ256" s="311">
        <f t="shared" si="578"/>
        <v>0</v>
      </c>
      <c r="GK256" s="340">
        <f>Plus!O297</f>
        <v>0</v>
      </c>
      <c r="GL256" s="74"/>
      <c r="GM256" s="74"/>
      <c r="GN256" s="419">
        <f t="shared" si="576"/>
        <v>0</v>
      </c>
      <c r="GQ256" s="90">
        <f t="shared" si="533"/>
        <v>4</v>
      </c>
      <c r="GR256" s="121">
        <f t="shared" si="568"/>
        <v>0</v>
      </c>
      <c r="GT256" s="149">
        <f t="shared" si="569"/>
        <v>0</v>
      </c>
      <c r="GU256" s="2179">
        <f t="shared" ca="1" si="534"/>
        <v>0</v>
      </c>
      <c r="GW256" s="120">
        <f t="shared" si="570"/>
        <v>0</v>
      </c>
      <c r="GX256" s="110">
        <f t="shared" si="535"/>
        <v>0</v>
      </c>
      <c r="GY256" s="110">
        <f t="shared" si="536"/>
        <v>0</v>
      </c>
      <c r="GZ256" s="109">
        <f t="shared" si="537"/>
        <v>0</v>
      </c>
      <c r="HA256" s="109">
        <f t="shared" si="481"/>
        <v>0</v>
      </c>
      <c r="HB256" s="113">
        <f t="shared" si="538"/>
        <v>0</v>
      </c>
      <c r="HD256" s="102">
        <f t="shared" si="539"/>
        <v>0</v>
      </c>
      <c r="HE256" s="211">
        <f t="shared" si="455"/>
        <v>232</v>
      </c>
      <c r="HF256" s="212">
        <f t="shared" si="540"/>
        <v>0</v>
      </c>
      <c r="HG256" s="212">
        <f t="shared" si="482"/>
        <v>0</v>
      </c>
      <c r="HH256" s="212">
        <f t="shared" si="597"/>
        <v>0</v>
      </c>
      <c r="HI256" s="213">
        <f t="shared" si="483"/>
        <v>1000000</v>
      </c>
      <c r="HL256" s="182"/>
      <c r="HM256" s="26">
        <f t="shared" ca="1" si="484"/>
        <v>7</v>
      </c>
      <c r="HO256" s="268">
        <f t="shared" si="485"/>
        <v>0</v>
      </c>
      <c r="HP256" s="151">
        <f t="shared" si="594"/>
        <v>0</v>
      </c>
      <c r="HQ256" s="123">
        <f t="shared" si="542"/>
        <v>0</v>
      </c>
      <c r="HR256" s="123">
        <f t="shared" si="543"/>
        <v>0</v>
      </c>
      <c r="HS256" s="123">
        <f t="shared" si="544"/>
        <v>0</v>
      </c>
      <c r="HT256" s="123">
        <f>IF(HY255&lt;0.01,0,IF(Adm!$GS$4=Adm!$GS$8,HY255*$HY$15,IF(Adm!$GS$12=Adm!$GS$13,0,HY255*Adm!$GV$4)))</f>
        <v>0</v>
      </c>
      <c r="HU256" s="123">
        <f>IF(HY255&lt;0.01,0,IF(Adm!$GS$5=Adm!$GS$8,Cal!$BO$108*$HY$16/1.16,IF(Adm!$GS$12=Adm!$GS$13,0,Cal!$BO$108*Adm!$GW$4/1.16)))</f>
        <v>0</v>
      </c>
      <c r="HV256" s="123">
        <f t="shared" si="545"/>
        <v>0</v>
      </c>
      <c r="HW256" s="123">
        <f t="shared" si="486"/>
        <v>0</v>
      </c>
      <c r="HX256" s="123">
        <f>IF(Adm!$GH$6="si",MIN(HY255+HQ256+HT256+HU256+HV256-HW256,IH256),0)</f>
        <v>0</v>
      </c>
      <c r="HY256" s="297">
        <f t="shared" si="546"/>
        <v>0</v>
      </c>
      <c r="HZ256" s="74"/>
      <c r="IA256" s="407">
        <f t="shared" si="547"/>
        <v>0</v>
      </c>
      <c r="IC256" s="90">
        <f t="shared" si="548"/>
        <v>4</v>
      </c>
      <c r="ID256" s="124">
        <f>IF(IC256=1,Cal!$BO$127,0)</f>
        <v>0</v>
      </c>
      <c r="IE256" s="178">
        <f>IF(IC256=1,Adm!$HI$4,0)</f>
        <v>0</v>
      </c>
      <c r="IG256" s="70">
        <f t="shared" si="571"/>
        <v>0</v>
      </c>
      <c r="IH256" s="2178">
        <f t="shared" ca="1" si="549"/>
        <v>0</v>
      </c>
      <c r="IK256" s="217"/>
      <c r="IL256" s="26">
        <f t="shared" ca="1" si="487"/>
        <v>7</v>
      </c>
      <c r="IN256" s="268">
        <f t="shared" si="488"/>
        <v>0</v>
      </c>
      <c r="IO256" s="151">
        <f t="shared" si="595"/>
        <v>0</v>
      </c>
      <c r="IP256" s="123">
        <f t="shared" si="550"/>
        <v>0</v>
      </c>
      <c r="IQ256" s="123">
        <f t="shared" si="551"/>
        <v>0</v>
      </c>
      <c r="IR256" s="123">
        <f t="shared" si="552"/>
        <v>0</v>
      </c>
      <c r="IS256" s="123">
        <f>IF(IX255&lt;0.01,0,IF(Adm!$GS$4=Adm!$GS$8,IX255*$IX$15,IF(Adm!$GS$12=Adm!$GS$13,0,IX255*Adm!$GV$4)))</f>
        <v>0</v>
      </c>
      <c r="IT256" s="123"/>
      <c r="IU256" s="123">
        <f t="shared" si="553"/>
        <v>0</v>
      </c>
      <c r="IV256" s="123">
        <f t="shared" si="554"/>
        <v>0</v>
      </c>
      <c r="IW256" s="123"/>
      <c r="IX256" s="297">
        <f t="shared" si="555"/>
        <v>0</v>
      </c>
      <c r="IY256" s="74"/>
      <c r="IZ256" s="416">
        <f t="shared" si="556"/>
        <v>0</v>
      </c>
      <c r="JB256" s="90">
        <f t="shared" si="557"/>
        <v>4</v>
      </c>
      <c r="JC256" s="124">
        <f>IF(JB256=1,Cal!$BP$127,0)</f>
        <v>0</v>
      </c>
      <c r="JD256" s="178">
        <f>IF(JB256=1,Adm!$HI$4,0)</f>
        <v>0</v>
      </c>
    </row>
    <row r="257" spans="1:264">
      <c r="A257" s="26">
        <f t="shared" ca="1" si="456"/>
        <v>8</v>
      </c>
      <c r="C257" s="33">
        <f t="shared" si="457"/>
        <v>0</v>
      </c>
      <c r="D257" s="123">
        <f t="shared" si="489"/>
        <v>0</v>
      </c>
      <c r="E257" s="123">
        <f t="shared" si="579"/>
        <v>0</v>
      </c>
      <c r="F257" s="123">
        <f t="shared" si="589"/>
        <v>0</v>
      </c>
      <c r="G257" s="123">
        <f>IF(L256&lt;0.01,0,IF(Adm!$S$4=Adm!$S$8,L256*$L$15,L256*Adm!$V$4))</f>
        <v>0</v>
      </c>
      <c r="H257" s="123">
        <f>IF(L256&lt;0.01,0,IF(Adm!$S$5=Adm!$S$8,Adm!$AA$11*$L$16/1.16,IF(Adm!$B$4=Adm!$A$119,0,Adm!$AA$11*Adm!$X$4/1.16)))</f>
        <v>0</v>
      </c>
      <c r="I257" s="123">
        <f>IF(L256&lt;0.01,0,Cal!$AB$126/1.16)</f>
        <v>0</v>
      </c>
      <c r="J257" s="123">
        <f t="shared" si="458"/>
        <v>0</v>
      </c>
      <c r="K257" s="123">
        <f>IF(Adm!$G$4="si",MIN(L256+D257+G257+H257+I257-J257,V257),0)</f>
        <v>0</v>
      </c>
      <c r="L257" s="123">
        <f t="shared" si="490"/>
        <v>0</v>
      </c>
      <c r="M257" s="74"/>
      <c r="N257" s="74"/>
      <c r="O257" s="407">
        <f t="shared" si="491"/>
        <v>0</v>
      </c>
      <c r="R257" s="90">
        <f t="shared" si="492"/>
        <v>5</v>
      </c>
      <c r="S257" s="121">
        <f>IF(R257=1,Cal!$AB$127,0)</f>
        <v>0</v>
      </c>
      <c r="U257" s="70">
        <f t="shared" si="558"/>
        <v>0</v>
      </c>
      <c r="V257" s="2178">
        <f t="shared" ca="1" si="493"/>
        <v>0</v>
      </c>
      <c r="X257" s="398"/>
      <c r="Z257" s="268">
        <f t="shared" si="459"/>
        <v>0</v>
      </c>
      <c r="AA257" s="2176">
        <f t="shared" si="494"/>
        <v>0</v>
      </c>
      <c r="AB257" s="33">
        <f t="shared" si="495"/>
        <v>0</v>
      </c>
      <c r="AC257" s="33">
        <f t="shared" si="496"/>
        <v>0</v>
      </c>
      <c r="AD257" s="33">
        <f>IF(AI256&lt;0.01,0,IF(Adm!$S$4=Adm!$S$8,AI256*$AI$15,AI256*Adm!$V$4))</f>
        <v>0</v>
      </c>
      <c r="AE257" s="33"/>
      <c r="AF257" s="33"/>
      <c r="AG257" s="33">
        <f t="shared" si="460"/>
        <v>0</v>
      </c>
      <c r="AH257" s="33"/>
      <c r="AI257" s="401">
        <f t="shared" si="461"/>
        <v>0</v>
      </c>
      <c r="AK257" s="410">
        <f t="shared" si="462"/>
        <v>0</v>
      </c>
      <c r="AN257" s="90">
        <f t="shared" si="497"/>
        <v>5</v>
      </c>
      <c r="AO257" s="121">
        <f>IF(AN257=1,Cal!$AC$127,0)</f>
        <v>0</v>
      </c>
      <c r="AS257" s="200"/>
      <c r="AU257" s="268">
        <f t="shared" si="463"/>
        <v>0</v>
      </c>
      <c r="AV257" s="2177">
        <f t="shared" si="498"/>
        <v>0</v>
      </c>
      <c r="AW257" s="123">
        <f t="shared" si="464"/>
        <v>0</v>
      </c>
      <c r="AX257" s="123">
        <f t="shared" si="499"/>
        <v>0</v>
      </c>
      <c r="AY257" s="123">
        <f>IF(BC256&lt;0.01,0,IF(Adm!$S$4=Adm!$S$8,BC256*$BC$16,BC256*Adm!$V$4))</f>
        <v>0</v>
      </c>
      <c r="AZ257" s="123"/>
      <c r="BA257" s="123">
        <f>IF(BC256&lt;0.01,0,Adm!$Q$6)</f>
        <v>0</v>
      </c>
      <c r="BB257" s="123">
        <f t="shared" si="465"/>
        <v>0</v>
      </c>
      <c r="BC257" s="297">
        <f t="shared" si="500"/>
        <v>0</v>
      </c>
      <c r="BE257" s="425">
        <f t="shared" si="466"/>
        <v>0</v>
      </c>
      <c r="BH257" s="90">
        <f t="shared" si="501"/>
        <v>5</v>
      </c>
      <c r="BI257" s="121">
        <f>IF(BH257=1,Cal!$AD$127,0)</f>
        <v>0</v>
      </c>
      <c r="BM257" s="221"/>
      <c r="BO257" s="295">
        <f t="shared" ca="1" si="467"/>
        <v>8</v>
      </c>
      <c r="BP257" s="268">
        <f t="shared" si="468"/>
        <v>0</v>
      </c>
      <c r="BQ257" s="123">
        <f t="shared" si="502"/>
        <v>0</v>
      </c>
      <c r="BR257" s="123">
        <f t="shared" si="580"/>
        <v>0</v>
      </c>
      <c r="BS257" s="123">
        <f t="shared" si="590"/>
        <v>0</v>
      </c>
      <c r="BT257" s="123">
        <f>IF(BZ256&lt;0.01,0,IF(Plus!$F$22=Plus!$AN$4,BZ256*$BZ$15,IF(Plus!$F$22=Plus!$AN$3,BZ256*Plus!$F$23/1000,BZ256*VLOOKUP(Plus!$G$21,Plus!$AP$2:'Plus'!$AQ$5,2,0))))</f>
        <v>0</v>
      </c>
      <c r="BU257" s="123">
        <f>IF(BZ256&lt;0.01,0,IF(Plus!$F$24=Plus!$AO$3,Plus!$G$13*Plus!$AR$2/1.16,IF(Plus!$F$10=Plus!$AK$7,0,Plus!$G$13*Plus!$AR$2/1.16)))</f>
        <v>0</v>
      </c>
      <c r="BV257" s="123">
        <f>IF(BZ256&lt;0.01,0,Plus!$BD$2)</f>
        <v>0</v>
      </c>
      <c r="BW257" s="123"/>
      <c r="BX257" s="123">
        <f t="shared" si="469"/>
        <v>0</v>
      </c>
      <c r="BY257" s="123">
        <f>IF(Plus!$F$10=Plus!$AK$3,MIN(BZ256+BQ257+BT257+BU257+BV257-BX257,CJ257),0)</f>
        <v>0</v>
      </c>
      <c r="BZ257" s="297">
        <f t="shared" si="574"/>
        <v>0</v>
      </c>
      <c r="CA257" s="74"/>
      <c r="CB257" s="74"/>
      <c r="CC257" s="413">
        <f t="shared" si="503"/>
        <v>0</v>
      </c>
      <c r="CF257" s="90">
        <f t="shared" si="504"/>
        <v>5</v>
      </c>
      <c r="CG257" s="121">
        <f t="shared" si="559"/>
        <v>0</v>
      </c>
      <c r="CI257" s="70">
        <f t="shared" si="560"/>
        <v>0</v>
      </c>
      <c r="CJ257" s="2178">
        <f t="shared" ca="1" si="505"/>
        <v>0</v>
      </c>
      <c r="CL257" s="161"/>
      <c r="CN257" s="308">
        <f t="shared" ca="1" si="470"/>
        <v>8</v>
      </c>
      <c r="CO257" s="309">
        <f t="shared" si="506"/>
        <v>0</v>
      </c>
      <c r="CP257" s="268">
        <f t="shared" si="471"/>
        <v>0</v>
      </c>
      <c r="CQ257" s="123">
        <f t="shared" si="507"/>
        <v>0</v>
      </c>
      <c r="CR257" s="123">
        <f t="shared" si="581"/>
        <v>0</v>
      </c>
      <c r="CS257" s="123">
        <f t="shared" si="582"/>
        <v>0</v>
      </c>
      <c r="CT257" s="33">
        <f>IF(CZ256&lt;0.01,0,IF(Plus!$F$22=Plus!$AN$4,0,IF(Plus!$F$22=Plus!$AN$3,CZ256*Plus!$F$23/1000,CZ256*VLOOKUP(Plus!$G$21,Plus!$AP$2:'Plus'!$AQ$5,2,0))))</f>
        <v>0</v>
      </c>
      <c r="CU257" s="123">
        <f>IF(CZ256&lt;0.01,0,IF(Plus!$F$24=Plus!$AO$3,0,IF(OR(Plus!$F$10=Plus!$AK$7,Plus!$F$10=Plus!$AK$13),0,Plus!$G$13*Plus!$AR$2)))</f>
        <v>0</v>
      </c>
      <c r="CV257" s="123">
        <f>IF(CZ256&lt;0.01,0,IF(OR(Plus!$F$10=Plus!$AK$7,Plus!$F$10=Plus!$AK$13),0,Plus!$BD$2*1.16))</f>
        <v>0</v>
      </c>
      <c r="CW257" s="123">
        <f>IF(CZ256&lt;0.01,0,IF(Plus!$AS$2&gt;0,CQ257*Plus!$AS$3,0))</f>
        <v>0</v>
      </c>
      <c r="CX257" s="123">
        <f t="shared" si="508"/>
        <v>0</v>
      </c>
      <c r="CY257" s="123">
        <f>IF(Plus!$F$10=Plus!$AK$3,MIN(CZ256+CQ257+CT257+CU257+CV257-CX257,DK257),0)</f>
        <v>0</v>
      </c>
      <c r="CZ257" s="297">
        <f t="shared" si="588"/>
        <v>0</v>
      </c>
      <c r="DA257" s="306">
        <f>Plus!O298</f>
        <v>0</v>
      </c>
      <c r="DB257" s="74"/>
      <c r="DC257" s="74"/>
      <c r="DD257" s="407">
        <f t="shared" si="509"/>
        <v>0</v>
      </c>
      <c r="DG257" s="90">
        <f t="shared" si="510"/>
        <v>5</v>
      </c>
      <c r="DH257" s="121">
        <f t="shared" si="561"/>
        <v>0</v>
      </c>
      <c r="DJ257" s="149">
        <f t="shared" si="562"/>
        <v>0</v>
      </c>
      <c r="DK257" s="2179">
        <f t="shared" ca="1" si="511"/>
        <v>0</v>
      </c>
      <c r="DN257" s="120">
        <f t="shared" si="563"/>
        <v>0</v>
      </c>
      <c r="DO257" s="110">
        <f t="shared" si="512"/>
        <v>0</v>
      </c>
      <c r="DP257" s="110">
        <f t="shared" si="572"/>
        <v>0</v>
      </c>
      <c r="DQ257" s="109">
        <f t="shared" si="513"/>
        <v>0</v>
      </c>
      <c r="DR257" s="109">
        <f t="shared" si="514"/>
        <v>0</v>
      </c>
      <c r="DS257" s="113">
        <f t="shared" si="515"/>
        <v>0</v>
      </c>
      <c r="DU257" s="102">
        <f t="shared" si="516"/>
        <v>0</v>
      </c>
      <c r="DV257" s="211">
        <f t="shared" si="573"/>
        <v>233</v>
      </c>
      <c r="DW257" s="212">
        <f t="shared" si="517"/>
        <v>0</v>
      </c>
      <c r="DX257" s="212">
        <f t="shared" si="472"/>
        <v>0</v>
      </c>
      <c r="DY257" s="212">
        <f t="shared" si="564"/>
        <v>0</v>
      </c>
      <c r="DZ257" s="213">
        <f t="shared" si="473"/>
        <v>1000000</v>
      </c>
      <c r="ED257" s="182"/>
      <c r="EF257" s="308">
        <f t="shared" ca="1" si="474"/>
        <v>8</v>
      </c>
      <c r="EG257" s="309">
        <f t="shared" si="518"/>
        <v>0</v>
      </c>
      <c r="EH257" s="268">
        <f t="shared" si="475"/>
        <v>0</v>
      </c>
      <c r="EI257" s="33">
        <f t="shared" si="519"/>
        <v>0</v>
      </c>
      <c r="EJ257" s="33">
        <f t="shared" si="583"/>
        <v>0</v>
      </c>
      <c r="EK257" s="33">
        <f t="shared" si="591"/>
        <v>0</v>
      </c>
      <c r="EL257" s="33">
        <f>IF(ER256&lt;0.01,0,IF(Plus!$F$22=Plus!$AN$4,0,IF(Plus!$F$22=Plus!$AN$3,ER256*Plus!$F$23/1000,ER256*VLOOKUP(Plus!$G$21,Plus!$AP$2:'Plus'!$AQ$5,2,0))))</f>
        <v>0</v>
      </c>
      <c r="EM257" s="33">
        <f>IF(ER256&lt;0.01,0,IF(Plus!$F$24=Plus!$AO$3,0,IF(OR(Plus!$F$10=Plus!$AK$7,Plus!$F$10=Plus!$AK$13),0,Plus!$G$13*Plus!$AR$2)))</f>
        <v>0</v>
      </c>
      <c r="EN257" s="33">
        <f>IF(ER256&lt;0.01,0,IF(OR(Plus!$F$10=Plus!$AK$7,Plus!$F$10=Plus!$AK$13),0,Plus!$BD$2*1.16))</f>
        <v>0</v>
      </c>
      <c r="EO257" s="33">
        <f>IF(ER256&lt;0.01,0,IF(Plus!$AS$2&gt;0,EI257*Plus!$AS$3,0))</f>
        <v>0</v>
      </c>
      <c r="EP257" s="33">
        <f t="shared" si="520"/>
        <v>0</v>
      </c>
      <c r="EQ257" s="33">
        <f>IF(Plus!$F$10=Plus!$AK$3,MIN(ER256+EI257+EL257+EM257+EN257-EP257,FC257),0)</f>
        <v>0</v>
      </c>
      <c r="ER257" s="311">
        <f t="shared" si="577"/>
        <v>0</v>
      </c>
      <c r="ES257" s="340">
        <f>Plus!O298</f>
        <v>0</v>
      </c>
      <c r="ET257" s="74"/>
      <c r="EU257" s="74"/>
      <c r="EV257" s="416">
        <f t="shared" si="575"/>
        <v>0</v>
      </c>
      <c r="EY257" s="90">
        <f t="shared" si="521"/>
        <v>5</v>
      </c>
      <c r="EZ257" s="121">
        <f t="shared" si="565"/>
        <v>0</v>
      </c>
      <c r="FB257" s="149">
        <f t="shared" si="566"/>
        <v>0</v>
      </c>
      <c r="FC257" s="2179">
        <f t="shared" ca="1" si="522"/>
        <v>0</v>
      </c>
      <c r="FE257" s="120">
        <f t="shared" si="567"/>
        <v>0</v>
      </c>
      <c r="FF257" s="110">
        <f t="shared" si="523"/>
        <v>0</v>
      </c>
      <c r="FG257" s="110">
        <f t="shared" si="524"/>
        <v>0</v>
      </c>
      <c r="FH257" s="109">
        <f t="shared" si="525"/>
        <v>0</v>
      </c>
      <c r="FI257" s="109">
        <f t="shared" si="476"/>
        <v>0</v>
      </c>
      <c r="FJ257" s="113">
        <f t="shared" si="526"/>
        <v>0</v>
      </c>
      <c r="FL257" s="102">
        <f t="shared" si="527"/>
        <v>0</v>
      </c>
      <c r="FM257" s="211">
        <f t="shared" si="454"/>
        <v>233</v>
      </c>
      <c r="FN257" s="212">
        <f t="shared" si="528"/>
        <v>0</v>
      </c>
      <c r="FO257" s="212">
        <f t="shared" si="477"/>
        <v>0</v>
      </c>
      <c r="FP257" s="212">
        <f t="shared" si="596"/>
        <v>0</v>
      </c>
      <c r="FQ257" s="213">
        <f t="shared" si="478"/>
        <v>1000000</v>
      </c>
      <c r="FV257" s="359"/>
      <c r="FX257" s="308">
        <f t="shared" ca="1" si="479"/>
        <v>8</v>
      </c>
      <c r="FY257" s="309">
        <f t="shared" si="530"/>
        <v>0</v>
      </c>
      <c r="FZ257" s="268">
        <f t="shared" si="480"/>
        <v>0</v>
      </c>
      <c r="GA257" s="33">
        <f t="shared" si="531"/>
        <v>0</v>
      </c>
      <c r="GB257" s="33">
        <f t="shared" si="585"/>
        <v>0</v>
      </c>
      <c r="GC257" s="33">
        <f t="shared" si="586"/>
        <v>0</v>
      </c>
      <c r="GD257" s="33">
        <f>IF(GJ256&lt;0.01,0,IF(Plus!$F$22=Plus!$AN$4,0,IF(Plus!$F$22=Plus!$AN$3,GJ256*Plus!$F$23/1000,GJ256*VLOOKUP(Plus!$G$21,Plus!$AP$2:$AQ$5,2,0))))</f>
        <v>0</v>
      </c>
      <c r="GE257" s="33">
        <f>IF(GJ256&lt;0.01,0,IF(Plus!$F$24=Plus!$AO$3,0,IF(OR(Plus!$F$10=Plus!$AK$7,Plus!$F$10=Plus!$AK$13,Plus!$F$10=Plus!$AK$14),0,IF(OR(Plus!$F$10=Plus!$AK$10,Plus!$F$10=Plus!$AK$11),Plus!$G$13*Adm!$W$7,Plus!$G$13*Adm!$X$4))))</f>
        <v>0</v>
      </c>
      <c r="GF257" s="33">
        <f>IF(GJ256&lt;0.01,0,IF(OR(Plus!$F$10=Plus!$AK$7,Plus!$F$10=Plus!$AK$13),0,Plus!$BD$2*1.16))</f>
        <v>0</v>
      </c>
      <c r="GG257" s="33">
        <f>IF(GJ256&lt;0.01,0,IF(Plus!$AS$2&gt;0,GA257*Plus!$AS$3,0))</f>
        <v>0</v>
      </c>
      <c r="GH257" s="33">
        <f t="shared" si="532"/>
        <v>0</v>
      </c>
      <c r="GI257" s="33">
        <f>IF(Plus!$F$10=Plus!$AK$3,MIN(GJ256+GA257+GD257+GE257+GF257-GH257,GU257),0)</f>
        <v>0</v>
      </c>
      <c r="GJ257" s="311">
        <f t="shared" si="578"/>
        <v>0</v>
      </c>
      <c r="GK257" s="340">
        <f>Plus!O298</f>
        <v>0</v>
      </c>
      <c r="GL257" s="74"/>
      <c r="GM257" s="74"/>
      <c r="GN257" s="419">
        <f t="shared" si="576"/>
        <v>0</v>
      </c>
      <c r="GQ257" s="90">
        <f t="shared" si="533"/>
        <v>5</v>
      </c>
      <c r="GR257" s="121">
        <f t="shared" si="568"/>
        <v>0</v>
      </c>
      <c r="GT257" s="149">
        <f t="shared" si="569"/>
        <v>0</v>
      </c>
      <c r="GU257" s="2179">
        <f t="shared" ca="1" si="534"/>
        <v>0</v>
      </c>
      <c r="GW257" s="120">
        <f t="shared" si="570"/>
        <v>0</v>
      </c>
      <c r="GX257" s="110">
        <f t="shared" si="535"/>
        <v>0</v>
      </c>
      <c r="GY257" s="110">
        <f t="shared" si="536"/>
        <v>0</v>
      </c>
      <c r="GZ257" s="109">
        <f t="shared" si="537"/>
        <v>0</v>
      </c>
      <c r="HA257" s="109">
        <f t="shared" si="481"/>
        <v>0</v>
      </c>
      <c r="HB257" s="113">
        <f t="shared" si="538"/>
        <v>0</v>
      </c>
      <c r="HD257" s="102">
        <f t="shared" si="539"/>
        <v>0</v>
      </c>
      <c r="HE257" s="211">
        <f t="shared" si="455"/>
        <v>233</v>
      </c>
      <c r="HF257" s="212">
        <f t="shared" si="540"/>
        <v>0</v>
      </c>
      <c r="HG257" s="212">
        <f t="shared" si="482"/>
        <v>0</v>
      </c>
      <c r="HH257" s="212">
        <f t="shared" si="597"/>
        <v>0</v>
      </c>
      <c r="HI257" s="213">
        <f t="shared" si="483"/>
        <v>1000000</v>
      </c>
      <c r="HL257" s="182"/>
      <c r="HM257" s="26">
        <f t="shared" ca="1" si="484"/>
        <v>8</v>
      </c>
      <c r="HO257" s="268">
        <f t="shared" si="485"/>
        <v>0</v>
      </c>
      <c r="HP257" s="151">
        <f t="shared" si="594"/>
        <v>0</v>
      </c>
      <c r="HQ257" s="123">
        <f t="shared" si="542"/>
        <v>0</v>
      </c>
      <c r="HR257" s="123">
        <f t="shared" si="543"/>
        <v>0</v>
      </c>
      <c r="HS257" s="123">
        <f t="shared" si="544"/>
        <v>0</v>
      </c>
      <c r="HT257" s="123">
        <f>IF(HY256&lt;0.01,0,IF(Adm!$GS$4=Adm!$GS$8,HY256*$HY$15,IF(Adm!$GS$12=Adm!$GS$13,0,HY256*Adm!$GV$4)))</f>
        <v>0</v>
      </c>
      <c r="HU257" s="123">
        <f>IF(HY256&lt;0.01,0,IF(Adm!$GS$5=Adm!$GS$8,Cal!$BO$108*$HY$16/1.16,IF(Adm!$GS$12=Adm!$GS$13,0,Cal!$BO$108*Adm!$GW$4/1.16)))</f>
        <v>0</v>
      </c>
      <c r="HV257" s="123">
        <f t="shared" si="545"/>
        <v>0</v>
      </c>
      <c r="HW257" s="123">
        <f t="shared" si="486"/>
        <v>0</v>
      </c>
      <c r="HX257" s="123">
        <f>IF(Adm!$GH$6="si",MIN(HY256+HQ257+HT257+HU257+HV257-HW257,IH257),0)</f>
        <v>0</v>
      </c>
      <c r="HY257" s="297">
        <f t="shared" si="546"/>
        <v>0</v>
      </c>
      <c r="HZ257" s="74"/>
      <c r="IA257" s="407">
        <f t="shared" si="547"/>
        <v>0</v>
      </c>
      <c r="IC257" s="90">
        <f t="shared" si="548"/>
        <v>5</v>
      </c>
      <c r="ID257" s="124">
        <f>IF(IC257=1,Cal!$BO$127,0)</f>
        <v>0</v>
      </c>
      <c r="IE257" s="178">
        <f>IF(IC257=1,Adm!$HI$4,0)</f>
        <v>0</v>
      </c>
      <c r="IG257" s="70">
        <f t="shared" si="571"/>
        <v>0</v>
      </c>
      <c r="IH257" s="2178">
        <f t="shared" ca="1" si="549"/>
        <v>0</v>
      </c>
      <c r="IK257" s="217"/>
      <c r="IL257" s="26">
        <f t="shared" ca="1" si="487"/>
        <v>8</v>
      </c>
      <c r="IN257" s="268">
        <f t="shared" si="488"/>
        <v>0</v>
      </c>
      <c r="IO257" s="151">
        <f t="shared" si="595"/>
        <v>0</v>
      </c>
      <c r="IP257" s="123">
        <f t="shared" si="550"/>
        <v>0</v>
      </c>
      <c r="IQ257" s="123">
        <f t="shared" si="551"/>
        <v>0</v>
      </c>
      <c r="IR257" s="123">
        <f t="shared" si="552"/>
        <v>0</v>
      </c>
      <c r="IS257" s="123">
        <f>IF(IX256&lt;0.01,0,IF(Adm!$GS$4=Adm!$GS$8,IX256*$IX$15,IF(Adm!$GS$12=Adm!$GS$13,0,IX256*Adm!$GV$4)))</f>
        <v>0</v>
      </c>
      <c r="IT257" s="123"/>
      <c r="IU257" s="123">
        <f t="shared" si="553"/>
        <v>0</v>
      </c>
      <c r="IV257" s="123">
        <f t="shared" si="554"/>
        <v>0</v>
      </c>
      <c r="IW257" s="123"/>
      <c r="IX257" s="297">
        <f t="shared" si="555"/>
        <v>0</v>
      </c>
      <c r="IY257" s="74"/>
      <c r="IZ257" s="416">
        <f t="shared" si="556"/>
        <v>0</v>
      </c>
      <c r="JB257" s="90">
        <f t="shared" si="557"/>
        <v>5</v>
      </c>
      <c r="JC257" s="124">
        <f>IF(JB257=1,Cal!$BP$127,0)</f>
        <v>0</v>
      </c>
      <c r="JD257" s="178">
        <f>IF(JB257=1,Adm!$HI$4,0)</f>
        <v>0</v>
      </c>
    </row>
    <row r="258" spans="1:264">
      <c r="A258" s="26">
        <f t="shared" ca="1" si="456"/>
        <v>9</v>
      </c>
      <c r="C258" s="33">
        <f t="shared" si="457"/>
        <v>0</v>
      </c>
      <c r="D258" s="123">
        <f t="shared" si="489"/>
        <v>0</v>
      </c>
      <c r="E258" s="123">
        <f t="shared" si="579"/>
        <v>0</v>
      </c>
      <c r="F258" s="123">
        <f t="shared" si="589"/>
        <v>0</v>
      </c>
      <c r="G258" s="123">
        <f>IF(L257&lt;0.01,0,IF(Adm!$S$4=Adm!$S$8,L257*$L$15,L257*Adm!$V$4))</f>
        <v>0</v>
      </c>
      <c r="H258" s="123">
        <f>IF(L257&lt;0.01,0,IF(Adm!$S$5=Adm!$S$8,Adm!$AA$11*$L$16/1.16,IF(Adm!$B$4=Adm!$A$119,0,Adm!$AA$11*Adm!$X$4/1.16)))</f>
        <v>0</v>
      </c>
      <c r="I258" s="123">
        <f>IF(L257&lt;0.01,0,Cal!$AB$126/1.16)</f>
        <v>0</v>
      </c>
      <c r="J258" s="123">
        <f t="shared" si="458"/>
        <v>0</v>
      </c>
      <c r="K258" s="123">
        <f>IF(Adm!$G$4="si",MIN(L257+D258+G258+H258+I258-J258,V258),0)</f>
        <v>0</v>
      </c>
      <c r="L258" s="123">
        <f t="shared" si="490"/>
        <v>0</v>
      </c>
      <c r="M258" s="74"/>
      <c r="N258" s="74"/>
      <c r="O258" s="407">
        <f t="shared" si="491"/>
        <v>0</v>
      </c>
      <c r="R258" s="90">
        <f t="shared" si="492"/>
        <v>6</v>
      </c>
      <c r="S258" s="121">
        <f>IF(R258=1,Cal!$AB$127,0)</f>
        <v>0</v>
      </c>
      <c r="U258" s="70">
        <f t="shared" si="558"/>
        <v>0</v>
      </c>
      <c r="V258" s="2178">
        <f t="shared" ca="1" si="493"/>
        <v>0</v>
      </c>
      <c r="X258" s="398"/>
      <c r="Z258" s="268">
        <f t="shared" si="459"/>
        <v>0</v>
      </c>
      <c r="AA258" s="2176">
        <f t="shared" si="494"/>
        <v>0</v>
      </c>
      <c r="AB258" s="33">
        <f t="shared" si="495"/>
        <v>0</v>
      </c>
      <c r="AC258" s="33">
        <f t="shared" si="496"/>
        <v>0</v>
      </c>
      <c r="AD258" s="33">
        <f>IF(AI257&lt;0.01,0,IF(Adm!$S$4=Adm!$S$8,AI257*$AI$15,AI257*Adm!$V$4))</f>
        <v>0</v>
      </c>
      <c r="AE258" s="33"/>
      <c r="AF258" s="33"/>
      <c r="AG258" s="33">
        <f t="shared" si="460"/>
        <v>0</v>
      </c>
      <c r="AH258" s="33"/>
      <c r="AI258" s="401">
        <f t="shared" si="461"/>
        <v>0</v>
      </c>
      <c r="AK258" s="410">
        <f t="shared" si="462"/>
        <v>0</v>
      </c>
      <c r="AN258" s="90">
        <f t="shared" si="497"/>
        <v>6</v>
      </c>
      <c r="AO258" s="121">
        <f>IF(AN258=1,Cal!$AC$127,0)</f>
        <v>0</v>
      </c>
      <c r="AS258" s="200"/>
      <c r="AU258" s="268">
        <f t="shared" si="463"/>
        <v>0</v>
      </c>
      <c r="AV258" s="2177">
        <f t="shared" si="498"/>
        <v>0</v>
      </c>
      <c r="AW258" s="123">
        <f t="shared" si="464"/>
        <v>0</v>
      </c>
      <c r="AX258" s="123">
        <f t="shared" si="499"/>
        <v>0</v>
      </c>
      <c r="AY258" s="123">
        <f>IF(BC257&lt;0.01,0,IF(Adm!$S$4=Adm!$S$8,BC257*$BC$16,BC257*Adm!$V$4))</f>
        <v>0</v>
      </c>
      <c r="AZ258" s="123"/>
      <c r="BA258" s="123">
        <f>IF(BC257&lt;0.01,0,Adm!$Q$6)</f>
        <v>0</v>
      </c>
      <c r="BB258" s="123">
        <f t="shared" si="465"/>
        <v>0</v>
      </c>
      <c r="BC258" s="297">
        <f t="shared" si="500"/>
        <v>0</v>
      </c>
      <c r="BE258" s="425">
        <f t="shared" si="466"/>
        <v>0</v>
      </c>
      <c r="BH258" s="90">
        <f t="shared" si="501"/>
        <v>6</v>
      </c>
      <c r="BI258" s="121">
        <f>IF(BH258=1,Cal!$AD$127,0)</f>
        <v>0</v>
      </c>
      <c r="BM258" s="221"/>
      <c r="BO258" s="295">
        <f t="shared" ca="1" si="467"/>
        <v>9</v>
      </c>
      <c r="BP258" s="268">
        <f t="shared" si="468"/>
        <v>0</v>
      </c>
      <c r="BQ258" s="123">
        <f t="shared" si="502"/>
        <v>0</v>
      </c>
      <c r="BR258" s="123">
        <f t="shared" si="580"/>
        <v>0</v>
      </c>
      <c r="BS258" s="123">
        <f t="shared" si="590"/>
        <v>0</v>
      </c>
      <c r="BT258" s="123">
        <f>IF(BZ257&lt;0.01,0,IF(Plus!$F$22=Plus!$AN$4,BZ257*$BZ$15,IF(Plus!$F$22=Plus!$AN$3,BZ257*Plus!$F$23/1000,BZ257*VLOOKUP(Plus!$G$21,Plus!$AP$2:'Plus'!$AQ$5,2,0))))</f>
        <v>0</v>
      </c>
      <c r="BU258" s="123">
        <f>IF(BZ257&lt;0.01,0,IF(Plus!$F$24=Plus!$AO$3,Plus!$G$13*Plus!$AR$2/1.16,IF(Plus!$F$10=Plus!$AK$7,0,Plus!$G$13*Plus!$AR$2/1.16)))</f>
        <v>0</v>
      </c>
      <c r="BV258" s="123">
        <f>IF(BZ257&lt;0.01,0,Plus!$BD$2)</f>
        <v>0</v>
      </c>
      <c r="BW258" s="123"/>
      <c r="BX258" s="123">
        <f t="shared" si="469"/>
        <v>0</v>
      </c>
      <c r="BY258" s="123">
        <f>IF(Plus!$F$10=Plus!$AK$3,MIN(BZ257+BQ258+BT258+BU258+BV258-BX258,CJ258),0)</f>
        <v>0</v>
      </c>
      <c r="BZ258" s="297">
        <f t="shared" si="574"/>
        <v>0</v>
      </c>
      <c r="CA258" s="74"/>
      <c r="CB258" s="74"/>
      <c r="CC258" s="413">
        <f t="shared" si="503"/>
        <v>0</v>
      </c>
      <c r="CF258" s="90">
        <f t="shared" si="504"/>
        <v>6</v>
      </c>
      <c r="CG258" s="121">
        <f t="shared" si="559"/>
        <v>0</v>
      </c>
      <c r="CI258" s="70">
        <f t="shared" si="560"/>
        <v>0</v>
      </c>
      <c r="CJ258" s="2178">
        <f t="shared" ca="1" si="505"/>
        <v>0</v>
      </c>
      <c r="CL258" s="161"/>
      <c r="CN258" s="308">
        <f t="shared" ca="1" si="470"/>
        <v>9</v>
      </c>
      <c r="CO258" s="309">
        <f t="shared" si="506"/>
        <v>0</v>
      </c>
      <c r="CP258" s="268">
        <f t="shared" si="471"/>
        <v>0</v>
      </c>
      <c r="CQ258" s="123">
        <f t="shared" si="507"/>
        <v>0</v>
      </c>
      <c r="CR258" s="123">
        <f t="shared" si="581"/>
        <v>0</v>
      </c>
      <c r="CS258" s="123">
        <f t="shared" si="582"/>
        <v>0</v>
      </c>
      <c r="CT258" s="33">
        <f>IF(CZ257&lt;0.01,0,IF(Plus!$F$22=Plus!$AN$4,0,IF(Plus!$F$22=Plus!$AN$3,CZ257*Plus!$F$23/1000,CZ257*VLOOKUP(Plus!$G$21,Plus!$AP$2:'Plus'!$AQ$5,2,0))))</f>
        <v>0</v>
      </c>
      <c r="CU258" s="123">
        <f>IF(CZ257&lt;0.01,0,IF(Plus!$F$24=Plus!$AO$3,0,IF(OR(Plus!$F$10=Plus!$AK$7,Plus!$F$10=Plus!$AK$13),0,Plus!$G$13*Plus!$AR$2)))</f>
        <v>0</v>
      </c>
      <c r="CV258" s="123">
        <f>IF(CZ257&lt;0.01,0,IF(OR(Plus!$F$10=Plus!$AK$7,Plus!$F$10=Plus!$AK$13),0,Plus!$BD$2*1.16))</f>
        <v>0</v>
      </c>
      <c r="CW258" s="123">
        <f>IF(CZ257&lt;0.01,0,IF(Plus!$AS$2&gt;0,CQ258*Plus!$AS$3,0))</f>
        <v>0</v>
      </c>
      <c r="CX258" s="123">
        <f t="shared" si="508"/>
        <v>0</v>
      </c>
      <c r="CY258" s="123">
        <f>IF(Plus!$F$10=Plus!$AK$3,MIN(CZ257+CQ258+CT258+CU258+CV258-CX258,DK258),0)</f>
        <v>0</v>
      </c>
      <c r="CZ258" s="297">
        <f t="shared" si="588"/>
        <v>0</v>
      </c>
      <c r="DA258" s="306">
        <f>Plus!O299</f>
        <v>0</v>
      </c>
      <c r="DB258" s="74"/>
      <c r="DC258" s="74"/>
      <c r="DD258" s="407">
        <f t="shared" si="509"/>
        <v>0</v>
      </c>
      <c r="DG258" s="90">
        <f t="shared" si="510"/>
        <v>6</v>
      </c>
      <c r="DH258" s="121">
        <f t="shared" si="561"/>
        <v>0</v>
      </c>
      <c r="DJ258" s="149">
        <f t="shared" si="562"/>
        <v>0</v>
      </c>
      <c r="DK258" s="2179">
        <f t="shared" ca="1" si="511"/>
        <v>0</v>
      </c>
      <c r="DN258" s="120">
        <f t="shared" si="563"/>
        <v>0</v>
      </c>
      <c r="DO258" s="110">
        <f t="shared" si="512"/>
        <v>0</v>
      </c>
      <c r="DP258" s="110">
        <f t="shared" si="572"/>
        <v>0</v>
      </c>
      <c r="DQ258" s="109">
        <f t="shared" si="513"/>
        <v>0</v>
      </c>
      <c r="DR258" s="109">
        <f t="shared" si="514"/>
        <v>0</v>
      </c>
      <c r="DS258" s="113">
        <f t="shared" si="515"/>
        <v>0</v>
      </c>
      <c r="DU258" s="102">
        <f t="shared" si="516"/>
        <v>0</v>
      </c>
      <c r="DV258" s="211">
        <f t="shared" si="573"/>
        <v>234</v>
      </c>
      <c r="DW258" s="212">
        <f t="shared" si="517"/>
        <v>0</v>
      </c>
      <c r="DX258" s="212">
        <f t="shared" si="472"/>
        <v>0</v>
      </c>
      <c r="DY258" s="212">
        <f t="shared" si="564"/>
        <v>0</v>
      </c>
      <c r="DZ258" s="213">
        <f t="shared" si="473"/>
        <v>1000000</v>
      </c>
      <c r="ED258" s="182"/>
      <c r="EF258" s="308">
        <f t="shared" ca="1" si="474"/>
        <v>9</v>
      </c>
      <c r="EG258" s="309">
        <f t="shared" si="518"/>
        <v>0</v>
      </c>
      <c r="EH258" s="268">
        <f t="shared" si="475"/>
        <v>0</v>
      </c>
      <c r="EI258" s="33">
        <f t="shared" si="519"/>
        <v>0</v>
      </c>
      <c r="EJ258" s="33">
        <f t="shared" si="583"/>
        <v>0</v>
      </c>
      <c r="EK258" s="33">
        <f t="shared" si="591"/>
        <v>0</v>
      </c>
      <c r="EL258" s="33">
        <f>IF(ER257&lt;0.01,0,IF(Plus!$F$22=Plus!$AN$4,0,IF(Plus!$F$22=Plus!$AN$3,ER257*Plus!$F$23/1000,ER257*VLOOKUP(Plus!$G$21,Plus!$AP$2:'Plus'!$AQ$5,2,0))))</f>
        <v>0</v>
      </c>
      <c r="EM258" s="33">
        <f>IF(ER257&lt;0.01,0,IF(Plus!$F$24=Plus!$AO$3,0,IF(OR(Plus!$F$10=Plus!$AK$7,Plus!$F$10=Plus!$AK$13),0,Plus!$G$13*Plus!$AR$2)))</f>
        <v>0</v>
      </c>
      <c r="EN258" s="33">
        <f>IF(ER257&lt;0.01,0,IF(OR(Plus!$F$10=Plus!$AK$7,Plus!$F$10=Plus!$AK$13),0,Plus!$BD$2*1.16))</f>
        <v>0</v>
      </c>
      <c r="EO258" s="33">
        <f>IF(ER257&lt;0.01,0,IF(Plus!$AS$2&gt;0,EI258*Plus!$AS$3,0))</f>
        <v>0</v>
      </c>
      <c r="EP258" s="33">
        <f t="shared" si="520"/>
        <v>0</v>
      </c>
      <c r="EQ258" s="33">
        <f>IF(Plus!$F$10=Plus!$AK$3,MIN(ER257+EI258+EL258+EM258+EN258-EP258,FC258),0)</f>
        <v>0</v>
      </c>
      <c r="ER258" s="311">
        <f t="shared" si="577"/>
        <v>0</v>
      </c>
      <c r="ES258" s="340">
        <f>Plus!O299</f>
        <v>0</v>
      </c>
      <c r="ET258" s="74"/>
      <c r="EU258" s="74"/>
      <c r="EV258" s="416">
        <f t="shared" si="575"/>
        <v>0</v>
      </c>
      <c r="EY258" s="90">
        <f t="shared" si="521"/>
        <v>6</v>
      </c>
      <c r="EZ258" s="121">
        <f t="shared" si="565"/>
        <v>0</v>
      </c>
      <c r="FB258" s="149">
        <f t="shared" si="566"/>
        <v>0</v>
      </c>
      <c r="FC258" s="2179">
        <f t="shared" ca="1" si="522"/>
        <v>0</v>
      </c>
      <c r="FE258" s="120">
        <f t="shared" si="567"/>
        <v>0</v>
      </c>
      <c r="FF258" s="110">
        <f t="shared" si="523"/>
        <v>0</v>
      </c>
      <c r="FG258" s="110">
        <f t="shared" si="524"/>
        <v>0</v>
      </c>
      <c r="FH258" s="109">
        <f t="shared" si="525"/>
        <v>0</v>
      </c>
      <c r="FI258" s="109">
        <f t="shared" si="476"/>
        <v>0</v>
      </c>
      <c r="FJ258" s="113">
        <f t="shared" si="526"/>
        <v>0</v>
      </c>
      <c r="FL258" s="102">
        <f t="shared" si="527"/>
        <v>0</v>
      </c>
      <c r="FM258" s="211">
        <f t="shared" si="454"/>
        <v>234</v>
      </c>
      <c r="FN258" s="212">
        <f t="shared" si="528"/>
        <v>0</v>
      </c>
      <c r="FO258" s="212">
        <f t="shared" si="477"/>
        <v>0</v>
      </c>
      <c r="FP258" s="212">
        <f t="shared" si="596"/>
        <v>0</v>
      </c>
      <c r="FQ258" s="213">
        <f t="shared" si="478"/>
        <v>1000000</v>
      </c>
      <c r="FV258" s="359"/>
      <c r="FX258" s="308">
        <f t="shared" ca="1" si="479"/>
        <v>9</v>
      </c>
      <c r="FY258" s="309">
        <f t="shared" si="530"/>
        <v>0</v>
      </c>
      <c r="FZ258" s="268">
        <f t="shared" si="480"/>
        <v>0</v>
      </c>
      <c r="GA258" s="33">
        <f t="shared" si="531"/>
        <v>0</v>
      </c>
      <c r="GB258" s="33">
        <f t="shared" si="585"/>
        <v>0</v>
      </c>
      <c r="GC258" s="33">
        <f t="shared" si="586"/>
        <v>0</v>
      </c>
      <c r="GD258" s="33">
        <f>IF(GJ257&lt;0.01,0,IF(Plus!$F$22=Plus!$AN$4,0,IF(Plus!$F$22=Plus!$AN$3,GJ257*Plus!$F$23/1000,GJ257*VLOOKUP(Plus!$G$21,Plus!$AP$2:$AQ$5,2,0))))</f>
        <v>0</v>
      </c>
      <c r="GE258" s="33">
        <f>IF(GJ257&lt;0.01,0,IF(Plus!$F$24=Plus!$AO$3,0,IF(OR(Plus!$F$10=Plus!$AK$7,Plus!$F$10=Plus!$AK$13,Plus!$F$10=Plus!$AK$14),0,IF(OR(Plus!$F$10=Plus!$AK$10,Plus!$F$10=Plus!$AK$11),Plus!$G$13*Adm!$W$7,Plus!$G$13*Adm!$X$4))))</f>
        <v>0</v>
      </c>
      <c r="GF258" s="33">
        <f>IF(GJ257&lt;0.01,0,IF(OR(Plus!$F$10=Plus!$AK$7,Plus!$F$10=Plus!$AK$13),0,Plus!$BD$2*1.16))</f>
        <v>0</v>
      </c>
      <c r="GG258" s="33">
        <f>IF(GJ257&lt;0.01,0,IF(Plus!$AS$2&gt;0,GA258*Plus!$AS$3,0))</f>
        <v>0</v>
      </c>
      <c r="GH258" s="33">
        <f t="shared" si="532"/>
        <v>0</v>
      </c>
      <c r="GI258" s="33">
        <f>IF(Plus!$F$10=Plus!$AK$3,MIN(GJ257+GA258+GD258+GE258+GF258-GH258,GU258),0)</f>
        <v>0</v>
      </c>
      <c r="GJ258" s="311">
        <f t="shared" si="578"/>
        <v>0</v>
      </c>
      <c r="GK258" s="340">
        <f>Plus!O299</f>
        <v>0</v>
      </c>
      <c r="GL258" s="74"/>
      <c r="GM258" s="74"/>
      <c r="GN258" s="419">
        <f t="shared" si="576"/>
        <v>0</v>
      </c>
      <c r="GQ258" s="90">
        <f t="shared" si="533"/>
        <v>6</v>
      </c>
      <c r="GR258" s="121">
        <f t="shared" si="568"/>
        <v>0</v>
      </c>
      <c r="GT258" s="149">
        <f t="shared" si="569"/>
        <v>0</v>
      </c>
      <c r="GU258" s="2179">
        <f t="shared" ca="1" si="534"/>
        <v>0</v>
      </c>
      <c r="GW258" s="120">
        <f t="shared" si="570"/>
        <v>0</v>
      </c>
      <c r="GX258" s="110">
        <f t="shared" si="535"/>
        <v>0</v>
      </c>
      <c r="GY258" s="110">
        <f t="shared" si="536"/>
        <v>0</v>
      </c>
      <c r="GZ258" s="109">
        <f t="shared" si="537"/>
        <v>0</v>
      </c>
      <c r="HA258" s="109">
        <f t="shared" si="481"/>
        <v>0</v>
      </c>
      <c r="HB258" s="113">
        <f t="shared" si="538"/>
        <v>0</v>
      </c>
      <c r="HD258" s="102">
        <f t="shared" si="539"/>
        <v>0</v>
      </c>
      <c r="HE258" s="211">
        <f t="shared" si="455"/>
        <v>234</v>
      </c>
      <c r="HF258" s="212">
        <f t="shared" si="540"/>
        <v>0</v>
      </c>
      <c r="HG258" s="212">
        <f t="shared" si="482"/>
        <v>0</v>
      </c>
      <c r="HH258" s="212">
        <f t="shared" si="597"/>
        <v>0</v>
      </c>
      <c r="HI258" s="213">
        <f t="shared" si="483"/>
        <v>1000000</v>
      </c>
      <c r="HL258" s="182"/>
      <c r="HM258" s="26">
        <f t="shared" ca="1" si="484"/>
        <v>9</v>
      </c>
      <c r="HO258" s="268">
        <f t="shared" si="485"/>
        <v>0</v>
      </c>
      <c r="HP258" s="151">
        <f t="shared" si="594"/>
        <v>0</v>
      </c>
      <c r="HQ258" s="123">
        <f t="shared" si="542"/>
        <v>0</v>
      </c>
      <c r="HR258" s="123">
        <f t="shared" si="543"/>
        <v>0</v>
      </c>
      <c r="HS258" s="123">
        <f t="shared" si="544"/>
        <v>0</v>
      </c>
      <c r="HT258" s="123">
        <f>IF(HY257&lt;0.01,0,IF(Adm!$GS$4=Adm!$GS$8,HY257*$HY$15,IF(Adm!$GS$12=Adm!$GS$13,0,HY257*Adm!$GV$4)))</f>
        <v>0</v>
      </c>
      <c r="HU258" s="123">
        <f>IF(HY257&lt;0.01,0,IF(Adm!$GS$5=Adm!$GS$8,Cal!$BO$108*$HY$16/1.16,IF(Adm!$GS$12=Adm!$GS$13,0,Cal!$BO$108*Adm!$GW$4/1.16)))</f>
        <v>0</v>
      </c>
      <c r="HV258" s="123">
        <f t="shared" si="545"/>
        <v>0</v>
      </c>
      <c r="HW258" s="123">
        <f t="shared" si="486"/>
        <v>0</v>
      </c>
      <c r="HX258" s="123">
        <f>IF(Adm!$GH$6="si",MIN(HY257+HQ258+HT258+HU258+HV258-HW258,IH258),0)</f>
        <v>0</v>
      </c>
      <c r="HY258" s="297">
        <f t="shared" si="546"/>
        <v>0</v>
      </c>
      <c r="HZ258" s="74"/>
      <c r="IA258" s="407">
        <f t="shared" si="547"/>
        <v>0</v>
      </c>
      <c r="IC258" s="90">
        <f t="shared" si="548"/>
        <v>6</v>
      </c>
      <c r="ID258" s="124">
        <f>IF(IC258=1,Cal!$BO$127,0)</f>
        <v>0</v>
      </c>
      <c r="IE258" s="178">
        <f>IF(IC258=1,Adm!$HI$4,0)</f>
        <v>0</v>
      </c>
      <c r="IG258" s="70">
        <f t="shared" si="571"/>
        <v>0</v>
      </c>
      <c r="IH258" s="2178">
        <f t="shared" ca="1" si="549"/>
        <v>0</v>
      </c>
      <c r="IK258" s="217"/>
      <c r="IL258" s="26">
        <f t="shared" ca="1" si="487"/>
        <v>9</v>
      </c>
      <c r="IN258" s="268">
        <f t="shared" si="488"/>
        <v>0</v>
      </c>
      <c r="IO258" s="151">
        <f t="shared" si="595"/>
        <v>0</v>
      </c>
      <c r="IP258" s="123">
        <f t="shared" si="550"/>
        <v>0</v>
      </c>
      <c r="IQ258" s="123">
        <f t="shared" si="551"/>
        <v>0</v>
      </c>
      <c r="IR258" s="123">
        <f t="shared" si="552"/>
        <v>0</v>
      </c>
      <c r="IS258" s="123">
        <f>IF(IX257&lt;0.01,0,IF(Adm!$GS$4=Adm!$GS$8,IX257*$IX$15,IF(Adm!$GS$12=Adm!$GS$13,0,IX257*Adm!$GV$4)))</f>
        <v>0</v>
      </c>
      <c r="IT258" s="123"/>
      <c r="IU258" s="123">
        <f t="shared" si="553"/>
        <v>0</v>
      </c>
      <c r="IV258" s="123">
        <f t="shared" si="554"/>
        <v>0</v>
      </c>
      <c r="IW258" s="123"/>
      <c r="IX258" s="297">
        <f t="shared" si="555"/>
        <v>0</v>
      </c>
      <c r="IY258" s="74"/>
      <c r="IZ258" s="416">
        <f t="shared" si="556"/>
        <v>0</v>
      </c>
      <c r="JB258" s="90">
        <f t="shared" si="557"/>
        <v>6</v>
      </c>
      <c r="JC258" s="124">
        <f>IF(JB258=1,Cal!$BP$127,0)</f>
        <v>0</v>
      </c>
      <c r="JD258" s="178">
        <f>IF(JB258=1,Adm!$HI$4,0)</f>
        <v>0</v>
      </c>
    </row>
    <row r="259" spans="1:264">
      <c r="A259" s="26">
        <f t="shared" ca="1" si="456"/>
        <v>10</v>
      </c>
      <c r="C259" s="33">
        <f t="shared" si="457"/>
        <v>0</v>
      </c>
      <c r="D259" s="123">
        <f t="shared" si="489"/>
        <v>0</v>
      </c>
      <c r="E259" s="123">
        <f t="shared" si="579"/>
        <v>0</v>
      </c>
      <c r="F259" s="123">
        <f t="shared" si="589"/>
        <v>0</v>
      </c>
      <c r="G259" s="123">
        <f>IF(L258&lt;0.01,0,IF(Adm!$S$4=Adm!$S$8,L258*$L$15,L258*Adm!$V$4))</f>
        <v>0</v>
      </c>
      <c r="H259" s="123">
        <f>IF(L258&lt;0.01,0,IF(Adm!$S$5=Adm!$S$8,Adm!$AA$11*$L$16/1.16,IF(Adm!$B$4=Adm!$A$119,0,Adm!$AA$11*Adm!$X$4/1.16)))</f>
        <v>0</v>
      </c>
      <c r="I259" s="123">
        <f>IF(L258&lt;0.01,0,Cal!$AB$126/1.16)</f>
        <v>0</v>
      </c>
      <c r="J259" s="123">
        <f t="shared" si="458"/>
        <v>0</v>
      </c>
      <c r="K259" s="123">
        <f>IF(Adm!$G$4="si",MIN(L258+D259+G259+H259+I259-J259,V259),0)</f>
        <v>0</v>
      </c>
      <c r="L259" s="123">
        <f t="shared" si="490"/>
        <v>0</v>
      </c>
      <c r="M259" s="74"/>
      <c r="N259" s="74"/>
      <c r="O259" s="407">
        <f t="shared" si="491"/>
        <v>0</v>
      </c>
      <c r="R259" s="90">
        <f t="shared" si="492"/>
        <v>7</v>
      </c>
      <c r="S259" s="121">
        <f>IF(R259=1,Cal!$AB$127,0)</f>
        <v>0</v>
      </c>
      <c r="U259" s="70">
        <f t="shared" si="558"/>
        <v>0</v>
      </c>
      <c r="V259" s="2178">
        <f t="shared" ca="1" si="493"/>
        <v>0</v>
      </c>
      <c r="X259" s="398"/>
      <c r="Z259" s="268">
        <f t="shared" si="459"/>
        <v>0</v>
      </c>
      <c r="AA259" s="2176">
        <f t="shared" si="494"/>
        <v>0</v>
      </c>
      <c r="AB259" s="33">
        <f t="shared" si="495"/>
        <v>0</v>
      </c>
      <c r="AC259" s="33">
        <f t="shared" si="496"/>
        <v>0</v>
      </c>
      <c r="AD259" s="33">
        <f>IF(AI258&lt;0.01,0,IF(Adm!$S$4=Adm!$S$8,AI258*$AI$15,AI258*Adm!$V$4))</f>
        <v>0</v>
      </c>
      <c r="AE259" s="33"/>
      <c r="AF259" s="33"/>
      <c r="AG259" s="33">
        <f t="shared" si="460"/>
        <v>0</v>
      </c>
      <c r="AH259" s="33"/>
      <c r="AI259" s="401">
        <f t="shared" si="461"/>
        <v>0</v>
      </c>
      <c r="AK259" s="410">
        <f t="shared" si="462"/>
        <v>0</v>
      </c>
      <c r="AN259" s="90">
        <f t="shared" si="497"/>
        <v>7</v>
      </c>
      <c r="AO259" s="121">
        <f>IF(AN259=1,Cal!$AC$127,0)</f>
        <v>0</v>
      </c>
      <c r="AS259" s="200"/>
      <c r="AU259" s="268">
        <f t="shared" si="463"/>
        <v>0</v>
      </c>
      <c r="AV259" s="2177">
        <f t="shared" si="498"/>
        <v>0</v>
      </c>
      <c r="AW259" s="123">
        <f t="shared" si="464"/>
        <v>0</v>
      </c>
      <c r="AX259" s="123">
        <f t="shared" si="499"/>
        <v>0</v>
      </c>
      <c r="AY259" s="123">
        <f>IF(BC258&lt;0.01,0,IF(Adm!$S$4=Adm!$S$8,BC258*$BC$16,BC258*Adm!$V$4))</f>
        <v>0</v>
      </c>
      <c r="AZ259" s="123"/>
      <c r="BA259" s="123">
        <f>IF(BC258&lt;0.01,0,Adm!$Q$6)</f>
        <v>0</v>
      </c>
      <c r="BB259" s="123">
        <f t="shared" si="465"/>
        <v>0</v>
      </c>
      <c r="BC259" s="297">
        <f t="shared" si="500"/>
        <v>0</v>
      </c>
      <c r="BE259" s="425">
        <f t="shared" si="466"/>
        <v>0</v>
      </c>
      <c r="BH259" s="90">
        <f t="shared" si="501"/>
        <v>7</v>
      </c>
      <c r="BI259" s="121">
        <f>IF(BH259=1,Cal!$AD$127,0)</f>
        <v>0</v>
      </c>
      <c r="BM259" s="221"/>
      <c r="BO259" s="295">
        <f t="shared" ca="1" si="467"/>
        <v>10</v>
      </c>
      <c r="BP259" s="268">
        <f t="shared" si="468"/>
        <v>0</v>
      </c>
      <c r="BQ259" s="123">
        <f t="shared" si="502"/>
        <v>0</v>
      </c>
      <c r="BR259" s="123">
        <f t="shared" si="580"/>
        <v>0</v>
      </c>
      <c r="BS259" s="123">
        <f t="shared" si="590"/>
        <v>0</v>
      </c>
      <c r="BT259" s="123">
        <f>IF(BZ258&lt;0.01,0,IF(Plus!$F$22=Plus!$AN$4,BZ258*$BZ$15,IF(Plus!$F$22=Plus!$AN$3,BZ258*Plus!$F$23/1000,BZ258*VLOOKUP(Plus!$G$21,Plus!$AP$2:'Plus'!$AQ$5,2,0))))</f>
        <v>0</v>
      </c>
      <c r="BU259" s="123">
        <f>IF(BZ258&lt;0.01,0,IF(Plus!$F$24=Plus!$AO$3,Plus!$G$13*Plus!$AR$2/1.16,IF(Plus!$F$10=Plus!$AK$7,0,Plus!$G$13*Plus!$AR$2/1.16)))</f>
        <v>0</v>
      </c>
      <c r="BV259" s="123">
        <f>IF(BZ258&lt;0.01,0,Plus!$BD$2)</f>
        <v>0</v>
      </c>
      <c r="BW259" s="123"/>
      <c r="BX259" s="123">
        <f t="shared" si="469"/>
        <v>0</v>
      </c>
      <c r="BY259" s="123">
        <f>IF(Plus!$F$10=Plus!$AK$3,MIN(BZ258+BQ259+BT259+BU259+BV259-BX259,CJ259),0)</f>
        <v>0</v>
      </c>
      <c r="BZ259" s="297">
        <f t="shared" si="574"/>
        <v>0</v>
      </c>
      <c r="CA259" s="74"/>
      <c r="CB259" s="74"/>
      <c r="CC259" s="413">
        <f t="shared" si="503"/>
        <v>0</v>
      </c>
      <c r="CF259" s="90">
        <f t="shared" si="504"/>
        <v>7</v>
      </c>
      <c r="CG259" s="121">
        <f t="shared" si="559"/>
        <v>0</v>
      </c>
      <c r="CI259" s="70">
        <f t="shared" si="560"/>
        <v>0</v>
      </c>
      <c r="CJ259" s="2178">
        <f t="shared" ca="1" si="505"/>
        <v>0</v>
      </c>
      <c r="CL259" s="161"/>
      <c r="CN259" s="308">
        <f t="shared" ca="1" si="470"/>
        <v>10</v>
      </c>
      <c r="CO259" s="309">
        <f t="shared" si="506"/>
        <v>0</v>
      </c>
      <c r="CP259" s="268">
        <f t="shared" si="471"/>
        <v>0</v>
      </c>
      <c r="CQ259" s="123">
        <f t="shared" si="507"/>
        <v>0</v>
      </c>
      <c r="CR259" s="123">
        <f t="shared" si="581"/>
        <v>0</v>
      </c>
      <c r="CS259" s="123">
        <f t="shared" si="582"/>
        <v>0</v>
      </c>
      <c r="CT259" s="33">
        <f>IF(CZ258&lt;0.01,0,IF(Plus!$F$22=Plus!$AN$4,0,IF(Plus!$F$22=Plus!$AN$3,CZ258*Plus!$F$23/1000,CZ258*VLOOKUP(Plus!$G$21,Plus!$AP$2:'Plus'!$AQ$5,2,0))))</f>
        <v>0</v>
      </c>
      <c r="CU259" s="123">
        <f>IF(CZ258&lt;0.01,0,IF(Plus!$F$24=Plus!$AO$3,0,IF(OR(Plus!$F$10=Plus!$AK$7,Plus!$F$10=Plus!$AK$13),0,Plus!$G$13*Plus!$AR$2)))</f>
        <v>0</v>
      </c>
      <c r="CV259" s="123">
        <f>IF(CZ258&lt;0.01,0,IF(OR(Plus!$F$10=Plus!$AK$7,Plus!$F$10=Plus!$AK$13),0,Plus!$BD$2*1.16))</f>
        <v>0</v>
      </c>
      <c r="CW259" s="123">
        <f>IF(CZ258&lt;0.01,0,IF(Plus!$AS$2&gt;0,CQ259*Plus!$AS$3,0))</f>
        <v>0</v>
      </c>
      <c r="CX259" s="123">
        <f t="shared" si="508"/>
        <v>0</v>
      </c>
      <c r="CY259" s="123">
        <f>IF(Plus!$F$10=Plus!$AK$3,MIN(CZ258+CQ259+CT259+CU259+CV259-CX259,DK259),0)</f>
        <v>0</v>
      </c>
      <c r="CZ259" s="297">
        <f t="shared" si="588"/>
        <v>0</v>
      </c>
      <c r="DA259" s="306">
        <f>Plus!O300</f>
        <v>0</v>
      </c>
      <c r="DB259" s="74"/>
      <c r="DC259" s="74"/>
      <c r="DD259" s="407">
        <f t="shared" si="509"/>
        <v>0</v>
      </c>
      <c r="DG259" s="90">
        <f t="shared" si="510"/>
        <v>7</v>
      </c>
      <c r="DH259" s="121">
        <f t="shared" si="561"/>
        <v>0</v>
      </c>
      <c r="DJ259" s="149">
        <f t="shared" si="562"/>
        <v>0</v>
      </c>
      <c r="DK259" s="2179">
        <f t="shared" ca="1" si="511"/>
        <v>0</v>
      </c>
      <c r="DN259" s="120">
        <f t="shared" si="563"/>
        <v>0</v>
      </c>
      <c r="DO259" s="110">
        <f t="shared" si="512"/>
        <v>0</v>
      </c>
      <c r="DP259" s="110">
        <f t="shared" si="572"/>
        <v>0</v>
      </c>
      <c r="DQ259" s="109">
        <f t="shared" si="513"/>
        <v>0</v>
      </c>
      <c r="DR259" s="109">
        <f t="shared" si="514"/>
        <v>0</v>
      </c>
      <c r="DS259" s="113">
        <f t="shared" si="515"/>
        <v>0</v>
      </c>
      <c r="DU259" s="102">
        <f t="shared" si="516"/>
        <v>0</v>
      </c>
      <c r="DV259" s="211">
        <f t="shared" si="573"/>
        <v>235</v>
      </c>
      <c r="DW259" s="212">
        <f t="shared" si="517"/>
        <v>0</v>
      </c>
      <c r="DX259" s="212">
        <f t="shared" si="472"/>
        <v>0</v>
      </c>
      <c r="DY259" s="212">
        <f t="shared" si="564"/>
        <v>0</v>
      </c>
      <c r="DZ259" s="213">
        <f t="shared" si="473"/>
        <v>1000000</v>
      </c>
      <c r="ED259" s="182"/>
      <c r="EF259" s="308">
        <f t="shared" ca="1" si="474"/>
        <v>10</v>
      </c>
      <c r="EG259" s="309">
        <f t="shared" si="518"/>
        <v>0</v>
      </c>
      <c r="EH259" s="268">
        <f t="shared" si="475"/>
        <v>0</v>
      </c>
      <c r="EI259" s="33">
        <f t="shared" si="519"/>
        <v>0</v>
      </c>
      <c r="EJ259" s="33">
        <f t="shared" si="583"/>
        <v>0</v>
      </c>
      <c r="EK259" s="33">
        <f t="shared" si="591"/>
        <v>0</v>
      </c>
      <c r="EL259" s="33">
        <f>IF(ER258&lt;0.01,0,IF(Plus!$F$22=Plus!$AN$4,0,IF(Plus!$F$22=Plus!$AN$3,ER258*Plus!$F$23/1000,ER258*VLOOKUP(Plus!$G$21,Plus!$AP$2:'Plus'!$AQ$5,2,0))))</f>
        <v>0</v>
      </c>
      <c r="EM259" s="33">
        <f>IF(ER258&lt;0.01,0,IF(Plus!$F$24=Plus!$AO$3,0,IF(OR(Plus!$F$10=Plus!$AK$7,Plus!$F$10=Plus!$AK$13),0,Plus!$G$13*Plus!$AR$2)))</f>
        <v>0</v>
      </c>
      <c r="EN259" s="33">
        <f>IF(ER258&lt;0.01,0,IF(OR(Plus!$F$10=Plus!$AK$7,Plus!$F$10=Plus!$AK$13),0,Plus!$BD$2*1.16))</f>
        <v>0</v>
      </c>
      <c r="EO259" s="33">
        <f>IF(ER258&lt;0.01,0,IF(Plus!$AS$2&gt;0,EI259*Plus!$AS$3,0))</f>
        <v>0</v>
      </c>
      <c r="EP259" s="33">
        <f t="shared" si="520"/>
        <v>0</v>
      </c>
      <c r="EQ259" s="33">
        <f>IF(Plus!$F$10=Plus!$AK$3,MIN(ER258+EI259+EL259+EM259+EN259-EP259,FC259),0)</f>
        <v>0</v>
      </c>
      <c r="ER259" s="311">
        <f t="shared" si="577"/>
        <v>0</v>
      </c>
      <c r="ES259" s="340">
        <f>Plus!O300</f>
        <v>0</v>
      </c>
      <c r="ET259" s="74"/>
      <c r="EU259" s="74"/>
      <c r="EV259" s="416">
        <f t="shared" si="575"/>
        <v>0</v>
      </c>
      <c r="EY259" s="90">
        <f t="shared" si="521"/>
        <v>7</v>
      </c>
      <c r="EZ259" s="121">
        <f t="shared" si="565"/>
        <v>0</v>
      </c>
      <c r="FB259" s="149">
        <f t="shared" si="566"/>
        <v>0</v>
      </c>
      <c r="FC259" s="2179">
        <f t="shared" ca="1" si="522"/>
        <v>0</v>
      </c>
      <c r="FE259" s="120">
        <f t="shared" si="567"/>
        <v>0</v>
      </c>
      <c r="FF259" s="110">
        <f t="shared" si="523"/>
        <v>0</v>
      </c>
      <c r="FG259" s="110">
        <f t="shared" si="524"/>
        <v>0</v>
      </c>
      <c r="FH259" s="109">
        <f t="shared" si="525"/>
        <v>0</v>
      </c>
      <c r="FI259" s="109">
        <f t="shared" si="476"/>
        <v>0</v>
      </c>
      <c r="FJ259" s="113">
        <f t="shared" si="526"/>
        <v>0</v>
      </c>
      <c r="FL259" s="102">
        <f t="shared" si="527"/>
        <v>0</v>
      </c>
      <c r="FM259" s="211">
        <f t="shared" si="454"/>
        <v>235</v>
      </c>
      <c r="FN259" s="212">
        <f t="shared" si="528"/>
        <v>0</v>
      </c>
      <c r="FO259" s="212">
        <f t="shared" si="477"/>
        <v>0</v>
      </c>
      <c r="FP259" s="212">
        <f t="shared" si="596"/>
        <v>0</v>
      </c>
      <c r="FQ259" s="213">
        <f t="shared" si="478"/>
        <v>1000000</v>
      </c>
      <c r="FV259" s="359"/>
      <c r="FX259" s="308">
        <f t="shared" ca="1" si="479"/>
        <v>10</v>
      </c>
      <c r="FY259" s="309">
        <f t="shared" si="530"/>
        <v>0</v>
      </c>
      <c r="FZ259" s="268">
        <f t="shared" si="480"/>
        <v>0</v>
      </c>
      <c r="GA259" s="33">
        <f t="shared" si="531"/>
        <v>0</v>
      </c>
      <c r="GB259" s="33">
        <f t="shared" si="585"/>
        <v>0</v>
      </c>
      <c r="GC259" s="33">
        <f t="shared" si="586"/>
        <v>0</v>
      </c>
      <c r="GD259" s="33">
        <f>IF(GJ258&lt;0.01,0,IF(Plus!$F$22=Plus!$AN$4,0,IF(Plus!$F$22=Plus!$AN$3,GJ258*Plus!$F$23/1000,GJ258*VLOOKUP(Plus!$G$21,Plus!$AP$2:$AQ$5,2,0))))</f>
        <v>0</v>
      </c>
      <c r="GE259" s="33">
        <f>IF(GJ258&lt;0.01,0,IF(Plus!$F$24=Plus!$AO$3,0,IF(OR(Plus!$F$10=Plus!$AK$7,Plus!$F$10=Plus!$AK$13,Plus!$F$10=Plus!$AK$14),0,IF(OR(Plus!$F$10=Plus!$AK$10,Plus!$F$10=Plus!$AK$11),Plus!$G$13*Adm!$W$7,Plus!$G$13*Adm!$X$4))))</f>
        <v>0</v>
      </c>
      <c r="GF259" s="33">
        <f>IF(GJ258&lt;0.01,0,IF(OR(Plus!$F$10=Plus!$AK$7,Plus!$F$10=Plus!$AK$13),0,Plus!$BD$2*1.16))</f>
        <v>0</v>
      </c>
      <c r="GG259" s="33">
        <f>IF(GJ258&lt;0.01,0,IF(Plus!$AS$2&gt;0,GA259*Plus!$AS$3,0))</f>
        <v>0</v>
      </c>
      <c r="GH259" s="33">
        <f t="shared" si="532"/>
        <v>0</v>
      </c>
      <c r="GI259" s="33">
        <f>IF(Plus!$F$10=Plus!$AK$3,MIN(GJ258+GA259+GD259+GE259+GF259-GH259,GU259),0)</f>
        <v>0</v>
      </c>
      <c r="GJ259" s="311">
        <f t="shared" si="578"/>
        <v>0</v>
      </c>
      <c r="GK259" s="340">
        <f>Plus!O300</f>
        <v>0</v>
      </c>
      <c r="GL259" s="74"/>
      <c r="GM259" s="74"/>
      <c r="GN259" s="419">
        <f t="shared" si="576"/>
        <v>0</v>
      </c>
      <c r="GQ259" s="90">
        <f t="shared" si="533"/>
        <v>7</v>
      </c>
      <c r="GR259" s="121">
        <f t="shared" si="568"/>
        <v>0</v>
      </c>
      <c r="GT259" s="149">
        <f t="shared" si="569"/>
        <v>0</v>
      </c>
      <c r="GU259" s="2179">
        <f t="shared" ca="1" si="534"/>
        <v>0</v>
      </c>
      <c r="GW259" s="120">
        <f t="shared" si="570"/>
        <v>0</v>
      </c>
      <c r="GX259" s="110">
        <f t="shared" si="535"/>
        <v>0</v>
      </c>
      <c r="GY259" s="110">
        <f t="shared" si="536"/>
        <v>0</v>
      </c>
      <c r="GZ259" s="109">
        <f t="shared" si="537"/>
        <v>0</v>
      </c>
      <c r="HA259" s="109">
        <f t="shared" si="481"/>
        <v>0</v>
      </c>
      <c r="HB259" s="113">
        <f t="shared" si="538"/>
        <v>0</v>
      </c>
      <c r="HD259" s="102">
        <f t="shared" si="539"/>
        <v>0</v>
      </c>
      <c r="HE259" s="211">
        <f t="shared" si="455"/>
        <v>235</v>
      </c>
      <c r="HF259" s="212">
        <f t="shared" si="540"/>
        <v>0</v>
      </c>
      <c r="HG259" s="212">
        <f t="shared" si="482"/>
        <v>0</v>
      </c>
      <c r="HH259" s="212">
        <f t="shared" si="597"/>
        <v>0</v>
      </c>
      <c r="HI259" s="213">
        <f t="shared" si="483"/>
        <v>1000000</v>
      </c>
      <c r="HL259" s="182"/>
      <c r="HM259" s="26">
        <f t="shared" ca="1" si="484"/>
        <v>10</v>
      </c>
      <c r="HO259" s="268">
        <f t="shared" si="485"/>
        <v>0</v>
      </c>
      <c r="HP259" s="151">
        <f t="shared" si="594"/>
        <v>0</v>
      </c>
      <c r="HQ259" s="123">
        <f t="shared" si="542"/>
        <v>0</v>
      </c>
      <c r="HR259" s="123">
        <f t="shared" si="543"/>
        <v>0</v>
      </c>
      <c r="HS259" s="123">
        <f t="shared" si="544"/>
        <v>0</v>
      </c>
      <c r="HT259" s="123">
        <f>IF(HY258&lt;0.01,0,IF(Adm!$GS$4=Adm!$GS$8,HY258*$HY$15,IF(Adm!$GS$12=Adm!$GS$13,0,HY258*Adm!$GV$4)))</f>
        <v>0</v>
      </c>
      <c r="HU259" s="123">
        <f>IF(HY258&lt;0.01,0,IF(Adm!$GS$5=Adm!$GS$8,Cal!$BO$108*$HY$16/1.16,IF(Adm!$GS$12=Adm!$GS$13,0,Cal!$BO$108*Adm!$GW$4/1.16)))</f>
        <v>0</v>
      </c>
      <c r="HV259" s="123">
        <f t="shared" si="545"/>
        <v>0</v>
      </c>
      <c r="HW259" s="123">
        <f t="shared" si="486"/>
        <v>0</v>
      </c>
      <c r="HX259" s="123">
        <f>IF(Adm!$GH$6="si",MIN(HY258+HQ259+HT259+HU259+HV259-HW259,IH259),0)</f>
        <v>0</v>
      </c>
      <c r="HY259" s="297">
        <f t="shared" si="546"/>
        <v>0</v>
      </c>
      <c r="HZ259" s="74"/>
      <c r="IA259" s="407">
        <f t="shared" si="547"/>
        <v>0</v>
      </c>
      <c r="IC259" s="90">
        <f t="shared" si="548"/>
        <v>7</v>
      </c>
      <c r="ID259" s="124">
        <f>IF(IC259=1,Cal!$BO$127,0)</f>
        <v>0</v>
      </c>
      <c r="IE259" s="178">
        <f>IF(IC259=1,Adm!$HI$4,0)</f>
        <v>0</v>
      </c>
      <c r="IG259" s="70">
        <f t="shared" si="571"/>
        <v>0</v>
      </c>
      <c r="IH259" s="2178">
        <f t="shared" ca="1" si="549"/>
        <v>0</v>
      </c>
      <c r="IK259" s="217"/>
      <c r="IL259" s="26">
        <f t="shared" ca="1" si="487"/>
        <v>10</v>
      </c>
      <c r="IN259" s="268">
        <f t="shared" si="488"/>
        <v>0</v>
      </c>
      <c r="IO259" s="151">
        <f t="shared" si="595"/>
        <v>0</v>
      </c>
      <c r="IP259" s="123">
        <f t="shared" si="550"/>
        <v>0</v>
      </c>
      <c r="IQ259" s="123">
        <f t="shared" si="551"/>
        <v>0</v>
      </c>
      <c r="IR259" s="123">
        <f t="shared" si="552"/>
        <v>0</v>
      </c>
      <c r="IS259" s="123">
        <f>IF(IX258&lt;0.01,0,IF(Adm!$GS$4=Adm!$GS$8,IX258*$IX$15,IF(Adm!$GS$12=Adm!$GS$13,0,IX258*Adm!$GV$4)))</f>
        <v>0</v>
      </c>
      <c r="IT259" s="123"/>
      <c r="IU259" s="123">
        <f t="shared" si="553"/>
        <v>0</v>
      </c>
      <c r="IV259" s="123">
        <f t="shared" si="554"/>
        <v>0</v>
      </c>
      <c r="IW259" s="123"/>
      <c r="IX259" s="297">
        <f t="shared" si="555"/>
        <v>0</v>
      </c>
      <c r="IY259" s="74"/>
      <c r="IZ259" s="416">
        <f t="shared" si="556"/>
        <v>0</v>
      </c>
      <c r="JB259" s="90">
        <f t="shared" si="557"/>
        <v>7</v>
      </c>
      <c r="JC259" s="124">
        <f>IF(JB259=1,Cal!$BP$127,0)</f>
        <v>0</v>
      </c>
      <c r="JD259" s="178">
        <f>IF(JB259=1,Adm!$HI$4,0)</f>
        <v>0</v>
      </c>
    </row>
    <row r="260" spans="1:264">
      <c r="A260" s="26">
        <f t="shared" ca="1" si="456"/>
        <v>11</v>
      </c>
      <c r="C260" s="33">
        <f t="shared" si="457"/>
        <v>0</v>
      </c>
      <c r="D260" s="123">
        <f t="shared" si="489"/>
        <v>0</v>
      </c>
      <c r="E260" s="123">
        <f t="shared" si="579"/>
        <v>0</v>
      </c>
      <c r="F260" s="123">
        <f t="shared" si="589"/>
        <v>0</v>
      </c>
      <c r="G260" s="123">
        <f>IF(L259&lt;0.01,0,IF(Adm!$S$4=Adm!$S$8,L259*$L$15,L259*Adm!$V$4))</f>
        <v>0</v>
      </c>
      <c r="H260" s="123">
        <f>IF(L259&lt;0.01,0,IF(Adm!$S$5=Adm!$S$8,Adm!$AA$11*$L$16/1.16,IF(Adm!$B$4=Adm!$A$119,0,Adm!$AA$11*Adm!$X$4/1.16)))</f>
        <v>0</v>
      </c>
      <c r="I260" s="123">
        <f>IF(L259&lt;0.01,0,Cal!$AB$126/1.16)</f>
        <v>0</v>
      </c>
      <c r="J260" s="123">
        <f t="shared" si="458"/>
        <v>0</v>
      </c>
      <c r="K260" s="123">
        <f>IF(Adm!$G$4="si",MIN(L259+D260+G260+H260+I260-J260,V260),0)</f>
        <v>0</v>
      </c>
      <c r="L260" s="123">
        <f t="shared" si="490"/>
        <v>0</v>
      </c>
      <c r="M260" s="74"/>
      <c r="N260" s="74"/>
      <c r="O260" s="407">
        <f t="shared" si="491"/>
        <v>0</v>
      </c>
      <c r="R260" s="90">
        <f t="shared" si="492"/>
        <v>8</v>
      </c>
      <c r="S260" s="121">
        <f>IF(R260=1,Cal!$AB$127,0)</f>
        <v>0</v>
      </c>
      <c r="U260" s="70">
        <f t="shared" si="558"/>
        <v>0</v>
      </c>
      <c r="V260" s="2178">
        <f t="shared" ca="1" si="493"/>
        <v>0</v>
      </c>
      <c r="X260" s="398"/>
      <c r="Z260" s="268">
        <f t="shared" si="459"/>
        <v>0</v>
      </c>
      <c r="AA260" s="2176">
        <f t="shared" si="494"/>
        <v>0</v>
      </c>
      <c r="AB260" s="33">
        <f t="shared" si="495"/>
        <v>0</v>
      </c>
      <c r="AC260" s="33">
        <f t="shared" si="496"/>
        <v>0</v>
      </c>
      <c r="AD260" s="33">
        <f>IF(AI259&lt;0.01,0,IF(Adm!$S$4=Adm!$S$8,AI259*$AI$15,AI259*Adm!$V$4))</f>
        <v>0</v>
      </c>
      <c r="AE260" s="33"/>
      <c r="AF260" s="33"/>
      <c r="AG260" s="33">
        <f t="shared" si="460"/>
        <v>0</v>
      </c>
      <c r="AH260" s="33"/>
      <c r="AI260" s="401">
        <f t="shared" si="461"/>
        <v>0</v>
      </c>
      <c r="AK260" s="410">
        <f t="shared" si="462"/>
        <v>0</v>
      </c>
      <c r="AN260" s="90">
        <f t="shared" si="497"/>
        <v>8</v>
      </c>
      <c r="AO260" s="121">
        <f>IF(AN260=1,Cal!$AC$127,0)</f>
        <v>0</v>
      </c>
      <c r="AS260" s="200"/>
      <c r="AU260" s="268">
        <f t="shared" si="463"/>
        <v>0</v>
      </c>
      <c r="AV260" s="2177">
        <f t="shared" si="498"/>
        <v>0</v>
      </c>
      <c r="AW260" s="123">
        <f t="shared" si="464"/>
        <v>0</v>
      </c>
      <c r="AX260" s="123">
        <f t="shared" si="499"/>
        <v>0</v>
      </c>
      <c r="AY260" s="123">
        <f>IF(BC259&lt;0.01,0,IF(Adm!$S$4=Adm!$S$8,BC259*$BC$16,BC259*Adm!$V$4))</f>
        <v>0</v>
      </c>
      <c r="AZ260" s="123"/>
      <c r="BA260" s="123">
        <f>IF(BC259&lt;0.01,0,Adm!$Q$6)</f>
        <v>0</v>
      </c>
      <c r="BB260" s="123">
        <f t="shared" si="465"/>
        <v>0</v>
      </c>
      <c r="BC260" s="297">
        <f t="shared" si="500"/>
        <v>0</v>
      </c>
      <c r="BE260" s="425">
        <f t="shared" si="466"/>
        <v>0</v>
      </c>
      <c r="BH260" s="90">
        <f t="shared" si="501"/>
        <v>8</v>
      </c>
      <c r="BI260" s="121">
        <f>IF(BH260=1,Cal!$AD$127,0)</f>
        <v>0</v>
      </c>
      <c r="BM260" s="221"/>
      <c r="BO260" s="295">
        <f t="shared" ca="1" si="467"/>
        <v>11</v>
      </c>
      <c r="BP260" s="268">
        <f t="shared" si="468"/>
        <v>0</v>
      </c>
      <c r="BQ260" s="123">
        <f t="shared" si="502"/>
        <v>0</v>
      </c>
      <c r="BR260" s="123">
        <f t="shared" si="580"/>
        <v>0</v>
      </c>
      <c r="BS260" s="123">
        <f t="shared" si="590"/>
        <v>0</v>
      </c>
      <c r="BT260" s="123">
        <f>IF(BZ259&lt;0.01,0,IF(Plus!$F$22=Plus!$AN$4,BZ259*$BZ$15,IF(Plus!$F$22=Plus!$AN$3,BZ259*Plus!$F$23/1000,BZ259*VLOOKUP(Plus!$G$21,Plus!$AP$2:'Plus'!$AQ$5,2,0))))</f>
        <v>0</v>
      </c>
      <c r="BU260" s="123">
        <f>IF(BZ259&lt;0.01,0,IF(Plus!$F$24=Plus!$AO$3,Plus!$G$13*Plus!$AR$2/1.16,IF(Plus!$F$10=Plus!$AK$7,0,Plus!$G$13*Plus!$AR$2/1.16)))</f>
        <v>0</v>
      </c>
      <c r="BV260" s="123">
        <f>IF(BZ259&lt;0.01,0,Plus!$BD$2)</f>
        <v>0</v>
      </c>
      <c r="BW260" s="123"/>
      <c r="BX260" s="123">
        <f t="shared" si="469"/>
        <v>0</v>
      </c>
      <c r="BY260" s="123">
        <f>IF(Plus!$F$10=Plus!$AK$3,MIN(BZ259+BQ260+BT260+BU260+BV260-BX260,CJ260),0)</f>
        <v>0</v>
      </c>
      <c r="BZ260" s="297">
        <f t="shared" si="574"/>
        <v>0</v>
      </c>
      <c r="CA260" s="74"/>
      <c r="CB260" s="74"/>
      <c r="CC260" s="413">
        <f t="shared" si="503"/>
        <v>0</v>
      </c>
      <c r="CF260" s="90">
        <f t="shared" si="504"/>
        <v>8</v>
      </c>
      <c r="CG260" s="121">
        <f t="shared" si="559"/>
        <v>0</v>
      </c>
      <c r="CI260" s="70">
        <f t="shared" si="560"/>
        <v>0</v>
      </c>
      <c r="CJ260" s="2178">
        <f t="shared" ca="1" si="505"/>
        <v>0</v>
      </c>
      <c r="CL260" s="161"/>
      <c r="CN260" s="308">
        <f t="shared" ca="1" si="470"/>
        <v>11</v>
      </c>
      <c r="CO260" s="309">
        <f t="shared" si="506"/>
        <v>0</v>
      </c>
      <c r="CP260" s="268">
        <f t="shared" si="471"/>
        <v>0</v>
      </c>
      <c r="CQ260" s="123">
        <f t="shared" si="507"/>
        <v>0</v>
      </c>
      <c r="CR260" s="123">
        <f t="shared" si="581"/>
        <v>0</v>
      </c>
      <c r="CS260" s="123">
        <f t="shared" si="582"/>
        <v>0</v>
      </c>
      <c r="CT260" s="33">
        <f>IF(CZ259&lt;0.01,0,IF(Plus!$F$22=Plus!$AN$4,0,IF(Plus!$F$22=Plus!$AN$3,CZ259*Plus!$F$23/1000,CZ259*VLOOKUP(Plus!$G$21,Plus!$AP$2:'Plus'!$AQ$5,2,0))))</f>
        <v>0</v>
      </c>
      <c r="CU260" s="123">
        <f>IF(CZ259&lt;0.01,0,IF(Plus!$F$24=Plus!$AO$3,0,IF(OR(Plus!$F$10=Plus!$AK$7,Plus!$F$10=Plus!$AK$13),0,Plus!$G$13*Plus!$AR$2)))</f>
        <v>0</v>
      </c>
      <c r="CV260" s="123">
        <f>IF(CZ259&lt;0.01,0,IF(OR(Plus!$F$10=Plus!$AK$7,Plus!$F$10=Plus!$AK$13),0,Plus!$BD$2*1.16))</f>
        <v>0</v>
      </c>
      <c r="CW260" s="123">
        <f>IF(CZ259&lt;0.01,0,IF(Plus!$AS$2&gt;0,CQ260*Plus!$AS$3,0))</f>
        <v>0</v>
      </c>
      <c r="CX260" s="123">
        <f t="shared" si="508"/>
        <v>0</v>
      </c>
      <c r="CY260" s="123">
        <f>IF(Plus!$F$10=Plus!$AK$3,MIN(CZ259+CQ260+CT260+CU260+CV260-CX260,DK260),0)</f>
        <v>0</v>
      </c>
      <c r="CZ260" s="297">
        <f t="shared" si="588"/>
        <v>0</v>
      </c>
      <c r="DA260" s="306">
        <f>Plus!O301</f>
        <v>0</v>
      </c>
      <c r="DB260" s="74"/>
      <c r="DC260" s="74"/>
      <c r="DD260" s="407">
        <f t="shared" si="509"/>
        <v>0</v>
      </c>
      <c r="DG260" s="90">
        <f t="shared" si="510"/>
        <v>8</v>
      </c>
      <c r="DH260" s="121">
        <f t="shared" si="561"/>
        <v>0</v>
      </c>
      <c r="DJ260" s="149">
        <f t="shared" si="562"/>
        <v>0</v>
      </c>
      <c r="DK260" s="2179">
        <f t="shared" ca="1" si="511"/>
        <v>0</v>
      </c>
      <c r="DN260" s="120">
        <f t="shared" si="563"/>
        <v>0</v>
      </c>
      <c r="DO260" s="110">
        <f t="shared" si="512"/>
        <v>0</v>
      </c>
      <c r="DP260" s="110">
        <f t="shared" si="572"/>
        <v>0</v>
      </c>
      <c r="DQ260" s="109">
        <f t="shared" si="513"/>
        <v>0</v>
      </c>
      <c r="DR260" s="109">
        <f t="shared" si="514"/>
        <v>0</v>
      </c>
      <c r="DS260" s="113">
        <f t="shared" si="515"/>
        <v>0</v>
      </c>
      <c r="DU260" s="102">
        <f t="shared" si="516"/>
        <v>0</v>
      </c>
      <c r="DV260" s="211">
        <f t="shared" si="573"/>
        <v>236</v>
      </c>
      <c r="DW260" s="212">
        <f t="shared" si="517"/>
        <v>0</v>
      </c>
      <c r="DX260" s="212">
        <f t="shared" si="472"/>
        <v>0</v>
      </c>
      <c r="DY260" s="212">
        <f t="shared" si="564"/>
        <v>0</v>
      </c>
      <c r="DZ260" s="213">
        <f t="shared" si="473"/>
        <v>1000000</v>
      </c>
      <c r="ED260" s="182"/>
      <c r="EF260" s="308">
        <f t="shared" ca="1" si="474"/>
        <v>11</v>
      </c>
      <c r="EG260" s="309">
        <f t="shared" si="518"/>
        <v>0</v>
      </c>
      <c r="EH260" s="268">
        <f t="shared" si="475"/>
        <v>0</v>
      </c>
      <c r="EI260" s="33">
        <f t="shared" si="519"/>
        <v>0</v>
      </c>
      <c r="EJ260" s="33">
        <f t="shared" si="583"/>
        <v>0</v>
      </c>
      <c r="EK260" s="33">
        <f t="shared" si="591"/>
        <v>0</v>
      </c>
      <c r="EL260" s="33">
        <f>IF(ER259&lt;0.01,0,IF(Plus!$F$22=Plus!$AN$4,0,IF(Plus!$F$22=Plus!$AN$3,ER259*Plus!$F$23/1000,ER259*VLOOKUP(Plus!$G$21,Plus!$AP$2:'Plus'!$AQ$5,2,0))))</f>
        <v>0</v>
      </c>
      <c r="EM260" s="33">
        <f>IF(ER259&lt;0.01,0,IF(Plus!$F$24=Plus!$AO$3,0,IF(OR(Plus!$F$10=Plus!$AK$7,Plus!$F$10=Plus!$AK$13),0,Plus!$G$13*Plus!$AR$2)))</f>
        <v>0</v>
      </c>
      <c r="EN260" s="33">
        <f>IF(ER259&lt;0.01,0,IF(OR(Plus!$F$10=Plus!$AK$7,Plus!$F$10=Plus!$AK$13),0,Plus!$BD$2*1.16))</f>
        <v>0</v>
      </c>
      <c r="EO260" s="33">
        <f>IF(ER259&lt;0.01,0,IF(Plus!$AS$2&gt;0,EI260*Plus!$AS$3,0))</f>
        <v>0</v>
      </c>
      <c r="EP260" s="33">
        <f t="shared" si="520"/>
        <v>0</v>
      </c>
      <c r="EQ260" s="33">
        <f>IF(Plus!$F$10=Plus!$AK$3,MIN(ER259+EI260+EL260+EM260+EN260-EP260,FC260),0)</f>
        <v>0</v>
      </c>
      <c r="ER260" s="311">
        <f t="shared" si="577"/>
        <v>0</v>
      </c>
      <c r="ES260" s="340">
        <f>Plus!O301</f>
        <v>0</v>
      </c>
      <c r="ET260" s="74"/>
      <c r="EU260" s="74"/>
      <c r="EV260" s="416">
        <f t="shared" si="575"/>
        <v>0</v>
      </c>
      <c r="EY260" s="90">
        <f t="shared" si="521"/>
        <v>8</v>
      </c>
      <c r="EZ260" s="121">
        <f t="shared" si="565"/>
        <v>0</v>
      </c>
      <c r="FB260" s="149">
        <f t="shared" si="566"/>
        <v>0</v>
      </c>
      <c r="FC260" s="2179">
        <f t="shared" ca="1" si="522"/>
        <v>0</v>
      </c>
      <c r="FE260" s="120">
        <f t="shared" si="567"/>
        <v>0</v>
      </c>
      <c r="FF260" s="110">
        <f t="shared" si="523"/>
        <v>0</v>
      </c>
      <c r="FG260" s="110">
        <f t="shared" si="524"/>
        <v>0</v>
      </c>
      <c r="FH260" s="109">
        <f t="shared" si="525"/>
        <v>0</v>
      </c>
      <c r="FI260" s="109">
        <f t="shared" si="476"/>
        <v>0</v>
      </c>
      <c r="FJ260" s="113">
        <f t="shared" si="526"/>
        <v>0</v>
      </c>
      <c r="FL260" s="102">
        <f t="shared" si="527"/>
        <v>0</v>
      </c>
      <c r="FM260" s="211">
        <f t="shared" si="454"/>
        <v>236</v>
      </c>
      <c r="FN260" s="212">
        <f t="shared" si="528"/>
        <v>0</v>
      </c>
      <c r="FO260" s="212">
        <f t="shared" si="477"/>
        <v>0</v>
      </c>
      <c r="FP260" s="212">
        <f t="shared" si="596"/>
        <v>0</v>
      </c>
      <c r="FQ260" s="213">
        <f t="shared" si="478"/>
        <v>1000000</v>
      </c>
      <c r="FV260" s="359"/>
      <c r="FX260" s="308">
        <f t="shared" ca="1" si="479"/>
        <v>11</v>
      </c>
      <c r="FY260" s="309">
        <f t="shared" si="530"/>
        <v>0</v>
      </c>
      <c r="FZ260" s="268">
        <f t="shared" si="480"/>
        <v>0</v>
      </c>
      <c r="GA260" s="33">
        <f t="shared" si="531"/>
        <v>0</v>
      </c>
      <c r="GB260" s="33">
        <f t="shared" si="585"/>
        <v>0</v>
      </c>
      <c r="GC260" s="33">
        <f t="shared" si="586"/>
        <v>0</v>
      </c>
      <c r="GD260" s="33">
        <f>IF(GJ259&lt;0.01,0,IF(Plus!$F$22=Plus!$AN$4,0,IF(Plus!$F$22=Plus!$AN$3,GJ259*Plus!$F$23/1000,GJ259*VLOOKUP(Plus!$G$21,Plus!$AP$2:$AQ$5,2,0))))</f>
        <v>0</v>
      </c>
      <c r="GE260" s="33">
        <f>IF(GJ259&lt;0.01,0,IF(Plus!$F$24=Plus!$AO$3,0,IF(OR(Plus!$F$10=Plus!$AK$7,Plus!$F$10=Plus!$AK$13,Plus!$F$10=Plus!$AK$14),0,IF(OR(Plus!$F$10=Plus!$AK$10,Plus!$F$10=Plus!$AK$11),Plus!$G$13*Adm!$W$7,Plus!$G$13*Adm!$X$4))))</f>
        <v>0</v>
      </c>
      <c r="GF260" s="33">
        <f>IF(GJ259&lt;0.01,0,IF(OR(Plus!$F$10=Plus!$AK$7,Plus!$F$10=Plus!$AK$13),0,Plus!$BD$2*1.16))</f>
        <v>0</v>
      </c>
      <c r="GG260" s="33">
        <f>IF(GJ259&lt;0.01,0,IF(Plus!$AS$2&gt;0,GA260*Plus!$AS$3,0))</f>
        <v>0</v>
      </c>
      <c r="GH260" s="33">
        <f t="shared" si="532"/>
        <v>0</v>
      </c>
      <c r="GI260" s="33">
        <f>IF(Plus!$F$10=Plus!$AK$3,MIN(GJ259+GA260+GD260+GE260+GF260-GH260,GU260),0)</f>
        <v>0</v>
      </c>
      <c r="GJ260" s="311">
        <f t="shared" si="578"/>
        <v>0</v>
      </c>
      <c r="GK260" s="340">
        <f>Plus!O301</f>
        <v>0</v>
      </c>
      <c r="GL260" s="74"/>
      <c r="GM260" s="74"/>
      <c r="GN260" s="419">
        <f t="shared" si="576"/>
        <v>0</v>
      </c>
      <c r="GQ260" s="90">
        <f t="shared" si="533"/>
        <v>8</v>
      </c>
      <c r="GR260" s="121">
        <f t="shared" si="568"/>
        <v>0</v>
      </c>
      <c r="GT260" s="149">
        <f t="shared" si="569"/>
        <v>0</v>
      </c>
      <c r="GU260" s="2179">
        <f t="shared" ca="1" si="534"/>
        <v>0</v>
      </c>
      <c r="GW260" s="120">
        <f t="shared" si="570"/>
        <v>0</v>
      </c>
      <c r="GX260" s="110">
        <f t="shared" si="535"/>
        <v>0</v>
      </c>
      <c r="GY260" s="110">
        <f t="shared" si="536"/>
        <v>0</v>
      </c>
      <c r="GZ260" s="109">
        <f t="shared" si="537"/>
        <v>0</v>
      </c>
      <c r="HA260" s="109">
        <f t="shared" si="481"/>
        <v>0</v>
      </c>
      <c r="HB260" s="113">
        <f t="shared" si="538"/>
        <v>0</v>
      </c>
      <c r="HD260" s="102">
        <f t="shared" si="539"/>
        <v>0</v>
      </c>
      <c r="HE260" s="211">
        <f t="shared" si="455"/>
        <v>236</v>
      </c>
      <c r="HF260" s="212">
        <f t="shared" si="540"/>
        <v>0</v>
      </c>
      <c r="HG260" s="212">
        <f t="shared" si="482"/>
        <v>0</v>
      </c>
      <c r="HH260" s="212">
        <f t="shared" si="597"/>
        <v>0</v>
      </c>
      <c r="HI260" s="213">
        <f t="shared" si="483"/>
        <v>1000000</v>
      </c>
      <c r="HL260" s="182"/>
      <c r="HM260" s="26">
        <f t="shared" ca="1" si="484"/>
        <v>11</v>
      </c>
      <c r="HO260" s="268">
        <f t="shared" si="485"/>
        <v>0</v>
      </c>
      <c r="HP260" s="151">
        <f t="shared" si="594"/>
        <v>0</v>
      </c>
      <c r="HQ260" s="123">
        <f t="shared" si="542"/>
        <v>0</v>
      </c>
      <c r="HR260" s="123">
        <f t="shared" si="543"/>
        <v>0</v>
      </c>
      <c r="HS260" s="123">
        <f t="shared" si="544"/>
        <v>0</v>
      </c>
      <c r="HT260" s="123">
        <f>IF(HY259&lt;0.01,0,IF(Adm!$GS$4=Adm!$GS$8,HY259*$HY$15,IF(Adm!$GS$12=Adm!$GS$13,0,HY259*Adm!$GV$4)))</f>
        <v>0</v>
      </c>
      <c r="HU260" s="123">
        <f>IF(HY259&lt;0.01,0,IF(Adm!$GS$5=Adm!$GS$8,Cal!$BO$108*$HY$16/1.16,IF(Adm!$GS$12=Adm!$GS$13,0,Cal!$BO$108*Adm!$GW$4/1.16)))</f>
        <v>0</v>
      </c>
      <c r="HV260" s="123">
        <f t="shared" si="545"/>
        <v>0</v>
      </c>
      <c r="HW260" s="123">
        <f t="shared" si="486"/>
        <v>0</v>
      </c>
      <c r="HX260" s="123">
        <f>IF(Adm!$GH$6="si",MIN(HY259+HQ260+HT260+HU260+HV260-HW260,IH260),0)</f>
        <v>0</v>
      </c>
      <c r="HY260" s="297">
        <f t="shared" si="546"/>
        <v>0</v>
      </c>
      <c r="HZ260" s="74"/>
      <c r="IA260" s="407">
        <f t="shared" si="547"/>
        <v>0</v>
      </c>
      <c r="IC260" s="90">
        <f t="shared" si="548"/>
        <v>8</v>
      </c>
      <c r="ID260" s="124">
        <f>IF(IC260=1,Cal!$BO$127,0)</f>
        <v>0</v>
      </c>
      <c r="IE260" s="178">
        <f>IF(IC260=1,Adm!$HI$4,0)</f>
        <v>0</v>
      </c>
      <c r="IG260" s="70">
        <f t="shared" si="571"/>
        <v>0</v>
      </c>
      <c r="IH260" s="2178">
        <f t="shared" ca="1" si="549"/>
        <v>0</v>
      </c>
      <c r="IK260" s="217"/>
      <c r="IL260" s="26">
        <f t="shared" ca="1" si="487"/>
        <v>11</v>
      </c>
      <c r="IN260" s="268">
        <f t="shared" si="488"/>
        <v>0</v>
      </c>
      <c r="IO260" s="151">
        <f t="shared" si="595"/>
        <v>0</v>
      </c>
      <c r="IP260" s="123">
        <f t="shared" si="550"/>
        <v>0</v>
      </c>
      <c r="IQ260" s="123">
        <f t="shared" si="551"/>
        <v>0</v>
      </c>
      <c r="IR260" s="123">
        <f t="shared" si="552"/>
        <v>0</v>
      </c>
      <c r="IS260" s="123">
        <f>IF(IX259&lt;0.01,0,IF(Adm!$GS$4=Adm!$GS$8,IX259*$IX$15,IF(Adm!$GS$12=Adm!$GS$13,0,IX259*Adm!$GV$4)))</f>
        <v>0</v>
      </c>
      <c r="IT260" s="123"/>
      <c r="IU260" s="123">
        <f t="shared" si="553"/>
        <v>0</v>
      </c>
      <c r="IV260" s="123">
        <f t="shared" si="554"/>
        <v>0</v>
      </c>
      <c r="IW260" s="123"/>
      <c r="IX260" s="297">
        <f t="shared" si="555"/>
        <v>0</v>
      </c>
      <c r="IY260" s="74"/>
      <c r="IZ260" s="416">
        <f t="shared" si="556"/>
        <v>0</v>
      </c>
      <c r="JB260" s="90">
        <f t="shared" si="557"/>
        <v>8</v>
      </c>
      <c r="JC260" s="124">
        <f>IF(JB260=1,Cal!$BP$127,0)</f>
        <v>0</v>
      </c>
      <c r="JD260" s="178">
        <f>IF(JB260=1,Adm!$HI$4,0)</f>
        <v>0</v>
      </c>
    </row>
    <row r="261" spans="1:264">
      <c r="A261" s="26">
        <f t="shared" ca="1" si="456"/>
        <v>12</v>
      </c>
      <c r="C261" s="33">
        <f t="shared" si="457"/>
        <v>0</v>
      </c>
      <c r="D261" s="123">
        <f t="shared" si="489"/>
        <v>0</v>
      </c>
      <c r="E261" s="123">
        <f t="shared" si="579"/>
        <v>0</v>
      </c>
      <c r="F261" s="123">
        <f t="shared" si="589"/>
        <v>0</v>
      </c>
      <c r="G261" s="123">
        <f>IF(L260&lt;0.01,0,IF(Adm!$S$4=Adm!$S$8,L260*$L$15,L260*Adm!$V$4))</f>
        <v>0</v>
      </c>
      <c r="H261" s="123">
        <f>IF(L260&lt;0.01,0,IF(Adm!$S$5=Adm!$S$8,Adm!$AA$11*$L$16/1.16,IF(Adm!$B$4=Adm!$A$119,0,Adm!$AA$11*Adm!$X$4/1.16)))</f>
        <v>0</v>
      </c>
      <c r="I261" s="123">
        <f>IF(L260&lt;0.01,0,Cal!$AB$126/1.16)</f>
        <v>0</v>
      </c>
      <c r="J261" s="123">
        <f t="shared" si="458"/>
        <v>0</v>
      </c>
      <c r="K261" s="123">
        <f>IF(Adm!$G$4="si",MIN(L260+D261+G261+H261+I261-J261,V261),0)</f>
        <v>0</v>
      </c>
      <c r="L261" s="123">
        <f t="shared" si="490"/>
        <v>0</v>
      </c>
      <c r="M261" s="74"/>
      <c r="N261" s="74"/>
      <c r="O261" s="407">
        <f t="shared" si="491"/>
        <v>0</v>
      </c>
      <c r="R261" s="90">
        <f t="shared" si="492"/>
        <v>9</v>
      </c>
      <c r="S261" s="121">
        <f>IF(R261=1,Cal!$AB$127,0)</f>
        <v>0</v>
      </c>
      <c r="U261" s="70">
        <f t="shared" si="558"/>
        <v>0</v>
      </c>
      <c r="V261" s="2178">
        <f t="shared" ca="1" si="493"/>
        <v>0</v>
      </c>
      <c r="X261" s="398"/>
      <c r="Z261" s="268">
        <f t="shared" si="459"/>
        <v>0</v>
      </c>
      <c r="AA261" s="2176">
        <f t="shared" si="494"/>
        <v>0</v>
      </c>
      <c r="AB261" s="33">
        <f t="shared" si="495"/>
        <v>0</v>
      </c>
      <c r="AC261" s="33">
        <f t="shared" si="496"/>
        <v>0</v>
      </c>
      <c r="AD261" s="33">
        <f>IF(AI260&lt;0.01,0,IF(Adm!$S$4=Adm!$S$8,AI260*$AI$15,AI260*Adm!$V$4))</f>
        <v>0</v>
      </c>
      <c r="AE261" s="33"/>
      <c r="AF261" s="33"/>
      <c r="AG261" s="33">
        <f t="shared" si="460"/>
        <v>0</v>
      </c>
      <c r="AH261" s="33"/>
      <c r="AI261" s="401">
        <f t="shared" si="461"/>
        <v>0</v>
      </c>
      <c r="AK261" s="410">
        <f t="shared" si="462"/>
        <v>0</v>
      </c>
      <c r="AN261" s="90">
        <f t="shared" si="497"/>
        <v>9</v>
      </c>
      <c r="AO261" s="121">
        <f>IF(AN261=1,Cal!$AC$127,0)</f>
        <v>0</v>
      </c>
      <c r="AS261" s="200"/>
      <c r="AU261" s="268">
        <f t="shared" si="463"/>
        <v>0</v>
      </c>
      <c r="AV261" s="2177">
        <f t="shared" si="498"/>
        <v>0</v>
      </c>
      <c r="AW261" s="123">
        <f t="shared" si="464"/>
        <v>0</v>
      </c>
      <c r="AX261" s="123">
        <f t="shared" si="499"/>
        <v>0</v>
      </c>
      <c r="AY261" s="123">
        <f>IF(BC260&lt;0.01,0,IF(Adm!$S$4=Adm!$S$8,BC260*$BC$16,BC260*Adm!$V$4))</f>
        <v>0</v>
      </c>
      <c r="AZ261" s="123"/>
      <c r="BA261" s="123">
        <f>IF(BC260&lt;0.01,0,Adm!$Q$6)</f>
        <v>0</v>
      </c>
      <c r="BB261" s="123">
        <f t="shared" si="465"/>
        <v>0</v>
      </c>
      <c r="BC261" s="297">
        <f t="shared" si="500"/>
        <v>0</v>
      </c>
      <c r="BE261" s="425">
        <f t="shared" si="466"/>
        <v>0</v>
      </c>
      <c r="BH261" s="90">
        <f t="shared" si="501"/>
        <v>9</v>
      </c>
      <c r="BI261" s="121">
        <f>IF(BH261=1,Cal!$AD$127,0)</f>
        <v>0</v>
      </c>
      <c r="BM261" s="221"/>
      <c r="BO261" s="295">
        <f t="shared" ca="1" si="467"/>
        <v>12</v>
      </c>
      <c r="BP261" s="268">
        <f t="shared" si="468"/>
        <v>0</v>
      </c>
      <c r="BQ261" s="123">
        <f t="shared" si="502"/>
        <v>0</v>
      </c>
      <c r="BR261" s="123">
        <f t="shared" si="580"/>
        <v>0</v>
      </c>
      <c r="BS261" s="123">
        <f t="shared" si="590"/>
        <v>0</v>
      </c>
      <c r="BT261" s="123">
        <f>IF(BZ260&lt;0.01,0,IF(Plus!$F$22=Plus!$AN$4,BZ260*$BZ$15,IF(Plus!$F$22=Plus!$AN$3,BZ260*Plus!$F$23/1000,BZ260*VLOOKUP(Plus!$G$21,Plus!$AP$2:'Plus'!$AQ$5,2,0))))</f>
        <v>0</v>
      </c>
      <c r="BU261" s="123">
        <f>IF(BZ260&lt;0.01,0,IF(Plus!$F$24=Plus!$AO$3,Plus!$G$13*Plus!$AR$2/1.16,IF(Plus!$F$10=Plus!$AK$7,0,Plus!$G$13*Plus!$AR$2/1.16)))</f>
        <v>0</v>
      </c>
      <c r="BV261" s="123">
        <f>IF(BZ260&lt;0.01,0,Plus!$BD$2)</f>
        <v>0</v>
      </c>
      <c r="BW261" s="123"/>
      <c r="BX261" s="123">
        <f t="shared" si="469"/>
        <v>0</v>
      </c>
      <c r="BY261" s="123">
        <f>IF(Plus!$F$10=Plus!$AK$3,MIN(BZ260+BQ261+BT261+BU261+BV261-BX261,CJ261),0)</f>
        <v>0</v>
      </c>
      <c r="BZ261" s="297">
        <f t="shared" si="574"/>
        <v>0</v>
      </c>
      <c r="CA261" s="74"/>
      <c r="CB261" s="74"/>
      <c r="CC261" s="413">
        <f t="shared" si="503"/>
        <v>0</v>
      </c>
      <c r="CF261" s="90">
        <f t="shared" si="504"/>
        <v>9</v>
      </c>
      <c r="CG261" s="121">
        <f t="shared" si="559"/>
        <v>0</v>
      </c>
      <c r="CI261" s="70">
        <f t="shared" si="560"/>
        <v>0</v>
      </c>
      <c r="CJ261" s="2178">
        <f t="shared" ca="1" si="505"/>
        <v>0</v>
      </c>
      <c r="CL261" s="161"/>
      <c r="CN261" s="308">
        <f t="shared" ca="1" si="470"/>
        <v>12</v>
      </c>
      <c r="CO261" s="309">
        <f t="shared" si="506"/>
        <v>0</v>
      </c>
      <c r="CP261" s="268">
        <f t="shared" si="471"/>
        <v>0</v>
      </c>
      <c r="CQ261" s="123">
        <f t="shared" si="507"/>
        <v>0</v>
      </c>
      <c r="CR261" s="123">
        <f t="shared" si="581"/>
        <v>0</v>
      </c>
      <c r="CS261" s="123">
        <f t="shared" si="582"/>
        <v>0</v>
      </c>
      <c r="CT261" s="33">
        <f>IF(CZ260&lt;0.01,0,IF(Plus!$F$22=Plus!$AN$4,0,IF(Plus!$F$22=Plus!$AN$3,CZ260*Plus!$F$23/1000,CZ260*VLOOKUP(Plus!$G$21,Plus!$AP$2:'Plus'!$AQ$5,2,0))))</f>
        <v>0</v>
      </c>
      <c r="CU261" s="123">
        <f>IF(CZ260&lt;0.01,0,IF(Plus!$F$24=Plus!$AO$3,0,IF(OR(Plus!$F$10=Plus!$AK$7,Plus!$F$10=Plus!$AK$13),0,Plus!$G$13*Plus!$AR$2)))</f>
        <v>0</v>
      </c>
      <c r="CV261" s="123">
        <f>IF(CZ260&lt;0.01,0,IF(OR(Plus!$F$10=Plus!$AK$7,Plus!$F$10=Plus!$AK$13),0,Plus!$BD$2*1.16))</f>
        <v>0</v>
      </c>
      <c r="CW261" s="123">
        <f>IF(CZ260&lt;0.01,0,IF(Plus!$AS$2&gt;0,CQ261*Plus!$AS$3,0))</f>
        <v>0</v>
      </c>
      <c r="CX261" s="123">
        <f t="shared" si="508"/>
        <v>0</v>
      </c>
      <c r="CY261" s="123">
        <f>IF(Plus!$F$10=Plus!$AK$3,MIN(CZ260+CQ261+CT261+CU261+CV261-CX261,DK261),0)</f>
        <v>0</v>
      </c>
      <c r="CZ261" s="297">
        <f t="shared" si="588"/>
        <v>0</v>
      </c>
      <c r="DA261" s="306">
        <f>Plus!O302</f>
        <v>0</v>
      </c>
      <c r="DB261" s="74"/>
      <c r="DC261" s="74"/>
      <c r="DD261" s="407">
        <f t="shared" si="509"/>
        <v>0</v>
      </c>
      <c r="DG261" s="90">
        <f t="shared" si="510"/>
        <v>9</v>
      </c>
      <c r="DH261" s="121">
        <f t="shared" si="561"/>
        <v>0</v>
      </c>
      <c r="DJ261" s="149">
        <f t="shared" si="562"/>
        <v>0</v>
      </c>
      <c r="DK261" s="2179">
        <f t="shared" ca="1" si="511"/>
        <v>0</v>
      </c>
      <c r="DN261" s="120">
        <f t="shared" si="563"/>
        <v>0</v>
      </c>
      <c r="DO261" s="110">
        <f t="shared" si="512"/>
        <v>0</v>
      </c>
      <c r="DP261" s="110">
        <f t="shared" si="572"/>
        <v>0</v>
      </c>
      <c r="DQ261" s="109">
        <f t="shared" si="513"/>
        <v>0</v>
      </c>
      <c r="DR261" s="109">
        <f t="shared" si="514"/>
        <v>0</v>
      </c>
      <c r="DS261" s="113">
        <f t="shared" si="515"/>
        <v>0</v>
      </c>
      <c r="DU261" s="102">
        <f t="shared" si="516"/>
        <v>0</v>
      </c>
      <c r="DV261" s="211">
        <f t="shared" si="573"/>
        <v>237</v>
      </c>
      <c r="DW261" s="212">
        <f t="shared" si="517"/>
        <v>0</v>
      </c>
      <c r="DX261" s="212">
        <f t="shared" si="472"/>
        <v>0</v>
      </c>
      <c r="DY261" s="212">
        <f t="shared" si="564"/>
        <v>0</v>
      </c>
      <c r="DZ261" s="213">
        <f t="shared" si="473"/>
        <v>1000000</v>
      </c>
      <c r="ED261" s="182"/>
      <c r="EF261" s="308">
        <f t="shared" ca="1" si="474"/>
        <v>12</v>
      </c>
      <c r="EG261" s="309">
        <f t="shared" si="518"/>
        <v>0</v>
      </c>
      <c r="EH261" s="268">
        <f t="shared" si="475"/>
        <v>0</v>
      </c>
      <c r="EI261" s="33">
        <f t="shared" si="519"/>
        <v>0</v>
      </c>
      <c r="EJ261" s="33">
        <f t="shared" si="583"/>
        <v>0</v>
      </c>
      <c r="EK261" s="33">
        <f t="shared" si="591"/>
        <v>0</v>
      </c>
      <c r="EL261" s="33">
        <f>IF(ER260&lt;0.01,0,IF(Plus!$F$22=Plus!$AN$4,0,IF(Plus!$F$22=Plus!$AN$3,ER260*Plus!$F$23/1000,ER260*VLOOKUP(Plus!$G$21,Plus!$AP$2:'Plus'!$AQ$5,2,0))))</f>
        <v>0</v>
      </c>
      <c r="EM261" s="33">
        <f>IF(ER260&lt;0.01,0,IF(Plus!$F$24=Plus!$AO$3,0,IF(OR(Plus!$F$10=Plus!$AK$7,Plus!$F$10=Plus!$AK$13),0,Plus!$G$13*Plus!$AR$2)))</f>
        <v>0</v>
      </c>
      <c r="EN261" s="33">
        <f>IF(ER260&lt;0.01,0,IF(OR(Plus!$F$10=Plus!$AK$7,Plus!$F$10=Plus!$AK$13),0,Plus!$BD$2*1.16))</f>
        <v>0</v>
      </c>
      <c r="EO261" s="33">
        <f>IF(ER260&lt;0.01,0,IF(Plus!$AS$2&gt;0,EI261*Plus!$AS$3,0))</f>
        <v>0</v>
      </c>
      <c r="EP261" s="33">
        <f t="shared" si="520"/>
        <v>0</v>
      </c>
      <c r="EQ261" s="33">
        <f>IF(Plus!$F$10=Plus!$AK$3,MIN(ER260+EI261+EL261+EM261+EN261-EP261,FC261),0)</f>
        <v>0</v>
      </c>
      <c r="ER261" s="311">
        <f t="shared" si="577"/>
        <v>0</v>
      </c>
      <c r="ES261" s="340">
        <f>Plus!O302</f>
        <v>0</v>
      </c>
      <c r="ET261" s="74"/>
      <c r="EU261" s="74"/>
      <c r="EV261" s="416">
        <f t="shared" si="575"/>
        <v>0</v>
      </c>
      <c r="EY261" s="90">
        <f t="shared" si="521"/>
        <v>9</v>
      </c>
      <c r="EZ261" s="121">
        <f t="shared" si="565"/>
        <v>0</v>
      </c>
      <c r="FB261" s="149">
        <f t="shared" si="566"/>
        <v>0</v>
      </c>
      <c r="FC261" s="2179">
        <f t="shared" ca="1" si="522"/>
        <v>0</v>
      </c>
      <c r="FE261" s="120">
        <f t="shared" si="567"/>
        <v>0</v>
      </c>
      <c r="FF261" s="110">
        <f t="shared" si="523"/>
        <v>0</v>
      </c>
      <c r="FG261" s="110">
        <f t="shared" si="524"/>
        <v>0</v>
      </c>
      <c r="FH261" s="109">
        <f t="shared" si="525"/>
        <v>0</v>
      </c>
      <c r="FI261" s="109">
        <f t="shared" si="476"/>
        <v>0</v>
      </c>
      <c r="FJ261" s="113">
        <f t="shared" si="526"/>
        <v>0</v>
      </c>
      <c r="FL261" s="102">
        <f t="shared" si="527"/>
        <v>0</v>
      </c>
      <c r="FM261" s="211">
        <f t="shared" si="454"/>
        <v>237</v>
      </c>
      <c r="FN261" s="212">
        <f t="shared" si="528"/>
        <v>0</v>
      </c>
      <c r="FO261" s="212">
        <f t="shared" si="477"/>
        <v>0</v>
      </c>
      <c r="FP261" s="212">
        <f t="shared" si="596"/>
        <v>0</v>
      </c>
      <c r="FQ261" s="213">
        <f t="shared" si="478"/>
        <v>1000000</v>
      </c>
      <c r="FV261" s="359"/>
      <c r="FX261" s="308">
        <f t="shared" ca="1" si="479"/>
        <v>12</v>
      </c>
      <c r="FY261" s="309">
        <f t="shared" si="530"/>
        <v>0</v>
      </c>
      <c r="FZ261" s="268">
        <f t="shared" si="480"/>
        <v>0</v>
      </c>
      <c r="GA261" s="33">
        <f t="shared" si="531"/>
        <v>0</v>
      </c>
      <c r="GB261" s="33">
        <f t="shared" si="585"/>
        <v>0</v>
      </c>
      <c r="GC261" s="33">
        <f t="shared" si="586"/>
        <v>0</v>
      </c>
      <c r="GD261" s="33">
        <f>IF(GJ260&lt;0.01,0,IF(Plus!$F$22=Plus!$AN$4,0,IF(Plus!$F$22=Plus!$AN$3,GJ260*Plus!$F$23/1000,GJ260*VLOOKUP(Plus!$G$21,Plus!$AP$2:$AQ$5,2,0))))</f>
        <v>0</v>
      </c>
      <c r="GE261" s="33">
        <f>IF(GJ260&lt;0.01,0,IF(Plus!$F$24=Plus!$AO$3,0,IF(OR(Plus!$F$10=Plus!$AK$7,Plus!$F$10=Plus!$AK$13,Plus!$F$10=Plus!$AK$14),0,IF(OR(Plus!$F$10=Plus!$AK$10,Plus!$F$10=Plus!$AK$11),Plus!$G$13*Adm!$W$7,Plus!$G$13*Adm!$X$4))))</f>
        <v>0</v>
      </c>
      <c r="GF261" s="33">
        <f>IF(GJ260&lt;0.01,0,IF(OR(Plus!$F$10=Plus!$AK$7,Plus!$F$10=Plus!$AK$13),0,Plus!$BD$2*1.16))</f>
        <v>0</v>
      </c>
      <c r="GG261" s="33">
        <f>IF(GJ260&lt;0.01,0,IF(Plus!$AS$2&gt;0,GA261*Plus!$AS$3,0))</f>
        <v>0</v>
      </c>
      <c r="GH261" s="33">
        <f t="shared" si="532"/>
        <v>0</v>
      </c>
      <c r="GI261" s="33">
        <f>IF(Plus!$F$10=Plus!$AK$3,MIN(GJ260+GA261+GD261+GE261+GF261-GH261,GU261),0)</f>
        <v>0</v>
      </c>
      <c r="GJ261" s="311">
        <f t="shared" si="578"/>
        <v>0</v>
      </c>
      <c r="GK261" s="340">
        <f>Plus!O302</f>
        <v>0</v>
      </c>
      <c r="GL261" s="74"/>
      <c r="GM261" s="74"/>
      <c r="GN261" s="419">
        <f t="shared" si="576"/>
        <v>0</v>
      </c>
      <c r="GQ261" s="90">
        <f t="shared" si="533"/>
        <v>9</v>
      </c>
      <c r="GR261" s="121">
        <f t="shared" si="568"/>
        <v>0</v>
      </c>
      <c r="GT261" s="149">
        <f t="shared" si="569"/>
        <v>0</v>
      </c>
      <c r="GU261" s="2179">
        <f t="shared" ca="1" si="534"/>
        <v>0</v>
      </c>
      <c r="GW261" s="120">
        <f t="shared" si="570"/>
        <v>0</v>
      </c>
      <c r="GX261" s="110">
        <f t="shared" si="535"/>
        <v>0</v>
      </c>
      <c r="GY261" s="110">
        <f t="shared" si="536"/>
        <v>0</v>
      </c>
      <c r="GZ261" s="109">
        <f t="shared" si="537"/>
        <v>0</v>
      </c>
      <c r="HA261" s="109">
        <f t="shared" si="481"/>
        <v>0</v>
      </c>
      <c r="HB261" s="113">
        <f t="shared" si="538"/>
        <v>0</v>
      </c>
      <c r="HD261" s="102">
        <f t="shared" si="539"/>
        <v>0</v>
      </c>
      <c r="HE261" s="211">
        <f t="shared" si="455"/>
        <v>237</v>
      </c>
      <c r="HF261" s="212">
        <f t="shared" si="540"/>
        <v>0</v>
      </c>
      <c r="HG261" s="212">
        <f t="shared" si="482"/>
        <v>0</v>
      </c>
      <c r="HH261" s="212">
        <f t="shared" si="597"/>
        <v>0</v>
      </c>
      <c r="HI261" s="213">
        <f t="shared" si="483"/>
        <v>1000000</v>
      </c>
      <c r="HL261" s="182"/>
      <c r="HM261" s="26">
        <f t="shared" ca="1" si="484"/>
        <v>12</v>
      </c>
      <c r="HO261" s="268">
        <f t="shared" si="485"/>
        <v>0</v>
      </c>
      <c r="HP261" s="151">
        <f t="shared" si="594"/>
        <v>0</v>
      </c>
      <c r="HQ261" s="123">
        <f t="shared" si="542"/>
        <v>0</v>
      </c>
      <c r="HR261" s="123">
        <f t="shared" si="543"/>
        <v>0</v>
      </c>
      <c r="HS261" s="123">
        <f t="shared" si="544"/>
        <v>0</v>
      </c>
      <c r="HT261" s="123">
        <f>IF(HY260&lt;0.01,0,IF(Adm!$GS$4=Adm!$GS$8,HY260*$HY$15,IF(Adm!$GS$12=Adm!$GS$13,0,HY260*Adm!$GV$4)))</f>
        <v>0</v>
      </c>
      <c r="HU261" s="123">
        <f>IF(HY260&lt;0.01,0,IF(Adm!$GS$5=Adm!$GS$8,Cal!$BO$108*$HY$16/1.16,IF(Adm!$GS$12=Adm!$GS$13,0,Cal!$BO$108*Adm!$GW$4/1.16)))</f>
        <v>0</v>
      </c>
      <c r="HV261" s="123">
        <f t="shared" si="545"/>
        <v>0</v>
      </c>
      <c r="HW261" s="123">
        <f t="shared" si="486"/>
        <v>0</v>
      </c>
      <c r="HX261" s="123">
        <f>IF(Adm!$GH$6="si",MIN(HY260+HQ261+HT261+HU261+HV261-HW261,IH261),0)</f>
        <v>0</v>
      </c>
      <c r="HY261" s="297">
        <f t="shared" si="546"/>
        <v>0</v>
      </c>
      <c r="HZ261" s="74"/>
      <c r="IA261" s="407">
        <f t="shared" si="547"/>
        <v>0</v>
      </c>
      <c r="IC261" s="90">
        <f t="shared" si="548"/>
        <v>9</v>
      </c>
      <c r="ID261" s="124">
        <f>IF(IC261=1,Cal!$BO$127,0)</f>
        <v>0</v>
      </c>
      <c r="IE261" s="178">
        <f>IF(IC261=1,Adm!$HI$4,0)</f>
        <v>0</v>
      </c>
      <c r="IG261" s="70">
        <f t="shared" si="571"/>
        <v>0</v>
      </c>
      <c r="IH261" s="2178">
        <f t="shared" ca="1" si="549"/>
        <v>0</v>
      </c>
      <c r="IK261" s="217"/>
      <c r="IL261" s="26">
        <f t="shared" ca="1" si="487"/>
        <v>12</v>
      </c>
      <c r="IN261" s="268">
        <f t="shared" si="488"/>
        <v>0</v>
      </c>
      <c r="IO261" s="151">
        <f t="shared" si="595"/>
        <v>0</v>
      </c>
      <c r="IP261" s="123">
        <f t="shared" si="550"/>
        <v>0</v>
      </c>
      <c r="IQ261" s="123">
        <f t="shared" si="551"/>
        <v>0</v>
      </c>
      <c r="IR261" s="123">
        <f t="shared" si="552"/>
        <v>0</v>
      </c>
      <c r="IS261" s="123">
        <f>IF(IX260&lt;0.01,0,IF(Adm!$GS$4=Adm!$GS$8,IX260*$IX$15,IF(Adm!$GS$12=Adm!$GS$13,0,IX260*Adm!$GV$4)))</f>
        <v>0</v>
      </c>
      <c r="IT261" s="123"/>
      <c r="IU261" s="123">
        <f t="shared" si="553"/>
        <v>0</v>
      </c>
      <c r="IV261" s="123">
        <f t="shared" si="554"/>
        <v>0</v>
      </c>
      <c r="IW261" s="123"/>
      <c r="IX261" s="297">
        <f t="shared" si="555"/>
        <v>0</v>
      </c>
      <c r="IY261" s="74"/>
      <c r="IZ261" s="416">
        <f t="shared" si="556"/>
        <v>0</v>
      </c>
      <c r="JB261" s="90">
        <f t="shared" si="557"/>
        <v>9</v>
      </c>
      <c r="JC261" s="124">
        <f>IF(JB261=1,Cal!$BP$127,0)</f>
        <v>0</v>
      </c>
      <c r="JD261" s="178">
        <f>IF(JB261=1,Adm!$HI$4,0)</f>
        <v>0</v>
      </c>
    </row>
    <row r="262" spans="1:264">
      <c r="A262" s="26">
        <f t="shared" ca="1" si="456"/>
        <v>1</v>
      </c>
      <c r="C262" s="33">
        <f t="shared" si="457"/>
        <v>0</v>
      </c>
      <c r="D262" s="123">
        <f t="shared" si="489"/>
        <v>0</v>
      </c>
      <c r="E262" s="123">
        <f t="shared" si="579"/>
        <v>0</v>
      </c>
      <c r="F262" s="123">
        <f t="shared" si="589"/>
        <v>0</v>
      </c>
      <c r="G262" s="123">
        <f>IF(L261&lt;0.01,0,IF(Adm!$S$4=Adm!$S$8,L261*$L$15,L261*Adm!$V$4))</f>
        <v>0</v>
      </c>
      <c r="H262" s="123">
        <f>IF(L261&lt;0.01,0,IF(Adm!$S$5=Adm!$S$8,Adm!$AA$11*$L$16/1.16,IF(Adm!$B$4=Adm!$A$119,0,Adm!$AA$11*Adm!$X$4/1.16)))</f>
        <v>0</v>
      </c>
      <c r="I262" s="123">
        <f>IF(L261&lt;0.01,0,Cal!$AB$126/1.16)</f>
        <v>0</v>
      </c>
      <c r="J262" s="123">
        <f t="shared" si="458"/>
        <v>0</v>
      </c>
      <c r="K262" s="123">
        <f>IF(Adm!$G$4="si",MIN(L261+D262+G262+H262+I262-J262,V262),0)</f>
        <v>0</v>
      </c>
      <c r="L262" s="123">
        <f t="shared" si="490"/>
        <v>0</v>
      </c>
      <c r="M262" s="74"/>
      <c r="N262" s="74"/>
      <c r="O262" s="407">
        <f t="shared" si="491"/>
        <v>0</v>
      </c>
      <c r="R262" s="90">
        <f t="shared" si="492"/>
        <v>10</v>
      </c>
      <c r="S262" s="121">
        <f>IF(R262=1,Cal!$AB$127,0)</f>
        <v>0</v>
      </c>
      <c r="U262" s="70">
        <f t="shared" si="558"/>
        <v>0</v>
      </c>
      <c r="V262" s="2178">
        <f t="shared" ca="1" si="493"/>
        <v>0</v>
      </c>
      <c r="X262" s="398"/>
      <c r="Z262" s="268">
        <f t="shared" si="459"/>
        <v>0</v>
      </c>
      <c r="AA262" s="2176">
        <f t="shared" si="494"/>
        <v>0</v>
      </c>
      <c r="AB262" s="33">
        <f t="shared" si="495"/>
        <v>0</v>
      </c>
      <c r="AC262" s="33">
        <f t="shared" si="496"/>
        <v>0</v>
      </c>
      <c r="AD262" s="33">
        <f>IF(AI261&lt;0.01,0,IF(Adm!$S$4=Adm!$S$8,AI261*$AI$15,AI261*Adm!$V$4))</f>
        <v>0</v>
      </c>
      <c r="AE262" s="33"/>
      <c r="AF262" s="33"/>
      <c r="AG262" s="33">
        <f t="shared" si="460"/>
        <v>0</v>
      </c>
      <c r="AH262" s="33"/>
      <c r="AI262" s="401">
        <f t="shared" si="461"/>
        <v>0</v>
      </c>
      <c r="AK262" s="410">
        <f t="shared" si="462"/>
        <v>0</v>
      </c>
      <c r="AN262" s="90">
        <f t="shared" si="497"/>
        <v>10</v>
      </c>
      <c r="AO262" s="121">
        <f>IF(AN262=1,Cal!$AC$127,0)</f>
        <v>0</v>
      </c>
      <c r="AS262" s="200"/>
      <c r="AU262" s="268">
        <f t="shared" si="463"/>
        <v>0</v>
      </c>
      <c r="AV262" s="2177">
        <f t="shared" si="498"/>
        <v>0</v>
      </c>
      <c r="AW262" s="123">
        <f t="shared" si="464"/>
        <v>0</v>
      </c>
      <c r="AX262" s="123">
        <f t="shared" si="499"/>
        <v>0</v>
      </c>
      <c r="AY262" s="123">
        <f>IF(BC261&lt;0.01,0,IF(Adm!$S$4=Adm!$S$8,BC261*$BC$16,BC261*Adm!$V$4))</f>
        <v>0</v>
      </c>
      <c r="AZ262" s="123"/>
      <c r="BA262" s="123">
        <f>IF(BC261&lt;0.01,0,Adm!$Q$6)</f>
        <v>0</v>
      </c>
      <c r="BB262" s="123">
        <f t="shared" si="465"/>
        <v>0</v>
      </c>
      <c r="BC262" s="297">
        <f t="shared" si="500"/>
        <v>0</v>
      </c>
      <c r="BE262" s="425">
        <f t="shared" si="466"/>
        <v>0</v>
      </c>
      <c r="BH262" s="90">
        <f t="shared" si="501"/>
        <v>10</v>
      </c>
      <c r="BI262" s="121">
        <f>IF(BH262=1,Cal!$AD$127,0)</f>
        <v>0</v>
      </c>
      <c r="BM262" s="221"/>
      <c r="BO262" s="295">
        <f t="shared" ca="1" si="467"/>
        <v>1</v>
      </c>
      <c r="BP262" s="268">
        <f t="shared" si="468"/>
        <v>0</v>
      </c>
      <c r="BQ262" s="123">
        <f t="shared" si="502"/>
        <v>0</v>
      </c>
      <c r="BR262" s="123">
        <f t="shared" si="580"/>
        <v>0</v>
      </c>
      <c r="BS262" s="123">
        <f t="shared" si="590"/>
        <v>0</v>
      </c>
      <c r="BT262" s="123">
        <f>IF(BZ261&lt;0.01,0,IF(Plus!$F$22=Plus!$AN$4,BZ261*$BZ$15,IF(Plus!$F$22=Plus!$AN$3,BZ261*Plus!$F$23/1000,BZ261*VLOOKUP(Plus!$G$21,Plus!$AP$2:'Plus'!$AQ$5,2,0))))</f>
        <v>0</v>
      </c>
      <c r="BU262" s="123">
        <f>IF(BZ261&lt;0.01,0,IF(Plus!$F$24=Plus!$AO$3,Plus!$G$13*Plus!$AR$2/1.16,IF(Plus!$F$10=Plus!$AK$7,0,Plus!$G$13*Plus!$AR$2/1.16)))</f>
        <v>0</v>
      </c>
      <c r="BV262" s="123">
        <f>IF(BZ261&lt;0.01,0,Plus!$BD$2)</f>
        <v>0</v>
      </c>
      <c r="BW262" s="123"/>
      <c r="BX262" s="123">
        <f t="shared" si="469"/>
        <v>0</v>
      </c>
      <c r="BY262" s="123">
        <f>IF(Plus!$F$10=Plus!$AK$3,MIN(BZ261+BQ262+BT262+BU262+BV262-BX262,CJ262),0)</f>
        <v>0</v>
      </c>
      <c r="BZ262" s="297">
        <f t="shared" si="574"/>
        <v>0</v>
      </c>
      <c r="CA262" s="74"/>
      <c r="CB262" s="74"/>
      <c r="CC262" s="413">
        <f t="shared" si="503"/>
        <v>0</v>
      </c>
      <c r="CF262" s="90">
        <f t="shared" si="504"/>
        <v>10</v>
      </c>
      <c r="CG262" s="121">
        <f t="shared" si="559"/>
        <v>0</v>
      </c>
      <c r="CI262" s="70">
        <f t="shared" si="560"/>
        <v>0</v>
      </c>
      <c r="CJ262" s="2178">
        <f t="shared" ca="1" si="505"/>
        <v>0</v>
      </c>
      <c r="CL262" s="161"/>
      <c r="CN262" s="308">
        <f t="shared" ca="1" si="470"/>
        <v>1</v>
      </c>
      <c r="CO262" s="309">
        <f t="shared" si="506"/>
        <v>0</v>
      </c>
      <c r="CP262" s="268">
        <f t="shared" si="471"/>
        <v>0</v>
      </c>
      <c r="CQ262" s="123">
        <f t="shared" si="507"/>
        <v>0</v>
      </c>
      <c r="CR262" s="123">
        <f t="shared" si="581"/>
        <v>0</v>
      </c>
      <c r="CS262" s="123">
        <f t="shared" si="582"/>
        <v>0</v>
      </c>
      <c r="CT262" s="33">
        <f>IF(CZ261&lt;0.01,0,IF(Plus!$F$22=Plus!$AN$4,0,IF(Plus!$F$22=Plus!$AN$3,CZ261*Plus!$F$23/1000,CZ261*VLOOKUP(Plus!$G$21,Plus!$AP$2:'Plus'!$AQ$5,2,0))))</f>
        <v>0</v>
      </c>
      <c r="CU262" s="123">
        <f>IF(CZ261&lt;0.01,0,IF(Plus!$F$24=Plus!$AO$3,0,IF(OR(Plus!$F$10=Plus!$AK$7,Plus!$F$10=Plus!$AK$13),0,Plus!$G$13*Plus!$AR$2)))</f>
        <v>0</v>
      </c>
      <c r="CV262" s="123">
        <f>IF(CZ261&lt;0.01,0,IF(OR(Plus!$F$10=Plus!$AK$7,Plus!$F$10=Plus!$AK$13),0,Plus!$BD$2*1.16))</f>
        <v>0</v>
      </c>
      <c r="CW262" s="123">
        <f>IF(CZ261&lt;0.01,0,IF(Plus!$AS$2&gt;0,CQ262*Plus!$AS$3,0))</f>
        <v>0</v>
      </c>
      <c r="CX262" s="123">
        <f t="shared" si="508"/>
        <v>0</v>
      </c>
      <c r="CY262" s="123">
        <f>IF(Plus!$F$10=Plus!$AK$3,MIN(CZ261+CQ262+CT262+CU262+CV262-CX262,DK262),0)</f>
        <v>0</v>
      </c>
      <c r="CZ262" s="297">
        <f t="shared" si="588"/>
        <v>0</v>
      </c>
      <c r="DA262" s="306">
        <f>Plus!O303</f>
        <v>0</v>
      </c>
      <c r="DB262" s="74"/>
      <c r="DC262" s="74"/>
      <c r="DD262" s="407">
        <f t="shared" si="509"/>
        <v>0</v>
      </c>
      <c r="DG262" s="90">
        <f t="shared" si="510"/>
        <v>10</v>
      </c>
      <c r="DH262" s="121">
        <f t="shared" si="561"/>
        <v>0</v>
      </c>
      <c r="DJ262" s="149">
        <f t="shared" si="562"/>
        <v>0</v>
      </c>
      <c r="DK262" s="2179">
        <f t="shared" ca="1" si="511"/>
        <v>0</v>
      </c>
      <c r="DN262" s="120">
        <f t="shared" si="563"/>
        <v>0</v>
      </c>
      <c r="DO262" s="110">
        <f t="shared" si="512"/>
        <v>0</v>
      </c>
      <c r="DP262" s="110">
        <f t="shared" si="572"/>
        <v>0</v>
      </c>
      <c r="DQ262" s="109">
        <f t="shared" si="513"/>
        <v>0</v>
      </c>
      <c r="DR262" s="109">
        <f t="shared" si="514"/>
        <v>0</v>
      </c>
      <c r="DS262" s="113">
        <f t="shared" si="515"/>
        <v>0</v>
      </c>
      <c r="DU262" s="102">
        <f t="shared" si="516"/>
        <v>0</v>
      </c>
      <c r="DV262" s="211">
        <f t="shared" si="573"/>
        <v>238</v>
      </c>
      <c r="DW262" s="212">
        <f t="shared" si="517"/>
        <v>0</v>
      </c>
      <c r="DX262" s="212">
        <f t="shared" si="472"/>
        <v>0</v>
      </c>
      <c r="DY262" s="212">
        <f t="shared" si="564"/>
        <v>0</v>
      </c>
      <c r="DZ262" s="213">
        <f t="shared" si="473"/>
        <v>1000000</v>
      </c>
      <c r="ED262" s="182"/>
      <c r="EF262" s="308">
        <f t="shared" ca="1" si="474"/>
        <v>1</v>
      </c>
      <c r="EG262" s="309">
        <f t="shared" si="518"/>
        <v>0</v>
      </c>
      <c r="EH262" s="268">
        <f t="shared" si="475"/>
        <v>0</v>
      </c>
      <c r="EI262" s="33">
        <f t="shared" si="519"/>
        <v>0</v>
      </c>
      <c r="EJ262" s="33">
        <f t="shared" si="583"/>
        <v>0</v>
      </c>
      <c r="EK262" s="33">
        <f t="shared" si="591"/>
        <v>0</v>
      </c>
      <c r="EL262" s="33">
        <f>IF(ER261&lt;0.01,0,IF(Plus!$F$22=Plus!$AN$4,0,IF(Plus!$F$22=Plus!$AN$3,ER261*Plus!$F$23/1000,ER261*VLOOKUP(Plus!$G$21,Plus!$AP$2:'Plus'!$AQ$5,2,0))))</f>
        <v>0</v>
      </c>
      <c r="EM262" s="33">
        <f>IF(ER261&lt;0.01,0,IF(Plus!$F$24=Plus!$AO$3,0,IF(OR(Plus!$F$10=Plus!$AK$7,Plus!$F$10=Plus!$AK$13),0,Plus!$G$13*Plus!$AR$2)))</f>
        <v>0</v>
      </c>
      <c r="EN262" s="33">
        <f>IF(ER261&lt;0.01,0,IF(OR(Plus!$F$10=Plus!$AK$7,Plus!$F$10=Plus!$AK$13),0,Plus!$BD$2*1.16))</f>
        <v>0</v>
      </c>
      <c r="EO262" s="33">
        <f>IF(ER261&lt;0.01,0,IF(Plus!$AS$2&gt;0,EI262*Plus!$AS$3,0))</f>
        <v>0</v>
      </c>
      <c r="EP262" s="33">
        <f t="shared" si="520"/>
        <v>0</v>
      </c>
      <c r="EQ262" s="33">
        <f>IF(Plus!$F$10=Plus!$AK$3,MIN(ER261+EI262+EL262+EM262+EN262-EP262,FC262),0)</f>
        <v>0</v>
      </c>
      <c r="ER262" s="311">
        <f t="shared" si="577"/>
        <v>0</v>
      </c>
      <c r="ES262" s="340">
        <f>Plus!O303</f>
        <v>0</v>
      </c>
      <c r="ET262" s="74"/>
      <c r="EU262" s="74"/>
      <c r="EV262" s="416">
        <f t="shared" si="575"/>
        <v>0</v>
      </c>
      <c r="EY262" s="90">
        <f t="shared" si="521"/>
        <v>10</v>
      </c>
      <c r="EZ262" s="121">
        <f t="shared" si="565"/>
        <v>0</v>
      </c>
      <c r="FB262" s="149">
        <f t="shared" si="566"/>
        <v>0</v>
      </c>
      <c r="FC262" s="2179">
        <f t="shared" ca="1" si="522"/>
        <v>0</v>
      </c>
      <c r="FE262" s="120">
        <f t="shared" si="567"/>
        <v>0</v>
      </c>
      <c r="FF262" s="110">
        <f t="shared" si="523"/>
        <v>0</v>
      </c>
      <c r="FG262" s="110">
        <f t="shared" si="524"/>
        <v>0</v>
      </c>
      <c r="FH262" s="109">
        <f t="shared" si="525"/>
        <v>0</v>
      </c>
      <c r="FI262" s="109">
        <f t="shared" si="476"/>
        <v>0</v>
      </c>
      <c r="FJ262" s="113">
        <f t="shared" si="526"/>
        <v>0</v>
      </c>
      <c r="FL262" s="102">
        <f t="shared" si="527"/>
        <v>0</v>
      </c>
      <c r="FM262" s="211">
        <f t="shared" si="454"/>
        <v>238</v>
      </c>
      <c r="FN262" s="212">
        <f t="shared" si="528"/>
        <v>0</v>
      </c>
      <c r="FO262" s="212">
        <f t="shared" si="477"/>
        <v>0</v>
      </c>
      <c r="FP262" s="212">
        <f t="shared" si="596"/>
        <v>0</v>
      </c>
      <c r="FQ262" s="213">
        <f t="shared" si="478"/>
        <v>1000000</v>
      </c>
      <c r="FV262" s="359"/>
      <c r="FX262" s="308">
        <f t="shared" ca="1" si="479"/>
        <v>1</v>
      </c>
      <c r="FY262" s="309">
        <f t="shared" si="530"/>
        <v>0</v>
      </c>
      <c r="FZ262" s="268">
        <f t="shared" si="480"/>
        <v>0</v>
      </c>
      <c r="GA262" s="33">
        <f t="shared" si="531"/>
        <v>0</v>
      </c>
      <c r="GB262" s="33">
        <f t="shared" si="585"/>
        <v>0</v>
      </c>
      <c r="GC262" s="33">
        <f t="shared" si="586"/>
        <v>0</v>
      </c>
      <c r="GD262" s="33">
        <f>IF(GJ261&lt;0.01,0,IF(Plus!$F$22=Plus!$AN$4,0,IF(Plus!$F$22=Plus!$AN$3,GJ261*Plus!$F$23/1000,GJ261*VLOOKUP(Plus!$G$21,Plus!$AP$2:$AQ$5,2,0))))</f>
        <v>0</v>
      </c>
      <c r="GE262" s="33">
        <f>IF(GJ261&lt;0.01,0,IF(Plus!$F$24=Plus!$AO$3,0,IF(OR(Plus!$F$10=Plus!$AK$7,Plus!$F$10=Plus!$AK$13,Plus!$F$10=Plus!$AK$14),0,IF(OR(Plus!$F$10=Plus!$AK$10,Plus!$F$10=Plus!$AK$11),Plus!$G$13*Adm!$W$7,Plus!$G$13*Adm!$X$4))))</f>
        <v>0</v>
      </c>
      <c r="GF262" s="33">
        <f>IF(GJ261&lt;0.01,0,IF(OR(Plus!$F$10=Plus!$AK$7,Plus!$F$10=Plus!$AK$13),0,Plus!$BD$2*1.16))</f>
        <v>0</v>
      </c>
      <c r="GG262" s="33">
        <f>IF(GJ261&lt;0.01,0,IF(Plus!$AS$2&gt;0,GA262*Plus!$AS$3,0))</f>
        <v>0</v>
      </c>
      <c r="GH262" s="33">
        <f t="shared" si="532"/>
        <v>0</v>
      </c>
      <c r="GI262" s="33">
        <f>IF(Plus!$F$10=Plus!$AK$3,MIN(GJ261+GA262+GD262+GE262+GF262-GH262,GU262),0)</f>
        <v>0</v>
      </c>
      <c r="GJ262" s="311">
        <f t="shared" si="578"/>
        <v>0</v>
      </c>
      <c r="GK262" s="340">
        <f>Plus!O303</f>
        <v>0</v>
      </c>
      <c r="GL262" s="74"/>
      <c r="GM262" s="74"/>
      <c r="GN262" s="419">
        <f t="shared" si="576"/>
        <v>0</v>
      </c>
      <c r="GQ262" s="90">
        <f t="shared" si="533"/>
        <v>10</v>
      </c>
      <c r="GR262" s="121">
        <f t="shared" si="568"/>
        <v>0</v>
      </c>
      <c r="GT262" s="149">
        <f t="shared" si="569"/>
        <v>0</v>
      </c>
      <c r="GU262" s="2179">
        <f t="shared" ca="1" si="534"/>
        <v>0</v>
      </c>
      <c r="GW262" s="120">
        <f t="shared" si="570"/>
        <v>0</v>
      </c>
      <c r="GX262" s="110">
        <f t="shared" si="535"/>
        <v>0</v>
      </c>
      <c r="GY262" s="110">
        <f t="shared" si="536"/>
        <v>0</v>
      </c>
      <c r="GZ262" s="109">
        <f t="shared" si="537"/>
        <v>0</v>
      </c>
      <c r="HA262" s="109">
        <f t="shared" si="481"/>
        <v>0</v>
      </c>
      <c r="HB262" s="113">
        <f t="shared" si="538"/>
        <v>0</v>
      </c>
      <c r="HD262" s="102">
        <f t="shared" si="539"/>
        <v>0</v>
      </c>
      <c r="HE262" s="211">
        <f t="shared" si="455"/>
        <v>238</v>
      </c>
      <c r="HF262" s="212">
        <f t="shared" si="540"/>
        <v>0</v>
      </c>
      <c r="HG262" s="212">
        <f t="shared" si="482"/>
        <v>0</v>
      </c>
      <c r="HH262" s="212">
        <f t="shared" si="597"/>
        <v>0</v>
      </c>
      <c r="HI262" s="213">
        <f t="shared" si="483"/>
        <v>1000000</v>
      </c>
      <c r="HL262" s="182"/>
      <c r="HM262" s="26">
        <f t="shared" ca="1" si="484"/>
        <v>1</v>
      </c>
      <c r="HO262" s="268">
        <f t="shared" si="485"/>
        <v>0</v>
      </c>
      <c r="HP262" s="151">
        <f t="shared" si="594"/>
        <v>0</v>
      </c>
      <c r="HQ262" s="123">
        <f t="shared" si="542"/>
        <v>0</v>
      </c>
      <c r="HR262" s="123">
        <f t="shared" si="543"/>
        <v>0</v>
      </c>
      <c r="HS262" s="123">
        <f t="shared" si="544"/>
        <v>0</v>
      </c>
      <c r="HT262" s="123">
        <f>IF(HY261&lt;0.01,0,IF(Adm!$GS$4=Adm!$GS$8,HY261*$HY$15,IF(Adm!$GS$12=Adm!$GS$13,0,HY261*Adm!$GV$4)))</f>
        <v>0</v>
      </c>
      <c r="HU262" s="123">
        <f>IF(HY261&lt;0.01,0,IF(Adm!$GS$5=Adm!$GS$8,Cal!$BO$108*$HY$16/1.16,IF(Adm!$GS$12=Adm!$GS$13,0,Cal!$BO$108*Adm!$GW$4/1.16)))</f>
        <v>0</v>
      </c>
      <c r="HV262" s="123">
        <f t="shared" si="545"/>
        <v>0</v>
      </c>
      <c r="HW262" s="123">
        <f t="shared" si="486"/>
        <v>0</v>
      </c>
      <c r="HX262" s="123">
        <f>IF(Adm!$GH$6="si",MIN(HY261+HQ262+HT262+HU262+HV262-HW262,IH262),0)</f>
        <v>0</v>
      </c>
      <c r="HY262" s="297">
        <f t="shared" si="546"/>
        <v>0</v>
      </c>
      <c r="HZ262" s="74"/>
      <c r="IA262" s="407">
        <f t="shared" si="547"/>
        <v>0</v>
      </c>
      <c r="IC262" s="90">
        <f t="shared" si="548"/>
        <v>10</v>
      </c>
      <c r="ID262" s="124">
        <f>IF(IC262=1,Cal!$BO$127,0)</f>
        <v>0</v>
      </c>
      <c r="IE262" s="178">
        <f>IF(IC262=1,Adm!$HI$4,0)</f>
        <v>0</v>
      </c>
      <c r="IG262" s="70">
        <f t="shared" si="571"/>
        <v>0</v>
      </c>
      <c r="IH262" s="2178">
        <f t="shared" ca="1" si="549"/>
        <v>0</v>
      </c>
      <c r="IK262" s="217"/>
      <c r="IL262" s="26">
        <f t="shared" ca="1" si="487"/>
        <v>1</v>
      </c>
      <c r="IN262" s="268">
        <f t="shared" si="488"/>
        <v>0</v>
      </c>
      <c r="IO262" s="151">
        <f t="shared" si="595"/>
        <v>0</v>
      </c>
      <c r="IP262" s="123">
        <f t="shared" si="550"/>
        <v>0</v>
      </c>
      <c r="IQ262" s="123">
        <f t="shared" si="551"/>
        <v>0</v>
      </c>
      <c r="IR262" s="123">
        <f t="shared" si="552"/>
        <v>0</v>
      </c>
      <c r="IS262" s="123">
        <f>IF(IX261&lt;0.01,0,IF(Adm!$GS$4=Adm!$GS$8,IX261*$IX$15,IF(Adm!$GS$12=Adm!$GS$13,0,IX261*Adm!$GV$4)))</f>
        <v>0</v>
      </c>
      <c r="IT262" s="123"/>
      <c r="IU262" s="123">
        <f t="shared" si="553"/>
        <v>0</v>
      </c>
      <c r="IV262" s="123">
        <f t="shared" si="554"/>
        <v>0</v>
      </c>
      <c r="IW262" s="123"/>
      <c r="IX262" s="297">
        <f t="shared" si="555"/>
        <v>0</v>
      </c>
      <c r="IY262" s="74"/>
      <c r="IZ262" s="416">
        <f t="shared" si="556"/>
        <v>0</v>
      </c>
      <c r="JB262" s="90">
        <f t="shared" si="557"/>
        <v>10</v>
      </c>
      <c r="JC262" s="124">
        <f>IF(JB262=1,Cal!$BP$127,0)</f>
        <v>0</v>
      </c>
      <c r="JD262" s="178">
        <f>IF(JB262=1,Adm!$HI$4,0)</f>
        <v>0</v>
      </c>
    </row>
    <row r="263" spans="1:264">
      <c r="A263" s="26">
        <f t="shared" ca="1" si="456"/>
        <v>2</v>
      </c>
      <c r="C263" s="33">
        <f t="shared" si="457"/>
        <v>0</v>
      </c>
      <c r="D263" s="123">
        <f t="shared" si="489"/>
        <v>0</v>
      </c>
      <c r="E263" s="123">
        <f t="shared" si="579"/>
        <v>0</v>
      </c>
      <c r="F263" s="123">
        <f t="shared" si="589"/>
        <v>0</v>
      </c>
      <c r="G263" s="123">
        <f>IF(L262&lt;0.01,0,IF(Adm!$S$4=Adm!$S$8,L262*$L$15,L262*Adm!$V$4))</f>
        <v>0</v>
      </c>
      <c r="H263" s="123">
        <f>IF(L262&lt;0.01,0,IF(Adm!$S$5=Adm!$S$8,Adm!$AA$11*$L$16/1.16,IF(Adm!$B$4=Adm!$A$119,0,Adm!$AA$11*Adm!$X$4/1.16)))</f>
        <v>0</v>
      </c>
      <c r="I263" s="123">
        <f>IF(L262&lt;0.01,0,Cal!$AB$126/1.16)</f>
        <v>0</v>
      </c>
      <c r="J263" s="123">
        <f t="shared" si="458"/>
        <v>0</v>
      </c>
      <c r="K263" s="123">
        <f>IF(Adm!$G$4="si",MIN(L262+D263+G263+H263+I263-J263,V263),0)</f>
        <v>0</v>
      </c>
      <c r="L263" s="123">
        <f t="shared" si="490"/>
        <v>0</v>
      </c>
      <c r="M263" s="74"/>
      <c r="N263" s="74"/>
      <c r="O263" s="407">
        <f t="shared" si="491"/>
        <v>0</v>
      </c>
      <c r="R263" s="90">
        <f t="shared" si="492"/>
        <v>11</v>
      </c>
      <c r="S263" s="121">
        <f>IF(R263=1,Cal!$AB$127,0)</f>
        <v>0</v>
      </c>
      <c r="U263" s="70">
        <f t="shared" si="558"/>
        <v>0</v>
      </c>
      <c r="V263" s="2178">
        <f t="shared" ca="1" si="493"/>
        <v>0</v>
      </c>
      <c r="X263" s="398"/>
      <c r="Z263" s="268">
        <f t="shared" si="459"/>
        <v>0</v>
      </c>
      <c r="AA263" s="2176">
        <f t="shared" si="494"/>
        <v>0</v>
      </c>
      <c r="AB263" s="33">
        <f t="shared" si="495"/>
        <v>0</v>
      </c>
      <c r="AC263" s="33">
        <f t="shared" si="496"/>
        <v>0</v>
      </c>
      <c r="AD263" s="33">
        <f>IF(AI262&lt;0.01,0,IF(Adm!$S$4=Adm!$S$8,AI262*$AI$15,AI262*Adm!$V$4))</f>
        <v>0</v>
      </c>
      <c r="AE263" s="33"/>
      <c r="AF263" s="33"/>
      <c r="AG263" s="33">
        <f t="shared" si="460"/>
        <v>0</v>
      </c>
      <c r="AH263" s="33"/>
      <c r="AI263" s="401">
        <f t="shared" si="461"/>
        <v>0</v>
      </c>
      <c r="AK263" s="410">
        <f t="shared" si="462"/>
        <v>0</v>
      </c>
      <c r="AN263" s="90">
        <f t="shared" si="497"/>
        <v>11</v>
      </c>
      <c r="AO263" s="121">
        <f>IF(AN263=1,Cal!$AC$127,0)</f>
        <v>0</v>
      </c>
      <c r="AS263" s="200"/>
      <c r="AU263" s="268">
        <f t="shared" si="463"/>
        <v>0</v>
      </c>
      <c r="AV263" s="2177">
        <f t="shared" si="498"/>
        <v>0</v>
      </c>
      <c r="AW263" s="123">
        <f t="shared" si="464"/>
        <v>0</v>
      </c>
      <c r="AX263" s="123">
        <f t="shared" si="499"/>
        <v>0</v>
      </c>
      <c r="AY263" s="123">
        <f>IF(BC262&lt;0.01,0,IF(Adm!$S$4=Adm!$S$8,BC262*$BC$16,BC262*Adm!$V$4))</f>
        <v>0</v>
      </c>
      <c r="AZ263" s="123"/>
      <c r="BA263" s="123">
        <f>IF(BC262&lt;0.01,0,Adm!$Q$6)</f>
        <v>0</v>
      </c>
      <c r="BB263" s="123">
        <f t="shared" si="465"/>
        <v>0</v>
      </c>
      <c r="BC263" s="297">
        <f t="shared" si="500"/>
        <v>0</v>
      </c>
      <c r="BE263" s="425">
        <f t="shared" si="466"/>
        <v>0</v>
      </c>
      <c r="BH263" s="90">
        <f t="shared" si="501"/>
        <v>11</v>
      </c>
      <c r="BI263" s="121">
        <f>IF(BH263=1,Cal!$AD$127,0)</f>
        <v>0</v>
      </c>
      <c r="BM263" s="221"/>
      <c r="BO263" s="295">
        <f t="shared" ca="1" si="467"/>
        <v>2</v>
      </c>
      <c r="BP263" s="268">
        <f t="shared" si="468"/>
        <v>0</v>
      </c>
      <c r="BQ263" s="123">
        <f t="shared" si="502"/>
        <v>0</v>
      </c>
      <c r="BR263" s="123">
        <f t="shared" si="580"/>
        <v>0</v>
      </c>
      <c r="BS263" s="123">
        <f t="shared" si="590"/>
        <v>0</v>
      </c>
      <c r="BT263" s="123">
        <f>IF(BZ262&lt;0.01,0,IF(Plus!$F$22=Plus!$AN$4,BZ262*$BZ$15,IF(Plus!$F$22=Plus!$AN$3,BZ262*Plus!$F$23/1000,BZ262*VLOOKUP(Plus!$G$21,Plus!$AP$2:'Plus'!$AQ$5,2,0))))</f>
        <v>0</v>
      </c>
      <c r="BU263" s="123">
        <f>IF(BZ262&lt;0.01,0,IF(Plus!$F$24=Plus!$AO$3,Plus!$G$13*Plus!$AR$2/1.16,IF(Plus!$F$10=Plus!$AK$7,0,Plus!$G$13*Plus!$AR$2/1.16)))</f>
        <v>0</v>
      </c>
      <c r="BV263" s="123">
        <f>IF(BZ262&lt;0.01,0,Plus!$BD$2)</f>
        <v>0</v>
      </c>
      <c r="BW263" s="123"/>
      <c r="BX263" s="123">
        <f t="shared" si="469"/>
        <v>0</v>
      </c>
      <c r="BY263" s="123">
        <f>IF(Plus!$F$10=Plus!$AK$3,MIN(BZ262+BQ263+BT263+BU263+BV263-BX263,CJ263),0)</f>
        <v>0</v>
      </c>
      <c r="BZ263" s="297">
        <f t="shared" si="574"/>
        <v>0</v>
      </c>
      <c r="CA263" s="74"/>
      <c r="CB263" s="74"/>
      <c r="CC263" s="413">
        <f t="shared" si="503"/>
        <v>0</v>
      </c>
      <c r="CF263" s="90">
        <f t="shared" si="504"/>
        <v>11</v>
      </c>
      <c r="CG263" s="121">
        <f t="shared" si="559"/>
        <v>0</v>
      </c>
      <c r="CI263" s="70">
        <f t="shared" si="560"/>
        <v>0</v>
      </c>
      <c r="CJ263" s="2178">
        <f t="shared" ca="1" si="505"/>
        <v>0</v>
      </c>
      <c r="CL263" s="161"/>
      <c r="CN263" s="308">
        <f t="shared" ca="1" si="470"/>
        <v>2</v>
      </c>
      <c r="CO263" s="309">
        <f t="shared" si="506"/>
        <v>0</v>
      </c>
      <c r="CP263" s="268">
        <f t="shared" si="471"/>
        <v>0</v>
      </c>
      <c r="CQ263" s="123">
        <f t="shared" si="507"/>
        <v>0</v>
      </c>
      <c r="CR263" s="123">
        <f t="shared" si="581"/>
        <v>0</v>
      </c>
      <c r="CS263" s="123">
        <f t="shared" si="582"/>
        <v>0</v>
      </c>
      <c r="CT263" s="33">
        <f>IF(CZ262&lt;0.01,0,IF(Plus!$F$22=Plus!$AN$4,0,IF(Plus!$F$22=Plus!$AN$3,CZ262*Plus!$F$23/1000,CZ262*VLOOKUP(Plus!$G$21,Plus!$AP$2:'Plus'!$AQ$5,2,0))))</f>
        <v>0</v>
      </c>
      <c r="CU263" s="123">
        <f>IF(CZ262&lt;0.01,0,IF(Plus!$F$24=Plus!$AO$3,0,IF(OR(Plus!$F$10=Plus!$AK$7,Plus!$F$10=Plus!$AK$13),0,Plus!$G$13*Plus!$AR$2)))</f>
        <v>0</v>
      </c>
      <c r="CV263" s="123">
        <f>IF(CZ262&lt;0.01,0,IF(OR(Plus!$F$10=Plus!$AK$7,Plus!$F$10=Plus!$AK$13),0,Plus!$BD$2*1.16))</f>
        <v>0</v>
      </c>
      <c r="CW263" s="123">
        <f>IF(CZ262&lt;0.01,0,IF(Plus!$AS$2&gt;0,CQ263*Plus!$AS$3,0))</f>
        <v>0</v>
      </c>
      <c r="CX263" s="123">
        <f t="shared" si="508"/>
        <v>0</v>
      </c>
      <c r="CY263" s="123">
        <f>IF(Plus!$F$10=Plus!$AK$3,MIN(CZ262+CQ263+CT263+CU263+CV263-CX263,DK263),0)</f>
        <v>0</v>
      </c>
      <c r="CZ263" s="297">
        <f t="shared" si="588"/>
        <v>0</v>
      </c>
      <c r="DA263" s="306">
        <f>Plus!O304</f>
        <v>0</v>
      </c>
      <c r="DB263" s="74"/>
      <c r="DC263" s="74"/>
      <c r="DD263" s="407">
        <f t="shared" si="509"/>
        <v>0</v>
      </c>
      <c r="DG263" s="90">
        <f t="shared" si="510"/>
        <v>11</v>
      </c>
      <c r="DH263" s="121">
        <f t="shared" si="561"/>
        <v>0</v>
      </c>
      <c r="DJ263" s="149">
        <f t="shared" si="562"/>
        <v>0</v>
      </c>
      <c r="DK263" s="2179">
        <f t="shared" ca="1" si="511"/>
        <v>0</v>
      </c>
      <c r="DN263" s="120">
        <f t="shared" si="563"/>
        <v>0</v>
      </c>
      <c r="DO263" s="110">
        <f t="shared" si="512"/>
        <v>0</v>
      </c>
      <c r="DP263" s="110">
        <f t="shared" si="572"/>
        <v>0</v>
      </c>
      <c r="DQ263" s="109">
        <f t="shared" si="513"/>
        <v>0</v>
      </c>
      <c r="DR263" s="109">
        <f t="shared" si="514"/>
        <v>0</v>
      </c>
      <c r="DS263" s="113">
        <f t="shared" si="515"/>
        <v>0</v>
      </c>
      <c r="DU263" s="102">
        <f t="shared" si="516"/>
        <v>0</v>
      </c>
      <c r="DV263" s="211">
        <f t="shared" si="573"/>
        <v>239</v>
      </c>
      <c r="DW263" s="212">
        <f t="shared" si="517"/>
        <v>0</v>
      </c>
      <c r="DX263" s="212">
        <f t="shared" si="472"/>
        <v>0</v>
      </c>
      <c r="DY263" s="212">
        <f t="shared" si="564"/>
        <v>0</v>
      </c>
      <c r="DZ263" s="213">
        <f t="shared" si="473"/>
        <v>1000000</v>
      </c>
      <c r="ED263" s="182"/>
      <c r="EF263" s="308">
        <f t="shared" ca="1" si="474"/>
        <v>2</v>
      </c>
      <c r="EG263" s="309">
        <f t="shared" si="518"/>
        <v>0</v>
      </c>
      <c r="EH263" s="268">
        <f t="shared" si="475"/>
        <v>0</v>
      </c>
      <c r="EI263" s="33">
        <f t="shared" si="519"/>
        <v>0</v>
      </c>
      <c r="EJ263" s="33">
        <f t="shared" si="583"/>
        <v>0</v>
      </c>
      <c r="EK263" s="33">
        <f t="shared" si="591"/>
        <v>0</v>
      </c>
      <c r="EL263" s="33">
        <f>IF(ER262&lt;0.01,0,IF(Plus!$F$22=Plus!$AN$4,0,IF(Plus!$F$22=Plus!$AN$3,ER262*Plus!$F$23/1000,ER262*VLOOKUP(Plus!$G$21,Plus!$AP$2:'Plus'!$AQ$5,2,0))))</f>
        <v>0</v>
      </c>
      <c r="EM263" s="33">
        <f>IF(ER262&lt;0.01,0,IF(Plus!$F$24=Plus!$AO$3,0,IF(OR(Plus!$F$10=Plus!$AK$7,Plus!$F$10=Plus!$AK$13),0,Plus!$G$13*Plus!$AR$2)))</f>
        <v>0</v>
      </c>
      <c r="EN263" s="33">
        <f>IF(ER262&lt;0.01,0,IF(OR(Plus!$F$10=Plus!$AK$7,Plus!$F$10=Plus!$AK$13),0,Plus!$BD$2*1.16))</f>
        <v>0</v>
      </c>
      <c r="EO263" s="33">
        <f>IF(ER262&lt;0.01,0,IF(Plus!$AS$2&gt;0,EI263*Plus!$AS$3,0))</f>
        <v>0</v>
      </c>
      <c r="EP263" s="33">
        <f t="shared" si="520"/>
        <v>0</v>
      </c>
      <c r="EQ263" s="33">
        <f>IF(Plus!$F$10=Plus!$AK$3,MIN(ER262+EI263+EL263+EM263+EN263-EP263,FC263),0)</f>
        <v>0</v>
      </c>
      <c r="ER263" s="311">
        <f t="shared" si="577"/>
        <v>0</v>
      </c>
      <c r="ES263" s="340">
        <f>Plus!O304</f>
        <v>0</v>
      </c>
      <c r="ET263" s="74"/>
      <c r="EU263" s="74"/>
      <c r="EV263" s="416">
        <f t="shared" si="575"/>
        <v>0</v>
      </c>
      <c r="EY263" s="90">
        <f t="shared" si="521"/>
        <v>11</v>
      </c>
      <c r="EZ263" s="121">
        <f t="shared" si="565"/>
        <v>0</v>
      </c>
      <c r="FB263" s="149">
        <f t="shared" si="566"/>
        <v>0</v>
      </c>
      <c r="FC263" s="2179">
        <f t="shared" ca="1" si="522"/>
        <v>0</v>
      </c>
      <c r="FE263" s="120">
        <f t="shared" si="567"/>
        <v>0</v>
      </c>
      <c r="FF263" s="110">
        <f t="shared" si="523"/>
        <v>0</v>
      </c>
      <c r="FG263" s="110">
        <f t="shared" si="524"/>
        <v>0</v>
      </c>
      <c r="FH263" s="109">
        <f t="shared" si="525"/>
        <v>0</v>
      </c>
      <c r="FI263" s="109">
        <f t="shared" si="476"/>
        <v>0</v>
      </c>
      <c r="FJ263" s="113">
        <f t="shared" si="526"/>
        <v>0</v>
      </c>
      <c r="FL263" s="102">
        <f t="shared" si="527"/>
        <v>0</v>
      </c>
      <c r="FM263" s="211">
        <f t="shared" si="454"/>
        <v>239</v>
      </c>
      <c r="FN263" s="212">
        <f t="shared" si="528"/>
        <v>0</v>
      </c>
      <c r="FO263" s="212">
        <f t="shared" si="477"/>
        <v>0</v>
      </c>
      <c r="FP263" s="212">
        <f t="shared" si="596"/>
        <v>0</v>
      </c>
      <c r="FQ263" s="213">
        <f t="shared" si="478"/>
        <v>1000000</v>
      </c>
      <c r="FV263" s="359"/>
      <c r="FX263" s="308">
        <f t="shared" ca="1" si="479"/>
        <v>2</v>
      </c>
      <c r="FY263" s="309">
        <f t="shared" si="530"/>
        <v>0</v>
      </c>
      <c r="FZ263" s="268">
        <f t="shared" si="480"/>
        <v>0</v>
      </c>
      <c r="GA263" s="33">
        <f t="shared" si="531"/>
        <v>0</v>
      </c>
      <c r="GB263" s="33">
        <f t="shared" si="585"/>
        <v>0</v>
      </c>
      <c r="GC263" s="33">
        <f t="shared" si="586"/>
        <v>0</v>
      </c>
      <c r="GD263" s="33">
        <f>IF(GJ262&lt;0.01,0,IF(Plus!$F$22=Plus!$AN$4,0,IF(Plus!$F$22=Plus!$AN$3,GJ262*Plus!$F$23/1000,GJ262*VLOOKUP(Plus!$G$21,Plus!$AP$2:$AQ$5,2,0))))</f>
        <v>0</v>
      </c>
      <c r="GE263" s="33">
        <f>IF(GJ262&lt;0.01,0,IF(Plus!$F$24=Plus!$AO$3,0,IF(OR(Plus!$F$10=Plus!$AK$7,Plus!$F$10=Plus!$AK$13,Plus!$F$10=Plus!$AK$14),0,IF(OR(Plus!$F$10=Plus!$AK$10,Plus!$F$10=Plus!$AK$11),Plus!$G$13*Adm!$W$7,Plus!$G$13*Adm!$X$4))))</f>
        <v>0</v>
      </c>
      <c r="GF263" s="33">
        <f>IF(GJ262&lt;0.01,0,IF(OR(Plus!$F$10=Plus!$AK$7,Plus!$F$10=Plus!$AK$13),0,Plus!$BD$2*1.16))</f>
        <v>0</v>
      </c>
      <c r="GG263" s="33">
        <f>IF(GJ262&lt;0.01,0,IF(Plus!$AS$2&gt;0,GA263*Plus!$AS$3,0))</f>
        <v>0</v>
      </c>
      <c r="GH263" s="33">
        <f t="shared" si="532"/>
        <v>0</v>
      </c>
      <c r="GI263" s="33">
        <f>IF(Plus!$F$10=Plus!$AK$3,MIN(GJ262+GA263+GD263+GE263+GF263-GH263,GU263),0)</f>
        <v>0</v>
      </c>
      <c r="GJ263" s="311">
        <f t="shared" si="578"/>
        <v>0</v>
      </c>
      <c r="GK263" s="340">
        <f>Plus!O304</f>
        <v>0</v>
      </c>
      <c r="GL263" s="74"/>
      <c r="GM263" s="74"/>
      <c r="GN263" s="419">
        <f t="shared" si="576"/>
        <v>0</v>
      </c>
      <c r="GQ263" s="90">
        <f t="shared" si="533"/>
        <v>11</v>
      </c>
      <c r="GR263" s="121">
        <f t="shared" si="568"/>
        <v>0</v>
      </c>
      <c r="GT263" s="149">
        <f t="shared" si="569"/>
        <v>0</v>
      </c>
      <c r="GU263" s="2179">
        <f t="shared" ca="1" si="534"/>
        <v>0</v>
      </c>
      <c r="GW263" s="120">
        <f t="shared" si="570"/>
        <v>0</v>
      </c>
      <c r="GX263" s="110">
        <f t="shared" si="535"/>
        <v>0</v>
      </c>
      <c r="GY263" s="110">
        <f t="shared" si="536"/>
        <v>0</v>
      </c>
      <c r="GZ263" s="109">
        <f t="shared" si="537"/>
        <v>0</v>
      </c>
      <c r="HA263" s="109">
        <f t="shared" si="481"/>
        <v>0</v>
      </c>
      <c r="HB263" s="113">
        <f t="shared" si="538"/>
        <v>0</v>
      </c>
      <c r="HD263" s="102">
        <f t="shared" si="539"/>
        <v>0</v>
      </c>
      <c r="HE263" s="211">
        <f t="shared" si="455"/>
        <v>239</v>
      </c>
      <c r="HF263" s="212">
        <f t="shared" si="540"/>
        <v>0</v>
      </c>
      <c r="HG263" s="212">
        <f t="shared" si="482"/>
        <v>0</v>
      </c>
      <c r="HH263" s="212">
        <f t="shared" si="597"/>
        <v>0</v>
      </c>
      <c r="HI263" s="213">
        <f t="shared" si="483"/>
        <v>1000000</v>
      </c>
      <c r="HL263" s="182"/>
      <c r="HM263" s="26">
        <f t="shared" ca="1" si="484"/>
        <v>2</v>
      </c>
      <c r="HO263" s="268">
        <f t="shared" si="485"/>
        <v>0</v>
      </c>
      <c r="HP263" s="151">
        <f t="shared" si="594"/>
        <v>0</v>
      </c>
      <c r="HQ263" s="123">
        <f t="shared" si="542"/>
        <v>0</v>
      </c>
      <c r="HR263" s="123">
        <f t="shared" si="543"/>
        <v>0</v>
      </c>
      <c r="HS263" s="123">
        <f t="shared" si="544"/>
        <v>0</v>
      </c>
      <c r="HT263" s="123">
        <f>IF(HY262&lt;0.01,0,IF(Adm!$GS$4=Adm!$GS$8,HY262*$HY$15,IF(Adm!$GS$12=Adm!$GS$13,0,HY262*Adm!$GV$4)))</f>
        <v>0</v>
      </c>
      <c r="HU263" s="123">
        <f>IF(HY262&lt;0.01,0,IF(Adm!$GS$5=Adm!$GS$8,Cal!$BO$108*$HY$16/1.16,IF(Adm!$GS$12=Adm!$GS$13,0,Cal!$BO$108*Adm!$GW$4/1.16)))</f>
        <v>0</v>
      </c>
      <c r="HV263" s="123">
        <f t="shared" si="545"/>
        <v>0</v>
      </c>
      <c r="HW263" s="123">
        <f t="shared" si="486"/>
        <v>0</v>
      </c>
      <c r="HX263" s="123">
        <f>IF(Adm!$GH$6="si",MIN(HY262+HQ263+HT263+HU263+HV263-HW263,IH263),0)</f>
        <v>0</v>
      </c>
      <c r="HY263" s="297">
        <f t="shared" si="546"/>
        <v>0</v>
      </c>
      <c r="HZ263" s="74"/>
      <c r="IA263" s="407">
        <f t="shared" si="547"/>
        <v>0</v>
      </c>
      <c r="IC263" s="90">
        <f t="shared" si="548"/>
        <v>11</v>
      </c>
      <c r="ID263" s="124">
        <f>IF(IC263=1,Cal!$BO$127,0)</f>
        <v>0</v>
      </c>
      <c r="IE263" s="178">
        <f>IF(IC263=1,Adm!$HI$4,0)</f>
        <v>0</v>
      </c>
      <c r="IG263" s="70">
        <f t="shared" si="571"/>
        <v>0</v>
      </c>
      <c r="IH263" s="2178">
        <f t="shared" ca="1" si="549"/>
        <v>0</v>
      </c>
      <c r="IK263" s="217"/>
      <c r="IL263" s="26">
        <f t="shared" ca="1" si="487"/>
        <v>2</v>
      </c>
      <c r="IN263" s="268">
        <f t="shared" si="488"/>
        <v>0</v>
      </c>
      <c r="IO263" s="151">
        <f t="shared" si="595"/>
        <v>0</v>
      </c>
      <c r="IP263" s="123">
        <f t="shared" si="550"/>
        <v>0</v>
      </c>
      <c r="IQ263" s="123">
        <f t="shared" si="551"/>
        <v>0</v>
      </c>
      <c r="IR263" s="123">
        <f t="shared" si="552"/>
        <v>0</v>
      </c>
      <c r="IS263" s="123">
        <f>IF(IX262&lt;0.01,0,IF(Adm!$GS$4=Adm!$GS$8,IX262*$IX$15,IF(Adm!$GS$12=Adm!$GS$13,0,IX262*Adm!$GV$4)))</f>
        <v>0</v>
      </c>
      <c r="IT263" s="123"/>
      <c r="IU263" s="123">
        <f t="shared" si="553"/>
        <v>0</v>
      </c>
      <c r="IV263" s="123">
        <f t="shared" si="554"/>
        <v>0</v>
      </c>
      <c r="IW263" s="123"/>
      <c r="IX263" s="297">
        <f t="shared" si="555"/>
        <v>0</v>
      </c>
      <c r="IY263" s="74"/>
      <c r="IZ263" s="416">
        <f t="shared" si="556"/>
        <v>0</v>
      </c>
      <c r="JB263" s="90">
        <f t="shared" si="557"/>
        <v>11</v>
      </c>
      <c r="JC263" s="124">
        <f>IF(JB263=1,Cal!$BP$127,0)</f>
        <v>0</v>
      </c>
      <c r="JD263" s="178">
        <f>IF(JB263=1,Adm!$HI$4,0)</f>
        <v>0</v>
      </c>
    </row>
    <row r="264" spans="1:264">
      <c r="A264" s="26">
        <f t="shared" ca="1" si="456"/>
        <v>3</v>
      </c>
      <c r="C264" s="33">
        <f t="shared" si="457"/>
        <v>0</v>
      </c>
      <c r="D264" s="123">
        <f t="shared" si="489"/>
        <v>0</v>
      </c>
      <c r="E264" s="123">
        <f t="shared" si="579"/>
        <v>0</v>
      </c>
      <c r="F264" s="123">
        <f t="shared" si="589"/>
        <v>0</v>
      </c>
      <c r="G264" s="123">
        <f>IF(L263&lt;0.01,0,IF(Adm!$S$4=Adm!$S$8,L263*$L$15,L263*Adm!$V$4))</f>
        <v>0</v>
      </c>
      <c r="H264" s="123">
        <f>IF(L263&lt;0.01,0,IF(Adm!$S$5=Adm!$S$8,Adm!$AA$11*$L$16/1.16,IF(Adm!$B$4=Adm!$A$119,0,Adm!$AA$11*Adm!$X$4/1.16)))</f>
        <v>0</v>
      </c>
      <c r="I264" s="123">
        <f>IF(L263&lt;0.01,0,Cal!$AB$126/1.16)</f>
        <v>0</v>
      </c>
      <c r="J264" s="123">
        <f t="shared" si="458"/>
        <v>0</v>
      </c>
      <c r="K264" s="123">
        <f>IF(Adm!$G$4="si",MIN(L263+D264+G264+H264+I264-J264,V264),0)</f>
        <v>0</v>
      </c>
      <c r="L264" s="123">
        <f t="shared" si="490"/>
        <v>0</v>
      </c>
      <c r="M264" s="74"/>
      <c r="N264" s="74"/>
      <c r="O264" s="407">
        <f t="shared" si="491"/>
        <v>0</v>
      </c>
      <c r="R264" s="90">
        <f t="shared" si="492"/>
        <v>12</v>
      </c>
      <c r="S264" s="121">
        <f>IF(R264=1,Cal!$AB$127,0)</f>
        <v>0</v>
      </c>
      <c r="U264" s="70">
        <f t="shared" si="558"/>
        <v>0</v>
      </c>
      <c r="V264" s="2178">
        <f t="shared" ca="1" si="493"/>
        <v>0</v>
      </c>
      <c r="X264" s="398"/>
      <c r="Z264" s="270">
        <f t="shared" si="459"/>
        <v>0</v>
      </c>
      <c r="AA264" s="2182">
        <f t="shared" si="494"/>
        <v>0</v>
      </c>
      <c r="AB264" s="271">
        <f t="shared" si="495"/>
        <v>0</v>
      </c>
      <c r="AC264" s="271">
        <f t="shared" si="496"/>
        <v>0</v>
      </c>
      <c r="AD264" s="33">
        <f>IF(AI263&lt;0.01,0,IF(Adm!$S$4=Adm!$S$8,AI263*$AI$15,AI263*Adm!$V$4))</f>
        <v>0</v>
      </c>
      <c r="AE264" s="271"/>
      <c r="AF264" s="271"/>
      <c r="AG264" s="271">
        <f t="shared" si="460"/>
        <v>0</v>
      </c>
      <c r="AH264" s="271"/>
      <c r="AI264" s="402">
        <f t="shared" si="461"/>
        <v>0</v>
      </c>
      <c r="AK264" s="411">
        <f t="shared" si="462"/>
        <v>0</v>
      </c>
      <c r="AN264" s="91">
        <f t="shared" si="497"/>
        <v>12</v>
      </c>
      <c r="AO264" s="121">
        <f>IF(AN264=1,Cal!$AC$127,0)</f>
        <v>0</v>
      </c>
      <c r="AS264" s="200"/>
      <c r="AU264" s="270">
        <f t="shared" si="463"/>
        <v>0</v>
      </c>
      <c r="AV264" s="2177">
        <f t="shared" si="498"/>
        <v>0</v>
      </c>
      <c r="AW264" s="299">
        <f t="shared" si="464"/>
        <v>0</v>
      </c>
      <c r="AX264" s="299">
        <f t="shared" si="499"/>
        <v>0</v>
      </c>
      <c r="AY264" s="123">
        <f>IF(BC263&lt;0.01,0,IF(Adm!$S$4=Adm!$S$8,BC263*$BC$16,BC263*Adm!$V$4))</f>
        <v>0</v>
      </c>
      <c r="AZ264" s="299"/>
      <c r="BA264" s="299">
        <f>IF(BC263&lt;0.01,0,Adm!$Q$6)</f>
        <v>0</v>
      </c>
      <c r="BB264" s="299">
        <f t="shared" si="465"/>
        <v>0</v>
      </c>
      <c r="BC264" s="297">
        <f t="shared" si="500"/>
        <v>0</v>
      </c>
      <c r="BE264" s="426">
        <f t="shared" si="466"/>
        <v>0</v>
      </c>
      <c r="BH264" s="91">
        <f t="shared" si="501"/>
        <v>12</v>
      </c>
      <c r="BI264" s="121">
        <f>IF(BH264=1,Cal!$AD$127,0)</f>
        <v>0</v>
      </c>
      <c r="BM264" s="221"/>
      <c r="BO264" s="296">
        <f t="shared" ca="1" si="467"/>
        <v>3</v>
      </c>
      <c r="BP264" s="270">
        <f t="shared" si="468"/>
        <v>0</v>
      </c>
      <c r="BQ264" s="123">
        <f t="shared" si="502"/>
        <v>0</v>
      </c>
      <c r="BR264" s="299">
        <f t="shared" si="580"/>
        <v>0</v>
      </c>
      <c r="BS264" s="299">
        <f t="shared" si="590"/>
        <v>0</v>
      </c>
      <c r="BT264" s="123">
        <f>IF(BZ263&lt;0.01,0,IF(Plus!$F$22=Plus!$AN$4,BZ263*$BZ$15,IF(Plus!$F$22=Plus!$AN$3,BZ263*Plus!$F$23/1000,BZ263*VLOOKUP(Plus!$G$21,Plus!$AP$2:'Plus'!$AQ$5,2,0))))</f>
        <v>0</v>
      </c>
      <c r="BU264" s="299">
        <f>IF(BZ263&lt;0.01,0,IF(Plus!$F$24=Plus!$AO$3,Plus!$G$13*Plus!$AR$2/1.16,IF(Plus!$F$10=Plus!$AK$7,0,Plus!$G$13*Plus!$AR$2/1.16)))</f>
        <v>0</v>
      </c>
      <c r="BV264" s="299">
        <f>IF(BZ263&lt;0.01,0,Plus!$BD$2)</f>
        <v>0</v>
      </c>
      <c r="BW264" s="299"/>
      <c r="BX264" s="299">
        <f t="shared" si="469"/>
        <v>0</v>
      </c>
      <c r="BY264" s="123">
        <f>IF(Plus!$F$10=Plus!$AK$3,MIN(BZ263+BQ264+BT264+BU264+BV264-BX264,CJ264),0)</f>
        <v>0</v>
      </c>
      <c r="BZ264" s="300">
        <f t="shared" si="574"/>
        <v>0</v>
      </c>
      <c r="CA264" s="74"/>
      <c r="CB264" s="74"/>
      <c r="CC264" s="414">
        <f t="shared" si="503"/>
        <v>0</v>
      </c>
      <c r="CF264" s="91">
        <f t="shared" si="504"/>
        <v>12</v>
      </c>
      <c r="CG264" s="164">
        <f t="shared" si="559"/>
        <v>0</v>
      </c>
      <c r="CI264" s="71">
        <f t="shared" si="560"/>
        <v>0</v>
      </c>
      <c r="CJ264" s="2183">
        <f t="shared" ca="1" si="505"/>
        <v>0</v>
      </c>
      <c r="CL264" s="161"/>
      <c r="CN264" s="310">
        <f t="shared" ca="1" si="470"/>
        <v>3</v>
      </c>
      <c r="CO264" s="153">
        <f t="shared" si="506"/>
        <v>0</v>
      </c>
      <c r="CP264" s="270">
        <f t="shared" si="471"/>
        <v>0</v>
      </c>
      <c r="CQ264" s="123">
        <f t="shared" si="507"/>
        <v>0</v>
      </c>
      <c r="CR264" s="299">
        <f t="shared" si="581"/>
        <v>0</v>
      </c>
      <c r="CS264" s="299">
        <f t="shared" si="582"/>
        <v>0</v>
      </c>
      <c r="CT264" s="33">
        <f>IF(CZ263&lt;0.01,0,IF(Plus!$F$22=Plus!$AN$4,0,IF(Plus!$F$22=Plus!$AN$3,CZ263*Plus!$F$23/1000,CZ263*VLOOKUP(Plus!$G$21,Plus!$AP$2:'Plus'!$AQ$5,2,0))))</f>
        <v>0</v>
      </c>
      <c r="CU264" s="299">
        <f>IF(CZ263&lt;0.01,0,IF(Plus!$F$24=Plus!$AO$3,0,IF(OR(Plus!$F$10=Plus!$AK$7,Plus!$F$10=Plus!$AK$13),0,Plus!$G$13*Plus!$AR$2)))</f>
        <v>0</v>
      </c>
      <c r="CV264" s="299">
        <f>IF(CZ263&lt;0.01,0,IF(OR(Plus!$F$10=Plus!$AK$7,Plus!$F$10=Plus!$AK$13),0,Plus!$BD$2*1.16))</f>
        <v>0</v>
      </c>
      <c r="CW264" s="299">
        <f>IF(CZ263&lt;0.01,0,IF(Plus!$AS$2&gt;0,CQ264*Plus!$AS$3,0))</f>
        <v>0</v>
      </c>
      <c r="CX264" s="299">
        <f t="shared" si="508"/>
        <v>0</v>
      </c>
      <c r="CY264" s="299">
        <f>IF(Plus!$F$10=Plus!$AK$3,MIN(CZ263+CQ264+CT264+CU264+CV264-CX264,DK264),0)</f>
        <v>0</v>
      </c>
      <c r="CZ264" s="297">
        <f t="shared" si="588"/>
        <v>0</v>
      </c>
      <c r="DA264" s="306">
        <f>Plus!O305</f>
        <v>0</v>
      </c>
      <c r="DB264" s="74"/>
      <c r="DC264" s="74"/>
      <c r="DD264" s="408">
        <f t="shared" si="509"/>
        <v>0</v>
      </c>
      <c r="DG264" s="91">
        <f t="shared" si="510"/>
        <v>12</v>
      </c>
      <c r="DH264" s="121">
        <f t="shared" si="561"/>
        <v>0</v>
      </c>
      <c r="DJ264" s="150">
        <f t="shared" si="562"/>
        <v>0</v>
      </c>
      <c r="DK264" s="2184">
        <f t="shared" ca="1" si="511"/>
        <v>0</v>
      </c>
      <c r="DN264" s="322">
        <f t="shared" si="563"/>
        <v>0</v>
      </c>
      <c r="DO264" s="323">
        <f t="shared" si="512"/>
        <v>0</v>
      </c>
      <c r="DP264" s="110">
        <f t="shared" si="572"/>
        <v>0</v>
      </c>
      <c r="DQ264" s="324">
        <f t="shared" si="513"/>
        <v>0</v>
      </c>
      <c r="DR264" s="109">
        <f t="shared" si="514"/>
        <v>0</v>
      </c>
      <c r="DS264" s="114">
        <f t="shared" si="515"/>
        <v>0</v>
      </c>
      <c r="DU264" s="102">
        <f t="shared" si="516"/>
        <v>0</v>
      </c>
      <c r="DV264" s="214">
        <f t="shared" si="573"/>
        <v>240</v>
      </c>
      <c r="DW264" s="212">
        <f t="shared" si="517"/>
        <v>0</v>
      </c>
      <c r="DX264" s="215">
        <f t="shared" si="472"/>
        <v>0</v>
      </c>
      <c r="DY264" s="215">
        <f t="shared" si="564"/>
        <v>0</v>
      </c>
      <c r="DZ264" s="216">
        <f t="shared" si="473"/>
        <v>1000000</v>
      </c>
      <c r="ED264" s="182"/>
      <c r="EF264" s="310">
        <f t="shared" ca="1" si="474"/>
        <v>3</v>
      </c>
      <c r="EG264" s="153">
        <f t="shared" si="518"/>
        <v>0</v>
      </c>
      <c r="EH264" s="270">
        <f t="shared" si="475"/>
        <v>0</v>
      </c>
      <c r="EI264" s="33">
        <f t="shared" si="519"/>
        <v>0</v>
      </c>
      <c r="EJ264" s="271">
        <f t="shared" si="583"/>
        <v>0</v>
      </c>
      <c r="EK264" s="271">
        <f t="shared" si="591"/>
        <v>0</v>
      </c>
      <c r="EL264" s="33">
        <f>IF(ER263&lt;0.01,0,IF(Plus!$F$22=Plus!$AN$4,0,IF(Plus!$F$22=Plus!$AN$3,ER263*Plus!$F$23/1000,ER263*VLOOKUP(Plus!$G$21,Plus!$AP$2:'Plus'!$AQ$5,2,0))))</f>
        <v>0</v>
      </c>
      <c r="EM264" s="271">
        <f>IF(ER263&lt;0.01,0,IF(Plus!$F$24=Plus!$AO$3,0,IF(OR(Plus!$F$10=Plus!$AK$7,Plus!$F$10=Plus!$AK$13),0,Plus!$G$13*Plus!$AR$2)))</f>
        <v>0</v>
      </c>
      <c r="EN264" s="271">
        <f>IF(ER263&lt;0.01,0,IF(OR(Plus!$F$10=Plus!$AK$7,Plus!$F$10=Plus!$AK$13),0,Plus!$BD$2*1.16))</f>
        <v>0</v>
      </c>
      <c r="EO264" s="271">
        <f>IF(ER263&lt;0.01,0,IF(Plus!$AS$2&gt;0,EI264*Plus!$AS$3,0))</f>
        <v>0</v>
      </c>
      <c r="EP264" s="271">
        <f t="shared" si="520"/>
        <v>0</v>
      </c>
      <c r="EQ264" s="271">
        <f>IF(Plus!$F$10=Plus!$AK$3,MIN(ER263+EI264+EL264+EM264+EN264-EP264,FC264),0)</f>
        <v>0</v>
      </c>
      <c r="ER264" s="313">
        <f t="shared" si="577"/>
        <v>0</v>
      </c>
      <c r="ES264" s="340">
        <f>Plus!O305</f>
        <v>0</v>
      </c>
      <c r="ET264" s="74"/>
      <c r="EU264" s="74"/>
      <c r="EV264" s="417">
        <f t="shared" si="575"/>
        <v>0</v>
      </c>
      <c r="EY264" s="91">
        <f t="shared" si="521"/>
        <v>12</v>
      </c>
      <c r="EZ264" s="121">
        <f t="shared" si="565"/>
        <v>0</v>
      </c>
      <c r="FB264" s="150">
        <f t="shared" si="566"/>
        <v>0</v>
      </c>
      <c r="FC264" s="2184">
        <f t="shared" ca="1" si="522"/>
        <v>0</v>
      </c>
      <c r="FE264" s="120">
        <f t="shared" si="567"/>
        <v>0</v>
      </c>
      <c r="FF264" s="110">
        <f t="shared" si="523"/>
        <v>0</v>
      </c>
      <c r="FG264" s="110">
        <f t="shared" si="524"/>
        <v>0</v>
      </c>
      <c r="FH264" s="109">
        <f t="shared" si="525"/>
        <v>0</v>
      </c>
      <c r="FI264" s="109">
        <f t="shared" si="476"/>
        <v>0</v>
      </c>
      <c r="FJ264" s="113">
        <f t="shared" si="526"/>
        <v>0</v>
      </c>
      <c r="FL264" s="102">
        <f t="shared" si="527"/>
        <v>0</v>
      </c>
      <c r="FM264" s="214">
        <f t="shared" si="454"/>
        <v>240</v>
      </c>
      <c r="FN264" s="212">
        <f t="shared" si="528"/>
        <v>0</v>
      </c>
      <c r="FO264" s="215">
        <f t="shared" si="477"/>
        <v>0</v>
      </c>
      <c r="FP264" s="215">
        <f t="shared" si="596"/>
        <v>0</v>
      </c>
      <c r="FQ264" s="216">
        <f t="shared" si="478"/>
        <v>1000000</v>
      </c>
      <c r="FV264" s="359"/>
      <c r="FX264" s="310">
        <f t="shared" ca="1" si="479"/>
        <v>3</v>
      </c>
      <c r="FY264" s="153">
        <f t="shared" si="530"/>
        <v>0</v>
      </c>
      <c r="FZ264" s="270">
        <f t="shared" si="480"/>
        <v>0</v>
      </c>
      <c r="GA264" s="33">
        <f t="shared" si="531"/>
        <v>0</v>
      </c>
      <c r="GB264" s="271">
        <f t="shared" si="585"/>
        <v>0</v>
      </c>
      <c r="GC264" s="271">
        <f t="shared" si="586"/>
        <v>0</v>
      </c>
      <c r="GD264" s="33">
        <f>IF(GJ263&lt;0.01,0,IF(Plus!$F$22=Plus!$AN$4,0,IF(Plus!$F$22=Plus!$AN$3,GJ263*Plus!$F$23/1000,GJ263*VLOOKUP(Plus!$G$21,Plus!$AP$2:$AQ$5,2,0))))</f>
        <v>0</v>
      </c>
      <c r="GE264" s="271">
        <f>IF(GJ263&lt;0.01,0,IF(Plus!$F$24=Plus!$AO$3,0,IF(OR(Plus!$F$10=Plus!$AK$7,Plus!$F$10=Plus!$AK$13,Plus!$F$10=Plus!$AK$14),0,IF(OR(Plus!$F$10=Plus!$AK$10,Plus!$F$10=Plus!$AK$11),Plus!$G$13*Adm!$W$7,Plus!$G$13*Adm!$X$4))))</f>
        <v>0</v>
      </c>
      <c r="GF264" s="271">
        <f>IF(GJ263&lt;0.01,0,IF(OR(Plus!$F$10=Plus!$AK$7,Plus!$F$10=Plus!$AK$13),0,Plus!$BD$2*1.16))</f>
        <v>0</v>
      </c>
      <c r="GG264" s="271">
        <f>IF(GJ263&lt;0.01,0,IF(Plus!$AS$2&gt;0,GA264*Plus!$AS$3,0))</f>
        <v>0</v>
      </c>
      <c r="GH264" s="271">
        <f t="shared" si="532"/>
        <v>0</v>
      </c>
      <c r="GI264" s="271">
        <f>IF(Plus!$F$10=Plus!$AK$3,MIN(GJ263+GA264+GD264+GE264+GF264-GH264,GU264),0)</f>
        <v>0</v>
      </c>
      <c r="GJ264" s="313">
        <f t="shared" si="578"/>
        <v>0</v>
      </c>
      <c r="GK264" s="340">
        <f>Plus!O305</f>
        <v>0</v>
      </c>
      <c r="GL264" s="74"/>
      <c r="GM264" s="74"/>
      <c r="GN264" s="420">
        <f t="shared" si="576"/>
        <v>0</v>
      </c>
      <c r="GQ264" s="91">
        <f t="shared" si="533"/>
        <v>12</v>
      </c>
      <c r="GR264" s="121">
        <f t="shared" si="568"/>
        <v>0</v>
      </c>
      <c r="GT264" s="150">
        <f t="shared" si="569"/>
        <v>0</v>
      </c>
      <c r="GU264" s="2184">
        <f t="shared" ca="1" si="534"/>
        <v>0</v>
      </c>
      <c r="GW264" s="120">
        <f t="shared" si="570"/>
        <v>0</v>
      </c>
      <c r="GX264" s="110">
        <f t="shared" si="535"/>
        <v>0</v>
      </c>
      <c r="GY264" s="110">
        <f t="shared" si="536"/>
        <v>0</v>
      </c>
      <c r="GZ264" s="109">
        <f t="shared" si="537"/>
        <v>0</v>
      </c>
      <c r="HA264" s="109">
        <f t="shared" si="481"/>
        <v>0</v>
      </c>
      <c r="HB264" s="113">
        <f t="shared" si="538"/>
        <v>0</v>
      </c>
      <c r="HD264" s="102">
        <f t="shared" si="539"/>
        <v>0</v>
      </c>
      <c r="HE264" s="214">
        <f t="shared" si="455"/>
        <v>240</v>
      </c>
      <c r="HF264" s="212">
        <f t="shared" si="540"/>
        <v>0</v>
      </c>
      <c r="HG264" s="215">
        <f t="shared" si="482"/>
        <v>0</v>
      </c>
      <c r="HH264" s="215">
        <f t="shared" si="597"/>
        <v>0</v>
      </c>
      <c r="HI264" s="216">
        <f t="shared" si="483"/>
        <v>1000000</v>
      </c>
      <c r="HL264" s="182"/>
      <c r="HM264" s="26">
        <f t="shared" ca="1" si="484"/>
        <v>3</v>
      </c>
      <c r="HO264" s="270">
        <f t="shared" si="485"/>
        <v>0</v>
      </c>
      <c r="HP264" s="422">
        <f t="shared" si="594"/>
        <v>0</v>
      </c>
      <c r="HQ264" s="299">
        <f t="shared" si="542"/>
        <v>0</v>
      </c>
      <c r="HR264" s="299">
        <f t="shared" si="543"/>
        <v>0</v>
      </c>
      <c r="HS264" s="299">
        <f t="shared" si="544"/>
        <v>0</v>
      </c>
      <c r="HT264" s="123">
        <f>IF(HY263&lt;0.01,0,IF(Adm!$GS$4=Adm!$GS$8,HY263*$HY$15,IF(Adm!$GS$12=Adm!$GS$13,0,HY263*Adm!$GV$4)))</f>
        <v>0</v>
      </c>
      <c r="HU264" s="123">
        <f>IF(HY263&lt;0.01,0,IF(Adm!$GS$5=Adm!$GS$8,Cal!$BO$108*$HY$16/1.16,IF(Adm!$GS$12=Adm!$GS$13,0,Cal!$BO$108*Adm!$GW$4/1.16)))</f>
        <v>0</v>
      </c>
      <c r="HV264" s="299">
        <f t="shared" si="545"/>
        <v>0</v>
      </c>
      <c r="HW264" s="299">
        <f t="shared" si="486"/>
        <v>0</v>
      </c>
      <c r="HX264" s="123">
        <f>IF(Adm!$GH$6="si",MIN(HY263+HQ264+HT264+HU264+HV264-HW264,IH264),0)</f>
        <v>0</v>
      </c>
      <c r="HY264" s="300">
        <f t="shared" si="546"/>
        <v>0</v>
      </c>
      <c r="HZ264" s="74"/>
      <c r="IA264" s="408">
        <f t="shared" si="547"/>
        <v>0</v>
      </c>
      <c r="IC264" s="91">
        <f t="shared" si="548"/>
        <v>12</v>
      </c>
      <c r="ID264" s="124">
        <f>IF(IC264=1,Cal!$BO$127,0)</f>
        <v>0</v>
      </c>
      <c r="IE264" s="178">
        <f>IF(IC264=1,Adm!$HI$4,0)</f>
        <v>0</v>
      </c>
      <c r="IG264" s="71">
        <f t="shared" si="571"/>
        <v>0</v>
      </c>
      <c r="IH264" s="2183">
        <f t="shared" ca="1" si="549"/>
        <v>0</v>
      </c>
      <c r="IK264" s="217"/>
      <c r="IL264" s="26">
        <f t="shared" ca="1" si="487"/>
        <v>3</v>
      </c>
      <c r="IN264" s="270">
        <f t="shared" si="488"/>
        <v>0</v>
      </c>
      <c r="IO264" s="422">
        <f t="shared" si="595"/>
        <v>0</v>
      </c>
      <c r="IP264" s="299">
        <f t="shared" si="550"/>
        <v>0</v>
      </c>
      <c r="IQ264" s="299">
        <f t="shared" si="551"/>
        <v>0</v>
      </c>
      <c r="IR264" s="299">
        <f t="shared" si="552"/>
        <v>0</v>
      </c>
      <c r="IS264" s="123">
        <f>IF(IX263&lt;0.01,0,IF(Adm!$GS$4=Adm!$GS$8,IX263*$IX$15,IF(Adm!$GS$12=Adm!$GS$13,0,IX263*Adm!$GV$4)))</f>
        <v>0</v>
      </c>
      <c r="IT264" s="299"/>
      <c r="IU264" s="299">
        <f t="shared" si="553"/>
        <v>0</v>
      </c>
      <c r="IV264" s="299">
        <f t="shared" si="554"/>
        <v>0</v>
      </c>
      <c r="IW264" s="299"/>
      <c r="IX264" s="300">
        <f t="shared" si="555"/>
        <v>0</v>
      </c>
      <c r="IY264" s="74"/>
      <c r="IZ264" s="417">
        <f t="shared" si="556"/>
        <v>0</v>
      </c>
      <c r="JB264" s="91">
        <f t="shared" si="557"/>
        <v>12</v>
      </c>
      <c r="JC264" s="124">
        <f>IF(JB264=1,Cal!$BP$127,0)</f>
        <v>0</v>
      </c>
      <c r="JD264" s="178">
        <f>IF(JB264=1,Adm!$HI$4,0)</f>
        <v>0</v>
      </c>
    </row>
    <row r="265" spans="1:264">
      <c r="A265" s="1998">
        <f t="shared" ca="1" si="456"/>
        <v>4</v>
      </c>
      <c r="C265" s="33">
        <f t="shared" ref="C265:C309" si="598">IF(L264&lt;0.01,0,C264+1)</f>
        <v>0</v>
      </c>
      <c r="D265" s="123">
        <f t="shared" ref="D265:D309" si="599">IF(L264&lt;0.01,0,L264*$F$9*30.4166/360)</f>
        <v>0</v>
      </c>
      <c r="E265" s="123">
        <f t="shared" ref="E265:E309" si="600">IF(L264&lt;0.01,0,F265-D265)</f>
        <v>0</v>
      </c>
      <c r="F265" s="123">
        <f t="shared" ref="F265:F309" si="601">IF(L264&lt;0.1,0,MIN(L264+D265,F264*(1+S265)))</f>
        <v>0</v>
      </c>
      <c r="G265" s="123">
        <f>IF(L264&lt;0.01,0,IF(Adm!$S$4=Adm!$S$8,L264*$L$15,L264*Adm!$V$4))</f>
        <v>0</v>
      </c>
      <c r="H265" s="123">
        <f>IF(L264&lt;0.01,0,IF(Adm!$S$5=Adm!$S$8,Adm!$AA$11*$L$16/1.16,IF(Adm!$B$4=Adm!$A$119,0,Adm!$AA$11*Adm!$X$4/1.16)))</f>
        <v>0</v>
      </c>
      <c r="I265" s="123">
        <f>IF(L264&lt;0.01,0,Cal!$AB$126/1.16)</f>
        <v>0</v>
      </c>
      <c r="J265" s="123">
        <f t="shared" ref="J265:J309" si="602">IF(L264&lt;0.01,0,F265+G265+H265+I265)</f>
        <v>0</v>
      </c>
      <c r="K265" s="123">
        <f>IF(Adm!$G$4="si",MIN(L264+D265+G265+H265+I265-J265,V265),0)</f>
        <v>0</v>
      </c>
      <c r="L265" s="123">
        <f t="shared" ref="L265:L309" si="603">IF(L264&lt;0.01,0,L264-E265-K265)</f>
        <v>0</v>
      </c>
      <c r="M265" s="74"/>
      <c r="N265" s="74"/>
      <c r="O265" s="407">
        <f t="shared" ref="O265:O309" si="604">J265+K265</f>
        <v>0</v>
      </c>
      <c r="R265" s="90">
        <f t="shared" si="492"/>
        <v>1</v>
      </c>
      <c r="S265" s="121">
        <f>IF(R265=1,Cal!$AB$127,0)</f>
        <v>0</v>
      </c>
      <c r="U265" s="70">
        <f t="shared" si="558"/>
        <v>0</v>
      </c>
      <c r="V265" s="2178">
        <f t="shared" ref="V265:V309" ca="1" si="605">IF(MOD(A265,2)=0,U265*0.05*2,0)</f>
        <v>0</v>
      </c>
      <c r="X265" s="398"/>
      <c r="AS265" s="200"/>
      <c r="BM265" s="221"/>
      <c r="BO265" s="26"/>
      <c r="BP265" s="33"/>
      <c r="BQ265" s="123"/>
      <c r="BR265" s="123"/>
      <c r="BS265" s="123"/>
      <c r="BT265" s="123"/>
      <c r="BU265" s="123"/>
      <c r="BV265" s="123"/>
      <c r="BW265" s="123"/>
      <c r="BX265" s="123"/>
      <c r="BY265" s="123"/>
      <c r="BZ265" s="123"/>
      <c r="CA265" s="74"/>
      <c r="CB265" s="74"/>
      <c r="CC265" s="31"/>
      <c r="CF265" s="58"/>
      <c r="CG265" s="124"/>
      <c r="CI265" s="76"/>
      <c r="CJ265" s="2185"/>
      <c r="CL265" s="161"/>
      <c r="CN265" s="26"/>
      <c r="CO265" s="26"/>
      <c r="CP265" s="33"/>
      <c r="CQ265" s="123"/>
      <c r="CR265" s="123"/>
      <c r="CS265" s="123"/>
      <c r="CT265" s="123"/>
      <c r="CU265" s="123"/>
      <c r="CV265" s="123"/>
      <c r="CW265" s="123"/>
      <c r="CX265" s="123"/>
      <c r="CY265" s="123"/>
      <c r="CZ265" s="145"/>
      <c r="DA265" s="74"/>
      <c r="DB265" s="74"/>
      <c r="DC265" s="74"/>
      <c r="DD265" s="74"/>
      <c r="DG265" s="58"/>
      <c r="DH265" s="124"/>
      <c r="DJ265" s="272"/>
      <c r="DK265" s="2186"/>
      <c r="DN265" s="110"/>
      <c r="DO265" s="110"/>
      <c r="DP265" s="110"/>
      <c r="DQ265" s="273"/>
      <c r="DR265" s="273"/>
      <c r="DS265" s="273"/>
      <c r="ED265" s="182"/>
      <c r="EF265" s="26"/>
      <c r="EG265" s="26"/>
      <c r="EH265" s="33"/>
      <c r="EI265" s="33"/>
      <c r="EJ265" s="33"/>
      <c r="EK265" s="33"/>
      <c r="EL265" s="33"/>
      <c r="EM265" s="33"/>
      <c r="EN265" s="33"/>
      <c r="EO265" s="33"/>
      <c r="EP265" s="33"/>
      <c r="EQ265" s="33"/>
      <c r="ER265" s="145"/>
      <c r="ES265" s="123"/>
      <c r="ET265" s="74"/>
      <c r="EU265" s="74"/>
      <c r="EV265" s="74"/>
      <c r="EY265" s="58"/>
      <c r="EZ265" s="124"/>
      <c r="FB265" s="272"/>
      <c r="FC265" s="2186"/>
      <c r="FE265" s="110"/>
      <c r="FF265" s="110"/>
      <c r="FG265" s="110"/>
      <c r="FH265" s="109"/>
      <c r="FI265" s="109"/>
      <c r="FJ265" s="273"/>
      <c r="FV265" s="359"/>
      <c r="FX265" s="26"/>
      <c r="FY265" s="26"/>
      <c r="FZ265" s="33"/>
      <c r="GA265" s="33"/>
      <c r="GB265" s="33"/>
      <c r="GC265" s="33"/>
      <c r="GD265" s="33"/>
      <c r="GE265" s="33"/>
      <c r="GF265" s="33"/>
      <c r="GG265" s="33"/>
      <c r="GH265" s="33"/>
      <c r="GI265" s="33"/>
      <c r="GJ265" s="145"/>
      <c r="GK265" s="123"/>
      <c r="GL265" s="74"/>
      <c r="GM265" s="74"/>
      <c r="GN265" s="74"/>
      <c r="GQ265" s="58"/>
      <c r="GR265" s="124"/>
      <c r="GT265" s="272"/>
      <c r="GU265" s="2186"/>
      <c r="GW265" s="110"/>
      <c r="GX265" s="110"/>
      <c r="GY265" s="110"/>
      <c r="GZ265" s="109"/>
      <c r="HA265" s="109"/>
      <c r="HB265" s="273"/>
      <c r="HL265" s="182"/>
      <c r="HM265" s="26"/>
      <c r="HO265" s="33"/>
      <c r="HP265" s="195"/>
      <c r="HQ265" s="123"/>
      <c r="HR265" s="123"/>
      <c r="HS265" s="123"/>
      <c r="HT265" s="123"/>
      <c r="HU265" s="123"/>
      <c r="HV265" s="123"/>
      <c r="HW265" s="123"/>
      <c r="HX265" s="123"/>
      <c r="HY265" s="123"/>
      <c r="HZ265" s="74"/>
      <c r="IA265" s="74"/>
      <c r="IC265" s="58"/>
      <c r="ID265" s="58"/>
      <c r="IE265" s="274"/>
      <c r="IG265" s="76"/>
      <c r="IH265" s="2185"/>
      <c r="IK265" s="217"/>
      <c r="IL265" s="26"/>
      <c r="IN265" s="33"/>
      <c r="IO265" s="195"/>
      <c r="IP265" s="123"/>
      <c r="IQ265" s="123"/>
      <c r="IR265" s="123"/>
      <c r="IS265" s="123"/>
      <c r="IT265" s="123"/>
      <c r="IU265" s="123"/>
      <c r="IV265" s="123"/>
      <c r="IW265" s="123"/>
      <c r="IX265" s="123"/>
      <c r="IY265" s="74"/>
      <c r="IZ265" s="74"/>
      <c r="JB265" s="58"/>
      <c r="JC265" s="124"/>
      <c r="JD265" s="274"/>
    </row>
    <row r="266" spans="1:264" ht="15" thickBot="1">
      <c r="A266" s="1998">
        <f t="shared" ca="1" si="456"/>
        <v>5</v>
      </c>
      <c r="C266" s="33">
        <f t="shared" si="598"/>
        <v>0</v>
      </c>
      <c r="D266" s="123">
        <f t="shared" si="599"/>
        <v>0</v>
      </c>
      <c r="E266" s="123">
        <f t="shared" si="600"/>
        <v>0</v>
      </c>
      <c r="F266" s="123">
        <f t="shared" si="601"/>
        <v>0</v>
      </c>
      <c r="G266" s="123">
        <f>IF(L265&lt;0.01,0,IF(Adm!$S$4=Adm!$S$8,L265*$L$15,L265*Adm!$V$4))</f>
        <v>0</v>
      </c>
      <c r="H266" s="123">
        <f>IF(L265&lt;0.01,0,IF(Adm!$S$5=Adm!$S$8,Adm!$AA$11*$L$16/1.16,IF(Adm!$B$4=Adm!$A$119,0,Adm!$AA$11*Adm!$X$4/1.16)))</f>
        <v>0</v>
      </c>
      <c r="I266" s="123">
        <f>IF(L265&lt;0.01,0,Cal!$AB$126/1.16)</f>
        <v>0</v>
      </c>
      <c r="J266" s="123">
        <f t="shared" si="602"/>
        <v>0</v>
      </c>
      <c r="K266" s="123">
        <f>IF(Adm!$G$4="si",MIN(L265+D266+G266+H266+I266-J266,V266),0)</f>
        <v>0</v>
      </c>
      <c r="L266" s="123">
        <f t="shared" si="603"/>
        <v>0</v>
      </c>
      <c r="M266" s="74"/>
      <c r="N266" s="74"/>
      <c r="O266" s="407">
        <f t="shared" si="604"/>
        <v>0</v>
      </c>
      <c r="R266" s="90">
        <f t="shared" si="492"/>
        <v>2</v>
      </c>
      <c r="S266" s="121">
        <f>IF(R266=1,Cal!$AB$127,0)</f>
        <v>0</v>
      </c>
      <c r="U266" s="70">
        <f t="shared" si="558"/>
        <v>0</v>
      </c>
      <c r="V266" s="2178">
        <f t="shared" ca="1" si="605"/>
        <v>0</v>
      </c>
      <c r="X266" s="398"/>
      <c r="AS266" s="200"/>
      <c r="BM266" s="221"/>
      <c r="BO266" s="26"/>
      <c r="BP266" s="302" t="s">
        <v>466</v>
      </c>
      <c r="BQ266" s="303">
        <f>SUM(BQ25:BQ264)</f>
        <v>0</v>
      </c>
      <c r="BR266" s="303">
        <f t="shared" ref="BR266:BY266" si="606">SUM(BR25:BR264)</f>
        <v>0</v>
      </c>
      <c r="BS266" s="303">
        <f t="shared" si="606"/>
        <v>0</v>
      </c>
      <c r="BT266" s="303">
        <f t="shared" si="606"/>
        <v>0</v>
      </c>
      <c r="BU266" s="303">
        <f t="shared" si="606"/>
        <v>0</v>
      </c>
      <c r="BV266" s="303">
        <f t="shared" si="606"/>
        <v>0</v>
      </c>
      <c r="BW266" s="303">
        <f t="shared" si="606"/>
        <v>0</v>
      </c>
      <c r="BX266" s="303">
        <f t="shared" si="606"/>
        <v>0</v>
      </c>
      <c r="BY266" s="123">
        <f t="shared" si="606"/>
        <v>0</v>
      </c>
      <c r="BZ266" s="123"/>
      <c r="CA266" s="74"/>
      <c r="CB266" s="74"/>
      <c r="CC266" s="31"/>
      <c r="CF266" s="58"/>
      <c r="CG266" s="124"/>
      <c r="CI266" s="76"/>
      <c r="CJ266" s="2185"/>
      <c r="CL266" s="161"/>
      <c r="CN266" s="26"/>
      <c r="CO266" s="26"/>
      <c r="CP266" t="s">
        <v>466</v>
      </c>
      <c r="CQ266" s="146">
        <f t="shared" ref="CQ266:CV266" si="607">SUM(CQ25:CQ264)</f>
        <v>0</v>
      </c>
      <c r="CR266" s="146">
        <f t="shared" si="607"/>
        <v>0</v>
      </c>
      <c r="CS266" s="146">
        <f t="shared" si="607"/>
        <v>0</v>
      </c>
      <c r="CT266" s="146">
        <f t="shared" si="607"/>
        <v>0</v>
      </c>
      <c r="CU266" s="146">
        <f t="shared" si="607"/>
        <v>0</v>
      </c>
      <c r="CV266" s="146">
        <f t="shared" si="607"/>
        <v>0</v>
      </c>
      <c r="CW266" s="146"/>
      <c r="CX266" s="146">
        <f>SUM(CX25:CX264)</f>
        <v>0</v>
      </c>
      <c r="CY266" s="146">
        <f>SUM(CY25:CY264)</f>
        <v>0</v>
      </c>
      <c r="CZ266" s="146"/>
      <c r="DA266" s="146"/>
      <c r="DB266" s="146">
        <f>SUM(DB25:DB264)</f>
        <v>0</v>
      </c>
      <c r="DC266" s="146">
        <f>SUM(DC25:DC264)</f>
        <v>0</v>
      </c>
      <c r="DD266" s="146">
        <f>SUM(DD25:DD264)</f>
        <v>0</v>
      </c>
      <c r="DG266" s="58"/>
      <c r="DH266" s="124"/>
      <c r="DJ266" s="272"/>
      <c r="DK266" s="2186"/>
      <c r="DN266" s="110"/>
      <c r="DO266" s="110"/>
      <c r="DP266" s="110"/>
      <c r="DQ266" s="273"/>
      <c r="DR266" s="273"/>
      <c r="DS266" s="273"/>
      <c r="ED266" s="182"/>
      <c r="EF266" s="26"/>
      <c r="EG266" s="26"/>
      <c r="EH266" t="s">
        <v>466</v>
      </c>
      <c r="EI266" s="146">
        <f t="shared" ref="EI266:EN266" si="608">SUM(EI25:EI264)</f>
        <v>0</v>
      </c>
      <c r="EJ266" s="146">
        <f t="shared" si="608"/>
        <v>0</v>
      </c>
      <c r="EK266" s="146">
        <f t="shared" si="608"/>
        <v>0</v>
      </c>
      <c r="EL266" s="146">
        <f t="shared" si="608"/>
        <v>0</v>
      </c>
      <c r="EM266" s="146">
        <f t="shared" si="608"/>
        <v>0</v>
      </c>
      <c r="EN266" s="146">
        <f t="shared" si="608"/>
        <v>0</v>
      </c>
      <c r="EO266" s="146"/>
      <c r="EP266" s="146">
        <f>SUM(EP25:EP264)</f>
        <v>0</v>
      </c>
      <c r="EQ266" s="146">
        <f>SUM(EQ25:EQ264)</f>
        <v>0</v>
      </c>
      <c r="ER266" s="146"/>
      <c r="ES266" s="146"/>
      <c r="ET266" s="74"/>
      <c r="EU266" s="74"/>
      <c r="EV266" s="146">
        <f>SUM(EV25:EV264)</f>
        <v>0</v>
      </c>
      <c r="EY266" s="58"/>
      <c r="EZ266" s="124"/>
      <c r="FB266" s="272"/>
      <c r="FC266" s="2186"/>
      <c r="FE266" s="110"/>
      <c r="FF266" s="110"/>
      <c r="FG266" s="110"/>
      <c r="FH266" s="109"/>
      <c r="FI266" s="109"/>
      <c r="FJ266" s="273"/>
      <c r="FV266" s="359"/>
      <c r="FX266" s="26"/>
      <c r="FY266" s="26"/>
      <c r="FZ266" t="s">
        <v>466</v>
      </c>
      <c r="GA266" s="146">
        <f t="shared" ref="GA266:GF266" si="609">SUM(GA25:GA264)</f>
        <v>0</v>
      </c>
      <c r="GB266" s="146">
        <f t="shared" si="609"/>
        <v>0</v>
      </c>
      <c r="GC266" s="146">
        <f t="shared" si="609"/>
        <v>0</v>
      </c>
      <c r="GD266" s="146">
        <f t="shared" si="609"/>
        <v>0</v>
      </c>
      <c r="GE266" s="146">
        <f t="shared" si="609"/>
        <v>0</v>
      </c>
      <c r="GF266" s="146">
        <f t="shared" si="609"/>
        <v>0</v>
      </c>
      <c r="GG266" s="146"/>
      <c r="GH266" s="146">
        <f>SUM(GH25:GH264)</f>
        <v>0</v>
      </c>
      <c r="GI266" s="146">
        <f>SUM(GI25:GI264)</f>
        <v>0</v>
      </c>
      <c r="GJ266" s="146"/>
      <c r="GK266" s="146"/>
      <c r="GL266" s="146">
        <f>SUM(GL25:GL264)</f>
        <v>0</v>
      </c>
      <c r="GM266" s="146">
        <f>SUM(GM25:GM264)</f>
        <v>0</v>
      </c>
      <c r="GN266" s="146">
        <f>SUM(GN25:GN264)</f>
        <v>0</v>
      </c>
      <c r="GQ266" s="58"/>
      <c r="GR266" s="124"/>
      <c r="GT266" s="272"/>
      <c r="GU266" s="2186"/>
      <c r="GW266" s="110"/>
      <c r="GX266" s="110"/>
      <c r="GY266" s="110"/>
      <c r="GZ266" s="109"/>
      <c r="HA266" s="109"/>
      <c r="HB266" s="273"/>
      <c r="HL266" s="182"/>
      <c r="HM266" s="26"/>
      <c r="HO266" s="33"/>
      <c r="HP266" s="195"/>
      <c r="HQ266" s="197">
        <f t="shared" ref="HQ266:HX266" si="610">SUM(HQ25:HQ264)</f>
        <v>0</v>
      </c>
      <c r="HR266" s="197">
        <f t="shared" si="610"/>
        <v>0</v>
      </c>
      <c r="HS266" s="197">
        <f t="shared" si="610"/>
        <v>0</v>
      </c>
      <c r="HT266" s="197">
        <f t="shared" si="610"/>
        <v>0</v>
      </c>
      <c r="HU266" s="197">
        <f t="shared" si="610"/>
        <v>0</v>
      </c>
      <c r="HV266" s="197">
        <f t="shared" si="610"/>
        <v>0</v>
      </c>
      <c r="HW266" s="197">
        <f t="shared" si="610"/>
        <v>0</v>
      </c>
      <c r="HX266" s="197">
        <f t="shared" si="610"/>
        <v>0</v>
      </c>
      <c r="HY266" s="197"/>
      <c r="ID266" s="58"/>
      <c r="IE266" s="274"/>
      <c r="IG266" s="76"/>
      <c r="IH266" s="2185"/>
      <c r="IK266" s="217"/>
      <c r="IL266" s="26"/>
      <c r="IN266" s="33"/>
      <c r="IO266" s="195"/>
      <c r="IP266" s="123"/>
      <c r="IQ266" s="123"/>
      <c r="IR266" s="123"/>
      <c r="IS266" s="123"/>
      <c r="IT266" s="123"/>
      <c r="IU266" s="123"/>
      <c r="IV266" s="123"/>
      <c r="IW266" s="123"/>
      <c r="IX266" s="123"/>
      <c r="IY266" s="74"/>
      <c r="IZ266" s="74"/>
      <c r="JB266" s="58"/>
      <c r="JC266" s="124"/>
      <c r="JD266" s="274"/>
    </row>
    <row r="267" spans="1:264" ht="15" thickBot="1">
      <c r="A267" s="1998">
        <f t="shared" ca="1" si="456"/>
        <v>6</v>
      </c>
      <c r="C267" s="33">
        <f t="shared" si="598"/>
        <v>0</v>
      </c>
      <c r="D267" s="123">
        <f t="shared" si="599"/>
        <v>0</v>
      </c>
      <c r="E267" s="123">
        <f t="shared" si="600"/>
        <v>0</v>
      </c>
      <c r="F267" s="123">
        <f t="shared" si="601"/>
        <v>0</v>
      </c>
      <c r="G267" s="123">
        <f>IF(L266&lt;0.01,0,IF(Adm!$S$4=Adm!$S$8,L266*$L$15,L266*Adm!$V$4))</f>
        <v>0</v>
      </c>
      <c r="H267" s="123">
        <f>IF(L266&lt;0.01,0,IF(Adm!$S$5=Adm!$S$8,Adm!$AA$11*$L$16/1.16,IF(Adm!$B$4=Adm!$A$119,0,Adm!$AA$11*Adm!$X$4/1.16)))</f>
        <v>0</v>
      </c>
      <c r="I267" s="123">
        <f>IF(L266&lt;0.01,0,Cal!$AB$126/1.16)</f>
        <v>0</v>
      </c>
      <c r="J267" s="123">
        <f t="shared" si="602"/>
        <v>0</v>
      </c>
      <c r="K267" s="123">
        <f>IF(Adm!$G$4="si",MIN(L266+D267+G267+H267+I267-J267,V267),0)</f>
        <v>0</v>
      </c>
      <c r="L267" s="123">
        <f t="shared" si="603"/>
        <v>0</v>
      </c>
      <c r="M267" s="74"/>
      <c r="N267" s="74"/>
      <c r="O267" s="407">
        <f t="shared" si="604"/>
        <v>0</v>
      </c>
      <c r="R267" s="90">
        <f t="shared" si="492"/>
        <v>3</v>
      </c>
      <c r="S267" s="121">
        <f>IF(R267=1,Cal!$AB$127,0)</f>
        <v>0</v>
      </c>
      <c r="U267" s="70">
        <f t="shared" si="558"/>
        <v>0</v>
      </c>
      <c r="V267" s="2178">
        <f t="shared" ca="1" si="605"/>
        <v>0</v>
      </c>
      <c r="AS267" s="200"/>
      <c r="BM267" s="27"/>
      <c r="BN267" s="27"/>
      <c r="BO267" s="27"/>
      <c r="BP267" s="27"/>
      <c r="BQ267" s="27"/>
      <c r="BR267" s="27"/>
      <c r="BS267" s="27"/>
      <c r="BT267" s="27"/>
      <c r="BU267" s="27"/>
      <c r="BV267" s="27"/>
      <c r="BW267" s="27"/>
      <c r="BX267" s="27"/>
      <c r="BY267" s="27"/>
      <c r="BZ267" s="27"/>
      <c r="CA267" s="27"/>
      <c r="CB267" s="27"/>
      <c r="CC267" s="27"/>
      <c r="CD267" s="27"/>
      <c r="CE267" s="27"/>
      <c r="CF267" s="27"/>
      <c r="CG267" s="27"/>
      <c r="CH267" s="27"/>
      <c r="CI267" s="27"/>
      <c r="CJ267" s="27"/>
      <c r="CK267" s="27"/>
      <c r="CL267" s="27"/>
      <c r="CM267" s="27"/>
      <c r="CN267" s="27"/>
      <c r="CO267" s="27"/>
      <c r="CP267" s="27"/>
      <c r="CQ267" s="27"/>
      <c r="CR267" s="27"/>
      <c r="CS267" s="27"/>
      <c r="CT267" s="27"/>
      <c r="CU267" s="27"/>
      <c r="CV267" s="27"/>
      <c r="CW267" s="27"/>
      <c r="CX267" s="27"/>
      <c r="CY267" s="27"/>
      <c r="CZ267" s="27"/>
      <c r="DA267" s="27"/>
      <c r="DB267" s="27"/>
      <c r="DC267" s="27"/>
      <c r="DD267" s="27"/>
      <c r="DE267" s="27"/>
      <c r="DF267" s="27"/>
      <c r="DG267" s="27"/>
      <c r="DH267" s="27"/>
      <c r="DI267" s="27"/>
      <c r="DJ267" s="27"/>
      <c r="DK267" s="27"/>
      <c r="DL267" s="27"/>
      <c r="DM267" s="27"/>
      <c r="DN267" s="27"/>
      <c r="DO267" s="27"/>
      <c r="DP267" s="27"/>
      <c r="DQ267" s="27"/>
      <c r="DR267" s="27"/>
      <c r="DS267" s="27"/>
      <c r="DT267" s="27"/>
      <c r="DU267" s="27"/>
      <c r="DV267" s="27"/>
      <c r="DW267" s="27"/>
      <c r="DX267" s="27"/>
      <c r="DY267" s="27"/>
      <c r="DZ267" s="27"/>
      <c r="EA267" s="27"/>
      <c r="EB267" s="27"/>
      <c r="EC267" s="27"/>
      <c r="ED267" s="27"/>
      <c r="EE267" s="27"/>
      <c r="EF267" s="27"/>
      <c r="EG267" s="27"/>
      <c r="EH267" s="27"/>
      <c r="EI267" s="27"/>
      <c r="EJ267" s="27"/>
      <c r="EK267" s="27"/>
      <c r="EL267" s="27"/>
      <c r="EM267" s="27"/>
      <c r="EN267" s="27"/>
      <c r="EO267" s="27"/>
      <c r="EP267" s="27"/>
      <c r="EQ267" s="27"/>
      <c r="ER267" s="27"/>
      <c r="ES267" s="27"/>
      <c r="ET267" s="27"/>
      <c r="EU267" s="27"/>
      <c r="EV267" s="27"/>
      <c r="EW267" s="27"/>
      <c r="EX267" s="27"/>
      <c r="EY267" s="27"/>
      <c r="EZ267" s="27"/>
      <c r="FA267" s="27"/>
      <c r="FB267" s="27"/>
      <c r="FC267" s="27"/>
      <c r="FD267" s="27"/>
      <c r="FE267" s="27"/>
      <c r="FF267" s="27"/>
      <c r="FG267" s="27"/>
      <c r="FH267" s="27"/>
      <c r="FI267" s="27"/>
      <c r="FJ267" s="27"/>
      <c r="FK267" s="27"/>
      <c r="FL267" s="27"/>
      <c r="FM267" s="27"/>
      <c r="FN267" s="27"/>
      <c r="FO267" s="27"/>
      <c r="FP267" s="27"/>
      <c r="FQ267" s="27"/>
      <c r="FR267" s="27"/>
      <c r="FS267" s="27"/>
      <c r="FT267" s="27"/>
      <c r="FU267" s="27"/>
      <c r="FV267" s="27"/>
      <c r="FW267" s="27"/>
      <c r="FX267" s="27"/>
      <c r="FY267" s="27"/>
      <c r="FZ267" s="27"/>
      <c r="GA267" s="27"/>
      <c r="GB267" s="27"/>
      <c r="GC267" s="27"/>
      <c r="GD267" s="27"/>
      <c r="GE267" s="27"/>
      <c r="GF267" s="27"/>
      <c r="GG267" s="27"/>
      <c r="GH267" s="27"/>
      <c r="GI267" s="27"/>
      <c r="GJ267" s="27"/>
      <c r="GK267" s="27"/>
      <c r="GL267" s="27"/>
      <c r="GM267" s="27"/>
      <c r="GN267" s="27"/>
      <c r="GO267" s="27"/>
      <c r="GP267" s="27"/>
      <c r="GQ267" s="27"/>
      <c r="GR267" s="27"/>
      <c r="GS267" s="27"/>
      <c r="GT267" s="27"/>
      <c r="GU267" s="27"/>
      <c r="GV267" s="27"/>
      <c r="GW267" s="27"/>
      <c r="GX267" s="27"/>
      <c r="GY267" s="27"/>
      <c r="GZ267" s="27"/>
      <c r="HA267" s="27"/>
      <c r="HB267" s="27"/>
      <c r="HC267" s="27"/>
      <c r="HD267" s="27"/>
      <c r="HE267" s="27"/>
      <c r="HF267" s="27"/>
      <c r="HG267" s="27"/>
      <c r="HH267" s="27"/>
      <c r="HI267" s="27"/>
      <c r="HJ267" s="27"/>
      <c r="HK267" s="27"/>
      <c r="HL267" s="27"/>
      <c r="HM267" s="27"/>
      <c r="HN267" s="27"/>
      <c r="HO267" s="27"/>
      <c r="HP267" s="27"/>
      <c r="HQ267" s="27"/>
      <c r="HR267" s="27"/>
      <c r="HS267" s="27"/>
      <c r="HT267" s="27"/>
      <c r="HU267" s="27"/>
      <c r="HV267" s="27"/>
      <c r="HW267" s="27"/>
      <c r="HX267" s="27"/>
      <c r="HY267" s="27"/>
      <c r="HZ267" s="27"/>
      <c r="IA267" s="27"/>
      <c r="IB267" s="27"/>
      <c r="IC267" s="27"/>
      <c r="ID267" s="27"/>
      <c r="IE267" s="27"/>
      <c r="IF267" s="27"/>
      <c r="IG267" s="27"/>
      <c r="IH267" s="27"/>
      <c r="II267" s="27"/>
      <c r="IJ267" s="27"/>
      <c r="IK267" s="217"/>
      <c r="IP267" s="197">
        <f t="shared" ref="IP267:IW267" si="611">SUM(IP25:IP264)</f>
        <v>0</v>
      </c>
      <c r="IQ267" s="197">
        <f t="shared" si="611"/>
        <v>0</v>
      </c>
      <c r="IR267" s="197">
        <f t="shared" si="611"/>
        <v>0</v>
      </c>
      <c r="IS267" s="197">
        <f t="shared" si="611"/>
        <v>0</v>
      </c>
      <c r="IT267" s="197">
        <f t="shared" si="611"/>
        <v>0</v>
      </c>
      <c r="IU267" s="197">
        <f t="shared" si="611"/>
        <v>0</v>
      </c>
      <c r="IV267" s="197">
        <f t="shared" si="611"/>
        <v>0</v>
      </c>
      <c r="IW267" s="197">
        <f t="shared" si="611"/>
        <v>0</v>
      </c>
      <c r="IX267" s="197"/>
    </row>
    <row r="268" spans="1:264">
      <c r="A268" s="1998">
        <f t="shared" ca="1" si="456"/>
        <v>7</v>
      </c>
      <c r="C268" s="33">
        <f t="shared" si="598"/>
        <v>0</v>
      </c>
      <c r="D268" s="123">
        <f t="shared" si="599"/>
        <v>0</v>
      </c>
      <c r="E268" s="123">
        <f t="shared" si="600"/>
        <v>0</v>
      </c>
      <c r="F268" s="123">
        <f t="shared" si="601"/>
        <v>0</v>
      </c>
      <c r="G268" s="123">
        <f>IF(L267&lt;0.01,0,IF(Adm!$S$4=Adm!$S$8,L267*$L$15,L267*Adm!$V$4))</f>
        <v>0</v>
      </c>
      <c r="H268" s="123">
        <f>IF(L267&lt;0.01,0,IF(Adm!$S$5=Adm!$S$8,Adm!$AA$11*$L$16/1.16,IF(Adm!$B$4=Adm!$A$119,0,Adm!$AA$11*Adm!$X$4/1.16)))</f>
        <v>0</v>
      </c>
      <c r="I268" s="123">
        <f>IF(L267&lt;0.01,0,Cal!$AB$126/1.16)</f>
        <v>0</v>
      </c>
      <c r="J268" s="123">
        <f t="shared" si="602"/>
        <v>0</v>
      </c>
      <c r="K268" s="123">
        <f>IF(Adm!$G$4="si",MIN(L267+D268+G268+H268+I268-J268,V268),0)</f>
        <v>0</v>
      </c>
      <c r="L268" s="123">
        <f t="shared" si="603"/>
        <v>0</v>
      </c>
      <c r="M268" s="74"/>
      <c r="N268" s="74"/>
      <c r="O268" s="407">
        <f t="shared" si="604"/>
        <v>0</v>
      </c>
      <c r="R268" s="90">
        <f t="shared" si="492"/>
        <v>4</v>
      </c>
      <c r="S268" s="121">
        <f>IF(R268=1,Cal!$AB$127,0)</f>
        <v>0</v>
      </c>
      <c r="U268" s="70">
        <f t="shared" si="558"/>
        <v>0</v>
      </c>
      <c r="V268" s="2178">
        <f t="shared" ca="1" si="605"/>
        <v>0</v>
      </c>
      <c r="X268" s="398"/>
      <c r="AS268" s="200"/>
      <c r="ET268" s="146">
        <f>SUM(ET25:ET264)</f>
        <v>0</v>
      </c>
      <c r="EU268" s="146">
        <f>SUM(EU25:EU264)</f>
        <v>0</v>
      </c>
      <c r="IK268" s="217"/>
    </row>
    <row r="269" spans="1:264">
      <c r="A269" s="1998">
        <f t="shared" ca="1" si="456"/>
        <v>8</v>
      </c>
      <c r="C269" s="33">
        <f t="shared" si="598"/>
        <v>0</v>
      </c>
      <c r="D269" s="123">
        <f t="shared" si="599"/>
        <v>0</v>
      </c>
      <c r="E269" s="123">
        <f t="shared" si="600"/>
        <v>0</v>
      </c>
      <c r="F269" s="123">
        <f t="shared" si="601"/>
        <v>0</v>
      </c>
      <c r="G269" s="123">
        <f>IF(L268&lt;0.01,0,IF(Adm!$S$4=Adm!$S$8,L268*$L$15,L268*Adm!$V$4))</f>
        <v>0</v>
      </c>
      <c r="H269" s="123">
        <f>IF(L268&lt;0.01,0,IF(Adm!$S$5=Adm!$S$8,Adm!$AA$11*$L$16/1.16,IF(Adm!$B$4=Adm!$A$119,0,Adm!$AA$11*Adm!$X$4/1.16)))</f>
        <v>0</v>
      </c>
      <c r="I269" s="123">
        <f>IF(L268&lt;0.01,0,Cal!$AB$126/1.16)</f>
        <v>0</v>
      </c>
      <c r="J269" s="123">
        <f t="shared" si="602"/>
        <v>0</v>
      </c>
      <c r="K269" s="123">
        <f>IF(Adm!$G$4="si",MIN(L268+D269+G269+H269+I269-J269,V269),0)</f>
        <v>0</v>
      </c>
      <c r="L269" s="123">
        <f t="shared" si="603"/>
        <v>0</v>
      </c>
      <c r="M269" s="74"/>
      <c r="N269" s="74"/>
      <c r="O269" s="407">
        <f t="shared" si="604"/>
        <v>0</v>
      </c>
      <c r="R269" s="90">
        <f t="shared" si="492"/>
        <v>5</v>
      </c>
      <c r="S269" s="121">
        <f>IF(R269=1,Cal!$AB$127,0)</f>
        <v>0</v>
      </c>
      <c r="U269" s="70">
        <f t="shared" si="558"/>
        <v>0</v>
      </c>
      <c r="V269" s="2178">
        <f t="shared" ca="1" si="605"/>
        <v>0</v>
      </c>
      <c r="X269" s="398"/>
      <c r="AS269" s="200"/>
      <c r="IK269" s="217"/>
    </row>
    <row r="270" spans="1:264">
      <c r="A270" s="1998">
        <f t="shared" ca="1" si="456"/>
        <v>9</v>
      </c>
      <c r="C270" s="33">
        <f t="shared" si="598"/>
        <v>0</v>
      </c>
      <c r="D270" s="123">
        <f t="shared" si="599"/>
        <v>0</v>
      </c>
      <c r="E270" s="123">
        <f t="shared" si="600"/>
        <v>0</v>
      </c>
      <c r="F270" s="123">
        <f t="shared" si="601"/>
        <v>0</v>
      </c>
      <c r="G270" s="123">
        <f>IF(L269&lt;0.01,0,IF(Adm!$S$4=Adm!$S$8,L269*$L$15,L269*Adm!$V$4))</f>
        <v>0</v>
      </c>
      <c r="H270" s="123">
        <f>IF(L269&lt;0.01,0,IF(Adm!$S$5=Adm!$S$8,Adm!$AA$11*$L$16/1.16,IF(Adm!$B$4=Adm!$A$119,0,Adm!$AA$11*Adm!$X$4/1.16)))</f>
        <v>0</v>
      </c>
      <c r="I270" s="123">
        <f>IF(L269&lt;0.01,0,Cal!$AB$126/1.16)</f>
        <v>0</v>
      </c>
      <c r="J270" s="123">
        <f t="shared" si="602"/>
        <v>0</v>
      </c>
      <c r="K270" s="123">
        <f>IF(Adm!$G$4="si",MIN(L269+D270+G270+H270+I270-J270,V270),0)</f>
        <v>0</v>
      </c>
      <c r="L270" s="123">
        <f t="shared" si="603"/>
        <v>0</v>
      </c>
      <c r="M270" s="74"/>
      <c r="N270" s="74"/>
      <c r="O270" s="407">
        <f t="shared" si="604"/>
        <v>0</v>
      </c>
      <c r="R270" s="90">
        <f t="shared" si="492"/>
        <v>6</v>
      </c>
      <c r="S270" s="121">
        <f>IF(R270=1,Cal!$AB$127,0)</f>
        <v>0</v>
      </c>
      <c r="U270" s="70">
        <f t="shared" si="558"/>
        <v>0</v>
      </c>
      <c r="V270" s="2178">
        <f t="shared" ca="1" si="605"/>
        <v>0</v>
      </c>
      <c r="AS270" s="200"/>
      <c r="HQ270" s="77"/>
      <c r="HW270" s="183"/>
      <c r="HX270" s="183"/>
      <c r="HY270" s="183"/>
      <c r="IK270" s="217"/>
      <c r="IP270" s="77"/>
      <c r="IV270" s="183"/>
      <c r="IW270" s="183"/>
      <c r="IX270" s="183"/>
    </row>
    <row r="271" spans="1:264">
      <c r="A271" s="1998">
        <f t="shared" ca="1" si="456"/>
        <v>10</v>
      </c>
      <c r="C271" s="33">
        <f t="shared" si="598"/>
        <v>0</v>
      </c>
      <c r="D271" s="123">
        <f t="shared" si="599"/>
        <v>0</v>
      </c>
      <c r="E271" s="123">
        <f t="shared" si="600"/>
        <v>0</v>
      </c>
      <c r="F271" s="123">
        <f t="shared" si="601"/>
        <v>0</v>
      </c>
      <c r="G271" s="123">
        <f>IF(L270&lt;0.01,0,IF(Adm!$S$4=Adm!$S$8,L270*$L$15,L270*Adm!$V$4))</f>
        <v>0</v>
      </c>
      <c r="H271" s="123">
        <f>IF(L270&lt;0.01,0,IF(Adm!$S$5=Adm!$S$8,Adm!$AA$11*$L$16/1.16,IF(Adm!$B$4=Adm!$A$119,0,Adm!$AA$11*Adm!$X$4/1.16)))</f>
        <v>0</v>
      </c>
      <c r="I271" s="123">
        <f>IF(L270&lt;0.01,0,Cal!$AB$126/1.16)</f>
        <v>0</v>
      </c>
      <c r="J271" s="123">
        <f t="shared" si="602"/>
        <v>0</v>
      </c>
      <c r="K271" s="123">
        <f>IF(Adm!$G$4="si",MIN(L270+D271+G271+H271+I271-J271,V271),0)</f>
        <v>0</v>
      </c>
      <c r="L271" s="123">
        <f t="shared" si="603"/>
        <v>0</v>
      </c>
      <c r="M271" s="74"/>
      <c r="N271" s="74"/>
      <c r="O271" s="407">
        <f t="shared" si="604"/>
        <v>0</v>
      </c>
      <c r="R271" s="90">
        <f t="shared" si="492"/>
        <v>7</v>
      </c>
      <c r="S271" s="121">
        <f>IF(R271=1,Cal!$AB$127,0)</f>
        <v>0</v>
      </c>
      <c r="U271" s="70">
        <f t="shared" si="558"/>
        <v>0</v>
      </c>
      <c r="V271" s="2178">
        <f t="shared" ca="1" si="605"/>
        <v>0</v>
      </c>
      <c r="AS271" s="200"/>
      <c r="IK271" s="217"/>
      <c r="IU271" s="185"/>
      <c r="IV271" s="185"/>
    </row>
    <row r="272" spans="1:264">
      <c r="A272" s="1998">
        <f t="shared" ca="1" si="456"/>
        <v>11</v>
      </c>
      <c r="C272" s="33">
        <f t="shared" si="598"/>
        <v>0</v>
      </c>
      <c r="D272" s="123">
        <f t="shared" si="599"/>
        <v>0</v>
      </c>
      <c r="E272" s="123">
        <f t="shared" si="600"/>
        <v>0</v>
      </c>
      <c r="F272" s="123">
        <f t="shared" si="601"/>
        <v>0</v>
      </c>
      <c r="G272" s="123">
        <f>IF(L271&lt;0.01,0,IF(Adm!$S$4=Adm!$S$8,L271*$L$15,L271*Adm!$V$4))</f>
        <v>0</v>
      </c>
      <c r="H272" s="123">
        <f>IF(L271&lt;0.01,0,IF(Adm!$S$5=Adm!$S$8,Adm!$AA$11*$L$16/1.16,IF(Adm!$B$4=Adm!$A$119,0,Adm!$AA$11*Adm!$X$4/1.16)))</f>
        <v>0</v>
      </c>
      <c r="I272" s="123">
        <f>IF(L271&lt;0.01,0,Cal!$AB$126/1.16)</f>
        <v>0</v>
      </c>
      <c r="J272" s="123">
        <f t="shared" si="602"/>
        <v>0</v>
      </c>
      <c r="K272" s="123">
        <f>IF(Adm!$G$4="si",MIN(L271+D272+G272+H272+I272-J272,V272),0)</f>
        <v>0</v>
      </c>
      <c r="L272" s="123">
        <f t="shared" si="603"/>
        <v>0</v>
      </c>
      <c r="M272" s="74"/>
      <c r="N272" s="74"/>
      <c r="O272" s="407">
        <f t="shared" si="604"/>
        <v>0</v>
      </c>
      <c r="R272" s="90">
        <f t="shared" si="492"/>
        <v>8</v>
      </c>
      <c r="S272" s="121">
        <f>IF(R272=1,Cal!$AB$127,0)</f>
        <v>0</v>
      </c>
      <c r="U272" s="70">
        <f t="shared" si="558"/>
        <v>0</v>
      </c>
      <c r="V272" s="2178">
        <f t="shared" ca="1" si="605"/>
        <v>0</v>
      </c>
      <c r="AS272" s="200"/>
      <c r="CX272" s="74"/>
      <c r="EP272" s="74"/>
      <c r="GH272" s="74"/>
      <c r="HS272" s="30"/>
      <c r="HY272" s="29"/>
      <c r="IK272" s="217"/>
      <c r="IR272" s="30"/>
      <c r="IU272" s="185"/>
      <c r="IV272" s="185"/>
      <c r="IX272" s="29"/>
    </row>
    <row r="273" spans="1:251">
      <c r="A273" s="1998">
        <f t="shared" ca="1" si="456"/>
        <v>12</v>
      </c>
      <c r="C273" s="33">
        <f t="shared" si="598"/>
        <v>0</v>
      </c>
      <c r="D273" s="123">
        <f t="shared" si="599"/>
        <v>0</v>
      </c>
      <c r="E273" s="123">
        <f t="shared" si="600"/>
        <v>0</v>
      </c>
      <c r="F273" s="123">
        <f t="shared" si="601"/>
        <v>0</v>
      </c>
      <c r="G273" s="123">
        <f>IF(L272&lt;0.01,0,IF(Adm!$S$4=Adm!$S$8,L272*$L$15,L272*Adm!$V$4))</f>
        <v>0</v>
      </c>
      <c r="H273" s="123">
        <f>IF(L272&lt;0.01,0,IF(Adm!$S$5=Adm!$S$8,Adm!$AA$11*$L$16/1.16,IF(Adm!$B$4=Adm!$A$119,0,Adm!$AA$11*Adm!$X$4/1.16)))</f>
        <v>0</v>
      </c>
      <c r="I273" s="123">
        <f>IF(L272&lt;0.01,0,Cal!$AB$126/1.16)</f>
        <v>0</v>
      </c>
      <c r="J273" s="123">
        <f t="shared" si="602"/>
        <v>0</v>
      </c>
      <c r="K273" s="123">
        <f>IF(Adm!$G$4="si",MIN(L272+D273+G273+H273+I273-J273,V273),0)</f>
        <v>0</v>
      </c>
      <c r="L273" s="123">
        <f t="shared" si="603"/>
        <v>0</v>
      </c>
      <c r="M273" s="74"/>
      <c r="N273" s="74"/>
      <c r="O273" s="407">
        <f t="shared" si="604"/>
        <v>0</v>
      </c>
      <c r="R273" s="90">
        <f t="shared" si="492"/>
        <v>9</v>
      </c>
      <c r="S273" s="121">
        <f>IF(R273=1,Cal!$AB$127,0)</f>
        <v>0</v>
      </c>
      <c r="U273" s="70">
        <f t="shared" si="558"/>
        <v>0</v>
      </c>
      <c r="V273" s="2178">
        <f t="shared" ca="1" si="605"/>
        <v>0</v>
      </c>
      <c r="AS273" s="200"/>
      <c r="IK273" s="217"/>
    </row>
    <row r="274" spans="1:251">
      <c r="A274" s="1998">
        <f t="shared" ca="1" si="456"/>
        <v>1</v>
      </c>
      <c r="C274" s="33">
        <f t="shared" si="598"/>
        <v>0</v>
      </c>
      <c r="D274" s="123">
        <f t="shared" si="599"/>
        <v>0</v>
      </c>
      <c r="E274" s="123">
        <f t="shared" si="600"/>
        <v>0</v>
      </c>
      <c r="F274" s="123">
        <f t="shared" si="601"/>
        <v>0</v>
      </c>
      <c r="G274" s="123">
        <f>IF(L273&lt;0.01,0,IF(Adm!$S$4=Adm!$S$8,L273*$L$15,L273*Adm!$V$4))</f>
        <v>0</v>
      </c>
      <c r="H274" s="123">
        <f>IF(L273&lt;0.01,0,IF(Adm!$S$5=Adm!$S$8,Adm!$AA$11*$L$16/1.16,IF(Adm!$B$4=Adm!$A$119,0,Adm!$AA$11*Adm!$X$4/1.16)))</f>
        <v>0</v>
      </c>
      <c r="I274" s="123">
        <f>IF(L273&lt;0.01,0,Cal!$AB$126/1.16)</f>
        <v>0</v>
      </c>
      <c r="J274" s="123">
        <f t="shared" si="602"/>
        <v>0</v>
      </c>
      <c r="K274" s="123">
        <f>IF(Adm!$G$4="si",MIN(L273+D274+G274+H274+I274-J274,V274),0)</f>
        <v>0</v>
      </c>
      <c r="L274" s="123">
        <f t="shared" si="603"/>
        <v>0</v>
      </c>
      <c r="M274" s="74"/>
      <c r="N274" s="74"/>
      <c r="O274" s="407">
        <f t="shared" si="604"/>
        <v>0</v>
      </c>
      <c r="R274" s="90">
        <f t="shared" si="492"/>
        <v>10</v>
      </c>
      <c r="S274" s="121">
        <f>IF(R274=1,Cal!$AB$127,0)</f>
        <v>0</v>
      </c>
      <c r="U274" s="70">
        <f t="shared" si="558"/>
        <v>0</v>
      </c>
      <c r="V274" s="2178">
        <f t="shared" ca="1" si="605"/>
        <v>0</v>
      </c>
      <c r="AS274" s="200"/>
      <c r="HY274" s="40"/>
      <c r="IK274" s="217"/>
    </row>
    <row r="275" spans="1:251">
      <c r="A275" s="1998">
        <f t="shared" ca="1" si="456"/>
        <v>2</v>
      </c>
      <c r="C275" s="33">
        <f t="shared" si="598"/>
        <v>0</v>
      </c>
      <c r="D275" s="123">
        <f t="shared" si="599"/>
        <v>0</v>
      </c>
      <c r="E275" s="123">
        <f t="shared" si="600"/>
        <v>0</v>
      </c>
      <c r="F275" s="123">
        <f t="shared" si="601"/>
        <v>0</v>
      </c>
      <c r="G275" s="123">
        <f>IF(L274&lt;0.01,0,IF(Adm!$S$4=Adm!$S$8,L274*$L$15,L274*Adm!$V$4))</f>
        <v>0</v>
      </c>
      <c r="H275" s="123">
        <f>IF(L274&lt;0.01,0,IF(Adm!$S$5=Adm!$S$8,Adm!$AA$11*$L$16/1.16,IF(Adm!$B$4=Adm!$A$119,0,Adm!$AA$11*Adm!$X$4/1.16)))</f>
        <v>0</v>
      </c>
      <c r="I275" s="123">
        <f>IF(L274&lt;0.01,0,Cal!$AB$126/1.16)</f>
        <v>0</v>
      </c>
      <c r="J275" s="123">
        <f t="shared" si="602"/>
        <v>0</v>
      </c>
      <c r="K275" s="123">
        <f>IF(Adm!$G$4="si",MIN(L274+D275+G275+H275+I275-J275,V275),0)</f>
        <v>0</v>
      </c>
      <c r="L275" s="123">
        <f t="shared" si="603"/>
        <v>0</v>
      </c>
      <c r="M275" s="74"/>
      <c r="N275" s="74"/>
      <c r="O275" s="407">
        <f t="shared" si="604"/>
        <v>0</v>
      </c>
      <c r="R275" s="90">
        <f t="shared" si="492"/>
        <v>11</v>
      </c>
      <c r="S275" s="121">
        <f>IF(R275=1,Cal!$AB$127,0)</f>
        <v>0</v>
      </c>
      <c r="U275" s="70">
        <f t="shared" si="558"/>
        <v>0</v>
      </c>
      <c r="V275" s="2178">
        <f t="shared" ca="1" si="605"/>
        <v>0</v>
      </c>
      <c r="AS275" s="200"/>
      <c r="IK275" s="217"/>
    </row>
    <row r="276" spans="1:251" ht="21">
      <c r="A276" s="1998">
        <f t="shared" ca="1" si="456"/>
        <v>3</v>
      </c>
      <c r="C276" s="33">
        <f t="shared" si="598"/>
        <v>0</v>
      </c>
      <c r="D276" s="123">
        <f t="shared" si="599"/>
        <v>0</v>
      </c>
      <c r="E276" s="123">
        <f t="shared" si="600"/>
        <v>0</v>
      </c>
      <c r="F276" s="123">
        <f t="shared" si="601"/>
        <v>0</v>
      </c>
      <c r="G276" s="123">
        <f>IF(L275&lt;0.01,0,IF(Adm!$S$4=Adm!$S$8,L275*$L$15,L275*Adm!$V$4))</f>
        <v>0</v>
      </c>
      <c r="H276" s="123">
        <f>IF(L275&lt;0.01,0,IF(Adm!$S$5=Adm!$S$8,Adm!$AA$11*$L$16/1.16,IF(Adm!$B$4=Adm!$A$119,0,Adm!$AA$11*Adm!$X$4/1.16)))</f>
        <v>0</v>
      </c>
      <c r="I276" s="123">
        <f>IF(L275&lt;0.01,0,Cal!$AB$126/1.16)</f>
        <v>0</v>
      </c>
      <c r="J276" s="123">
        <f t="shared" si="602"/>
        <v>0</v>
      </c>
      <c r="K276" s="123">
        <f>IF(Adm!$G$4="si",MIN(L275+D276+G276+H276+I276-J276,V276),0)</f>
        <v>0</v>
      </c>
      <c r="L276" s="123">
        <f t="shared" si="603"/>
        <v>0</v>
      </c>
      <c r="M276" s="74"/>
      <c r="N276" s="74"/>
      <c r="O276" s="407">
        <f t="shared" si="604"/>
        <v>0</v>
      </c>
      <c r="R276" s="90">
        <f t="shared" si="492"/>
        <v>12</v>
      </c>
      <c r="S276" s="121">
        <f>IF(R276=1,Cal!$AB$127,0)</f>
        <v>0</v>
      </c>
      <c r="U276" s="70">
        <f t="shared" si="558"/>
        <v>0</v>
      </c>
      <c r="V276" s="2178">
        <f t="shared" ca="1" si="605"/>
        <v>0</v>
      </c>
      <c r="AS276" s="200"/>
      <c r="HQ276" s="37"/>
      <c r="HR276" s="184"/>
      <c r="IK276" s="217"/>
      <c r="IP276" s="37"/>
      <c r="IQ276" s="184"/>
    </row>
    <row r="277" spans="1:251">
      <c r="A277" s="1998">
        <f t="shared" ca="1" si="456"/>
        <v>4</v>
      </c>
      <c r="C277" s="33">
        <f t="shared" si="598"/>
        <v>0</v>
      </c>
      <c r="D277" s="123">
        <f t="shared" si="599"/>
        <v>0</v>
      </c>
      <c r="E277" s="123">
        <f t="shared" si="600"/>
        <v>0</v>
      </c>
      <c r="F277" s="123">
        <f t="shared" si="601"/>
        <v>0</v>
      </c>
      <c r="G277" s="123">
        <f>IF(L276&lt;0.01,0,IF(Adm!$S$4=Adm!$S$8,L276*$L$15,L276*Adm!$V$4))</f>
        <v>0</v>
      </c>
      <c r="H277" s="123">
        <f>IF(L276&lt;0.01,0,IF(Adm!$S$5=Adm!$S$8,Adm!$AA$11*$L$16/1.16,IF(Adm!$B$4=Adm!$A$119,0,Adm!$AA$11*Adm!$X$4/1.16)))</f>
        <v>0</v>
      </c>
      <c r="I277" s="123">
        <f>IF(L276&lt;0.01,0,Cal!$AB$126/1.16)</f>
        <v>0</v>
      </c>
      <c r="J277" s="123">
        <f t="shared" si="602"/>
        <v>0</v>
      </c>
      <c r="K277" s="123">
        <f>IF(Adm!$G$4="si",MIN(L276+D277+G277+H277+I277-J277,V277),0)</f>
        <v>0</v>
      </c>
      <c r="L277" s="123">
        <f t="shared" si="603"/>
        <v>0</v>
      </c>
      <c r="M277" s="74"/>
      <c r="N277" s="74"/>
      <c r="O277" s="407">
        <f t="shared" si="604"/>
        <v>0</v>
      </c>
      <c r="R277" s="90">
        <f t="shared" si="492"/>
        <v>1</v>
      </c>
      <c r="S277" s="121">
        <f>IF(R277=1,Cal!$AB$127,0)</f>
        <v>0</v>
      </c>
      <c r="U277" s="70">
        <f t="shared" si="558"/>
        <v>0</v>
      </c>
      <c r="V277" s="2178">
        <f t="shared" ca="1" si="605"/>
        <v>0</v>
      </c>
      <c r="AS277" s="200"/>
      <c r="HY277" s="185"/>
      <c r="IK277" s="217"/>
    </row>
    <row r="278" spans="1:251">
      <c r="A278" s="1998">
        <f t="shared" ca="1" si="456"/>
        <v>5</v>
      </c>
      <c r="C278" s="33">
        <f t="shared" si="598"/>
        <v>0</v>
      </c>
      <c r="D278" s="123">
        <f t="shared" si="599"/>
        <v>0</v>
      </c>
      <c r="E278" s="123">
        <f t="shared" si="600"/>
        <v>0</v>
      </c>
      <c r="F278" s="123">
        <f t="shared" si="601"/>
        <v>0</v>
      </c>
      <c r="G278" s="123">
        <f>IF(L277&lt;0.01,0,IF(Adm!$S$4=Adm!$S$8,L277*$L$15,L277*Adm!$V$4))</f>
        <v>0</v>
      </c>
      <c r="H278" s="123">
        <f>IF(L277&lt;0.01,0,IF(Adm!$S$5=Adm!$S$8,Adm!$AA$11*$L$16/1.16,IF(Adm!$B$4=Adm!$A$119,0,Adm!$AA$11*Adm!$X$4/1.16)))</f>
        <v>0</v>
      </c>
      <c r="I278" s="123">
        <f>IF(L277&lt;0.01,0,Cal!$AB$126/1.16)</f>
        <v>0</v>
      </c>
      <c r="J278" s="123">
        <f t="shared" si="602"/>
        <v>0</v>
      </c>
      <c r="K278" s="123">
        <f>IF(Adm!$G$4="si",MIN(L277+D278+G278+H278+I278-J278,V278),0)</f>
        <v>0</v>
      </c>
      <c r="L278" s="123">
        <f t="shared" si="603"/>
        <v>0</v>
      </c>
      <c r="M278" s="74"/>
      <c r="N278" s="74"/>
      <c r="O278" s="407">
        <f t="shared" si="604"/>
        <v>0</v>
      </c>
      <c r="R278" s="90">
        <f t="shared" si="492"/>
        <v>2</v>
      </c>
      <c r="S278" s="121">
        <f>IF(R278=1,Cal!$AB$127,0)</f>
        <v>0</v>
      </c>
      <c r="U278" s="70">
        <f t="shared" si="558"/>
        <v>0</v>
      </c>
      <c r="V278" s="2178">
        <f t="shared" ca="1" si="605"/>
        <v>0</v>
      </c>
      <c r="AS278" s="200"/>
      <c r="IK278" s="217"/>
    </row>
    <row r="279" spans="1:251" ht="21">
      <c r="A279" s="1998">
        <f t="shared" ca="1" si="456"/>
        <v>6</v>
      </c>
      <c r="C279" s="33">
        <f t="shared" si="598"/>
        <v>0</v>
      </c>
      <c r="D279" s="123">
        <f t="shared" si="599"/>
        <v>0</v>
      </c>
      <c r="E279" s="123">
        <f t="shared" si="600"/>
        <v>0</v>
      </c>
      <c r="F279" s="123">
        <f t="shared" si="601"/>
        <v>0</v>
      </c>
      <c r="G279" s="123">
        <f>IF(L278&lt;0.01,0,IF(Adm!$S$4=Adm!$S$8,L278*$L$15,L278*Adm!$V$4))</f>
        <v>0</v>
      </c>
      <c r="H279" s="123">
        <f>IF(L278&lt;0.01,0,IF(Adm!$S$5=Adm!$S$8,Adm!$AA$11*$L$16/1.16,IF(Adm!$B$4=Adm!$A$119,0,Adm!$AA$11*Adm!$X$4/1.16)))</f>
        <v>0</v>
      </c>
      <c r="I279" s="123">
        <f>IF(L278&lt;0.01,0,Cal!$AB$126/1.16)</f>
        <v>0</v>
      </c>
      <c r="J279" s="123">
        <f t="shared" si="602"/>
        <v>0</v>
      </c>
      <c r="K279" s="123">
        <f>IF(Adm!$G$4="si",MIN(L278+D279+G279+H279+I279-J279,V279),0)</f>
        <v>0</v>
      </c>
      <c r="L279" s="123">
        <f t="shared" si="603"/>
        <v>0</v>
      </c>
      <c r="M279" s="74"/>
      <c r="N279" s="74"/>
      <c r="O279" s="407">
        <f t="shared" si="604"/>
        <v>0</v>
      </c>
      <c r="R279" s="90">
        <f t="shared" si="492"/>
        <v>3</v>
      </c>
      <c r="S279" s="121">
        <f>IF(R279=1,Cal!$AB$127,0)</f>
        <v>0</v>
      </c>
      <c r="U279" s="70">
        <f t="shared" si="558"/>
        <v>0</v>
      </c>
      <c r="V279" s="2178">
        <f t="shared" ca="1" si="605"/>
        <v>0</v>
      </c>
      <c r="AS279" s="200"/>
      <c r="HS279" s="34"/>
      <c r="HY279" s="32"/>
      <c r="IK279" s="217"/>
    </row>
    <row r="280" spans="1:251">
      <c r="A280" s="1998">
        <f t="shared" ca="1" si="456"/>
        <v>7</v>
      </c>
      <c r="C280" s="33">
        <f t="shared" si="598"/>
        <v>0</v>
      </c>
      <c r="D280" s="123">
        <f t="shared" si="599"/>
        <v>0</v>
      </c>
      <c r="E280" s="123">
        <f t="shared" si="600"/>
        <v>0</v>
      </c>
      <c r="F280" s="123">
        <f t="shared" si="601"/>
        <v>0</v>
      </c>
      <c r="G280" s="123">
        <f>IF(L279&lt;0.01,0,IF(Adm!$S$4=Adm!$S$8,L279*$L$15,L279*Adm!$V$4))</f>
        <v>0</v>
      </c>
      <c r="H280" s="123">
        <f>IF(L279&lt;0.01,0,IF(Adm!$S$5=Adm!$S$8,Adm!$AA$11*$L$16/1.16,IF(Adm!$B$4=Adm!$A$119,0,Adm!$AA$11*Adm!$X$4/1.16)))</f>
        <v>0</v>
      </c>
      <c r="I280" s="123">
        <f>IF(L279&lt;0.01,0,Cal!$AB$126/1.16)</f>
        <v>0</v>
      </c>
      <c r="J280" s="123">
        <f t="shared" si="602"/>
        <v>0</v>
      </c>
      <c r="K280" s="123">
        <f>IF(Adm!$G$4="si",MIN(L279+D280+G280+H280+I280-J280,V280),0)</f>
        <v>0</v>
      </c>
      <c r="L280" s="123">
        <f t="shared" si="603"/>
        <v>0</v>
      </c>
      <c r="M280" s="74"/>
      <c r="N280" s="74"/>
      <c r="O280" s="407">
        <f t="shared" si="604"/>
        <v>0</v>
      </c>
      <c r="R280" s="90">
        <f t="shared" si="492"/>
        <v>4</v>
      </c>
      <c r="S280" s="121">
        <f>IF(R280=1,Cal!$AB$127,0)</f>
        <v>0</v>
      </c>
      <c r="U280" s="70">
        <f t="shared" si="558"/>
        <v>0</v>
      </c>
      <c r="V280" s="2178">
        <f t="shared" ca="1" si="605"/>
        <v>0</v>
      </c>
      <c r="AS280" s="200"/>
      <c r="IA280" s="35"/>
      <c r="IK280" s="217"/>
    </row>
    <row r="281" spans="1:251">
      <c r="A281" s="1998">
        <f t="shared" ref="A281:A324" ca="1" si="612">IF(A280=12,1,A280+1)</f>
        <v>8</v>
      </c>
      <c r="C281" s="33">
        <f t="shared" si="598"/>
        <v>0</v>
      </c>
      <c r="D281" s="123">
        <f t="shared" si="599"/>
        <v>0</v>
      </c>
      <c r="E281" s="123">
        <f t="shared" si="600"/>
        <v>0</v>
      </c>
      <c r="F281" s="123">
        <f t="shared" si="601"/>
        <v>0</v>
      </c>
      <c r="G281" s="123">
        <f>IF(L280&lt;0.01,0,IF(Adm!$S$4=Adm!$S$8,L280*$L$15,L280*Adm!$V$4))</f>
        <v>0</v>
      </c>
      <c r="H281" s="123">
        <f>IF(L280&lt;0.01,0,IF(Adm!$S$5=Adm!$S$8,Adm!$AA$11*$L$16/1.16,IF(Adm!$B$4=Adm!$A$119,0,Adm!$AA$11*Adm!$X$4/1.16)))</f>
        <v>0</v>
      </c>
      <c r="I281" s="123">
        <f>IF(L280&lt;0.01,0,Cal!$AB$126/1.16)</f>
        <v>0</v>
      </c>
      <c r="J281" s="123">
        <f t="shared" si="602"/>
        <v>0</v>
      </c>
      <c r="K281" s="123">
        <f>IF(Adm!$G$4="si",MIN(L280+D281+G281+H281+I281-J281,V281),0)</f>
        <v>0</v>
      </c>
      <c r="L281" s="123">
        <f t="shared" si="603"/>
        <v>0</v>
      </c>
      <c r="M281" s="74"/>
      <c r="N281" s="74"/>
      <c r="O281" s="407">
        <f t="shared" si="604"/>
        <v>0</v>
      </c>
      <c r="R281" s="90">
        <f t="shared" si="492"/>
        <v>5</v>
      </c>
      <c r="S281" s="121">
        <f>IF(R281=1,Cal!$AB$127,0)</f>
        <v>0</v>
      </c>
      <c r="U281" s="70">
        <f t="shared" si="558"/>
        <v>0</v>
      </c>
      <c r="V281" s="2178">
        <f t="shared" ca="1" si="605"/>
        <v>0</v>
      </c>
      <c r="AS281" s="200"/>
      <c r="HO281" s="2381"/>
      <c r="HP281" s="2381"/>
      <c r="HQ281" s="2381"/>
      <c r="HR281" s="2381"/>
      <c r="IK281" s="217"/>
      <c r="IN281" s="2381"/>
      <c r="IO281" s="2381"/>
      <c r="IP281" s="2381"/>
      <c r="IQ281" s="2381"/>
    </row>
    <row r="282" spans="1:251">
      <c r="A282" s="1998">
        <f t="shared" ca="1" si="612"/>
        <v>9</v>
      </c>
      <c r="C282" s="33">
        <f t="shared" si="598"/>
        <v>0</v>
      </c>
      <c r="D282" s="123">
        <f t="shared" si="599"/>
        <v>0</v>
      </c>
      <c r="E282" s="123">
        <f t="shared" si="600"/>
        <v>0</v>
      </c>
      <c r="F282" s="123">
        <f t="shared" si="601"/>
        <v>0</v>
      </c>
      <c r="G282" s="123">
        <f>IF(L281&lt;0.01,0,IF(Adm!$S$4=Adm!$S$8,L281*$L$15,L281*Adm!$V$4))</f>
        <v>0</v>
      </c>
      <c r="H282" s="123">
        <f>IF(L281&lt;0.01,0,IF(Adm!$S$5=Adm!$S$8,Adm!$AA$11*$L$16/1.16,IF(Adm!$B$4=Adm!$A$119,0,Adm!$AA$11*Adm!$X$4/1.16)))</f>
        <v>0</v>
      </c>
      <c r="I282" s="123">
        <f>IF(L281&lt;0.01,0,Cal!$AB$126/1.16)</f>
        <v>0</v>
      </c>
      <c r="J282" s="123">
        <f t="shared" si="602"/>
        <v>0</v>
      </c>
      <c r="K282" s="123">
        <f>IF(Adm!$G$4="si",MIN(L281+D282+G282+H282+I282-J282,V282),0)</f>
        <v>0</v>
      </c>
      <c r="L282" s="123">
        <f t="shared" si="603"/>
        <v>0</v>
      </c>
      <c r="M282" s="74"/>
      <c r="N282" s="74"/>
      <c r="O282" s="407">
        <f t="shared" si="604"/>
        <v>0</v>
      </c>
      <c r="R282" s="90">
        <f t="shared" ref="R282:R324" si="613">IF(R281=12,1,R281+1)</f>
        <v>6</v>
      </c>
      <c r="S282" s="121">
        <f>IF(R282=1,Cal!$AB$127,0)</f>
        <v>0</v>
      </c>
      <c r="U282" s="70">
        <f t="shared" si="558"/>
        <v>0</v>
      </c>
      <c r="V282" s="2178">
        <f t="shared" ca="1" si="605"/>
        <v>0</v>
      </c>
      <c r="AS282" s="200"/>
      <c r="IK282" s="217"/>
    </row>
    <row r="283" spans="1:251">
      <c r="A283" s="1998">
        <f t="shared" ca="1" si="612"/>
        <v>10</v>
      </c>
      <c r="C283" s="33">
        <f t="shared" si="598"/>
        <v>0</v>
      </c>
      <c r="D283" s="123">
        <f t="shared" si="599"/>
        <v>0</v>
      </c>
      <c r="E283" s="123">
        <f t="shared" si="600"/>
        <v>0</v>
      </c>
      <c r="F283" s="123">
        <f t="shared" si="601"/>
        <v>0</v>
      </c>
      <c r="G283" s="123">
        <f>IF(L282&lt;0.01,0,IF(Adm!$S$4=Adm!$S$8,L282*$L$15,L282*Adm!$V$4))</f>
        <v>0</v>
      </c>
      <c r="H283" s="123">
        <f>IF(L282&lt;0.01,0,IF(Adm!$S$5=Adm!$S$8,Adm!$AA$11*$L$16/1.16,IF(Adm!$B$4=Adm!$A$119,0,Adm!$AA$11*Adm!$X$4/1.16)))</f>
        <v>0</v>
      </c>
      <c r="I283" s="123">
        <f>IF(L282&lt;0.01,0,Cal!$AB$126/1.16)</f>
        <v>0</v>
      </c>
      <c r="J283" s="123">
        <f t="shared" si="602"/>
        <v>0</v>
      </c>
      <c r="K283" s="123">
        <f>IF(Adm!$G$4="si",MIN(L282+D283+G283+H283+I283-J283,V283),0)</f>
        <v>0</v>
      </c>
      <c r="L283" s="123">
        <f t="shared" si="603"/>
        <v>0</v>
      </c>
      <c r="M283" s="74"/>
      <c r="N283" s="74"/>
      <c r="O283" s="407">
        <f t="shared" si="604"/>
        <v>0</v>
      </c>
      <c r="R283" s="90">
        <f t="shared" si="613"/>
        <v>7</v>
      </c>
      <c r="S283" s="121">
        <f>IF(R283=1,Cal!$AB$127,0)</f>
        <v>0</v>
      </c>
      <c r="U283" s="70">
        <f t="shared" ref="U283:U324" si="614">U282</f>
        <v>0</v>
      </c>
      <c r="V283" s="2178">
        <f t="shared" ca="1" si="605"/>
        <v>0</v>
      </c>
      <c r="AS283" s="200"/>
      <c r="HO283" s="186"/>
      <c r="HP283" s="186"/>
      <c r="HQ283" s="186"/>
      <c r="HR283" s="186"/>
      <c r="HS283" s="186"/>
      <c r="HT283" s="186"/>
      <c r="HU283" s="186"/>
      <c r="HV283" s="186"/>
      <c r="HW283" s="186"/>
      <c r="HX283" s="187"/>
      <c r="HY283" s="186"/>
      <c r="IA283" s="188"/>
      <c r="IC283" s="100"/>
      <c r="ID283" s="20"/>
      <c r="IK283" s="217"/>
      <c r="IN283" s="186"/>
      <c r="IO283" s="186"/>
      <c r="IP283" s="186"/>
      <c r="IQ283" s="186"/>
    </row>
    <row r="284" spans="1:251">
      <c r="A284" s="1998">
        <f t="shared" ca="1" si="612"/>
        <v>11</v>
      </c>
      <c r="C284" s="33">
        <f t="shared" si="598"/>
        <v>0</v>
      </c>
      <c r="D284" s="123">
        <f t="shared" si="599"/>
        <v>0</v>
      </c>
      <c r="E284" s="123">
        <f t="shared" si="600"/>
        <v>0</v>
      </c>
      <c r="F284" s="123">
        <f t="shared" si="601"/>
        <v>0</v>
      </c>
      <c r="G284" s="123">
        <f>IF(L283&lt;0.01,0,IF(Adm!$S$4=Adm!$S$8,L283*$L$15,L283*Adm!$V$4))</f>
        <v>0</v>
      </c>
      <c r="H284" s="123">
        <f>IF(L283&lt;0.01,0,IF(Adm!$S$5=Adm!$S$8,Adm!$AA$11*$L$16/1.16,IF(Adm!$B$4=Adm!$A$119,0,Adm!$AA$11*Adm!$X$4/1.16)))</f>
        <v>0</v>
      </c>
      <c r="I284" s="123">
        <f>IF(L283&lt;0.01,0,Cal!$AB$126/1.16)</f>
        <v>0</v>
      </c>
      <c r="J284" s="123">
        <f t="shared" si="602"/>
        <v>0</v>
      </c>
      <c r="K284" s="123">
        <f>IF(Adm!$G$4="si",MIN(L283+D284+G284+H284+I284-J284,V284),0)</f>
        <v>0</v>
      </c>
      <c r="L284" s="123">
        <f t="shared" si="603"/>
        <v>0</v>
      </c>
      <c r="M284" s="74"/>
      <c r="N284" s="74"/>
      <c r="O284" s="407">
        <f t="shared" si="604"/>
        <v>0</v>
      </c>
      <c r="R284" s="90">
        <f t="shared" si="613"/>
        <v>8</v>
      </c>
      <c r="S284" s="121">
        <f>IF(R284=1,Cal!$AB$127,0)</f>
        <v>0</v>
      </c>
      <c r="U284" s="70">
        <f t="shared" si="614"/>
        <v>0</v>
      </c>
      <c r="V284" s="2178">
        <f t="shared" ca="1" si="605"/>
        <v>0</v>
      </c>
      <c r="AS284" s="200"/>
      <c r="HO284" s="33"/>
      <c r="HP284" s="33"/>
      <c r="HQ284" s="33"/>
      <c r="HR284" s="33"/>
      <c r="HS284" s="33"/>
      <c r="HT284" s="33"/>
      <c r="HU284" s="33"/>
      <c r="HV284" s="33"/>
      <c r="HW284" s="33"/>
      <c r="HX284" s="33"/>
      <c r="HY284" s="33"/>
      <c r="IA284" s="35"/>
      <c r="IC284" s="189"/>
      <c r="ID284" s="20"/>
      <c r="IK284" s="217"/>
      <c r="IN284" s="33"/>
      <c r="IO284" s="33"/>
      <c r="IP284" s="33"/>
      <c r="IQ284" s="33"/>
    </row>
    <row r="285" spans="1:251">
      <c r="A285" s="1998">
        <f t="shared" ca="1" si="612"/>
        <v>12</v>
      </c>
      <c r="C285" s="33">
        <f t="shared" si="598"/>
        <v>0</v>
      </c>
      <c r="D285" s="123">
        <f t="shared" si="599"/>
        <v>0</v>
      </c>
      <c r="E285" s="123">
        <f t="shared" si="600"/>
        <v>0</v>
      </c>
      <c r="F285" s="123">
        <f t="shared" si="601"/>
        <v>0</v>
      </c>
      <c r="G285" s="123">
        <f>IF(L284&lt;0.01,0,IF(Adm!$S$4=Adm!$S$8,L284*$L$15,L284*Adm!$V$4))</f>
        <v>0</v>
      </c>
      <c r="H285" s="123">
        <f>IF(L284&lt;0.01,0,IF(Adm!$S$5=Adm!$S$8,Adm!$AA$11*$L$16/1.16,IF(Adm!$B$4=Adm!$A$119,0,Adm!$AA$11*Adm!$X$4/1.16)))</f>
        <v>0</v>
      </c>
      <c r="I285" s="123">
        <f>IF(L284&lt;0.01,0,Cal!$AB$126/1.16)</f>
        <v>0</v>
      </c>
      <c r="J285" s="123">
        <f t="shared" si="602"/>
        <v>0</v>
      </c>
      <c r="K285" s="123">
        <f>IF(Adm!$G$4="si",MIN(L284+D285+G285+H285+I285-J285,V285),0)</f>
        <v>0</v>
      </c>
      <c r="L285" s="123">
        <f t="shared" si="603"/>
        <v>0</v>
      </c>
      <c r="M285" s="74"/>
      <c r="N285" s="74"/>
      <c r="O285" s="407">
        <f t="shared" si="604"/>
        <v>0</v>
      </c>
      <c r="R285" s="90">
        <f t="shared" si="613"/>
        <v>9</v>
      </c>
      <c r="S285" s="121">
        <f>IF(R285=1,Cal!$AB$127,0)</f>
        <v>0</v>
      </c>
      <c r="U285" s="70">
        <f t="shared" si="614"/>
        <v>0</v>
      </c>
      <c r="V285" s="2178">
        <f t="shared" ca="1" si="605"/>
        <v>0</v>
      </c>
      <c r="AS285" s="200"/>
      <c r="HO285" s="33"/>
      <c r="HP285" s="33"/>
      <c r="HQ285" s="2176"/>
      <c r="HR285" s="33"/>
      <c r="HS285" s="33"/>
      <c r="HT285" s="33"/>
      <c r="HU285" s="33"/>
      <c r="HV285" s="33"/>
      <c r="HW285" s="33"/>
      <c r="HX285" s="33"/>
      <c r="HY285" s="33"/>
      <c r="IA285" s="31"/>
      <c r="IC285" s="190"/>
      <c r="ID285" s="190"/>
      <c r="IK285" s="217"/>
      <c r="IN285" s="33"/>
      <c r="IO285" s="33"/>
      <c r="IP285" s="2176"/>
      <c r="IQ285" s="33"/>
    </row>
    <row r="286" spans="1:251">
      <c r="A286" s="1998">
        <f t="shared" ca="1" si="612"/>
        <v>1</v>
      </c>
      <c r="C286" s="33">
        <f t="shared" si="598"/>
        <v>0</v>
      </c>
      <c r="D286" s="123">
        <f t="shared" si="599"/>
        <v>0</v>
      </c>
      <c r="E286" s="123">
        <f t="shared" si="600"/>
        <v>0</v>
      </c>
      <c r="F286" s="123">
        <f t="shared" si="601"/>
        <v>0</v>
      </c>
      <c r="G286" s="123">
        <f>IF(L285&lt;0.01,0,IF(Adm!$S$4=Adm!$S$8,L285*$L$15,L285*Adm!$V$4))</f>
        <v>0</v>
      </c>
      <c r="H286" s="123">
        <f>IF(L285&lt;0.01,0,IF(Adm!$S$5=Adm!$S$8,Adm!$AA$11*$L$16/1.16,IF(Adm!$B$4=Adm!$A$119,0,Adm!$AA$11*Adm!$X$4/1.16)))</f>
        <v>0</v>
      </c>
      <c r="I286" s="123">
        <f>IF(L285&lt;0.01,0,Cal!$AB$126/1.16)</f>
        <v>0</v>
      </c>
      <c r="J286" s="123">
        <f t="shared" si="602"/>
        <v>0</v>
      </c>
      <c r="K286" s="123">
        <f>IF(Adm!$G$4="si",MIN(L285+D286+G286+H286+I286-J286,V286),0)</f>
        <v>0</v>
      </c>
      <c r="L286" s="123">
        <f t="shared" si="603"/>
        <v>0</v>
      </c>
      <c r="M286" s="74"/>
      <c r="N286" s="74"/>
      <c r="O286" s="407">
        <f t="shared" si="604"/>
        <v>0</v>
      </c>
      <c r="R286" s="90">
        <f t="shared" si="613"/>
        <v>10</v>
      </c>
      <c r="S286" s="121">
        <f>IF(R286=1,Cal!$AB$127,0)</f>
        <v>0</v>
      </c>
      <c r="U286" s="70">
        <f t="shared" si="614"/>
        <v>0</v>
      </c>
      <c r="V286" s="2178">
        <f t="shared" ca="1" si="605"/>
        <v>0</v>
      </c>
      <c r="AS286" s="200"/>
      <c r="HO286" s="33"/>
      <c r="HP286" s="33"/>
      <c r="HQ286" s="2176"/>
      <c r="HR286" s="33"/>
      <c r="HS286" s="33"/>
      <c r="HT286" s="33"/>
      <c r="HU286" s="33"/>
      <c r="HV286" s="33"/>
      <c r="HW286" s="33"/>
      <c r="HX286" s="33"/>
      <c r="HY286" s="33"/>
      <c r="IA286" s="31"/>
      <c r="IC286" s="190"/>
      <c r="ID286" s="190"/>
      <c r="IK286" s="217"/>
      <c r="IN286" s="33"/>
      <c r="IO286" s="33"/>
      <c r="IP286" s="2176"/>
      <c r="IQ286" s="33"/>
    </row>
    <row r="287" spans="1:251">
      <c r="A287" s="1998">
        <f t="shared" ca="1" si="612"/>
        <v>2</v>
      </c>
      <c r="C287" s="33">
        <f t="shared" si="598"/>
        <v>0</v>
      </c>
      <c r="D287" s="123">
        <f t="shared" si="599"/>
        <v>0</v>
      </c>
      <c r="E287" s="123">
        <f t="shared" si="600"/>
        <v>0</v>
      </c>
      <c r="F287" s="123">
        <f t="shared" si="601"/>
        <v>0</v>
      </c>
      <c r="G287" s="123">
        <f>IF(L286&lt;0.01,0,IF(Adm!$S$4=Adm!$S$8,L286*$L$15,L286*Adm!$V$4))</f>
        <v>0</v>
      </c>
      <c r="H287" s="123">
        <f>IF(L286&lt;0.01,0,IF(Adm!$S$5=Adm!$S$8,Adm!$AA$11*$L$16/1.16,IF(Adm!$B$4=Adm!$A$119,0,Adm!$AA$11*Adm!$X$4/1.16)))</f>
        <v>0</v>
      </c>
      <c r="I287" s="123">
        <f>IF(L286&lt;0.01,0,Cal!$AB$126/1.16)</f>
        <v>0</v>
      </c>
      <c r="J287" s="123">
        <f t="shared" si="602"/>
        <v>0</v>
      </c>
      <c r="K287" s="123">
        <f>IF(Adm!$G$4="si",MIN(L286+D287+G287+H287+I287-J287,V287),0)</f>
        <v>0</v>
      </c>
      <c r="L287" s="123">
        <f t="shared" si="603"/>
        <v>0</v>
      </c>
      <c r="M287" s="74"/>
      <c r="N287" s="74"/>
      <c r="O287" s="407">
        <f t="shared" si="604"/>
        <v>0</v>
      </c>
      <c r="R287" s="90">
        <f t="shared" si="613"/>
        <v>11</v>
      </c>
      <c r="S287" s="121">
        <f>IF(R287=1,Cal!$AB$127,0)</f>
        <v>0</v>
      </c>
      <c r="U287" s="70">
        <f t="shared" si="614"/>
        <v>0</v>
      </c>
      <c r="V287" s="2178">
        <f t="shared" ca="1" si="605"/>
        <v>0</v>
      </c>
      <c r="AS287" s="200"/>
      <c r="HO287" s="33"/>
      <c r="HP287" s="33"/>
      <c r="HQ287" s="2176"/>
      <c r="HR287" s="33"/>
      <c r="HS287" s="33"/>
      <c r="HT287" s="33"/>
      <c r="HU287" s="33"/>
      <c r="HV287" s="33"/>
      <c r="HW287" s="33"/>
      <c r="HX287" s="33"/>
      <c r="HY287" s="33"/>
      <c r="IA287" s="31"/>
      <c r="IC287" s="190"/>
      <c r="ID287" s="190"/>
      <c r="IK287" s="217"/>
      <c r="IN287" s="33"/>
      <c r="IO287" s="33"/>
      <c r="IP287" s="2176"/>
      <c r="IQ287" s="33"/>
    </row>
    <row r="288" spans="1:251">
      <c r="A288" s="1998">
        <f t="shared" ca="1" si="612"/>
        <v>3</v>
      </c>
      <c r="C288" s="33">
        <f t="shared" si="598"/>
        <v>0</v>
      </c>
      <c r="D288" s="123">
        <f t="shared" si="599"/>
        <v>0</v>
      </c>
      <c r="E288" s="123">
        <f t="shared" si="600"/>
        <v>0</v>
      </c>
      <c r="F288" s="123">
        <f t="shared" si="601"/>
        <v>0</v>
      </c>
      <c r="G288" s="123">
        <f>IF(L287&lt;0.01,0,IF(Adm!$S$4=Adm!$S$8,L287*$L$15,L287*Adm!$V$4))</f>
        <v>0</v>
      </c>
      <c r="H288" s="123">
        <f>IF(L287&lt;0.01,0,IF(Adm!$S$5=Adm!$S$8,Adm!$AA$11*$L$16/1.16,IF(Adm!$B$4=Adm!$A$119,0,Adm!$AA$11*Adm!$X$4/1.16)))</f>
        <v>0</v>
      </c>
      <c r="I288" s="123">
        <f>IF(L287&lt;0.01,0,Cal!$AB$126/1.16)</f>
        <v>0</v>
      </c>
      <c r="J288" s="123">
        <f t="shared" si="602"/>
        <v>0</v>
      </c>
      <c r="K288" s="123">
        <f>IF(Adm!$G$4="si",MIN(L287+D288+G288+H288+I288-J288,V288),0)</f>
        <v>0</v>
      </c>
      <c r="L288" s="123">
        <f t="shared" si="603"/>
        <v>0</v>
      </c>
      <c r="M288" s="74"/>
      <c r="N288" s="74"/>
      <c r="O288" s="407">
        <f t="shared" si="604"/>
        <v>0</v>
      </c>
      <c r="R288" s="90">
        <f t="shared" si="613"/>
        <v>12</v>
      </c>
      <c r="S288" s="121">
        <f>IF(R288=1,Cal!$AB$127,0)</f>
        <v>0</v>
      </c>
      <c r="U288" s="70">
        <f t="shared" si="614"/>
        <v>0</v>
      </c>
      <c r="V288" s="2178">
        <f t="shared" ca="1" si="605"/>
        <v>0</v>
      </c>
      <c r="AS288" s="200"/>
      <c r="HO288" s="33"/>
      <c r="HP288" s="33"/>
      <c r="HQ288" s="2176"/>
      <c r="HR288" s="33"/>
      <c r="HS288" s="33"/>
      <c r="HT288" s="33"/>
      <c r="HU288" s="33"/>
      <c r="HV288" s="33"/>
      <c r="HW288" s="33"/>
      <c r="HX288" s="33"/>
      <c r="HY288" s="33"/>
      <c r="IA288" s="31"/>
      <c r="IC288" s="190"/>
      <c r="ID288" s="190"/>
      <c r="IK288" s="217"/>
      <c r="IN288" s="33"/>
      <c r="IO288" s="33"/>
      <c r="IP288" s="2176"/>
      <c r="IQ288" s="33"/>
    </row>
    <row r="289" spans="1:22">
      <c r="A289" s="1998">
        <f t="shared" ca="1" si="612"/>
        <v>4</v>
      </c>
      <c r="C289" s="33">
        <f t="shared" si="598"/>
        <v>0</v>
      </c>
      <c r="D289" s="123">
        <f t="shared" si="599"/>
        <v>0</v>
      </c>
      <c r="E289" s="123">
        <f t="shared" si="600"/>
        <v>0</v>
      </c>
      <c r="F289" s="123">
        <f t="shared" si="601"/>
        <v>0</v>
      </c>
      <c r="G289" s="123">
        <f>IF(L288&lt;0.01,0,IF(Adm!$S$4=Adm!$S$8,L288*$L$15,L288*Adm!$V$4))</f>
        <v>0</v>
      </c>
      <c r="H289" s="123">
        <f>IF(L288&lt;0.01,0,IF(Adm!$S$5=Adm!$S$8,Adm!$AA$11*$L$16/1.16,IF(Adm!$B$4=Adm!$A$119,0,Adm!$AA$11*Adm!$X$4/1.16)))</f>
        <v>0</v>
      </c>
      <c r="I289" s="123">
        <f>IF(L288&lt;0.01,0,Cal!$AB$126/1.16)</f>
        <v>0</v>
      </c>
      <c r="J289" s="123">
        <f t="shared" si="602"/>
        <v>0</v>
      </c>
      <c r="K289" s="123">
        <f>IF(Adm!$G$4="si",MIN(L288+D289+G289+H289+I289-J289,V289),0)</f>
        <v>0</v>
      </c>
      <c r="L289" s="123">
        <f t="shared" si="603"/>
        <v>0</v>
      </c>
      <c r="M289" s="74"/>
      <c r="N289" s="74"/>
      <c r="O289" s="407">
        <f t="shared" si="604"/>
        <v>0</v>
      </c>
      <c r="R289" s="90">
        <f t="shared" si="613"/>
        <v>1</v>
      </c>
      <c r="S289" s="121">
        <f>IF(R289=1,Cal!$AB$127,0)</f>
        <v>0</v>
      </c>
      <c r="U289" s="70">
        <f t="shared" si="614"/>
        <v>0</v>
      </c>
      <c r="V289" s="2178">
        <f t="shared" ca="1" si="605"/>
        <v>0</v>
      </c>
    </row>
    <row r="290" spans="1:22">
      <c r="A290" s="1998">
        <f t="shared" ca="1" si="612"/>
        <v>5</v>
      </c>
      <c r="C290" s="33">
        <f t="shared" si="598"/>
        <v>0</v>
      </c>
      <c r="D290" s="123">
        <f t="shared" si="599"/>
        <v>0</v>
      </c>
      <c r="E290" s="123">
        <f t="shared" si="600"/>
        <v>0</v>
      </c>
      <c r="F290" s="123">
        <f t="shared" si="601"/>
        <v>0</v>
      </c>
      <c r="G290" s="123">
        <f>IF(L289&lt;0.01,0,IF(Adm!$S$4=Adm!$S$8,L289*$L$15,L289*Adm!$V$4))</f>
        <v>0</v>
      </c>
      <c r="H290" s="123">
        <f>IF(L289&lt;0.01,0,IF(Adm!$S$5=Adm!$S$8,Adm!$AA$11*$L$16/1.16,IF(Adm!$B$4=Adm!$A$119,0,Adm!$AA$11*Adm!$X$4/1.16)))</f>
        <v>0</v>
      </c>
      <c r="I290" s="123">
        <f>IF(L289&lt;0.01,0,Cal!$AB$126/1.16)</f>
        <v>0</v>
      </c>
      <c r="J290" s="123">
        <f t="shared" si="602"/>
        <v>0</v>
      </c>
      <c r="K290" s="123">
        <f>IF(Adm!$G$4="si",MIN(L289+D290+G290+H290+I290-J290,V290),0)</f>
        <v>0</v>
      </c>
      <c r="L290" s="123">
        <f t="shared" si="603"/>
        <v>0</v>
      </c>
      <c r="M290" s="74"/>
      <c r="N290" s="74"/>
      <c r="O290" s="407">
        <f t="shared" si="604"/>
        <v>0</v>
      </c>
      <c r="R290" s="90">
        <f t="shared" si="613"/>
        <v>2</v>
      </c>
      <c r="S290" s="121">
        <f>IF(R290=1,Cal!$AB$127,0)</f>
        <v>0</v>
      </c>
      <c r="U290" s="70">
        <f t="shared" si="614"/>
        <v>0</v>
      </c>
      <c r="V290" s="2178">
        <f t="shared" ca="1" si="605"/>
        <v>0</v>
      </c>
    </row>
    <row r="291" spans="1:22">
      <c r="A291" s="1998">
        <f t="shared" ca="1" si="612"/>
        <v>6</v>
      </c>
      <c r="C291" s="33">
        <f t="shared" si="598"/>
        <v>0</v>
      </c>
      <c r="D291" s="123">
        <f t="shared" si="599"/>
        <v>0</v>
      </c>
      <c r="E291" s="123">
        <f t="shared" si="600"/>
        <v>0</v>
      </c>
      <c r="F291" s="123">
        <f t="shared" si="601"/>
        <v>0</v>
      </c>
      <c r="G291" s="123">
        <f>IF(L290&lt;0.01,0,IF(Adm!$S$4=Adm!$S$8,L290*$L$15,L290*Adm!$V$4))</f>
        <v>0</v>
      </c>
      <c r="H291" s="123">
        <f>IF(L290&lt;0.01,0,IF(Adm!$S$5=Adm!$S$8,Adm!$AA$11*$L$16/1.16,IF(Adm!$B$4=Adm!$A$119,0,Adm!$AA$11*Adm!$X$4/1.16)))</f>
        <v>0</v>
      </c>
      <c r="I291" s="123">
        <f>IF(L290&lt;0.01,0,Cal!$AB$126/1.16)</f>
        <v>0</v>
      </c>
      <c r="J291" s="123">
        <f t="shared" si="602"/>
        <v>0</v>
      </c>
      <c r="K291" s="123">
        <f>IF(Adm!$G$4="si",MIN(L290+D291+G291+H291+I291-J291,V291),0)</f>
        <v>0</v>
      </c>
      <c r="L291" s="123">
        <f t="shared" si="603"/>
        <v>0</v>
      </c>
      <c r="M291" s="74"/>
      <c r="N291" s="74"/>
      <c r="O291" s="407">
        <f t="shared" si="604"/>
        <v>0</v>
      </c>
      <c r="R291" s="90">
        <f t="shared" si="613"/>
        <v>3</v>
      </c>
      <c r="S291" s="121">
        <f>IF(R291=1,Cal!$AB$127,0)</f>
        <v>0</v>
      </c>
      <c r="U291" s="70">
        <f t="shared" si="614"/>
        <v>0</v>
      </c>
      <c r="V291" s="2178">
        <f t="shared" ca="1" si="605"/>
        <v>0</v>
      </c>
    </row>
    <row r="292" spans="1:22">
      <c r="A292" s="1998">
        <f t="shared" ca="1" si="612"/>
        <v>7</v>
      </c>
      <c r="C292" s="33">
        <f t="shared" si="598"/>
        <v>0</v>
      </c>
      <c r="D292" s="123">
        <f t="shared" si="599"/>
        <v>0</v>
      </c>
      <c r="E292" s="123">
        <f t="shared" si="600"/>
        <v>0</v>
      </c>
      <c r="F292" s="123">
        <f t="shared" si="601"/>
        <v>0</v>
      </c>
      <c r="G292" s="123">
        <f>IF(L291&lt;0.01,0,IF(Adm!$S$4=Adm!$S$8,L291*$L$15,L291*Adm!$V$4))</f>
        <v>0</v>
      </c>
      <c r="H292" s="123">
        <f>IF(L291&lt;0.01,0,IF(Adm!$S$5=Adm!$S$8,Adm!$AA$11*$L$16/1.16,IF(Adm!$B$4=Adm!$A$119,0,Adm!$AA$11*Adm!$X$4/1.16)))</f>
        <v>0</v>
      </c>
      <c r="I292" s="123">
        <f>IF(L291&lt;0.01,0,Cal!$AB$126/1.16)</f>
        <v>0</v>
      </c>
      <c r="J292" s="123">
        <f t="shared" si="602"/>
        <v>0</v>
      </c>
      <c r="K292" s="123">
        <f>IF(Adm!$G$4="si",MIN(L291+D292+G292+H292+I292-J292,V292),0)</f>
        <v>0</v>
      </c>
      <c r="L292" s="123">
        <f t="shared" si="603"/>
        <v>0</v>
      </c>
      <c r="M292" s="74"/>
      <c r="N292" s="74"/>
      <c r="O292" s="407">
        <f t="shared" si="604"/>
        <v>0</v>
      </c>
      <c r="R292" s="90">
        <f t="shared" si="613"/>
        <v>4</v>
      </c>
      <c r="S292" s="121">
        <f>IF(R292=1,Cal!$AB$127,0)</f>
        <v>0</v>
      </c>
      <c r="U292" s="70">
        <f t="shared" si="614"/>
        <v>0</v>
      </c>
      <c r="V292" s="2178">
        <f t="shared" ca="1" si="605"/>
        <v>0</v>
      </c>
    </row>
    <row r="293" spans="1:22">
      <c r="A293" s="1998">
        <f t="shared" ca="1" si="612"/>
        <v>8</v>
      </c>
      <c r="C293" s="33">
        <f t="shared" si="598"/>
        <v>0</v>
      </c>
      <c r="D293" s="123">
        <f t="shared" si="599"/>
        <v>0</v>
      </c>
      <c r="E293" s="123">
        <f t="shared" si="600"/>
        <v>0</v>
      </c>
      <c r="F293" s="123">
        <f t="shared" si="601"/>
        <v>0</v>
      </c>
      <c r="G293" s="123">
        <f>IF(L292&lt;0.01,0,IF(Adm!$S$4=Adm!$S$8,L292*$L$15,L292*Adm!$V$4))</f>
        <v>0</v>
      </c>
      <c r="H293" s="123">
        <f>IF(L292&lt;0.01,0,IF(Adm!$S$5=Adm!$S$8,Adm!$AA$11*$L$16/1.16,IF(Adm!$B$4=Adm!$A$119,0,Adm!$AA$11*Adm!$X$4/1.16)))</f>
        <v>0</v>
      </c>
      <c r="I293" s="123">
        <f>IF(L292&lt;0.01,0,Cal!$AB$126/1.16)</f>
        <v>0</v>
      </c>
      <c r="J293" s="123">
        <f t="shared" si="602"/>
        <v>0</v>
      </c>
      <c r="K293" s="123">
        <f>IF(Adm!$G$4="si",MIN(L292+D293+G293+H293+I293-J293,V293),0)</f>
        <v>0</v>
      </c>
      <c r="L293" s="123">
        <f t="shared" si="603"/>
        <v>0</v>
      </c>
      <c r="M293" s="74"/>
      <c r="N293" s="74"/>
      <c r="O293" s="407">
        <f t="shared" si="604"/>
        <v>0</v>
      </c>
      <c r="R293" s="90">
        <f t="shared" si="613"/>
        <v>5</v>
      </c>
      <c r="S293" s="121">
        <f>IF(R293=1,Cal!$AB$127,0)</f>
        <v>0</v>
      </c>
      <c r="U293" s="70">
        <f t="shared" si="614"/>
        <v>0</v>
      </c>
      <c r="V293" s="2178">
        <f t="shared" ca="1" si="605"/>
        <v>0</v>
      </c>
    </row>
    <row r="294" spans="1:22">
      <c r="A294" s="1998">
        <f t="shared" ca="1" si="612"/>
        <v>9</v>
      </c>
      <c r="C294" s="33">
        <f t="shared" si="598"/>
        <v>0</v>
      </c>
      <c r="D294" s="123">
        <f t="shared" si="599"/>
        <v>0</v>
      </c>
      <c r="E294" s="123">
        <f t="shared" si="600"/>
        <v>0</v>
      </c>
      <c r="F294" s="123">
        <f t="shared" si="601"/>
        <v>0</v>
      </c>
      <c r="G294" s="123">
        <f>IF(L293&lt;0.01,0,IF(Adm!$S$4=Adm!$S$8,L293*$L$15,L293*Adm!$V$4))</f>
        <v>0</v>
      </c>
      <c r="H294" s="123">
        <f>IF(L293&lt;0.01,0,IF(Adm!$S$5=Adm!$S$8,Adm!$AA$11*$L$16/1.16,IF(Adm!$B$4=Adm!$A$119,0,Adm!$AA$11*Adm!$X$4/1.16)))</f>
        <v>0</v>
      </c>
      <c r="I294" s="123">
        <f>IF(L293&lt;0.01,0,Cal!$AB$126/1.16)</f>
        <v>0</v>
      </c>
      <c r="J294" s="123">
        <f t="shared" si="602"/>
        <v>0</v>
      </c>
      <c r="K294" s="123">
        <f>IF(Adm!$G$4="si",MIN(L293+D294+G294+H294+I294-J294,V294),0)</f>
        <v>0</v>
      </c>
      <c r="L294" s="123">
        <f t="shared" si="603"/>
        <v>0</v>
      </c>
      <c r="M294" s="74"/>
      <c r="N294" s="74"/>
      <c r="O294" s="407">
        <f t="shared" si="604"/>
        <v>0</v>
      </c>
      <c r="R294" s="90">
        <f t="shared" si="613"/>
        <v>6</v>
      </c>
      <c r="S294" s="121">
        <f>IF(R294=1,Cal!$AB$127,0)</f>
        <v>0</v>
      </c>
      <c r="U294" s="70">
        <f t="shared" si="614"/>
        <v>0</v>
      </c>
      <c r="V294" s="2178">
        <f t="shared" ca="1" si="605"/>
        <v>0</v>
      </c>
    </row>
    <row r="295" spans="1:22">
      <c r="A295" s="1998">
        <f t="shared" ca="1" si="612"/>
        <v>10</v>
      </c>
      <c r="C295" s="33">
        <f t="shared" si="598"/>
        <v>0</v>
      </c>
      <c r="D295" s="123">
        <f t="shared" si="599"/>
        <v>0</v>
      </c>
      <c r="E295" s="123">
        <f t="shared" si="600"/>
        <v>0</v>
      </c>
      <c r="F295" s="123">
        <f t="shared" si="601"/>
        <v>0</v>
      </c>
      <c r="G295" s="123">
        <f>IF(L294&lt;0.01,0,IF(Adm!$S$4=Adm!$S$8,L294*$L$15,L294*Adm!$V$4))</f>
        <v>0</v>
      </c>
      <c r="H295" s="123">
        <f>IF(L294&lt;0.01,0,IF(Adm!$S$5=Adm!$S$8,Adm!$AA$11*$L$16/1.16,IF(Adm!$B$4=Adm!$A$119,0,Adm!$AA$11*Adm!$X$4/1.16)))</f>
        <v>0</v>
      </c>
      <c r="I295" s="123">
        <f>IF(L294&lt;0.01,0,Cal!$AB$126/1.16)</f>
        <v>0</v>
      </c>
      <c r="J295" s="123">
        <f t="shared" si="602"/>
        <v>0</v>
      </c>
      <c r="K295" s="123">
        <f>IF(Adm!$G$4="si",MIN(L294+D295+G295+H295+I295-J295,V295),0)</f>
        <v>0</v>
      </c>
      <c r="L295" s="123">
        <f t="shared" si="603"/>
        <v>0</v>
      </c>
      <c r="M295" s="74"/>
      <c r="N295" s="74"/>
      <c r="O295" s="407">
        <f t="shared" si="604"/>
        <v>0</v>
      </c>
      <c r="R295" s="90">
        <f t="shared" si="613"/>
        <v>7</v>
      </c>
      <c r="S295" s="121">
        <f>IF(R295=1,Cal!$AB$127,0)</f>
        <v>0</v>
      </c>
      <c r="U295" s="70">
        <f t="shared" si="614"/>
        <v>0</v>
      </c>
      <c r="V295" s="2178">
        <f t="shared" ca="1" si="605"/>
        <v>0</v>
      </c>
    </row>
    <row r="296" spans="1:22">
      <c r="A296" s="1998">
        <f t="shared" ca="1" si="612"/>
        <v>11</v>
      </c>
      <c r="C296" s="33">
        <f t="shared" si="598"/>
        <v>0</v>
      </c>
      <c r="D296" s="123">
        <f t="shared" si="599"/>
        <v>0</v>
      </c>
      <c r="E296" s="123">
        <f t="shared" si="600"/>
        <v>0</v>
      </c>
      <c r="F296" s="123">
        <f t="shared" si="601"/>
        <v>0</v>
      </c>
      <c r="G296" s="123">
        <f>IF(L295&lt;0.01,0,IF(Adm!$S$4=Adm!$S$8,L295*$L$15,L295*Adm!$V$4))</f>
        <v>0</v>
      </c>
      <c r="H296" s="123">
        <f>IF(L295&lt;0.01,0,IF(Adm!$S$5=Adm!$S$8,Adm!$AA$11*$L$16/1.16,IF(Adm!$B$4=Adm!$A$119,0,Adm!$AA$11*Adm!$X$4/1.16)))</f>
        <v>0</v>
      </c>
      <c r="I296" s="123">
        <f>IF(L295&lt;0.01,0,Cal!$AB$126/1.16)</f>
        <v>0</v>
      </c>
      <c r="J296" s="123">
        <f t="shared" si="602"/>
        <v>0</v>
      </c>
      <c r="K296" s="123">
        <f>IF(Adm!$G$4="si",MIN(L295+D296+G296+H296+I296-J296,V296),0)</f>
        <v>0</v>
      </c>
      <c r="L296" s="123">
        <f t="shared" si="603"/>
        <v>0</v>
      </c>
      <c r="M296" s="74"/>
      <c r="N296" s="74"/>
      <c r="O296" s="407">
        <f t="shared" si="604"/>
        <v>0</v>
      </c>
      <c r="R296" s="90">
        <f t="shared" si="613"/>
        <v>8</v>
      </c>
      <c r="S296" s="121">
        <f>IF(R296=1,Cal!$AB$127,0)</f>
        <v>0</v>
      </c>
      <c r="U296" s="70">
        <f t="shared" si="614"/>
        <v>0</v>
      </c>
      <c r="V296" s="2178">
        <f t="shared" ca="1" si="605"/>
        <v>0</v>
      </c>
    </row>
    <row r="297" spans="1:22">
      <c r="A297" s="1998">
        <f t="shared" ca="1" si="612"/>
        <v>12</v>
      </c>
      <c r="C297" s="33">
        <f t="shared" si="598"/>
        <v>0</v>
      </c>
      <c r="D297" s="123">
        <f t="shared" si="599"/>
        <v>0</v>
      </c>
      <c r="E297" s="123">
        <f t="shared" si="600"/>
        <v>0</v>
      </c>
      <c r="F297" s="123">
        <f t="shared" si="601"/>
        <v>0</v>
      </c>
      <c r="G297" s="123">
        <f>IF(L296&lt;0.01,0,IF(Adm!$S$4=Adm!$S$8,L296*$L$15,L296*Adm!$V$4))</f>
        <v>0</v>
      </c>
      <c r="H297" s="123">
        <f>IF(L296&lt;0.01,0,IF(Adm!$S$5=Adm!$S$8,Adm!$AA$11*$L$16/1.16,IF(Adm!$B$4=Adm!$A$119,0,Adm!$AA$11*Adm!$X$4/1.16)))</f>
        <v>0</v>
      </c>
      <c r="I297" s="123">
        <f>IF(L296&lt;0.01,0,Cal!$AB$126/1.16)</f>
        <v>0</v>
      </c>
      <c r="J297" s="123">
        <f t="shared" si="602"/>
        <v>0</v>
      </c>
      <c r="K297" s="123">
        <f>IF(Adm!$G$4="si",MIN(L296+D297+G297+H297+I297-J297,V297),0)</f>
        <v>0</v>
      </c>
      <c r="L297" s="123">
        <f t="shared" si="603"/>
        <v>0</v>
      </c>
      <c r="M297" s="74"/>
      <c r="N297" s="74"/>
      <c r="O297" s="407">
        <f t="shared" si="604"/>
        <v>0</v>
      </c>
      <c r="R297" s="90">
        <f t="shared" si="613"/>
        <v>9</v>
      </c>
      <c r="S297" s="121">
        <f>IF(R297=1,Cal!$AB$127,0)</f>
        <v>0</v>
      </c>
      <c r="U297" s="70">
        <f t="shared" si="614"/>
        <v>0</v>
      </c>
      <c r="V297" s="2178">
        <f t="shared" ca="1" si="605"/>
        <v>0</v>
      </c>
    </row>
    <row r="298" spans="1:22">
      <c r="A298" s="1998">
        <f t="shared" ca="1" si="612"/>
        <v>1</v>
      </c>
      <c r="C298" s="33">
        <f t="shared" si="598"/>
        <v>0</v>
      </c>
      <c r="D298" s="123">
        <f t="shared" si="599"/>
        <v>0</v>
      </c>
      <c r="E298" s="123">
        <f t="shared" si="600"/>
        <v>0</v>
      </c>
      <c r="F298" s="123">
        <f t="shared" si="601"/>
        <v>0</v>
      </c>
      <c r="G298" s="123">
        <f>IF(L297&lt;0.01,0,IF(Adm!$S$4=Adm!$S$8,L297*$L$15,L297*Adm!$V$4))</f>
        <v>0</v>
      </c>
      <c r="H298" s="123">
        <f>IF(L297&lt;0.01,0,IF(Adm!$S$5=Adm!$S$8,Adm!$AA$11*$L$16/1.16,IF(Adm!$B$4=Adm!$A$119,0,Adm!$AA$11*Adm!$X$4/1.16)))</f>
        <v>0</v>
      </c>
      <c r="I298" s="123">
        <f>IF(L297&lt;0.01,0,Cal!$AB$126/1.16)</f>
        <v>0</v>
      </c>
      <c r="J298" s="123">
        <f t="shared" si="602"/>
        <v>0</v>
      </c>
      <c r="K298" s="123">
        <f>IF(Adm!$G$4="si",MIN(L297+D298+G298+H298+I298-J298,V298),0)</f>
        <v>0</v>
      </c>
      <c r="L298" s="123">
        <f t="shared" si="603"/>
        <v>0</v>
      </c>
      <c r="M298" s="74"/>
      <c r="N298" s="74"/>
      <c r="O298" s="407">
        <f t="shared" si="604"/>
        <v>0</v>
      </c>
      <c r="R298" s="90">
        <f t="shared" si="613"/>
        <v>10</v>
      </c>
      <c r="S298" s="121">
        <f>IF(R298=1,Cal!$AB$127,0)</f>
        <v>0</v>
      </c>
      <c r="U298" s="70">
        <f t="shared" si="614"/>
        <v>0</v>
      </c>
      <c r="V298" s="2178">
        <f t="shared" ca="1" si="605"/>
        <v>0</v>
      </c>
    </row>
    <row r="299" spans="1:22">
      <c r="A299" s="1998">
        <f t="shared" ca="1" si="612"/>
        <v>2</v>
      </c>
      <c r="C299" s="33">
        <f t="shared" si="598"/>
        <v>0</v>
      </c>
      <c r="D299" s="123">
        <f t="shared" si="599"/>
        <v>0</v>
      </c>
      <c r="E299" s="123">
        <f t="shared" si="600"/>
        <v>0</v>
      </c>
      <c r="F299" s="123">
        <f t="shared" si="601"/>
        <v>0</v>
      </c>
      <c r="G299" s="123">
        <f>IF(L298&lt;0.01,0,IF(Adm!$S$4=Adm!$S$8,L298*$L$15,L298*Adm!$V$4))</f>
        <v>0</v>
      </c>
      <c r="H299" s="123">
        <f>IF(L298&lt;0.01,0,IF(Adm!$S$5=Adm!$S$8,Adm!$AA$11*$L$16/1.16,IF(Adm!$B$4=Adm!$A$119,0,Adm!$AA$11*Adm!$X$4/1.16)))</f>
        <v>0</v>
      </c>
      <c r="I299" s="123">
        <f>IF(L298&lt;0.01,0,Cal!$AB$126/1.16)</f>
        <v>0</v>
      </c>
      <c r="J299" s="123">
        <f t="shared" si="602"/>
        <v>0</v>
      </c>
      <c r="K299" s="123">
        <f>IF(Adm!$G$4="si",MIN(L298+D299+G299+H299+I299-J299,V299),0)</f>
        <v>0</v>
      </c>
      <c r="L299" s="123">
        <f t="shared" si="603"/>
        <v>0</v>
      </c>
      <c r="M299" s="74"/>
      <c r="N299" s="74"/>
      <c r="O299" s="407">
        <f t="shared" si="604"/>
        <v>0</v>
      </c>
      <c r="R299" s="90">
        <f t="shared" si="613"/>
        <v>11</v>
      </c>
      <c r="S299" s="121">
        <f>IF(R299=1,Cal!$AB$127,0)</f>
        <v>0</v>
      </c>
      <c r="U299" s="70">
        <f t="shared" si="614"/>
        <v>0</v>
      </c>
      <c r="V299" s="2178">
        <f t="shared" ca="1" si="605"/>
        <v>0</v>
      </c>
    </row>
    <row r="300" spans="1:22">
      <c r="A300" s="1998">
        <f t="shared" ca="1" si="612"/>
        <v>3</v>
      </c>
      <c r="C300" s="33">
        <f t="shared" si="598"/>
        <v>0</v>
      </c>
      <c r="D300" s="123">
        <f t="shared" si="599"/>
        <v>0</v>
      </c>
      <c r="E300" s="123">
        <f t="shared" si="600"/>
        <v>0</v>
      </c>
      <c r="F300" s="123">
        <f t="shared" si="601"/>
        <v>0</v>
      </c>
      <c r="G300" s="123">
        <f>IF(L299&lt;0.01,0,IF(Adm!$S$4=Adm!$S$8,L299*$L$15,L299*Adm!$V$4))</f>
        <v>0</v>
      </c>
      <c r="H300" s="123">
        <f>IF(L299&lt;0.01,0,IF(Adm!$S$5=Adm!$S$8,Adm!$AA$11*$L$16/1.16,IF(Adm!$B$4=Adm!$A$119,0,Adm!$AA$11*Adm!$X$4/1.16)))</f>
        <v>0</v>
      </c>
      <c r="I300" s="123">
        <f>IF(L299&lt;0.01,0,Cal!$AB$126/1.16)</f>
        <v>0</v>
      </c>
      <c r="J300" s="123">
        <f t="shared" si="602"/>
        <v>0</v>
      </c>
      <c r="K300" s="123">
        <f>IF(Adm!$G$4="si",MIN(L299+D300+G300+H300+I300-J300,V300),0)</f>
        <v>0</v>
      </c>
      <c r="L300" s="123">
        <f t="shared" si="603"/>
        <v>0</v>
      </c>
      <c r="M300" s="74"/>
      <c r="N300" s="74"/>
      <c r="O300" s="407">
        <f t="shared" si="604"/>
        <v>0</v>
      </c>
      <c r="R300" s="90">
        <f t="shared" si="613"/>
        <v>12</v>
      </c>
      <c r="S300" s="121">
        <f>IF(R300=1,Cal!$AB$127,0)</f>
        <v>0</v>
      </c>
      <c r="U300" s="70">
        <f t="shared" si="614"/>
        <v>0</v>
      </c>
      <c r="V300" s="2178">
        <f t="shared" ca="1" si="605"/>
        <v>0</v>
      </c>
    </row>
    <row r="301" spans="1:22">
      <c r="A301" s="1998">
        <f t="shared" ca="1" si="612"/>
        <v>4</v>
      </c>
      <c r="C301" s="33">
        <f t="shared" si="598"/>
        <v>0</v>
      </c>
      <c r="D301" s="123">
        <f t="shared" si="599"/>
        <v>0</v>
      </c>
      <c r="E301" s="123">
        <f t="shared" si="600"/>
        <v>0</v>
      </c>
      <c r="F301" s="123">
        <f t="shared" si="601"/>
        <v>0</v>
      </c>
      <c r="G301" s="123">
        <f>IF(L300&lt;0.01,0,IF(Adm!$S$4=Adm!$S$8,L300*$L$15,L300*Adm!$V$4))</f>
        <v>0</v>
      </c>
      <c r="H301" s="123">
        <f>IF(L300&lt;0.01,0,IF(Adm!$S$5=Adm!$S$8,Adm!$AA$11*$L$16/1.16,IF(Adm!$B$4=Adm!$A$119,0,Adm!$AA$11*Adm!$X$4/1.16)))</f>
        <v>0</v>
      </c>
      <c r="I301" s="123">
        <f>IF(L300&lt;0.01,0,Cal!$AB$126/1.16)</f>
        <v>0</v>
      </c>
      <c r="J301" s="123">
        <f t="shared" si="602"/>
        <v>0</v>
      </c>
      <c r="K301" s="123">
        <f>IF(Adm!$G$4="si",MIN(L300+D301+G301+H301+I301-J301,V301),0)</f>
        <v>0</v>
      </c>
      <c r="L301" s="123">
        <f t="shared" si="603"/>
        <v>0</v>
      </c>
      <c r="M301" s="74"/>
      <c r="N301" s="74"/>
      <c r="O301" s="407">
        <f t="shared" si="604"/>
        <v>0</v>
      </c>
      <c r="R301" s="90">
        <f t="shared" si="613"/>
        <v>1</v>
      </c>
      <c r="S301" s="121">
        <f>IF(R301=1,Cal!$AB$127,0)</f>
        <v>0</v>
      </c>
      <c r="U301" s="70">
        <f t="shared" si="614"/>
        <v>0</v>
      </c>
      <c r="V301" s="2178">
        <f t="shared" ca="1" si="605"/>
        <v>0</v>
      </c>
    </row>
    <row r="302" spans="1:22">
      <c r="A302" s="1998">
        <f t="shared" ca="1" si="612"/>
        <v>5</v>
      </c>
      <c r="C302" s="33">
        <f t="shared" si="598"/>
        <v>0</v>
      </c>
      <c r="D302" s="123">
        <f t="shared" si="599"/>
        <v>0</v>
      </c>
      <c r="E302" s="123">
        <f t="shared" si="600"/>
        <v>0</v>
      </c>
      <c r="F302" s="123">
        <f t="shared" si="601"/>
        <v>0</v>
      </c>
      <c r="G302" s="123">
        <f>IF(L301&lt;0.01,0,IF(Adm!$S$4=Adm!$S$8,L301*$L$15,L301*Adm!$V$4))</f>
        <v>0</v>
      </c>
      <c r="H302" s="123">
        <f>IF(L301&lt;0.01,0,IF(Adm!$S$5=Adm!$S$8,Adm!$AA$11*$L$16/1.16,IF(Adm!$B$4=Adm!$A$119,0,Adm!$AA$11*Adm!$X$4/1.16)))</f>
        <v>0</v>
      </c>
      <c r="I302" s="123">
        <f>IF(L301&lt;0.01,0,Cal!$AB$126/1.16)</f>
        <v>0</v>
      </c>
      <c r="J302" s="123">
        <f t="shared" si="602"/>
        <v>0</v>
      </c>
      <c r="K302" s="123">
        <f>IF(Adm!$G$4="si",MIN(L301+D302+G302+H302+I302-J302,V302),0)</f>
        <v>0</v>
      </c>
      <c r="L302" s="123">
        <f t="shared" si="603"/>
        <v>0</v>
      </c>
      <c r="M302" s="74"/>
      <c r="N302" s="74"/>
      <c r="O302" s="407">
        <f t="shared" si="604"/>
        <v>0</v>
      </c>
      <c r="R302" s="90">
        <f t="shared" si="613"/>
        <v>2</v>
      </c>
      <c r="S302" s="121">
        <f>IF(R302=1,Cal!$AB$127,0)</f>
        <v>0</v>
      </c>
      <c r="U302" s="70">
        <f t="shared" si="614"/>
        <v>0</v>
      </c>
      <c r="V302" s="2178">
        <f t="shared" ca="1" si="605"/>
        <v>0</v>
      </c>
    </row>
    <row r="303" spans="1:22">
      <c r="A303" s="1998">
        <f t="shared" ca="1" si="612"/>
        <v>6</v>
      </c>
      <c r="C303" s="33">
        <f t="shared" si="598"/>
        <v>0</v>
      </c>
      <c r="D303" s="123">
        <f t="shared" si="599"/>
        <v>0</v>
      </c>
      <c r="E303" s="123">
        <f t="shared" si="600"/>
        <v>0</v>
      </c>
      <c r="F303" s="123">
        <f t="shared" si="601"/>
        <v>0</v>
      </c>
      <c r="G303" s="123">
        <f>IF(L302&lt;0.01,0,IF(Adm!$S$4=Adm!$S$8,L302*$L$15,L302*Adm!$V$4))</f>
        <v>0</v>
      </c>
      <c r="H303" s="123">
        <f>IF(L302&lt;0.01,0,IF(Adm!$S$5=Adm!$S$8,Adm!$AA$11*$L$16/1.16,IF(Adm!$B$4=Adm!$A$119,0,Adm!$AA$11*Adm!$X$4/1.16)))</f>
        <v>0</v>
      </c>
      <c r="I303" s="123">
        <f>IF(L302&lt;0.01,0,Cal!$AB$126/1.16)</f>
        <v>0</v>
      </c>
      <c r="J303" s="123">
        <f t="shared" si="602"/>
        <v>0</v>
      </c>
      <c r="K303" s="123">
        <f>IF(Adm!$G$4="si",MIN(L302+D303+G303+H303+I303-J303,V303),0)</f>
        <v>0</v>
      </c>
      <c r="L303" s="123">
        <f t="shared" si="603"/>
        <v>0</v>
      </c>
      <c r="M303" s="74"/>
      <c r="N303" s="74"/>
      <c r="O303" s="407">
        <f t="shared" si="604"/>
        <v>0</v>
      </c>
      <c r="R303" s="90">
        <f t="shared" si="613"/>
        <v>3</v>
      </c>
      <c r="S303" s="121">
        <f>IF(R303=1,Cal!$AB$127,0)</f>
        <v>0</v>
      </c>
      <c r="U303" s="70">
        <f t="shared" si="614"/>
        <v>0</v>
      </c>
      <c r="V303" s="2178">
        <f t="shared" ca="1" si="605"/>
        <v>0</v>
      </c>
    </row>
    <row r="304" spans="1:22">
      <c r="A304" s="1998">
        <f t="shared" ca="1" si="612"/>
        <v>7</v>
      </c>
      <c r="C304" s="33">
        <f t="shared" si="598"/>
        <v>0</v>
      </c>
      <c r="D304" s="123">
        <f t="shared" si="599"/>
        <v>0</v>
      </c>
      <c r="E304" s="123">
        <f t="shared" si="600"/>
        <v>0</v>
      </c>
      <c r="F304" s="123">
        <f t="shared" si="601"/>
        <v>0</v>
      </c>
      <c r="G304" s="123">
        <f>IF(L303&lt;0.01,0,IF(Adm!$S$4=Adm!$S$8,L303*$L$15,L303*Adm!$V$4))</f>
        <v>0</v>
      </c>
      <c r="H304" s="123">
        <f>IF(L303&lt;0.01,0,IF(Adm!$S$5=Adm!$S$8,Adm!$AA$11*$L$16/1.16,IF(Adm!$B$4=Adm!$A$119,0,Adm!$AA$11*Adm!$X$4/1.16)))</f>
        <v>0</v>
      </c>
      <c r="I304" s="123">
        <f>IF(L303&lt;0.01,0,Cal!$AB$126/1.16)</f>
        <v>0</v>
      </c>
      <c r="J304" s="123">
        <f t="shared" si="602"/>
        <v>0</v>
      </c>
      <c r="K304" s="123">
        <f>IF(Adm!$G$4="si",MIN(L303+D304+G304+H304+I304-J304,V304),0)</f>
        <v>0</v>
      </c>
      <c r="L304" s="123">
        <f t="shared" si="603"/>
        <v>0</v>
      </c>
      <c r="M304" s="74"/>
      <c r="N304" s="74"/>
      <c r="O304" s="407">
        <f t="shared" si="604"/>
        <v>0</v>
      </c>
      <c r="R304" s="90">
        <f t="shared" si="613"/>
        <v>4</v>
      </c>
      <c r="S304" s="121">
        <f>IF(R304=1,Cal!$AB$127,0)</f>
        <v>0</v>
      </c>
      <c r="U304" s="70">
        <f t="shared" si="614"/>
        <v>0</v>
      </c>
      <c r="V304" s="2178">
        <f t="shared" ca="1" si="605"/>
        <v>0</v>
      </c>
    </row>
    <row r="305" spans="1:22">
      <c r="A305" s="1998">
        <f t="shared" ca="1" si="612"/>
        <v>8</v>
      </c>
      <c r="C305" s="33">
        <f t="shared" si="598"/>
        <v>0</v>
      </c>
      <c r="D305" s="123">
        <f t="shared" si="599"/>
        <v>0</v>
      </c>
      <c r="E305" s="123">
        <f t="shared" si="600"/>
        <v>0</v>
      </c>
      <c r="F305" s="123">
        <f t="shared" si="601"/>
        <v>0</v>
      </c>
      <c r="G305" s="123">
        <f>IF(L304&lt;0.01,0,IF(Adm!$S$4=Adm!$S$8,L304*$L$15,L304*Adm!$V$4))</f>
        <v>0</v>
      </c>
      <c r="H305" s="123">
        <f>IF(L304&lt;0.01,0,IF(Adm!$S$5=Adm!$S$8,Adm!$AA$11*$L$16/1.16,IF(Adm!$B$4=Adm!$A$119,0,Adm!$AA$11*Adm!$X$4/1.16)))</f>
        <v>0</v>
      </c>
      <c r="I305" s="123">
        <f>IF(L304&lt;0.01,0,Cal!$AB$126/1.16)</f>
        <v>0</v>
      </c>
      <c r="J305" s="123">
        <f t="shared" si="602"/>
        <v>0</v>
      </c>
      <c r="K305" s="123">
        <f>IF(Adm!$G$4="si",MIN(L304+D305+G305+H305+I305-J305,V305),0)</f>
        <v>0</v>
      </c>
      <c r="L305" s="123">
        <f t="shared" si="603"/>
        <v>0</v>
      </c>
      <c r="M305" s="74"/>
      <c r="N305" s="74"/>
      <c r="O305" s="407">
        <f t="shared" si="604"/>
        <v>0</v>
      </c>
      <c r="R305" s="90">
        <f t="shared" si="613"/>
        <v>5</v>
      </c>
      <c r="S305" s="121">
        <f>IF(R305=1,Cal!$AB$127,0)</f>
        <v>0</v>
      </c>
      <c r="U305" s="70">
        <f t="shared" si="614"/>
        <v>0</v>
      </c>
      <c r="V305" s="2178">
        <f t="shared" ca="1" si="605"/>
        <v>0</v>
      </c>
    </row>
    <row r="306" spans="1:22">
      <c r="A306" s="1998">
        <f t="shared" ca="1" si="612"/>
        <v>9</v>
      </c>
      <c r="C306" s="33">
        <f t="shared" si="598"/>
        <v>0</v>
      </c>
      <c r="D306" s="123">
        <f t="shared" si="599"/>
        <v>0</v>
      </c>
      <c r="E306" s="123">
        <f t="shared" si="600"/>
        <v>0</v>
      </c>
      <c r="F306" s="123">
        <f t="shared" si="601"/>
        <v>0</v>
      </c>
      <c r="G306" s="123">
        <f>IF(L305&lt;0.01,0,IF(Adm!$S$4=Adm!$S$8,L305*$L$15,L305*Adm!$V$4))</f>
        <v>0</v>
      </c>
      <c r="H306" s="123">
        <f>IF(L305&lt;0.01,0,IF(Adm!$S$5=Adm!$S$8,Adm!$AA$11*$L$16/1.16,IF(Adm!$B$4=Adm!$A$119,0,Adm!$AA$11*Adm!$X$4/1.16)))</f>
        <v>0</v>
      </c>
      <c r="I306" s="123">
        <f>IF(L305&lt;0.01,0,Cal!$AB$126/1.16)</f>
        <v>0</v>
      </c>
      <c r="J306" s="123">
        <f t="shared" si="602"/>
        <v>0</v>
      </c>
      <c r="K306" s="123">
        <f>IF(Adm!$G$4="si",MIN(L305+D306+G306+H306+I306-J306,V306),0)</f>
        <v>0</v>
      </c>
      <c r="L306" s="123">
        <f t="shared" si="603"/>
        <v>0</v>
      </c>
      <c r="M306" s="74"/>
      <c r="N306" s="74"/>
      <c r="O306" s="407">
        <f t="shared" si="604"/>
        <v>0</v>
      </c>
      <c r="R306" s="90">
        <f t="shared" si="613"/>
        <v>6</v>
      </c>
      <c r="S306" s="121">
        <f>IF(R306=1,Cal!$AB$127,0)</f>
        <v>0</v>
      </c>
      <c r="U306" s="70">
        <f t="shared" si="614"/>
        <v>0</v>
      </c>
      <c r="V306" s="2178">
        <f t="shared" ca="1" si="605"/>
        <v>0</v>
      </c>
    </row>
    <row r="307" spans="1:22">
      <c r="A307" s="1998">
        <f t="shared" ca="1" si="612"/>
        <v>10</v>
      </c>
      <c r="C307" s="33">
        <f t="shared" si="598"/>
        <v>0</v>
      </c>
      <c r="D307" s="123">
        <f t="shared" si="599"/>
        <v>0</v>
      </c>
      <c r="E307" s="123">
        <f t="shared" si="600"/>
        <v>0</v>
      </c>
      <c r="F307" s="123">
        <f t="shared" si="601"/>
        <v>0</v>
      </c>
      <c r="G307" s="123">
        <f>IF(L306&lt;0.01,0,IF(Adm!$S$4=Adm!$S$8,L306*$L$15,L306*Adm!$V$4))</f>
        <v>0</v>
      </c>
      <c r="H307" s="123">
        <f>IF(L306&lt;0.01,0,IF(Adm!$S$5=Adm!$S$8,Adm!$AA$11*$L$16/1.16,IF(Adm!$B$4=Adm!$A$119,0,Adm!$AA$11*Adm!$X$4/1.16)))</f>
        <v>0</v>
      </c>
      <c r="I307" s="123">
        <f>IF(L306&lt;0.01,0,Cal!$AB$126/1.16)</f>
        <v>0</v>
      </c>
      <c r="J307" s="123">
        <f t="shared" si="602"/>
        <v>0</v>
      </c>
      <c r="K307" s="123">
        <f>IF(Adm!$G$4="si",MIN(L306+D307+G307+H307+I307-J307,V307),0)</f>
        <v>0</v>
      </c>
      <c r="L307" s="123">
        <f t="shared" si="603"/>
        <v>0</v>
      </c>
      <c r="M307" s="74"/>
      <c r="N307" s="74"/>
      <c r="O307" s="407">
        <f t="shared" si="604"/>
        <v>0</v>
      </c>
      <c r="R307" s="90">
        <f t="shared" si="613"/>
        <v>7</v>
      </c>
      <c r="S307" s="121">
        <f>IF(R307=1,Cal!$AB$127,0)</f>
        <v>0</v>
      </c>
      <c r="U307" s="70">
        <f t="shared" si="614"/>
        <v>0</v>
      </c>
      <c r="V307" s="2178">
        <f t="shared" ca="1" si="605"/>
        <v>0</v>
      </c>
    </row>
    <row r="308" spans="1:22">
      <c r="A308" s="1998">
        <f t="shared" ca="1" si="612"/>
        <v>11</v>
      </c>
      <c r="C308" s="33">
        <f t="shared" si="598"/>
        <v>0</v>
      </c>
      <c r="D308" s="123">
        <f t="shared" si="599"/>
        <v>0</v>
      </c>
      <c r="E308" s="123">
        <f t="shared" si="600"/>
        <v>0</v>
      </c>
      <c r="F308" s="123">
        <f t="shared" si="601"/>
        <v>0</v>
      </c>
      <c r="G308" s="123">
        <f>IF(L307&lt;0.01,0,IF(Adm!$S$4=Adm!$S$8,L307*$L$15,L307*Adm!$V$4))</f>
        <v>0</v>
      </c>
      <c r="H308" s="123">
        <f>IF(L307&lt;0.01,0,IF(Adm!$S$5=Adm!$S$8,Adm!$AA$11*$L$16/1.16,IF(Adm!$B$4=Adm!$A$119,0,Adm!$AA$11*Adm!$X$4/1.16)))</f>
        <v>0</v>
      </c>
      <c r="I308" s="123">
        <f>IF(L307&lt;0.01,0,Cal!$AB$126/1.16)</f>
        <v>0</v>
      </c>
      <c r="J308" s="123">
        <f t="shared" si="602"/>
        <v>0</v>
      </c>
      <c r="K308" s="123">
        <f>IF(Adm!$G$4="si",MIN(L307+D308+G308+H308+I308-J308,V308),0)</f>
        <v>0</v>
      </c>
      <c r="L308" s="123">
        <f t="shared" si="603"/>
        <v>0</v>
      </c>
      <c r="M308" s="74"/>
      <c r="N308" s="74"/>
      <c r="O308" s="407">
        <f t="shared" si="604"/>
        <v>0</v>
      </c>
      <c r="R308" s="90">
        <f t="shared" si="613"/>
        <v>8</v>
      </c>
      <c r="S308" s="121">
        <f>IF(R308=1,Cal!$AB$127,0)</f>
        <v>0</v>
      </c>
      <c r="U308" s="70">
        <f t="shared" si="614"/>
        <v>0</v>
      </c>
      <c r="V308" s="2178">
        <f t="shared" ca="1" si="605"/>
        <v>0</v>
      </c>
    </row>
    <row r="309" spans="1:22">
      <c r="A309" s="1998">
        <f t="shared" ca="1" si="612"/>
        <v>12</v>
      </c>
      <c r="C309" s="33">
        <f t="shared" si="598"/>
        <v>0</v>
      </c>
      <c r="D309" s="123">
        <f t="shared" si="599"/>
        <v>0</v>
      </c>
      <c r="E309" s="123">
        <f t="shared" si="600"/>
        <v>0</v>
      </c>
      <c r="F309" s="123">
        <f t="shared" si="601"/>
        <v>0</v>
      </c>
      <c r="G309" s="123">
        <f>IF(L308&lt;0.01,0,IF(Adm!$S$4=Adm!$S$8,L308*$L$15,L308*Adm!$V$4))</f>
        <v>0</v>
      </c>
      <c r="H309" s="123">
        <f>IF(L308&lt;0.01,0,IF(Adm!$S$5=Adm!$S$8,Adm!$AA$11*$L$16/1.16,IF(Adm!$B$4=Adm!$A$119,0,Adm!$AA$11*Adm!$X$4/1.16)))</f>
        <v>0</v>
      </c>
      <c r="I309" s="123">
        <f>IF(L308&lt;0.01,0,Cal!$AB$126/1.16)</f>
        <v>0</v>
      </c>
      <c r="J309" s="123">
        <f t="shared" si="602"/>
        <v>0</v>
      </c>
      <c r="K309" s="123">
        <f>IF(Adm!$G$4="si",MIN(L308+D309+G309+H309+I309-J309,V309),0)</f>
        <v>0</v>
      </c>
      <c r="L309" s="123">
        <f t="shared" si="603"/>
        <v>0</v>
      </c>
      <c r="M309" s="74"/>
      <c r="N309" s="74"/>
      <c r="O309" s="407">
        <f t="shared" si="604"/>
        <v>0</v>
      </c>
      <c r="R309" s="90">
        <f t="shared" si="613"/>
        <v>9</v>
      </c>
      <c r="S309" s="121">
        <f>IF(R309=1,Cal!$AB$127,0)</f>
        <v>0</v>
      </c>
      <c r="U309" s="70">
        <f t="shared" si="614"/>
        <v>0</v>
      </c>
      <c r="V309" s="2178">
        <f t="shared" ca="1" si="605"/>
        <v>0</v>
      </c>
    </row>
    <row r="310" spans="1:22">
      <c r="A310" s="1998">
        <f t="shared" ca="1" si="612"/>
        <v>1</v>
      </c>
      <c r="C310" s="33">
        <f t="shared" ref="C310:C324" si="615">IF(L309&lt;0.01,0,C309+1)</f>
        <v>0</v>
      </c>
      <c r="D310" s="123">
        <f t="shared" ref="D310:D324" si="616">IF(L309&lt;0.01,0,L309*$F$9*30.4166/360)</f>
        <v>0</v>
      </c>
      <c r="E310" s="123">
        <f t="shared" ref="E310:E324" si="617">IF(L309&lt;0.01,0,F310-D310)</f>
        <v>0</v>
      </c>
      <c r="F310" s="123">
        <f t="shared" ref="F310:F324" si="618">IF(L309&lt;0.1,0,MIN(L309+D310,F309*(1+S310)))</f>
        <v>0</v>
      </c>
      <c r="G310" s="123">
        <f>IF(L309&lt;0.01,0,IF(Adm!$S$4=Adm!$S$8,L309*$L$15,L309*Adm!$V$4))</f>
        <v>0</v>
      </c>
      <c r="H310" s="123">
        <f>IF(L309&lt;0.01,0,IF(Adm!$S$5=Adm!$S$8,Adm!$AA$11*$L$16/1.16,IF(Adm!$B$4=Adm!$A$119,0,Adm!$AA$11*Adm!$X$4/1.16)))</f>
        <v>0</v>
      </c>
      <c r="I310" s="123">
        <f>IF(L309&lt;0.01,0,Cal!$AB$126/1.16)</f>
        <v>0</v>
      </c>
      <c r="J310" s="123">
        <f t="shared" ref="J310:J324" si="619">IF(L309&lt;0.01,0,F310+G310+H310+I310)</f>
        <v>0</v>
      </c>
      <c r="K310" s="123">
        <f>IF(Adm!$G$4="si",MIN(L309+D310+G310+H310+I310-J310,V310),0)</f>
        <v>0</v>
      </c>
      <c r="L310" s="123">
        <f t="shared" ref="L310:L324" si="620">IF(L309&lt;0.01,0,L309-E310-K310)</f>
        <v>0</v>
      </c>
      <c r="M310" s="74"/>
      <c r="N310" s="74"/>
      <c r="O310" s="407">
        <f t="shared" ref="O310:O324" si="621">J310+K310</f>
        <v>0</v>
      </c>
      <c r="R310" s="90">
        <f t="shared" si="613"/>
        <v>10</v>
      </c>
      <c r="S310" s="121">
        <f>IF(R310=1,Cal!$AB$127,0)</f>
        <v>0</v>
      </c>
      <c r="U310" s="70">
        <f t="shared" si="614"/>
        <v>0</v>
      </c>
      <c r="V310" s="2178">
        <f t="shared" ref="V310:V324" ca="1" si="622">IF(MOD(A310,2)=0,U310*0.05*2,0)</f>
        <v>0</v>
      </c>
    </row>
    <row r="311" spans="1:22">
      <c r="A311" s="1998">
        <f t="shared" ca="1" si="612"/>
        <v>2</v>
      </c>
      <c r="C311" s="33">
        <f t="shared" si="615"/>
        <v>0</v>
      </c>
      <c r="D311" s="123">
        <f t="shared" si="616"/>
        <v>0</v>
      </c>
      <c r="E311" s="123">
        <f t="shared" si="617"/>
        <v>0</v>
      </c>
      <c r="F311" s="123">
        <f t="shared" si="618"/>
        <v>0</v>
      </c>
      <c r="G311" s="123">
        <f>IF(L310&lt;0.01,0,IF(Adm!$S$4=Adm!$S$8,L310*$L$15,L310*Adm!$V$4))</f>
        <v>0</v>
      </c>
      <c r="H311" s="123">
        <f>IF(L310&lt;0.01,0,IF(Adm!$S$5=Adm!$S$8,Adm!$AA$11*$L$16/1.16,IF(Adm!$B$4=Adm!$A$119,0,Adm!$AA$11*Adm!$X$4/1.16)))</f>
        <v>0</v>
      </c>
      <c r="I311" s="123">
        <f>IF(L310&lt;0.01,0,Cal!$AB$126/1.16)</f>
        <v>0</v>
      </c>
      <c r="J311" s="123">
        <f t="shared" si="619"/>
        <v>0</v>
      </c>
      <c r="K311" s="123">
        <f>IF(Adm!$G$4="si",MIN(L310+D311+G311+H311+I311-J311,V311),0)</f>
        <v>0</v>
      </c>
      <c r="L311" s="123">
        <f t="shared" si="620"/>
        <v>0</v>
      </c>
      <c r="M311" s="74"/>
      <c r="N311" s="74"/>
      <c r="O311" s="407">
        <f t="shared" si="621"/>
        <v>0</v>
      </c>
      <c r="R311" s="90">
        <f t="shared" si="613"/>
        <v>11</v>
      </c>
      <c r="S311" s="121">
        <f>IF(R311=1,Cal!$AB$127,0)</f>
        <v>0</v>
      </c>
      <c r="U311" s="70">
        <f t="shared" si="614"/>
        <v>0</v>
      </c>
      <c r="V311" s="2178">
        <f t="shared" ca="1" si="622"/>
        <v>0</v>
      </c>
    </row>
    <row r="312" spans="1:22">
      <c r="A312" s="1998">
        <f t="shared" ca="1" si="612"/>
        <v>3</v>
      </c>
      <c r="C312" s="33">
        <f t="shared" si="615"/>
        <v>0</v>
      </c>
      <c r="D312" s="123">
        <f t="shared" si="616"/>
        <v>0</v>
      </c>
      <c r="E312" s="123">
        <f t="shared" si="617"/>
        <v>0</v>
      </c>
      <c r="F312" s="123">
        <f t="shared" si="618"/>
        <v>0</v>
      </c>
      <c r="G312" s="123">
        <f>IF(L311&lt;0.01,0,IF(Adm!$S$4=Adm!$S$8,L311*$L$15,L311*Adm!$V$4))</f>
        <v>0</v>
      </c>
      <c r="H312" s="123">
        <f>IF(L311&lt;0.01,0,IF(Adm!$S$5=Adm!$S$8,Adm!$AA$11*$L$16/1.16,IF(Adm!$B$4=Adm!$A$119,0,Adm!$AA$11*Adm!$X$4/1.16)))</f>
        <v>0</v>
      </c>
      <c r="I312" s="123">
        <f>IF(L311&lt;0.01,0,Cal!$AB$126/1.16)</f>
        <v>0</v>
      </c>
      <c r="J312" s="123">
        <f t="shared" si="619"/>
        <v>0</v>
      </c>
      <c r="K312" s="123">
        <f>IF(Adm!$G$4="si",MIN(L311+D312+G312+H312+I312-J312,V312),0)</f>
        <v>0</v>
      </c>
      <c r="L312" s="123">
        <f t="shared" si="620"/>
        <v>0</v>
      </c>
      <c r="M312" s="74"/>
      <c r="N312" s="74"/>
      <c r="O312" s="407">
        <f t="shared" si="621"/>
        <v>0</v>
      </c>
      <c r="R312" s="90">
        <f t="shared" si="613"/>
        <v>12</v>
      </c>
      <c r="S312" s="121">
        <f>IF(R312=1,Cal!$AB$127,0)</f>
        <v>0</v>
      </c>
      <c r="U312" s="70">
        <f t="shared" si="614"/>
        <v>0</v>
      </c>
      <c r="V312" s="2178">
        <f t="shared" ca="1" si="622"/>
        <v>0</v>
      </c>
    </row>
    <row r="313" spans="1:22">
      <c r="A313" s="1998">
        <f t="shared" ca="1" si="612"/>
        <v>4</v>
      </c>
      <c r="C313" s="33">
        <f t="shared" si="615"/>
        <v>0</v>
      </c>
      <c r="D313" s="123">
        <f t="shared" si="616"/>
        <v>0</v>
      </c>
      <c r="E313" s="123">
        <f t="shared" si="617"/>
        <v>0</v>
      </c>
      <c r="F313" s="123">
        <f t="shared" si="618"/>
        <v>0</v>
      </c>
      <c r="G313" s="123">
        <f>IF(L312&lt;0.01,0,IF(Adm!$S$4=Adm!$S$8,L312*$L$15,L312*Adm!$V$4))</f>
        <v>0</v>
      </c>
      <c r="H313" s="123">
        <f>IF(L312&lt;0.01,0,IF(Adm!$S$5=Adm!$S$8,Adm!$AA$11*$L$16/1.16,IF(Adm!$B$4=Adm!$A$119,0,Adm!$AA$11*Adm!$X$4/1.16)))</f>
        <v>0</v>
      </c>
      <c r="I313" s="123">
        <f>IF(L312&lt;0.01,0,Cal!$AB$126/1.16)</f>
        <v>0</v>
      </c>
      <c r="J313" s="123">
        <f t="shared" si="619"/>
        <v>0</v>
      </c>
      <c r="K313" s="123">
        <f>IF(Adm!$G$4="si",MIN(L312+D313+G313+H313+I313-J313,V313),0)</f>
        <v>0</v>
      </c>
      <c r="L313" s="123">
        <f t="shared" si="620"/>
        <v>0</v>
      </c>
      <c r="M313" s="74"/>
      <c r="N313" s="74"/>
      <c r="O313" s="407">
        <f t="shared" si="621"/>
        <v>0</v>
      </c>
      <c r="R313" s="90">
        <f t="shared" si="613"/>
        <v>1</v>
      </c>
      <c r="S313" s="121">
        <f>IF(R313=1,Cal!$AB$127,0)</f>
        <v>0</v>
      </c>
      <c r="U313" s="70">
        <f t="shared" si="614"/>
        <v>0</v>
      </c>
      <c r="V313" s="2178">
        <f t="shared" ca="1" si="622"/>
        <v>0</v>
      </c>
    </row>
    <row r="314" spans="1:22">
      <c r="A314" s="1998">
        <f t="shared" ca="1" si="612"/>
        <v>5</v>
      </c>
      <c r="C314" s="33">
        <f t="shared" si="615"/>
        <v>0</v>
      </c>
      <c r="D314" s="123">
        <f t="shared" si="616"/>
        <v>0</v>
      </c>
      <c r="E314" s="123">
        <f t="shared" si="617"/>
        <v>0</v>
      </c>
      <c r="F314" s="123">
        <f t="shared" si="618"/>
        <v>0</v>
      </c>
      <c r="G314" s="123">
        <f>IF(L313&lt;0.01,0,IF(Adm!$S$4=Adm!$S$8,L313*$L$15,L313*Adm!$V$4))</f>
        <v>0</v>
      </c>
      <c r="H314" s="123">
        <f>IF(L313&lt;0.01,0,IF(Adm!$S$5=Adm!$S$8,Adm!$AA$11*$L$16/1.16,IF(Adm!$B$4=Adm!$A$119,0,Adm!$AA$11*Adm!$X$4/1.16)))</f>
        <v>0</v>
      </c>
      <c r="I314" s="123">
        <f>IF(L313&lt;0.01,0,Cal!$AB$126/1.16)</f>
        <v>0</v>
      </c>
      <c r="J314" s="123">
        <f t="shared" si="619"/>
        <v>0</v>
      </c>
      <c r="K314" s="123">
        <f>IF(Adm!$G$4="si",MIN(L313+D314+G314+H314+I314-J314,V314),0)</f>
        <v>0</v>
      </c>
      <c r="L314" s="123">
        <f t="shared" si="620"/>
        <v>0</v>
      </c>
      <c r="M314" s="74"/>
      <c r="N314" s="74"/>
      <c r="O314" s="407">
        <f t="shared" si="621"/>
        <v>0</v>
      </c>
      <c r="R314" s="90">
        <f t="shared" si="613"/>
        <v>2</v>
      </c>
      <c r="S314" s="121">
        <f>IF(R314=1,Cal!$AB$127,0)</f>
        <v>0</v>
      </c>
      <c r="U314" s="70">
        <f t="shared" si="614"/>
        <v>0</v>
      </c>
      <c r="V314" s="2178">
        <f t="shared" ca="1" si="622"/>
        <v>0</v>
      </c>
    </row>
    <row r="315" spans="1:22">
      <c r="A315" s="1998">
        <f t="shared" ca="1" si="612"/>
        <v>6</v>
      </c>
      <c r="C315" s="33">
        <f t="shared" si="615"/>
        <v>0</v>
      </c>
      <c r="D315" s="123">
        <f t="shared" si="616"/>
        <v>0</v>
      </c>
      <c r="E315" s="123">
        <f t="shared" si="617"/>
        <v>0</v>
      </c>
      <c r="F315" s="123">
        <f t="shared" si="618"/>
        <v>0</v>
      </c>
      <c r="G315" s="123">
        <f>IF(L314&lt;0.01,0,IF(Adm!$S$4=Adm!$S$8,L314*$L$15,L314*Adm!$V$4))</f>
        <v>0</v>
      </c>
      <c r="H315" s="123">
        <f>IF(L314&lt;0.01,0,IF(Adm!$S$5=Adm!$S$8,Adm!$AA$11*$L$16/1.16,IF(Adm!$B$4=Adm!$A$119,0,Adm!$AA$11*Adm!$X$4/1.16)))</f>
        <v>0</v>
      </c>
      <c r="I315" s="123">
        <f>IF(L314&lt;0.01,0,Cal!$AB$126/1.16)</f>
        <v>0</v>
      </c>
      <c r="J315" s="123">
        <f t="shared" si="619"/>
        <v>0</v>
      </c>
      <c r="K315" s="123">
        <f>IF(Adm!$G$4="si",MIN(L314+D315+G315+H315+I315-J315,V315),0)</f>
        <v>0</v>
      </c>
      <c r="L315" s="123">
        <f t="shared" si="620"/>
        <v>0</v>
      </c>
      <c r="M315" s="74"/>
      <c r="N315" s="74"/>
      <c r="O315" s="407">
        <f t="shared" si="621"/>
        <v>0</v>
      </c>
      <c r="R315" s="90">
        <f t="shared" si="613"/>
        <v>3</v>
      </c>
      <c r="S315" s="121">
        <f>IF(R315=1,Cal!$AB$127,0)</f>
        <v>0</v>
      </c>
      <c r="U315" s="70">
        <f t="shared" si="614"/>
        <v>0</v>
      </c>
      <c r="V315" s="2178">
        <f t="shared" ca="1" si="622"/>
        <v>0</v>
      </c>
    </row>
    <row r="316" spans="1:22">
      <c r="A316" s="1998">
        <f t="shared" ca="1" si="612"/>
        <v>7</v>
      </c>
      <c r="C316" s="33">
        <f t="shared" si="615"/>
        <v>0</v>
      </c>
      <c r="D316" s="123">
        <f t="shared" si="616"/>
        <v>0</v>
      </c>
      <c r="E316" s="123">
        <f t="shared" si="617"/>
        <v>0</v>
      </c>
      <c r="F316" s="123">
        <f t="shared" si="618"/>
        <v>0</v>
      </c>
      <c r="G316" s="123">
        <f>IF(L315&lt;0.01,0,IF(Adm!$S$4=Adm!$S$8,L315*$L$15,L315*Adm!$V$4))</f>
        <v>0</v>
      </c>
      <c r="H316" s="123">
        <f>IF(L315&lt;0.01,0,IF(Adm!$S$5=Adm!$S$8,Adm!$AA$11*$L$16/1.16,IF(Adm!$B$4=Adm!$A$119,0,Adm!$AA$11*Adm!$X$4/1.16)))</f>
        <v>0</v>
      </c>
      <c r="I316" s="123">
        <f>IF(L315&lt;0.01,0,Cal!$AB$126/1.16)</f>
        <v>0</v>
      </c>
      <c r="J316" s="123">
        <f t="shared" si="619"/>
        <v>0</v>
      </c>
      <c r="K316" s="123">
        <f>IF(Adm!$G$4="si",MIN(L315+D316+G316+H316+I316-J316,V316),0)</f>
        <v>0</v>
      </c>
      <c r="L316" s="123">
        <f t="shared" si="620"/>
        <v>0</v>
      </c>
      <c r="M316" s="74"/>
      <c r="N316" s="74"/>
      <c r="O316" s="407">
        <f t="shared" si="621"/>
        <v>0</v>
      </c>
      <c r="R316" s="90">
        <f t="shared" si="613"/>
        <v>4</v>
      </c>
      <c r="S316" s="121">
        <f>IF(R316=1,Cal!$AB$127,0)</f>
        <v>0</v>
      </c>
      <c r="U316" s="70">
        <f t="shared" si="614"/>
        <v>0</v>
      </c>
      <c r="V316" s="2178">
        <f t="shared" ca="1" si="622"/>
        <v>0</v>
      </c>
    </row>
    <row r="317" spans="1:22">
      <c r="A317" s="1998">
        <f t="shared" ca="1" si="612"/>
        <v>8</v>
      </c>
      <c r="C317" s="33">
        <f t="shared" si="615"/>
        <v>0</v>
      </c>
      <c r="D317" s="123">
        <f t="shared" si="616"/>
        <v>0</v>
      </c>
      <c r="E317" s="123">
        <f t="shared" si="617"/>
        <v>0</v>
      </c>
      <c r="F317" s="123">
        <f t="shared" si="618"/>
        <v>0</v>
      </c>
      <c r="G317" s="123">
        <f>IF(L316&lt;0.01,0,IF(Adm!$S$4=Adm!$S$8,L316*$L$15,L316*Adm!$V$4))</f>
        <v>0</v>
      </c>
      <c r="H317" s="123">
        <f>IF(L316&lt;0.01,0,IF(Adm!$S$5=Adm!$S$8,Adm!$AA$11*$L$16/1.16,IF(Adm!$B$4=Adm!$A$119,0,Adm!$AA$11*Adm!$X$4/1.16)))</f>
        <v>0</v>
      </c>
      <c r="I317" s="123">
        <f>IF(L316&lt;0.01,0,Cal!$AB$126/1.16)</f>
        <v>0</v>
      </c>
      <c r="J317" s="123">
        <f t="shared" si="619"/>
        <v>0</v>
      </c>
      <c r="K317" s="123">
        <f>IF(Adm!$G$4="si",MIN(L316+D317+G317+H317+I317-J317,V317),0)</f>
        <v>0</v>
      </c>
      <c r="L317" s="123">
        <f t="shared" si="620"/>
        <v>0</v>
      </c>
      <c r="M317" s="74"/>
      <c r="N317" s="74"/>
      <c r="O317" s="407">
        <f t="shared" si="621"/>
        <v>0</v>
      </c>
      <c r="R317" s="90">
        <f t="shared" si="613"/>
        <v>5</v>
      </c>
      <c r="S317" s="121">
        <f>IF(R317=1,Cal!$AB$127,0)</f>
        <v>0</v>
      </c>
      <c r="U317" s="70">
        <f t="shared" si="614"/>
        <v>0</v>
      </c>
      <c r="V317" s="2178">
        <f t="shared" ca="1" si="622"/>
        <v>0</v>
      </c>
    </row>
    <row r="318" spans="1:22">
      <c r="A318" s="1998">
        <f t="shared" ca="1" si="612"/>
        <v>9</v>
      </c>
      <c r="C318" s="33">
        <f t="shared" si="615"/>
        <v>0</v>
      </c>
      <c r="D318" s="123">
        <f t="shared" si="616"/>
        <v>0</v>
      </c>
      <c r="E318" s="123">
        <f t="shared" si="617"/>
        <v>0</v>
      </c>
      <c r="F318" s="123">
        <f t="shared" si="618"/>
        <v>0</v>
      </c>
      <c r="G318" s="123">
        <f>IF(L317&lt;0.01,0,IF(Adm!$S$4=Adm!$S$8,L317*$L$15,L317*Adm!$V$4))</f>
        <v>0</v>
      </c>
      <c r="H318" s="123">
        <f>IF(L317&lt;0.01,0,IF(Adm!$S$5=Adm!$S$8,Adm!$AA$11*$L$16/1.16,IF(Adm!$B$4=Adm!$A$119,0,Adm!$AA$11*Adm!$X$4/1.16)))</f>
        <v>0</v>
      </c>
      <c r="I318" s="123">
        <f>IF(L317&lt;0.01,0,Cal!$AB$126/1.16)</f>
        <v>0</v>
      </c>
      <c r="J318" s="123">
        <f t="shared" si="619"/>
        <v>0</v>
      </c>
      <c r="K318" s="123">
        <f>IF(Adm!$G$4="si",MIN(L317+D318+G318+H318+I318-J318,V318),0)</f>
        <v>0</v>
      </c>
      <c r="L318" s="123">
        <f t="shared" si="620"/>
        <v>0</v>
      </c>
      <c r="M318" s="74"/>
      <c r="N318" s="74"/>
      <c r="O318" s="407">
        <f t="shared" si="621"/>
        <v>0</v>
      </c>
      <c r="R318" s="90">
        <f t="shared" si="613"/>
        <v>6</v>
      </c>
      <c r="S318" s="121">
        <f>IF(R318=1,Cal!$AB$127,0)</f>
        <v>0</v>
      </c>
      <c r="U318" s="70">
        <f t="shared" si="614"/>
        <v>0</v>
      </c>
      <c r="V318" s="2178">
        <f t="shared" ca="1" si="622"/>
        <v>0</v>
      </c>
    </row>
    <row r="319" spans="1:22">
      <c r="A319" s="1998">
        <f t="shared" ca="1" si="612"/>
        <v>10</v>
      </c>
      <c r="C319" s="33">
        <f t="shared" si="615"/>
        <v>0</v>
      </c>
      <c r="D319" s="123">
        <f t="shared" si="616"/>
        <v>0</v>
      </c>
      <c r="E319" s="123">
        <f t="shared" si="617"/>
        <v>0</v>
      </c>
      <c r="F319" s="123">
        <f t="shared" si="618"/>
        <v>0</v>
      </c>
      <c r="G319" s="123">
        <f>IF(L318&lt;0.01,0,IF(Adm!$S$4=Adm!$S$8,L318*$L$15,L318*Adm!$V$4))</f>
        <v>0</v>
      </c>
      <c r="H319" s="123">
        <f>IF(L318&lt;0.01,0,IF(Adm!$S$5=Adm!$S$8,Adm!$AA$11*$L$16/1.16,IF(Adm!$B$4=Adm!$A$119,0,Adm!$AA$11*Adm!$X$4/1.16)))</f>
        <v>0</v>
      </c>
      <c r="I319" s="123">
        <f>IF(L318&lt;0.01,0,Cal!$AB$126/1.16)</f>
        <v>0</v>
      </c>
      <c r="J319" s="123">
        <f t="shared" si="619"/>
        <v>0</v>
      </c>
      <c r="K319" s="123">
        <f>IF(Adm!$G$4="si",MIN(L318+D319+G319+H319+I319-J319,V319),0)</f>
        <v>0</v>
      </c>
      <c r="L319" s="123">
        <f t="shared" si="620"/>
        <v>0</v>
      </c>
      <c r="M319" s="74"/>
      <c r="N319" s="74"/>
      <c r="O319" s="407">
        <f t="shared" si="621"/>
        <v>0</v>
      </c>
      <c r="R319" s="90">
        <f t="shared" si="613"/>
        <v>7</v>
      </c>
      <c r="S319" s="121">
        <f>IF(R319=1,Cal!$AB$127,0)</f>
        <v>0</v>
      </c>
      <c r="U319" s="70">
        <f t="shared" si="614"/>
        <v>0</v>
      </c>
      <c r="V319" s="2178">
        <f t="shared" ca="1" si="622"/>
        <v>0</v>
      </c>
    </row>
    <row r="320" spans="1:22">
      <c r="A320" s="1998">
        <f t="shared" ca="1" si="612"/>
        <v>11</v>
      </c>
      <c r="C320" s="33">
        <f t="shared" si="615"/>
        <v>0</v>
      </c>
      <c r="D320" s="123">
        <f t="shared" si="616"/>
        <v>0</v>
      </c>
      <c r="E320" s="123">
        <f t="shared" si="617"/>
        <v>0</v>
      </c>
      <c r="F320" s="123">
        <f t="shared" si="618"/>
        <v>0</v>
      </c>
      <c r="G320" s="123">
        <f>IF(L319&lt;0.01,0,IF(Adm!$S$4=Adm!$S$8,L319*$L$15,L319*Adm!$V$4))</f>
        <v>0</v>
      </c>
      <c r="H320" s="123">
        <f>IF(L319&lt;0.01,0,IF(Adm!$S$5=Adm!$S$8,Adm!$AA$11*$L$16/1.16,IF(Adm!$B$4=Adm!$A$119,0,Adm!$AA$11*Adm!$X$4/1.16)))</f>
        <v>0</v>
      </c>
      <c r="I320" s="123">
        <f>IF(L319&lt;0.01,0,Cal!$AB$126/1.16)</f>
        <v>0</v>
      </c>
      <c r="J320" s="123">
        <f t="shared" si="619"/>
        <v>0</v>
      </c>
      <c r="K320" s="123">
        <f>IF(Adm!$G$4="si",MIN(L319+D320+G320+H320+I320-J320,V320),0)</f>
        <v>0</v>
      </c>
      <c r="L320" s="123">
        <f t="shared" si="620"/>
        <v>0</v>
      </c>
      <c r="M320" s="74"/>
      <c r="N320" s="74"/>
      <c r="O320" s="407">
        <f t="shared" si="621"/>
        <v>0</v>
      </c>
      <c r="R320" s="90">
        <f t="shared" si="613"/>
        <v>8</v>
      </c>
      <c r="S320" s="121">
        <f>IF(R320=1,Cal!$AB$127,0)</f>
        <v>0</v>
      </c>
      <c r="U320" s="70">
        <f t="shared" si="614"/>
        <v>0</v>
      </c>
      <c r="V320" s="2178">
        <f t="shared" ca="1" si="622"/>
        <v>0</v>
      </c>
    </row>
    <row r="321" spans="1:22">
      <c r="A321" s="1998">
        <f t="shared" ca="1" si="612"/>
        <v>12</v>
      </c>
      <c r="C321" s="33">
        <f t="shared" si="615"/>
        <v>0</v>
      </c>
      <c r="D321" s="123">
        <f t="shared" si="616"/>
        <v>0</v>
      </c>
      <c r="E321" s="123">
        <f t="shared" si="617"/>
        <v>0</v>
      </c>
      <c r="F321" s="123">
        <f t="shared" si="618"/>
        <v>0</v>
      </c>
      <c r="G321" s="123">
        <f>IF(L320&lt;0.01,0,IF(Adm!$S$4=Adm!$S$8,L320*$L$15,L320*Adm!$V$4))</f>
        <v>0</v>
      </c>
      <c r="H321" s="123">
        <f>IF(L320&lt;0.01,0,IF(Adm!$S$5=Adm!$S$8,Adm!$AA$11*$L$16/1.16,IF(Adm!$B$4=Adm!$A$119,0,Adm!$AA$11*Adm!$X$4/1.16)))</f>
        <v>0</v>
      </c>
      <c r="I321" s="123">
        <f>IF(L320&lt;0.01,0,Cal!$AB$126/1.16)</f>
        <v>0</v>
      </c>
      <c r="J321" s="123">
        <f t="shared" si="619"/>
        <v>0</v>
      </c>
      <c r="K321" s="123">
        <f>IF(Adm!$G$4="si",MIN(L320+D321+G321+H321+I321-J321,V321),0)</f>
        <v>0</v>
      </c>
      <c r="L321" s="123">
        <f t="shared" si="620"/>
        <v>0</v>
      </c>
      <c r="M321" s="74"/>
      <c r="N321" s="74"/>
      <c r="O321" s="407">
        <f t="shared" si="621"/>
        <v>0</v>
      </c>
      <c r="R321" s="90">
        <f t="shared" si="613"/>
        <v>9</v>
      </c>
      <c r="S321" s="121">
        <f>IF(R321=1,Cal!$AB$127,0)</f>
        <v>0</v>
      </c>
      <c r="U321" s="70">
        <f t="shared" si="614"/>
        <v>0</v>
      </c>
      <c r="V321" s="2178">
        <f t="shared" ca="1" si="622"/>
        <v>0</v>
      </c>
    </row>
    <row r="322" spans="1:22">
      <c r="A322" s="1998">
        <f t="shared" ca="1" si="612"/>
        <v>1</v>
      </c>
      <c r="C322" s="33">
        <f t="shared" si="615"/>
        <v>0</v>
      </c>
      <c r="D322" s="123">
        <f t="shared" si="616"/>
        <v>0</v>
      </c>
      <c r="E322" s="123">
        <f t="shared" si="617"/>
        <v>0</v>
      </c>
      <c r="F322" s="123">
        <f t="shared" si="618"/>
        <v>0</v>
      </c>
      <c r="G322" s="123">
        <f>IF(L321&lt;0.01,0,IF(Adm!$S$4=Adm!$S$8,L321*$L$15,L321*Adm!$V$4))</f>
        <v>0</v>
      </c>
      <c r="H322" s="123">
        <f>IF(L321&lt;0.01,0,IF(Adm!$S$5=Adm!$S$8,Adm!$AA$11*$L$16/1.16,IF(Adm!$B$4=Adm!$A$119,0,Adm!$AA$11*Adm!$X$4/1.16)))</f>
        <v>0</v>
      </c>
      <c r="I322" s="123">
        <f>IF(L321&lt;0.01,0,Cal!$AB$126/1.16)</f>
        <v>0</v>
      </c>
      <c r="J322" s="123">
        <f t="shared" si="619"/>
        <v>0</v>
      </c>
      <c r="K322" s="123">
        <f>IF(Adm!$G$4="si",MIN(L321+D322+G322+H322+I322-J322,V322),0)</f>
        <v>0</v>
      </c>
      <c r="L322" s="123">
        <f t="shared" si="620"/>
        <v>0</v>
      </c>
      <c r="M322" s="74"/>
      <c r="N322" s="74"/>
      <c r="O322" s="407">
        <f t="shared" si="621"/>
        <v>0</v>
      </c>
      <c r="R322" s="90">
        <f t="shared" si="613"/>
        <v>10</v>
      </c>
      <c r="S322" s="121">
        <f>IF(R322=1,Cal!$AB$127,0)</f>
        <v>0</v>
      </c>
      <c r="U322" s="70">
        <f t="shared" si="614"/>
        <v>0</v>
      </c>
      <c r="V322" s="2178">
        <f t="shared" ca="1" si="622"/>
        <v>0</v>
      </c>
    </row>
    <row r="323" spans="1:22">
      <c r="A323" s="1998">
        <f t="shared" ca="1" si="612"/>
        <v>2</v>
      </c>
      <c r="C323" s="33">
        <f t="shared" si="615"/>
        <v>0</v>
      </c>
      <c r="D323" s="123">
        <f t="shared" si="616"/>
        <v>0</v>
      </c>
      <c r="E323" s="123">
        <f t="shared" si="617"/>
        <v>0</v>
      </c>
      <c r="F323" s="123">
        <f t="shared" si="618"/>
        <v>0</v>
      </c>
      <c r="G323" s="123">
        <f>IF(L322&lt;0.01,0,IF(Adm!$S$4=Adm!$S$8,L322*$L$15,L322*Adm!$V$4))</f>
        <v>0</v>
      </c>
      <c r="H323" s="123">
        <f>IF(L322&lt;0.01,0,IF(Adm!$S$5=Adm!$S$8,Adm!$AA$11*$L$16/1.16,IF(Adm!$B$4=Adm!$A$119,0,Adm!$AA$11*Adm!$X$4/1.16)))</f>
        <v>0</v>
      </c>
      <c r="I323" s="123">
        <f>IF(L322&lt;0.01,0,Cal!$AB$126/1.16)</f>
        <v>0</v>
      </c>
      <c r="J323" s="123">
        <f t="shared" si="619"/>
        <v>0</v>
      </c>
      <c r="K323" s="123">
        <f>IF(Adm!$G$4="si",MIN(L322+D323+G323+H323+I323-J323,V323),0)</f>
        <v>0</v>
      </c>
      <c r="L323" s="123">
        <f t="shared" si="620"/>
        <v>0</v>
      </c>
      <c r="M323" s="74"/>
      <c r="N323" s="74"/>
      <c r="O323" s="407">
        <f t="shared" si="621"/>
        <v>0</v>
      </c>
      <c r="R323" s="90">
        <f t="shared" si="613"/>
        <v>11</v>
      </c>
      <c r="S323" s="121">
        <f>IF(R323=1,Cal!$AB$127,0)</f>
        <v>0</v>
      </c>
      <c r="U323" s="70">
        <f t="shared" si="614"/>
        <v>0</v>
      </c>
      <c r="V323" s="2178">
        <f t="shared" ca="1" si="622"/>
        <v>0</v>
      </c>
    </row>
    <row r="324" spans="1:22">
      <c r="A324" s="1998">
        <f t="shared" ca="1" si="612"/>
        <v>3</v>
      </c>
      <c r="C324" s="33">
        <f t="shared" si="615"/>
        <v>0</v>
      </c>
      <c r="D324" s="123">
        <f t="shared" si="616"/>
        <v>0</v>
      </c>
      <c r="E324" s="123">
        <f t="shared" si="617"/>
        <v>0</v>
      </c>
      <c r="F324" s="123">
        <f t="shared" si="618"/>
        <v>0</v>
      </c>
      <c r="G324" s="123">
        <f>IF(L323&lt;0.01,0,IF(Adm!$S$4=Adm!$S$8,L323*$L$15,L323*Adm!$V$4))</f>
        <v>0</v>
      </c>
      <c r="H324" s="123">
        <f>IF(L323&lt;0.01,0,IF(Adm!$S$5=Adm!$S$8,Adm!$AA$11*$L$16/1.16,IF(Adm!$B$4=Adm!$A$119,0,Adm!$AA$11*Adm!$X$4/1.16)))</f>
        <v>0</v>
      </c>
      <c r="I324" s="123">
        <f>IF(L323&lt;0.01,0,Cal!$AB$126/1.16)</f>
        <v>0</v>
      </c>
      <c r="J324" s="123">
        <f t="shared" si="619"/>
        <v>0</v>
      </c>
      <c r="K324" s="123">
        <f>IF(Adm!$G$4="si",MIN(L323+D324+G324+H324+I324-J324,V324),0)</f>
        <v>0</v>
      </c>
      <c r="L324" s="123">
        <f t="shared" si="620"/>
        <v>0</v>
      </c>
      <c r="M324" s="74"/>
      <c r="N324" s="74"/>
      <c r="O324" s="408">
        <f t="shared" si="621"/>
        <v>0</v>
      </c>
      <c r="R324" s="91">
        <f t="shared" si="613"/>
        <v>12</v>
      </c>
      <c r="S324" s="164">
        <f>IF(R324=1,Cal!$AB$127,0)</f>
        <v>0</v>
      </c>
      <c r="U324" s="71">
        <f t="shared" si="614"/>
        <v>0</v>
      </c>
      <c r="V324" s="2183">
        <f t="shared" ca="1" si="622"/>
        <v>0</v>
      </c>
    </row>
  </sheetData>
  <mergeCells count="21">
    <mergeCell ref="D3:F3"/>
    <mergeCell ref="BQ3:BS3"/>
    <mergeCell ref="K1:L1"/>
    <mergeCell ref="CY1:CZ1"/>
    <mergeCell ref="CQ3:CS3"/>
    <mergeCell ref="BY1:BZ1"/>
    <mergeCell ref="AA3:AD3"/>
    <mergeCell ref="AH1:AI1"/>
    <mergeCell ref="GI1:GJ1"/>
    <mergeCell ref="GA3:GC3"/>
    <mergeCell ref="HX1:HY1"/>
    <mergeCell ref="HQ3:HS3"/>
    <mergeCell ref="AV3:AY3"/>
    <mergeCell ref="EQ1:ER1"/>
    <mergeCell ref="EI3:EK3"/>
    <mergeCell ref="HO281:HR281"/>
    <mergeCell ref="ID23:IE23"/>
    <mergeCell ref="IW1:IX1"/>
    <mergeCell ref="IP3:IR3"/>
    <mergeCell ref="JC23:JD23"/>
    <mergeCell ref="IN281:IQ281"/>
  </mergeCells>
  <conditionalFormatting sqref="K23">
    <cfRule type="containsBlanks" dxfId="34" priority="50">
      <formula>LEN(TRIM(K23))=0</formula>
    </cfRule>
  </conditionalFormatting>
  <conditionalFormatting sqref="M23:N23 IY23 HZ23">
    <cfRule type="cellIs" dxfId="33" priority="47" stopIfTrue="1" operator="greaterThan">
      <formula>""""""</formula>
    </cfRule>
  </conditionalFormatting>
  <conditionalFormatting sqref="CB23">
    <cfRule type="cellIs" dxfId="32" priority="44" stopIfTrue="1" operator="greaterThan">
      <formula>""""""</formula>
    </cfRule>
  </conditionalFormatting>
  <conditionalFormatting sqref="CY23">
    <cfRule type="containsBlanks" dxfId="31" priority="42">
      <formula>LEN(TRIM(CY23))=0</formula>
    </cfRule>
  </conditionalFormatting>
  <conditionalFormatting sqref="DB23:DC23">
    <cfRule type="cellIs" dxfId="30" priority="41" stopIfTrue="1" operator="greaterThan">
      <formula>""""""</formula>
    </cfRule>
  </conditionalFormatting>
  <conditionalFormatting sqref="EQ23">
    <cfRule type="containsBlanks" dxfId="29" priority="40">
      <formula>LEN(TRIM(EQ23))=0</formula>
    </cfRule>
  </conditionalFormatting>
  <conditionalFormatting sqref="ET23:EU23">
    <cfRule type="cellIs" dxfId="28" priority="39" stopIfTrue="1" operator="greaterThan">
      <formula>""""""</formula>
    </cfRule>
  </conditionalFormatting>
  <conditionalFormatting sqref="DA23">
    <cfRule type="cellIs" dxfId="27" priority="36" stopIfTrue="1" operator="greaterThan">
      <formula>""""""</formula>
    </cfRule>
  </conditionalFormatting>
  <conditionalFormatting sqref="ES23">
    <cfRule type="cellIs" dxfId="26" priority="35" stopIfTrue="1" operator="greaterThan">
      <formula>""""""</formula>
    </cfRule>
  </conditionalFormatting>
  <conditionalFormatting sqref="GI23">
    <cfRule type="containsBlanks" dxfId="25" priority="31">
      <formula>LEN(TRIM(GI23))=0</formula>
    </cfRule>
  </conditionalFormatting>
  <conditionalFormatting sqref="GL23:GM23">
    <cfRule type="cellIs" dxfId="24" priority="30" stopIfTrue="1" operator="greaterThan">
      <formula>""""""</formula>
    </cfRule>
  </conditionalFormatting>
  <conditionalFormatting sqref="GK23">
    <cfRule type="cellIs" dxfId="23" priority="29" stopIfTrue="1" operator="greaterThan">
      <formula>""""""</formula>
    </cfRule>
  </conditionalFormatting>
  <conditionalFormatting sqref="HX23">
    <cfRule type="containsBlanks" dxfId="22" priority="28">
      <formula>LEN(TRIM(HX23))=0</formula>
    </cfRule>
  </conditionalFormatting>
  <conditionalFormatting sqref="HX283">
    <cfRule type="containsBlanks" dxfId="21" priority="27">
      <formula>LEN(TRIM(HX283))=0</formula>
    </cfRule>
  </conditionalFormatting>
  <conditionalFormatting sqref="IE61:IE266">
    <cfRule type="cellIs" dxfId="20" priority="25" operator="greaterThan">
      <formula>0</formula>
    </cfRule>
  </conditionalFormatting>
  <conditionalFormatting sqref="IW23">
    <cfRule type="containsBlanks" dxfId="19" priority="23">
      <formula>LEN(TRIM(IW23))=0</formula>
    </cfRule>
  </conditionalFormatting>
  <conditionalFormatting sqref="IW283">
    <cfRule type="containsBlanks" dxfId="18" priority="22">
      <formula>LEN(TRIM(IW283))=0</formula>
    </cfRule>
  </conditionalFormatting>
  <conditionalFormatting sqref="JD61:JD266">
    <cfRule type="cellIs" dxfId="17" priority="20" operator="greaterThan">
      <formula>0</formula>
    </cfRule>
  </conditionalFormatting>
  <conditionalFormatting sqref="L27">
    <cfRule type="expression" dxfId="16" priority="19">
      <formula>$M$27&gt;0</formula>
    </cfRule>
  </conditionalFormatting>
  <conditionalFormatting sqref="L30">
    <cfRule type="expression" dxfId="15" priority="18">
      <formula>$M$30&gt;0</formula>
    </cfRule>
  </conditionalFormatting>
  <conditionalFormatting sqref="L33">
    <cfRule type="expression" dxfId="14" priority="17">
      <formula>$M$33&gt;0</formula>
    </cfRule>
  </conditionalFormatting>
  <conditionalFormatting sqref="L28">
    <cfRule type="expression" dxfId="13" priority="15">
      <formula>$M$28&gt;0</formula>
    </cfRule>
  </conditionalFormatting>
  <conditionalFormatting sqref="L32">
    <cfRule type="expression" dxfId="12" priority="14">
      <formula>$M$32&gt;0</formula>
    </cfRule>
  </conditionalFormatting>
  <conditionalFormatting sqref="L36">
    <cfRule type="expression" dxfId="11" priority="13">
      <formula>$M$36&gt;0</formula>
    </cfRule>
  </conditionalFormatting>
  <conditionalFormatting sqref="L40">
    <cfRule type="expression" dxfId="10" priority="12">
      <formula>$M$40&gt;0</formula>
    </cfRule>
  </conditionalFormatting>
  <conditionalFormatting sqref="CW23">
    <cfRule type="containsBlanks" dxfId="9" priority="11">
      <formula>LEN(TRIM(CW23))=0</formula>
    </cfRule>
  </conditionalFormatting>
  <conditionalFormatting sqref="DX26:DY26 DY27:DY264">
    <cfRule type="cellIs" dxfId="8" priority="8" stopIfTrue="1" operator="lessThanOrEqual">
      <formula>0</formula>
    </cfRule>
  </conditionalFormatting>
  <conditionalFormatting sqref="DX27:DX264">
    <cfRule type="cellIs" dxfId="7" priority="7" stopIfTrue="1" operator="lessThanOrEqual">
      <formula>0</formula>
    </cfRule>
  </conditionalFormatting>
  <conditionalFormatting sqref="DW25:DZ25 DZ26:DZ264 DW26:DW264">
    <cfRule type="cellIs" dxfId="6" priority="9" stopIfTrue="1" operator="lessThanOrEqual">
      <formula>0</formula>
    </cfRule>
  </conditionalFormatting>
  <conditionalFormatting sqref="FO26:FP26 FP27:FP264">
    <cfRule type="cellIs" dxfId="5" priority="5" stopIfTrue="1" operator="lessThanOrEqual">
      <formula>0</formula>
    </cfRule>
  </conditionalFormatting>
  <conditionalFormatting sqref="FO27:FO264">
    <cfRule type="cellIs" dxfId="4" priority="4" stopIfTrue="1" operator="lessThanOrEqual">
      <formula>0</formula>
    </cfRule>
  </conditionalFormatting>
  <conditionalFormatting sqref="FN25:FQ25 FQ26:FQ264 FN26:FN264">
    <cfRule type="cellIs" dxfId="3" priority="6" stopIfTrue="1" operator="lessThanOrEqual">
      <formula>0</formula>
    </cfRule>
  </conditionalFormatting>
  <conditionalFormatting sqref="HG26:HH26 HH27:HH264">
    <cfRule type="cellIs" dxfId="2" priority="2" stopIfTrue="1" operator="lessThanOrEqual">
      <formula>0</formula>
    </cfRule>
  </conditionalFormatting>
  <conditionalFormatting sqref="HG27:HG264">
    <cfRule type="cellIs" dxfId="1" priority="1" stopIfTrue="1" operator="lessThanOrEqual">
      <formula>0</formula>
    </cfRule>
  </conditionalFormatting>
  <conditionalFormatting sqref="HF25:HI25 HI26:HI264 HF26:HF264">
    <cfRule type="cellIs" dxfId="0" priority="3" stopIfTrue="1" operator="lessThanOrEqual">
      <formula>0</formula>
    </cfRule>
  </conditionalFormatting>
  <pageMargins left="0.7" right="0.7" top="0.75" bottom="0.75" header="0.3" footer="0.3"/>
  <pageSetup orientation="portrait" horizontalDpi="4294967294" verticalDpi="4294967294"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8"/>
  <dimension ref="A1:XFC239"/>
  <sheetViews>
    <sheetView showGridLines="0" showRowColHeaders="0" zoomScale="115" zoomScaleNormal="115" workbookViewId="0"/>
  </sheetViews>
  <sheetFormatPr baseColWidth="10" defaultColWidth="0" defaultRowHeight="13.2"/>
  <cols>
    <col min="1" max="1" width="1.5546875" style="988" customWidth="1"/>
    <col min="2" max="2" width="9.21875" style="988" customWidth="1"/>
    <col min="3" max="3" width="89.21875" style="988" customWidth="1"/>
    <col min="4" max="4" width="2" style="988" customWidth="1"/>
    <col min="5" max="16383" width="0" style="988" hidden="1"/>
    <col min="16384" max="16384" width="17.77734375" style="988" hidden="1" customWidth="1"/>
  </cols>
  <sheetData>
    <row r="1" spans="1:3">
      <c r="A1" s="987"/>
    </row>
    <row r="2" spans="1:3" ht="31.5" customHeight="1">
      <c r="A2" s="987"/>
      <c r="C2" s="989"/>
    </row>
    <row r="3" spans="1:3">
      <c r="A3" s="987"/>
      <c r="B3" s="2398" t="s">
        <v>652</v>
      </c>
      <c r="C3" s="2398"/>
    </row>
    <row r="4" spans="1:3">
      <c r="A4" s="987"/>
    </row>
    <row r="5" spans="1:3">
      <c r="A5" s="987"/>
      <c r="B5" s="2399" t="s">
        <v>653</v>
      </c>
      <c r="C5" s="2399"/>
    </row>
    <row r="6" spans="1:3" ht="36" customHeight="1">
      <c r="A6" s="987"/>
      <c r="B6" s="2400" t="s">
        <v>654</v>
      </c>
      <c r="C6" s="2400"/>
    </row>
    <row r="7" spans="1:3">
      <c r="A7" s="987"/>
      <c r="B7" s="2401" t="s">
        <v>655</v>
      </c>
      <c r="C7" s="2401"/>
    </row>
    <row r="8" spans="1:3">
      <c r="A8" s="987"/>
      <c r="B8" s="991"/>
      <c r="C8" s="991" t="s">
        <v>656</v>
      </c>
    </row>
    <row r="9" spans="1:3" ht="32.25" customHeight="1">
      <c r="A9" s="987"/>
      <c r="C9" s="992" t="s">
        <v>657</v>
      </c>
    </row>
    <row r="10" spans="1:3" ht="32.25" customHeight="1">
      <c r="A10" s="987"/>
      <c r="C10" s="992" t="s">
        <v>658</v>
      </c>
    </row>
    <row r="11" spans="1:3" ht="30.75" customHeight="1">
      <c r="A11" s="987"/>
      <c r="C11" s="992" t="s">
        <v>659</v>
      </c>
    </row>
    <row r="12" spans="1:3" ht="18.75" customHeight="1">
      <c r="A12" s="987"/>
      <c r="C12" s="993" t="s">
        <v>660</v>
      </c>
    </row>
    <row r="13" spans="1:3" ht="29.25" customHeight="1">
      <c r="A13" s="987"/>
      <c r="C13" s="992" t="s">
        <v>661</v>
      </c>
    </row>
    <row r="14" spans="1:3">
      <c r="A14" s="987"/>
    </row>
    <row r="15" spans="1:3">
      <c r="A15" s="987"/>
      <c r="B15" s="2402" t="s">
        <v>662</v>
      </c>
      <c r="C15" s="2402"/>
    </row>
    <row r="16" spans="1:3" ht="5.0999999999999996" customHeight="1">
      <c r="A16" s="987"/>
    </row>
    <row r="17" spans="1:5" ht="15" customHeight="1">
      <c r="A17" s="987"/>
      <c r="B17" s="994"/>
      <c r="C17" s="995" t="s">
        <v>663</v>
      </c>
    </row>
    <row r="18" spans="1:5" ht="15" customHeight="1">
      <c r="A18" s="987"/>
      <c r="B18" s="994"/>
      <c r="C18" s="995" t="s">
        <v>664</v>
      </c>
    </row>
    <row r="19" spans="1:5" ht="15" customHeight="1">
      <c r="A19" s="987"/>
      <c r="B19" s="994"/>
      <c r="C19" s="995" t="s">
        <v>665</v>
      </c>
    </row>
    <row r="20" spans="1:5" ht="15" customHeight="1">
      <c r="A20" s="987"/>
      <c r="B20" s="994"/>
      <c r="C20" s="995" t="s">
        <v>666</v>
      </c>
    </row>
    <row r="21" spans="1:5">
      <c r="A21" s="987"/>
      <c r="C21" s="990"/>
      <c r="D21" s="990"/>
      <c r="E21" s="990"/>
    </row>
    <row r="22" spans="1:5">
      <c r="A22" s="987"/>
      <c r="B22" s="1006" t="s">
        <v>667</v>
      </c>
    </row>
    <row r="23" spans="1:5">
      <c r="A23" s="987"/>
    </row>
    <row r="24" spans="1:5">
      <c r="A24" s="987"/>
      <c r="B24" s="2403" t="s">
        <v>668</v>
      </c>
      <c r="C24" s="2403"/>
    </row>
    <row r="25" spans="1:5" ht="33" customHeight="1">
      <c r="A25" s="987"/>
      <c r="B25" s="2397" t="s">
        <v>669</v>
      </c>
      <c r="C25" s="2397"/>
    </row>
    <row r="26" spans="1:5" ht="12.75" customHeight="1">
      <c r="A26" s="987"/>
      <c r="C26" s="996" t="s">
        <v>670</v>
      </c>
    </row>
    <row r="27" spans="1:5" ht="12.75" customHeight="1">
      <c r="A27" s="987"/>
      <c r="B27" s="997"/>
      <c r="C27" s="997" t="s">
        <v>671</v>
      </c>
    </row>
    <row r="28" spans="1:5" ht="12.75" customHeight="1">
      <c r="A28" s="987"/>
      <c r="B28" s="997"/>
      <c r="C28" s="997" t="s">
        <v>672</v>
      </c>
    </row>
    <row r="29" spans="1:5" ht="15" customHeight="1">
      <c r="A29" s="987"/>
      <c r="B29" s="2397" t="s">
        <v>673</v>
      </c>
      <c r="C29" s="2397"/>
    </row>
    <row r="30" spans="1:5" ht="29.25" customHeight="1">
      <c r="A30" s="987"/>
      <c r="B30" s="2397" t="s">
        <v>674</v>
      </c>
      <c r="C30" s="2397"/>
    </row>
    <row r="31" spans="1:5" ht="30.75" customHeight="1">
      <c r="A31" s="987"/>
      <c r="B31" s="2397" t="s">
        <v>675</v>
      </c>
      <c r="C31" s="2397"/>
    </row>
    <row r="32" spans="1:5" s="999" customFormat="1" ht="21.75" customHeight="1">
      <c r="A32" s="998"/>
      <c r="B32" s="2396" t="s">
        <v>676</v>
      </c>
      <c r="C32" s="2396"/>
    </row>
    <row r="33" spans="1:4" ht="56.25" customHeight="1">
      <c r="A33" s="987"/>
      <c r="B33" s="2405" t="s">
        <v>677</v>
      </c>
      <c r="C33" s="2405"/>
    </row>
    <row r="34" spans="1:4" ht="6" customHeight="1">
      <c r="A34" s="987"/>
      <c r="B34" s="2397"/>
      <c r="C34" s="2397"/>
    </row>
    <row r="35" spans="1:4" ht="32.25" customHeight="1">
      <c r="A35" s="987"/>
      <c r="B35" s="2400" t="s">
        <v>678</v>
      </c>
      <c r="C35" s="2400"/>
    </row>
    <row r="36" spans="1:4">
      <c r="A36" s="987"/>
      <c r="B36" s="1000" t="s">
        <v>679</v>
      </c>
      <c r="C36" s="1000"/>
      <c r="D36" s="990"/>
    </row>
    <row r="37" spans="1:4">
      <c r="A37" s="987"/>
      <c r="B37" s="1001"/>
      <c r="C37" s="1001"/>
    </row>
    <row r="38" spans="1:4">
      <c r="A38" s="987"/>
      <c r="B38" s="1002" t="s">
        <v>680</v>
      </c>
      <c r="C38" s="1001"/>
    </row>
    <row r="39" spans="1:4" ht="24.75" customHeight="1">
      <c r="A39" s="987"/>
      <c r="B39" s="2406" t="s">
        <v>681</v>
      </c>
      <c r="C39" s="2406"/>
    </row>
    <row r="40" spans="1:4" ht="12.75" customHeight="1">
      <c r="A40" s="987"/>
      <c r="C40" s="992" t="s">
        <v>682</v>
      </c>
    </row>
    <row r="41" spans="1:4" ht="63.75" customHeight="1">
      <c r="A41" s="987"/>
      <c r="C41" s="992" t="s">
        <v>683</v>
      </c>
    </row>
    <row r="42" spans="1:4" ht="21" customHeight="1">
      <c r="A42" s="987"/>
      <c r="B42" s="992"/>
      <c r="C42" s="1003" t="s">
        <v>684</v>
      </c>
    </row>
    <row r="43" spans="1:4" ht="26.25" customHeight="1">
      <c r="A43" s="987"/>
      <c r="C43" s="992" t="s">
        <v>685</v>
      </c>
    </row>
    <row r="44" spans="1:4">
      <c r="A44" s="987"/>
      <c r="C44" s="992" t="s">
        <v>686</v>
      </c>
    </row>
    <row r="45" spans="1:4">
      <c r="A45" s="987"/>
      <c r="B45" s="997"/>
      <c r="C45" s="997"/>
    </row>
    <row r="46" spans="1:4" ht="36" customHeight="1">
      <c r="A46" s="987"/>
      <c r="B46" s="2405" t="s">
        <v>687</v>
      </c>
      <c r="C46" s="2405"/>
    </row>
    <row r="47" spans="1:4" ht="6.75" customHeight="1">
      <c r="A47" s="987"/>
      <c r="B47" s="997"/>
      <c r="C47" s="997"/>
    </row>
    <row r="48" spans="1:4">
      <c r="A48" s="987"/>
      <c r="B48" s="2406" t="s">
        <v>688</v>
      </c>
      <c r="C48" s="2406"/>
    </row>
    <row r="49" spans="1:4">
      <c r="A49" s="987"/>
      <c r="B49" s="2404" t="s">
        <v>689</v>
      </c>
      <c r="C49" s="2404"/>
    </row>
    <row r="50" spans="1:4" ht="13.8" thickBot="1">
      <c r="A50" s="987"/>
      <c r="B50" s="1004"/>
      <c r="C50" s="1004"/>
      <c r="D50" s="1004"/>
    </row>
    <row r="51" spans="1:4">
      <c r="A51" s="987"/>
      <c r="B51" s="987"/>
      <c r="C51" s="987"/>
      <c r="D51" s="987"/>
    </row>
    <row r="52" spans="1:4" s="987" customFormat="1">
      <c r="B52" s="1005"/>
    </row>
    <row r="53" spans="1:4" s="987" customFormat="1"/>
    <row r="54" spans="1:4" s="987" customFormat="1"/>
    <row r="55" spans="1:4" s="987" customFormat="1"/>
    <row r="56" spans="1:4" s="987" customFormat="1"/>
    <row r="57" spans="1:4" s="987" customFormat="1"/>
    <row r="58" spans="1:4" s="987" customFormat="1"/>
    <row r="59" spans="1:4" s="987" customFormat="1"/>
    <row r="60" spans="1:4" s="987" customFormat="1"/>
    <row r="61" spans="1:4" s="987" customFormat="1"/>
    <row r="62" spans="1:4" s="987" customFormat="1"/>
    <row r="63" spans="1:4" s="987" customFormat="1"/>
    <row r="64" spans="1:4" s="987" customFormat="1"/>
    <row r="65" s="987" customFormat="1"/>
    <row r="66" s="987" customFormat="1"/>
    <row r="67" s="987" customFormat="1"/>
    <row r="68" s="987" customFormat="1"/>
    <row r="69" s="987" customFormat="1"/>
    <row r="70" s="987" customFormat="1"/>
    <row r="71" s="987" customFormat="1"/>
    <row r="72" s="987" customFormat="1"/>
    <row r="73" s="987" customFormat="1"/>
    <row r="74" s="987" customFormat="1"/>
    <row r="75" s="987" customFormat="1"/>
    <row r="76" s="987" customFormat="1"/>
    <row r="77" s="987" customFormat="1"/>
    <row r="78" s="987" customFormat="1"/>
    <row r="79" s="987" customFormat="1"/>
    <row r="80" s="987" customFormat="1"/>
    <row r="81" s="987" customFormat="1"/>
    <row r="82" s="987" customFormat="1"/>
    <row r="83" s="987" customFormat="1"/>
    <row r="84" s="987" customFormat="1"/>
    <row r="85" s="987" customFormat="1"/>
    <row r="86" s="987" customFormat="1"/>
    <row r="87" s="987" customFormat="1"/>
    <row r="88" s="987" customFormat="1"/>
    <row r="89" s="987" customFormat="1"/>
    <row r="90" s="987" customFormat="1"/>
    <row r="91" s="987" customFormat="1"/>
    <row r="92" s="987" customFormat="1"/>
    <row r="93" s="987" customFormat="1"/>
    <row r="94" s="987" customFormat="1"/>
    <row r="95" s="987" customFormat="1"/>
    <row r="96" s="987" customFormat="1"/>
    <row r="97" s="987" customFormat="1"/>
    <row r="98" s="987" customFormat="1"/>
    <row r="99" s="987" customFormat="1"/>
    <row r="100" s="987" customFormat="1"/>
    <row r="101" s="987" customFormat="1"/>
    <row r="102" s="987" customFormat="1"/>
    <row r="103" s="987" customFormat="1"/>
    <row r="104" s="987" customFormat="1"/>
    <row r="105" s="987" customFormat="1"/>
    <row r="106" s="987" customFormat="1"/>
    <row r="107" s="987" customFormat="1"/>
    <row r="108" s="987" customFormat="1"/>
    <row r="109" s="987" customFormat="1"/>
    <row r="110" s="987" customFormat="1"/>
    <row r="111" s="987" customFormat="1"/>
    <row r="112" s="987" customFormat="1"/>
    <row r="113" s="987" customFormat="1"/>
    <row r="114" s="987" customFormat="1"/>
    <row r="115" s="987" customFormat="1"/>
    <row r="116" s="987" customFormat="1"/>
    <row r="117" s="987" customFormat="1"/>
    <row r="118" s="987" customFormat="1"/>
    <row r="119" s="987" customFormat="1"/>
    <row r="120" s="987" customFormat="1"/>
    <row r="121" s="987" customFormat="1"/>
    <row r="122" s="987" customFormat="1"/>
    <row r="123" s="987" customFormat="1"/>
    <row r="124" s="987" customFormat="1"/>
    <row r="125" s="987" customFormat="1"/>
    <row r="126" s="987" customFormat="1"/>
    <row r="127" s="987" customFormat="1"/>
    <row r="128" s="987" customFormat="1"/>
    <row r="129" s="987" customFormat="1"/>
    <row r="130" s="987" customFormat="1"/>
    <row r="131" s="987" customFormat="1"/>
    <row r="132" s="987" customFormat="1"/>
    <row r="133" s="987" customFormat="1"/>
    <row r="134" s="987" customFormat="1"/>
    <row r="135" s="987" customFormat="1"/>
    <row r="136" s="987" customFormat="1"/>
    <row r="137" s="987" customFormat="1"/>
    <row r="138" s="987" customFormat="1"/>
    <row r="139" s="987" customFormat="1"/>
    <row r="140" s="987" customFormat="1"/>
    <row r="141" s="987" customFormat="1"/>
    <row r="142" s="987" customFormat="1"/>
    <row r="143" s="987" customFormat="1"/>
    <row r="144" s="987" customFormat="1"/>
    <row r="145" s="987" customFormat="1"/>
    <row r="146" s="987" customFormat="1"/>
    <row r="147" s="987" customFormat="1"/>
    <row r="148" s="987" customFormat="1"/>
    <row r="149" s="987" customFormat="1"/>
    <row r="150" s="987" customFormat="1"/>
    <row r="151" s="987" customFormat="1"/>
    <row r="152" s="987" customFormat="1"/>
    <row r="153" s="987" customFormat="1"/>
    <row r="154" s="987" customFormat="1"/>
    <row r="155" s="987" customFormat="1"/>
    <row r="156" s="987" customFormat="1"/>
    <row r="157" s="987" customFormat="1"/>
    <row r="158" s="987" customFormat="1"/>
    <row r="159" s="987" customFormat="1"/>
    <row r="160" s="987" customFormat="1"/>
    <row r="161" s="987" customFormat="1"/>
    <row r="162" s="987" customFormat="1"/>
    <row r="163" s="987" customFormat="1"/>
    <row r="164" s="987" customFormat="1"/>
    <row r="165" s="987" customFormat="1"/>
    <row r="166" s="987" customFormat="1"/>
    <row r="167" s="987" customFormat="1"/>
    <row r="168" s="987" customFormat="1"/>
    <row r="169" s="987" customFormat="1"/>
    <row r="170" s="987" customFormat="1"/>
    <row r="171" s="987" customFormat="1"/>
    <row r="172" s="987" customFormat="1"/>
    <row r="173" s="987" customFormat="1"/>
    <row r="174" s="987" customFormat="1"/>
    <row r="175" s="987" customFormat="1"/>
    <row r="176" s="987" customFormat="1"/>
    <row r="177" s="987" customFormat="1"/>
    <row r="178" s="987" customFormat="1"/>
    <row r="179" s="987" customFormat="1"/>
    <row r="180" s="987" customFormat="1"/>
    <row r="181" s="987" customFormat="1"/>
    <row r="182" s="987" customFormat="1"/>
    <row r="183" s="987" customFormat="1"/>
    <row r="184" s="987" customFormat="1"/>
    <row r="185" s="987" customFormat="1"/>
    <row r="186" s="987" customFormat="1"/>
    <row r="187" s="987" customFormat="1"/>
    <row r="188" s="987" customFormat="1"/>
    <row r="189" s="987" customFormat="1"/>
    <row r="190" s="987" customFormat="1"/>
    <row r="191" s="987" customFormat="1"/>
    <row r="192" s="987" customFormat="1"/>
    <row r="193" s="987" customFormat="1"/>
    <row r="194" s="987" customFormat="1"/>
    <row r="195" s="987" customFormat="1"/>
    <row r="196" s="987" customFormat="1"/>
    <row r="197" s="987" customFormat="1"/>
    <row r="198" s="987" customFormat="1"/>
    <row r="199" s="987" customFormat="1"/>
    <row r="200" s="987" customFormat="1"/>
    <row r="201" s="987" customFormat="1"/>
    <row r="202" s="987" customFormat="1"/>
    <row r="203" s="987" customFormat="1"/>
    <row r="204" s="987" customFormat="1"/>
    <row r="205" s="987" customFormat="1"/>
    <row r="206" s="987" customFormat="1"/>
    <row r="207" s="987" customFormat="1"/>
    <row r="208" s="987" customFormat="1"/>
    <row r="209" s="987" customFormat="1"/>
    <row r="210" s="987" customFormat="1"/>
    <row r="211" s="987" customFormat="1"/>
    <row r="212" s="987" customFormat="1"/>
    <row r="213" s="987" customFormat="1"/>
    <row r="214" s="987" customFormat="1"/>
    <row r="215" s="987" customFormat="1"/>
    <row r="216" s="987" customFormat="1"/>
    <row r="217" s="987" customFormat="1"/>
    <row r="218" s="987" customFormat="1"/>
    <row r="219" s="987" customFormat="1"/>
    <row r="220" s="987" customFormat="1"/>
    <row r="221" s="987" customFormat="1"/>
    <row r="222" s="987" customFormat="1"/>
    <row r="223" s="987" customFormat="1"/>
    <row r="224" s="987" customFormat="1"/>
    <row r="225" s="987" customFormat="1"/>
    <row r="226" s="987" customFormat="1"/>
    <row r="227" s="987" customFormat="1"/>
    <row r="228" s="987" customFormat="1"/>
    <row r="229" s="987" customFormat="1"/>
    <row r="230" s="987" customFormat="1"/>
    <row r="231" s="987" customFormat="1"/>
    <row r="232" s="987" customFormat="1"/>
    <row r="233" s="987" customFormat="1"/>
    <row r="234" s="987" customFormat="1"/>
    <row r="235" s="987" customFormat="1"/>
    <row r="236" s="987" customFormat="1"/>
    <row r="237" s="987" customFormat="1"/>
    <row r="238" s="987" customFormat="1"/>
    <row r="239" s="987" customFormat="1"/>
  </sheetData>
  <sheetProtection algorithmName="SHA-512" hashValue="9jVNUDlS1DD1KJ/0uUt/jFtlcUi57EANaQ41OXcrWNqF8/rLtk4/LV/da7gGt+jqXXmwyrmznJ0dKjl5+ZScxw==" saltValue="6URpfkdaMXANZxMN66rEmA==" spinCount="100000" sheet="1" objects="1" scenarios="1"/>
  <mergeCells count="18">
    <mergeCell ref="B49:C49"/>
    <mergeCell ref="B33:C33"/>
    <mergeCell ref="B34:C34"/>
    <mergeCell ref="B35:C35"/>
    <mergeCell ref="B39:C39"/>
    <mergeCell ref="B46:C46"/>
    <mergeCell ref="B48:C48"/>
    <mergeCell ref="B32:C32"/>
    <mergeCell ref="B31:C31"/>
    <mergeCell ref="B3:C3"/>
    <mergeCell ref="B5:C5"/>
    <mergeCell ref="B6:C6"/>
    <mergeCell ref="B7:C7"/>
    <mergeCell ref="B15:C15"/>
    <mergeCell ref="B24:C24"/>
    <mergeCell ref="B25:C25"/>
    <mergeCell ref="B29:C29"/>
    <mergeCell ref="B30:C30"/>
  </mergeCells>
  <hyperlinks>
    <hyperlink ref="B36" r:id="rId1" display="http://portal.infonavit.org.mx/wps/portal/TRABAJADORES/Menu de apoyo/Derechohabientes/slPrecaCofinavit" xr:uid="{00000000-0004-0000-0D00-000000000000}"/>
    <hyperlink ref="B36:C36" r:id="rId2" display="Página del INFONAVIT     www.infonavit.org.mx" xr:uid="{00000000-0004-0000-0D00-000001000000}"/>
  </hyperlinks>
  <printOptions horizontalCentered="1"/>
  <pageMargins left="0.15748031496062992" right="0.15748031496062992" top="0.35433070866141736" bottom="0.4" header="0" footer="0"/>
  <pageSetup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169" r:id="rId6" name="Check Box 1">
              <controlPr defaultSize="0" autoFill="0" autoLine="0" autoPict="0">
                <anchor moveWithCells="1">
                  <from>
                    <xdr:col>1</xdr:col>
                    <xdr:colOff>205740</xdr:colOff>
                    <xdr:row>15</xdr:row>
                    <xdr:rowOff>60960</xdr:rowOff>
                  </from>
                  <to>
                    <xdr:col>1</xdr:col>
                    <xdr:colOff>510540</xdr:colOff>
                    <xdr:row>17</xdr:row>
                    <xdr:rowOff>76200</xdr:rowOff>
                  </to>
                </anchor>
              </controlPr>
            </control>
          </mc:Choice>
        </mc:AlternateContent>
        <mc:AlternateContent xmlns:mc="http://schemas.openxmlformats.org/markup-compatibility/2006">
          <mc:Choice Requires="x14">
            <control shapeId="7170" r:id="rId7" name="Check Box 2">
              <controlPr defaultSize="0" autoFill="0" autoLine="0" autoPict="0">
                <anchor moveWithCells="1">
                  <from>
                    <xdr:col>1</xdr:col>
                    <xdr:colOff>205740</xdr:colOff>
                    <xdr:row>16</xdr:row>
                    <xdr:rowOff>152400</xdr:rowOff>
                  </from>
                  <to>
                    <xdr:col>1</xdr:col>
                    <xdr:colOff>510540</xdr:colOff>
                    <xdr:row>18</xdr:row>
                    <xdr:rowOff>38100</xdr:rowOff>
                  </to>
                </anchor>
              </controlPr>
            </control>
          </mc:Choice>
        </mc:AlternateContent>
        <mc:AlternateContent xmlns:mc="http://schemas.openxmlformats.org/markup-compatibility/2006">
          <mc:Choice Requires="x14">
            <control shapeId="7171" r:id="rId8" name="Check Box 3">
              <controlPr defaultSize="0" autoFill="0" autoLine="0" autoPict="0">
                <anchor moveWithCells="1">
                  <from>
                    <xdr:col>1</xdr:col>
                    <xdr:colOff>205740</xdr:colOff>
                    <xdr:row>17</xdr:row>
                    <xdr:rowOff>167640</xdr:rowOff>
                  </from>
                  <to>
                    <xdr:col>1</xdr:col>
                    <xdr:colOff>510540</xdr:colOff>
                    <xdr:row>19</xdr:row>
                    <xdr:rowOff>53340</xdr:rowOff>
                  </to>
                </anchor>
              </controlPr>
            </control>
          </mc:Choice>
        </mc:AlternateContent>
        <mc:AlternateContent xmlns:mc="http://schemas.openxmlformats.org/markup-compatibility/2006">
          <mc:Choice Requires="x14">
            <control shapeId="7172" r:id="rId9" name="Check Box 4">
              <controlPr defaultSize="0" autoFill="0" autoLine="0" autoPict="0">
                <anchor moveWithCells="1">
                  <from>
                    <xdr:col>1</xdr:col>
                    <xdr:colOff>205740</xdr:colOff>
                    <xdr:row>18</xdr:row>
                    <xdr:rowOff>175260</xdr:rowOff>
                  </from>
                  <to>
                    <xdr:col>1</xdr:col>
                    <xdr:colOff>510540</xdr:colOff>
                    <xdr:row>20</xdr:row>
                    <xdr:rowOff>60960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0">
    <pageSetUpPr fitToPage="1"/>
  </sheetPr>
  <dimension ref="B4:L66"/>
  <sheetViews>
    <sheetView showGridLines="0" showRowColHeaders="0" zoomScale="110" zoomScaleNormal="110" workbookViewId="0"/>
  </sheetViews>
  <sheetFormatPr baseColWidth="10" defaultColWidth="11.44140625" defaultRowHeight="13.2"/>
  <cols>
    <col min="1" max="1" width="3.44140625" style="986" customWidth="1"/>
    <col min="2" max="2" width="4.21875" style="986" customWidth="1"/>
    <col min="3" max="3" width="128.77734375" style="986" customWidth="1"/>
    <col min="4" max="16384" width="11.44140625" style="986"/>
  </cols>
  <sheetData>
    <row r="4" spans="2:12" ht="13.8" thickBot="1">
      <c r="B4" s="2424" t="s">
        <v>690</v>
      </c>
      <c r="C4" s="2424"/>
    </row>
    <row r="5" spans="2:12" ht="18" customHeight="1" thickBot="1">
      <c r="B5" s="2411" t="s">
        <v>691</v>
      </c>
      <c r="C5" s="2412"/>
      <c r="D5" s="1007"/>
      <c r="E5" s="1007"/>
      <c r="F5" s="1007"/>
      <c r="G5" s="1007"/>
      <c r="H5" s="1007"/>
      <c r="I5" s="1007"/>
      <c r="J5" s="1007"/>
      <c r="K5" s="1007"/>
      <c r="L5" s="1007"/>
    </row>
    <row r="6" spans="2:12" ht="23.25" customHeight="1">
      <c r="B6" s="2427" t="s">
        <v>692</v>
      </c>
      <c r="C6" s="2428"/>
      <c r="D6" s="1007"/>
      <c r="E6" s="1007"/>
      <c r="F6" s="1007"/>
      <c r="G6" s="1007"/>
      <c r="H6" s="1007"/>
      <c r="I6" s="1007"/>
      <c r="J6" s="1007"/>
      <c r="K6" s="1007"/>
      <c r="L6" s="1007"/>
    </row>
    <row r="7" spans="2:12" ht="63.75" customHeight="1">
      <c r="B7" s="2407" t="s">
        <v>693</v>
      </c>
      <c r="C7" s="2408"/>
      <c r="D7" s="1007"/>
      <c r="E7" s="1007"/>
      <c r="F7" s="1007"/>
      <c r="G7" s="1007"/>
      <c r="H7" s="1007"/>
      <c r="I7" s="1007"/>
      <c r="J7" s="1007"/>
      <c r="K7" s="1007"/>
      <c r="L7" s="1007"/>
    </row>
    <row r="8" spans="2:12" ht="62.25" customHeight="1">
      <c r="B8" s="2407" t="s">
        <v>694</v>
      </c>
      <c r="C8" s="2408"/>
      <c r="D8" s="1007"/>
      <c r="E8" s="1007"/>
      <c r="F8" s="1007"/>
      <c r="G8" s="1007"/>
      <c r="H8" s="1007"/>
      <c r="I8" s="1007"/>
      <c r="J8" s="1007"/>
      <c r="K8" s="1007"/>
      <c r="L8" s="1007"/>
    </row>
    <row r="9" spans="2:12" ht="5.0999999999999996" customHeight="1">
      <c r="B9" s="1008"/>
      <c r="C9" s="1009"/>
      <c r="D9" s="1007"/>
      <c r="E9" s="1007"/>
      <c r="F9" s="1007"/>
      <c r="G9" s="1007"/>
      <c r="H9" s="1007"/>
      <c r="I9" s="1007"/>
      <c r="J9" s="1007"/>
      <c r="K9" s="1007"/>
      <c r="L9" s="1007"/>
    </row>
    <row r="10" spans="2:12" ht="23.25" customHeight="1">
      <c r="B10" s="2417" t="s">
        <v>695</v>
      </c>
      <c r="C10" s="2418"/>
      <c r="D10" s="1007"/>
      <c r="E10" s="1007"/>
      <c r="F10" s="1007"/>
      <c r="G10" s="1007"/>
      <c r="H10" s="1007"/>
      <c r="I10" s="1007"/>
      <c r="J10" s="1007"/>
      <c r="K10" s="1007"/>
      <c r="L10" s="1007"/>
    </row>
    <row r="11" spans="2:12">
      <c r="B11" s="2409" t="s">
        <v>696</v>
      </c>
      <c r="C11" s="2410"/>
      <c r="D11" s="1007"/>
      <c r="E11" s="1007"/>
      <c r="F11" s="1007"/>
      <c r="G11" s="1007"/>
      <c r="H11" s="1007"/>
      <c r="I11" s="1007"/>
      <c r="J11" s="1007"/>
      <c r="K11" s="1007"/>
      <c r="L11" s="1007"/>
    </row>
    <row r="12" spans="2:12">
      <c r="B12" s="1010"/>
      <c r="C12" s="1011" t="s">
        <v>697</v>
      </c>
      <c r="D12" s="1007"/>
      <c r="E12" s="1007"/>
      <c r="F12" s="1007"/>
      <c r="G12" s="1007"/>
      <c r="H12" s="1007"/>
      <c r="I12" s="1007"/>
      <c r="J12" s="1007"/>
      <c r="K12" s="1007"/>
      <c r="L12" s="1007"/>
    </row>
    <row r="13" spans="2:12" ht="41.25" customHeight="1">
      <c r="B13" s="1012"/>
      <c r="C13" s="1013" t="s">
        <v>698</v>
      </c>
      <c r="D13" s="1014"/>
      <c r="E13" s="1014"/>
      <c r="F13" s="1014"/>
      <c r="G13" s="1014"/>
      <c r="H13" s="1014"/>
      <c r="I13" s="1014"/>
      <c r="J13" s="1014"/>
      <c r="K13" s="1014"/>
      <c r="L13" s="1014"/>
    </row>
    <row r="14" spans="2:12" ht="30" customHeight="1">
      <c r="B14" s="1012"/>
      <c r="C14" s="1013" t="s">
        <v>699</v>
      </c>
      <c r="D14" s="1007"/>
      <c r="E14" s="1007"/>
      <c r="F14" s="1007"/>
      <c r="G14" s="1007"/>
      <c r="H14" s="1007"/>
      <c r="I14" s="1007"/>
      <c r="J14" s="1007"/>
      <c r="K14" s="1007"/>
      <c r="L14" s="1007"/>
    </row>
    <row r="15" spans="2:12" ht="15" customHeight="1">
      <c r="B15" s="1012"/>
      <c r="C15" s="1015" t="s">
        <v>700</v>
      </c>
      <c r="D15" s="1007"/>
      <c r="E15" s="1007"/>
      <c r="F15" s="1007"/>
      <c r="G15" s="1007"/>
      <c r="H15" s="1007"/>
      <c r="I15" s="1007"/>
      <c r="J15" s="1007"/>
      <c r="K15" s="1007"/>
      <c r="L15" s="1007"/>
    </row>
    <row r="16" spans="2:12" ht="15" customHeight="1">
      <c r="B16" s="1012"/>
      <c r="C16" s="1013" t="s">
        <v>701</v>
      </c>
      <c r="D16" s="1007"/>
      <c r="E16" s="1007"/>
      <c r="F16" s="1007"/>
      <c r="G16" s="1007"/>
      <c r="H16" s="1007"/>
      <c r="I16" s="1007"/>
      <c r="J16" s="1007"/>
      <c r="K16" s="1007"/>
      <c r="L16" s="1007"/>
    </row>
    <row r="17" spans="2:12">
      <c r="B17" s="2409" t="s">
        <v>702</v>
      </c>
      <c r="C17" s="2410"/>
      <c r="D17" s="1007"/>
      <c r="E17" s="1007"/>
      <c r="F17" s="1007"/>
      <c r="G17" s="1007"/>
      <c r="H17" s="1007"/>
      <c r="I17" s="1007"/>
      <c r="J17" s="1007"/>
      <c r="K17" s="1007"/>
      <c r="L17" s="1007"/>
    </row>
    <row r="18" spans="2:12">
      <c r="B18" s="2409" t="s">
        <v>703</v>
      </c>
      <c r="C18" s="2410"/>
      <c r="D18" s="1007"/>
      <c r="E18" s="1007"/>
      <c r="F18" s="1007"/>
      <c r="G18" s="1007"/>
      <c r="H18" s="1007"/>
      <c r="I18" s="1007"/>
      <c r="J18" s="1007"/>
      <c r="K18" s="1007"/>
      <c r="L18" s="1007"/>
    </row>
    <row r="19" spans="2:12">
      <c r="B19" s="2409" t="s">
        <v>704</v>
      </c>
      <c r="C19" s="2410"/>
      <c r="D19" s="1007"/>
      <c r="E19" s="1007"/>
      <c r="F19" s="1007"/>
      <c r="G19" s="1007"/>
      <c r="H19" s="1007"/>
      <c r="I19" s="1007"/>
      <c r="J19" s="1007"/>
      <c r="K19" s="1007"/>
      <c r="L19" s="1007"/>
    </row>
    <row r="20" spans="2:12">
      <c r="B20" s="2409" t="s">
        <v>705</v>
      </c>
      <c r="C20" s="2410"/>
      <c r="D20" s="1007"/>
      <c r="E20" s="1007"/>
      <c r="F20" s="1007"/>
      <c r="G20" s="1007"/>
      <c r="H20" s="1007"/>
      <c r="I20" s="1007"/>
      <c r="J20" s="1007"/>
      <c r="K20" s="1007"/>
      <c r="L20" s="1007"/>
    </row>
    <row r="21" spans="2:12">
      <c r="B21" s="2407" t="s">
        <v>706</v>
      </c>
      <c r="C21" s="2408"/>
      <c r="D21" s="1007"/>
      <c r="E21" s="1007"/>
      <c r="F21" s="1007"/>
      <c r="G21" s="1007"/>
      <c r="H21" s="1007"/>
      <c r="I21" s="1007"/>
      <c r="J21" s="1007"/>
      <c r="K21" s="1007"/>
      <c r="L21" s="1007"/>
    </row>
    <row r="22" spans="2:12">
      <c r="B22" s="2409" t="s">
        <v>707</v>
      </c>
      <c r="C22" s="2410"/>
      <c r="D22" s="1007"/>
      <c r="E22" s="1007"/>
      <c r="F22" s="1007"/>
      <c r="G22" s="1007"/>
      <c r="H22" s="1007"/>
      <c r="I22" s="1007"/>
      <c r="J22" s="1007"/>
      <c r="K22" s="1007"/>
      <c r="L22" s="1007"/>
    </row>
    <row r="23" spans="2:12">
      <c r="B23" s="2409" t="s">
        <v>708</v>
      </c>
      <c r="C23" s="2410"/>
      <c r="D23" s="1007"/>
      <c r="E23" s="1007"/>
      <c r="F23" s="1007"/>
      <c r="G23" s="1007"/>
      <c r="H23" s="1007"/>
      <c r="I23" s="1007"/>
      <c r="J23" s="1007"/>
      <c r="K23" s="1007"/>
      <c r="L23" s="1007"/>
    </row>
    <row r="24" spans="2:12" s="1017" customFormat="1" ht="27.75" customHeight="1">
      <c r="B24" s="2415" t="s">
        <v>709</v>
      </c>
      <c r="C24" s="2416"/>
      <c r="D24" s="1016"/>
      <c r="E24" s="1016"/>
      <c r="F24" s="1016"/>
      <c r="G24" s="1016"/>
      <c r="H24" s="1016"/>
      <c r="I24" s="1016"/>
      <c r="J24" s="1016"/>
      <c r="K24" s="1016"/>
      <c r="L24" s="1016"/>
    </row>
    <row r="25" spans="2:12">
      <c r="B25" s="2413" t="s">
        <v>710</v>
      </c>
      <c r="C25" s="2414"/>
      <c r="D25" s="1007"/>
      <c r="E25" s="1007"/>
      <c r="F25" s="1007"/>
      <c r="G25" s="1007"/>
      <c r="H25" s="1007"/>
      <c r="I25" s="1007"/>
      <c r="J25" s="1007"/>
      <c r="K25" s="1007"/>
      <c r="L25" s="1007"/>
    </row>
    <row r="26" spans="2:12">
      <c r="B26" s="2407" t="s">
        <v>711</v>
      </c>
      <c r="C26" s="2408"/>
      <c r="D26" s="1007"/>
      <c r="E26" s="1007"/>
      <c r="F26" s="1007"/>
      <c r="G26" s="1007"/>
      <c r="H26" s="1007"/>
      <c r="I26" s="1007"/>
      <c r="J26" s="1007"/>
      <c r="K26" s="1007"/>
      <c r="L26" s="1007"/>
    </row>
    <row r="27" spans="2:12" ht="31.5" customHeight="1">
      <c r="B27" s="2407" t="s">
        <v>712</v>
      </c>
      <c r="C27" s="2408"/>
      <c r="D27" s="1007"/>
      <c r="E27" s="1007"/>
      <c r="F27" s="1007"/>
      <c r="G27" s="1007"/>
      <c r="H27" s="1007"/>
      <c r="I27" s="1007"/>
      <c r="J27" s="1007"/>
      <c r="K27" s="1007"/>
      <c r="L27" s="1007"/>
    </row>
    <row r="28" spans="2:12" ht="30.75" customHeight="1">
      <c r="B28" s="2407" t="s">
        <v>713</v>
      </c>
      <c r="C28" s="2408"/>
      <c r="D28" s="1007"/>
      <c r="E28" s="1007"/>
      <c r="F28" s="1007"/>
      <c r="G28" s="1007"/>
      <c r="H28" s="1007"/>
      <c r="I28" s="1007"/>
      <c r="J28" s="1007"/>
      <c r="K28" s="1007"/>
      <c r="L28" s="1007"/>
    </row>
    <row r="29" spans="2:12" ht="33" customHeight="1">
      <c r="B29" s="2407" t="s">
        <v>714</v>
      </c>
      <c r="C29" s="2408"/>
      <c r="D29" s="1007"/>
      <c r="E29" s="1007"/>
      <c r="F29" s="1007"/>
      <c r="G29" s="1007"/>
      <c r="H29" s="1007"/>
      <c r="I29" s="1007"/>
      <c r="J29" s="1007"/>
      <c r="K29" s="1007"/>
      <c r="L29" s="1007"/>
    </row>
    <row r="30" spans="2:12">
      <c r="B30" s="2407" t="s">
        <v>715</v>
      </c>
      <c r="C30" s="2408"/>
      <c r="D30" s="1007"/>
      <c r="E30" s="1007"/>
      <c r="F30" s="1007"/>
      <c r="G30" s="1007"/>
      <c r="H30" s="1007"/>
      <c r="I30" s="1007"/>
      <c r="J30" s="1007"/>
      <c r="K30" s="1007"/>
      <c r="L30" s="1007"/>
    </row>
    <row r="31" spans="2:12" ht="5.0999999999999996" customHeight="1">
      <c r="B31" s="1008"/>
      <c r="C31" s="1009"/>
      <c r="D31" s="1007"/>
      <c r="E31" s="1007"/>
      <c r="F31" s="1007"/>
      <c r="G31" s="1007"/>
      <c r="H31" s="1007"/>
      <c r="I31" s="1007"/>
      <c r="J31" s="1007"/>
      <c r="K31" s="1007"/>
      <c r="L31" s="1007"/>
    </row>
    <row r="32" spans="2:12">
      <c r="B32" s="2425" t="s">
        <v>716</v>
      </c>
      <c r="C32" s="2426"/>
      <c r="D32" s="1007"/>
      <c r="E32" s="1007"/>
      <c r="F32" s="1007"/>
      <c r="G32" s="1007"/>
      <c r="H32" s="1007"/>
      <c r="I32" s="1007"/>
      <c r="J32" s="1007"/>
      <c r="K32" s="1007"/>
      <c r="L32" s="1007"/>
    </row>
    <row r="33" spans="2:12" s="1019" customFormat="1">
      <c r="B33" s="2409" t="s">
        <v>717</v>
      </c>
      <c r="C33" s="2410"/>
      <c r="D33" s="1018"/>
      <c r="E33" s="1018"/>
      <c r="F33" s="1018"/>
      <c r="G33" s="1018"/>
      <c r="H33" s="1018"/>
      <c r="I33" s="1018"/>
      <c r="J33" s="1018"/>
      <c r="K33" s="1018"/>
      <c r="L33" s="1018"/>
    </row>
    <row r="34" spans="2:12" s="1019" customFormat="1" ht="15" customHeight="1">
      <c r="B34" s="1020"/>
      <c r="C34" s="1021" t="s">
        <v>697</v>
      </c>
      <c r="D34" s="1018"/>
      <c r="E34" s="1018"/>
      <c r="F34" s="1018"/>
      <c r="G34" s="1018"/>
      <c r="H34" s="1018"/>
      <c r="I34" s="1018"/>
      <c r="J34" s="1018"/>
      <c r="K34" s="1018"/>
      <c r="L34" s="1018"/>
    </row>
    <row r="35" spans="2:12" s="1019" customFormat="1">
      <c r="B35" s="2409" t="s">
        <v>718</v>
      </c>
      <c r="C35" s="2410"/>
      <c r="D35" s="1018"/>
      <c r="E35" s="1018"/>
      <c r="F35" s="1018"/>
      <c r="G35" s="1018"/>
      <c r="H35" s="1018"/>
      <c r="I35" s="1018"/>
      <c r="J35" s="1018"/>
      <c r="K35" s="1018"/>
      <c r="L35" s="1018"/>
    </row>
    <row r="36" spans="2:12" s="1019" customFormat="1">
      <c r="B36" s="2407" t="s">
        <v>719</v>
      </c>
      <c r="C36" s="2408"/>
      <c r="D36" s="1018"/>
      <c r="E36" s="1018"/>
      <c r="F36" s="1018"/>
      <c r="G36" s="1018"/>
      <c r="H36" s="1018"/>
      <c r="I36" s="1018"/>
      <c r="J36" s="1018"/>
      <c r="K36" s="1018"/>
      <c r="L36" s="1018"/>
    </row>
    <row r="37" spans="2:12" s="1019" customFormat="1" ht="27.75" customHeight="1">
      <c r="B37" s="1022"/>
      <c r="C37" s="1023" t="s">
        <v>720</v>
      </c>
      <c r="D37" s="1018"/>
      <c r="E37" s="1018"/>
      <c r="F37" s="1018"/>
      <c r="G37" s="1018"/>
      <c r="H37" s="1018"/>
      <c r="I37" s="1018"/>
      <c r="J37" s="1018"/>
      <c r="K37" s="1018"/>
      <c r="L37" s="1018"/>
    </row>
    <row r="38" spans="2:12" s="1019" customFormat="1">
      <c r="B38" s="2409" t="s">
        <v>704</v>
      </c>
      <c r="C38" s="2410"/>
      <c r="D38" s="1018"/>
      <c r="E38" s="1018"/>
      <c r="F38" s="1018"/>
      <c r="G38" s="1018"/>
      <c r="H38" s="1018"/>
      <c r="I38" s="1018"/>
      <c r="J38" s="1018"/>
      <c r="K38" s="1018"/>
      <c r="L38" s="1018"/>
    </row>
    <row r="39" spans="2:12" s="1019" customFormat="1">
      <c r="B39" s="2407" t="s">
        <v>721</v>
      </c>
      <c r="C39" s="2408"/>
      <c r="D39" s="1018"/>
      <c r="E39" s="1018"/>
      <c r="F39" s="1018"/>
      <c r="G39" s="1018"/>
      <c r="H39" s="1018"/>
      <c r="I39" s="1018"/>
      <c r="J39" s="1018"/>
      <c r="K39" s="1018"/>
      <c r="L39" s="1018"/>
    </row>
    <row r="40" spans="2:12" s="1019" customFormat="1">
      <c r="B40" s="2409" t="s">
        <v>722</v>
      </c>
      <c r="C40" s="2410"/>
      <c r="D40" s="1018"/>
      <c r="E40" s="1018"/>
      <c r="F40" s="1018"/>
      <c r="G40" s="1018"/>
      <c r="H40" s="1018"/>
      <c r="I40" s="1018"/>
      <c r="J40" s="1018"/>
      <c r="K40" s="1018"/>
      <c r="L40" s="1018"/>
    </row>
    <row r="41" spans="2:12" s="1019" customFormat="1">
      <c r="B41" s="2409" t="s">
        <v>707</v>
      </c>
      <c r="C41" s="2410"/>
      <c r="D41" s="1018"/>
      <c r="E41" s="1018"/>
      <c r="F41" s="1018"/>
      <c r="G41" s="1018"/>
      <c r="H41" s="1018"/>
      <c r="I41" s="1018"/>
      <c r="J41" s="1018"/>
      <c r="K41" s="1018"/>
      <c r="L41" s="1018"/>
    </row>
    <row r="42" spans="2:12" s="1019" customFormat="1">
      <c r="B42" s="2409" t="s">
        <v>708</v>
      </c>
      <c r="C42" s="2410"/>
      <c r="D42" s="1018"/>
      <c r="E42" s="1018"/>
      <c r="F42" s="1018"/>
      <c r="G42" s="1018"/>
      <c r="H42" s="1018"/>
      <c r="I42" s="1018"/>
      <c r="J42" s="1018"/>
      <c r="K42" s="1018"/>
      <c r="L42" s="1018"/>
    </row>
    <row r="43" spans="2:12" s="1017" customFormat="1" ht="17.25" customHeight="1">
      <c r="B43" s="2415" t="s">
        <v>709</v>
      </c>
      <c r="C43" s="2416"/>
      <c r="D43" s="1016"/>
      <c r="E43" s="1016"/>
      <c r="F43" s="1016"/>
      <c r="G43" s="1016"/>
      <c r="H43" s="1016"/>
      <c r="I43" s="1016"/>
      <c r="J43" s="1016"/>
      <c r="K43" s="1016"/>
      <c r="L43" s="1016"/>
    </row>
    <row r="44" spans="2:12">
      <c r="B44" s="2413" t="s">
        <v>723</v>
      </c>
      <c r="C44" s="2414"/>
      <c r="D44" s="1007"/>
      <c r="E44" s="1007"/>
      <c r="F44" s="1007"/>
      <c r="G44" s="1007"/>
      <c r="H44" s="1007"/>
      <c r="I44" s="1007"/>
      <c r="J44" s="1007"/>
      <c r="K44" s="1007"/>
      <c r="L44" s="1007"/>
    </row>
    <row r="45" spans="2:12" ht="30.75" customHeight="1">
      <c r="B45" s="2407" t="s">
        <v>724</v>
      </c>
      <c r="C45" s="2408"/>
      <c r="D45" s="1007"/>
      <c r="E45" s="1007"/>
      <c r="F45" s="1007"/>
      <c r="G45" s="1007"/>
      <c r="H45" s="1007"/>
      <c r="I45" s="1007"/>
      <c r="J45" s="1007"/>
      <c r="K45" s="1007"/>
      <c r="L45" s="1007"/>
    </row>
    <row r="46" spans="2:12" ht="33" customHeight="1">
      <c r="B46" s="2407" t="s">
        <v>725</v>
      </c>
      <c r="C46" s="2408"/>
      <c r="D46" s="1007"/>
      <c r="E46" s="1007"/>
      <c r="F46" s="1007"/>
      <c r="G46" s="1007"/>
      <c r="H46" s="1007"/>
      <c r="I46" s="1007"/>
      <c r="J46" s="1007"/>
      <c r="K46" s="1007"/>
      <c r="L46" s="1007"/>
    </row>
    <row r="47" spans="2:12">
      <c r="B47" s="2407" t="s">
        <v>726</v>
      </c>
      <c r="C47" s="2408"/>
      <c r="D47" s="1007"/>
      <c r="E47" s="1007"/>
      <c r="F47" s="1007"/>
      <c r="G47" s="1007"/>
      <c r="H47" s="1007"/>
      <c r="I47" s="1007"/>
      <c r="J47" s="1007"/>
      <c r="K47" s="1007"/>
      <c r="L47" s="1007"/>
    </row>
    <row r="48" spans="2:12" ht="13.5" customHeight="1">
      <c r="B48" s="1008"/>
      <c r="C48" s="1009"/>
      <c r="D48" s="1007"/>
      <c r="E48" s="1007"/>
      <c r="F48" s="1007"/>
      <c r="G48" s="1007"/>
      <c r="H48" s="1007"/>
      <c r="I48" s="1007"/>
      <c r="J48" s="1007"/>
      <c r="K48" s="1007"/>
      <c r="L48" s="1007"/>
    </row>
    <row r="49" spans="2:12" ht="24" customHeight="1">
      <c r="B49" s="2411" t="s">
        <v>727</v>
      </c>
      <c r="C49" s="2412"/>
      <c r="D49" s="1007"/>
      <c r="E49" s="1007"/>
      <c r="F49" s="1007"/>
      <c r="G49" s="1007"/>
      <c r="H49" s="1007"/>
      <c r="I49" s="1007"/>
      <c r="J49" s="1007"/>
      <c r="K49" s="1007"/>
      <c r="L49" s="1007"/>
    </row>
    <row r="50" spans="2:12" ht="32.25" customHeight="1">
      <c r="B50" s="2422" t="s">
        <v>728</v>
      </c>
      <c r="C50" s="2423"/>
      <c r="D50" s="1007"/>
      <c r="E50" s="1007"/>
      <c r="F50" s="1007"/>
      <c r="G50" s="1007"/>
      <c r="H50" s="1007"/>
      <c r="I50" s="1007"/>
      <c r="J50" s="1007"/>
      <c r="K50" s="1007"/>
      <c r="L50" s="1007"/>
    </row>
    <row r="51" spans="2:12">
      <c r="B51" s="2413" t="s">
        <v>729</v>
      </c>
      <c r="C51" s="2414"/>
      <c r="D51" s="1007"/>
      <c r="E51" s="1007"/>
      <c r="F51" s="1007"/>
      <c r="G51" s="1007"/>
      <c r="H51" s="1007"/>
      <c r="I51" s="1007"/>
      <c r="J51" s="1007"/>
      <c r="K51" s="1007"/>
      <c r="L51" s="1007"/>
    </row>
    <row r="52" spans="2:12" ht="63.75" customHeight="1">
      <c r="B52" s="2407" t="s">
        <v>730</v>
      </c>
      <c r="C52" s="2408"/>
      <c r="D52" s="1007"/>
      <c r="E52" s="1007"/>
      <c r="F52" s="1007"/>
      <c r="G52" s="1007"/>
      <c r="H52" s="1007"/>
      <c r="I52" s="1007"/>
      <c r="J52" s="1007"/>
      <c r="K52" s="1007"/>
      <c r="L52" s="1007"/>
    </row>
    <row r="53" spans="2:12" ht="71.25" customHeight="1">
      <c r="B53" s="2407" t="s">
        <v>731</v>
      </c>
      <c r="C53" s="2408"/>
      <c r="D53" s="1007"/>
      <c r="E53" s="1007"/>
      <c r="F53" s="1007"/>
      <c r="G53" s="1007"/>
      <c r="H53" s="1007"/>
      <c r="I53" s="1007"/>
      <c r="J53" s="1007"/>
      <c r="K53" s="1007"/>
      <c r="L53" s="1007"/>
    </row>
    <row r="54" spans="2:12">
      <c r="B54" s="2407" t="s">
        <v>732</v>
      </c>
      <c r="C54" s="2408"/>
      <c r="D54" s="1007"/>
      <c r="E54" s="1007"/>
      <c r="F54" s="1007"/>
      <c r="G54" s="1007"/>
      <c r="H54" s="1007"/>
      <c r="I54" s="1007"/>
      <c r="J54" s="1007"/>
      <c r="K54" s="1007"/>
      <c r="L54" s="1007"/>
    </row>
    <row r="55" spans="2:12">
      <c r="B55" s="2407" t="s">
        <v>733</v>
      </c>
      <c r="C55" s="2408"/>
      <c r="D55" s="1007"/>
      <c r="E55" s="1007"/>
      <c r="F55" s="1007"/>
      <c r="G55" s="1007"/>
      <c r="H55" s="1007"/>
      <c r="I55" s="1007"/>
      <c r="J55" s="1007"/>
      <c r="K55" s="1007"/>
      <c r="L55" s="1007"/>
    </row>
    <row r="56" spans="2:12">
      <c r="B56" s="1010"/>
      <c r="C56" s="1011" t="s">
        <v>734</v>
      </c>
      <c r="D56" s="1007"/>
      <c r="E56" s="1007"/>
      <c r="F56" s="1007"/>
      <c r="G56" s="1007"/>
      <c r="H56" s="1007"/>
      <c r="I56" s="1007"/>
      <c r="J56" s="1007"/>
      <c r="K56" s="1007"/>
      <c r="L56" s="1007"/>
    </row>
    <row r="57" spans="2:12">
      <c r="B57" s="2407" t="s">
        <v>735</v>
      </c>
      <c r="C57" s="2408"/>
      <c r="D57" s="1007"/>
      <c r="E57" s="1007"/>
      <c r="F57" s="1007"/>
      <c r="G57" s="1007"/>
      <c r="H57" s="1007"/>
      <c r="I57" s="1007"/>
      <c r="J57" s="1007"/>
      <c r="K57" s="1007"/>
      <c r="L57" s="1007"/>
    </row>
    <row r="58" spans="2:12">
      <c r="B58" s="2407" t="s">
        <v>736</v>
      </c>
      <c r="C58" s="2408"/>
      <c r="D58" s="1007"/>
      <c r="E58" s="1007"/>
      <c r="F58" s="1007"/>
      <c r="G58" s="1007"/>
      <c r="H58" s="1007"/>
      <c r="I58" s="1007"/>
      <c r="J58" s="1007"/>
      <c r="K58" s="1007"/>
      <c r="L58" s="1007"/>
    </row>
    <row r="59" spans="2:12">
      <c r="B59" s="1010"/>
      <c r="C59" s="1011" t="s">
        <v>737</v>
      </c>
      <c r="D59" s="1007"/>
      <c r="E59" s="1007"/>
      <c r="F59" s="1007"/>
      <c r="G59" s="1007"/>
      <c r="H59" s="1007"/>
      <c r="I59" s="1007"/>
      <c r="J59" s="1007"/>
      <c r="K59" s="1007"/>
      <c r="L59" s="1007"/>
    </row>
    <row r="60" spans="2:12">
      <c r="B60" s="1010"/>
      <c r="C60" s="1011" t="s">
        <v>738</v>
      </c>
      <c r="D60" s="1007"/>
      <c r="E60" s="1007"/>
      <c r="F60" s="1007"/>
      <c r="G60" s="1007"/>
      <c r="H60" s="1007"/>
      <c r="I60" s="1007"/>
      <c r="J60" s="1007"/>
      <c r="K60" s="1007"/>
      <c r="L60" s="1007"/>
    </row>
    <row r="61" spans="2:12">
      <c r="B61" s="2407" t="s">
        <v>739</v>
      </c>
      <c r="C61" s="2408"/>
      <c r="D61" s="1007"/>
      <c r="E61" s="1007"/>
      <c r="F61" s="1007"/>
      <c r="G61" s="1007"/>
      <c r="H61" s="1007"/>
      <c r="I61" s="1007"/>
      <c r="J61" s="1007"/>
      <c r="K61" s="1007"/>
      <c r="L61" s="1007"/>
    </row>
    <row r="62" spans="2:12">
      <c r="B62" s="2407" t="s">
        <v>740</v>
      </c>
      <c r="C62" s="2408"/>
      <c r="D62" s="1007"/>
      <c r="E62" s="1007"/>
      <c r="F62" s="1007"/>
      <c r="G62" s="1007"/>
      <c r="H62" s="1007"/>
      <c r="I62" s="1007"/>
      <c r="J62" s="1007"/>
      <c r="K62" s="1007"/>
      <c r="L62" s="1007"/>
    </row>
    <row r="63" spans="2:12">
      <c r="B63" s="2407" t="s">
        <v>741</v>
      </c>
      <c r="C63" s="2408"/>
      <c r="D63" s="1007"/>
      <c r="E63" s="1007"/>
      <c r="F63" s="1007"/>
      <c r="G63" s="1007"/>
      <c r="H63" s="1007"/>
      <c r="I63" s="1007"/>
      <c r="J63" s="1007"/>
      <c r="K63" s="1007"/>
      <c r="L63" s="1007"/>
    </row>
    <row r="64" spans="2:12" ht="13.8" thickBot="1">
      <c r="B64" s="2420"/>
      <c r="C64" s="2421"/>
      <c r="D64" s="1007"/>
      <c r="E64" s="1007"/>
      <c r="F64" s="1007"/>
      <c r="G64" s="1007"/>
      <c r="H64" s="1007"/>
      <c r="I64" s="1007"/>
      <c r="J64" s="1007"/>
      <c r="K64" s="1007"/>
      <c r="L64" s="1007"/>
    </row>
    <row r="65" spans="2:12">
      <c r="B65" s="2419"/>
      <c r="C65" s="2419"/>
      <c r="D65" s="1007"/>
      <c r="E65" s="1007"/>
      <c r="F65" s="1007"/>
      <c r="G65" s="1007"/>
      <c r="H65" s="1007"/>
      <c r="I65" s="1007"/>
      <c r="J65" s="1007"/>
      <c r="K65" s="1007"/>
      <c r="L65" s="1007"/>
    </row>
    <row r="66" spans="2:12">
      <c r="B66" s="2419"/>
      <c r="C66" s="2419"/>
    </row>
  </sheetData>
  <sheetProtection algorithmName="SHA-512" hashValue="A/MAmj71roddGZn023ZP3aGnUjxr2PmPFiZFlM5nnk8nFf4pXYr3kJOtG8+eIXh1EekxuM9Kfnwq/hnsM8yClg==" saltValue="2Itri08uMHkEECTDhaGCmw==" spinCount="100000" sheet="1" objects="1" scenarios="1"/>
  <mergeCells count="50">
    <mergeCell ref="B4:C4"/>
    <mergeCell ref="B32:C32"/>
    <mergeCell ref="B43:C43"/>
    <mergeCell ref="B44:C44"/>
    <mergeCell ref="B45:C45"/>
    <mergeCell ref="B41:C41"/>
    <mergeCell ref="B42:C42"/>
    <mergeCell ref="B35:C35"/>
    <mergeCell ref="B36:C36"/>
    <mergeCell ref="B38:C38"/>
    <mergeCell ref="B39:C39"/>
    <mergeCell ref="B5:C5"/>
    <mergeCell ref="B6:C6"/>
    <mergeCell ref="B26:C26"/>
    <mergeCell ref="B27:C27"/>
    <mergeCell ref="B28:C28"/>
    <mergeCell ref="B66:C66"/>
    <mergeCell ref="B29:C29"/>
    <mergeCell ref="B30:C30"/>
    <mergeCell ref="B64:C64"/>
    <mergeCell ref="B65:C65"/>
    <mergeCell ref="B51:C51"/>
    <mergeCell ref="B50:C50"/>
    <mergeCell ref="B54:C54"/>
    <mergeCell ref="B57:C57"/>
    <mergeCell ref="B58:C58"/>
    <mergeCell ref="B55:C55"/>
    <mergeCell ref="B52:C52"/>
    <mergeCell ref="B53:C53"/>
    <mergeCell ref="B46:C46"/>
    <mergeCell ref="B61:C61"/>
    <mergeCell ref="B62:C62"/>
    <mergeCell ref="B11:C11"/>
    <mergeCell ref="B7:C7"/>
    <mergeCell ref="B8:C8"/>
    <mergeCell ref="B17:C17"/>
    <mergeCell ref="B10:C10"/>
    <mergeCell ref="B25:C25"/>
    <mergeCell ref="B20:C20"/>
    <mergeCell ref="B21:C21"/>
    <mergeCell ref="B18:C18"/>
    <mergeCell ref="B19:C19"/>
    <mergeCell ref="B22:C22"/>
    <mergeCell ref="B23:C23"/>
    <mergeCell ref="B24:C24"/>
    <mergeCell ref="B63:C63"/>
    <mergeCell ref="B33:C33"/>
    <mergeCell ref="B47:C47"/>
    <mergeCell ref="B49:C49"/>
    <mergeCell ref="B40:C40"/>
  </mergeCells>
  <pageMargins left="0.70866141732283472" right="0.70866141732283472" top="0.74803149606299213" bottom="0.74803149606299213" header="0.31496062992125984" footer="0.31496062992125984"/>
  <pageSetup scale="84" orientation="landscape" horizontalDpi="4294967294" verticalDpi="4294967294"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DFD1DCCEEC96554796384F649CCEA712" ma:contentTypeVersion="7" ma:contentTypeDescription="Crear nuevo documento." ma:contentTypeScope="" ma:versionID="5f5d451e4730fc8f65e755a2cce6a32d">
  <xsd:schema xmlns:xsd="http://www.w3.org/2001/XMLSchema" xmlns:xs="http://www.w3.org/2001/XMLSchema" xmlns:p="http://schemas.microsoft.com/office/2006/metadata/properties" xmlns:ns2="b2827ec2-e008-4c97-890d-ea5cdd7d055a" xmlns:ns3="6ece6b57-6d0a-4e68-a214-e7356cc7bf2d" targetNamespace="http://schemas.microsoft.com/office/2006/metadata/properties" ma:root="true" ma:fieldsID="1c95ea880f1b335435a0015812631da1" ns2:_="" ns3:_="">
    <xsd:import namespace="b2827ec2-e008-4c97-890d-ea5cdd7d055a"/>
    <xsd:import namespace="6ece6b57-6d0a-4e68-a214-e7356cc7bf2d"/>
    <xsd:element name="properties">
      <xsd:complexType>
        <xsd:sequence>
          <xsd:element name="documentManagement">
            <xsd:complexType>
              <xsd:all>
                <xsd:element ref="ns2:Descripci_x00f3_n"/>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827ec2-e008-4c97-890d-ea5cdd7d055a" elementFormDefault="qualified">
    <xsd:import namespace="http://schemas.microsoft.com/office/2006/documentManagement/types"/>
    <xsd:import namespace="http://schemas.microsoft.com/office/infopath/2007/PartnerControls"/>
    <xsd:element name="Descripci_x00f3_n" ma:index="8" ma:displayName="Descripción" ma:format="Dropdown" ma:internalName="Descripci_x00f3_n">
      <xsd:simpleType>
        <xsd:restriction base="dms:Text">
          <xsd:maxLength value="255"/>
        </xsd:restriction>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SearchProperties" ma:index="1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ece6b57-6d0a-4e68-a214-e7356cc7bf2d" elementFormDefault="qualified">
    <xsd:import namespace="http://schemas.microsoft.com/office/2006/documentManagement/types"/>
    <xsd:import namespace="http://schemas.microsoft.com/office/infopath/2007/PartnerControls"/>
    <xsd:element name="SharedWithUsers" ma:index="11"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escripci_x00f3_n xmlns="b2827ec2-e008-4c97-890d-ea5cdd7d055a">Simulador Crédito Hipotecario</Descripci_x00f3_n>
  </documentManagement>
</p:properties>
</file>

<file path=customXml/itemProps1.xml><?xml version="1.0" encoding="utf-8"?>
<ds:datastoreItem xmlns:ds="http://schemas.openxmlformats.org/officeDocument/2006/customXml" ds:itemID="{D9F5D1F1-5628-4E98-A018-578093ED1890}">
  <ds:schemaRefs>
    <ds:schemaRef ds:uri="http://schemas.microsoft.com/sharepoint/v3/contenttype/forms"/>
  </ds:schemaRefs>
</ds:datastoreItem>
</file>

<file path=customXml/itemProps2.xml><?xml version="1.0" encoding="utf-8"?>
<ds:datastoreItem xmlns:ds="http://schemas.openxmlformats.org/officeDocument/2006/customXml" ds:itemID="{F9FBDFD8-02B9-4E53-A14F-B6529CDD530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2827ec2-e008-4c97-890d-ea5cdd7d055a"/>
    <ds:schemaRef ds:uri="6ece6b57-6d0a-4e68-a214-e7356cc7bf2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ACAD888-5F13-41D2-A452-A4A23642B1CA}">
  <ds:schemaRefs>
    <ds:schemaRef ds:uri="http://schemas.microsoft.com/office/2006/metadata/properties"/>
    <ds:schemaRef ds:uri="http://schemas.microsoft.com/office/infopath/2007/PartnerControls"/>
    <ds:schemaRef ds:uri="b2827ec2-e008-4c97-890d-ea5cdd7d055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63</vt:i4>
      </vt:variant>
    </vt:vector>
  </HeadingPairs>
  <TitlesOfParts>
    <vt:vector size="75" baseType="lpstr">
      <vt:lpstr>Adm</vt:lpstr>
      <vt:lpstr>Cal</vt:lpstr>
      <vt:lpstr>inicio</vt:lpstr>
      <vt:lpstr>Captura</vt:lpstr>
      <vt:lpstr>Liquidez</vt:lpstr>
      <vt:lpstr>Sustitución</vt:lpstr>
      <vt:lpstr>Free</vt:lpstr>
      <vt:lpstr>Liquidezfree</vt:lpstr>
      <vt:lpstr>Plus</vt:lpstr>
      <vt:lpstr>CAT</vt:lpstr>
      <vt:lpstr>pasos</vt:lpstr>
      <vt:lpstr>Guía</vt:lpstr>
      <vt:lpstr>Aforodestino</vt:lpstr>
      <vt:lpstr>Aforodestinofree</vt:lpstr>
      <vt:lpstr>aforodestinofreeNO</vt:lpstr>
      <vt:lpstr>AforodestinoNO</vt:lpstr>
      <vt:lpstr>anticipado</vt:lpstr>
      <vt:lpstr>anticipadofree</vt:lpstr>
      <vt:lpstr>anticipafreeliq</vt:lpstr>
      <vt:lpstr>anticipaplus</vt:lpstr>
      <vt:lpstr>Captura!Área_de_impresión</vt:lpstr>
      <vt:lpstr>Free!Área_de_impresión</vt:lpstr>
      <vt:lpstr>Liquidez!Área_de_impresión</vt:lpstr>
      <vt:lpstr>Liquidezfree!Área_de_impresión</vt:lpstr>
      <vt:lpstr>Plus!Área_de_impresión</vt:lpstr>
      <vt:lpstr>Sustitución!Área_de_impresión</vt:lpstr>
      <vt:lpstr>basetasasfree</vt:lpstr>
      <vt:lpstr>Basetasassantander</vt:lpstr>
      <vt:lpstr>colectivosfree</vt:lpstr>
      <vt:lpstr>construcción</vt:lpstr>
      <vt:lpstr>crecientes</vt:lpstr>
      <vt:lpstr>DestinosFree</vt:lpstr>
      <vt:lpstr>DestinosSantander</vt:lpstr>
      <vt:lpstr>edad</vt:lpstr>
      <vt:lpstr>embajadores</vt:lpstr>
      <vt:lpstr>escogeofertafree</vt:lpstr>
      <vt:lpstr>escogeofertasan</vt:lpstr>
      <vt:lpstr>freeajuste</vt:lpstr>
      <vt:lpstr>freeConge</vt:lpstr>
      <vt:lpstr>freeProgra</vt:lpstr>
      <vt:lpstr>gastos</vt:lpstr>
      <vt:lpstr>gastosfree</vt:lpstr>
      <vt:lpstr>Intervinientes</vt:lpstr>
      <vt:lpstr>liquidez</vt:lpstr>
      <vt:lpstr>lista</vt:lpstr>
      <vt:lpstr>ListaFree</vt:lpstr>
      <vt:lpstr>mil_15</vt:lpstr>
      <vt:lpstr>mil_20</vt:lpstr>
      <vt:lpstr>mil_30</vt:lpstr>
      <vt:lpstr>milplus_15</vt:lpstr>
      <vt:lpstr>milplus_20</vt:lpstr>
      <vt:lpstr>milplus_30</vt:lpstr>
      <vt:lpstr>Plus!ofertaplus</vt:lpstr>
      <vt:lpstr>Ofertasfree</vt:lpstr>
      <vt:lpstr>ofertassantander</vt:lpstr>
      <vt:lpstr>origen</vt:lpstr>
      <vt:lpstr>origenfree</vt:lpstr>
      <vt:lpstr>Plus!pla</vt:lpstr>
      <vt:lpstr>plafree</vt:lpstr>
      <vt:lpstr>Plan</vt:lpstr>
      <vt:lpstr>PlanesPlus</vt:lpstr>
      <vt:lpstr>plazo</vt:lpstr>
      <vt:lpstr>plazosdestino</vt:lpstr>
      <vt:lpstr>Plus!PLUS</vt:lpstr>
      <vt:lpstr>Plus!recompensa</vt:lpstr>
      <vt:lpstr>Sustitución!Sustitución</vt:lpstr>
      <vt:lpstr>tasas</vt:lpstr>
      <vt:lpstr>Plus!tasasplus</vt:lpstr>
      <vt:lpstr>Captura!Títulos_a_imprimir</vt:lpstr>
      <vt:lpstr>Free!Títulos_a_imprimir</vt:lpstr>
      <vt:lpstr>Liquidez!Títulos_a_imprimir</vt:lpstr>
      <vt:lpstr>Liquidezfree!Títulos_a_imprimir</vt:lpstr>
      <vt:lpstr>pasos!Títulos_a_imprimir</vt:lpstr>
      <vt:lpstr>Plus!Títulos_a_imprimir</vt:lpstr>
      <vt:lpstr>Sustitución!Títulos_a_imprimir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 LEON GUZMAN IRIS GUADALUPE</dc:creator>
  <cp:keywords/>
  <dc:description/>
  <cp:lastModifiedBy>Carlos Arturo Nava Mendez</cp:lastModifiedBy>
  <cp:revision/>
  <dcterms:created xsi:type="dcterms:W3CDTF">2015-07-08T18:15:31Z</dcterms:created>
  <dcterms:modified xsi:type="dcterms:W3CDTF">2026-03-17T20:29:12Z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c2abd79-57a9-4473-8700-c843f76a1e37_Enabled">
    <vt:lpwstr>true</vt:lpwstr>
  </property>
  <property fmtid="{D5CDD505-2E9C-101B-9397-08002B2CF9AE}" pid="3" name="MSIP_Label_0c2abd79-57a9-4473-8700-c843f76a1e37_SetDate">
    <vt:lpwstr>2023-03-21T19:06:35Z</vt:lpwstr>
  </property>
  <property fmtid="{D5CDD505-2E9C-101B-9397-08002B2CF9AE}" pid="4" name="MSIP_Label_0c2abd79-57a9-4473-8700-c843f76a1e37_Method">
    <vt:lpwstr>Privileged</vt:lpwstr>
  </property>
  <property fmtid="{D5CDD505-2E9C-101B-9397-08002B2CF9AE}" pid="5" name="MSIP_Label_0c2abd79-57a9-4473-8700-c843f76a1e37_Name">
    <vt:lpwstr>Internal</vt:lpwstr>
  </property>
  <property fmtid="{D5CDD505-2E9C-101B-9397-08002B2CF9AE}" pid="6" name="MSIP_Label_0c2abd79-57a9-4473-8700-c843f76a1e37_SiteId">
    <vt:lpwstr>35595a02-4d6d-44ac-99e1-f9ab4cd872db</vt:lpwstr>
  </property>
  <property fmtid="{D5CDD505-2E9C-101B-9397-08002B2CF9AE}" pid="7" name="MSIP_Label_0c2abd79-57a9-4473-8700-c843f76a1e37_ActionId">
    <vt:lpwstr>fbe4988b-68ec-4e31-a55f-973200aea2cd</vt:lpwstr>
  </property>
  <property fmtid="{D5CDD505-2E9C-101B-9397-08002B2CF9AE}" pid="8" name="MSIP_Label_0c2abd79-57a9-4473-8700-c843f76a1e37_ContentBits">
    <vt:lpwstr>0</vt:lpwstr>
  </property>
  <property fmtid="{D5CDD505-2E9C-101B-9397-08002B2CF9AE}" pid="9" name="ContentTypeId">
    <vt:lpwstr>0x010100DFD1DCCEEC96554796384F649CCEA712</vt:lpwstr>
  </property>
  <property fmtid="{D5CDD505-2E9C-101B-9397-08002B2CF9AE}" pid="10" name="_dlc_DocIdItemGuid">
    <vt:lpwstr>5b59a454-d550-4ea4-a1e2-8f79669bc804</vt:lpwstr>
  </property>
  <property fmtid="{D5CDD505-2E9C-101B-9397-08002B2CF9AE}" pid="11" name="MSIP_Label_41b88ec2-a72b-4523-9e84-0458a1764731_ContentBits">
    <vt:lpwstr>0</vt:lpwstr>
  </property>
  <property fmtid="{D5CDD505-2E9C-101B-9397-08002B2CF9AE}" pid="12" name="MSIP_Label_41b88ec2-a72b-4523-9e84-0458a1764731_Enabled">
    <vt:lpwstr>true</vt:lpwstr>
  </property>
  <property fmtid="{D5CDD505-2E9C-101B-9397-08002B2CF9AE}" pid="13" name="MSIP_Label_41b88ec2-a72b-4523-9e84-0458a1764731_Name">
    <vt:lpwstr>Public O365</vt:lpwstr>
  </property>
  <property fmtid="{D5CDD505-2E9C-101B-9397-08002B2CF9AE}" pid="14" name="MSIP_Label_41b88ec2-a72b-4523-9e84-0458a1764731_SetDate">
    <vt:lpwstr>2021-10-21T22:42:59Z</vt:lpwstr>
  </property>
  <property fmtid="{D5CDD505-2E9C-101B-9397-08002B2CF9AE}" pid="15" name="MSIP_Label_41b88ec2-a72b-4523-9e84-0458a1764731_ActionId">
    <vt:lpwstr>86f2e0d9-e108-453b-bee3-008295ba343f</vt:lpwstr>
  </property>
  <property fmtid="{D5CDD505-2E9C-101B-9397-08002B2CF9AE}" pid="16" name="MSIP_Label_41b88ec2-a72b-4523-9e84-0458a1764731_SiteId">
    <vt:lpwstr>35595a02-4d6d-44ac-99e1-f9ab4cd872db</vt:lpwstr>
  </property>
  <property fmtid="{D5CDD505-2E9C-101B-9397-08002B2CF9AE}" pid="17" name="MSIP_Label_41b88ec2-a72b-4523-9e84-0458a1764731_Method">
    <vt:lpwstr>Privileged</vt:lpwstr>
  </property>
</Properties>
</file>